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-my.sharepoint.com/personal/amol_dhorekar_o2power_in/Documents/Desktop/Daily report send/July-25/"/>
    </mc:Choice>
  </mc:AlternateContent>
  <xr:revisionPtr revIDLastSave="2" documentId="13_ncr:1_{4BA40200-B6E1-4D9E-9429-286390B1CBA0}" xr6:coauthVersionLast="47" xr6:coauthVersionMax="47" xr10:uidLastSave="{D0673F60-A2F4-4C87-9D72-32B99249D25A}"/>
  <bookViews>
    <workbookView xWindow="-120" yWindow="-120" windowWidth="20730" windowHeight="11040" tabRatio="781" xr2:uid="{90E9E19F-C7D8-4B7D-9A70-20CA055375E6}"/>
  </bookViews>
  <sheets>
    <sheet name="O2Summary" sheetId="9" r:id="rId1"/>
    <sheet name="AnnualKPI" sheetId="8" r:id="rId2"/>
    <sheet name="MonthlyKPI" sheetId="7" r:id="rId3"/>
    <sheet name="Daily KPI" sheetId="39" r:id="rId4"/>
    <sheet name="Input_Raw" sheetId="20" r:id="rId5"/>
    <sheet name="Inv_SY_B" sheetId="35" r:id="rId6"/>
    <sheet name="Inv_SY" sheetId="36" r:id="rId7"/>
    <sheet name="SPV Group" sheetId="33" r:id="rId8"/>
    <sheet name="IGA_BD" sheetId="29" r:id="rId9"/>
    <sheet name="Basic Data" sheetId="22" r:id="rId10"/>
    <sheet name="Plant_BD" sheetId="27" r:id="rId11"/>
    <sheet name="Grid_BD" sheetId="24" r:id="rId12"/>
    <sheet name="MC" sheetId="30" r:id="rId13"/>
    <sheet name="Wet MC " sheetId="32" r:id="rId14"/>
    <sheet name="GC" sheetId="31" r:id="rId15"/>
    <sheet name="Modelling New" sheetId="4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O113" i="20" l="1"/>
  <c r="EH109" i="20" l="1"/>
  <c r="AL108" i="27" l="1"/>
  <c r="AL109" i="27"/>
  <c r="AL110" i="27"/>
  <c r="AL111" i="27"/>
  <c r="C110" i="27"/>
  <c r="D110" i="27"/>
  <c r="G110" i="27"/>
  <c r="H110" i="27" s="1"/>
  <c r="R110" i="27"/>
  <c r="S110" i="27"/>
  <c r="T110" i="27"/>
  <c r="U110" i="27" s="1"/>
  <c r="AD110" i="27"/>
  <c r="AE110" i="27"/>
  <c r="AF110" i="27"/>
  <c r="AG110" i="27"/>
  <c r="V110" i="27" l="1"/>
  <c r="AJ110" i="27" s="1"/>
  <c r="C106" i="27"/>
  <c r="D106" i="27"/>
  <c r="G106" i="27"/>
  <c r="H106" i="27" s="1"/>
  <c r="R106" i="27"/>
  <c r="T106" i="27" s="1"/>
  <c r="U106" i="27" s="1"/>
  <c r="AL106" i="27" s="1"/>
  <c r="S106" i="27"/>
  <c r="AD106" i="27"/>
  <c r="AE106" i="27"/>
  <c r="AF106" i="27"/>
  <c r="AG106" i="27"/>
  <c r="C107" i="27"/>
  <c r="D107" i="27"/>
  <c r="G107" i="27"/>
  <c r="H107" i="27" s="1"/>
  <c r="R107" i="27"/>
  <c r="T107" i="27" s="1"/>
  <c r="S107" i="27"/>
  <c r="AD107" i="27"/>
  <c r="AE107" i="27"/>
  <c r="AF107" i="27"/>
  <c r="AG107" i="27"/>
  <c r="C108" i="27"/>
  <c r="D108" i="27"/>
  <c r="G108" i="27"/>
  <c r="H108" i="27" s="1"/>
  <c r="R108" i="27"/>
  <c r="T108" i="27" s="1"/>
  <c r="S108" i="27"/>
  <c r="AD108" i="27"/>
  <c r="AE108" i="27"/>
  <c r="AF108" i="27"/>
  <c r="AG108" i="27"/>
  <c r="C109" i="27"/>
  <c r="D109" i="27"/>
  <c r="G109" i="27"/>
  <c r="H109" i="27" s="1"/>
  <c r="R109" i="27"/>
  <c r="T109" i="27" s="1"/>
  <c r="S109" i="27"/>
  <c r="AD109" i="27"/>
  <c r="AE109" i="27"/>
  <c r="AF109" i="27"/>
  <c r="AG109" i="27"/>
  <c r="C111" i="27"/>
  <c r="D111" i="27"/>
  <c r="G111" i="27"/>
  <c r="H111" i="27" s="1"/>
  <c r="R111" i="27"/>
  <c r="T111" i="27" s="1"/>
  <c r="S111" i="27"/>
  <c r="AD111" i="27"/>
  <c r="AE111" i="27"/>
  <c r="AF111" i="27"/>
  <c r="AG111" i="27"/>
  <c r="C112" i="27"/>
  <c r="D112" i="27"/>
  <c r="G112" i="27"/>
  <c r="H112" i="27" s="1"/>
  <c r="I112" i="27"/>
  <c r="J112" i="27"/>
  <c r="R112" i="27"/>
  <c r="T112" i="27" s="1"/>
  <c r="S112" i="27"/>
  <c r="AD112" i="27"/>
  <c r="AE112" i="27"/>
  <c r="AF112" i="27"/>
  <c r="AG112" i="27"/>
  <c r="C113" i="27"/>
  <c r="D113" i="27"/>
  <c r="G113" i="27"/>
  <c r="H113" i="27" s="1"/>
  <c r="I113" i="27"/>
  <c r="J113" i="27"/>
  <c r="R113" i="27"/>
  <c r="T113" i="27" s="1"/>
  <c r="S113" i="27"/>
  <c r="AD113" i="27"/>
  <c r="AE113" i="27"/>
  <c r="AF113" i="27"/>
  <c r="AG113" i="27"/>
  <c r="C114" i="27"/>
  <c r="D114" i="27"/>
  <c r="G114" i="27"/>
  <c r="H114" i="27" s="1"/>
  <c r="I114" i="27"/>
  <c r="J114" i="27"/>
  <c r="R114" i="27"/>
  <c r="T114" i="27" s="1"/>
  <c r="S114" i="27"/>
  <c r="AD114" i="27"/>
  <c r="AE114" i="27"/>
  <c r="AF114" i="27"/>
  <c r="AG114" i="27"/>
  <c r="C115" i="27"/>
  <c r="D115" i="27"/>
  <c r="G115" i="27"/>
  <c r="H115" i="27" s="1"/>
  <c r="I115" i="27"/>
  <c r="J115" i="27"/>
  <c r="R115" i="27"/>
  <c r="T115" i="27" s="1"/>
  <c r="S115" i="27"/>
  <c r="AD115" i="27"/>
  <c r="AE115" i="27"/>
  <c r="AF115" i="27"/>
  <c r="AG115" i="27"/>
  <c r="C116" i="27"/>
  <c r="D116" i="27"/>
  <c r="G116" i="27"/>
  <c r="H116" i="27" s="1"/>
  <c r="I116" i="27"/>
  <c r="J116" i="27"/>
  <c r="R116" i="27"/>
  <c r="T116" i="27" s="1"/>
  <c r="S116" i="27"/>
  <c r="AD116" i="27"/>
  <c r="AE116" i="27"/>
  <c r="AF116" i="27"/>
  <c r="AG116" i="27"/>
  <c r="C117" i="27"/>
  <c r="D117" i="27"/>
  <c r="G117" i="27"/>
  <c r="H117" i="27" s="1"/>
  <c r="I117" i="27"/>
  <c r="J117" i="27"/>
  <c r="R117" i="27"/>
  <c r="T117" i="27" s="1"/>
  <c r="U117" i="27" s="1"/>
  <c r="AL117" i="27" s="1"/>
  <c r="S117" i="27"/>
  <c r="AD117" i="27"/>
  <c r="AE117" i="27"/>
  <c r="AF117" i="27"/>
  <c r="AG117" i="27"/>
  <c r="C118" i="27"/>
  <c r="D118" i="27"/>
  <c r="G118" i="27"/>
  <c r="H118" i="27" s="1"/>
  <c r="I118" i="27"/>
  <c r="J118" i="27"/>
  <c r="R118" i="27"/>
  <c r="T118" i="27" s="1"/>
  <c r="S118" i="27"/>
  <c r="AD118" i="27"/>
  <c r="AE118" i="27"/>
  <c r="AF118" i="27"/>
  <c r="AG118" i="27"/>
  <c r="C119" i="27"/>
  <c r="D119" i="27"/>
  <c r="G119" i="27"/>
  <c r="H119" i="27" s="1"/>
  <c r="I119" i="27"/>
  <c r="J119" i="27"/>
  <c r="R119" i="27"/>
  <c r="T119" i="27" s="1"/>
  <c r="V119" i="27" s="1"/>
  <c r="AJ119" i="27" s="1"/>
  <c r="S119" i="27"/>
  <c r="AD119" i="27"/>
  <c r="AE119" i="27"/>
  <c r="AF119" i="27"/>
  <c r="AG119" i="27"/>
  <c r="K113" i="27" l="1"/>
  <c r="V106" i="27"/>
  <c r="AJ106" i="27" s="1"/>
  <c r="U107" i="27"/>
  <c r="AL107" i="27" s="1"/>
  <c r="V107" i="27"/>
  <c r="AJ107" i="27" s="1"/>
  <c r="K115" i="27"/>
  <c r="U108" i="27"/>
  <c r="V108" i="27"/>
  <c r="AJ108" i="27" s="1"/>
  <c r="U109" i="27"/>
  <c r="V109" i="27"/>
  <c r="AJ109" i="27" s="1"/>
  <c r="K114" i="27"/>
  <c r="U111" i="27"/>
  <c r="V111" i="27"/>
  <c r="AJ111" i="27" s="1"/>
  <c r="K118" i="27"/>
  <c r="K112" i="27"/>
  <c r="U112" i="27"/>
  <c r="AL112" i="27" s="1"/>
  <c r="V112" i="27"/>
  <c r="AJ112" i="27" s="1"/>
  <c r="U113" i="27"/>
  <c r="AL113" i="27" s="1"/>
  <c r="V113" i="27"/>
  <c r="AJ113" i="27" s="1"/>
  <c r="U114" i="27"/>
  <c r="AL114" i="27" s="1"/>
  <c r="V114" i="27"/>
  <c r="AJ114" i="27" s="1"/>
  <c r="U115" i="27"/>
  <c r="AL115" i="27" s="1"/>
  <c r="V115" i="27"/>
  <c r="AJ115" i="27" s="1"/>
  <c r="K116" i="27"/>
  <c r="U116" i="27"/>
  <c r="AL116" i="27" s="1"/>
  <c r="V116" i="27"/>
  <c r="AJ116" i="27" s="1"/>
  <c r="K117" i="27"/>
  <c r="K119" i="27"/>
  <c r="V117" i="27"/>
  <c r="AJ117" i="27" s="1"/>
  <c r="V118" i="27"/>
  <c r="AJ118" i="27" s="1"/>
  <c r="U118" i="27"/>
  <c r="AL118" i="27" s="1"/>
  <c r="U119" i="27"/>
  <c r="AL119" i="27" s="1"/>
  <c r="EV106" i="20" l="1"/>
  <c r="EV107" i="20"/>
  <c r="EV108" i="20"/>
  <c r="EV109" i="20"/>
  <c r="EV110" i="20"/>
  <c r="EV111" i="20"/>
  <c r="EV112" i="20"/>
  <c r="EV113" i="20"/>
  <c r="EV114" i="20"/>
  <c r="EV115" i="20"/>
  <c r="EW106" i="20"/>
  <c r="EW107" i="20"/>
  <c r="EW108" i="20"/>
  <c r="EW109" i="20"/>
  <c r="EW110" i="20"/>
  <c r="EW111" i="20"/>
  <c r="EW112" i="20"/>
  <c r="EW113" i="20"/>
  <c r="EW114" i="20"/>
  <c r="EW115" i="20"/>
  <c r="EW116" i="20"/>
  <c r="EW105" i="20"/>
  <c r="EV105" i="20"/>
  <c r="EU105" i="20"/>
  <c r="EU106" i="20"/>
  <c r="EU107" i="20"/>
  <c r="EU108" i="20"/>
  <c r="EU109" i="20"/>
  <c r="EU110" i="20"/>
  <c r="EU111" i="20"/>
  <c r="EU112" i="20"/>
  <c r="EU113" i="20"/>
  <c r="EU114" i="20"/>
  <c r="EU115" i="20"/>
  <c r="EU116" i="20"/>
  <c r="ES106" i="20"/>
  <c r="ES107" i="20"/>
  <c r="ES108" i="20"/>
  <c r="ES109" i="20"/>
  <c r="ES110" i="20"/>
  <c r="ES111" i="20"/>
  <c r="ES112" i="20"/>
  <c r="ES113" i="20"/>
  <c r="ES114" i="20"/>
  <c r="ET106" i="20"/>
  <c r="ET107" i="20"/>
  <c r="ET108" i="20"/>
  <c r="ET109" i="20"/>
  <c r="ET110" i="20"/>
  <c r="ET111" i="20"/>
  <c r="ET112" i="20"/>
  <c r="ET113" i="20"/>
  <c r="ET114" i="20"/>
  <c r="ET115" i="20"/>
  <c r="ET105" i="20"/>
  <c r="ES105" i="20"/>
  <c r="C101" i="27"/>
  <c r="D101" i="27"/>
  <c r="G101" i="27"/>
  <c r="H101" i="27" s="1"/>
  <c r="R101" i="27"/>
  <c r="T101" i="27" s="1"/>
  <c r="U101" i="27" s="1"/>
  <c r="AL101" i="27" s="1"/>
  <c r="S101" i="27"/>
  <c r="AD101" i="27"/>
  <c r="AE101" i="27"/>
  <c r="AF101" i="27"/>
  <c r="AG101" i="27"/>
  <c r="C100" i="27"/>
  <c r="D100" i="27"/>
  <c r="G100" i="27"/>
  <c r="H100" i="27" s="1"/>
  <c r="R100" i="27"/>
  <c r="T100" i="27" s="1"/>
  <c r="S100" i="27"/>
  <c r="AD100" i="27"/>
  <c r="AE100" i="27"/>
  <c r="AF100" i="27"/>
  <c r="AG100" i="27"/>
  <c r="C94" i="27"/>
  <c r="D94" i="27"/>
  <c r="G94" i="27"/>
  <c r="H94" i="27" s="1"/>
  <c r="R94" i="27"/>
  <c r="T94" i="27" s="1"/>
  <c r="S94" i="27"/>
  <c r="AD94" i="27"/>
  <c r="AE94" i="27"/>
  <c r="AF94" i="27"/>
  <c r="AG94" i="27"/>
  <c r="C95" i="27"/>
  <c r="D95" i="27"/>
  <c r="G95" i="27"/>
  <c r="H95" i="27" s="1"/>
  <c r="R95" i="27"/>
  <c r="T95" i="27" s="1"/>
  <c r="S95" i="27"/>
  <c r="AD95" i="27"/>
  <c r="AE95" i="27"/>
  <c r="AF95" i="27"/>
  <c r="AG95" i="27"/>
  <c r="AF96" i="27"/>
  <c r="AF97" i="27"/>
  <c r="AF98" i="27"/>
  <c r="AF99" i="27"/>
  <c r="AF102" i="27"/>
  <c r="AF103" i="27"/>
  <c r="AF104" i="27"/>
  <c r="AF105" i="27"/>
  <c r="AF120" i="27"/>
  <c r="D98" i="27"/>
  <c r="C98" i="27"/>
  <c r="V101" i="27" l="1"/>
  <c r="AJ101" i="27" s="1"/>
  <c r="V100" i="27"/>
  <c r="AJ100" i="27" s="1"/>
  <c r="U100" i="27"/>
  <c r="AL100" i="27" s="1"/>
  <c r="V94" i="27"/>
  <c r="AJ94" i="27" s="1"/>
  <c r="U94" i="27"/>
  <c r="AL94" i="27" s="1"/>
  <c r="U95" i="27"/>
  <c r="AL95" i="27" s="1"/>
  <c r="V95" i="27"/>
  <c r="AJ95" i="27" s="1"/>
  <c r="EX104" i="20"/>
  <c r="EX105" i="20"/>
  <c r="EX106" i="20"/>
  <c r="EX107" i="20"/>
  <c r="FA107" i="20" s="1"/>
  <c r="EX108" i="20"/>
  <c r="FA108" i="20" s="1"/>
  <c r="EX109" i="20"/>
  <c r="EX110" i="20"/>
  <c r="EX111" i="20"/>
  <c r="EX112" i="20"/>
  <c r="EX113" i="20"/>
  <c r="EX114" i="20"/>
  <c r="EX115" i="20"/>
  <c r="FA115" i="20" s="1"/>
  <c r="EX116" i="20"/>
  <c r="EX117" i="20"/>
  <c r="EX118" i="20"/>
  <c r="EX119" i="20"/>
  <c r="EX120" i="20"/>
  <c r="EX121" i="20"/>
  <c r="EX122" i="20"/>
  <c r="EX123" i="20"/>
  <c r="EX124" i="20"/>
  <c r="EX125" i="20"/>
  <c r="EX126" i="20"/>
  <c r="EX103" i="20"/>
  <c r="ER103" i="20"/>
  <c r="ER104" i="20"/>
  <c r="ER105" i="20"/>
  <c r="ER106" i="20"/>
  <c r="ER107" i="20"/>
  <c r="ER108" i="20"/>
  <c r="ER109" i="20"/>
  <c r="ER110" i="20"/>
  <c r="ER111" i="20"/>
  <c r="ER112" i="20"/>
  <c r="ER113" i="20"/>
  <c r="ER114" i="20"/>
  <c r="ER115" i="20"/>
  <c r="ER116" i="20"/>
  <c r="ER117" i="20"/>
  <c r="ER118" i="20"/>
  <c r="ER119" i="20"/>
  <c r="EI104" i="20"/>
  <c r="EI105" i="20"/>
  <c r="EI106" i="20"/>
  <c r="EI107" i="20"/>
  <c r="EI108" i="20"/>
  <c r="EI109" i="20"/>
  <c r="EI110" i="20"/>
  <c r="EI111" i="20"/>
  <c r="EI112" i="20"/>
  <c r="EI113" i="20"/>
  <c r="EI114" i="20"/>
  <c r="EI115" i="20"/>
  <c r="EI116" i="20"/>
  <c r="EI117" i="20"/>
  <c r="EI118" i="20"/>
  <c r="EI119" i="20"/>
  <c r="EJ104" i="20"/>
  <c r="EJ105" i="20"/>
  <c r="EJ106" i="20"/>
  <c r="EJ107" i="20"/>
  <c r="EJ108" i="20"/>
  <c r="EJ109" i="20"/>
  <c r="EJ110" i="20"/>
  <c r="EJ111" i="20"/>
  <c r="EJ112" i="20"/>
  <c r="EJ113" i="20"/>
  <c r="EJ114" i="20"/>
  <c r="EJ115" i="20"/>
  <c r="EJ116" i="20"/>
  <c r="EJ117" i="20"/>
  <c r="EK104" i="20"/>
  <c r="EO107" i="20" s="1"/>
  <c r="EK105" i="20"/>
  <c r="EO108" i="20" s="1"/>
  <c r="EK106" i="20"/>
  <c r="EO109" i="20" s="1"/>
  <c r="EK107" i="20"/>
  <c r="EO110" i="20" s="1"/>
  <c r="EK108" i="20"/>
  <c r="EO111" i="20" s="1"/>
  <c r="EK109" i="20"/>
  <c r="EO112" i="20" s="1"/>
  <c r="EK110" i="20"/>
  <c r="EK111" i="20"/>
  <c r="EK112" i="20"/>
  <c r="EK113" i="20"/>
  <c r="EK114" i="20"/>
  <c r="EO117" i="20" s="1"/>
  <c r="EK115" i="20"/>
  <c r="EO118" i="20" s="1"/>
  <c r="EK116" i="20"/>
  <c r="EO119" i="20" s="1"/>
  <c r="EK117" i="20"/>
  <c r="EK118" i="20"/>
  <c r="EL104" i="20"/>
  <c r="EL105" i="20"/>
  <c r="EL106" i="20"/>
  <c r="EL107" i="20"/>
  <c r="EL108" i="20"/>
  <c r="EL109" i="20"/>
  <c r="EL110" i="20"/>
  <c r="EL111" i="20"/>
  <c r="EL112" i="20"/>
  <c r="EL113" i="20"/>
  <c r="EL114" i="20"/>
  <c r="EL115" i="20"/>
  <c r="EL116" i="20"/>
  <c r="EL117" i="20"/>
  <c r="EL118" i="20"/>
  <c r="EM104" i="20"/>
  <c r="EM105" i="20"/>
  <c r="EM106" i="20"/>
  <c r="EM107" i="20"/>
  <c r="EM108" i="20"/>
  <c r="EM109" i="20"/>
  <c r="EM110" i="20"/>
  <c r="EM111" i="20"/>
  <c r="EM112" i="20"/>
  <c r="EM113" i="20"/>
  <c r="EM114" i="20"/>
  <c r="EM115" i="20"/>
  <c r="EM116" i="20"/>
  <c r="EM117" i="20"/>
  <c r="EM118" i="20"/>
  <c r="EM119" i="20"/>
  <c r="EN103" i="20"/>
  <c r="EN104" i="20"/>
  <c r="EN105" i="20"/>
  <c r="EN106" i="20"/>
  <c r="EN107" i="20"/>
  <c r="EN108" i="20"/>
  <c r="EN109" i="20"/>
  <c r="EN110" i="20"/>
  <c r="EN111" i="20"/>
  <c r="EN112" i="20"/>
  <c r="EN113" i="20"/>
  <c r="EN114" i="20"/>
  <c r="EN115" i="20"/>
  <c r="EN116" i="20"/>
  <c r="EN117" i="20"/>
  <c r="EN118" i="20"/>
  <c r="EM103" i="20"/>
  <c r="EL103" i="20"/>
  <c r="EK103" i="20"/>
  <c r="EO106" i="20" s="1"/>
  <c r="EJ103" i="20"/>
  <c r="EI103" i="20"/>
  <c r="DE102" i="20"/>
  <c r="ER102" i="20"/>
  <c r="EN102" i="20"/>
  <c r="EL102" i="20"/>
  <c r="EK102" i="20"/>
  <c r="EO105" i="20" s="1"/>
  <c r="EJ102" i="20"/>
  <c r="EI102" i="20"/>
  <c r="EQ103" i="20"/>
  <c r="EQ104" i="20"/>
  <c r="EQ105" i="20"/>
  <c r="EQ106" i="20"/>
  <c r="EQ107" i="20"/>
  <c r="EQ108" i="20"/>
  <c r="EQ109" i="20"/>
  <c r="EQ110" i="20"/>
  <c r="EQ111" i="20"/>
  <c r="EQ112" i="20"/>
  <c r="EQ113" i="20"/>
  <c r="EQ114" i="20"/>
  <c r="EQ115" i="20"/>
  <c r="EQ116" i="20"/>
  <c r="EQ117" i="20"/>
  <c r="EQ118" i="20"/>
  <c r="EQ119" i="20"/>
  <c r="EQ120" i="20"/>
  <c r="EQ121" i="20"/>
  <c r="EQ122" i="20"/>
  <c r="EQ123" i="20"/>
  <c r="EQ124" i="20"/>
  <c r="EQ125" i="20"/>
  <c r="EQ126" i="20"/>
  <c r="EQ127" i="20"/>
  <c r="EQ128" i="20"/>
  <c r="EQ129" i="20"/>
  <c r="EQ130" i="20"/>
  <c r="EQ131" i="20"/>
  <c r="EQ132" i="20"/>
  <c r="EQ133" i="20"/>
  <c r="EQ134" i="20"/>
  <c r="EQ135" i="20"/>
  <c r="EQ136" i="20"/>
  <c r="EP103" i="20"/>
  <c r="EP104" i="20"/>
  <c r="EP105" i="20"/>
  <c r="EP106" i="20"/>
  <c r="EP107" i="20"/>
  <c r="EP108" i="20"/>
  <c r="EP109" i="20"/>
  <c r="EP110" i="20"/>
  <c r="EP111" i="20"/>
  <c r="EP112" i="20"/>
  <c r="EP113" i="20"/>
  <c r="EP114" i="20"/>
  <c r="EP115" i="20"/>
  <c r="EP116" i="20"/>
  <c r="EP117" i="20"/>
  <c r="EP118" i="20"/>
  <c r="EP119" i="20"/>
  <c r="EP120" i="20"/>
  <c r="EP121" i="20"/>
  <c r="EP122" i="20"/>
  <c r="EP123" i="20"/>
  <c r="EP124" i="20"/>
  <c r="EP125" i="20"/>
  <c r="EP126" i="20"/>
  <c r="EP127" i="20"/>
  <c r="EP128" i="20"/>
  <c r="EP129" i="20"/>
  <c r="EP130" i="20"/>
  <c r="EP131" i="20"/>
  <c r="EP132" i="20"/>
  <c r="EP133" i="20"/>
  <c r="EP134" i="20"/>
  <c r="EP135" i="20"/>
  <c r="EP136" i="20"/>
  <c r="EH103" i="20"/>
  <c r="EH104" i="20"/>
  <c r="EH105" i="20"/>
  <c r="EH106" i="20"/>
  <c r="EH107" i="20"/>
  <c r="EH108" i="20"/>
  <c r="EH110" i="20"/>
  <c r="EH111" i="20"/>
  <c r="EH112" i="20"/>
  <c r="EH113" i="20"/>
  <c r="EH114" i="20"/>
  <c r="EH115" i="20"/>
  <c r="EH116" i="20"/>
  <c r="EH117" i="20"/>
  <c r="EH118" i="20"/>
  <c r="EH119" i="20"/>
  <c r="EH120" i="20"/>
  <c r="EH121" i="20"/>
  <c r="EH122" i="20"/>
  <c r="EH123" i="20"/>
  <c r="EH124" i="20"/>
  <c r="EH125" i="20"/>
  <c r="EH126" i="20"/>
  <c r="EH127" i="20"/>
  <c r="EH128" i="20"/>
  <c r="EH129" i="20"/>
  <c r="EH130" i="20"/>
  <c r="EH131" i="20"/>
  <c r="EH132" i="20"/>
  <c r="EH133" i="20"/>
  <c r="EH134" i="20"/>
  <c r="EH135" i="20"/>
  <c r="EH136" i="20"/>
  <c r="DL110" i="20"/>
  <c r="DL111" i="20"/>
  <c r="DL112" i="20"/>
  <c r="DL113" i="20"/>
  <c r="DL114" i="20"/>
  <c r="DL115" i="20"/>
  <c r="DL116" i="20"/>
  <c r="DL117" i="20"/>
  <c r="DL118" i="20"/>
  <c r="DL119" i="20"/>
  <c r="DL120" i="20"/>
  <c r="DL121" i="20"/>
  <c r="DL122" i="20"/>
  <c r="DL123" i="20"/>
  <c r="DL124" i="20"/>
  <c r="DL125" i="20"/>
  <c r="DL126" i="20"/>
  <c r="DL127" i="20"/>
  <c r="DL128" i="20"/>
  <c r="DL129" i="20"/>
  <c r="DL130" i="20"/>
  <c r="DL131" i="20"/>
  <c r="DL132" i="20"/>
  <c r="DL133" i="20"/>
  <c r="DL134" i="20"/>
  <c r="DL135" i="20"/>
  <c r="DL136" i="20"/>
  <c r="DL101" i="20"/>
  <c r="DL102" i="20"/>
  <c r="DL103" i="20"/>
  <c r="DL104" i="20"/>
  <c r="DL105" i="20"/>
  <c r="DL106" i="20"/>
  <c r="DL107" i="20"/>
  <c r="DL108" i="20"/>
  <c r="DL109" i="20"/>
  <c r="CX103" i="20"/>
  <c r="CY103" i="20"/>
  <c r="CZ103" i="20"/>
  <c r="DA103" i="20"/>
  <c r="DB103" i="20"/>
  <c r="DC103" i="20"/>
  <c r="DD103" i="20"/>
  <c r="DE103" i="20"/>
  <c r="DF103" i="20"/>
  <c r="DG103" i="20"/>
  <c r="DH103" i="20"/>
  <c r="DI103" i="20"/>
  <c r="DJ103" i="20"/>
  <c r="DK103" i="20"/>
  <c r="DM103" i="20"/>
  <c r="DN103" i="20"/>
  <c r="DO103" i="20"/>
  <c r="CX104" i="20"/>
  <c r="CY104" i="20"/>
  <c r="CZ104" i="20"/>
  <c r="DA104" i="20"/>
  <c r="DB104" i="20"/>
  <c r="DC104" i="20"/>
  <c r="DD104" i="20"/>
  <c r="DE104" i="20"/>
  <c r="DF104" i="20"/>
  <c r="DG104" i="20"/>
  <c r="DH104" i="20"/>
  <c r="DI104" i="20"/>
  <c r="DJ104" i="20"/>
  <c r="DK104" i="20"/>
  <c r="DM104" i="20"/>
  <c r="DN104" i="20"/>
  <c r="DO104" i="20"/>
  <c r="CX105" i="20"/>
  <c r="CY105" i="20"/>
  <c r="CZ105" i="20"/>
  <c r="DA105" i="20"/>
  <c r="DB105" i="20"/>
  <c r="DC105" i="20"/>
  <c r="DD105" i="20"/>
  <c r="DE105" i="20"/>
  <c r="DF105" i="20"/>
  <c r="DG105" i="20"/>
  <c r="DH105" i="20"/>
  <c r="DI105" i="20"/>
  <c r="DJ105" i="20"/>
  <c r="DK105" i="20"/>
  <c r="DM105" i="20"/>
  <c r="DN105" i="20"/>
  <c r="DO105" i="20"/>
  <c r="CX106" i="20"/>
  <c r="CY106" i="20"/>
  <c r="CZ106" i="20"/>
  <c r="DA106" i="20"/>
  <c r="DB106" i="20"/>
  <c r="DC106" i="20"/>
  <c r="DD106" i="20"/>
  <c r="DE106" i="20"/>
  <c r="DF106" i="20"/>
  <c r="DG106" i="20"/>
  <c r="DH106" i="20"/>
  <c r="DI106" i="20"/>
  <c r="DJ106" i="20"/>
  <c r="DK106" i="20"/>
  <c r="DM106" i="20"/>
  <c r="DN106" i="20"/>
  <c r="DO106" i="20"/>
  <c r="CX107" i="20"/>
  <c r="CY107" i="20"/>
  <c r="CZ107" i="20"/>
  <c r="DA107" i="20"/>
  <c r="DB107" i="20"/>
  <c r="DC107" i="20"/>
  <c r="DD107" i="20"/>
  <c r="DE107" i="20"/>
  <c r="DF107" i="20"/>
  <c r="DG107" i="20"/>
  <c r="DH107" i="20"/>
  <c r="DI107" i="20"/>
  <c r="DJ107" i="20"/>
  <c r="DK107" i="20"/>
  <c r="DM107" i="20"/>
  <c r="DN107" i="20"/>
  <c r="DO107" i="20"/>
  <c r="CX108" i="20"/>
  <c r="CY108" i="20"/>
  <c r="CZ108" i="20"/>
  <c r="DA108" i="20"/>
  <c r="DB108" i="20"/>
  <c r="DC108" i="20"/>
  <c r="DD108" i="20"/>
  <c r="DE108" i="20"/>
  <c r="DF108" i="20"/>
  <c r="DG108" i="20"/>
  <c r="DH108" i="20"/>
  <c r="DI108" i="20"/>
  <c r="DJ108" i="20"/>
  <c r="DK108" i="20"/>
  <c r="DM108" i="20"/>
  <c r="DN108" i="20"/>
  <c r="DO108" i="20"/>
  <c r="CX109" i="20"/>
  <c r="CY109" i="20"/>
  <c r="CZ109" i="20"/>
  <c r="DA109" i="20"/>
  <c r="DB109" i="20"/>
  <c r="DC109" i="20"/>
  <c r="DD109" i="20"/>
  <c r="DE109" i="20"/>
  <c r="DF109" i="20"/>
  <c r="DG109" i="20"/>
  <c r="DH109" i="20"/>
  <c r="DI109" i="20"/>
  <c r="DJ109" i="20"/>
  <c r="DK109" i="20"/>
  <c r="DM109" i="20"/>
  <c r="DN109" i="20"/>
  <c r="DO109" i="20"/>
  <c r="CX110" i="20"/>
  <c r="CY110" i="20"/>
  <c r="CZ110" i="20"/>
  <c r="DA110" i="20"/>
  <c r="DB110" i="20"/>
  <c r="DC110" i="20"/>
  <c r="DD110" i="20"/>
  <c r="DE110" i="20"/>
  <c r="DF110" i="20"/>
  <c r="DG110" i="20"/>
  <c r="DH110" i="20"/>
  <c r="DI110" i="20"/>
  <c r="DJ110" i="20"/>
  <c r="DK110" i="20"/>
  <c r="DM110" i="20"/>
  <c r="DN110" i="20"/>
  <c r="DO110" i="20"/>
  <c r="CX111" i="20"/>
  <c r="CY111" i="20"/>
  <c r="CZ111" i="20"/>
  <c r="DA111" i="20"/>
  <c r="DB111" i="20"/>
  <c r="DC111" i="20"/>
  <c r="DD111" i="20"/>
  <c r="DE111" i="20"/>
  <c r="DF111" i="20"/>
  <c r="DG111" i="20"/>
  <c r="DH111" i="20"/>
  <c r="DI111" i="20"/>
  <c r="DJ111" i="20"/>
  <c r="DK111" i="20"/>
  <c r="DM111" i="20"/>
  <c r="DN111" i="20"/>
  <c r="DO111" i="20"/>
  <c r="CX112" i="20"/>
  <c r="CY112" i="20"/>
  <c r="CZ112" i="20"/>
  <c r="DA112" i="20"/>
  <c r="DB112" i="20"/>
  <c r="DC112" i="20"/>
  <c r="DD112" i="20"/>
  <c r="DE112" i="20"/>
  <c r="DF112" i="20"/>
  <c r="DG112" i="20"/>
  <c r="DH112" i="20"/>
  <c r="DI112" i="20"/>
  <c r="DJ112" i="20"/>
  <c r="DK112" i="20"/>
  <c r="DM112" i="20"/>
  <c r="DN112" i="20"/>
  <c r="DO112" i="20"/>
  <c r="CX113" i="20"/>
  <c r="CY113" i="20"/>
  <c r="CZ113" i="20"/>
  <c r="DA113" i="20"/>
  <c r="DB113" i="20"/>
  <c r="DC113" i="20"/>
  <c r="DD113" i="20"/>
  <c r="DE113" i="20"/>
  <c r="DF113" i="20"/>
  <c r="DG113" i="20"/>
  <c r="DH113" i="20"/>
  <c r="DI113" i="20"/>
  <c r="DJ113" i="20"/>
  <c r="DK113" i="20"/>
  <c r="DM113" i="20"/>
  <c r="DN113" i="20"/>
  <c r="DO113" i="20"/>
  <c r="CX114" i="20"/>
  <c r="CY114" i="20"/>
  <c r="CZ114" i="20"/>
  <c r="DA114" i="20"/>
  <c r="DB114" i="20"/>
  <c r="DC114" i="20"/>
  <c r="DD114" i="20"/>
  <c r="DE114" i="20"/>
  <c r="DF114" i="20"/>
  <c r="DG114" i="20"/>
  <c r="DH114" i="20"/>
  <c r="DI114" i="20"/>
  <c r="DJ114" i="20"/>
  <c r="DK114" i="20"/>
  <c r="DM114" i="20"/>
  <c r="DN114" i="20"/>
  <c r="DO114" i="20"/>
  <c r="CX115" i="20"/>
  <c r="CY115" i="20"/>
  <c r="CZ115" i="20"/>
  <c r="DA115" i="20"/>
  <c r="DB115" i="20"/>
  <c r="DC115" i="20"/>
  <c r="DD115" i="20"/>
  <c r="DE115" i="20"/>
  <c r="DF115" i="20"/>
  <c r="DG115" i="20"/>
  <c r="DH115" i="20"/>
  <c r="DI115" i="20"/>
  <c r="DJ115" i="20"/>
  <c r="DK115" i="20"/>
  <c r="DM115" i="20"/>
  <c r="DN115" i="20"/>
  <c r="DO115" i="20"/>
  <c r="CX116" i="20"/>
  <c r="CY116" i="20"/>
  <c r="CZ116" i="20"/>
  <c r="DA116" i="20"/>
  <c r="DB116" i="20"/>
  <c r="DC116" i="20"/>
  <c r="DD116" i="20"/>
  <c r="DE116" i="20"/>
  <c r="DF116" i="20"/>
  <c r="DG116" i="20"/>
  <c r="DH116" i="20"/>
  <c r="DI116" i="20"/>
  <c r="DJ116" i="20"/>
  <c r="DK116" i="20"/>
  <c r="DM116" i="20"/>
  <c r="DN116" i="20"/>
  <c r="DO116" i="20"/>
  <c r="CX117" i="20"/>
  <c r="CY117" i="20"/>
  <c r="CZ117" i="20"/>
  <c r="DA117" i="20"/>
  <c r="DB117" i="20"/>
  <c r="DC117" i="20"/>
  <c r="DD117" i="20"/>
  <c r="DE117" i="20"/>
  <c r="DF117" i="20"/>
  <c r="DG117" i="20"/>
  <c r="DH117" i="20"/>
  <c r="DI117" i="20"/>
  <c r="DJ117" i="20"/>
  <c r="DK117" i="20"/>
  <c r="DM117" i="20"/>
  <c r="DN117" i="20"/>
  <c r="DO117" i="20"/>
  <c r="CX118" i="20"/>
  <c r="CY118" i="20"/>
  <c r="CZ118" i="20"/>
  <c r="DA118" i="20"/>
  <c r="DB118" i="20"/>
  <c r="DC118" i="20"/>
  <c r="DD118" i="20"/>
  <c r="DE118" i="20"/>
  <c r="DF118" i="20"/>
  <c r="DG118" i="20"/>
  <c r="DH118" i="20"/>
  <c r="DI118" i="20"/>
  <c r="DJ118" i="20"/>
  <c r="DK118" i="20"/>
  <c r="DM118" i="20"/>
  <c r="DN118" i="20"/>
  <c r="DO118" i="20"/>
  <c r="CX119" i="20"/>
  <c r="CY119" i="20"/>
  <c r="CZ119" i="20"/>
  <c r="DA119" i="20"/>
  <c r="DB119" i="20"/>
  <c r="DC119" i="20"/>
  <c r="DD119" i="20"/>
  <c r="DE119" i="20"/>
  <c r="DF119" i="20"/>
  <c r="DG119" i="20"/>
  <c r="DH119" i="20"/>
  <c r="DI119" i="20"/>
  <c r="DJ119" i="20"/>
  <c r="DK119" i="20"/>
  <c r="DM119" i="20"/>
  <c r="DN119" i="20"/>
  <c r="DO119" i="20"/>
  <c r="CX120" i="20"/>
  <c r="CY120" i="20"/>
  <c r="CZ120" i="20"/>
  <c r="DA120" i="20"/>
  <c r="DB120" i="20"/>
  <c r="DC120" i="20"/>
  <c r="DD120" i="20"/>
  <c r="DE120" i="20"/>
  <c r="DF120" i="20"/>
  <c r="DG120" i="20"/>
  <c r="DH120" i="20"/>
  <c r="DI120" i="20"/>
  <c r="DJ120" i="20"/>
  <c r="DK120" i="20"/>
  <c r="DM120" i="20"/>
  <c r="DN120" i="20"/>
  <c r="DO120" i="20"/>
  <c r="CX121" i="20"/>
  <c r="CY121" i="20"/>
  <c r="CZ121" i="20"/>
  <c r="DA121" i="20"/>
  <c r="DB121" i="20"/>
  <c r="DC121" i="20"/>
  <c r="DD121" i="20"/>
  <c r="DE121" i="20"/>
  <c r="DF121" i="20"/>
  <c r="DG121" i="20"/>
  <c r="DH121" i="20"/>
  <c r="DI121" i="20"/>
  <c r="DJ121" i="20"/>
  <c r="DK121" i="20"/>
  <c r="DM121" i="20"/>
  <c r="DN121" i="20"/>
  <c r="DO121" i="20"/>
  <c r="CX122" i="20"/>
  <c r="CY122" i="20"/>
  <c r="CZ122" i="20"/>
  <c r="DA122" i="20"/>
  <c r="DB122" i="20"/>
  <c r="DC122" i="20"/>
  <c r="DD122" i="20"/>
  <c r="DE122" i="20"/>
  <c r="DF122" i="20"/>
  <c r="DG122" i="20"/>
  <c r="DH122" i="20"/>
  <c r="DI122" i="20"/>
  <c r="DJ122" i="20"/>
  <c r="DK122" i="20"/>
  <c r="DM122" i="20"/>
  <c r="DN122" i="20"/>
  <c r="DO122" i="20"/>
  <c r="CX123" i="20"/>
  <c r="CY123" i="20"/>
  <c r="CZ123" i="20"/>
  <c r="DA123" i="20"/>
  <c r="DB123" i="20"/>
  <c r="DC123" i="20"/>
  <c r="DD123" i="20"/>
  <c r="DE123" i="20"/>
  <c r="DF123" i="20"/>
  <c r="DG123" i="20"/>
  <c r="DH123" i="20"/>
  <c r="DI123" i="20"/>
  <c r="DJ123" i="20"/>
  <c r="DK123" i="20"/>
  <c r="DM123" i="20"/>
  <c r="DN123" i="20"/>
  <c r="DO123" i="20"/>
  <c r="CX124" i="20"/>
  <c r="CY124" i="20"/>
  <c r="CZ124" i="20"/>
  <c r="DA124" i="20"/>
  <c r="DB124" i="20"/>
  <c r="DC124" i="20"/>
  <c r="DD124" i="20"/>
  <c r="DE124" i="20"/>
  <c r="DF124" i="20"/>
  <c r="DG124" i="20"/>
  <c r="DH124" i="20"/>
  <c r="DI124" i="20"/>
  <c r="DJ124" i="20"/>
  <c r="DK124" i="20"/>
  <c r="DM124" i="20"/>
  <c r="DN124" i="20"/>
  <c r="DO124" i="20"/>
  <c r="CX125" i="20"/>
  <c r="CY125" i="20"/>
  <c r="CZ125" i="20"/>
  <c r="DA125" i="20"/>
  <c r="DB125" i="20"/>
  <c r="DC125" i="20"/>
  <c r="DD125" i="20"/>
  <c r="DE125" i="20"/>
  <c r="DF125" i="20"/>
  <c r="DG125" i="20"/>
  <c r="DH125" i="20"/>
  <c r="DI125" i="20"/>
  <c r="DJ125" i="20"/>
  <c r="DK125" i="20"/>
  <c r="DM125" i="20"/>
  <c r="DN125" i="20"/>
  <c r="DO125" i="20"/>
  <c r="CX126" i="20"/>
  <c r="CY126" i="20"/>
  <c r="CZ126" i="20"/>
  <c r="DA126" i="20"/>
  <c r="DB126" i="20"/>
  <c r="DC126" i="20"/>
  <c r="DD126" i="20"/>
  <c r="DE126" i="20"/>
  <c r="DF126" i="20"/>
  <c r="DG126" i="20"/>
  <c r="DH126" i="20"/>
  <c r="DI126" i="20"/>
  <c r="DJ126" i="20"/>
  <c r="DK126" i="20"/>
  <c r="DM126" i="20"/>
  <c r="DN126" i="20"/>
  <c r="DO126" i="20"/>
  <c r="CX127" i="20"/>
  <c r="CY127" i="20"/>
  <c r="CZ127" i="20"/>
  <c r="DA127" i="20"/>
  <c r="DB127" i="20"/>
  <c r="DC127" i="20"/>
  <c r="DD127" i="20"/>
  <c r="DE127" i="20"/>
  <c r="DF127" i="20"/>
  <c r="DG127" i="20"/>
  <c r="DH127" i="20"/>
  <c r="DI127" i="20"/>
  <c r="DJ127" i="20"/>
  <c r="DK127" i="20"/>
  <c r="DM127" i="20"/>
  <c r="DN127" i="20"/>
  <c r="DO127" i="20"/>
  <c r="CX128" i="20"/>
  <c r="CY128" i="20"/>
  <c r="CZ128" i="20"/>
  <c r="DA128" i="20"/>
  <c r="DB128" i="20"/>
  <c r="DC128" i="20"/>
  <c r="DD128" i="20"/>
  <c r="DE128" i="20"/>
  <c r="DF128" i="20"/>
  <c r="DG128" i="20"/>
  <c r="DH128" i="20"/>
  <c r="DI128" i="20"/>
  <c r="DJ128" i="20"/>
  <c r="DK128" i="20"/>
  <c r="DM128" i="20"/>
  <c r="DN128" i="20"/>
  <c r="DO128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M129" i="20"/>
  <c r="DN129" i="20"/>
  <c r="DO129" i="20"/>
  <c r="CX130" i="20"/>
  <c r="CY130" i="20"/>
  <c r="CZ130" i="20"/>
  <c r="DA130" i="20"/>
  <c r="DB130" i="20"/>
  <c r="DC130" i="20"/>
  <c r="DD130" i="20"/>
  <c r="DE130" i="20"/>
  <c r="DF130" i="20"/>
  <c r="DG130" i="20"/>
  <c r="DH130" i="20"/>
  <c r="DI130" i="20"/>
  <c r="DJ130" i="20"/>
  <c r="DK130" i="20"/>
  <c r="DM130" i="20"/>
  <c r="DN130" i="20"/>
  <c r="DO130" i="20"/>
  <c r="CX131" i="20"/>
  <c r="CY131" i="20"/>
  <c r="CZ131" i="20"/>
  <c r="DA131" i="20"/>
  <c r="DB131" i="20"/>
  <c r="DC131" i="20"/>
  <c r="DD131" i="20"/>
  <c r="DE131" i="20"/>
  <c r="DF131" i="20"/>
  <c r="DG131" i="20"/>
  <c r="DH131" i="20"/>
  <c r="DI131" i="20"/>
  <c r="DJ131" i="20"/>
  <c r="DK131" i="20"/>
  <c r="DM131" i="20"/>
  <c r="DN131" i="20"/>
  <c r="DO131" i="20"/>
  <c r="CX132" i="20"/>
  <c r="CY132" i="20"/>
  <c r="CZ132" i="20"/>
  <c r="DA132" i="20"/>
  <c r="DB132" i="20"/>
  <c r="DC132" i="20"/>
  <c r="DD132" i="20"/>
  <c r="DE132" i="20"/>
  <c r="DF132" i="20"/>
  <c r="DG132" i="20"/>
  <c r="DH132" i="20"/>
  <c r="DI132" i="20"/>
  <c r="DJ132" i="20"/>
  <c r="DK132" i="20"/>
  <c r="DM132" i="20"/>
  <c r="DN132" i="20"/>
  <c r="DO132" i="20"/>
  <c r="CX133" i="20"/>
  <c r="CY133" i="20"/>
  <c r="CZ133" i="20"/>
  <c r="DA133" i="20"/>
  <c r="DB133" i="20"/>
  <c r="DC133" i="20"/>
  <c r="DD133" i="20"/>
  <c r="DE133" i="20"/>
  <c r="DF133" i="20"/>
  <c r="DG133" i="20"/>
  <c r="DH133" i="20"/>
  <c r="DI133" i="20"/>
  <c r="DJ133" i="20"/>
  <c r="DK133" i="20"/>
  <c r="DM133" i="20"/>
  <c r="DN133" i="20"/>
  <c r="DO133" i="20"/>
  <c r="CX134" i="20"/>
  <c r="CY134" i="20"/>
  <c r="CZ134" i="20"/>
  <c r="DA134" i="20"/>
  <c r="DB134" i="20"/>
  <c r="DC134" i="20"/>
  <c r="DD134" i="20"/>
  <c r="DE134" i="20"/>
  <c r="DF134" i="20"/>
  <c r="DG134" i="20"/>
  <c r="DH134" i="20"/>
  <c r="DI134" i="20"/>
  <c r="DJ134" i="20"/>
  <c r="DK134" i="20"/>
  <c r="DM134" i="20"/>
  <c r="DN134" i="20"/>
  <c r="DO134" i="20"/>
  <c r="CX135" i="20"/>
  <c r="CY135" i="20"/>
  <c r="CZ135" i="20"/>
  <c r="DA135" i="20"/>
  <c r="DB135" i="20"/>
  <c r="DC135" i="20"/>
  <c r="DD135" i="20"/>
  <c r="DE135" i="20"/>
  <c r="DF135" i="20"/>
  <c r="DG135" i="20"/>
  <c r="DH135" i="20"/>
  <c r="DI135" i="20"/>
  <c r="DJ135" i="20"/>
  <c r="DK135" i="20"/>
  <c r="DM135" i="20"/>
  <c r="DN135" i="20"/>
  <c r="DO135" i="20"/>
  <c r="CX136" i="20"/>
  <c r="CY136" i="20"/>
  <c r="CZ136" i="20"/>
  <c r="DA136" i="20"/>
  <c r="DB136" i="20"/>
  <c r="DC136" i="20"/>
  <c r="DD136" i="20"/>
  <c r="DE136" i="20"/>
  <c r="DF136" i="20"/>
  <c r="DG136" i="20"/>
  <c r="DH136" i="20"/>
  <c r="DI136" i="20"/>
  <c r="DJ136" i="20"/>
  <c r="DK136" i="20"/>
  <c r="DM136" i="20"/>
  <c r="DN136" i="20"/>
  <c r="DO136" i="20"/>
  <c r="ES136" i="20"/>
  <c r="ET136" i="20"/>
  <c r="EU136" i="20"/>
  <c r="EV136" i="20"/>
  <c r="EW136" i="20"/>
  <c r="EX136" i="20"/>
  <c r="EY136" i="20"/>
  <c r="FC136" i="20"/>
  <c r="FG136" i="20"/>
  <c r="ES121" i="20"/>
  <c r="ES122" i="20"/>
  <c r="ES123" i="20"/>
  <c r="ES124" i="20"/>
  <c r="ES125" i="20"/>
  <c r="ES126" i="20"/>
  <c r="ES127" i="20"/>
  <c r="ES128" i="20"/>
  <c r="ES129" i="20"/>
  <c r="ES130" i="20"/>
  <c r="ES131" i="20"/>
  <c r="ES132" i="20"/>
  <c r="ES133" i="20"/>
  <c r="ES134" i="20"/>
  <c r="ES135" i="20"/>
  <c r="ET121" i="20"/>
  <c r="ET122" i="20"/>
  <c r="ET123" i="20"/>
  <c r="EY123" i="20" s="1"/>
  <c r="ET124" i="20"/>
  <c r="ET125" i="20"/>
  <c r="ET126" i="20"/>
  <c r="ET127" i="20"/>
  <c r="ET128" i="20"/>
  <c r="EY128" i="20" s="1"/>
  <c r="ET129" i="20"/>
  <c r="ET130" i="20"/>
  <c r="EZ130" i="20" s="1"/>
  <c r="ET131" i="20"/>
  <c r="ET132" i="20"/>
  <c r="ET133" i="20"/>
  <c r="ET134" i="20"/>
  <c r="ET135" i="20"/>
  <c r="EY135" i="20" s="1"/>
  <c r="EU121" i="20"/>
  <c r="EU122" i="20"/>
  <c r="EU123" i="20"/>
  <c r="EU124" i="20"/>
  <c r="EU125" i="20"/>
  <c r="EU126" i="20"/>
  <c r="EU127" i="20"/>
  <c r="EU128" i="20"/>
  <c r="EU129" i="20"/>
  <c r="EU130" i="20"/>
  <c r="EU131" i="20"/>
  <c r="EU132" i="20"/>
  <c r="EU133" i="20"/>
  <c r="EU134" i="20"/>
  <c r="EU135" i="20"/>
  <c r="EV121" i="20"/>
  <c r="EV122" i="20"/>
  <c r="EV123" i="20"/>
  <c r="EV124" i="20"/>
  <c r="EV125" i="20"/>
  <c r="EV126" i="20"/>
  <c r="EV127" i="20"/>
  <c r="EV128" i="20"/>
  <c r="EV129" i="20"/>
  <c r="EV130" i="20"/>
  <c r="EV131" i="20"/>
  <c r="EV132" i="20"/>
  <c r="EV133" i="20"/>
  <c r="EV134" i="20"/>
  <c r="EV135" i="20"/>
  <c r="EW121" i="20"/>
  <c r="FA121" i="20" s="1"/>
  <c r="EW122" i="20"/>
  <c r="FA122" i="20" s="1"/>
  <c r="EW123" i="20"/>
  <c r="FA123" i="20" s="1"/>
  <c r="EW124" i="20"/>
  <c r="FA124" i="20" s="1"/>
  <c r="EW125" i="20"/>
  <c r="EW126" i="20"/>
  <c r="EW127" i="20"/>
  <c r="FA127" i="20" s="1"/>
  <c r="EW128" i="20"/>
  <c r="EW129" i="20"/>
  <c r="FA129" i="20" s="1"/>
  <c r="EW130" i="20"/>
  <c r="EW131" i="20"/>
  <c r="EW132" i="20"/>
  <c r="EW133" i="20"/>
  <c r="EW134" i="20"/>
  <c r="EW135" i="20"/>
  <c r="EX127" i="20"/>
  <c r="EX128" i="20"/>
  <c r="EX129" i="20"/>
  <c r="EX130" i="20"/>
  <c r="FA130" i="20" s="1"/>
  <c r="EX131" i="20"/>
  <c r="EX132" i="20"/>
  <c r="FA132" i="20" s="1"/>
  <c r="EX133" i="20"/>
  <c r="EX134" i="20"/>
  <c r="EX135" i="20"/>
  <c r="FA135" i="20" s="1"/>
  <c r="EZ132" i="20"/>
  <c r="FA125" i="20"/>
  <c r="FC121" i="20"/>
  <c r="FC122" i="20"/>
  <c r="FC123" i="20"/>
  <c r="FC124" i="20"/>
  <c r="FC125" i="20"/>
  <c r="FC126" i="20"/>
  <c r="FC127" i="20"/>
  <c r="FC128" i="20"/>
  <c r="FC129" i="20"/>
  <c r="FC130" i="20"/>
  <c r="FC131" i="20"/>
  <c r="FC132" i="20"/>
  <c r="FC133" i="20"/>
  <c r="FC134" i="20"/>
  <c r="FC135" i="20"/>
  <c r="FG121" i="20"/>
  <c r="FG122" i="20"/>
  <c r="FG123" i="20"/>
  <c r="FG124" i="20"/>
  <c r="FG125" i="20"/>
  <c r="FG126" i="20"/>
  <c r="FG127" i="20"/>
  <c r="FG128" i="20"/>
  <c r="FG129" i="20"/>
  <c r="FG130" i="20"/>
  <c r="FG131" i="20"/>
  <c r="FG132" i="20"/>
  <c r="FG133" i="20"/>
  <c r="FG134" i="20"/>
  <c r="FG135" i="20"/>
  <c r="ES115" i="20"/>
  <c r="EZ115" i="20" s="1"/>
  <c r="ES116" i="20"/>
  <c r="ES117" i="20"/>
  <c r="ES118" i="20"/>
  <c r="ES119" i="20"/>
  <c r="ES120" i="20"/>
  <c r="EY111" i="20"/>
  <c r="ET116" i="20"/>
  <c r="ET117" i="20"/>
  <c r="ET118" i="20"/>
  <c r="ET119" i="20"/>
  <c r="ET120" i="20"/>
  <c r="EU117" i="20"/>
  <c r="EU118" i="20"/>
  <c r="EU119" i="20"/>
  <c r="EU120" i="20"/>
  <c r="EV116" i="20"/>
  <c r="EV117" i="20"/>
  <c r="EV118" i="20"/>
  <c r="EV119" i="20"/>
  <c r="EV120" i="20"/>
  <c r="FA109" i="20"/>
  <c r="FA110" i="20"/>
  <c r="FA111" i="20"/>
  <c r="FA113" i="20"/>
  <c r="FA114" i="20"/>
  <c r="EW117" i="20"/>
  <c r="EW118" i="20"/>
  <c r="EW119" i="20"/>
  <c r="EW120" i="20"/>
  <c r="FA120" i="20" s="1"/>
  <c r="FC105" i="20"/>
  <c r="FC106" i="20"/>
  <c r="FC107" i="20"/>
  <c r="FC108" i="20"/>
  <c r="FC109" i="20"/>
  <c r="FC110" i="20"/>
  <c r="FC111" i="20"/>
  <c r="FC112" i="20"/>
  <c r="FC113" i="20"/>
  <c r="FC114" i="20"/>
  <c r="FC115" i="20"/>
  <c r="FC116" i="20"/>
  <c r="FC117" i="20"/>
  <c r="FC118" i="20"/>
  <c r="FC119" i="20"/>
  <c r="FC120" i="20"/>
  <c r="FG105" i="20"/>
  <c r="FG106" i="20"/>
  <c r="FG107" i="20"/>
  <c r="FG108" i="20"/>
  <c r="FG109" i="20"/>
  <c r="FG110" i="20"/>
  <c r="FG111" i="20"/>
  <c r="FG112" i="20"/>
  <c r="FG113" i="20"/>
  <c r="FG114" i="20"/>
  <c r="FG115" i="20"/>
  <c r="FG116" i="20"/>
  <c r="FG117" i="20"/>
  <c r="FG118" i="20"/>
  <c r="FG119" i="20"/>
  <c r="FG120" i="20"/>
  <c r="C58" i="27"/>
  <c r="D58" i="27"/>
  <c r="G58" i="27"/>
  <c r="H58" i="27" s="1"/>
  <c r="I58" i="27"/>
  <c r="J58" i="27"/>
  <c r="R58" i="27"/>
  <c r="T58" i="27" s="1"/>
  <c r="U58" i="27" s="1"/>
  <c r="AL58" i="27" s="1"/>
  <c r="S58" i="27"/>
  <c r="AD58" i="27"/>
  <c r="AE58" i="27"/>
  <c r="AF58" i="27"/>
  <c r="AG58" i="27"/>
  <c r="C56" i="27"/>
  <c r="D56" i="27"/>
  <c r="G56" i="27"/>
  <c r="H56" i="27" s="1"/>
  <c r="I56" i="27"/>
  <c r="J56" i="27"/>
  <c r="R56" i="27"/>
  <c r="T56" i="27" s="1"/>
  <c r="S56" i="27"/>
  <c r="AD56" i="27"/>
  <c r="AE56" i="27"/>
  <c r="AF56" i="27"/>
  <c r="AG56" i="27"/>
  <c r="C54" i="27"/>
  <c r="D54" i="27"/>
  <c r="G54" i="27"/>
  <c r="H54" i="27" s="1"/>
  <c r="I54" i="27"/>
  <c r="J54" i="27"/>
  <c r="R54" i="27"/>
  <c r="T54" i="27" s="1"/>
  <c r="S54" i="27"/>
  <c r="AD54" i="27"/>
  <c r="AE54" i="27"/>
  <c r="AF54" i="27"/>
  <c r="AG54" i="27"/>
  <c r="C52" i="27"/>
  <c r="D52" i="27"/>
  <c r="G52" i="27"/>
  <c r="H52" i="27" s="1"/>
  <c r="I52" i="27"/>
  <c r="J52" i="27"/>
  <c r="R52" i="27"/>
  <c r="T52" i="27" s="1"/>
  <c r="S52" i="27"/>
  <c r="AD52" i="27"/>
  <c r="AE52" i="27"/>
  <c r="AF52" i="27"/>
  <c r="AG52" i="27"/>
  <c r="D49" i="27"/>
  <c r="C49" i="27"/>
  <c r="D46" i="27"/>
  <c r="C46" i="27"/>
  <c r="G49" i="27"/>
  <c r="H49" i="27" s="1"/>
  <c r="R49" i="27"/>
  <c r="T49" i="27" s="1"/>
  <c r="U49" i="27" s="1"/>
  <c r="AL49" i="27" s="1"/>
  <c r="S49" i="27"/>
  <c r="AD49" i="27"/>
  <c r="AE49" i="27"/>
  <c r="AF49" i="27"/>
  <c r="AG49" i="27"/>
  <c r="G46" i="27"/>
  <c r="H46" i="27" s="1"/>
  <c r="R46" i="27"/>
  <c r="T46" i="27" s="1"/>
  <c r="U46" i="27" s="1"/>
  <c r="AL46" i="27" s="1"/>
  <c r="S46" i="27"/>
  <c r="AD46" i="27"/>
  <c r="AE46" i="27"/>
  <c r="AF46" i="27"/>
  <c r="AG46" i="27"/>
  <c r="C39" i="27"/>
  <c r="D39" i="27"/>
  <c r="G39" i="27"/>
  <c r="H39" i="27" s="1"/>
  <c r="R39" i="27"/>
  <c r="T39" i="27" s="1"/>
  <c r="V39" i="27" s="1"/>
  <c r="S39" i="27"/>
  <c r="AD39" i="27"/>
  <c r="AE39" i="27"/>
  <c r="AF39" i="27"/>
  <c r="AG39" i="27"/>
  <c r="C37" i="27"/>
  <c r="D37" i="27"/>
  <c r="G37" i="27"/>
  <c r="H37" i="27" s="1"/>
  <c r="R37" i="27"/>
  <c r="T37" i="27" s="1"/>
  <c r="S37" i="27"/>
  <c r="AD37" i="27"/>
  <c r="AE37" i="27"/>
  <c r="AF37" i="27"/>
  <c r="AG37" i="27"/>
  <c r="C34" i="27"/>
  <c r="D34" i="27"/>
  <c r="G34" i="27"/>
  <c r="H34" i="27" s="1"/>
  <c r="R34" i="27"/>
  <c r="T34" i="27" s="1"/>
  <c r="S34" i="27"/>
  <c r="AD34" i="27"/>
  <c r="AE34" i="27"/>
  <c r="AF34" i="27"/>
  <c r="AG34" i="27"/>
  <c r="FA131" i="20" l="1"/>
  <c r="EY127" i="20"/>
  <c r="FA128" i="20"/>
  <c r="FA119" i="20"/>
  <c r="EZ120" i="20"/>
  <c r="EY119" i="20"/>
  <c r="EY107" i="20"/>
  <c r="EZ114" i="20"/>
  <c r="EY134" i="20"/>
  <c r="EZ127" i="20"/>
  <c r="EZ136" i="20"/>
  <c r="EY112" i="20"/>
  <c r="FA134" i="20"/>
  <c r="EZ119" i="20"/>
  <c r="EZ107" i="20"/>
  <c r="FA133" i="20"/>
  <c r="EZ129" i="20"/>
  <c r="EY131" i="20"/>
  <c r="FA136" i="20"/>
  <c r="EY115" i="20"/>
  <c r="EZ128" i="20"/>
  <c r="EY114" i="20"/>
  <c r="EY113" i="20"/>
  <c r="EY130" i="20"/>
  <c r="FB130" i="20" s="1"/>
  <c r="EY129" i="20"/>
  <c r="FA126" i="20"/>
  <c r="EY122" i="20"/>
  <c r="FA116" i="20"/>
  <c r="EY117" i="20"/>
  <c r="EY133" i="20"/>
  <c r="EY121" i="20"/>
  <c r="EY124" i="20"/>
  <c r="EY132" i="20"/>
  <c r="EZ131" i="20"/>
  <c r="EY105" i="20"/>
  <c r="K56" i="27"/>
  <c r="K58" i="27"/>
  <c r="DP107" i="20"/>
  <c r="DP112" i="20"/>
  <c r="DP119" i="20"/>
  <c r="FB119" i="20" s="1"/>
  <c r="DP117" i="20"/>
  <c r="FB117" i="20" s="1"/>
  <c r="DP114" i="20"/>
  <c r="DP136" i="20"/>
  <c r="FB136" i="20" s="1"/>
  <c r="DP126" i="20"/>
  <c r="DP131" i="20"/>
  <c r="DP110" i="20"/>
  <c r="DP128" i="20"/>
  <c r="FB128" i="20" s="1"/>
  <c r="DP135" i="20"/>
  <c r="FB135" i="20" s="1"/>
  <c r="DP116" i="20"/>
  <c r="DP123" i="20"/>
  <c r="FB123" i="20" s="1"/>
  <c r="DP130" i="20"/>
  <c r="DP132" i="20"/>
  <c r="DP125" i="20"/>
  <c r="DP118" i="20"/>
  <c r="DP134" i="20"/>
  <c r="FB134" i="20" s="1"/>
  <c r="DP127" i="20"/>
  <c r="FB127" i="20" s="1"/>
  <c r="DP124" i="20"/>
  <c r="FB124" i="20" s="1"/>
  <c r="DP120" i="20"/>
  <c r="DP113" i="20"/>
  <c r="DP111" i="20"/>
  <c r="FB111" i="20" s="1"/>
  <c r="DP129" i="20"/>
  <c r="DP122" i="20"/>
  <c r="DP121" i="20"/>
  <c r="DP115" i="20"/>
  <c r="FB115" i="20" s="1"/>
  <c r="DP133" i="20"/>
  <c r="DP108" i="20"/>
  <c r="DP103" i="20"/>
  <c r="DP105" i="20"/>
  <c r="DP109" i="20"/>
  <c r="DP104" i="20"/>
  <c r="DP106" i="20"/>
  <c r="EZ112" i="20"/>
  <c r="EZ111" i="20"/>
  <c r="FA118" i="20"/>
  <c r="FA106" i="20"/>
  <c r="EZ118" i="20"/>
  <c r="EY106" i="20"/>
  <c r="FA117" i="20"/>
  <c r="FA112" i="20"/>
  <c r="EY116" i="20"/>
  <c r="EZ108" i="20"/>
  <c r="EZ113" i="20"/>
  <c r="EY126" i="20"/>
  <c r="EY125" i="20"/>
  <c r="EY110" i="20"/>
  <c r="FA105" i="20"/>
  <c r="EZ109" i="20"/>
  <c r="FB132" i="20"/>
  <c r="EY109" i="20"/>
  <c r="EZ110" i="20"/>
  <c r="EY108" i="20"/>
  <c r="EZ126" i="20"/>
  <c r="EZ125" i="20"/>
  <c r="EZ106" i="20"/>
  <c r="EZ124" i="20"/>
  <c r="EZ135" i="20"/>
  <c r="EZ123" i="20"/>
  <c r="EY118" i="20"/>
  <c r="EZ134" i="20"/>
  <c r="EZ122" i="20"/>
  <c r="EZ133" i="20"/>
  <c r="EZ121" i="20"/>
  <c r="EZ117" i="20"/>
  <c r="EY120" i="20"/>
  <c r="EZ105" i="20"/>
  <c r="EZ116" i="20"/>
  <c r="V58" i="27"/>
  <c r="AJ58" i="27" s="1"/>
  <c r="U56" i="27"/>
  <c r="AL56" i="27" s="1"/>
  <c r="V56" i="27"/>
  <c r="AJ56" i="27" s="1"/>
  <c r="K54" i="27"/>
  <c r="U54" i="27"/>
  <c r="AL54" i="27" s="1"/>
  <c r="V54" i="27"/>
  <c r="AJ54" i="27" s="1"/>
  <c r="K52" i="27"/>
  <c r="V52" i="27"/>
  <c r="AJ52" i="27" s="1"/>
  <c r="U52" i="27"/>
  <c r="AL52" i="27" s="1"/>
  <c r="V49" i="27"/>
  <c r="AJ49" i="27" s="1"/>
  <c r="V46" i="27"/>
  <c r="AJ46" i="27" s="1"/>
  <c r="AJ39" i="27"/>
  <c r="U39" i="27"/>
  <c r="AL39" i="27" s="1"/>
  <c r="V37" i="27"/>
  <c r="AJ37" i="27" s="1"/>
  <c r="U37" i="27"/>
  <c r="AL37" i="27" s="1"/>
  <c r="U34" i="27"/>
  <c r="AL34" i="27" s="1"/>
  <c r="V34" i="27"/>
  <c r="AJ34" i="27" s="1"/>
  <c r="FB108" i="20" l="1"/>
  <c r="FB114" i="20"/>
  <c r="FB125" i="20"/>
  <c r="FB112" i="20"/>
  <c r="FB107" i="20"/>
  <c r="FB116" i="20"/>
  <c r="FB113" i="20"/>
  <c r="FB122" i="20"/>
  <c r="FB129" i="20"/>
  <c r="FB131" i="20"/>
  <c r="FB133" i="20"/>
  <c r="FB121" i="20"/>
  <c r="FB110" i="20"/>
  <c r="FB106" i="20"/>
  <c r="FB105" i="20"/>
  <c r="FB126" i="20"/>
  <c r="FB120" i="20"/>
  <c r="FB109" i="20"/>
  <c r="FB118" i="20"/>
  <c r="C91" i="27"/>
  <c r="D91" i="27"/>
  <c r="G91" i="27"/>
  <c r="H91" i="27" s="1"/>
  <c r="R91" i="27"/>
  <c r="T91" i="27" s="1"/>
  <c r="V91" i="27" s="1"/>
  <c r="S91" i="27"/>
  <c r="AD91" i="27"/>
  <c r="AE91" i="27"/>
  <c r="AF91" i="27"/>
  <c r="AG91" i="27"/>
  <c r="C92" i="27"/>
  <c r="D92" i="27"/>
  <c r="G92" i="27"/>
  <c r="H92" i="27" s="1"/>
  <c r="R92" i="27"/>
  <c r="S92" i="27"/>
  <c r="AD92" i="27"/>
  <c r="AE92" i="27"/>
  <c r="AF92" i="27"/>
  <c r="AG92" i="27"/>
  <c r="C93" i="27"/>
  <c r="D93" i="27"/>
  <c r="G93" i="27"/>
  <c r="H93" i="27" s="1"/>
  <c r="R93" i="27"/>
  <c r="S93" i="27"/>
  <c r="AD93" i="27"/>
  <c r="AE93" i="27"/>
  <c r="AF93" i="27"/>
  <c r="AG93" i="27"/>
  <c r="C96" i="27"/>
  <c r="D96" i="27"/>
  <c r="G96" i="27"/>
  <c r="H96" i="27" s="1"/>
  <c r="R96" i="27"/>
  <c r="T96" i="27" s="1"/>
  <c r="S96" i="27"/>
  <c r="AD96" i="27"/>
  <c r="AE96" i="27"/>
  <c r="AG96" i="27"/>
  <c r="C97" i="27"/>
  <c r="D97" i="27"/>
  <c r="G97" i="27"/>
  <c r="H97" i="27" s="1"/>
  <c r="R97" i="27"/>
  <c r="T97" i="27" s="1"/>
  <c r="S97" i="27"/>
  <c r="AD97" i="27"/>
  <c r="AE97" i="27"/>
  <c r="AG97" i="27"/>
  <c r="G98" i="27"/>
  <c r="H98" i="27" s="1"/>
  <c r="R98" i="27"/>
  <c r="T98" i="27" s="1"/>
  <c r="S98" i="27"/>
  <c r="AD98" i="27"/>
  <c r="AE98" i="27"/>
  <c r="AG98" i="27"/>
  <c r="C99" i="27"/>
  <c r="D99" i="27"/>
  <c r="G99" i="27"/>
  <c r="H99" i="27" s="1"/>
  <c r="R99" i="27"/>
  <c r="T99" i="27" s="1"/>
  <c r="S99" i="27"/>
  <c r="AD99" i="27"/>
  <c r="AE99" i="27"/>
  <c r="AG99" i="27"/>
  <c r="C102" i="27"/>
  <c r="D102" i="27"/>
  <c r="G102" i="27"/>
  <c r="H102" i="27" s="1"/>
  <c r="R102" i="27"/>
  <c r="T102" i="27" s="1"/>
  <c r="S102" i="27"/>
  <c r="AD102" i="27"/>
  <c r="AE102" i="27"/>
  <c r="AG102" i="27"/>
  <c r="C103" i="27"/>
  <c r="D103" i="27"/>
  <c r="G103" i="27"/>
  <c r="H103" i="27" s="1"/>
  <c r="R103" i="27"/>
  <c r="T103" i="27" s="1"/>
  <c r="S103" i="27"/>
  <c r="AD103" i="27"/>
  <c r="AE103" i="27"/>
  <c r="AG103" i="27"/>
  <c r="C104" i="27"/>
  <c r="D104" i="27"/>
  <c r="G104" i="27"/>
  <c r="H104" i="27" s="1"/>
  <c r="R104" i="27"/>
  <c r="T104" i="27" s="1"/>
  <c r="S104" i="27"/>
  <c r="AD104" i="27"/>
  <c r="AE104" i="27"/>
  <c r="AG104" i="27"/>
  <c r="EP101" i="20"/>
  <c r="EW102" i="20"/>
  <c r="EW103" i="20"/>
  <c r="EW104" i="20"/>
  <c r="EW101" i="20"/>
  <c r="EV102" i="20"/>
  <c r="EV103" i="20"/>
  <c r="EV104" i="20"/>
  <c r="EV101" i="20"/>
  <c r="EU102" i="20"/>
  <c r="EU103" i="20"/>
  <c r="EU104" i="20"/>
  <c r="EU101" i="20"/>
  <c r="ES102" i="20"/>
  <c r="ES103" i="20"/>
  <c r="ES104" i="20"/>
  <c r="ET102" i="20"/>
  <c r="ET103" i="20"/>
  <c r="ET104" i="20"/>
  <c r="ET101" i="20"/>
  <c r="ES101" i="20"/>
  <c r="ER101" i="20"/>
  <c r="EN101" i="20"/>
  <c r="EJ101" i="20"/>
  <c r="EI101" i="20"/>
  <c r="V102" i="27" l="1"/>
  <c r="AJ102" i="27" s="1"/>
  <c r="U102" i="27"/>
  <c r="AL102" i="27" s="1"/>
  <c r="V98" i="27"/>
  <c r="AJ98" i="27" s="1"/>
  <c r="U98" i="27"/>
  <c r="AL98" i="27" s="1"/>
  <c r="U103" i="27"/>
  <c r="AL103" i="27" s="1"/>
  <c r="V103" i="27"/>
  <c r="AJ103" i="27" s="1"/>
  <c r="U104" i="27"/>
  <c r="AL104" i="27" s="1"/>
  <c r="V104" i="27"/>
  <c r="AJ104" i="27" s="1"/>
  <c r="V97" i="27"/>
  <c r="AJ97" i="27" s="1"/>
  <c r="U97" i="27"/>
  <c r="AL97" i="27" s="1"/>
  <c r="V99" i="27"/>
  <c r="AJ99" i="27" s="1"/>
  <c r="U99" i="27"/>
  <c r="AL99" i="27" s="1"/>
  <c r="T92" i="27"/>
  <c r="U92" i="27" s="1"/>
  <c r="AL92" i="27" s="1"/>
  <c r="V96" i="27"/>
  <c r="AJ96" i="27" s="1"/>
  <c r="U96" i="27"/>
  <c r="AL96" i="27" s="1"/>
  <c r="T93" i="27"/>
  <c r="AJ91" i="27"/>
  <c r="U91" i="27"/>
  <c r="AL91" i="27" s="1"/>
  <c r="EH101" i="20"/>
  <c r="EH102" i="20"/>
  <c r="EQ101" i="20"/>
  <c r="EQ102" i="20"/>
  <c r="EP102" i="20"/>
  <c r="ER100" i="20"/>
  <c r="C88" i="27"/>
  <c r="D88" i="27"/>
  <c r="G88" i="27"/>
  <c r="H88" i="27" s="1"/>
  <c r="R88" i="27"/>
  <c r="T88" i="27" s="1"/>
  <c r="S88" i="27"/>
  <c r="AD88" i="27"/>
  <c r="AE88" i="27"/>
  <c r="AF88" i="27"/>
  <c r="AG88" i="27"/>
  <c r="C32" i="27"/>
  <c r="D32" i="27"/>
  <c r="G32" i="27"/>
  <c r="H32" i="27" s="1"/>
  <c r="R32" i="27"/>
  <c r="T32" i="27" s="1"/>
  <c r="U32" i="27" s="1"/>
  <c r="AL32" i="27" s="1"/>
  <c r="S32" i="27"/>
  <c r="AD32" i="27"/>
  <c r="AE32" i="27"/>
  <c r="AF32" i="27"/>
  <c r="AG32" i="27"/>
  <c r="T650" i="22"/>
  <c r="T649" i="22"/>
  <c r="T648" i="22"/>
  <c r="T647" i="22"/>
  <c r="T646" i="22"/>
  <c r="AF10" i="27"/>
  <c r="AF11" i="27"/>
  <c r="AF12" i="27"/>
  <c r="ER99" i="20"/>
  <c r="EX97" i="20"/>
  <c r="EX98" i="20"/>
  <c r="EX99" i="20"/>
  <c r="EX100" i="20"/>
  <c r="EX101" i="20"/>
  <c r="EX102" i="20"/>
  <c r="ER98" i="20"/>
  <c r="BQ36" i="36"/>
  <c r="BR36" i="36"/>
  <c r="BS36" i="36"/>
  <c r="BT36" i="36"/>
  <c r="BU36" i="36"/>
  <c r="BV36" i="36"/>
  <c r="BW36" i="36"/>
  <c r="BX36" i="36"/>
  <c r="BQ37" i="36"/>
  <c r="BR37" i="36"/>
  <c r="BS37" i="36"/>
  <c r="BT37" i="36"/>
  <c r="BU37" i="36"/>
  <c r="BV37" i="36"/>
  <c r="BW37" i="36"/>
  <c r="BX37" i="36"/>
  <c r="BQ38" i="36"/>
  <c r="BR38" i="36"/>
  <c r="BS38" i="36"/>
  <c r="BT38" i="36"/>
  <c r="BU38" i="36"/>
  <c r="BV38" i="36"/>
  <c r="BW38" i="36"/>
  <c r="BX38" i="36"/>
  <c r="BQ39" i="36"/>
  <c r="BR39" i="36"/>
  <c r="BS39" i="36"/>
  <c r="BT39" i="36"/>
  <c r="BU39" i="36"/>
  <c r="BV39" i="36"/>
  <c r="BW39" i="36"/>
  <c r="BX39" i="36"/>
  <c r="BQ40" i="36"/>
  <c r="BR40" i="36"/>
  <c r="BS40" i="36"/>
  <c r="BT40" i="36"/>
  <c r="BU40" i="36"/>
  <c r="BV40" i="36"/>
  <c r="BW40" i="36"/>
  <c r="BX40" i="36"/>
  <c r="BQ41" i="36"/>
  <c r="BR41" i="36"/>
  <c r="BS41" i="36"/>
  <c r="BT41" i="36"/>
  <c r="BU41" i="36"/>
  <c r="BV41" i="36"/>
  <c r="BW41" i="36"/>
  <c r="BX41" i="36"/>
  <c r="BQ42" i="36"/>
  <c r="BR42" i="36"/>
  <c r="BS42" i="36"/>
  <c r="BT42" i="36"/>
  <c r="BU42" i="36"/>
  <c r="BV42" i="36"/>
  <c r="BW42" i="36"/>
  <c r="BX42" i="36"/>
  <c r="BQ43" i="36"/>
  <c r="BR43" i="36"/>
  <c r="BS43" i="36"/>
  <c r="BT43" i="36"/>
  <c r="BU43" i="36"/>
  <c r="BV43" i="36"/>
  <c r="BW43" i="36"/>
  <c r="BX43" i="36"/>
  <c r="BQ44" i="36"/>
  <c r="BR44" i="36"/>
  <c r="BS44" i="36"/>
  <c r="BT44" i="36"/>
  <c r="BU44" i="36"/>
  <c r="BV44" i="36"/>
  <c r="BW44" i="36"/>
  <c r="BX44" i="36"/>
  <c r="BQ45" i="36"/>
  <c r="BR45" i="36"/>
  <c r="BS45" i="36"/>
  <c r="BT45" i="36"/>
  <c r="BU45" i="36"/>
  <c r="BV45" i="36"/>
  <c r="BW45" i="36"/>
  <c r="BX45" i="36"/>
  <c r="BQ46" i="36"/>
  <c r="BR46" i="36"/>
  <c r="BS46" i="36"/>
  <c r="BT46" i="36"/>
  <c r="BU46" i="36"/>
  <c r="BV46" i="36"/>
  <c r="BW46" i="36"/>
  <c r="BX46" i="36"/>
  <c r="BQ47" i="36"/>
  <c r="BR47" i="36"/>
  <c r="BS47" i="36"/>
  <c r="BT47" i="36"/>
  <c r="BU47" i="36"/>
  <c r="BV47" i="36"/>
  <c r="BW47" i="36"/>
  <c r="BX47" i="36"/>
  <c r="BQ48" i="36"/>
  <c r="BR48" i="36"/>
  <c r="BS48" i="36"/>
  <c r="BT48" i="36"/>
  <c r="BU48" i="36"/>
  <c r="BV48" i="36"/>
  <c r="BW48" i="36"/>
  <c r="BX48" i="36"/>
  <c r="BQ49" i="36"/>
  <c r="BR49" i="36"/>
  <c r="BS49" i="36"/>
  <c r="BT49" i="36"/>
  <c r="BU49" i="36"/>
  <c r="BV49" i="36"/>
  <c r="BW49" i="36"/>
  <c r="BX49" i="36"/>
  <c r="BQ50" i="36"/>
  <c r="BR50" i="36"/>
  <c r="BS50" i="36"/>
  <c r="BT50" i="36"/>
  <c r="BU50" i="36"/>
  <c r="BV50" i="36"/>
  <c r="BW50" i="36"/>
  <c r="BX50" i="36"/>
  <c r="BQ51" i="36"/>
  <c r="BR51" i="36"/>
  <c r="BS51" i="36"/>
  <c r="BT51" i="36"/>
  <c r="BU51" i="36"/>
  <c r="BV51" i="36"/>
  <c r="BW51" i="36"/>
  <c r="BX51" i="36"/>
  <c r="BQ52" i="36"/>
  <c r="BR52" i="36"/>
  <c r="BS52" i="36"/>
  <c r="BT52" i="36"/>
  <c r="BU52" i="36"/>
  <c r="BV52" i="36"/>
  <c r="BW52" i="36"/>
  <c r="BX52" i="36"/>
  <c r="BQ53" i="36"/>
  <c r="BR53" i="36"/>
  <c r="BS53" i="36"/>
  <c r="BT53" i="36"/>
  <c r="BU53" i="36"/>
  <c r="BV53" i="36"/>
  <c r="BW53" i="36"/>
  <c r="BX53" i="36"/>
  <c r="BQ54" i="36"/>
  <c r="BR54" i="36"/>
  <c r="BS54" i="36"/>
  <c r="BT54" i="36"/>
  <c r="BU54" i="36"/>
  <c r="BV54" i="36"/>
  <c r="BW54" i="36"/>
  <c r="BX54" i="36"/>
  <c r="BQ55" i="36"/>
  <c r="BR55" i="36"/>
  <c r="BS55" i="36"/>
  <c r="BT55" i="36"/>
  <c r="BU55" i="36"/>
  <c r="BV55" i="36"/>
  <c r="BW55" i="36"/>
  <c r="BX55" i="36"/>
  <c r="BQ56" i="36"/>
  <c r="BR56" i="36"/>
  <c r="BS56" i="36"/>
  <c r="BT56" i="36"/>
  <c r="BU56" i="36"/>
  <c r="BV56" i="36"/>
  <c r="BW56" i="36"/>
  <c r="BX56" i="36"/>
  <c r="BU2" i="35"/>
  <c r="BV2" i="35"/>
  <c r="BW2" i="35"/>
  <c r="BX2" i="35" s="1"/>
  <c r="BY2" i="35" s="1"/>
  <c r="ER97" i="20"/>
  <c r="C82" i="27"/>
  <c r="D82" i="27"/>
  <c r="G82" i="27"/>
  <c r="H82" i="27" s="1"/>
  <c r="R82" i="27"/>
  <c r="S82" i="27"/>
  <c r="AD82" i="27"/>
  <c r="AE82" i="27"/>
  <c r="AF82" i="27"/>
  <c r="AG82" i="27"/>
  <c r="C74" i="27"/>
  <c r="D74" i="27"/>
  <c r="G74" i="27"/>
  <c r="H74" i="27" s="1"/>
  <c r="R74" i="27"/>
  <c r="S74" i="27"/>
  <c r="AD74" i="27"/>
  <c r="AE74" i="27"/>
  <c r="AF74" i="27"/>
  <c r="AG74" i="27"/>
  <c r="C75" i="27"/>
  <c r="D75" i="27"/>
  <c r="G75" i="27"/>
  <c r="H75" i="27" s="1"/>
  <c r="R75" i="27"/>
  <c r="S75" i="27"/>
  <c r="AD75" i="27"/>
  <c r="AE75" i="27"/>
  <c r="AF75" i="27"/>
  <c r="AG75" i="27"/>
  <c r="C76" i="27"/>
  <c r="D76" i="27"/>
  <c r="G76" i="27"/>
  <c r="H76" i="27" s="1"/>
  <c r="R76" i="27"/>
  <c r="S76" i="27"/>
  <c r="AD76" i="27"/>
  <c r="AE76" i="27"/>
  <c r="AF76" i="27"/>
  <c r="AG76" i="27"/>
  <c r="C77" i="27"/>
  <c r="D77" i="27"/>
  <c r="G77" i="27"/>
  <c r="H77" i="27" s="1"/>
  <c r="R77" i="27"/>
  <c r="S77" i="27"/>
  <c r="AD77" i="27"/>
  <c r="AE77" i="27"/>
  <c r="AF77" i="27"/>
  <c r="AG77" i="27"/>
  <c r="C78" i="27"/>
  <c r="D78" i="27"/>
  <c r="G78" i="27"/>
  <c r="H78" i="27" s="1"/>
  <c r="R78" i="27"/>
  <c r="S78" i="27"/>
  <c r="AD78" i="27"/>
  <c r="AE78" i="27"/>
  <c r="AF78" i="27"/>
  <c r="AG78" i="27"/>
  <c r="C79" i="27"/>
  <c r="D79" i="27"/>
  <c r="G79" i="27"/>
  <c r="H79" i="27" s="1"/>
  <c r="R79" i="27"/>
  <c r="S79" i="27"/>
  <c r="AD79" i="27"/>
  <c r="AE79" i="27"/>
  <c r="AF79" i="27"/>
  <c r="AG79" i="27"/>
  <c r="C80" i="27"/>
  <c r="D80" i="27"/>
  <c r="G80" i="27"/>
  <c r="H80" i="27" s="1"/>
  <c r="R80" i="27"/>
  <c r="S80" i="27"/>
  <c r="AD80" i="27"/>
  <c r="AE80" i="27"/>
  <c r="AF80" i="27"/>
  <c r="AG80" i="27"/>
  <c r="C81" i="27"/>
  <c r="D81" i="27"/>
  <c r="G81" i="27"/>
  <c r="H81" i="27" s="1"/>
  <c r="R81" i="27"/>
  <c r="S81" i="27"/>
  <c r="AD81" i="27"/>
  <c r="AE81" i="27"/>
  <c r="AF81" i="27"/>
  <c r="AG81" i="27"/>
  <c r="C83" i="27"/>
  <c r="D83" i="27"/>
  <c r="G83" i="27"/>
  <c r="H83" i="27" s="1"/>
  <c r="R83" i="27"/>
  <c r="S83" i="27"/>
  <c r="AD83" i="27"/>
  <c r="AE83" i="27"/>
  <c r="AF83" i="27"/>
  <c r="AG83" i="27"/>
  <c r="C73" i="27"/>
  <c r="D73" i="27"/>
  <c r="G73" i="27"/>
  <c r="H73" i="27" s="1"/>
  <c r="R73" i="27"/>
  <c r="S73" i="27"/>
  <c r="AD73" i="27"/>
  <c r="AE73" i="27"/>
  <c r="AF73" i="27"/>
  <c r="AG73" i="27"/>
  <c r="C84" i="27"/>
  <c r="D84" i="27"/>
  <c r="G84" i="27"/>
  <c r="H84" i="27" s="1"/>
  <c r="R84" i="27"/>
  <c r="S84" i="27"/>
  <c r="AD84" i="27"/>
  <c r="AE84" i="27"/>
  <c r="AF84" i="27"/>
  <c r="AG84" i="27"/>
  <c r="V92" i="27" l="1"/>
  <c r="AJ92" i="27" s="1"/>
  <c r="V93" i="27"/>
  <c r="AJ93" i="27" s="1"/>
  <c r="U93" i="27"/>
  <c r="AL93" i="27" s="1"/>
  <c r="U88" i="27"/>
  <c r="AL88" i="27" s="1"/>
  <c r="V88" i="27"/>
  <c r="AJ88" i="27" s="1"/>
  <c r="V32" i="27"/>
  <c r="AJ32" i="27" s="1"/>
  <c r="T84" i="27"/>
  <c r="T77" i="27"/>
  <c r="T82" i="27"/>
  <c r="T74" i="27"/>
  <c r="T76" i="27"/>
  <c r="T79" i="27"/>
  <c r="T73" i="27"/>
  <c r="T75" i="27"/>
  <c r="T80" i="27"/>
  <c r="T81" i="27"/>
  <c r="T83" i="27"/>
  <c r="T78" i="27"/>
  <c r="ER96" i="20"/>
  <c r="V75" i="27" l="1"/>
  <c r="AJ75" i="27" s="1"/>
  <c r="U75" i="27"/>
  <c r="AL75" i="27" s="1"/>
  <c r="V76" i="27"/>
  <c r="AJ76" i="27" s="1"/>
  <c r="U76" i="27"/>
  <c r="AL76" i="27" s="1"/>
  <c r="V74" i="27"/>
  <c r="AJ74" i="27" s="1"/>
  <c r="U74" i="27"/>
  <c r="AL74" i="27" s="1"/>
  <c r="U79" i="27"/>
  <c r="AL79" i="27" s="1"/>
  <c r="V79" i="27"/>
  <c r="AJ79" i="27" s="1"/>
  <c r="V78" i="27"/>
  <c r="AJ78" i="27" s="1"/>
  <c r="U78" i="27"/>
  <c r="AL78" i="27" s="1"/>
  <c r="U82" i="27"/>
  <c r="AL82" i="27" s="1"/>
  <c r="V82" i="27"/>
  <c r="AJ82" i="27" s="1"/>
  <c r="U83" i="27"/>
  <c r="AL83" i="27" s="1"/>
  <c r="V83" i="27"/>
  <c r="AJ83" i="27" s="1"/>
  <c r="V77" i="27"/>
  <c r="AJ77" i="27" s="1"/>
  <c r="U77" i="27"/>
  <c r="AL77" i="27" s="1"/>
  <c r="V80" i="27"/>
  <c r="AJ80" i="27" s="1"/>
  <c r="U80" i="27"/>
  <c r="AL80" i="27" s="1"/>
  <c r="U81" i="27"/>
  <c r="AL81" i="27" s="1"/>
  <c r="V81" i="27"/>
  <c r="AJ81" i="27" s="1"/>
  <c r="U84" i="27"/>
  <c r="AL84" i="27" s="1"/>
  <c r="V84" i="27"/>
  <c r="AJ84" i="27" s="1"/>
  <c r="ER95" i="20"/>
  <c r="C71" i="27" l="1"/>
  <c r="D71" i="27"/>
  <c r="G71" i="27"/>
  <c r="H71" i="27" s="1"/>
  <c r="R71" i="27"/>
  <c r="T71" i="27" s="1"/>
  <c r="U71" i="27" s="1"/>
  <c r="AL71" i="27" s="1"/>
  <c r="S71" i="27"/>
  <c r="AD71" i="27"/>
  <c r="AE71" i="27"/>
  <c r="AF71" i="27"/>
  <c r="AG71" i="27"/>
  <c r="ER94" i="20" l="1"/>
  <c r="EN94" i="20"/>
  <c r="ES93" i="20"/>
  <c r="ER93" i="20" l="1"/>
  <c r="DN88" i="20" l="1"/>
  <c r="DN89" i="20"/>
  <c r="DE88" i="20"/>
  <c r="DE89" i="20"/>
  <c r="DE90" i="20"/>
  <c r="DE91" i="20"/>
  <c r="DE92" i="20"/>
  <c r="DE93" i="20"/>
  <c r="DE94" i="20"/>
  <c r="DE95" i="20"/>
  <c r="FC103" i="20"/>
  <c r="FC104" i="20"/>
  <c r="FG103" i="20"/>
  <c r="FG104" i="20"/>
  <c r="FA104" i="20" l="1"/>
  <c r="FA103" i="20"/>
  <c r="EY104" i="20"/>
  <c r="EY103" i="20"/>
  <c r="EZ104" i="20"/>
  <c r="EZ103" i="20"/>
  <c r="FB104" i="20"/>
  <c r="FB103" i="20"/>
  <c r="DM5" i="20" l="1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21" i="20"/>
  <c r="DM22" i="20"/>
  <c r="DM23" i="20"/>
  <c r="DM24" i="20"/>
  <c r="DM25" i="20"/>
  <c r="DM26" i="20"/>
  <c r="DM27" i="20"/>
  <c r="DM28" i="20"/>
  <c r="DM29" i="20"/>
  <c r="DM30" i="20"/>
  <c r="DM31" i="20"/>
  <c r="DM32" i="20"/>
  <c r="DM33" i="20"/>
  <c r="DM34" i="20"/>
  <c r="DM35" i="20"/>
  <c r="DM36" i="20"/>
  <c r="DM37" i="20"/>
  <c r="DM38" i="20"/>
  <c r="DM39" i="20"/>
  <c r="DM40" i="20"/>
  <c r="DM41" i="20"/>
  <c r="DM42" i="20"/>
  <c r="DM43" i="20"/>
  <c r="DM44" i="20"/>
  <c r="DM45" i="20"/>
  <c r="DM46" i="20"/>
  <c r="DM47" i="20"/>
  <c r="DM48" i="20"/>
  <c r="DM49" i="20"/>
  <c r="DM50" i="20"/>
  <c r="DM51" i="20"/>
  <c r="DM52" i="20"/>
  <c r="DM53" i="20"/>
  <c r="DM54" i="20"/>
  <c r="DM55" i="20"/>
  <c r="DM56" i="20"/>
  <c r="DM57" i="20"/>
  <c r="DM58" i="20"/>
  <c r="DM59" i="20"/>
  <c r="DM60" i="20"/>
  <c r="DM61" i="20"/>
  <c r="DM62" i="20"/>
  <c r="DM63" i="20"/>
  <c r="DM64" i="20"/>
  <c r="DM65" i="20"/>
  <c r="DM66" i="20"/>
  <c r="DM67" i="20"/>
  <c r="DM68" i="20"/>
  <c r="DM69" i="20"/>
  <c r="DM70" i="20"/>
  <c r="DM71" i="20"/>
  <c r="DM72" i="20"/>
  <c r="DM73" i="20"/>
  <c r="DM74" i="20"/>
  <c r="DM75" i="20"/>
  <c r="DM76" i="20"/>
  <c r="DM77" i="20"/>
  <c r="DM78" i="20"/>
  <c r="DM79" i="20"/>
  <c r="DM80" i="20"/>
  <c r="DM81" i="20"/>
  <c r="DM82" i="20"/>
  <c r="DM83" i="20"/>
  <c r="DM84" i="20"/>
  <c r="DM85" i="20"/>
  <c r="DM86" i="20"/>
  <c r="DM87" i="20"/>
  <c r="DM88" i="20"/>
  <c r="DM89" i="20"/>
  <c r="DM90" i="20"/>
  <c r="DM91" i="20"/>
  <c r="DM92" i="20"/>
  <c r="DM93" i="20"/>
  <c r="DM94" i="20"/>
  <c r="DM95" i="20"/>
  <c r="DM96" i="20"/>
  <c r="DM97" i="20"/>
  <c r="DM98" i="20"/>
  <c r="DM99" i="20"/>
  <c r="DM100" i="20"/>
  <c r="DM101" i="20"/>
  <c r="DM102" i="20"/>
  <c r="ER87" i="20"/>
  <c r="ER88" i="20"/>
  <c r="ER89" i="20"/>
  <c r="ER90" i="20"/>
  <c r="ER91" i="20"/>
  <c r="ER92" i="20"/>
  <c r="DI86" i="20" l="1"/>
  <c r="DI87" i="20"/>
  <c r="ER86" i="20" l="1"/>
  <c r="DE6" i="20"/>
  <c r="DE7" i="20"/>
  <c r="DE8" i="20"/>
  <c r="DE9" i="20"/>
  <c r="DE10" i="20"/>
  <c r="DE11" i="20"/>
  <c r="DE12" i="20"/>
  <c r="DE13" i="20"/>
  <c r="DE14" i="20"/>
  <c r="DE15" i="20"/>
  <c r="DE16" i="20"/>
  <c r="DE17" i="20"/>
  <c r="DE18" i="20"/>
  <c r="DE19" i="20"/>
  <c r="DE20" i="20"/>
  <c r="DE21" i="20"/>
  <c r="DE22" i="20"/>
  <c r="DE23" i="20"/>
  <c r="DE24" i="20"/>
  <c r="DE25" i="20"/>
  <c r="DE26" i="20"/>
  <c r="DE27" i="20"/>
  <c r="DE28" i="20"/>
  <c r="DE29" i="20"/>
  <c r="DE30" i="20"/>
  <c r="DE31" i="20"/>
  <c r="DE32" i="20"/>
  <c r="DE33" i="20"/>
  <c r="DE34" i="20"/>
  <c r="DE35" i="20"/>
  <c r="DE36" i="20"/>
  <c r="DE37" i="20"/>
  <c r="DE38" i="20"/>
  <c r="DE39" i="20"/>
  <c r="DE40" i="20"/>
  <c r="DE41" i="20"/>
  <c r="DE42" i="20"/>
  <c r="DE43" i="20"/>
  <c r="DE44" i="20"/>
  <c r="DE45" i="20"/>
  <c r="DE46" i="20"/>
  <c r="DE47" i="20"/>
  <c r="DE48" i="20"/>
  <c r="DE49" i="20"/>
  <c r="DE50" i="20"/>
  <c r="DE51" i="20"/>
  <c r="DE52" i="20"/>
  <c r="DE53" i="20"/>
  <c r="DE54" i="20"/>
  <c r="DE55" i="20"/>
  <c r="DE56" i="20"/>
  <c r="DE57" i="20"/>
  <c r="DE58" i="20"/>
  <c r="DE59" i="20"/>
  <c r="DE60" i="20"/>
  <c r="DE61" i="20"/>
  <c r="DE62" i="20"/>
  <c r="DE63" i="20"/>
  <c r="DE64" i="20"/>
  <c r="DE65" i="20"/>
  <c r="DE66" i="20"/>
  <c r="DE67" i="20"/>
  <c r="DE68" i="20"/>
  <c r="DE69" i="20"/>
  <c r="DE70" i="20"/>
  <c r="DE71" i="20"/>
  <c r="DE72" i="20"/>
  <c r="DE73" i="20"/>
  <c r="DE74" i="20"/>
  <c r="DE75" i="20"/>
  <c r="DE76" i="20"/>
  <c r="DE77" i="20"/>
  <c r="DE78" i="20"/>
  <c r="DE79" i="20"/>
  <c r="DE80" i="20"/>
  <c r="DE81" i="20"/>
  <c r="DE82" i="20"/>
  <c r="DE83" i="20"/>
  <c r="DE84" i="20"/>
  <c r="DE85" i="20"/>
  <c r="DE86" i="20"/>
  <c r="DE87" i="20"/>
  <c r="DE96" i="20"/>
  <c r="DE97" i="20"/>
  <c r="DE98" i="20"/>
  <c r="DE99" i="20"/>
  <c r="DE100" i="20"/>
  <c r="DE101" i="20"/>
  <c r="CZ40" i="20"/>
  <c r="CZ41" i="20"/>
  <c r="CZ42" i="20"/>
  <c r="CZ43" i="20"/>
  <c r="CZ44" i="20"/>
  <c r="CZ45" i="20"/>
  <c r="CZ46" i="20"/>
  <c r="CZ47" i="20"/>
  <c r="CZ48" i="20"/>
  <c r="CZ49" i="20"/>
  <c r="CZ50" i="20"/>
  <c r="CZ76" i="20"/>
  <c r="CZ77" i="20"/>
  <c r="CZ78" i="20"/>
  <c r="CZ79" i="20"/>
  <c r="CZ80" i="20"/>
  <c r="CZ81" i="20"/>
  <c r="CZ82" i="20"/>
  <c r="CZ83" i="20"/>
  <c r="CZ84" i="20"/>
  <c r="CZ85" i="20"/>
  <c r="CZ86" i="20"/>
  <c r="CZ87" i="20"/>
  <c r="CZ88" i="20"/>
  <c r="CZ89" i="20"/>
  <c r="CZ90" i="20"/>
  <c r="DC84" i="20"/>
  <c r="DC85" i="20"/>
  <c r="DC86" i="20"/>
  <c r="DC87" i="20"/>
  <c r="DC88" i="20"/>
  <c r="DC89" i="20"/>
  <c r="DC90" i="20"/>
  <c r="DC91" i="20"/>
  <c r="DC92" i="20"/>
  <c r="DC93" i="20"/>
  <c r="DC94" i="20"/>
  <c r="DC95" i="20"/>
  <c r="DC96" i="20"/>
  <c r="DC97" i="20"/>
  <c r="DC98" i="20"/>
  <c r="DC99" i="20"/>
  <c r="DC100" i="20"/>
  <c r="DC54" i="20"/>
  <c r="DC55" i="20"/>
  <c r="DC56" i="20"/>
  <c r="DC57" i="20"/>
  <c r="DC58" i="20"/>
  <c r="DC59" i="20"/>
  <c r="DC60" i="20"/>
  <c r="DC61" i="20"/>
  <c r="DC62" i="20"/>
  <c r="DC63" i="20"/>
  <c r="DC64" i="20"/>
  <c r="DC65" i="20"/>
  <c r="DC66" i="20"/>
  <c r="DC67" i="20"/>
  <c r="DC68" i="20"/>
  <c r="DC69" i="20"/>
  <c r="DC70" i="20"/>
  <c r="DC71" i="20"/>
  <c r="DC72" i="20"/>
  <c r="DC73" i="20"/>
  <c r="DC74" i="20"/>
  <c r="DC75" i="20"/>
  <c r="DC76" i="20"/>
  <c r="DC77" i="20"/>
  <c r="DC78" i="20"/>
  <c r="DC79" i="20"/>
  <c r="DC80" i="20"/>
  <c r="DC81" i="20"/>
  <c r="DC82" i="20"/>
  <c r="DC83" i="20"/>
  <c r="ER85" i="20" l="1"/>
  <c r="CX102" i="20"/>
  <c r="CY102" i="20"/>
  <c r="CZ102" i="20"/>
  <c r="DA102" i="20"/>
  <c r="DB102" i="20"/>
  <c r="DC102" i="20"/>
  <c r="DD102" i="20"/>
  <c r="DF102" i="20"/>
  <c r="DG102" i="20"/>
  <c r="DH102" i="20"/>
  <c r="DI102" i="20"/>
  <c r="DJ102" i="20"/>
  <c r="DK102" i="20"/>
  <c r="DN102" i="20"/>
  <c r="DO102" i="20"/>
  <c r="FC102" i="20"/>
  <c r="FG102" i="20"/>
  <c r="EM86" i="20"/>
  <c r="EM87" i="20"/>
  <c r="EM88" i="20"/>
  <c r="EM89" i="20"/>
  <c r="EM90" i="20"/>
  <c r="EM91" i="20"/>
  <c r="EM92" i="20"/>
  <c r="EM93" i="20"/>
  <c r="EM94" i="20"/>
  <c r="EM95" i="20"/>
  <c r="EM96" i="20"/>
  <c r="EM97" i="20"/>
  <c r="EM98" i="20"/>
  <c r="EM99" i="20"/>
  <c r="EM100" i="20"/>
  <c r="EM101" i="20"/>
  <c r="EM102" i="20"/>
  <c r="EL85" i="20"/>
  <c r="EL86" i="20"/>
  <c r="EL87" i="20"/>
  <c r="EL88" i="20"/>
  <c r="EL89" i="20"/>
  <c r="EL90" i="20"/>
  <c r="EL91" i="20"/>
  <c r="EL92" i="20"/>
  <c r="EL93" i="20"/>
  <c r="EL94" i="20"/>
  <c r="EL95" i="20"/>
  <c r="EL96" i="20"/>
  <c r="EL97" i="20"/>
  <c r="EL98" i="20"/>
  <c r="EL99" i="20"/>
  <c r="EL100" i="20"/>
  <c r="EL101" i="20"/>
  <c r="CX101" i="20"/>
  <c r="CY101" i="20"/>
  <c r="CZ101" i="20"/>
  <c r="DA101" i="20"/>
  <c r="DB101" i="20"/>
  <c r="DC101" i="20"/>
  <c r="DD101" i="20"/>
  <c r="DF101" i="20"/>
  <c r="DG101" i="20"/>
  <c r="DH101" i="20"/>
  <c r="DI101" i="20"/>
  <c r="DJ101" i="20"/>
  <c r="DK101" i="20"/>
  <c r="DN101" i="20"/>
  <c r="DO101" i="20"/>
  <c r="FC101" i="20"/>
  <c r="FG101" i="20"/>
  <c r="EK85" i="20"/>
  <c r="EO88" i="20" s="1"/>
  <c r="EK86" i="20"/>
  <c r="EO89" i="20" s="1"/>
  <c r="EK87" i="20"/>
  <c r="EO90" i="20" s="1"/>
  <c r="EK88" i="20"/>
  <c r="EO91" i="20" s="1"/>
  <c r="EK89" i="20"/>
  <c r="EO92" i="20" s="1"/>
  <c r="EK90" i="20"/>
  <c r="EO93" i="20" s="1"/>
  <c r="EK91" i="20"/>
  <c r="EO94" i="20" s="1"/>
  <c r="EK92" i="20"/>
  <c r="EO95" i="20" s="1"/>
  <c r="EK93" i="20"/>
  <c r="EO96" i="20" s="1"/>
  <c r="EK94" i="20"/>
  <c r="EO97" i="20" s="1"/>
  <c r="EK95" i="20"/>
  <c r="EO98" i="20" s="1"/>
  <c r="EK96" i="20"/>
  <c r="EO99" i="20" s="1"/>
  <c r="EK97" i="20"/>
  <c r="EO100" i="20" s="1"/>
  <c r="EK98" i="20"/>
  <c r="EO101" i="20" s="1"/>
  <c r="EK99" i="20"/>
  <c r="EO102" i="20" s="1"/>
  <c r="EK100" i="20"/>
  <c r="EO103" i="20" s="1"/>
  <c r="EK101" i="20"/>
  <c r="EO104" i="20" s="1"/>
  <c r="EJ86" i="20"/>
  <c r="EJ87" i="20"/>
  <c r="EJ88" i="20"/>
  <c r="EJ89" i="20"/>
  <c r="EJ90" i="20"/>
  <c r="EJ91" i="20"/>
  <c r="EJ92" i="20"/>
  <c r="EJ93" i="20"/>
  <c r="EJ94" i="20"/>
  <c r="EJ95" i="20"/>
  <c r="EJ96" i="20"/>
  <c r="EJ97" i="20"/>
  <c r="EJ98" i="20"/>
  <c r="EJ99" i="20"/>
  <c r="EJ100" i="20"/>
  <c r="EI86" i="20"/>
  <c r="EI87" i="20"/>
  <c r="EI88" i="20"/>
  <c r="EI89" i="20"/>
  <c r="EI90" i="20"/>
  <c r="EI91" i="20"/>
  <c r="EI92" i="20"/>
  <c r="EI93" i="20"/>
  <c r="EI94" i="20"/>
  <c r="EI95" i="20"/>
  <c r="EI96" i="20"/>
  <c r="EI97" i="20"/>
  <c r="EI98" i="20"/>
  <c r="EI99" i="20"/>
  <c r="EI100" i="20"/>
  <c r="EN85" i="20"/>
  <c r="EN86" i="20"/>
  <c r="EN87" i="20"/>
  <c r="EN88" i="20"/>
  <c r="EN89" i="20"/>
  <c r="EN90" i="20"/>
  <c r="EN91" i="20"/>
  <c r="EN92" i="20"/>
  <c r="EN93" i="20"/>
  <c r="EN95" i="20"/>
  <c r="EN96" i="20"/>
  <c r="EN97" i="20"/>
  <c r="EN98" i="20"/>
  <c r="EN99" i="20"/>
  <c r="EN100" i="20"/>
  <c r="EM85" i="20"/>
  <c r="EJ85" i="20"/>
  <c r="EI85" i="20"/>
  <c r="FA102" i="20" l="1"/>
  <c r="DP102" i="20"/>
  <c r="EY102" i="20"/>
  <c r="FA101" i="20"/>
  <c r="EZ102" i="20"/>
  <c r="EY101" i="20"/>
  <c r="EZ101" i="20"/>
  <c r="DP101" i="20"/>
  <c r="FC84" i="20"/>
  <c r="ER84" i="20"/>
  <c r="EN84" i="20"/>
  <c r="EM84" i="20"/>
  <c r="EL84" i="20"/>
  <c r="EK84" i="20"/>
  <c r="EO87" i="20" s="1"/>
  <c r="EJ84" i="20"/>
  <c r="EI84" i="20"/>
  <c r="FB102" i="20" l="1"/>
  <c r="FB101" i="20"/>
  <c r="EQ83" i="20"/>
  <c r="EP83" i="20"/>
  <c r="ER83" i="20"/>
  <c r="EN83" i="20"/>
  <c r="EM83" i="20"/>
  <c r="EL83" i="20"/>
  <c r="EK83" i="20"/>
  <c r="EO86" i="20" s="1"/>
  <c r="EJ83" i="20"/>
  <c r="EI83" i="20"/>
  <c r="EX82" i="20"/>
  <c r="EW82" i="20"/>
  <c r="EV82" i="20"/>
  <c r="EU82" i="20"/>
  <c r="ET82" i="20"/>
  <c r="ES82" i="20"/>
  <c r="ER82" i="20"/>
  <c r="EQ82" i="20"/>
  <c r="EP82" i="20"/>
  <c r="EN82" i="20"/>
  <c r="EM82" i="20"/>
  <c r="EL82" i="20"/>
  <c r="EK82" i="20"/>
  <c r="EO85" i="20" s="1"/>
  <c r="EJ82" i="20"/>
  <c r="EI82" i="20"/>
  <c r="C21" i="27"/>
  <c r="D21" i="27"/>
  <c r="G21" i="27"/>
  <c r="H21" i="27" s="1"/>
  <c r="R21" i="27"/>
  <c r="S21" i="27"/>
  <c r="AD21" i="27"/>
  <c r="AE21" i="27"/>
  <c r="AF21" i="27"/>
  <c r="AG21" i="27"/>
  <c r="R35" i="27"/>
  <c r="C35" i="27"/>
  <c r="D35" i="27"/>
  <c r="G35" i="27"/>
  <c r="H35" i="27" s="1"/>
  <c r="S35" i="27"/>
  <c r="AD35" i="27"/>
  <c r="AE35" i="27"/>
  <c r="AF35" i="27"/>
  <c r="AG35" i="27"/>
  <c r="C50" i="27"/>
  <c r="D50" i="27"/>
  <c r="G50" i="27"/>
  <c r="H50" i="27" s="1"/>
  <c r="R50" i="27"/>
  <c r="S50" i="27"/>
  <c r="AD50" i="27"/>
  <c r="AE50" i="27"/>
  <c r="AF50" i="27"/>
  <c r="AG50" i="27"/>
  <c r="C62" i="27"/>
  <c r="D62" i="27"/>
  <c r="G62" i="27"/>
  <c r="H62" i="27" s="1"/>
  <c r="R62" i="27"/>
  <c r="S62" i="27"/>
  <c r="AD62" i="27"/>
  <c r="AE62" i="27"/>
  <c r="AF62" i="27"/>
  <c r="AG62" i="27"/>
  <c r="C61" i="27"/>
  <c r="D61" i="27"/>
  <c r="G61" i="27"/>
  <c r="H61" i="27" s="1"/>
  <c r="R61" i="27"/>
  <c r="S61" i="27"/>
  <c r="AD61" i="27"/>
  <c r="AE61" i="27"/>
  <c r="AF61" i="27"/>
  <c r="AG61" i="27"/>
  <c r="C63" i="27"/>
  <c r="D63" i="27"/>
  <c r="G63" i="27"/>
  <c r="H63" i="27" s="1"/>
  <c r="R63" i="27"/>
  <c r="S63" i="27"/>
  <c r="AD63" i="27"/>
  <c r="AE63" i="27"/>
  <c r="AF63" i="27"/>
  <c r="AG63" i="27"/>
  <c r="EY82" i="20" l="1"/>
  <c r="FA82" i="20"/>
  <c r="T21" i="27"/>
  <c r="T35" i="27"/>
  <c r="EZ82" i="20"/>
  <c r="T62" i="27"/>
  <c r="T50" i="27"/>
  <c r="T61" i="27"/>
  <c r="T63" i="27"/>
  <c r="V63" i="27" l="1"/>
  <c r="AJ63" i="27" s="1"/>
  <c r="U63" i="27"/>
  <c r="AL63" i="27" s="1"/>
  <c r="U50" i="27"/>
  <c r="AL50" i="27" s="1"/>
  <c r="V50" i="27"/>
  <c r="AJ50" i="27" s="1"/>
  <c r="V62" i="27"/>
  <c r="AJ62" i="27" s="1"/>
  <c r="U62" i="27"/>
  <c r="AL62" i="27" s="1"/>
  <c r="V35" i="27"/>
  <c r="AJ35" i="27" s="1"/>
  <c r="U35" i="27"/>
  <c r="AL35" i="27" s="1"/>
  <c r="V61" i="27"/>
  <c r="AJ61" i="27" s="1"/>
  <c r="U61" i="27"/>
  <c r="AL61" i="27" s="1"/>
  <c r="V21" i="27"/>
  <c r="AJ21" i="27" s="1"/>
  <c r="U21" i="27"/>
  <c r="AL21" i="27" s="1"/>
  <c r="EX81" i="20"/>
  <c r="EW81" i="20"/>
  <c r="EV81" i="20"/>
  <c r="EU81" i="20"/>
  <c r="ET81" i="20"/>
  <c r="ES81" i="20"/>
  <c r="ER81" i="20"/>
  <c r="EQ81" i="20"/>
  <c r="EP81" i="20"/>
  <c r="EN81" i="20"/>
  <c r="EM81" i="20"/>
  <c r="EL81" i="20"/>
  <c r="EK81" i="20"/>
  <c r="EO84" i="20" s="1"/>
  <c r="EJ81" i="20"/>
  <c r="EI81" i="20"/>
  <c r="CY86" i="20"/>
  <c r="FA81" i="20" l="1"/>
  <c r="EY81" i="20"/>
  <c r="EZ81" i="20"/>
  <c r="EU80" i="20"/>
  <c r="ET80" i="20"/>
  <c r="ES80" i="20"/>
  <c r="ER80" i="20"/>
  <c r="EQ80" i="20"/>
  <c r="EP80" i="20"/>
  <c r="EN80" i="20"/>
  <c r="EM80" i="20"/>
  <c r="EL80" i="20"/>
  <c r="EK80" i="20"/>
  <c r="EO83" i="20" s="1"/>
  <c r="EJ80" i="20"/>
  <c r="EI80" i="20"/>
  <c r="C66" i="27" l="1"/>
  <c r="C67" i="27"/>
  <c r="C68" i="27"/>
  <c r="C69" i="27"/>
  <c r="C70" i="27"/>
  <c r="C72" i="27"/>
  <c r="C85" i="27"/>
  <c r="C86" i="27"/>
  <c r="C87" i="27"/>
  <c r="C89" i="27"/>
  <c r="C90" i="27"/>
  <c r="C105" i="27"/>
  <c r="C120" i="27"/>
  <c r="D68" i="27" l="1"/>
  <c r="D69" i="27"/>
  <c r="D70" i="27"/>
  <c r="D72" i="27"/>
  <c r="D85" i="27"/>
  <c r="D86" i="27"/>
  <c r="D87" i="27"/>
  <c r="D89" i="27"/>
  <c r="D90" i="27"/>
  <c r="D105" i="27"/>
  <c r="D120" i="27"/>
  <c r="G68" i="27"/>
  <c r="H68" i="27" s="1"/>
  <c r="G69" i="27"/>
  <c r="H69" i="27" s="1"/>
  <c r="G70" i="27"/>
  <c r="H70" i="27" s="1"/>
  <c r="G72" i="27"/>
  <c r="H72" i="27" s="1"/>
  <c r="G85" i="27"/>
  <c r="H85" i="27" s="1"/>
  <c r="G86" i="27"/>
  <c r="H86" i="27" s="1"/>
  <c r="G87" i="27"/>
  <c r="H87" i="27" s="1"/>
  <c r="G89" i="27"/>
  <c r="H89" i="27" s="1"/>
  <c r="G90" i="27"/>
  <c r="H90" i="27" s="1"/>
  <c r="G105" i="27"/>
  <c r="H105" i="27" s="1"/>
  <c r="G120" i="27"/>
  <c r="H120" i="27" s="1"/>
  <c r="I120" i="27"/>
  <c r="J120" i="27"/>
  <c r="R68" i="27"/>
  <c r="R69" i="27"/>
  <c r="R70" i="27"/>
  <c r="R72" i="27"/>
  <c r="R85" i="27"/>
  <c r="T85" i="27" s="1"/>
  <c r="U85" i="27" s="1"/>
  <c r="R86" i="27"/>
  <c r="T86" i="27" s="1"/>
  <c r="U86" i="27" s="1"/>
  <c r="R87" i="27"/>
  <c r="T87" i="27" s="1"/>
  <c r="R89" i="27"/>
  <c r="T89" i="27" s="1"/>
  <c r="R90" i="27"/>
  <c r="T90" i="27" s="1"/>
  <c r="R105" i="27"/>
  <c r="T105" i="27" s="1"/>
  <c r="R120" i="27"/>
  <c r="T120" i="27" s="1"/>
  <c r="S68" i="27"/>
  <c r="S69" i="27"/>
  <c r="S70" i="27"/>
  <c r="S72" i="27"/>
  <c r="S85" i="27"/>
  <c r="S86" i="27"/>
  <c r="S87" i="27"/>
  <c r="S89" i="27"/>
  <c r="S90" i="27"/>
  <c r="S105" i="27"/>
  <c r="S120" i="27"/>
  <c r="AD68" i="27"/>
  <c r="AD69" i="27"/>
  <c r="AD70" i="27"/>
  <c r="AD72" i="27"/>
  <c r="AD85" i="27"/>
  <c r="AD86" i="27"/>
  <c r="AD87" i="27"/>
  <c r="AD89" i="27"/>
  <c r="AD90" i="27"/>
  <c r="AD105" i="27"/>
  <c r="AD120" i="27"/>
  <c r="AE68" i="27"/>
  <c r="AE69" i="27"/>
  <c r="AE70" i="27"/>
  <c r="AE72" i="27"/>
  <c r="AE85" i="27"/>
  <c r="AE86" i="27"/>
  <c r="AE87" i="27"/>
  <c r="AE89" i="27"/>
  <c r="AE90" i="27"/>
  <c r="AE105" i="27"/>
  <c r="AE120" i="27"/>
  <c r="AF68" i="27"/>
  <c r="AF69" i="27"/>
  <c r="AF70" i="27"/>
  <c r="AF72" i="27"/>
  <c r="AF85" i="27"/>
  <c r="AF86" i="27"/>
  <c r="AF87" i="27"/>
  <c r="AF89" i="27"/>
  <c r="AF90" i="27"/>
  <c r="AG68" i="27"/>
  <c r="AG69" i="27"/>
  <c r="AG70" i="27"/>
  <c r="AG72" i="27"/>
  <c r="AG85" i="27"/>
  <c r="AG86" i="27"/>
  <c r="AG87" i="27"/>
  <c r="AG89" i="27"/>
  <c r="AG90" i="27"/>
  <c r="AG105" i="27"/>
  <c r="AG120" i="27"/>
  <c r="C65" i="27"/>
  <c r="D65" i="27"/>
  <c r="D66" i="27"/>
  <c r="D67" i="27"/>
  <c r="G65" i="27"/>
  <c r="H65" i="27" s="1"/>
  <c r="G66" i="27"/>
  <c r="H66" i="27" s="1"/>
  <c r="G67" i="27"/>
  <c r="H67" i="27" s="1"/>
  <c r="R65" i="27"/>
  <c r="R66" i="27"/>
  <c r="R67" i="27"/>
  <c r="S65" i="27"/>
  <c r="S66" i="27"/>
  <c r="S67" i="27"/>
  <c r="AD65" i="27"/>
  <c r="AD66" i="27"/>
  <c r="AD67" i="27"/>
  <c r="AE65" i="27"/>
  <c r="AE66" i="27"/>
  <c r="AE67" i="27"/>
  <c r="AF65" i="27"/>
  <c r="AF66" i="27"/>
  <c r="AF67" i="27"/>
  <c r="AG65" i="27"/>
  <c r="AG66" i="27"/>
  <c r="AG67" i="27"/>
  <c r="C64" i="27"/>
  <c r="D64" i="27"/>
  <c r="G64" i="27"/>
  <c r="H64" i="27" s="1"/>
  <c r="R64" i="27"/>
  <c r="S64" i="27"/>
  <c r="AD64" i="27"/>
  <c r="AE64" i="27"/>
  <c r="AF64" i="27"/>
  <c r="AG64" i="27"/>
  <c r="EP6" i="20"/>
  <c r="EP7" i="20"/>
  <c r="EQ7" i="20"/>
  <c r="EP8" i="20"/>
  <c r="EQ8" i="20"/>
  <c r="EP9" i="20"/>
  <c r="EQ9" i="20"/>
  <c r="EP10" i="20"/>
  <c r="EQ10" i="20"/>
  <c r="EP11" i="20"/>
  <c r="EQ11" i="20"/>
  <c r="EP12" i="20"/>
  <c r="EQ12" i="20"/>
  <c r="EP13" i="20"/>
  <c r="EQ13" i="20"/>
  <c r="EP14" i="20"/>
  <c r="EQ14" i="20"/>
  <c r="EP15" i="20"/>
  <c r="EQ15" i="20"/>
  <c r="EP16" i="20"/>
  <c r="EQ16" i="20"/>
  <c r="EP17" i="20"/>
  <c r="EQ17" i="20"/>
  <c r="EP18" i="20"/>
  <c r="EQ18" i="20"/>
  <c r="EP19" i="20"/>
  <c r="EQ19" i="20"/>
  <c r="EP20" i="20"/>
  <c r="EQ20" i="20"/>
  <c r="EP21" i="20"/>
  <c r="EQ21" i="20"/>
  <c r="EP22" i="20"/>
  <c r="EQ22" i="20"/>
  <c r="EP23" i="20"/>
  <c r="EQ23" i="20"/>
  <c r="EP24" i="20"/>
  <c r="EQ24" i="20"/>
  <c r="EP25" i="20"/>
  <c r="EQ25" i="20"/>
  <c r="EP26" i="20"/>
  <c r="EQ26" i="20"/>
  <c r="EP27" i="20"/>
  <c r="EQ27" i="20"/>
  <c r="EP28" i="20"/>
  <c r="EQ28" i="20"/>
  <c r="EP29" i="20"/>
  <c r="EQ29" i="20"/>
  <c r="EP30" i="20"/>
  <c r="EQ30" i="20"/>
  <c r="EP31" i="20"/>
  <c r="EQ31" i="20"/>
  <c r="EP32" i="20"/>
  <c r="EQ32" i="20"/>
  <c r="EP33" i="20"/>
  <c r="EQ33" i="20"/>
  <c r="EP34" i="20"/>
  <c r="EQ34" i="20"/>
  <c r="EP35" i="20"/>
  <c r="EQ35" i="20"/>
  <c r="EP36" i="20"/>
  <c r="EQ36" i="20"/>
  <c r="EP37" i="20"/>
  <c r="EQ37" i="20"/>
  <c r="EP38" i="20"/>
  <c r="EQ38" i="20"/>
  <c r="EP39" i="20"/>
  <c r="EQ39" i="20"/>
  <c r="EP40" i="20"/>
  <c r="EQ40" i="20"/>
  <c r="EP41" i="20"/>
  <c r="EQ41" i="20"/>
  <c r="EP42" i="20"/>
  <c r="EQ42" i="20"/>
  <c r="EP43" i="20"/>
  <c r="EQ43" i="20"/>
  <c r="EP44" i="20"/>
  <c r="EQ44" i="20"/>
  <c r="EP45" i="20"/>
  <c r="EQ45" i="20"/>
  <c r="EP46" i="20"/>
  <c r="EQ46" i="20"/>
  <c r="EP47" i="20"/>
  <c r="EQ47" i="20"/>
  <c r="EP48" i="20"/>
  <c r="EQ48" i="20"/>
  <c r="EP49" i="20"/>
  <c r="EQ49" i="20"/>
  <c r="EP50" i="20"/>
  <c r="EQ50" i="20"/>
  <c r="EP51" i="20"/>
  <c r="EQ51" i="20"/>
  <c r="EP52" i="20"/>
  <c r="EQ52" i="20"/>
  <c r="EP53" i="20"/>
  <c r="EQ53" i="20"/>
  <c r="EP54" i="20"/>
  <c r="EQ54" i="20"/>
  <c r="EP55" i="20"/>
  <c r="EQ55" i="20"/>
  <c r="EP56" i="20"/>
  <c r="EQ56" i="20"/>
  <c r="EP57" i="20"/>
  <c r="EQ57" i="20"/>
  <c r="EP58" i="20"/>
  <c r="EQ58" i="20"/>
  <c r="EP59" i="20"/>
  <c r="EQ59" i="20"/>
  <c r="EP60" i="20"/>
  <c r="EQ60" i="20"/>
  <c r="EP61" i="20"/>
  <c r="EQ61" i="20"/>
  <c r="EP62" i="20"/>
  <c r="EQ62" i="20"/>
  <c r="EP63" i="20"/>
  <c r="EQ63" i="20"/>
  <c r="EP64" i="20"/>
  <c r="EQ64" i="20"/>
  <c r="EP65" i="20"/>
  <c r="EQ65" i="20"/>
  <c r="EP66" i="20"/>
  <c r="EQ66" i="20"/>
  <c r="EP67" i="20"/>
  <c r="EQ67" i="20"/>
  <c r="EP68" i="20"/>
  <c r="EQ68" i="20"/>
  <c r="EP69" i="20"/>
  <c r="EQ69" i="20"/>
  <c r="EP70" i="20"/>
  <c r="EQ70" i="20"/>
  <c r="EP71" i="20"/>
  <c r="EQ71" i="20"/>
  <c r="EP72" i="20"/>
  <c r="EQ72" i="20"/>
  <c r="EP73" i="20"/>
  <c r="EQ73" i="20"/>
  <c r="EP74" i="20"/>
  <c r="EQ74" i="20"/>
  <c r="EP75" i="20"/>
  <c r="EQ75" i="20"/>
  <c r="EP76" i="20"/>
  <c r="EQ76" i="20"/>
  <c r="EP77" i="20"/>
  <c r="EQ77" i="20"/>
  <c r="EP78" i="20"/>
  <c r="EQ78" i="20"/>
  <c r="EP79" i="20"/>
  <c r="EQ79" i="20"/>
  <c r="EP84" i="20"/>
  <c r="EQ84" i="20"/>
  <c r="EP85" i="20"/>
  <c r="EQ85" i="20"/>
  <c r="EP86" i="20"/>
  <c r="EQ86" i="20"/>
  <c r="EP87" i="20"/>
  <c r="EQ87" i="20"/>
  <c r="EP88" i="20"/>
  <c r="EQ88" i="20"/>
  <c r="EP89" i="20"/>
  <c r="EQ89" i="20"/>
  <c r="EP90" i="20"/>
  <c r="EQ90" i="20"/>
  <c r="EP91" i="20"/>
  <c r="EQ91" i="20"/>
  <c r="EP92" i="20"/>
  <c r="EQ92" i="20"/>
  <c r="EP93" i="20"/>
  <c r="EQ93" i="20"/>
  <c r="EP94" i="20"/>
  <c r="EQ94" i="20"/>
  <c r="EP95" i="20"/>
  <c r="EQ95" i="20"/>
  <c r="EP96" i="20"/>
  <c r="EQ96" i="20"/>
  <c r="EP97" i="20"/>
  <c r="EQ97" i="20"/>
  <c r="EP98" i="20"/>
  <c r="EQ98" i="20"/>
  <c r="EP99" i="20"/>
  <c r="EQ99" i="20"/>
  <c r="EP100" i="20"/>
  <c r="EQ100" i="20"/>
  <c r="EQ6" i="20"/>
  <c r="EQ5" i="20"/>
  <c r="EP5" i="20"/>
  <c r="U105" i="27" l="1"/>
  <c r="AL105" i="27" s="1"/>
  <c r="V105" i="27"/>
  <c r="AJ105" i="27" s="1"/>
  <c r="U120" i="27"/>
  <c r="AL120" i="27" s="1"/>
  <c r="V120" i="27"/>
  <c r="AJ120" i="27" s="1"/>
  <c r="V90" i="27"/>
  <c r="AJ90" i="27" s="1"/>
  <c r="U90" i="27"/>
  <c r="AL90" i="27" s="1"/>
  <c r="V89" i="27"/>
  <c r="AJ89" i="27" s="1"/>
  <c r="U89" i="27"/>
  <c r="AL89" i="27" s="1"/>
  <c r="V87" i="27"/>
  <c r="AJ87" i="27" s="1"/>
  <c r="U87" i="27"/>
  <c r="AL87" i="27" s="1"/>
  <c r="T69" i="27"/>
  <c r="T72" i="27"/>
  <c r="T70" i="27"/>
  <c r="T68" i="27"/>
  <c r="T67" i="27"/>
  <c r="T65" i="27"/>
  <c r="U65" i="27" s="1"/>
  <c r="AL65" i="27" s="1"/>
  <c r="T66" i="27"/>
  <c r="K120" i="27"/>
  <c r="AL86" i="27"/>
  <c r="AL85" i="27"/>
  <c r="T64" i="27"/>
  <c r="AF10" i="22"/>
  <c r="V70" i="27" l="1"/>
  <c r="AJ70" i="27" s="1"/>
  <c r="U70" i="27"/>
  <c r="AL70" i="27" s="1"/>
  <c r="U67" i="27"/>
  <c r="AL67" i="27" s="1"/>
  <c r="V67" i="27"/>
  <c r="AJ67" i="27" s="1"/>
  <c r="U68" i="27"/>
  <c r="AL68" i="27" s="1"/>
  <c r="V68" i="27"/>
  <c r="AJ68" i="27" s="1"/>
  <c r="V64" i="27"/>
  <c r="AJ64" i="27" s="1"/>
  <c r="U64" i="27"/>
  <c r="AL64" i="27" s="1"/>
  <c r="U66" i="27"/>
  <c r="AL66" i="27" s="1"/>
  <c r="V66" i="27"/>
  <c r="AJ66" i="27" s="1"/>
  <c r="V72" i="27"/>
  <c r="AJ72" i="27" s="1"/>
  <c r="U72" i="27"/>
  <c r="AL72" i="27" s="1"/>
  <c r="U69" i="27"/>
  <c r="AL69" i="27" s="1"/>
  <c r="V69" i="27"/>
  <c r="AJ69" i="27" s="1"/>
  <c r="DO5" i="20"/>
  <c r="DO6" i="20"/>
  <c r="DO7" i="20"/>
  <c r="DO8" i="20"/>
  <c r="DO9" i="20"/>
  <c r="DO10" i="20"/>
  <c r="DO11" i="20"/>
  <c r="DO12" i="20"/>
  <c r="DO13" i="20"/>
  <c r="DO14" i="20"/>
  <c r="DO15" i="20"/>
  <c r="DO16" i="20"/>
  <c r="DO17" i="20"/>
  <c r="DO18" i="20"/>
  <c r="DO19" i="20"/>
  <c r="DO20" i="20"/>
  <c r="DO21" i="20"/>
  <c r="DO22" i="20"/>
  <c r="DO23" i="20"/>
  <c r="DO24" i="20"/>
  <c r="DO25" i="20"/>
  <c r="DO26" i="20"/>
  <c r="DO27" i="20"/>
  <c r="DO28" i="20"/>
  <c r="DO29" i="20"/>
  <c r="DO30" i="20"/>
  <c r="DO31" i="20"/>
  <c r="DO32" i="20"/>
  <c r="DO33" i="20"/>
  <c r="DO34" i="20"/>
  <c r="DO35" i="20"/>
  <c r="DO36" i="20"/>
  <c r="DO37" i="20"/>
  <c r="DO38" i="20"/>
  <c r="DO39" i="20"/>
  <c r="DO40" i="20"/>
  <c r="DO41" i="20"/>
  <c r="DO42" i="20"/>
  <c r="DO43" i="20"/>
  <c r="DO44" i="20"/>
  <c r="DO45" i="20"/>
  <c r="DO46" i="20"/>
  <c r="DO47" i="20"/>
  <c r="DO48" i="20"/>
  <c r="DO49" i="20"/>
  <c r="DO50" i="20"/>
  <c r="DO51" i="20"/>
  <c r="DO52" i="20"/>
  <c r="DO53" i="20"/>
  <c r="DO54" i="20"/>
  <c r="DO55" i="20"/>
  <c r="DO56" i="20"/>
  <c r="DO57" i="20"/>
  <c r="DO58" i="20"/>
  <c r="DO59" i="20"/>
  <c r="DO60" i="20"/>
  <c r="DO61" i="20"/>
  <c r="DO62" i="20"/>
  <c r="DO63" i="20"/>
  <c r="DO64" i="20"/>
  <c r="DO65" i="20"/>
  <c r="DO66" i="20"/>
  <c r="DO67" i="20"/>
  <c r="DO68" i="20"/>
  <c r="DO69" i="20"/>
  <c r="DO70" i="20"/>
  <c r="DO71" i="20"/>
  <c r="DO72" i="20"/>
  <c r="DO73" i="20"/>
  <c r="DO74" i="20"/>
  <c r="DO75" i="20"/>
  <c r="DO76" i="20"/>
  <c r="DO77" i="20"/>
  <c r="DO78" i="20"/>
  <c r="DO79" i="20"/>
  <c r="DO80" i="20"/>
  <c r="DO81" i="20"/>
  <c r="DO82" i="20"/>
  <c r="DO83" i="20"/>
  <c r="DO84" i="20"/>
  <c r="DO85" i="20"/>
  <c r="DO86" i="20"/>
  <c r="DO87" i="20"/>
  <c r="DO88" i="20"/>
  <c r="DO89" i="20"/>
  <c r="DO90" i="20"/>
  <c r="DO91" i="20"/>
  <c r="DO92" i="20"/>
  <c r="DO93" i="20"/>
  <c r="DO94" i="20"/>
  <c r="DO95" i="20"/>
  <c r="DO96" i="20"/>
  <c r="DO97" i="20"/>
  <c r="DO98" i="20"/>
  <c r="DO99" i="20"/>
  <c r="DO100" i="20"/>
  <c r="DN5" i="20"/>
  <c r="DN6" i="20"/>
  <c r="DN7" i="20"/>
  <c r="DN8" i="20"/>
  <c r="DN9" i="20"/>
  <c r="DN10" i="20"/>
  <c r="DN11" i="20"/>
  <c r="DN12" i="20"/>
  <c r="DN13" i="20"/>
  <c r="DN14" i="20"/>
  <c r="DN15" i="20"/>
  <c r="DN16" i="20"/>
  <c r="DN17" i="20"/>
  <c r="DN18" i="20"/>
  <c r="DN19" i="20"/>
  <c r="DN20" i="20"/>
  <c r="DN21" i="20"/>
  <c r="DN22" i="20"/>
  <c r="DN23" i="20"/>
  <c r="DN24" i="20"/>
  <c r="DN25" i="20"/>
  <c r="DN26" i="20"/>
  <c r="DN27" i="20"/>
  <c r="DN28" i="20"/>
  <c r="DN29" i="20"/>
  <c r="DN30" i="20"/>
  <c r="DN31" i="20"/>
  <c r="DN32" i="20"/>
  <c r="DN33" i="20"/>
  <c r="DN34" i="20"/>
  <c r="DN35" i="20"/>
  <c r="DN36" i="20"/>
  <c r="DN37" i="20"/>
  <c r="DN38" i="20"/>
  <c r="DN39" i="20"/>
  <c r="DN40" i="20"/>
  <c r="DN41" i="20"/>
  <c r="DN42" i="20"/>
  <c r="DN43" i="20"/>
  <c r="DN44" i="20"/>
  <c r="DN45" i="20"/>
  <c r="DN46" i="20"/>
  <c r="DN47" i="20"/>
  <c r="DN48" i="20"/>
  <c r="DN49" i="20"/>
  <c r="DN50" i="20"/>
  <c r="DN51" i="20"/>
  <c r="DN52" i="20"/>
  <c r="DN53" i="20"/>
  <c r="DN54" i="20"/>
  <c r="DN55" i="20"/>
  <c r="DN56" i="20"/>
  <c r="DN57" i="20"/>
  <c r="DN58" i="20"/>
  <c r="DN59" i="20"/>
  <c r="DN60" i="20"/>
  <c r="DN61" i="20"/>
  <c r="DN62" i="20"/>
  <c r="DN63" i="20"/>
  <c r="DN64" i="20"/>
  <c r="DN65" i="20"/>
  <c r="DN66" i="20"/>
  <c r="DN67" i="20"/>
  <c r="DN68" i="20"/>
  <c r="DN69" i="20"/>
  <c r="DN70" i="20"/>
  <c r="DN71" i="20"/>
  <c r="DN72" i="20"/>
  <c r="DN73" i="20"/>
  <c r="DN74" i="20"/>
  <c r="DN75" i="20"/>
  <c r="DN76" i="20"/>
  <c r="DN77" i="20"/>
  <c r="DN78" i="20"/>
  <c r="DN79" i="20"/>
  <c r="DN80" i="20"/>
  <c r="DN81" i="20"/>
  <c r="DN82" i="20"/>
  <c r="DN83" i="20"/>
  <c r="DN84" i="20"/>
  <c r="DN85" i="20"/>
  <c r="DN86" i="20"/>
  <c r="DN87" i="20"/>
  <c r="DN90" i="20"/>
  <c r="DN91" i="20"/>
  <c r="DN92" i="20"/>
  <c r="DN93" i="20"/>
  <c r="DN94" i="20"/>
  <c r="DN95" i="20"/>
  <c r="DN96" i="20"/>
  <c r="DN97" i="20"/>
  <c r="DN98" i="20"/>
  <c r="DN99" i="20"/>
  <c r="DN100" i="20"/>
  <c r="EX79" i="20"/>
  <c r="EW79" i="20"/>
  <c r="EV79" i="20"/>
  <c r="EU79" i="20"/>
  <c r="ET79" i="20"/>
  <c r="ES79" i="20"/>
  <c r="ER79" i="20"/>
  <c r="EN79" i="20"/>
  <c r="EM79" i="20"/>
  <c r="EL79" i="20"/>
  <c r="EK79" i="20"/>
  <c r="EO82" i="20" s="1"/>
  <c r="EJ79" i="20"/>
  <c r="EI79" i="20"/>
  <c r="DA79" i="20"/>
  <c r="EX78" i="20"/>
  <c r="EW78" i="20"/>
  <c r="EV78" i="20"/>
  <c r="EU78" i="20"/>
  <c r="ET78" i="20"/>
  <c r="ES78" i="20"/>
  <c r="ER78" i="20"/>
  <c r="EN78" i="20"/>
  <c r="EM78" i="20"/>
  <c r="EL78" i="20"/>
  <c r="EK78" i="20"/>
  <c r="EO81" i="20" s="1"/>
  <c r="EJ78" i="20"/>
  <c r="EI78" i="20"/>
  <c r="EX77" i="20"/>
  <c r="EW77" i="20"/>
  <c r="EV77" i="20"/>
  <c r="EU77" i="20"/>
  <c r="ET77" i="20"/>
  <c r="ES77" i="20"/>
  <c r="ER77" i="20"/>
  <c r="EN77" i="20"/>
  <c r="EM77" i="20"/>
  <c r="EL77" i="20"/>
  <c r="EK77" i="20"/>
  <c r="EO80" i="20" s="1"/>
  <c r="EJ77" i="20"/>
  <c r="EI77" i="20"/>
  <c r="EX76" i="20"/>
  <c r="EW76" i="20"/>
  <c r="EV76" i="20"/>
  <c r="EU76" i="20"/>
  <c r="ET76" i="20"/>
  <c r="ES76" i="20"/>
  <c r="EZ76" i="20" s="1"/>
  <c r="ER76" i="20"/>
  <c r="EN76" i="20"/>
  <c r="EM76" i="20"/>
  <c r="EL76" i="20"/>
  <c r="EK76" i="20"/>
  <c r="EO79" i="20" s="1"/>
  <c r="EJ76" i="20"/>
  <c r="EI76" i="20"/>
  <c r="EZ78" i="20" l="1"/>
  <c r="FA79" i="20"/>
  <c r="FA76" i="20"/>
  <c r="FA77" i="20"/>
  <c r="FA78" i="20"/>
  <c r="EZ77" i="20"/>
  <c r="EY79" i="20"/>
  <c r="EY76" i="20"/>
  <c r="EZ79" i="20"/>
  <c r="EY78" i="20"/>
  <c r="EY77" i="20"/>
  <c r="EX75" i="20"/>
  <c r="EW75" i="20"/>
  <c r="EV75" i="20"/>
  <c r="EU75" i="20"/>
  <c r="ET75" i="20"/>
  <c r="ES75" i="20"/>
  <c r="ER75" i="20"/>
  <c r="EN75" i="20"/>
  <c r="EM75" i="20"/>
  <c r="EL75" i="20"/>
  <c r="EK75" i="20"/>
  <c r="EO78" i="20" s="1"/>
  <c r="EJ75" i="20"/>
  <c r="EI75" i="20"/>
  <c r="FA75" i="20" l="1"/>
  <c r="EZ75" i="20"/>
  <c r="EY75" i="20"/>
  <c r="EX74" i="20"/>
  <c r="EV74" i="20"/>
  <c r="EU74" i="20"/>
  <c r="ET74" i="20"/>
  <c r="ES74" i="20"/>
  <c r="ER74" i="20"/>
  <c r="EN74" i="20"/>
  <c r="EM74" i="20"/>
  <c r="EL74" i="20"/>
  <c r="EK74" i="20"/>
  <c r="EO77" i="20" s="1"/>
  <c r="EJ74" i="20"/>
  <c r="EI74" i="20"/>
  <c r="EZ74" i="20" l="1"/>
  <c r="EY74" i="20"/>
  <c r="ER73" i="20"/>
  <c r="EN73" i="20"/>
  <c r="EM73" i="20"/>
  <c r="EL73" i="20"/>
  <c r="EK73" i="20"/>
  <c r="EO76" i="20" s="1"/>
  <c r="EJ73" i="20"/>
  <c r="EI73" i="20"/>
  <c r="EX72" i="20" l="1"/>
  <c r="EW72" i="20"/>
  <c r="EV72" i="20"/>
  <c r="EU72" i="20"/>
  <c r="ET72" i="20"/>
  <c r="ES72" i="20"/>
  <c r="ER72" i="20"/>
  <c r="EN72" i="20"/>
  <c r="EM72" i="20"/>
  <c r="EL72" i="20"/>
  <c r="EK72" i="20"/>
  <c r="EO75" i="20" s="1"/>
  <c r="EJ72" i="20"/>
  <c r="EI72" i="20"/>
  <c r="EZ72" i="20" l="1"/>
  <c r="FA72" i="20"/>
  <c r="EY72" i="20"/>
  <c r="AG60" i="27"/>
  <c r="AF60" i="27"/>
  <c r="AE60" i="27"/>
  <c r="AD60" i="27"/>
  <c r="S60" i="27"/>
  <c r="R60" i="27"/>
  <c r="G60" i="27"/>
  <c r="H60" i="27" s="1"/>
  <c r="D60" i="27"/>
  <c r="C60" i="27"/>
  <c r="AG59" i="27"/>
  <c r="AF59" i="27"/>
  <c r="AE59" i="27"/>
  <c r="AD59" i="27"/>
  <c r="S59" i="27"/>
  <c r="R59" i="27"/>
  <c r="T59" i="27" s="1"/>
  <c r="G59" i="27"/>
  <c r="H59" i="27" s="1"/>
  <c r="D59" i="27"/>
  <c r="C59" i="27"/>
  <c r="AG57" i="27"/>
  <c r="AF57" i="27"/>
  <c r="AE57" i="27"/>
  <c r="AD57" i="27"/>
  <c r="S57" i="27"/>
  <c r="R57" i="27"/>
  <c r="T57" i="27" s="1"/>
  <c r="G57" i="27"/>
  <c r="H57" i="27" s="1"/>
  <c r="D57" i="27"/>
  <c r="C57" i="27"/>
  <c r="AG55" i="27"/>
  <c r="AF55" i="27"/>
  <c r="AE55" i="27"/>
  <c r="AD55" i="27"/>
  <c r="S55" i="27"/>
  <c r="R55" i="27"/>
  <c r="T55" i="27" s="1"/>
  <c r="G55" i="27"/>
  <c r="H55" i="27" s="1"/>
  <c r="D55" i="27"/>
  <c r="C55" i="27"/>
  <c r="AG53" i="27"/>
  <c r="AF53" i="27"/>
  <c r="AE53" i="27"/>
  <c r="AD53" i="27"/>
  <c r="S53" i="27"/>
  <c r="R53" i="27"/>
  <c r="T53" i="27" s="1"/>
  <c r="G53" i="27"/>
  <c r="H53" i="27" s="1"/>
  <c r="D53" i="27"/>
  <c r="C53" i="27"/>
  <c r="AG51" i="27"/>
  <c r="AF51" i="27"/>
  <c r="AE51" i="27"/>
  <c r="AD51" i="27"/>
  <c r="S51" i="27"/>
  <c r="R51" i="27"/>
  <c r="T51" i="27" s="1"/>
  <c r="G51" i="27"/>
  <c r="H51" i="27" s="1"/>
  <c r="D51" i="27"/>
  <c r="C51" i="27"/>
  <c r="AG48" i="27"/>
  <c r="AF48" i="27"/>
  <c r="AE48" i="27"/>
  <c r="AD48" i="27"/>
  <c r="S48" i="27"/>
  <c r="R48" i="27"/>
  <c r="T48" i="27" s="1"/>
  <c r="G48" i="27"/>
  <c r="H48" i="27" s="1"/>
  <c r="D48" i="27"/>
  <c r="C48" i="27"/>
  <c r="AG47" i="27"/>
  <c r="AF47" i="27"/>
  <c r="AE47" i="27"/>
  <c r="AD47" i="27"/>
  <c r="S47" i="27"/>
  <c r="R47" i="27"/>
  <c r="T47" i="27" s="1"/>
  <c r="G47" i="27"/>
  <c r="H47" i="27" s="1"/>
  <c r="D47" i="27"/>
  <c r="C47" i="27"/>
  <c r="AG45" i="27"/>
  <c r="AF45" i="27"/>
  <c r="AE45" i="27"/>
  <c r="AD45" i="27"/>
  <c r="S45" i="27"/>
  <c r="R45" i="27"/>
  <c r="T45" i="27" s="1"/>
  <c r="G45" i="27"/>
  <c r="H45" i="27" s="1"/>
  <c r="D45" i="27"/>
  <c r="C45" i="27"/>
  <c r="AG44" i="27"/>
  <c r="AF44" i="27"/>
  <c r="AE44" i="27"/>
  <c r="AD44" i="27"/>
  <c r="S44" i="27"/>
  <c r="R44" i="27"/>
  <c r="G44" i="27"/>
  <c r="H44" i="27" s="1"/>
  <c r="D44" i="27"/>
  <c r="C44" i="27"/>
  <c r="AG43" i="27"/>
  <c r="AF43" i="27"/>
  <c r="AE43" i="27"/>
  <c r="AD43" i="27"/>
  <c r="S43" i="27"/>
  <c r="R43" i="27"/>
  <c r="G43" i="27"/>
  <c r="H43" i="27" s="1"/>
  <c r="D43" i="27"/>
  <c r="C43" i="27"/>
  <c r="AG42" i="27"/>
  <c r="AF42" i="27"/>
  <c r="AE42" i="27"/>
  <c r="AD42" i="27"/>
  <c r="S42" i="27"/>
  <c r="R42" i="27"/>
  <c r="G42" i="27"/>
  <c r="H42" i="27" s="1"/>
  <c r="D42" i="27"/>
  <c r="C42" i="27"/>
  <c r="AG41" i="27"/>
  <c r="AF41" i="27"/>
  <c r="AE41" i="27"/>
  <c r="AD41" i="27"/>
  <c r="S41" i="27"/>
  <c r="R41" i="27"/>
  <c r="G41" i="27"/>
  <c r="H41" i="27" s="1"/>
  <c r="D41" i="27"/>
  <c r="C41" i="27"/>
  <c r="AG40" i="27"/>
  <c r="AF40" i="27"/>
  <c r="AE40" i="27"/>
  <c r="AD40" i="27"/>
  <c r="S40" i="27"/>
  <c r="R40" i="27"/>
  <c r="G40" i="27"/>
  <c r="H40" i="27" s="1"/>
  <c r="D40" i="27"/>
  <c r="C40" i="27"/>
  <c r="AG38" i="27"/>
  <c r="AF38" i="27"/>
  <c r="AE38" i="27"/>
  <c r="AD38" i="27"/>
  <c r="S38" i="27"/>
  <c r="R38" i="27"/>
  <c r="T38" i="27" s="1"/>
  <c r="G38" i="27"/>
  <c r="H38" i="27" s="1"/>
  <c r="D38" i="27"/>
  <c r="C38" i="27"/>
  <c r="AG36" i="27"/>
  <c r="AF36" i="27"/>
  <c r="AE36" i="27"/>
  <c r="AD36" i="27"/>
  <c r="S36" i="27"/>
  <c r="R36" i="27"/>
  <c r="T36" i="27" s="1"/>
  <c r="G36" i="27"/>
  <c r="H36" i="27" s="1"/>
  <c r="D36" i="27"/>
  <c r="C36" i="27"/>
  <c r="AG33" i="27"/>
  <c r="AF33" i="27"/>
  <c r="AE33" i="27"/>
  <c r="AD33" i="27"/>
  <c r="S33" i="27"/>
  <c r="R33" i="27"/>
  <c r="T33" i="27" s="1"/>
  <c r="G33" i="27"/>
  <c r="H33" i="27" s="1"/>
  <c r="D33" i="27"/>
  <c r="C33" i="27"/>
  <c r="AG31" i="27"/>
  <c r="AF31" i="27"/>
  <c r="AE31" i="27"/>
  <c r="AD31" i="27"/>
  <c r="S31" i="27"/>
  <c r="R31" i="27"/>
  <c r="T31" i="27" s="1"/>
  <c r="G31" i="27"/>
  <c r="H31" i="27" s="1"/>
  <c r="D31" i="27"/>
  <c r="C31" i="27"/>
  <c r="AG30" i="27"/>
  <c r="AF30" i="27"/>
  <c r="AE30" i="27"/>
  <c r="AD30" i="27"/>
  <c r="S30" i="27"/>
  <c r="R30" i="27"/>
  <c r="G30" i="27"/>
  <c r="H30" i="27" s="1"/>
  <c r="D30" i="27"/>
  <c r="C30" i="27"/>
  <c r="AG29" i="27"/>
  <c r="AF29" i="27"/>
  <c r="AE29" i="27"/>
  <c r="AD29" i="27"/>
  <c r="S29" i="27"/>
  <c r="R29" i="27"/>
  <c r="G29" i="27"/>
  <c r="H29" i="27" s="1"/>
  <c r="D29" i="27"/>
  <c r="C29" i="27"/>
  <c r="AG28" i="27"/>
  <c r="AF28" i="27"/>
  <c r="AE28" i="27"/>
  <c r="AD28" i="27"/>
  <c r="S28" i="27"/>
  <c r="R28" i="27"/>
  <c r="G28" i="27"/>
  <c r="H28" i="27" s="1"/>
  <c r="D28" i="27"/>
  <c r="C28" i="27"/>
  <c r="AG27" i="27"/>
  <c r="AF27" i="27"/>
  <c r="AE27" i="27"/>
  <c r="AD27" i="27"/>
  <c r="S27" i="27"/>
  <c r="R27" i="27"/>
  <c r="G27" i="27"/>
  <c r="H27" i="27" s="1"/>
  <c r="D27" i="27"/>
  <c r="C27" i="27"/>
  <c r="AG26" i="27"/>
  <c r="AF26" i="27"/>
  <c r="AE26" i="27"/>
  <c r="AD26" i="27"/>
  <c r="S26" i="27"/>
  <c r="R26" i="27"/>
  <c r="G26" i="27"/>
  <c r="H26" i="27" s="1"/>
  <c r="D26" i="27"/>
  <c r="C26" i="27"/>
  <c r="AG25" i="27"/>
  <c r="AF25" i="27"/>
  <c r="AE25" i="27"/>
  <c r="AD25" i="27"/>
  <c r="S25" i="27"/>
  <c r="R25" i="27"/>
  <c r="G25" i="27"/>
  <c r="H25" i="27" s="1"/>
  <c r="D25" i="27"/>
  <c r="C25" i="27"/>
  <c r="AG24" i="27"/>
  <c r="AF24" i="27"/>
  <c r="AE24" i="27"/>
  <c r="AD24" i="27"/>
  <c r="S24" i="27"/>
  <c r="R24" i="27"/>
  <c r="G24" i="27"/>
  <c r="H24" i="27" s="1"/>
  <c r="D24" i="27"/>
  <c r="C24" i="27"/>
  <c r="AG23" i="27"/>
  <c r="AF23" i="27"/>
  <c r="AE23" i="27"/>
  <c r="AD23" i="27"/>
  <c r="S23" i="27"/>
  <c r="R23" i="27"/>
  <c r="G23" i="27"/>
  <c r="H23" i="27" s="1"/>
  <c r="D23" i="27"/>
  <c r="C23" i="27"/>
  <c r="AG22" i="27"/>
  <c r="AF22" i="27"/>
  <c r="AE22" i="27"/>
  <c r="AD22" i="27"/>
  <c r="S22" i="27"/>
  <c r="R22" i="27"/>
  <c r="G22" i="27"/>
  <c r="H22" i="27" s="1"/>
  <c r="D22" i="27"/>
  <c r="C22" i="27"/>
  <c r="AG20" i="27"/>
  <c r="AF20" i="27"/>
  <c r="AE20" i="27"/>
  <c r="AD20" i="27"/>
  <c r="S20" i="27"/>
  <c r="R20" i="27"/>
  <c r="G20" i="27"/>
  <c r="H20" i="27" s="1"/>
  <c r="D20" i="27"/>
  <c r="C20" i="27"/>
  <c r="AG19" i="27"/>
  <c r="AF19" i="27"/>
  <c r="AE19" i="27"/>
  <c r="AD19" i="27"/>
  <c r="S19" i="27"/>
  <c r="R19" i="27"/>
  <c r="G19" i="27"/>
  <c r="H19" i="27" s="1"/>
  <c r="D19" i="27"/>
  <c r="C19" i="27"/>
  <c r="AG18" i="27"/>
  <c r="AF18" i="27"/>
  <c r="AE18" i="27"/>
  <c r="AD18" i="27"/>
  <c r="S18" i="27"/>
  <c r="R18" i="27"/>
  <c r="G18" i="27"/>
  <c r="H18" i="27" s="1"/>
  <c r="D18" i="27"/>
  <c r="C18" i="27"/>
  <c r="AG17" i="27"/>
  <c r="AF17" i="27"/>
  <c r="AE17" i="27"/>
  <c r="AD17" i="27"/>
  <c r="S17" i="27"/>
  <c r="R17" i="27"/>
  <c r="T17" i="27" s="1"/>
  <c r="G17" i="27"/>
  <c r="H17" i="27" s="1"/>
  <c r="D17" i="27"/>
  <c r="C17" i="27"/>
  <c r="AG16" i="27"/>
  <c r="AF16" i="27"/>
  <c r="AE16" i="27"/>
  <c r="AD16" i="27"/>
  <c r="S16" i="27"/>
  <c r="R16" i="27"/>
  <c r="T16" i="27" s="1"/>
  <c r="U16" i="27" s="1"/>
  <c r="G16" i="27"/>
  <c r="H16" i="27" s="1"/>
  <c r="D16" i="27"/>
  <c r="C16" i="27"/>
  <c r="AG15" i="27"/>
  <c r="AF15" i="27"/>
  <c r="AE15" i="27"/>
  <c r="AD15" i="27"/>
  <c r="S15" i="27"/>
  <c r="R15" i="27"/>
  <c r="T15" i="27" s="1"/>
  <c r="G15" i="27"/>
  <c r="H15" i="27" s="1"/>
  <c r="D15" i="27"/>
  <c r="C15" i="27"/>
  <c r="AG14" i="27"/>
  <c r="AF14" i="27"/>
  <c r="AE14" i="27"/>
  <c r="AD14" i="27"/>
  <c r="S14" i="27"/>
  <c r="R14" i="27"/>
  <c r="T14" i="27" s="1"/>
  <c r="U14" i="27" s="1"/>
  <c r="G14" i="27"/>
  <c r="H14" i="27" s="1"/>
  <c r="D14" i="27"/>
  <c r="C14" i="27"/>
  <c r="AG13" i="27"/>
  <c r="AF13" i="27"/>
  <c r="AE13" i="27"/>
  <c r="AD13" i="27"/>
  <c r="S13" i="27"/>
  <c r="R13" i="27"/>
  <c r="T13" i="27" s="1"/>
  <c r="G13" i="27"/>
  <c r="H13" i="27" s="1"/>
  <c r="D13" i="27"/>
  <c r="C13" i="27"/>
  <c r="AG12" i="27"/>
  <c r="AE12" i="27"/>
  <c r="AD12" i="27"/>
  <c r="S12" i="27"/>
  <c r="R12" i="27"/>
  <c r="T12" i="27" s="1"/>
  <c r="U12" i="27" s="1"/>
  <c r="G12" i="27"/>
  <c r="H12" i="27" s="1"/>
  <c r="D12" i="27"/>
  <c r="C12" i="27"/>
  <c r="AG11" i="27"/>
  <c r="AE11" i="27"/>
  <c r="AD11" i="27"/>
  <c r="S11" i="27"/>
  <c r="R11" i="27"/>
  <c r="T11" i="27" s="1"/>
  <c r="G11" i="27"/>
  <c r="H11" i="27" s="1"/>
  <c r="D11" i="27"/>
  <c r="C11" i="27"/>
  <c r="AG10" i="27"/>
  <c r="AE10" i="27"/>
  <c r="AD10" i="27"/>
  <c r="S10" i="27"/>
  <c r="R10" i="27"/>
  <c r="T10" i="27" s="1"/>
  <c r="U10" i="27" s="1"/>
  <c r="G10" i="27"/>
  <c r="H10" i="27" s="1"/>
  <c r="D10" i="27"/>
  <c r="C10" i="27"/>
  <c r="AG9" i="27"/>
  <c r="AF9" i="27"/>
  <c r="AE9" i="27"/>
  <c r="AD9" i="27"/>
  <c r="S9" i="27"/>
  <c r="R9" i="27"/>
  <c r="G9" i="27"/>
  <c r="H9" i="27" s="1"/>
  <c r="D9" i="27"/>
  <c r="C9" i="27"/>
  <c r="AG8" i="27"/>
  <c r="AF8" i="27"/>
  <c r="AE8" i="27"/>
  <c r="AD8" i="27"/>
  <c r="S8" i="27"/>
  <c r="R8" i="27"/>
  <c r="G8" i="27"/>
  <c r="H8" i="27" s="1"/>
  <c r="D8" i="27"/>
  <c r="C8" i="27"/>
  <c r="AG7" i="27"/>
  <c r="AF7" i="27"/>
  <c r="AE7" i="27"/>
  <c r="AD7" i="27"/>
  <c r="S7" i="27"/>
  <c r="R7" i="27"/>
  <c r="G7" i="27"/>
  <c r="H7" i="27" s="1"/>
  <c r="D7" i="27"/>
  <c r="C7" i="27"/>
  <c r="AG6" i="27"/>
  <c r="AF6" i="27"/>
  <c r="AE6" i="27"/>
  <c r="AD6" i="27"/>
  <c r="S6" i="27"/>
  <c r="R6" i="27"/>
  <c r="G6" i="27"/>
  <c r="H6" i="27" s="1"/>
  <c r="D6" i="27"/>
  <c r="C6" i="27"/>
  <c r="AG5" i="27"/>
  <c r="AF5" i="27"/>
  <c r="AE5" i="27"/>
  <c r="AD5" i="27"/>
  <c r="S5" i="27"/>
  <c r="R5" i="27"/>
  <c r="G5" i="27"/>
  <c r="H5" i="27" s="1"/>
  <c r="D5" i="27"/>
  <c r="C5" i="27"/>
  <c r="AG4" i="27"/>
  <c r="AF4" i="27"/>
  <c r="AE4" i="27"/>
  <c r="AD4" i="27"/>
  <c r="S4" i="27"/>
  <c r="R4" i="27"/>
  <c r="G4" i="27"/>
  <c r="H4" i="27" s="1"/>
  <c r="D4" i="27"/>
  <c r="C4" i="27"/>
  <c r="AG3" i="27"/>
  <c r="AF3" i="27"/>
  <c r="AE3" i="27"/>
  <c r="AD3" i="27"/>
  <c r="S3" i="27"/>
  <c r="R3" i="27"/>
  <c r="T3" i="27" s="1"/>
  <c r="U3" i="27" s="1"/>
  <c r="G3" i="27"/>
  <c r="H3" i="27" s="1"/>
  <c r="D3" i="27"/>
  <c r="C3" i="27"/>
  <c r="AL2" i="27"/>
  <c r="AG2" i="27"/>
  <c r="AF2" i="27"/>
  <c r="AE2" i="27"/>
  <c r="AD2" i="27"/>
  <c r="T2" i="27"/>
  <c r="U2" i="27" s="1"/>
  <c r="V31" i="27" l="1"/>
  <c r="AJ31" i="27" s="1"/>
  <c r="U31" i="27"/>
  <c r="AL31" i="27" s="1"/>
  <c r="U51" i="27"/>
  <c r="AL51" i="27" s="1"/>
  <c r="V51" i="27"/>
  <c r="AJ51" i="27" s="1"/>
  <c r="V48" i="27"/>
  <c r="AJ48" i="27" s="1"/>
  <c r="U48" i="27"/>
  <c r="AL48" i="27" s="1"/>
  <c r="U15" i="27"/>
  <c r="AL15" i="27" s="1"/>
  <c r="V47" i="27"/>
  <c r="AJ47" i="27" s="1"/>
  <c r="U47" i="27"/>
  <c r="AL47" i="27" s="1"/>
  <c r="V59" i="27"/>
  <c r="AJ59" i="27" s="1"/>
  <c r="U59" i="27"/>
  <c r="AL59" i="27" s="1"/>
  <c r="U11" i="27"/>
  <c r="AL11" i="27" s="1"/>
  <c r="V38" i="27"/>
  <c r="AJ38" i="27" s="1"/>
  <c r="U38" i="27"/>
  <c r="AL38" i="27" s="1"/>
  <c r="V45" i="27"/>
  <c r="AJ45" i="27" s="1"/>
  <c r="U45" i="27"/>
  <c r="AL45" i="27" s="1"/>
  <c r="V57" i="27"/>
  <c r="AJ57" i="27" s="1"/>
  <c r="U57" i="27"/>
  <c r="AL57" i="27" s="1"/>
  <c r="U36" i="27"/>
  <c r="AL36" i="27" s="1"/>
  <c r="V36" i="27"/>
  <c r="AJ36" i="27" s="1"/>
  <c r="V55" i="27"/>
  <c r="AJ55" i="27" s="1"/>
  <c r="U55" i="27"/>
  <c r="AL55" i="27" s="1"/>
  <c r="U13" i="27"/>
  <c r="AL13" i="27" s="1"/>
  <c r="U17" i="27"/>
  <c r="AL17" i="27" s="1"/>
  <c r="U33" i="27"/>
  <c r="AL33" i="27" s="1"/>
  <c r="V33" i="27"/>
  <c r="AJ33" i="27" s="1"/>
  <c r="U53" i="27"/>
  <c r="AL53" i="27" s="1"/>
  <c r="V53" i="27"/>
  <c r="AJ53" i="27" s="1"/>
  <c r="T8" i="27"/>
  <c r="T5" i="27"/>
  <c r="T6" i="27"/>
  <c r="T41" i="27"/>
  <c r="T19" i="27"/>
  <c r="U19" i="27" s="1"/>
  <c r="AL19" i="27" s="1"/>
  <c r="T23" i="27"/>
  <c r="T9" i="27"/>
  <c r="U9" i="27" s="1"/>
  <c r="AL9" i="27" s="1"/>
  <c r="T44" i="27"/>
  <c r="T25" i="27"/>
  <c r="T30" i="27"/>
  <c r="U30" i="27" s="1"/>
  <c r="T42" i="27"/>
  <c r="T7" i="27"/>
  <c r="T27" i="27"/>
  <c r="U27" i="27" s="1"/>
  <c r="AL27" i="27" s="1"/>
  <c r="T28" i="27"/>
  <c r="U28" i="27" s="1"/>
  <c r="AL28" i="27" s="1"/>
  <c r="T60" i="27"/>
  <c r="U60" i="27" s="1"/>
  <c r="AL60" i="27" s="1"/>
  <c r="T18" i="27"/>
  <c r="U18" i="27" s="1"/>
  <c r="AL18" i="27" s="1"/>
  <c r="T20" i="27"/>
  <c r="U20" i="27" s="1"/>
  <c r="AL20" i="27" s="1"/>
  <c r="T43" i="27"/>
  <c r="T4" i="27"/>
  <c r="T22" i="27"/>
  <c r="U22" i="27" s="1"/>
  <c r="T24" i="27"/>
  <c r="T26" i="27"/>
  <c r="U26" i="27" s="1"/>
  <c r="T29" i="27"/>
  <c r="T40" i="27"/>
  <c r="AL3" i="27"/>
  <c r="AL10" i="27"/>
  <c r="AL12" i="27"/>
  <c r="AL14" i="27"/>
  <c r="AL16" i="27"/>
  <c r="EK71" i="20"/>
  <c r="EO74" i="20" s="1"/>
  <c r="EL71" i="20"/>
  <c r="EM71" i="20"/>
  <c r="EN71" i="20"/>
  <c r="ER71" i="20"/>
  <c r="EI71" i="20"/>
  <c r="EJ71" i="20"/>
  <c r="U24" i="27" l="1"/>
  <c r="AL24" i="27" s="1"/>
  <c r="U25" i="27"/>
  <c r="AL25" i="27" s="1"/>
  <c r="V4" i="27"/>
  <c r="AJ4" i="27" s="1"/>
  <c r="U4" i="27"/>
  <c r="AL4" i="27" s="1"/>
  <c r="V43" i="27"/>
  <c r="AJ43" i="27" s="1"/>
  <c r="U43" i="27"/>
  <c r="AL43" i="27" s="1"/>
  <c r="U23" i="27"/>
  <c r="AL23" i="27" s="1"/>
  <c r="V5" i="27"/>
  <c r="AJ5" i="27" s="1"/>
  <c r="U5" i="27"/>
  <c r="AL5" i="27" s="1"/>
  <c r="V41" i="27"/>
  <c r="AJ41" i="27" s="1"/>
  <c r="U41" i="27"/>
  <c r="AL41" i="27" s="1"/>
  <c r="U29" i="27"/>
  <c r="AL29" i="27" s="1"/>
  <c r="V42" i="27"/>
  <c r="AJ42" i="27" s="1"/>
  <c r="U42" i="27"/>
  <c r="AL42" i="27" s="1"/>
  <c r="V6" i="27"/>
  <c r="AJ6" i="27" s="1"/>
  <c r="U6" i="27"/>
  <c r="AL6" i="27" s="1"/>
  <c r="U8" i="27"/>
  <c r="AL8" i="27" s="1"/>
  <c r="V8" i="27"/>
  <c r="AJ8" i="27" s="1"/>
  <c r="V40" i="27"/>
  <c r="AJ40" i="27" s="1"/>
  <c r="U40" i="27"/>
  <c r="AL40" i="27" s="1"/>
  <c r="V7" i="27"/>
  <c r="AJ7" i="27" s="1"/>
  <c r="U7" i="27"/>
  <c r="AL7" i="27" s="1"/>
  <c r="V44" i="27"/>
  <c r="AJ44" i="27" s="1"/>
  <c r="U44" i="27"/>
  <c r="AL44" i="27" s="1"/>
  <c r="AL22" i="27"/>
  <c r="AL30" i="27"/>
  <c r="AL26" i="27"/>
  <c r="ER70" i="20"/>
  <c r="EN69" i="20"/>
  <c r="EN70" i="20"/>
  <c r="EM70" i="20"/>
  <c r="EL70" i="20"/>
  <c r="EK70" i="20"/>
  <c r="EO73" i="20" s="1"/>
  <c r="EJ70" i="20"/>
  <c r="EI70" i="20"/>
  <c r="EX69" i="20" l="1"/>
  <c r="EW69" i="20"/>
  <c r="EV69" i="20"/>
  <c r="EU69" i="20"/>
  <c r="ET69" i="20"/>
  <c r="ES69" i="20"/>
  <c r="ER69" i="20"/>
  <c r="EM69" i="20"/>
  <c r="EL69" i="20"/>
  <c r="EK69" i="20"/>
  <c r="EO72" i="20" s="1"/>
  <c r="EJ69" i="20"/>
  <c r="EI69" i="20"/>
  <c r="EX70" i="20" l="1"/>
  <c r="EX71" i="20"/>
  <c r="EX73" i="20"/>
  <c r="EX80" i="20"/>
  <c r="EX83" i="20"/>
  <c r="EX84" i="20"/>
  <c r="EX85" i="20"/>
  <c r="EX86" i="20"/>
  <c r="EX87" i="20"/>
  <c r="EX88" i="20"/>
  <c r="EX89" i="20"/>
  <c r="EX90" i="20"/>
  <c r="EX91" i="20"/>
  <c r="EX92" i="20"/>
  <c r="EX93" i="20"/>
  <c r="EX94" i="20"/>
  <c r="EX95" i="20"/>
  <c r="EX96" i="20"/>
  <c r="FA69" i="20"/>
  <c r="EW70" i="20"/>
  <c r="EW71" i="20"/>
  <c r="EW73" i="20"/>
  <c r="FA73" i="20" s="1"/>
  <c r="EW74" i="20"/>
  <c r="FA74" i="20" s="1"/>
  <c r="EW80" i="20"/>
  <c r="EW83" i="20"/>
  <c r="EW84" i="20"/>
  <c r="EW85" i="20"/>
  <c r="EW86" i="20"/>
  <c r="EW87" i="20"/>
  <c r="EW88" i="20"/>
  <c r="EW89" i="20"/>
  <c r="EW90" i="20"/>
  <c r="EW91" i="20"/>
  <c r="FA91" i="20" s="1"/>
  <c r="EW92" i="20"/>
  <c r="EW93" i="20"/>
  <c r="EW94" i="20"/>
  <c r="EW95" i="20"/>
  <c r="EW96" i="20"/>
  <c r="EW97" i="20"/>
  <c r="FA97" i="20" s="1"/>
  <c r="EW98" i="20"/>
  <c r="FA98" i="20" s="1"/>
  <c r="EW99" i="20"/>
  <c r="EW100" i="20"/>
  <c r="EV70" i="20"/>
  <c r="EV71" i="20"/>
  <c r="EV73" i="20"/>
  <c r="EV80" i="20"/>
  <c r="EV83" i="20"/>
  <c r="EV84" i="20"/>
  <c r="EV85" i="20"/>
  <c r="EV86" i="20"/>
  <c r="EV87" i="20"/>
  <c r="EV88" i="20"/>
  <c r="EV89" i="20"/>
  <c r="EV90" i="20"/>
  <c r="EV91" i="20"/>
  <c r="EV92" i="20"/>
  <c r="EV93" i="20"/>
  <c r="EV94" i="20"/>
  <c r="EV95" i="20"/>
  <c r="EV96" i="20"/>
  <c r="EV97" i="20"/>
  <c r="EV98" i="20"/>
  <c r="EV99" i="20"/>
  <c r="EV100" i="20"/>
  <c r="EU70" i="20"/>
  <c r="EU71" i="20"/>
  <c r="EU73" i="20"/>
  <c r="EU83" i="20"/>
  <c r="EU84" i="20"/>
  <c r="EU85" i="20"/>
  <c r="EU86" i="20"/>
  <c r="EU87" i="20"/>
  <c r="EU88" i="20"/>
  <c r="EU89" i="20"/>
  <c r="EU90" i="20"/>
  <c r="EU91" i="20"/>
  <c r="EU92" i="20"/>
  <c r="EU93" i="20"/>
  <c r="EU94" i="20"/>
  <c r="EU95" i="20"/>
  <c r="EU96" i="20"/>
  <c r="EU97" i="20"/>
  <c r="EU98" i="20"/>
  <c r="EU99" i="20"/>
  <c r="EU100" i="20"/>
  <c r="EY69" i="20"/>
  <c r="ET70" i="20"/>
  <c r="ET71" i="20"/>
  <c r="ET73" i="20"/>
  <c r="ET83" i="20"/>
  <c r="ET84" i="20"/>
  <c r="ET85" i="20"/>
  <c r="ET86" i="20"/>
  <c r="ET87" i="20"/>
  <c r="ET88" i="20"/>
  <c r="ET89" i="20"/>
  <c r="ET90" i="20"/>
  <c r="ET91" i="20"/>
  <c r="ET92" i="20"/>
  <c r="ET93" i="20"/>
  <c r="ET94" i="20"/>
  <c r="ET95" i="20"/>
  <c r="ET96" i="20"/>
  <c r="ET97" i="20"/>
  <c r="ET98" i="20"/>
  <c r="EZ98" i="20" s="1"/>
  <c r="ET99" i="20"/>
  <c r="ET100" i="20"/>
  <c r="ES70" i="20"/>
  <c r="ES71" i="20"/>
  <c r="ES73" i="20"/>
  <c r="ES83" i="20"/>
  <c r="ES84" i="20"/>
  <c r="ES85" i="20"/>
  <c r="ES86" i="20"/>
  <c r="ES87" i="20"/>
  <c r="ES88" i="20"/>
  <c r="ES89" i="20"/>
  <c r="ES90" i="20"/>
  <c r="ES91" i="20"/>
  <c r="ES92" i="20"/>
  <c r="ES94" i="20"/>
  <c r="ES95" i="20"/>
  <c r="ES96" i="20"/>
  <c r="ES97" i="20"/>
  <c r="ES98" i="20"/>
  <c r="ES99" i="20"/>
  <c r="ES100" i="20"/>
  <c r="CX69" i="20"/>
  <c r="CY69" i="20"/>
  <c r="CZ69" i="20"/>
  <c r="DA69" i="20"/>
  <c r="DB69" i="20"/>
  <c r="DD69" i="20"/>
  <c r="DF69" i="20"/>
  <c r="DG69" i="20"/>
  <c r="DH69" i="20"/>
  <c r="DI69" i="20"/>
  <c r="DJ69" i="20"/>
  <c r="DK69" i="20"/>
  <c r="DL69" i="20"/>
  <c r="CX70" i="20"/>
  <c r="CY70" i="20"/>
  <c r="CZ70" i="20"/>
  <c r="DA70" i="20"/>
  <c r="DB70" i="20"/>
  <c r="DD70" i="20"/>
  <c r="DF70" i="20"/>
  <c r="DG70" i="20"/>
  <c r="DH70" i="20"/>
  <c r="DI70" i="20"/>
  <c r="DJ70" i="20"/>
  <c r="DK70" i="20"/>
  <c r="DL70" i="20"/>
  <c r="CX71" i="20"/>
  <c r="CY71" i="20"/>
  <c r="CZ71" i="20"/>
  <c r="DA71" i="20"/>
  <c r="DB71" i="20"/>
  <c r="DD71" i="20"/>
  <c r="DF71" i="20"/>
  <c r="DG71" i="20"/>
  <c r="DH71" i="20"/>
  <c r="DI71" i="20"/>
  <c r="DJ71" i="20"/>
  <c r="DK71" i="20"/>
  <c r="DL71" i="20"/>
  <c r="CX72" i="20"/>
  <c r="CY72" i="20"/>
  <c r="CZ72" i="20"/>
  <c r="DA72" i="20"/>
  <c r="DB72" i="20"/>
  <c r="DD72" i="20"/>
  <c r="DF72" i="20"/>
  <c r="DG72" i="20"/>
  <c r="DH72" i="20"/>
  <c r="DI72" i="20"/>
  <c r="DJ72" i="20"/>
  <c r="DK72" i="20"/>
  <c r="DL72" i="20"/>
  <c r="CX73" i="20"/>
  <c r="CY73" i="20"/>
  <c r="CZ73" i="20"/>
  <c r="DA73" i="20"/>
  <c r="DB73" i="20"/>
  <c r="DD73" i="20"/>
  <c r="DF73" i="20"/>
  <c r="DG73" i="20"/>
  <c r="DH73" i="20"/>
  <c r="DI73" i="20"/>
  <c r="DJ73" i="20"/>
  <c r="DK73" i="20"/>
  <c r="DL73" i="20"/>
  <c r="CX74" i="20"/>
  <c r="CY74" i="20"/>
  <c r="CZ74" i="20"/>
  <c r="DA74" i="20"/>
  <c r="DB74" i="20"/>
  <c r="DD74" i="20"/>
  <c r="DF74" i="20"/>
  <c r="DG74" i="20"/>
  <c r="DH74" i="20"/>
  <c r="DI74" i="20"/>
  <c r="DJ74" i="20"/>
  <c r="DK74" i="20"/>
  <c r="DL74" i="20"/>
  <c r="CX75" i="20"/>
  <c r="CY75" i="20"/>
  <c r="CZ75" i="20"/>
  <c r="DA75" i="20"/>
  <c r="DB75" i="20"/>
  <c r="DD75" i="20"/>
  <c r="DF75" i="20"/>
  <c r="DG75" i="20"/>
  <c r="DH75" i="20"/>
  <c r="DI75" i="20"/>
  <c r="DJ75" i="20"/>
  <c r="DK75" i="20"/>
  <c r="DL75" i="20"/>
  <c r="CX76" i="20"/>
  <c r="CY76" i="20"/>
  <c r="DA76" i="20"/>
  <c r="DB76" i="20"/>
  <c r="DD76" i="20"/>
  <c r="DF76" i="20"/>
  <c r="DG76" i="20"/>
  <c r="DH76" i="20"/>
  <c r="DI76" i="20"/>
  <c r="DJ76" i="20"/>
  <c r="DK76" i="20"/>
  <c r="DL76" i="20"/>
  <c r="CX77" i="20"/>
  <c r="CY77" i="20"/>
  <c r="DA77" i="20"/>
  <c r="DB77" i="20"/>
  <c r="DD77" i="20"/>
  <c r="DF77" i="20"/>
  <c r="DG77" i="20"/>
  <c r="DH77" i="20"/>
  <c r="DI77" i="20"/>
  <c r="DJ77" i="20"/>
  <c r="DK77" i="20"/>
  <c r="DL77" i="20"/>
  <c r="CX78" i="20"/>
  <c r="CY78" i="20"/>
  <c r="DA78" i="20"/>
  <c r="DB78" i="20"/>
  <c r="DD78" i="20"/>
  <c r="DF78" i="20"/>
  <c r="DG78" i="20"/>
  <c r="DH78" i="20"/>
  <c r="DI78" i="20"/>
  <c r="DJ78" i="20"/>
  <c r="DK78" i="20"/>
  <c r="DL78" i="20"/>
  <c r="CX79" i="20"/>
  <c r="CY79" i="20"/>
  <c r="DB79" i="20"/>
  <c r="DD79" i="20"/>
  <c r="DF79" i="20"/>
  <c r="DG79" i="20"/>
  <c r="DH79" i="20"/>
  <c r="DI79" i="20"/>
  <c r="DJ79" i="20"/>
  <c r="DK79" i="20"/>
  <c r="DL79" i="20"/>
  <c r="CX80" i="20"/>
  <c r="CY80" i="20"/>
  <c r="DA80" i="20"/>
  <c r="DB80" i="20"/>
  <c r="DD80" i="20"/>
  <c r="DF80" i="20"/>
  <c r="DG80" i="20"/>
  <c r="DH80" i="20"/>
  <c r="DI80" i="20"/>
  <c r="DJ80" i="20"/>
  <c r="DK80" i="20"/>
  <c r="DL80" i="20"/>
  <c r="CX81" i="20"/>
  <c r="CY81" i="20"/>
  <c r="DA81" i="20"/>
  <c r="DB81" i="20"/>
  <c r="DD81" i="20"/>
  <c r="DF81" i="20"/>
  <c r="DG81" i="20"/>
  <c r="DH81" i="20"/>
  <c r="DI81" i="20"/>
  <c r="DJ81" i="20"/>
  <c r="DK81" i="20"/>
  <c r="DL81" i="20"/>
  <c r="CX82" i="20"/>
  <c r="CY82" i="20"/>
  <c r="DA82" i="20"/>
  <c r="DB82" i="20"/>
  <c r="DD82" i="20"/>
  <c r="DF82" i="20"/>
  <c r="DG82" i="20"/>
  <c r="DH82" i="20"/>
  <c r="DI82" i="20"/>
  <c r="DJ82" i="20"/>
  <c r="DK82" i="20"/>
  <c r="DL82" i="20"/>
  <c r="CX83" i="20"/>
  <c r="CY83" i="20"/>
  <c r="DA83" i="20"/>
  <c r="DB83" i="20"/>
  <c r="DD83" i="20"/>
  <c r="DF83" i="20"/>
  <c r="DG83" i="20"/>
  <c r="DH83" i="20"/>
  <c r="DI83" i="20"/>
  <c r="DJ83" i="20"/>
  <c r="DK83" i="20"/>
  <c r="DL83" i="20"/>
  <c r="CX84" i="20"/>
  <c r="CY84" i="20"/>
  <c r="DA84" i="20"/>
  <c r="DB84" i="20"/>
  <c r="DD84" i="20"/>
  <c r="DF84" i="20"/>
  <c r="DG84" i="20"/>
  <c r="DH84" i="20"/>
  <c r="DI84" i="20"/>
  <c r="DJ84" i="20"/>
  <c r="DK84" i="20"/>
  <c r="DL84" i="20"/>
  <c r="CX85" i="20"/>
  <c r="CY85" i="20"/>
  <c r="DA85" i="20"/>
  <c r="DB85" i="20"/>
  <c r="DD85" i="20"/>
  <c r="DF85" i="20"/>
  <c r="DG85" i="20"/>
  <c r="DH85" i="20"/>
  <c r="DI85" i="20"/>
  <c r="DJ85" i="20"/>
  <c r="DK85" i="20"/>
  <c r="DL85" i="20"/>
  <c r="CX86" i="20"/>
  <c r="DA86" i="20"/>
  <c r="DB86" i="20"/>
  <c r="DD86" i="20"/>
  <c r="DF86" i="20"/>
  <c r="DG86" i="20"/>
  <c r="DH86" i="20"/>
  <c r="DJ86" i="20"/>
  <c r="DK86" i="20"/>
  <c r="DL86" i="20"/>
  <c r="CX87" i="20"/>
  <c r="CY87" i="20"/>
  <c r="DA87" i="20"/>
  <c r="DB87" i="20"/>
  <c r="DD87" i="20"/>
  <c r="DF87" i="20"/>
  <c r="DG87" i="20"/>
  <c r="DH87" i="20"/>
  <c r="DJ87" i="20"/>
  <c r="DK87" i="20"/>
  <c r="DL87" i="20"/>
  <c r="CX88" i="20"/>
  <c r="CY88" i="20"/>
  <c r="DA88" i="20"/>
  <c r="DB88" i="20"/>
  <c r="DD88" i="20"/>
  <c r="DF88" i="20"/>
  <c r="DG88" i="20"/>
  <c r="DH88" i="20"/>
  <c r="DI88" i="20"/>
  <c r="DJ88" i="20"/>
  <c r="DK88" i="20"/>
  <c r="DL88" i="20"/>
  <c r="CX89" i="20"/>
  <c r="CY89" i="20"/>
  <c r="DA89" i="20"/>
  <c r="DB89" i="20"/>
  <c r="DD89" i="20"/>
  <c r="DF89" i="20"/>
  <c r="DG89" i="20"/>
  <c r="DH89" i="20"/>
  <c r="DI89" i="20"/>
  <c r="DJ89" i="20"/>
  <c r="DK89" i="20"/>
  <c r="DL89" i="20"/>
  <c r="CX90" i="20"/>
  <c r="CY90" i="20"/>
  <c r="DA90" i="20"/>
  <c r="DB90" i="20"/>
  <c r="DD90" i="20"/>
  <c r="DF90" i="20"/>
  <c r="DG90" i="20"/>
  <c r="DH90" i="20"/>
  <c r="DI90" i="20"/>
  <c r="DJ90" i="20"/>
  <c r="DK90" i="20"/>
  <c r="DL90" i="20"/>
  <c r="CX91" i="20"/>
  <c r="CY91" i="20"/>
  <c r="CZ91" i="20"/>
  <c r="DA91" i="20"/>
  <c r="DB91" i="20"/>
  <c r="DD91" i="20"/>
  <c r="DF91" i="20"/>
  <c r="DG91" i="20"/>
  <c r="DH91" i="20"/>
  <c r="DI91" i="20"/>
  <c r="DJ91" i="20"/>
  <c r="DK91" i="20"/>
  <c r="DL91" i="20"/>
  <c r="CX92" i="20"/>
  <c r="CY92" i="20"/>
  <c r="CZ92" i="20"/>
  <c r="DA92" i="20"/>
  <c r="DB92" i="20"/>
  <c r="DD92" i="20"/>
  <c r="DF92" i="20"/>
  <c r="DG92" i="20"/>
  <c r="DH92" i="20"/>
  <c r="DI92" i="20"/>
  <c r="DJ92" i="20"/>
  <c r="DK92" i="20"/>
  <c r="DL92" i="20"/>
  <c r="CX93" i="20"/>
  <c r="CY93" i="20"/>
  <c r="CZ93" i="20"/>
  <c r="DA93" i="20"/>
  <c r="DB93" i="20"/>
  <c r="DD93" i="20"/>
  <c r="DF93" i="20"/>
  <c r="DG93" i="20"/>
  <c r="DH93" i="20"/>
  <c r="DI93" i="20"/>
  <c r="DJ93" i="20"/>
  <c r="DK93" i="20"/>
  <c r="DL93" i="20"/>
  <c r="CX94" i="20"/>
  <c r="CY94" i="20"/>
  <c r="CZ94" i="20"/>
  <c r="DA94" i="20"/>
  <c r="DB94" i="20"/>
  <c r="DD94" i="20"/>
  <c r="DF94" i="20"/>
  <c r="DG94" i="20"/>
  <c r="DH94" i="20"/>
  <c r="DI94" i="20"/>
  <c r="DJ94" i="20"/>
  <c r="DK94" i="20"/>
  <c r="DL94" i="20"/>
  <c r="CX95" i="20"/>
  <c r="CY95" i="20"/>
  <c r="CZ95" i="20"/>
  <c r="DA95" i="20"/>
  <c r="DB95" i="20"/>
  <c r="DD95" i="20"/>
  <c r="DF95" i="20"/>
  <c r="DG95" i="20"/>
  <c r="DH95" i="20"/>
  <c r="DI95" i="20"/>
  <c r="DJ95" i="20"/>
  <c r="DK95" i="20"/>
  <c r="DL95" i="20"/>
  <c r="CX96" i="20"/>
  <c r="CY96" i="20"/>
  <c r="CZ96" i="20"/>
  <c r="DA96" i="20"/>
  <c r="DB96" i="20"/>
  <c r="DD96" i="20"/>
  <c r="DF96" i="20"/>
  <c r="DG96" i="20"/>
  <c r="DH96" i="20"/>
  <c r="DI96" i="20"/>
  <c r="DJ96" i="20"/>
  <c r="DK96" i="20"/>
  <c r="DL96" i="20"/>
  <c r="CX97" i="20"/>
  <c r="CY97" i="20"/>
  <c r="CZ97" i="20"/>
  <c r="DA97" i="20"/>
  <c r="DB97" i="20"/>
  <c r="DD97" i="20"/>
  <c r="DF97" i="20"/>
  <c r="DG97" i="20"/>
  <c r="DH97" i="20"/>
  <c r="DI97" i="20"/>
  <c r="DJ97" i="20"/>
  <c r="DK97" i="20"/>
  <c r="DL97" i="20"/>
  <c r="CX98" i="20"/>
  <c r="CY98" i="20"/>
  <c r="CZ98" i="20"/>
  <c r="DA98" i="20"/>
  <c r="DB98" i="20"/>
  <c r="DD98" i="20"/>
  <c r="DF98" i="20"/>
  <c r="DG98" i="20"/>
  <c r="DH98" i="20"/>
  <c r="DI98" i="20"/>
  <c r="DJ98" i="20"/>
  <c r="DK98" i="20"/>
  <c r="DL98" i="20"/>
  <c r="CX99" i="20"/>
  <c r="CY99" i="20"/>
  <c r="CZ99" i="20"/>
  <c r="DA99" i="20"/>
  <c r="DB99" i="20"/>
  <c r="DD99" i="20"/>
  <c r="DF99" i="20"/>
  <c r="DG99" i="20"/>
  <c r="DH99" i="20"/>
  <c r="DI99" i="20"/>
  <c r="DJ99" i="20"/>
  <c r="DK99" i="20"/>
  <c r="DL99" i="20"/>
  <c r="CX100" i="20"/>
  <c r="CY100" i="20"/>
  <c r="CZ100" i="20"/>
  <c r="DA100" i="20"/>
  <c r="DB100" i="20"/>
  <c r="DD100" i="20"/>
  <c r="DF100" i="20"/>
  <c r="DG100" i="20"/>
  <c r="DH100" i="20"/>
  <c r="DI100" i="20"/>
  <c r="DJ100" i="20"/>
  <c r="DK100" i="20"/>
  <c r="DL100" i="20"/>
  <c r="EH74" i="20"/>
  <c r="EH75" i="20"/>
  <c r="EH76" i="20"/>
  <c r="EH77" i="20"/>
  <c r="EH78" i="20"/>
  <c r="EH79" i="20"/>
  <c r="EH80" i="20"/>
  <c r="EH81" i="20"/>
  <c r="EH82" i="20"/>
  <c r="EH83" i="20"/>
  <c r="EH84" i="20"/>
  <c r="EH85" i="20"/>
  <c r="EH86" i="20"/>
  <c r="EH87" i="20"/>
  <c r="EH88" i="20"/>
  <c r="EH89" i="20"/>
  <c r="EH90" i="20"/>
  <c r="EH91" i="20"/>
  <c r="EH92" i="20"/>
  <c r="EH93" i="20"/>
  <c r="EH94" i="20"/>
  <c r="EH95" i="20"/>
  <c r="EH96" i="20"/>
  <c r="EH97" i="20"/>
  <c r="EH98" i="20"/>
  <c r="EH99" i="20"/>
  <c r="EH100" i="20"/>
  <c r="EH69" i="20"/>
  <c r="EH70" i="20"/>
  <c r="EH71" i="20"/>
  <c r="EH72" i="20"/>
  <c r="EH73" i="20"/>
  <c r="EY83" i="20"/>
  <c r="EY93" i="20"/>
  <c r="EZ93" i="20"/>
  <c r="FA71" i="20"/>
  <c r="FC69" i="20"/>
  <c r="FC70" i="20"/>
  <c r="FC71" i="20"/>
  <c r="FC72" i="20"/>
  <c r="FC73" i="20"/>
  <c r="FC74" i="20"/>
  <c r="FC75" i="20"/>
  <c r="FC76" i="20"/>
  <c r="FC77" i="20"/>
  <c r="FC78" i="20"/>
  <c r="FC79" i="20"/>
  <c r="FC80" i="20"/>
  <c r="FC81" i="20"/>
  <c r="FC82" i="20"/>
  <c r="FC83" i="20"/>
  <c r="FC85" i="20"/>
  <c r="FC86" i="20"/>
  <c r="FC87" i="20"/>
  <c r="FC88" i="20"/>
  <c r="FC89" i="20"/>
  <c r="FC90" i="20"/>
  <c r="FC91" i="20"/>
  <c r="FC92" i="20"/>
  <c r="FC93" i="20"/>
  <c r="FC94" i="20"/>
  <c r="FC95" i="20"/>
  <c r="FC96" i="20"/>
  <c r="FC97" i="20"/>
  <c r="FC98" i="20"/>
  <c r="FC99" i="20"/>
  <c r="FC100" i="20"/>
  <c r="FG69" i="20"/>
  <c r="FG70" i="20"/>
  <c r="FG71" i="20"/>
  <c r="FG72" i="20"/>
  <c r="FG73" i="20"/>
  <c r="FG74" i="20"/>
  <c r="FG75" i="20"/>
  <c r="FG76" i="20"/>
  <c r="FG77" i="20"/>
  <c r="FG78" i="20"/>
  <c r="FG79" i="20"/>
  <c r="FG80" i="20"/>
  <c r="FG81" i="20"/>
  <c r="FG82" i="20"/>
  <c r="FG83" i="20"/>
  <c r="FG84" i="20"/>
  <c r="FG85" i="20"/>
  <c r="FG86" i="20"/>
  <c r="FG87" i="20"/>
  <c r="FG88" i="20"/>
  <c r="FG89" i="20"/>
  <c r="FG90" i="20"/>
  <c r="FG91" i="20"/>
  <c r="FG92" i="20"/>
  <c r="FG93" i="20"/>
  <c r="FG94" i="20"/>
  <c r="FG95" i="20"/>
  <c r="FG96" i="20"/>
  <c r="FG97" i="20"/>
  <c r="FG98" i="20"/>
  <c r="FG99" i="20"/>
  <c r="FG100" i="20"/>
  <c r="EY86" i="20" l="1"/>
  <c r="EZ88" i="20"/>
  <c r="EZ87" i="20"/>
  <c r="FA89" i="20"/>
  <c r="EY98" i="20"/>
  <c r="FA86" i="20"/>
  <c r="FA85" i="20"/>
  <c r="FA96" i="20"/>
  <c r="FA84" i="20"/>
  <c r="FA95" i="20"/>
  <c r="FA83" i="20"/>
  <c r="EY100" i="20"/>
  <c r="EZ99" i="20"/>
  <c r="EZ95" i="20"/>
  <c r="FA90" i="20"/>
  <c r="EY94" i="20"/>
  <c r="EZ94" i="20"/>
  <c r="EZ86" i="20"/>
  <c r="EY99" i="20"/>
  <c r="EY87" i="20"/>
  <c r="EY89" i="20"/>
  <c r="FA100" i="20"/>
  <c r="FA88" i="20"/>
  <c r="FA99" i="20"/>
  <c r="FA87" i="20"/>
  <c r="EZ84" i="20"/>
  <c r="EY95" i="20"/>
  <c r="EZ71" i="20"/>
  <c r="EZ100" i="20"/>
  <c r="EY90" i="20"/>
  <c r="EY88" i="20"/>
  <c r="EZ83" i="20"/>
  <c r="EY85" i="20"/>
  <c r="EY96" i="20"/>
  <c r="EZ97" i="20"/>
  <c r="FA70" i="20"/>
  <c r="FA93" i="20"/>
  <c r="FA94" i="20"/>
  <c r="EY97" i="20"/>
  <c r="EZ85" i="20"/>
  <c r="EY71" i="20"/>
  <c r="EY70" i="20"/>
  <c r="DP98" i="20"/>
  <c r="FB98" i="20" s="1"/>
  <c r="DP86" i="20"/>
  <c r="FB86" i="20" s="1"/>
  <c r="DP72" i="20"/>
  <c r="FB72" i="20" s="1"/>
  <c r="EZ90" i="20"/>
  <c r="DP94" i="20"/>
  <c r="FB94" i="20" s="1"/>
  <c r="DP82" i="20"/>
  <c r="FB82" i="20" s="1"/>
  <c r="DP81" i="20"/>
  <c r="FB81" i="20" s="1"/>
  <c r="DP96" i="20"/>
  <c r="DP84" i="20"/>
  <c r="DP70" i="20"/>
  <c r="DP91" i="20"/>
  <c r="DP79" i="20"/>
  <c r="FB79" i="20" s="1"/>
  <c r="DP77" i="20"/>
  <c r="FB77" i="20" s="1"/>
  <c r="DP90" i="20"/>
  <c r="DP76" i="20"/>
  <c r="FB76" i="20" s="1"/>
  <c r="DP93" i="20"/>
  <c r="FB93" i="20" s="1"/>
  <c r="DP89" i="20"/>
  <c r="FB89" i="20" s="1"/>
  <c r="DP75" i="20"/>
  <c r="FB75" i="20" s="1"/>
  <c r="DP92" i="20"/>
  <c r="DP78" i="20"/>
  <c r="FB78" i="20" s="1"/>
  <c r="DP100" i="20"/>
  <c r="DP88" i="20"/>
  <c r="DP74" i="20"/>
  <c r="FB74" i="20" s="1"/>
  <c r="DP80" i="20"/>
  <c r="DP99" i="20"/>
  <c r="FB99" i="20" s="1"/>
  <c r="DP87" i="20"/>
  <c r="DP73" i="20"/>
  <c r="DP97" i="20"/>
  <c r="DP85" i="20"/>
  <c r="DP71" i="20"/>
  <c r="DP95" i="20"/>
  <c r="DP83" i="20"/>
  <c r="FB83" i="20" s="1"/>
  <c r="DP69" i="20"/>
  <c r="FB69" i="20" s="1"/>
  <c r="EZ70" i="20"/>
  <c r="EZ89" i="20"/>
  <c r="EZ73" i="20"/>
  <c r="EZ96" i="20"/>
  <c r="EY84" i="20"/>
  <c r="EY91" i="20"/>
  <c r="EY80" i="20"/>
  <c r="EY73" i="20"/>
  <c r="EZ69" i="20"/>
  <c r="FA92" i="20"/>
  <c r="FA80" i="20"/>
  <c r="EZ92" i="20"/>
  <c r="EZ80" i="20"/>
  <c r="EZ91" i="20"/>
  <c r="EY92" i="20"/>
  <c r="FB100" i="20" l="1"/>
  <c r="FB96" i="20"/>
  <c r="FB87" i="20"/>
  <c r="FB95" i="20"/>
  <c r="FB90" i="20"/>
  <c r="FB88" i="20"/>
  <c r="FB85" i="20"/>
  <c r="FB97" i="20"/>
  <c r="FB92" i="20"/>
  <c r="FB71" i="20"/>
  <c r="FB84" i="20"/>
  <c r="FB73" i="20"/>
  <c r="FB80" i="20"/>
  <c r="FB91" i="20"/>
  <c r="FB70" i="20"/>
  <c r="EX68" i="20"/>
  <c r="EW68" i="20"/>
  <c r="EV68" i="20"/>
  <c r="EU68" i="20"/>
  <c r="ET68" i="20"/>
  <c r="ES68" i="20"/>
  <c r="ER68" i="20"/>
  <c r="EN68" i="20"/>
  <c r="EM68" i="20"/>
  <c r="EL68" i="20"/>
  <c r="EK68" i="20"/>
  <c r="EO71" i="20" s="1"/>
  <c r="EJ68" i="20"/>
  <c r="EI68" i="20"/>
  <c r="EH68" i="20"/>
  <c r="DL68" i="20"/>
  <c r="DK68" i="20"/>
  <c r="DJ68" i="20"/>
  <c r="DI68" i="20"/>
  <c r="DH68" i="20"/>
  <c r="DG68" i="20"/>
  <c r="DF68" i="20"/>
  <c r="DD68" i="20"/>
  <c r="DB68" i="20"/>
  <c r="DA68" i="20"/>
  <c r="CZ68" i="20"/>
  <c r="CY68" i="20"/>
  <c r="CX68" i="20"/>
  <c r="FA68" i="20" l="1"/>
  <c r="DP68" i="20"/>
  <c r="EZ68" i="20"/>
  <c r="EY68" i="20"/>
  <c r="EN67" i="20"/>
  <c r="EM67" i="20"/>
  <c r="EL67" i="20"/>
  <c r="EK67" i="20"/>
  <c r="EO70" i="20" s="1"/>
  <c r="EJ67" i="20"/>
  <c r="EI67" i="20"/>
  <c r="EH67" i="20"/>
  <c r="DL67" i="20"/>
  <c r="DK67" i="20"/>
  <c r="DJ67" i="20"/>
  <c r="DI67" i="20"/>
  <c r="DH67" i="20"/>
  <c r="DG67" i="20"/>
  <c r="DF67" i="20"/>
  <c r="DD67" i="20"/>
  <c r="DA67" i="20"/>
  <c r="CZ67" i="20"/>
  <c r="CX67" i="20"/>
  <c r="EN66" i="20"/>
  <c r="EM66" i="20"/>
  <c r="EL66" i="20"/>
  <c r="EK66" i="20"/>
  <c r="EO69" i="20" s="1"/>
  <c r="EJ66" i="20"/>
  <c r="EI66" i="20"/>
  <c r="EH66" i="20"/>
  <c r="DL66" i="20"/>
  <c r="DK66" i="20"/>
  <c r="DJ66" i="20"/>
  <c r="DI66" i="20"/>
  <c r="DH66" i="20"/>
  <c r="DG66" i="20"/>
  <c r="DF66" i="20"/>
  <c r="DD66" i="20"/>
  <c r="DB66" i="20"/>
  <c r="DB67" i="20"/>
  <c r="DA66" i="20"/>
  <c r="CZ66" i="20"/>
  <c r="CX66" i="20"/>
  <c r="DL65" i="20"/>
  <c r="DK65" i="20"/>
  <c r="DJ65" i="20"/>
  <c r="DI65" i="20"/>
  <c r="DH65" i="20"/>
  <c r="EN65" i="20"/>
  <c r="EM65" i="20"/>
  <c r="EL65" i="20"/>
  <c r="EK65" i="20"/>
  <c r="EO68" i="20" s="1"/>
  <c r="EJ65" i="20"/>
  <c r="EI65" i="20"/>
  <c r="EH65" i="20"/>
  <c r="DG65" i="20"/>
  <c r="DF65" i="20"/>
  <c r="DD65" i="20"/>
  <c r="DB65" i="20"/>
  <c r="DA65" i="20"/>
  <c r="CZ65" i="20"/>
  <c r="CX65" i="20"/>
  <c r="EX64" i="20"/>
  <c r="EW64" i="20"/>
  <c r="EV64" i="20"/>
  <c r="EU64" i="20"/>
  <c r="ET64" i="20"/>
  <c r="ES64" i="20"/>
  <c r="ER64" i="20"/>
  <c r="EN64" i="20"/>
  <c r="EM64" i="20"/>
  <c r="EL64" i="20"/>
  <c r="EK64" i="20"/>
  <c r="EO67" i="20" s="1"/>
  <c r="EJ64" i="20"/>
  <c r="EI64" i="20"/>
  <c r="EH64" i="20"/>
  <c r="DL64" i="20"/>
  <c r="DK64" i="20"/>
  <c r="DJ64" i="20"/>
  <c r="DI64" i="20"/>
  <c r="DH64" i="20"/>
  <c r="DG64" i="20"/>
  <c r="DF64" i="20"/>
  <c r="DD64" i="20"/>
  <c r="DB64" i="20"/>
  <c r="DA64" i="20"/>
  <c r="CZ64" i="20"/>
  <c r="CX64" i="20"/>
  <c r="EX63" i="20"/>
  <c r="EW63" i="20"/>
  <c r="EV63" i="20"/>
  <c r="EU63" i="20"/>
  <c r="ET63" i="20"/>
  <c r="ES63" i="20"/>
  <c r="ER63" i="20"/>
  <c r="EN63" i="20"/>
  <c r="EM63" i="20"/>
  <c r="EL63" i="20"/>
  <c r="EK63" i="20"/>
  <c r="EO66" i="20" s="1"/>
  <c r="EJ63" i="20"/>
  <c r="EI63" i="20"/>
  <c r="EH63" i="20"/>
  <c r="DL63" i="20"/>
  <c r="DK63" i="20"/>
  <c r="DJ63" i="20"/>
  <c r="DI63" i="20"/>
  <c r="DH63" i="20"/>
  <c r="DG63" i="20"/>
  <c r="DF63" i="20"/>
  <c r="DD63" i="20"/>
  <c r="DB63" i="20"/>
  <c r="DA63" i="20"/>
  <c r="CZ63" i="20"/>
  <c r="CX63" i="20"/>
  <c r="EX62" i="20"/>
  <c r="EW62" i="20"/>
  <c r="EV62" i="20"/>
  <c r="EU62" i="20"/>
  <c r="ET62" i="20"/>
  <c r="ES62" i="20"/>
  <c r="ER62" i="20"/>
  <c r="EN62" i="20"/>
  <c r="EM62" i="20"/>
  <c r="EL62" i="20"/>
  <c r="EK62" i="20"/>
  <c r="EO65" i="20" s="1"/>
  <c r="EJ62" i="20"/>
  <c r="EI62" i="20"/>
  <c r="EH62" i="20"/>
  <c r="DL62" i="20"/>
  <c r="DK62" i="20"/>
  <c r="DJ62" i="20"/>
  <c r="DI62" i="20"/>
  <c r="DH62" i="20"/>
  <c r="DP62" i="20" s="1"/>
  <c r="DG62" i="20"/>
  <c r="DF62" i="20"/>
  <c r="DD62" i="20"/>
  <c r="DB62" i="20"/>
  <c r="DA62" i="20"/>
  <c r="CZ62" i="20"/>
  <c r="CX62" i="20"/>
  <c r="FC61" i="20"/>
  <c r="EX61" i="20"/>
  <c r="EW61" i="20"/>
  <c r="EV61" i="20"/>
  <c r="EU61" i="20"/>
  <c r="ES61" i="20"/>
  <c r="ER61" i="20"/>
  <c r="EN61" i="20"/>
  <c r="EM61" i="20"/>
  <c r="EL61" i="20"/>
  <c r="EK61" i="20"/>
  <c r="EO64" i="20" s="1"/>
  <c r="EJ61" i="20"/>
  <c r="EI61" i="20"/>
  <c r="EH61" i="20"/>
  <c r="DL61" i="20"/>
  <c r="DK61" i="20"/>
  <c r="DJ61" i="20"/>
  <c r="DI61" i="20"/>
  <c r="DH61" i="20"/>
  <c r="DG61" i="20"/>
  <c r="DF61" i="20"/>
  <c r="DD61" i="20"/>
  <c r="DB61" i="20"/>
  <c r="DA61" i="20"/>
  <c r="CZ61" i="20"/>
  <c r="CX61" i="20"/>
  <c r="DP65" i="20" l="1"/>
  <c r="DP63" i="20"/>
  <c r="DP66" i="20"/>
  <c r="DP61" i="20"/>
  <c r="FB68" i="20"/>
  <c r="DP67" i="20"/>
  <c r="DP64" i="20"/>
  <c r="FB64" i="20" s="1"/>
  <c r="FA61" i="20"/>
  <c r="EZ62" i="20"/>
  <c r="FA63" i="20"/>
  <c r="FA64" i="20"/>
  <c r="FA62" i="20"/>
  <c r="EZ64" i="20"/>
  <c r="EY62" i="20"/>
  <c r="FB62" i="20" s="1"/>
  <c r="EY64" i="20"/>
  <c r="EZ63" i="20"/>
  <c r="EY63" i="20"/>
  <c r="FB63" i="20" l="1"/>
  <c r="FC60" i="20"/>
  <c r="EX60" i="20"/>
  <c r="EW60" i="20"/>
  <c r="EV60" i="20"/>
  <c r="EU60" i="20"/>
  <c r="ET60" i="20"/>
  <c r="ES60" i="20"/>
  <c r="ER60" i="20"/>
  <c r="EN60" i="20"/>
  <c r="EM60" i="20"/>
  <c r="EL60" i="20"/>
  <c r="EK60" i="20"/>
  <c r="EO63" i="20" s="1"/>
  <c r="EJ60" i="20"/>
  <c r="EI60" i="20"/>
  <c r="EH60" i="20"/>
  <c r="DL60" i="20"/>
  <c r="DK60" i="20"/>
  <c r="DJ60" i="20"/>
  <c r="DI60" i="20"/>
  <c r="DH60" i="20"/>
  <c r="DG60" i="20"/>
  <c r="DF60" i="20"/>
  <c r="DD60" i="20"/>
  <c r="DB60" i="20"/>
  <c r="DA60" i="20"/>
  <c r="CZ60" i="20"/>
  <c r="CX60" i="20"/>
  <c r="DP60" i="20" l="1"/>
  <c r="EY60" i="20"/>
  <c r="EZ60" i="20"/>
  <c r="FA60" i="20"/>
  <c r="CY61" i="20"/>
  <c r="ET61" i="20"/>
  <c r="CY62" i="20"/>
  <c r="FC62" i="20"/>
  <c r="CY63" i="20"/>
  <c r="FC63" i="20"/>
  <c r="CY64" i="20"/>
  <c r="FC64" i="20"/>
  <c r="CY65" i="20"/>
  <c r="ER65" i="20"/>
  <c r="ES65" i="20"/>
  <c r="ET65" i="20"/>
  <c r="EU65" i="20"/>
  <c r="EV65" i="20"/>
  <c r="EW65" i="20"/>
  <c r="EX65" i="20"/>
  <c r="FC65" i="20"/>
  <c r="CY66" i="20"/>
  <c r="ER66" i="20"/>
  <c r="ES66" i="20"/>
  <c r="ET66" i="20"/>
  <c r="EU66" i="20"/>
  <c r="EV66" i="20"/>
  <c r="EW66" i="20"/>
  <c r="EX66" i="20"/>
  <c r="FC66" i="20"/>
  <c r="CY67" i="20"/>
  <c r="ER67" i="20"/>
  <c r="ES67" i="20"/>
  <c r="ET67" i="20"/>
  <c r="EU67" i="20"/>
  <c r="EV67" i="20"/>
  <c r="EW67" i="20"/>
  <c r="EX67" i="20"/>
  <c r="FC67" i="20"/>
  <c r="FB60" i="20" l="1"/>
  <c r="EZ61" i="20"/>
  <c r="EY61" i="20"/>
  <c r="FB61" i="20" s="1"/>
  <c r="FA67" i="20"/>
  <c r="EZ65" i="20"/>
  <c r="EY67" i="20"/>
  <c r="FB67" i="20" s="1"/>
  <c r="EY66" i="20"/>
  <c r="FB66" i="20" s="1"/>
  <c r="FA65" i="20"/>
  <c r="FA66" i="20"/>
  <c r="EZ67" i="20"/>
  <c r="EZ66" i="20"/>
  <c r="EY65" i="20"/>
  <c r="FB65" i="20" s="1"/>
  <c r="EX59" i="20" l="1"/>
  <c r="EW59" i="20"/>
  <c r="EV59" i="20"/>
  <c r="EU59" i="20"/>
  <c r="ET59" i="20"/>
  <c r="ES59" i="20"/>
  <c r="ER59" i="20"/>
  <c r="EN59" i="20"/>
  <c r="EM59" i="20"/>
  <c r="EL59" i="20"/>
  <c r="EK59" i="20"/>
  <c r="EO62" i="20" s="1"/>
  <c r="EJ59" i="20"/>
  <c r="EI59" i="20"/>
  <c r="EH59" i="20"/>
  <c r="DL59" i="20"/>
  <c r="DK59" i="20"/>
  <c r="DJ59" i="20"/>
  <c r="DI59" i="20"/>
  <c r="DH59" i="20"/>
  <c r="DG59" i="20"/>
  <c r="DF59" i="20"/>
  <c r="DD59" i="20"/>
  <c r="DB59" i="20"/>
  <c r="DA59" i="20"/>
  <c r="CZ59" i="20"/>
  <c r="CY59" i="20"/>
  <c r="CY60" i="20"/>
  <c r="DP59" i="20" l="1"/>
  <c r="FA59" i="20"/>
  <c r="EZ59" i="20"/>
  <c r="EY59" i="20"/>
  <c r="EX58" i="20"/>
  <c r="EW58" i="20"/>
  <c r="EV58" i="20"/>
  <c r="EU58" i="20"/>
  <c r="ET58" i="20"/>
  <c r="ES58" i="20"/>
  <c r="ER58" i="20"/>
  <c r="EN58" i="20"/>
  <c r="EM58" i="20"/>
  <c r="EL58" i="20"/>
  <c r="EK58" i="20"/>
  <c r="EO61" i="20" s="1"/>
  <c r="EJ58" i="20"/>
  <c r="EI58" i="20"/>
  <c r="EH58" i="20"/>
  <c r="DL58" i="20"/>
  <c r="DK58" i="20"/>
  <c r="DJ58" i="20"/>
  <c r="DI58" i="20"/>
  <c r="DH58" i="20"/>
  <c r="DG58" i="20"/>
  <c r="DF58" i="20"/>
  <c r="DD58" i="20"/>
  <c r="DB58" i="20"/>
  <c r="DA58" i="20"/>
  <c r="CZ58" i="20"/>
  <c r="CY58" i="20"/>
  <c r="CX58" i="20"/>
  <c r="CX59" i="20"/>
  <c r="DP58" i="20" l="1"/>
  <c r="FB59" i="20"/>
  <c r="FA58" i="20"/>
  <c r="EZ58" i="20"/>
  <c r="EY58" i="20"/>
  <c r="FB58" i="20" l="1"/>
  <c r="DL57" i="20"/>
  <c r="DK57" i="20"/>
  <c r="DJ57" i="20"/>
  <c r="DI57" i="20"/>
  <c r="DH57" i="20"/>
  <c r="DG57" i="20"/>
  <c r="DF57" i="20"/>
  <c r="DD57" i="20"/>
  <c r="DB57" i="20"/>
  <c r="DA57" i="20"/>
  <c r="CZ57" i="20"/>
  <c r="CY57" i="20"/>
  <c r="CX57" i="20"/>
  <c r="EX57" i="20"/>
  <c r="EW57" i="20"/>
  <c r="EV57" i="20"/>
  <c r="EU57" i="20"/>
  <c r="ET57" i="20"/>
  <c r="ES57" i="20"/>
  <c r="ER57" i="20"/>
  <c r="EN57" i="20"/>
  <c r="EM57" i="20"/>
  <c r="EL57" i="20"/>
  <c r="EK57" i="20"/>
  <c r="EO60" i="20" s="1"/>
  <c r="EJ57" i="20"/>
  <c r="EI57" i="20"/>
  <c r="EH57" i="20"/>
  <c r="DL56" i="20"/>
  <c r="DK56" i="20"/>
  <c r="DJ56" i="20"/>
  <c r="DI56" i="20"/>
  <c r="DH56" i="20"/>
  <c r="DP56" i="20" s="1"/>
  <c r="DG56" i="20"/>
  <c r="DF56" i="20"/>
  <c r="DD56" i="20"/>
  <c r="DB56" i="20"/>
  <c r="DA56" i="20"/>
  <c r="CZ56" i="20"/>
  <c r="CY56" i="20"/>
  <c r="CX56" i="20"/>
  <c r="EW56" i="20"/>
  <c r="EV56" i="20"/>
  <c r="EU56" i="20"/>
  <c r="ET56" i="20"/>
  <c r="ER56" i="20"/>
  <c r="EN56" i="20"/>
  <c r="EM56" i="20"/>
  <c r="EL56" i="20"/>
  <c r="EK56" i="20"/>
  <c r="EO59" i="20" s="1"/>
  <c r="EJ56" i="20"/>
  <c r="EI56" i="20"/>
  <c r="EH56" i="20"/>
  <c r="EU55" i="20"/>
  <c r="EZ57" i="20" l="1"/>
  <c r="DP57" i="20"/>
  <c r="FA57" i="20"/>
  <c r="EY57" i="20"/>
  <c r="EX55" i="20"/>
  <c r="EW55" i="20"/>
  <c r="EV55" i="20"/>
  <c r="ET55" i="20"/>
  <c r="ES55" i="20"/>
  <c r="ER55" i="20"/>
  <c r="EN55" i="20"/>
  <c r="EM55" i="20"/>
  <c r="EL55" i="20"/>
  <c r="EK55" i="20"/>
  <c r="EO58" i="20" s="1"/>
  <c r="EJ55" i="20"/>
  <c r="EI55" i="20"/>
  <c r="EH55" i="20"/>
  <c r="DL55" i="20"/>
  <c r="DK55" i="20"/>
  <c r="DJ55" i="20"/>
  <c r="DI55" i="20"/>
  <c r="DH55" i="20"/>
  <c r="DP55" i="20" s="1"/>
  <c r="DG55" i="20"/>
  <c r="DF55" i="20"/>
  <c r="DD55" i="20"/>
  <c r="DB55" i="20"/>
  <c r="DA55" i="20"/>
  <c r="CZ55" i="20"/>
  <c r="CY55" i="20"/>
  <c r="CX55" i="20"/>
  <c r="EX54" i="20"/>
  <c r="EW54" i="20"/>
  <c r="EV54" i="20"/>
  <c r="EU54" i="20"/>
  <c r="ET54" i="20"/>
  <c r="ES54" i="20"/>
  <c r="ER54" i="20"/>
  <c r="EO54" i="20"/>
  <c r="EN54" i="20"/>
  <c r="EM54" i="20"/>
  <c r="EL54" i="20"/>
  <c r="EK54" i="20"/>
  <c r="EO57" i="20" s="1"/>
  <c r="EJ54" i="20"/>
  <c r="EI54" i="20"/>
  <c r="DL54" i="20"/>
  <c r="DK54" i="20"/>
  <c r="DJ54" i="20"/>
  <c r="DI54" i="20"/>
  <c r="DH54" i="20"/>
  <c r="DG54" i="20"/>
  <c r="DF54" i="20"/>
  <c r="DD54" i="20"/>
  <c r="DB54" i="20"/>
  <c r="DA54" i="20"/>
  <c r="CZ54" i="20"/>
  <c r="CY54" i="20"/>
  <c r="CX54" i="20"/>
  <c r="EZ55" i="20" l="1"/>
  <c r="FB57" i="20"/>
  <c r="DP54" i="20"/>
  <c r="FA55" i="20"/>
  <c r="EY54" i="20"/>
  <c r="EY55" i="20"/>
  <c r="FB55" i="20" s="1"/>
  <c r="EX53" i="20"/>
  <c r="EW53" i="20"/>
  <c r="EV53" i="20"/>
  <c r="EU53" i="20"/>
  <c r="ET53" i="20"/>
  <c r="ES53" i="20"/>
  <c r="ER53" i="20"/>
  <c r="EO53" i="20"/>
  <c r="EN53" i="20"/>
  <c r="EM53" i="20"/>
  <c r="EL53" i="20"/>
  <c r="EK53" i="20"/>
  <c r="EO56" i="20" s="1"/>
  <c r="EJ53" i="20"/>
  <c r="EI53" i="20"/>
  <c r="EH53" i="20"/>
  <c r="DL53" i="20"/>
  <c r="DK53" i="20"/>
  <c r="DJ53" i="20"/>
  <c r="DI53" i="20"/>
  <c r="DH53" i="20"/>
  <c r="DG53" i="20"/>
  <c r="DF53" i="20"/>
  <c r="DD53" i="20"/>
  <c r="DC53" i="20"/>
  <c r="DB53" i="20"/>
  <c r="DA53" i="20"/>
  <c r="CZ53" i="20"/>
  <c r="CY53" i="20"/>
  <c r="CX53" i="20"/>
  <c r="FC59" i="20"/>
  <c r="FC68" i="20"/>
  <c r="EX56" i="20"/>
  <c r="ES56" i="20"/>
  <c r="EH54" i="20"/>
  <c r="FG61" i="20"/>
  <c r="FG62" i="20"/>
  <c r="FG63" i="20"/>
  <c r="FG64" i="20"/>
  <c r="FG65" i="20"/>
  <c r="FG66" i="20"/>
  <c r="FG67" i="20"/>
  <c r="FG68" i="20"/>
  <c r="FG54" i="20"/>
  <c r="FG55" i="20"/>
  <c r="FG56" i="20"/>
  <c r="FG57" i="20"/>
  <c r="FG58" i="20"/>
  <c r="FG59" i="20"/>
  <c r="FG60" i="20"/>
  <c r="EX52" i="20"/>
  <c r="EW52" i="20"/>
  <c r="EV52" i="20"/>
  <c r="EU52" i="20"/>
  <c r="ET52" i="20"/>
  <c r="ES52" i="20"/>
  <c r="ER52" i="20"/>
  <c r="EO52" i="20"/>
  <c r="EN52" i="20"/>
  <c r="EM52" i="20"/>
  <c r="EL52" i="20"/>
  <c r="EK52" i="20"/>
  <c r="EO55" i="20" s="1"/>
  <c r="EJ52" i="20"/>
  <c r="EI52" i="20"/>
  <c r="EH52" i="20"/>
  <c r="DL52" i="20"/>
  <c r="DK52" i="20"/>
  <c r="DJ52" i="20"/>
  <c r="DI52" i="20"/>
  <c r="DH52" i="20"/>
  <c r="EX51" i="20"/>
  <c r="EW51" i="20"/>
  <c r="EV51" i="20"/>
  <c r="EU51" i="20"/>
  <c r="ET51" i="20"/>
  <c r="ES51" i="20"/>
  <c r="ER51" i="20"/>
  <c r="EO51" i="20"/>
  <c r="EN51" i="20"/>
  <c r="EM51" i="20"/>
  <c r="EL51" i="20"/>
  <c r="EK51" i="20"/>
  <c r="EJ51" i="20"/>
  <c r="EI51" i="20"/>
  <c r="EH51" i="20"/>
  <c r="DL51" i="20"/>
  <c r="DK51" i="20"/>
  <c r="DJ51" i="20"/>
  <c r="DI51" i="20"/>
  <c r="DH51" i="20"/>
  <c r="EH50" i="20"/>
  <c r="EX50" i="20"/>
  <c r="EW50" i="20"/>
  <c r="EV50" i="20"/>
  <c r="EU50" i="20"/>
  <c r="ET50" i="20"/>
  <c r="ES50" i="20"/>
  <c r="ER50" i="20"/>
  <c r="EO50" i="20"/>
  <c r="EN50" i="20"/>
  <c r="EM50" i="20"/>
  <c r="EL50" i="20"/>
  <c r="EK50" i="20"/>
  <c r="EJ50" i="20"/>
  <c r="EI50" i="20"/>
  <c r="DL50" i="20"/>
  <c r="DK50" i="20"/>
  <c r="DJ50" i="20"/>
  <c r="DI50" i="20"/>
  <c r="DH50" i="20"/>
  <c r="FA53" i="20" l="1"/>
  <c r="EZ53" i="20"/>
  <c r="DP53" i="20"/>
  <c r="DP51" i="20"/>
  <c r="DP52" i="20"/>
  <c r="FB54" i="20"/>
  <c r="DP50" i="20"/>
  <c r="FB50" i="20" s="1"/>
  <c r="EZ52" i="20"/>
  <c r="FA56" i="20"/>
  <c r="EZ56" i="20"/>
  <c r="EZ50" i="20"/>
  <c r="EY53" i="20"/>
  <c r="FB53" i="20" s="1"/>
  <c r="EZ51" i="20"/>
  <c r="EZ54" i="20"/>
  <c r="FA54" i="20"/>
  <c r="EY51" i="20"/>
  <c r="EY50" i="20"/>
  <c r="EY52" i="20"/>
  <c r="EY56" i="20"/>
  <c r="FB56" i="20" s="1"/>
  <c r="FA52" i="20"/>
  <c r="FA50" i="20"/>
  <c r="FA51" i="20"/>
  <c r="FB52" i="20" l="1"/>
  <c r="FB51" i="20"/>
  <c r="EX49" i="20"/>
  <c r="EW49" i="20"/>
  <c r="EV49" i="20"/>
  <c r="EU49" i="20"/>
  <c r="ET49" i="20"/>
  <c r="ES49" i="20"/>
  <c r="ER49" i="20"/>
  <c r="EO49" i="20"/>
  <c r="EN49" i="20"/>
  <c r="EM49" i="20"/>
  <c r="EL49" i="20"/>
  <c r="EK49" i="20"/>
  <c r="EJ49" i="20"/>
  <c r="EI49" i="20"/>
  <c r="EH49" i="20"/>
  <c r="DL49" i="20"/>
  <c r="DK49" i="20"/>
  <c r="DJ49" i="20"/>
  <c r="DI49" i="20"/>
  <c r="DH49" i="20"/>
  <c r="EO48" i="20"/>
  <c r="CX49" i="20"/>
  <c r="CY49" i="20"/>
  <c r="CX50" i="20"/>
  <c r="CY50" i="20"/>
  <c r="CX51" i="20"/>
  <c r="CY51" i="20"/>
  <c r="CZ51" i="20"/>
  <c r="CX52" i="20"/>
  <c r="CY52" i="20"/>
  <c r="CZ52" i="20"/>
  <c r="DA49" i="20"/>
  <c r="DB49" i="20"/>
  <c r="DC49" i="20"/>
  <c r="DA50" i="20"/>
  <c r="DB50" i="20"/>
  <c r="DC50" i="20"/>
  <c r="DA51" i="20"/>
  <c r="DB51" i="20"/>
  <c r="DC51" i="20"/>
  <c r="DA52" i="20"/>
  <c r="DB52" i="20"/>
  <c r="DC52" i="20"/>
  <c r="DD49" i="20"/>
  <c r="DF49" i="20"/>
  <c r="DD50" i="20"/>
  <c r="DF50" i="20"/>
  <c r="DD51" i="20"/>
  <c r="DF51" i="20"/>
  <c r="DD52" i="20"/>
  <c r="DF52" i="20"/>
  <c r="DG49" i="20"/>
  <c r="DG50" i="20"/>
  <c r="DG51" i="20"/>
  <c r="DG52" i="20"/>
  <c r="FG53" i="20"/>
  <c r="FG49" i="20"/>
  <c r="FG50" i="20"/>
  <c r="FG51" i="20"/>
  <c r="FG52" i="20"/>
  <c r="DP49" i="20" l="1"/>
  <c r="EY49" i="20"/>
  <c r="EZ49" i="20"/>
  <c r="FA49" i="20"/>
  <c r="FB49" i="20" l="1"/>
  <c r="EH48" i="20"/>
  <c r="EJ48" i="20"/>
  <c r="EX48" i="20"/>
  <c r="EW48" i="20"/>
  <c r="EV48" i="20"/>
  <c r="ET48" i="20"/>
  <c r="ES48" i="20"/>
  <c r="DE5" i="20"/>
  <c r="EU47" i="20" l="1"/>
  <c r="EV47" i="20"/>
  <c r="EW47" i="20"/>
  <c r="EX47" i="20"/>
  <c r="DI47" i="20"/>
  <c r="FA47" i="20" l="1"/>
  <c r="ET47" i="20"/>
  <c r="ES47" i="20"/>
  <c r="EY47" i="20" l="1"/>
  <c r="EX46" i="20"/>
  <c r="EW46" i="20"/>
  <c r="EV46" i="20"/>
  <c r="ET46" i="20"/>
  <c r="ES46" i="20"/>
  <c r="EX45" i="20" l="1"/>
  <c r="EW45" i="20"/>
  <c r="EV45" i="20"/>
  <c r="EU45" i="20"/>
  <c r="ET45" i="20"/>
  <c r="ES45" i="20"/>
  <c r="ET44" i="20"/>
  <c r="EX44" i="20"/>
  <c r="EW44" i="20"/>
  <c r="EV44" i="20"/>
  <c r="EU44" i="20"/>
  <c r="ES44" i="20"/>
  <c r="C3" i="29"/>
  <c r="D3" i="29"/>
  <c r="C4" i="29"/>
  <c r="D4" i="29"/>
  <c r="C5" i="29"/>
  <c r="D5" i="29"/>
  <c r="C6" i="29"/>
  <c r="D6" i="29"/>
  <c r="C7" i="29"/>
  <c r="D7" i="29"/>
  <c r="C8" i="29"/>
  <c r="D8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C15" i="29"/>
  <c r="D15" i="29"/>
  <c r="C16" i="29"/>
  <c r="D16" i="29"/>
  <c r="C17" i="29"/>
  <c r="D17" i="29"/>
  <c r="C18" i="29"/>
  <c r="D18" i="29"/>
  <c r="C19" i="29"/>
  <c r="D19" i="29"/>
  <c r="C20" i="29"/>
  <c r="D20" i="29"/>
  <c r="EX43" i="20"/>
  <c r="EW43" i="20"/>
  <c r="EV43" i="20"/>
  <c r="ET43" i="20"/>
  <c r="ES43" i="20"/>
  <c r="EX42" i="20" l="1"/>
  <c r="EW42" i="20"/>
  <c r="EV42" i="20"/>
  <c r="ET42" i="20"/>
  <c r="EX41" i="20" l="1"/>
  <c r="EW41" i="20"/>
  <c r="ET41" i="20"/>
  <c r="ES41" i="20"/>
  <c r="ES42" i="20"/>
  <c r="EX40" i="20"/>
  <c r="EW40" i="20"/>
  <c r="EV40" i="20"/>
  <c r="EV41" i="20"/>
  <c r="ET40" i="20"/>
  <c r="ES40" i="20"/>
  <c r="FA41" i="20" l="1"/>
  <c r="EX39" i="20"/>
  <c r="EW39" i="20"/>
  <c r="EV39" i="20"/>
  <c r="ES39" i="20"/>
  <c r="EU38" i="20"/>
  <c r="ET38" i="20" l="1"/>
  <c r="ET39" i="20"/>
  <c r="EX38" i="20"/>
  <c r="EW38" i="20"/>
  <c r="EV38" i="20"/>
  <c r="EJ38" i="20"/>
  <c r="EI38" i="20"/>
  <c r="EH38" i="20"/>
  <c r="ES38" i="20"/>
  <c r="EJ37" i="20"/>
  <c r="EX37" i="20"/>
  <c r="EW37" i="20"/>
  <c r="EV37" i="20"/>
  <c r="ET37" i="20"/>
  <c r="ES37" i="20"/>
  <c r="EX36" i="20"/>
  <c r="EW36" i="20"/>
  <c r="EV36" i="20"/>
  <c r="ET36" i="20"/>
  <c r="ES36" i="20"/>
  <c r="AW36" i="36" l="1"/>
  <c r="AX36" i="36"/>
  <c r="AY36" i="36"/>
  <c r="AZ36" i="36"/>
  <c r="BA36" i="36"/>
  <c r="BB36" i="36"/>
  <c r="BC36" i="36"/>
  <c r="BD36" i="36"/>
  <c r="BE36" i="36"/>
  <c r="BF36" i="36"/>
  <c r="BG36" i="36"/>
  <c r="BH36" i="36"/>
  <c r="BI36" i="36"/>
  <c r="BJ36" i="36"/>
  <c r="BK36" i="36"/>
  <c r="BL36" i="36"/>
  <c r="BM36" i="36"/>
  <c r="BN36" i="36"/>
  <c r="BO36" i="36"/>
  <c r="BP36" i="36"/>
  <c r="AW37" i="36"/>
  <c r="AX37" i="36"/>
  <c r="AY37" i="36"/>
  <c r="AZ37" i="36"/>
  <c r="BA37" i="36"/>
  <c r="BB37" i="36"/>
  <c r="BC37" i="36"/>
  <c r="BD37" i="36"/>
  <c r="BE37" i="36"/>
  <c r="BF37" i="36"/>
  <c r="BG37" i="36"/>
  <c r="BH37" i="36"/>
  <c r="BI37" i="36"/>
  <c r="BJ37" i="36"/>
  <c r="BK37" i="36"/>
  <c r="BL37" i="36"/>
  <c r="BM37" i="36"/>
  <c r="BN37" i="36"/>
  <c r="BO37" i="36"/>
  <c r="BP37" i="36"/>
  <c r="AW38" i="36"/>
  <c r="AX38" i="36"/>
  <c r="AY38" i="36"/>
  <c r="AZ38" i="36"/>
  <c r="BA38" i="36"/>
  <c r="BB38" i="36"/>
  <c r="BC38" i="36"/>
  <c r="BD38" i="36"/>
  <c r="BE38" i="36"/>
  <c r="BF38" i="36"/>
  <c r="BG38" i="36"/>
  <c r="BH38" i="36"/>
  <c r="BI38" i="36"/>
  <c r="BJ38" i="36"/>
  <c r="BK38" i="36"/>
  <c r="BL38" i="36"/>
  <c r="BM38" i="36"/>
  <c r="BN38" i="36"/>
  <c r="BO38" i="36"/>
  <c r="BP38" i="36"/>
  <c r="AW39" i="36"/>
  <c r="AX39" i="36"/>
  <c r="AY39" i="36"/>
  <c r="AZ39" i="36"/>
  <c r="BA39" i="36"/>
  <c r="BB39" i="36"/>
  <c r="BC39" i="36"/>
  <c r="BD39" i="36"/>
  <c r="BE39" i="36"/>
  <c r="BF39" i="36"/>
  <c r="BG39" i="36"/>
  <c r="BH39" i="36"/>
  <c r="BI39" i="36"/>
  <c r="BJ39" i="36"/>
  <c r="BK39" i="36"/>
  <c r="BL39" i="36"/>
  <c r="BM39" i="36"/>
  <c r="BN39" i="36"/>
  <c r="BO39" i="36"/>
  <c r="BP39" i="36"/>
  <c r="AW40" i="36"/>
  <c r="AX40" i="36"/>
  <c r="AY40" i="36"/>
  <c r="AZ40" i="36"/>
  <c r="BA40" i="36"/>
  <c r="BB40" i="36"/>
  <c r="BC40" i="36"/>
  <c r="BD40" i="36"/>
  <c r="BE40" i="36"/>
  <c r="BF40" i="36"/>
  <c r="BG40" i="36"/>
  <c r="BH40" i="36"/>
  <c r="BI40" i="36"/>
  <c r="BJ40" i="36"/>
  <c r="BK40" i="36"/>
  <c r="BL40" i="36"/>
  <c r="BM40" i="36"/>
  <c r="BN40" i="36"/>
  <c r="BO40" i="36"/>
  <c r="BP40" i="36"/>
  <c r="AW41" i="36"/>
  <c r="AX41" i="36"/>
  <c r="AY41" i="36"/>
  <c r="AZ41" i="36"/>
  <c r="BA41" i="36"/>
  <c r="BB41" i="36"/>
  <c r="BC41" i="36"/>
  <c r="BD41" i="36"/>
  <c r="BE41" i="36"/>
  <c r="BF41" i="36"/>
  <c r="BG41" i="36"/>
  <c r="BH41" i="36"/>
  <c r="BI41" i="36"/>
  <c r="BJ41" i="36"/>
  <c r="BK41" i="36"/>
  <c r="BL41" i="36"/>
  <c r="BM41" i="36"/>
  <c r="BN41" i="36"/>
  <c r="BO41" i="36"/>
  <c r="BP41" i="36"/>
  <c r="AW42" i="36"/>
  <c r="AX42" i="36"/>
  <c r="AY42" i="36"/>
  <c r="AZ42" i="36"/>
  <c r="BA42" i="36"/>
  <c r="BB42" i="36"/>
  <c r="BC42" i="36"/>
  <c r="BD42" i="36"/>
  <c r="BE42" i="36"/>
  <c r="BF42" i="36"/>
  <c r="BG42" i="36"/>
  <c r="BH42" i="36"/>
  <c r="BI42" i="36"/>
  <c r="BJ42" i="36"/>
  <c r="BK42" i="36"/>
  <c r="BL42" i="36"/>
  <c r="BM42" i="36"/>
  <c r="BN42" i="36"/>
  <c r="BO42" i="36"/>
  <c r="BP42" i="36"/>
  <c r="AW43" i="36"/>
  <c r="AX43" i="36"/>
  <c r="AY43" i="36"/>
  <c r="AZ43" i="36"/>
  <c r="BA43" i="36"/>
  <c r="BB43" i="36"/>
  <c r="BC43" i="36"/>
  <c r="BD43" i="36"/>
  <c r="BE43" i="36"/>
  <c r="BF43" i="36"/>
  <c r="BG43" i="36"/>
  <c r="BH43" i="36"/>
  <c r="BI43" i="36"/>
  <c r="BJ43" i="36"/>
  <c r="BK43" i="36"/>
  <c r="BL43" i="36"/>
  <c r="BM43" i="36"/>
  <c r="BN43" i="36"/>
  <c r="BO43" i="36"/>
  <c r="BP43" i="36"/>
  <c r="AW44" i="36"/>
  <c r="AX44" i="36"/>
  <c r="AY44" i="36"/>
  <c r="AZ44" i="36"/>
  <c r="BA44" i="36"/>
  <c r="BB44" i="36"/>
  <c r="BC44" i="36"/>
  <c r="BD44" i="36"/>
  <c r="BE44" i="36"/>
  <c r="BF44" i="36"/>
  <c r="BG44" i="36"/>
  <c r="BH44" i="36"/>
  <c r="BI44" i="36"/>
  <c r="BJ44" i="36"/>
  <c r="BK44" i="36"/>
  <c r="BL44" i="36"/>
  <c r="BM44" i="36"/>
  <c r="BN44" i="36"/>
  <c r="BO44" i="36"/>
  <c r="BP44" i="36"/>
  <c r="AW45" i="36"/>
  <c r="AX45" i="36"/>
  <c r="AY45" i="36"/>
  <c r="AZ45" i="36"/>
  <c r="BA45" i="36"/>
  <c r="BB45" i="36"/>
  <c r="BC45" i="36"/>
  <c r="BD45" i="36"/>
  <c r="BE45" i="36"/>
  <c r="BF45" i="36"/>
  <c r="BG45" i="36"/>
  <c r="BH45" i="36"/>
  <c r="BI45" i="36"/>
  <c r="BJ45" i="36"/>
  <c r="BK45" i="36"/>
  <c r="BL45" i="36"/>
  <c r="BM45" i="36"/>
  <c r="BN45" i="36"/>
  <c r="BO45" i="36"/>
  <c r="BP45" i="36"/>
  <c r="AW46" i="36"/>
  <c r="AX46" i="36"/>
  <c r="AY46" i="36"/>
  <c r="AZ46" i="36"/>
  <c r="BA46" i="36"/>
  <c r="BB46" i="36"/>
  <c r="BC46" i="36"/>
  <c r="BD46" i="36"/>
  <c r="BE46" i="36"/>
  <c r="BF46" i="36"/>
  <c r="BG46" i="36"/>
  <c r="BH46" i="36"/>
  <c r="BI46" i="36"/>
  <c r="BJ46" i="36"/>
  <c r="BK46" i="36"/>
  <c r="BL46" i="36"/>
  <c r="BM46" i="36"/>
  <c r="BN46" i="36"/>
  <c r="BO46" i="36"/>
  <c r="BP46" i="36"/>
  <c r="AW47" i="36"/>
  <c r="AX47" i="36"/>
  <c r="AY47" i="36"/>
  <c r="AZ47" i="36"/>
  <c r="BA47" i="36"/>
  <c r="BB47" i="36"/>
  <c r="BC47" i="36"/>
  <c r="BD47" i="36"/>
  <c r="BE47" i="36"/>
  <c r="BF47" i="36"/>
  <c r="BG47" i="36"/>
  <c r="BH47" i="36"/>
  <c r="BI47" i="36"/>
  <c r="BJ47" i="36"/>
  <c r="BK47" i="36"/>
  <c r="BL47" i="36"/>
  <c r="BM47" i="36"/>
  <c r="BN47" i="36"/>
  <c r="BO47" i="36"/>
  <c r="BP47" i="36"/>
  <c r="AW48" i="36"/>
  <c r="AX48" i="36"/>
  <c r="AY48" i="36"/>
  <c r="AZ48" i="36"/>
  <c r="BA48" i="36"/>
  <c r="BB48" i="36"/>
  <c r="BC48" i="36"/>
  <c r="BD48" i="36"/>
  <c r="BE48" i="36"/>
  <c r="BF48" i="36"/>
  <c r="BG48" i="36"/>
  <c r="BH48" i="36"/>
  <c r="BI48" i="36"/>
  <c r="BJ48" i="36"/>
  <c r="BK48" i="36"/>
  <c r="BL48" i="36"/>
  <c r="BM48" i="36"/>
  <c r="BN48" i="36"/>
  <c r="BO48" i="36"/>
  <c r="BP48" i="36"/>
  <c r="AW49" i="36"/>
  <c r="AX49" i="36"/>
  <c r="AY49" i="36"/>
  <c r="AZ49" i="36"/>
  <c r="BA49" i="36"/>
  <c r="BB49" i="36"/>
  <c r="BC49" i="36"/>
  <c r="BD49" i="36"/>
  <c r="BE49" i="36"/>
  <c r="BF49" i="36"/>
  <c r="BG49" i="36"/>
  <c r="BH49" i="36"/>
  <c r="BI49" i="36"/>
  <c r="BJ49" i="36"/>
  <c r="BK49" i="36"/>
  <c r="BL49" i="36"/>
  <c r="BM49" i="36"/>
  <c r="BN49" i="36"/>
  <c r="BO49" i="36"/>
  <c r="BP49" i="36"/>
  <c r="AW50" i="36"/>
  <c r="AX50" i="36"/>
  <c r="AY50" i="36"/>
  <c r="AZ50" i="36"/>
  <c r="BA50" i="36"/>
  <c r="BB50" i="36"/>
  <c r="BC50" i="36"/>
  <c r="BD50" i="36"/>
  <c r="BE50" i="36"/>
  <c r="BF50" i="36"/>
  <c r="BG50" i="36"/>
  <c r="BH50" i="36"/>
  <c r="BI50" i="36"/>
  <c r="BJ50" i="36"/>
  <c r="BK50" i="36"/>
  <c r="BL50" i="36"/>
  <c r="BM50" i="36"/>
  <c r="BN50" i="36"/>
  <c r="BO50" i="36"/>
  <c r="BP50" i="36"/>
  <c r="AW51" i="36"/>
  <c r="AX51" i="36"/>
  <c r="AY51" i="36"/>
  <c r="AZ51" i="36"/>
  <c r="BA51" i="36"/>
  <c r="BB51" i="36"/>
  <c r="BC51" i="36"/>
  <c r="BD51" i="36"/>
  <c r="BE51" i="36"/>
  <c r="BF51" i="36"/>
  <c r="BG51" i="36"/>
  <c r="BH51" i="36"/>
  <c r="BI51" i="36"/>
  <c r="BJ51" i="36"/>
  <c r="BK51" i="36"/>
  <c r="BL51" i="36"/>
  <c r="BM51" i="36"/>
  <c r="BN51" i="36"/>
  <c r="BO51" i="36"/>
  <c r="BP51" i="36"/>
  <c r="AW52" i="36"/>
  <c r="AX52" i="36"/>
  <c r="AY52" i="36"/>
  <c r="AZ52" i="36"/>
  <c r="BA52" i="36"/>
  <c r="BB52" i="36"/>
  <c r="BC52" i="36"/>
  <c r="BD52" i="36"/>
  <c r="BE52" i="36"/>
  <c r="BF52" i="36"/>
  <c r="BG52" i="36"/>
  <c r="BH52" i="36"/>
  <c r="BI52" i="36"/>
  <c r="BJ52" i="36"/>
  <c r="BK52" i="36"/>
  <c r="BL52" i="36"/>
  <c r="BM52" i="36"/>
  <c r="BN52" i="36"/>
  <c r="BO52" i="36"/>
  <c r="BP52" i="36"/>
  <c r="AW53" i="36"/>
  <c r="AX53" i="36"/>
  <c r="AY53" i="36"/>
  <c r="AZ53" i="36"/>
  <c r="BA53" i="36"/>
  <c r="BB53" i="36"/>
  <c r="BC53" i="36"/>
  <c r="BD53" i="36"/>
  <c r="BE53" i="36"/>
  <c r="BF53" i="36"/>
  <c r="BG53" i="36"/>
  <c r="BH53" i="36"/>
  <c r="BI53" i="36"/>
  <c r="BJ53" i="36"/>
  <c r="BK53" i="36"/>
  <c r="BL53" i="36"/>
  <c r="BM53" i="36"/>
  <c r="BN53" i="36"/>
  <c r="BO53" i="36"/>
  <c r="BP53" i="36"/>
  <c r="AW54" i="36"/>
  <c r="AX54" i="36"/>
  <c r="AY54" i="36"/>
  <c r="AZ54" i="36"/>
  <c r="BA54" i="36"/>
  <c r="BB54" i="36"/>
  <c r="BC54" i="36"/>
  <c r="BD54" i="36"/>
  <c r="BE54" i="36"/>
  <c r="BF54" i="36"/>
  <c r="BG54" i="36"/>
  <c r="BH54" i="36"/>
  <c r="BI54" i="36"/>
  <c r="BJ54" i="36"/>
  <c r="BK54" i="36"/>
  <c r="BL54" i="36"/>
  <c r="BM54" i="36"/>
  <c r="BN54" i="36"/>
  <c r="BO54" i="36"/>
  <c r="BP54" i="36"/>
  <c r="AW55" i="36"/>
  <c r="AX55" i="36"/>
  <c r="AY55" i="36"/>
  <c r="AZ55" i="36"/>
  <c r="BA55" i="36"/>
  <c r="BB55" i="36"/>
  <c r="BC55" i="36"/>
  <c r="BD55" i="36"/>
  <c r="BE55" i="36"/>
  <c r="BF55" i="36"/>
  <c r="BG55" i="36"/>
  <c r="BH55" i="36"/>
  <c r="BI55" i="36"/>
  <c r="BJ55" i="36"/>
  <c r="BK55" i="36"/>
  <c r="BL55" i="36"/>
  <c r="BM55" i="36"/>
  <c r="BN55" i="36"/>
  <c r="BO55" i="36"/>
  <c r="BP55" i="36"/>
  <c r="AW56" i="36"/>
  <c r="AX56" i="36"/>
  <c r="AY56" i="36"/>
  <c r="AZ56" i="36"/>
  <c r="BA56" i="36"/>
  <c r="BB56" i="36"/>
  <c r="BC56" i="36"/>
  <c r="BD56" i="36"/>
  <c r="BE56" i="36"/>
  <c r="BF56" i="36"/>
  <c r="BG56" i="36"/>
  <c r="BH56" i="36"/>
  <c r="BI56" i="36"/>
  <c r="BJ56" i="36"/>
  <c r="BK56" i="36"/>
  <c r="BL56" i="36"/>
  <c r="BM56" i="36"/>
  <c r="BN56" i="36"/>
  <c r="BO56" i="36"/>
  <c r="BP56" i="36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Z1" i="20" s="1"/>
  <c r="CA1" i="20" s="1"/>
  <c r="CB1" i="20" s="1"/>
  <c r="CC1" i="20" s="1"/>
  <c r="CD1" i="20" s="1"/>
  <c r="CE1" i="20" s="1"/>
  <c r="CF1" i="20" s="1"/>
  <c r="CG1" i="20" s="1"/>
  <c r="CH1" i="20" s="1"/>
  <c r="CI1" i="20" s="1"/>
  <c r="CJ1" i="20" s="1"/>
  <c r="CK1" i="20" s="1"/>
  <c r="CL1" i="20" s="1"/>
  <c r="CM1" i="20" s="1"/>
  <c r="CN1" i="20" s="1"/>
  <c r="CO1" i="20" s="1"/>
  <c r="CP1" i="20" s="1"/>
  <c r="CQ1" i="20" s="1"/>
  <c r="CR1" i="20" s="1"/>
  <c r="CS1" i="20" s="1"/>
  <c r="CT1" i="20" s="1"/>
  <c r="CU1" i="20" s="1"/>
  <c r="CV1" i="20" s="1"/>
  <c r="CW1" i="20" s="1"/>
  <c r="CX1" i="20" s="1"/>
  <c r="CY1" i="20" s="1"/>
  <c r="CZ1" i="20" s="1"/>
  <c r="DA1" i="20" s="1"/>
  <c r="DB1" i="20" s="1"/>
  <c r="DC1" i="20" s="1"/>
  <c r="DD1" i="20" s="1"/>
  <c r="DE1" i="20" s="1"/>
  <c r="DF1" i="20" s="1"/>
  <c r="DG1" i="20" s="1"/>
  <c r="DH1" i="20" s="1"/>
  <c r="DI1" i="20" s="1"/>
  <c r="DJ1" i="20" s="1"/>
  <c r="DK1" i="20" s="1"/>
  <c r="DL1" i="20" s="1"/>
  <c r="DM1" i="20" s="1"/>
  <c r="DN1" i="20" s="1"/>
  <c r="DO1" i="20" s="1"/>
  <c r="DP1" i="20" s="1"/>
  <c r="DQ1" i="20" s="1"/>
  <c r="DR1" i="20" s="1"/>
  <c r="DS1" i="20" s="1"/>
  <c r="DT1" i="20" s="1"/>
  <c r="DU1" i="20" s="1"/>
  <c r="DV1" i="20" s="1"/>
  <c r="DW1" i="20" s="1"/>
  <c r="DX1" i="20" s="1"/>
  <c r="DY1" i="20" s="1"/>
  <c r="DZ1" i="20" s="1"/>
  <c r="EA1" i="20" s="1"/>
  <c r="EB1" i="20" s="1"/>
  <c r="EC1" i="20" s="1"/>
  <c r="ED1" i="20" s="1"/>
  <c r="EE1" i="20" s="1"/>
  <c r="EF1" i="20" s="1"/>
  <c r="EG1" i="20" s="1"/>
  <c r="EH1" i="20" s="1"/>
  <c r="EI1" i="20" s="1"/>
  <c r="EJ1" i="20" s="1"/>
  <c r="EK1" i="20" s="1"/>
  <c r="EL1" i="20" s="1"/>
  <c r="EM1" i="20" s="1"/>
  <c r="EN1" i="20" s="1"/>
  <c r="EO1" i="20" s="1"/>
  <c r="EP1" i="20" s="1"/>
  <c r="EQ1" i="20" s="1"/>
  <c r="ER1" i="20" s="1"/>
  <c r="ES1" i="20" s="1"/>
  <c r="ET1" i="20" s="1"/>
  <c r="EU1" i="20" s="1"/>
  <c r="EV1" i="20" s="1"/>
  <c r="EW1" i="20" s="1"/>
  <c r="EX1" i="20" s="1"/>
  <c r="EY1" i="20" s="1"/>
  <c r="EZ1" i="20" s="1"/>
  <c r="FA1" i="20" s="1"/>
  <c r="FB1" i="20" s="1"/>
  <c r="FC1" i="20" s="1"/>
  <c r="FD1" i="20" s="1"/>
  <c r="FE1" i="20" s="1"/>
  <c r="FF1" i="20" s="1"/>
  <c r="FG1" i="20" s="1"/>
  <c r="DG5" i="20"/>
  <c r="DG6" i="20"/>
  <c r="DG7" i="20"/>
  <c r="DG8" i="20"/>
  <c r="DG9" i="20"/>
  <c r="DG10" i="20"/>
  <c r="DG11" i="20"/>
  <c r="DG12" i="20"/>
  <c r="DG13" i="20"/>
  <c r="DG14" i="20"/>
  <c r="DG15" i="20"/>
  <c r="DG16" i="20"/>
  <c r="DG17" i="20"/>
  <c r="DG18" i="20"/>
  <c r="DG19" i="20"/>
  <c r="DG20" i="20"/>
  <c r="DG21" i="20"/>
  <c r="DG22" i="20"/>
  <c r="DG23" i="20"/>
  <c r="DG24" i="20"/>
  <c r="DG25" i="20"/>
  <c r="DG26" i="20"/>
  <c r="DG27" i="20"/>
  <c r="DG28" i="20"/>
  <c r="DG29" i="20"/>
  <c r="DG30" i="20"/>
  <c r="DG31" i="20"/>
  <c r="DG32" i="20"/>
  <c r="DG33" i="20"/>
  <c r="DG34" i="20"/>
  <c r="DG35" i="20"/>
  <c r="DG36" i="20"/>
  <c r="DG37" i="20"/>
  <c r="DG38" i="20"/>
  <c r="DG39" i="20"/>
  <c r="DG40" i="20"/>
  <c r="DG41" i="20"/>
  <c r="DG42" i="20"/>
  <c r="DG43" i="20"/>
  <c r="DG44" i="20"/>
  <c r="DG45" i="20"/>
  <c r="DG46" i="20"/>
  <c r="DG47" i="20"/>
  <c r="DG48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21" i="20"/>
  <c r="DF22" i="20"/>
  <c r="DF23" i="20"/>
  <c r="DF24" i="20"/>
  <c r="DF25" i="20"/>
  <c r="DF26" i="20"/>
  <c r="DF27" i="20"/>
  <c r="DF28" i="20"/>
  <c r="DF29" i="20"/>
  <c r="DF30" i="20"/>
  <c r="DF31" i="20"/>
  <c r="DF32" i="20"/>
  <c r="DF33" i="20"/>
  <c r="DF34" i="20"/>
  <c r="DF35" i="20"/>
  <c r="DF36" i="20"/>
  <c r="DF37" i="20"/>
  <c r="DF38" i="20"/>
  <c r="DF39" i="20"/>
  <c r="DF40" i="20"/>
  <c r="DF41" i="20"/>
  <c r="DF42" i="20"/>
  <c r="DF43" i="20"/>
  <c r="DF44" i="20"/>
  <c r="DF45" i="20"/>
  <c r="DF46" i="20"/>
  <c r="DF47" i="20"/>
  <c r="DF48" i="20"/>
  <c r="DD5" i="20"/>
  <c r="DD6" i="20"/>
  <c r="DD7" i="20"/>
  <c r="DD8" i="20"/>
  <c r="DD9" i="20"/>
  <c r="DD10" i="20"/>
  <c r="DD11" i="20"/>
  <c r="DD12" i="20"/>
  <c r="DD13" i="20"/>
  <c r="DD14" i="20"/>
  <c r="DD15" i="20"/>
  <c r="DD16" i="20"/>
  <c r="DD17" i="20"/>
  <c r="DD18" i="20"/>
  <c r="DD19" i="20"/>
  <c r="DD20" i="20"/>
  <c r="DD21" i="20"/>
  <c r="DD22" i="20"/>
  <c r="DD23" i="20"/>
  <c r="DD24" i="20"/>
  <c r="DD25" i="20"/>
  <c r="DD26" i="20"/>
  <c r="DD27" i="20"/>
  <c r="DD28" i="20"/>
  <c r="DD29" i="20"/>
  <c r="DD30" i="20"/>
  <c r="DD31" i="20"/>
  <c r="DD32" i="20"/>
  <c r="DD33" i="20"/>
  <c r="DD34" i="20"/>
  <c r="DD35" i="20"/>
  <c r="DD36" i="20"/>
  <c r="DD37" i="20"/>
  <c r="DD38" i="20"/>
  <c r="DD39" i="20"/>
  <c r="DD40" i="20"/>
  <c r="DD41" i="20"/>
  <c r="DD42" i="20"/>
  <c r="DD43" i="20"/>
  <c r="DD44" i="20"/>
  <c r="DD45" i="20"/>
  <c r="DD46" i="20"/>
  <c r="DD47" i="20"/>
  <c r="DD48" i="20"/>
  <c r="DC5" i="20"/>
  <c r="DC6" i="20"/>
  <c r="DC7" i="20"/>
  <c r="DC8" i="20"/>
  <c r="DC9" i="20"/>
  <c r="DC10" i="20"/>
  <c r="DC11" i="20"/>
  <c r="DC12" i="20"/>
  <c r="DC13" i="20"/>
  <c r="DC14" i="20"/>
  <c r="DC15" i="20"/>
  <c r="DC16" i="20"/>
  <c r="DC17" i="20"/>
  <c r="DC18" i="20"/>
  <c r="DC19" i="20"/>
  <c r="DC20" i="20"/>
  <c r="DC21" i="20"/>
  <c r="DC22" i="20"/>
  <c r="DC23" i="20"/>
  <c r="DC24" i="20"/>
  <c r="DC25" i="20"/>
  <c r="DC26" i="20"/>
  <c r="DC27" i="20"/>
  <c r="DC28" i="20"/>
  <c r="DC29" i="20"/>
  <c r="DC30" i="20"/>
  <c r="DC31" i="20"/>
  <c r="DC32" i="20"/>
  <c r="DC33" i="20"/>
  <c r="DC34" i="20"/>
  <c r="DC35" i="20"/>
  <c r="DC36" i="20"/>
  <c r="DC37" i="20"/>
  <c r="DC38" i="20"/>
  <c r="DC39" i="20"/>
  <c r="DC40" i="20"/>
  <c r="DC41" i="20"/>
  <c r="DC42" i="20"/>
  <c r="DC43" i="20"/>
  <c r="DC44" i="20"/>
  <c r="DC45" i="20"/>
  <c r="DC46" i="20"/>
  <c r="DC47" i="20"/>
  <c r="DC48" i="20"/>
  <c r="DB5" i="20"/>
  <c r="DB6" i="20"/>
  <c r="DB7" i="20"/>
  <c r="DB8" i="20"/>
  <c r="DB9" i="20"/>
  <c r="DB10" i="20"/>
  <c r="DB11" i="20"/>
  <c r="DB12" i="20"/>
  <c r="DB13" i="20"/>
  <c r="DB14" i="20"/>
  <c r="DB15" i="20"/>
  <c r="DB16" i="20"/>
  <c r="DB17" i="20"/>
  <c r="DB18" i="20"/>
  <c r="DB19" i="20"/>
  <c r="DB20" i="20"/>
  <c r="DB21" i="20"/>
  <c r="DB22" i="20"/>
  <c r="DB23" i="20"/>
  <c r="DB24" i="20"/>
  <c r="DB25" i="20"/>
  <c r="DB26" i="20"/>
  <c r="DB27" i="20"/>
  <c r="DB28" i="20"/>
  <c r="DB29" i="20"/>
  <c r="DB30" i="20"/>
  <c r="DB31" i="20"/>
  <c r="DB32" i="20"/>
  <c r="DB33" i="20"/>
  <c r="DB34" i="20"/>
  <c r="DB35" i="20"/>
  <c r="DB36" i="20"/>
  <c r="DB37" i="20"/>
  <c r="DB38" i="20"/>
  <c r="DB39" i="20"/>
  <c r="DB40" i="20"/>
  <c r="DB41" i="20"/>
  <c r="DB42" i="20"/>
  <c r="DB43" i="20"/>
  <c r="DB44" i="20"/>
  <c r="DB45" i="20"/>
  <c r="DB46" i="20"/>
  <c r="DB47" i="20"/>
  <c r="DB48" i="20"/>
  <c r="DA5" i="20"/>
  <c r="DA6" i="20"/>
  <c r="DA7" i="20"/>
  <c r="DA8" i="20"/>
  <c r="DA9" i="20"/>
  <c r="DA10" i="20"/>
  <c r="DA11" i="20"/>
  <c r="DA12" i="20"/>
  <c r="DA13" i="20"/>
  <c r="DA14" i="20"/>
  <c r="DA15" i="20"/>
  <c r="DA16" i="20"/>
  <c r="DA17" i="20"/>
  <c r="DA18" i="20"/>
  <c r="DA19" i="20"/>
  <c r="DA20" i="20"/>
  <c r="DA21" i="20"/>
  <c r="DA22" i="20"/>
  <c r="DA23" i="20"/>
  <c r="DA24" i="20"/>
  <c r="DA25" i="20"/>
  <c r="DA26" i="20"/>
  <c r="DA27" i="20"/>
  <c r="DA28" i="20"/>
  <c r="DA29" i="20"/>
  <c r="DA30" i="20"/>
  <c r="DA31" i="20"/>
  <c r="DA32" i="20"/>
  <c r="DA33" i="20"/>
  <c r="DA34" i="20"/>
  <c r="DA35" i="20"/>
  <c r="DA36" i="20"/>
  <c r="DA37" i="20"/>
  <c r="DA38" i="20"/>
  <c r="DA39" i="20"/>
  <c r="DA40" i="20"/>
  <c r="DA41" i="20"/>
  <c r="DA42" i="20"/>
  <c r="DA43" i="20"/>
  <c r="DA44" i="20"/>
  <c r="DA45" i="20"/>
  <c r="DA46" i="20"/>
  <c r="DA47" i="20"/>
  <c r="DA48" i="20"/>
  <c r="CZ5" i="20"/>
  <c r="CZ6" i="20"/>
  <c r="CZ7" i="20"/>
  <c r="CZ8" i="20"/>
  <c r="CZ9" i="20"/>
  <c r="CZ10" i="20"/>
  <c r="CZ11" i="20"/>
  <c r="CZ12" i="20"/>
  <c r="CZ13" i="20"/>
  <c r="CZ14" i="20"/>
  <c r="CZ15" i="20"/>
  <c r="CZ16" i="20"/>
  <c r="CZ17" i="20"/>
  <c r="CZ18" i="20"/>
  <c r="CZ19" i="20"/>
  <c r="CZ20" i="20"/>
  <c r="CZ21" i="20"/>
  <c r="CZ22" i="20"/>
  <c r="CZ23" i="20"/>
  <c r="CZ24" i="20"/>
  <c r="CZ25" i="20"/>
  <c r="CZ26" i="20"/>
  <c r="CZ27" i="20"/>
  <c r="CZ28" i="20"/>
  <c r="CZ29" i="20"/>
  <c r="CZ30" i="20"/>
  <c r="CZ31" i="20"/>
  <c r="CZ32" i="20"/>
  <c r="CZ33" i="20"/>
  <c r="CZ34" i="20"/>
  <c r="CZ35" i="20"/>
  <c r="CZ36" i="20"/>
  <c r="CZ37" i="20"/>
  <c r="CZ38" i="20"/>
  <c r="CZ39" i="20"/>
  <c r="CY5" i="20"/>
  <c r="CY6" i="20"/>
  <c r="CY7" i="20"/>
  <c r="CY8" i="20"/>
  <c r="CY9" i="20"/>
  <c r="CY10" i="20"/>
  <c r="CY11" i="20"/>
  <c r="CY12" i="20"/>
  <c r="CY13" i="20"/>
  <c r="CY14" i="20"/>
  <c r="CY15" i="20"/>
  <c r="CY16" i="20"/>
  <c r="CY17" i="20"/>
  <c r="CY18" i="20"/>
  <c r="CY19" i="20"/>
  <c r="CY20" i="20"/>
  <c r="CY21" i="20"/>
  <c r="CY22" i="20"/>
  <c r="CY23" i="20"/>
  <c r="CY24" i="20"/>
  <c r="CY25" i="20"/>
  <c r="CY26" i="20"/>
  <c r="CY27" i="20"/>
  <c r="CY28" i="20"/>
  <c r="CY29" i="20"/>
  <c r="CY30" i="20"/>
  <c r="CY31" i="20"/>
  <c r="CY32" i="20"/>
  <c r="CY33" i="20"/>
  <c r="CY34" i="20"/>
  <c r="CY35" i="20"/>
  <c r="CY36" i="20"/>
  <c r="CY37" i="20"/>
  <c r="CY38" i="20"/>
  <c r="CY39" i="20"/>
  <c r="CY40" i="20"/>
  <c r="CY41" i="20"/>
  <c r="CY42" i="20"/>
  <c r="CY43" i="20"/>
  <c r="CY44" i="20"/>
  <c r="CY45" i="20"/>
  <c r="CY46" i="20"/>
  <c r="CY47" i="20"/>
  <c r="CY48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21" i="20"/>
  <c r="CX22" i="20"/>
  <c r="CX23" i="20"/>
  <c r="CX24" i="20"/>
  <c r="CX25" i="20"/>
  <c r="CX26" i="20"/>
  <c r="CX27" i="20"/>
  <c r="CX28" i="20"/>
  <c r="CX29" i="20"/>
  <c r="CX30" i="20"/>
  <c r="CX31" i="20"/>
  <c r="CX32" i="20"/>
  <c r="CX33" i="20"/>
  <c r="CX34" i="20"/>
  <c r="CX35" i="20"/>
  <c r="CX36" i="20"/>
  <c r="CX37" i="20"/>
  <c r="CX38" i="20"/>
  <c r="CX39" i="20"/>
  <c r="CX40" i="20"/>
  <c r="CX41" i="20"/>
  <c r="CX42" i="20"/>
  <c r="CX43" i="20"/>
  <c r="CX44" i="20"/>
  <c r="CX45" i="20"/>
  <c r="CX46" i="20"/>
  <c r="CX47" i="20"/>
  <c r="CX48" i="20"/>
  <c r="EH35" i="20" l="1"/>
  <c r="EX35" i="20"/>
  <c r="EW35" i="20"/>
  <c r="EV35" i="20"/>
  <c r="ET35" i="20"/>
  <c r="ES35" i="20"/>
  <c r="EX34" i="20" l="1"/>
  <c r="EW34" i="20"/>
  <c r="EV34" i="20"/>
  <c r="ET34" i="20"/>
  <c r="ES34" i="20"/>
  <c r="EH34" i="20"/>
  <c r="EX33" i="20"/>
  <c r="EW33" i="20"/>
  <c r="EV33" i="20"/>
  <c r="ET33" i="20"/>
  <c r="ES33" i="20"/>
  <c r="EL33" i="20"/>
  <c r="EK33" i="20"/>
  <c r="EX32" i="20"/>
  <c r="EW32" i="20"/>
  <c r="EV32" i="20"/>
  <c r="ET32" i="20"/>
  <c r="ES32" i="20"/>
  <c r="EK32" i="20"/>
  <c r="EU34" i="20"/>
  <c r="EU35" i="20"/>
  <c r="EU36" i="20"/>
  <c r="EU37" i="20"/>
  <c r="EU39" i="20"/>
  <c r="EU40" i="20"/>
  <c r="EU41" i="20"/>
  <c r="EU42" i="20"/>
  <c r="EU43" i="20"/>
  <c r="EU46" i="20"/>
  <c r="EU48" i="20"/>
  <c r="ER34" i="20"/>
  <c r="ER35" i="20"/>
  <c r="ER36" i="20"/>
  <c r="ER37" i="20"/>
  <c r="ER38" i="20"/>
  <c r="ER39" i="20"/>
  <c r="ER40" i="20"/>
  <c r="ER41" i="20"/>
  <c r="ER42" i="20"/>
  <c r="ER43" i="20"/>
  <c r="ER44" i="20"/>
  <c r="ER45" i="20"/>
  <c r="ER46" i="20"/>
  <c r="ER47" i="20"/>
  <c r="ER48" i="20"/>
  <c r="EO34" i="20"/>
  <c r="EO35" i="20"/>
  <c r="EO36" i="20"/>
  <c r="EO37" i="20"/>
  <c r="EO38" i="20"/>
  <c r="EO39" i="20"/>
  <c r="EO40" i="20"/>
  <c r="EO41" i="20"/>
  <c r="EO42" i="20"/>
  <c r="EO43" i="20"/>
  <c r="EO44" i="20"/>
  <c r="EO45" i="20"/>
  <c r="EO46" i="20"/>
  <c r="EO47" i="20"/>
  <c r="EN34" i="20"/>
  <c r="EN35" i="20"/>
  <c r="EN36" i="20"/>
  <c r="EN37" i="20"/>
  <c r="EN38" i="20"/>
  <c r="EN39" i="20"/>
  <c r="EN40" i="20"/>
  <c r="EN41" i="20"/>
  <c r="EN42" i="20"/>
  <c r="EN43" i="20"/>
  <c r="EN44" i="20"/>
  <c r="EN45" i="20"/>
  <c r="EN46" i="20"/>
  <c r="EN47" i="20"/>
  <c r="EN48" i="20"/>
  <c r="EM34" i="20"/>
  <c r="EM35" i="20"/>
  <c r="EM36" i="20"/>
  <c r="EM37" i="20"/>
  <c r="EM38" i="20"/>
  <c r="EM39" i="20"/>
  <c r="EM40" i="20"/>
  <c r="EM41" i="20"/>
  <c r="EM42" i="20"/>
  <c r="EM43" i="20"/>
  <c r="EM44" i="20"/>
  <c r="EM45" i="20"/>
  <c r="EM46" i="20"/>
  <c r="EM47" i="20"/>
  <c r="EM48" i="20"/>
  <c r="EL34" i="20"/>
  <c r="EL35" i="20"/>
  <c r="EL36" i="20"/>
  <c r="EL37" i="20"/>
  <c r="EL38" i="20"/>
  <c r="EL39" i="20"/>
  <c r="EL40" i="20"/>
  <c r="EL41" i="20"/>
  <c r="EL42" i="20"/>
  <c r="EL43" i="20"/>
  <c r="EL44" i="20"/>
  <c r="EL45" i="20"/>
  <c r="EL46" i="20"/>
  <c r="EL47" i="20"/>
  <c r="EL48" i="20"/>
  <c r="EK34" i="20"/>
  <c r="EK35" i="20"/>
  <c r="EK36" i="20"/>
  <c r="EK37" i="20"/>
  <c r="EK38" i="20"/>
  <c r="EK39" i="20"/>
  <c r="EK40" i="20"/>
  <c r="EK41" i="20"/>
  <c r="EK42" i="20"/>
  <c r="EK43" i="20"/>
  <c r="EK44" i="20"/>
  <c r="EK45" i="20"/>
  <c r="EK46" i="20"/>
  <c r="EK47" i="20"/>
  <c r="EK48" i="20"/>
  <c r="EJ34" i="20"/>
  <c r="EJ35" i="20"/>
  <c r="EJ36" i="20"/>
  <c r="EJ39" i="20"/>
  <c r="EJ40" i="20"/>
  <c r="EJ41" i="20"/>
  <c r="EJ42" i="20"/>
  <c r="EJ43" i="20"/>
  <c r="EJ44" i="20"/>
  <c r="EJ45" i="20"/>
  <c r="EJ46" i="20"/>
  <c r="EJ47" i="20"/>
  <c r="EI34" i="20"/>
  <c r="EI35" i="20"/>
  <c r="EI36" i="20"/>
  <c r="EI37" i="20"/>
  <c r="EI39" i="20"/>
  <c r="EI40" i="20"/>
  <c r="EI41" i="20"/>
  <c r="EI42" i="20"/>
  <c r="EI43" i="20"/>
  <c r="EI44" i="20"/>
  <c r="EI45" i="20"/>
  <c r="EI46" i="20"/>
  <c r="EI47" i="20"/>
  <c r="EI48" i="20"/>
  <c r="EH36" i="20"/>
  <c r="EH37" i="20"/>
  <c r="EH39" i="20"/>
  <c r="EH40" i="20"/>
  <c r="EH41" i="20"/>
  <c r="EH42" i="20"/>
  <c r="EH43" i="20"/>
  <c r="EH44" i="20"/>
  <c r="EH45" i="20"/>
  <c r="EH46" i="20"/>
  <c r="EH47" i="20"/>
  <c r="DL34" i="20"/>
  <c r="DL35" i="20"/>
  <c r="DL36" i="20"/>
  <c r="DL37" i="20"/>
  <c r="DL38" i="20"/>
  <c r="DL39" i="20"/>
  <c r="DL40" i="20"/>
  <c r="DL41" i="20"/>
  <c r="DL42" i="20"/>
  <c r="DL43" i="20"/>
  <c r="DL44" i="20"/>
  <c r="DL45" i="20"/>
  <c r="DL46" i="20"/>
  <c r="DL47" i="20"/>
  <c r="DL48" i="20"/>
  <c r="DK34" i="20"/>
  <c r="DK35" i="20"/>
  <c r="DK36" i="20"/>
  <c r="DK37" i="20"/>
  <c r="DK38" i="20"/>
  <c r="DK39" i="20"/>
  <c r="DK40" i="20"/>
  <c r="DK41" i="20"/>
  <c r="DK42" i="20"/>
  <c r="DK43" i="20"/>
  <c r="DK44" i="20"/>
  <c r="DK45" i="20"/>
  <c r="DK46" i="20"/>
  <c r="DK47" i="20"/>
  <c r="DK48" i="20"/>
  <c r="DJ34" i="20"/>
  <c r="DJ35" i="20"/>
  <c r="DJ36" i="20"/>
  <c r="DJ37" i="20"/>
  <c r="DJ38" i="20"/>
  <c r="DJ39" i="20"/>
  <c r="DJ40" i="20"/>
  <c r="DJ41" i="20"/>
  <c r="DJ42" i="20"/>
  <c r="DJ43" i="20"/>
  <c r="DJ44" i="20"/>
  <c r="DJ45" i="20"/>
  <c r="DJ46" i="20"/>
  <c r="DJ47" i="20"/>
  <c r="DJ48" i="20"/>
  <c r="DI34" i="20"/>
  <c r="DI35" i="20"/>
  <c r="DI36" i="20"/>
  <c r="DI37" i="20"/>
  <c r="DI38" i="20"/>
  <c r="DI39" i="20"/>
  <c r="DI40" i="20"/>
  <c r="DI41" i="20"/>
  <c r="DI42" i="20"/>
  <c r="DI43" i="20"/>
  <c r="DI44" i="20"/>
  <c r="DI45" i="20"/>
  <c r="DI46" i="20"/>
  <c r="DI48" i="20"/>
  <c r="DH34" i="20"/>
  <c r="DH35" i="20"/>
  <c r="DH36" i="20"/>
  <c r="DH37" i="20"/>
  <c r="DH38" i="20"/>
  <c r="DH39" i="20"/>
  <c r="DH40" i="20"/>
  <c r="DH41" i="20"/>
  <c r="DH42" i="20"/>
  <c r="DH43" i="20"/>
  <c r="DH44" i="20"/>
  <c r="DH45" i="20"/>
  <c r="DH46" i="20"/>
  <c r="DH47" i="20"/>
  <c r="DH48" i="20"/>
  <c r="FA42" i="20"/>
  <c r="FC34" i="20"/>
  <c r="FC35" i="20"/>
  <c r="FC36" i="20"/>
  <c r="FC37" i="20"/>
  <c r="FC38" i="20"/>
  <c r="FC39" i="20"/>
  <c r="FC40" i="20"/>
  <c r="FC41" i="20"/>
  <c r="FC42" i="20"/>
  <c r="FC43" i="20"/>
  <c r="FC44" i="20"/>
  <c r="FC45" i="20"/>
  <c r="FC46" i="20"/>
  <c r="FG34" i="20"/>
  <c r="FG35" i="20"/>
  <c r="FG36" i="20"/>
  <c r="FG37" i="20"/>
  <c r="FG38" i="20"/>
  <c r="FG39" i="20"/>
  <c r="FG40" i="20"/>
  <c r="FG41" i="20"/>
  <c r="FG42" i="20"/>
  <c r="FG43" i="20"/>
  <c r="FG44" i="20"/>
  <c r="FG45" i="20"/>
  <c r="FG46" i="20"/>
  <c r="FG47" i="20"/>
  <c r="FG48" i="20"/>
  <c r="DP34" i="20" l="1"/>
  <c r="DP46" i="20"/>
  <c r="DP44" i="20"/>
  <c r="DP43" i="20"/>
  <c r="DP41" i="20"/>
  <c r="DP45" i="20"/>
  <c r="DP42" i="20"/>
  <c r="DP39" i="20"/>
  <c r="DP36" i="20"/>
  <c r="FB36" i="20" s="1"/>
  <c r="DP40" i="20"/>
  <c r="DP38" i="20"/>
  <c r="FB38" i="20" s="1"/>
  <c r="DP37" i="20"/>
  <c r="FB37" i="20" s="1"/>
  <c r="DP48" i="20"/>
  <c r="DP47" i="20"/>
  <c r="FB47" i="20" s="1"/>
  <c r="DP35" i="20"/>
  <c r="FA43" i="20"/>
  <c r="FA44" i="20"/>
  <c r="FA39" i="20"/>
  <c r="EY41" i="20"/>
  <c r="EY37" i="20"/>
  <c r="EY38" i="20"/>
  <c r="EY39" i="20"/>
  <c r="EY40" i="20"/>
  <c r="EZ37" i="20"/>
  <c r="EZ38" i="20"/>
  <c r="EZ48" i="20"/>
  <c r="FA40" i="20"/>
  <c r="EZ43" i="20"/>
  <c r="FA46" i="20"/>
  <c r="EY46" i="20"/>
  <c r="EY43" i="20"/>
  <c r="EZ40" i="20"/>
  <c r="FA38" i="20"/>
  <c r="EZ46" i="20"/>
  <c r="EZ47" i="20"/>
  <c r="FA45" i="20"/>
  <c r="EY42" i="20"/>
  <c r="EZ36" i="20"/>
  <c r="FA35" i="20"/>
  <c r="EZ35" i="20"/>
  <c r="EZ34" i="20"/>
  <c r="FA37" i="20"/>
  <c r="FA34" i="20"/>
  <c r="FA36" i="20"/>
  <c r="FA48" i="20"/>
  <c r="EY45" i="20"/>
  <c r="EY44" i="20"/>
  <c r="EZ39" i="20"/>
  <c r="EY35" i="20"/>
  <c r="EY34" i="20"/>
  <c r="EY48" i="20"/>
  <c r="EY36" i="20"/>
  <c r="EZ45" i="20"/>
  <c r="EZ44" i="20"/>
  <c r="EZ42" i="20"/>
  <c r="EZ41" i="20"/>
  <c r="FB42" i="20" l="1"/>
  <c r="FB35" i="20"/>
  <c r="FB43" i="20"/>
  <c r="FB40" i="20"/>
  <c r="FB41" i="20"/>
  <c r="FB46" i="20"/>
  <c r="FB39" i="20"/>
  <c r="FB45" i="20"/>
  <c r="FB44" i="20"/>
  <c r="FB48" i="20"/>
  <c r="FB34" i="20"/>
  <c r="FC32" i="20"/>
  <c r="EX31" i="20"/>
  <c r="EW31" i="20"/>
  <c r="EV31" i="20"/>
  <c r="ET31" i="20"/>
  <c r="ES31" i="20"/>
  <c r="C36" i="36" l="1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AN37" i="36"/>
  <c r="AO37" i="36"/>
  <c r="AP37" i="36"/>
  <c r="AQ37" i="36"/>
  <c r="AR37" i="36"/>
  <c r="AS37" i="36"/>
  <c r="AT37" i="36"/>
  <c r="AU37" i="36"/>
  <c r="AV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AN38" i="36"/>
  <c r="AO38" i="36"/>
  <c r="AP38" i="36"/>
  <c r="AQ38" i="36"/>
  <c r="AR38" i="36"/>
  <c r="AS38" i="36"/>
  <c r="AT38" i="36"/>
  <c r="AU38" i="36"/>
  <c r="AV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AN39" i="36"/>
  <c r="AO39" i="36"/>
  <c r="AP39" i="36"/>
  <c r="AQ39" i="36"/>
  <c r="AR39" i="36"/>
  <c r="AS39" i="36"/>
  <c r="AT39" i="36"/>
  <c r="AU39" i="36"/>
  <c r="AV39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AN41" i="36"/>
  <c r="AO41" i="36"/>
  <c r="AP41" i="36"/>
  <c r="AQ41" i="36"/>
  <c r="AR41" i="36"/>
  <c r="AS41" i="36"/>
  <c r="AT41" i="36"/>
  <c r="AU41" i="36"/>
  <c r="AV41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AN42" i="36"/>
  <c r="AO42" i="36"/>
  <c r="AP42" i="36"/>
  <c r="AQ42" i="36"/>
  <c r="AR42" i="36"/>
  <c r="AS42" i="36"/>
  <c r="AT42" i="36"/>
  <c r="AU42" i="36"/>
  <c r="AV42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AN45" i="36"/>
  <c r="AO45" i="36"/>
  <c r="AP45" i="36"/>
  <c r="AQ45" i="36"/>
  <c r="AR45" i="36"/>
  <c r="AS45" i="36"/>
  <c r="AT45" i="36"/>
  <c r="AU45" i="36"/>
  <c r="AV45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AF49" i="36"/>
  <c r="AG49" i="36"/>
  <c r="AH49" i="36"/>
  <c r="AI49" i="36"/>
  <c r="AJ49" i="36"/>
  <c r="AK49" i="36"/>
  <c r="AL49" i="36"/>
  <c r="AM49" i="36"/>
  <c r="AN49" i="36"/>
  <c r="AO49" i="36"/>
  <c r="AP49" i="36"/>
  <c r="AQ49" i="36"/>
  <c r="AR49" i="36"/>
  <c r="AS49" i="36"/>
  <c r="AT49" i="36"/>
  <c r="AU49" i="36"/>
  <c r="AV49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AN50" i="36"/>
  <c r="AO50" i="36"/>
  <c r="AP50" i="36"/>
  <c r="AQ50" i="36"/>
  <c r="AR50" i="36"/>
  <c r="AS50" i="36"/>
  <c r="AT50" i="36"/>
  <c r="AU50" i="36"/>
  <c r="AV50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AN53" i="36"/>
  <c r="AO53" i="36"/>
  <c r="AP53" i="36"/>
  <c r="AQ53" i="36"/>
  <c r="AR53" i="36"/>
  <c r="AS53" i="36"/>
  <c r="AT53" i="36"/>
  <c r="AU53" i="36"/>
  <c r="AV53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AN54" i="36"/>
  <c r="AO54" i="36"/>
  <c r="AP54" i="36"/>
  <c r="AQ54" i="36"/>
  <c r="AR54" i="36"/>
  <c r="AS54" i="36"/>
  <c r="AT54" i="36"/>
  <c r="AU54" i="36"/>
  <c r="AV54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EX30" i="20"/>
  <c r="EW30" i="20"/>
  <c r="EV30" i="20"/>
  <c r="ES30" i="20"/>
  <c r="EH29" i="20" l="1"/>
  <c r="EX29" i="20"/>
  <c r="EW29" i="20"/>
  <c r="EV29" i="20"/>
  <c r="ET29" i="20"/>
  <c r="ET30" i="20"/>
  <c r="ES29" i="20"/>
  <c r="EU27" i="20"/>
  <c r="EX28" i="20" l="1"/>
  <c r="EW28" i="20"/>
  <c r="EV28" i="20"/>
  <c r="EU28" i="20"/>
  <c r="ET28" i="20"/>
  <c r="ES28" i="20"/>
  <c r="EW27" i="20"/>
  <c r="EV27" i="20"/>
  <c r="ET27" i="20"/>
  <c r="ES27" i="20"/>
  <c r="EW26" i="20"/>
  <c r="EV26" i="20"/>
  <c r="ET26" i="20"/>
  <c r="ES26" i="20"/>
  <c r="EV24" i="20" l="1"/>
  <c r="EV25" i="20"/>
  <c r="EH25" i="20"/>
  <c r="ET25" i="20"/>
  <c r="ET24" i="20"/>
  <c r="ES25" i="20"/>
  <c r="ES24" i="20"/>
  <c r="EL24" i="20"/>
  <c r="EL25" i="20"/>
  <c r="EL26" i="20"/>
  <c r="EW24" i="20"/>
  <c r="EW25" i="20"/>
  <c r="EI24" i="20"/>
  <c r="EI25" i="20"/>
  <c r="EH24" i="20"/>
  <c r="W14" i="40" l="1"/>
  <c r="T14" i="40"/>
  <c r="EW23" i="20"/>
  <c r="ES23" i="20"/>
  <c r="ET23" i="20"/>
  <c r="EV23" i="20"/>
  <c r="EW22" i="20" l="1"/>
  <c r="EV22" i="20"/>
  <c r="ET22" i="20"/>
  <c r="ES22" i="20"/>
  <c r="EW21" i="20"/>
  <c r="ET21" i="20"/>
  <c r="ES21" i="20"/>
  <c r="EW20" i="20" l="1"/>
  <c r="ET20" i="20"/>
  <c r="ES20" i="20"/>
  <c r="ET19" i="20"/>
  <c r="ES19" i="20"/>
  <c r="EW18" i="20" l="1"/>
  <c r="EV18" i="20"/>
  <c r="EU18" i="20"/>
  <c r="ET18" i="20"/>
  <c r="ES18" i="20"/>
  <c r="ET17" i="20"/>
  <c r="ES17" i="20"/>
  <c r="ET16" i="20"/>
  <c r="ES16" i="20"/>
  <c r="ET15" i="20" l="1"/>
  <c r="ES15" i="20"/>
  <c r="ES13" i="20"/>
  <c r="ET13" i="20"/>
  <c r="ET14" i="20"/>
  <c r="EW12" i="20"/>
  <c r="EW13" i="20"/>
  <c r="EW14" i="20"/>
  <c r="EW15" i="20"/>
  <c r="EW16" i="20"/>
  <c r="EW17" i="20"/>
  <c r="EW19" i="20"/>
  <c r="EV12" i="20"/>
  <c r="EV13" i="20"/>
  <c r="EV14" i="20"/>
  <c r="EV15" i="20"/>
  <c r="EV16" i="20"/>
  <c r="EV17" i="20"/>
  <c r="EV19" i="20"/>
  <c r="EV20" i="20"/>
  <c r="EV21" i="20"/>
  <c r="ET12" i="20"/>
  <c r="ES12" i="20"/>
  <c r="EX12" i="20"/>
  <c r="EX13" i="20"/>
  <c r="EX14" i="20"/>
  <c r="EX15" i="20"/>
  <c r="EX16" i="20"/>
  <c r="EX17" i="20"/>
  <c r="EX18" i="20"/>
  <c r="EX19" i="20"/>
  <c r="EX20" i="20"/>
  <c r="EX21" i="20"/>
  <c r="EX22" i="20"/>
  <c r="EX23" i="20"/>
  <c r="EX24" i="20"/>
  <c r="FA24" i="20" s="1"/>
  <c r="EX25" i="20"/>
  <c r="FA25" i="20" s="1"/>
  <c r="EX26" i="20"/>
  <c r="EX27" i="20"/>
  <c r="EU12" i="20"/>
  <c r="EU13" i="20"/>
  <c r="EU14" i="20"/>
  <c r="EU15" i="20"/>
  <c r="EU16" i="20"/>
  <c r="EU17" i="20"/>
  <c r="EU19" i="20"/>
  <c r="EU20" i="20"/>
  <c r="EU21" i="20"/>
  <c r="EU22" i="20"/>
  <c r="EU23" i="20"/>
  <c r="EU24" i="20"/>
  <c r="EU25" i="20"/>
  <c r="EU26" i="20"/>
  <c r="EZ12" i="20" l="1"/>
  <c r="FA16" i="20"/>
  <c r="FA15" i="20"/>
  <c r="FA14" i="20"/>
  <c r="EY12" i="20"/>
  <c r="EX11" i="20" l="1"/>
  <c r="EW11" i="20"/>
  <c r="EV11" i="20"/>
  <c r="EU11" i="20"/>
  <c r="ET11" i="20"/>
  <c r="ES11" i="20"/>
  <c r="ER11" i="20"/>
  <c r="EO11" i="20"/>
  <c r="EN11" i="20"/>
  <c r="EM11" i="20"/>
  <c r="EL11" i="20"/>
  <c r="EJ11" i="20"/>
  <c r="EH11" i="20"/>
  <c r="EK11" i="20"/>
  <c r="EI11" i="20"/>
  <c r="EX10" i="20"/>
  <c r="EW10" i="20"/>
  <c r="EV10" i="20"/>
  <c r="ET10" i="20"/>
  <c r="ES10" i="20"/>
  <c r="EX9" i="20"/>
  <c r="EW9" i="20"/>
  <c r="EU9" i="20"/>
  <c r="EV9" i="20"/>
  <c r="ET9" i="20"/>
  <c r="ES9" i="20"/>
  <c r="B429" i="32"/>
  <c r="B430" i="32" s="1"/>
  <c r="C429" i="32"/>
  <c r="D429" i="32"/>
  <c r="G429" i="32"/>
  <c r="H429" i="32" s="1"/>
  <c r="BE429" i="32"/>
  <c r="BE430" i="32"/>
  <c r="BE431" i="32"/>
  <c r="BE432" i="32"/>
  <c r="BE433" i="32"/>
  <c r="BE434" i="32"/>
  <c r="BE435" i="32"/>
  <c r="BE436" i="32"/>
  <c r="BE437" i="32"/>
  <c r="BE438" i="32"/>
  <c r="BE439" i="32"/>
  <c r="BE440" i="32"/>
  <c r="BE441" i="32"/>
  <c r="BE442" i="32"/>
  <c r="BE443" i="32"/>
  <c r="BE444" i="32"/>
  <c r="BE445" i="32"/>
  <c r="BE446" i="32"/>
  <c r="BE447" i="32"/>
  <c r="BE448" i="32"/>
  <c r="BE449" i="32"/>
  <c r="BE450" i="32"/>
  <c r="BE451" i="32"/>
  <c r="BE452" i="32"/>
  <c r="BE453" i="32"/>
  <c r="BE454" i="32"/>
  <c r="BE455" i="32"/>
  <c r="BE456" i="32"/>
  <c r="BE457" i="32"/>
  <c r="BE458" i="32"/>
  <c r="BE459" i="32"/>
  <c r="BE460" i="32"/>
  <c r="BE461" i="32"/>
  <c r="BE462" i="32"/>
  <c r="BE463" i="32"/>
  <c r="BE464" i="32"/>
  <c r="BE465" i="32"/>
  <c r="BE466" i="32"/>
  <c r="BE467" i="32"/>
  <c r="BE468" i="32"/>
  <c r="BE469" i="32"/>
  <c r="BE470" i="32"/>
  <c r="BE471" i="32"/>
  <c r="BE472" i="32"/>
  <c r="BE473" i="32"/>
  <c r="BE474" i="32"/>
  <c r="BE475" i="32"/>
  <c r="BE476" i="32"/>
  <c r="BE477" i="32"/>
  <c r="BE478" i="32"/>
  <c r="BE479" i="32"/>
  <c r="BE480" i="32"/>
  <c r="BE481" i="32"/>
  <c r="BE482" i="32"/>
  <c r="BE483" i="32"/>
  <c r="BE484" i="32"/>
  <c r="BE485" i="32"/>
  <c r="BE486" i="32"/>
  <c r="BE487" i="32"/>
  <c r="BE488" i="32"/>
  <c r="BE489" i="32"/>
  <c r="BE490" i="32"/>
  <c r="BE491" i="32"/>
  <c r="BE492" i="32"/>
  <c r="BE493" i="32"/>
  <c r="BE494" i="32"/>
  <c r="BE495" i="32"/>
  <c r="BE496" i="32"/>
  <c r="BE497" i="32"/>
  <c r="BE498" i="32"/>
  <c r="BE499" i="32"/>
  <c r="BE500" i="32"/>
  <c r="BE501" i="32"/>
  <c r="BE502" i="32"/>
  <c r="EU10" i="20"/>
  <c r="EU29" i="20"/>
  <c r="EU30" i="20"/>
  <c r="EU31" i="20"/>
  <c r="EU32" i="20"/>
  <c r="EU33" i="20"/>
  <c r="ER9" i="20"/>
  <c r="ER10" i="20"/>
  <c r="ER12" i="20"/>
  <c r="ER13" i="20"/>
  <c r="ER14" i="20"/>
  <c r="ER15" i="20"/>
  <c r="ER16" i="20"/>
  <c r="ER17" i="20"/>
  <c r="ER18" i="20"/>
  <c r="ER19" i="20"/>
  <c r="ER20" i="20"/>
  <c r="ER21" i="20"/>
  <c r="ER22" i="20"/>
  <c r="ER23" i="20"/>
  <c r="ER24" i="20"/>
  <c r="ER25" i="20"/>
  <c r="ER26" i="20"/>
  <c r="ER27" i="20"/>
  <c r="ER28" i="20"/>
  <c r="ER29" i="20"/>
  <c r="ER30" i="20"/>
  <c r="ER31" i="20"/>
  <c r="ER32" i="20"/>
  <c r="ER33" i="20"/>
  <c r="EO9" i="20"/>
  <c r="EO10" i="20"/>
  <c r="EO12" i="20"/>
  <c r="EO13" i="20"/>
  <c r="EO14" i="20"/>
  <c r="EO15" i="20"/>
  <c r="EO16" i="20"/>
  <c r="EO17" i="20"/>
  <c r="EO18" i="20"/>
  <c r="EO19" i="20"/>
  <c r="EO20" i="20"/>
  <c r="EO21" i="20"/>
  <c r="EO22" i="20"/>
  <c r="EO23" i="20"/>
  <c r="EO24" i="20"/>
  <c r="EO25" i="20"/>
  <c r="EO26" i="20"/>
  <c r="EO27" i="20"/>
  <c r="EO28" i="20"/>
  <c r="EO29" i="20"/>
  <c r="EO30" i="20"/>
  <c r="EO31" i="20"/>
  <c r="EO32" i="20"/>
  <c r="EO33" i="20"/>
  <c r="EN9" i="20"/>
  <c r="EN10" i="20"/>
  <c r="EN12" i="20"/>
  <c r="EN13" i="20"/>
  <c r="EN14" i="20"/>
  <c r="EN15" i="20"/>
  <c r="EN16" i="20"/>
  <c r="EN17" i="20"/>
  <c r="EN18" i="20"/>
  <c r="EN19" i="20"/>
  <c r="EN20" i="20"/>
  <c r="EN21" i="20"/>
  <c r="EN22" i="20"/>
  <c r="EN23" i="20"/>
  <c r="EN24" i="20"/>
  <c r="EN25" i="20"/>
  <c r="EN26" i="20"/>
  <c r="EN27" i="20"/>
  <c r="EN28" i="20"/>
  <c r="EN29" i="20"/>
  <c r="EN30" i="20"/>
  <c r="EN31" i="20"/>
  <c r="EN32" i="20"/>
  <c r="EN33" i="20"/>
  <c r="EM9" i="20"/>
  <c r="EM10" i="20"/>
  <c r="EM12" i="20"/>
  <c r="EM13" i="20"/>
  <c r="EM14" i="20"/>
  <c r="EM15" i="20"/>
  <c r="EM16" i="20"/>
  <c r="EM17" i="20"/>
  <c r="EM18" i="20"/>
  <c r="EM19" i="20"/>
  <c r="EM20" i="20"/>
  <c r="EM21" i="20"/>
  <c r="EM22" i="20"/>
  <c r="EM23" i="20"/>
  <c r="EM24" i="20"/>
  <c r="EM25" i="20"/>
  <c r="EM26" i="20"/>
  <c r="EM27" i="20"/>
  <c r="EM28" i="20"/>
  <c r="EM29" i="20"/>
  <c r="EM30" i="20"/>
  <c r="EM31" i="20"/>
  <c r="EM32" i="20"/>
  <c r="EM33" i="20"/>
  <c r="EL9" i="20"/>
  <c r="EL10" i="20"/>
  <c r="EL12" i="20"/>
  <c r="EL13" i="20"/>
  <c r="EL14" i="20"/>
  <c r="EL15" i="20"/>
  <c r="EL16" i="20"/>
  <c r="EL17" i="20"/>
  <c r="EL18" i="20"/>
  <c r="EL19" i="20"/>
  <c r="EL20" i="20"/>
  <c r="EL21" i="20"/>
  <c r="EL22" i="20"/>
  <c r="EL23" i="20"/>
  <c r="EL27" i="20"/>
  <c r="EL28" i="20"/>
  <c r="EL29" i="20"/>
  <c r="EL30" i="20"/>
  <c r="EL31" i="20"/>
  <c r="EL32" i="20"/>
  <c r="EK9" i="20"/>
  <c r="EK10" i="20"/>
  <c r="EK12" i="20"/>
  <c r="EK13" i="20"/>
  <c r="EK14" i="20"/>
  <c r="EK15" i="20"/>
  <c r="EK16" i="20"/>
  <c r="EK17" i="20"/>
  <c r="EK18" i="20"/>
  <c r="EK19" i="20"/>
  <c r="EK20" i="20"/>
  <c r="EK21" i="20"/>
  <c r="EK22" i="20"/>
  <c r="EK23" i="20"/>
  <c r="EK24" i="20"/>
  <c r="EK25" i="20"/>
  <c r="EK26" i="20"/>
  <c r="EK27" i="20"/>
  <c r="EK28" i="20"/>
  <c r="EK29" i="20"/>
  <c r="EK30" i="20"/>
  <c r="EK31" i="20"/>
  <c r="EJ9" i="20"/>
  <c r="EJ10" i="20"/>
  <c r="EJ12" i="20"/>
  <c r="EJ13" i="20"/>
  <c r="EJ14" i="20"/>
  <c r="EJ15" i="20"/>
  <c r="EJ16" i="20"/>
  <c r="EJ17" i="20"/>
  <c r="EJ18" i="20"/>
  <c r="EJ19" i="20"/>
  <c r="EJ20" i="20"/>
  <c r="EJ21" i="20"/>
  <c r="EJ22" i="20"/>
  <c r="EJ23" i="20"/>
  <c r="EJ24" i="20"/>
  <c r="EJ25" i="20"/>
  <c r="EJ26" i="20"/>
  <c r="EJ27" i="20"/>
  <c r="EJ28" i="20"/>
  <c r="EJ29" i="20"/>
  <c r="EJ30" i="20"/>
  <c r="EJ31" i="20"/>
  <c r="EJ32" i="20"/>
  <c r="EJ33" i="20"/>
  <c r="EI9" i="20"/>
  <c r="EI10" i="20"/>
  <c r="EI12" i="20"/>
  <c r="EI13" i="20"/>
  <c r="EI14" i="20"/>
  <c r="EI15" i="20"/>
  <c r="EI16" i="20"/>
  <c r="EI17" i="20"/>
  <c r="EI18" i="20"/>
  <c r="EI19" i="20"/>
  <c r="EI20" i="20"/>
  <c r="EI21" i="20"/>
  <c r="EI22" i="20"/>
  <c r="EI23" i="20"/>
  <c r="EI26" i="20"/>
  <c r="EI27" i="20"/>
  <c r="EI28" i="20"/>
  <c r="EI29" i="20"/>
  <c r="EI30" i="20"/>
  <c r="EI31" i="20"/>
  <c r="EI32" i="20"/>
  <c r="EI33" i="20"/>
  <c r="EH9" i="20"/>
  <c r="EH10" i="20"/>
  <c r="EH12" i="20"/>
  <c r="EH13" i="20"/>
  <c r="EH14" i="20"/>
  <c r="EH15" i="20"/>
  <c r="EH16" i="20"/>
  <c r="EH17" i="20"/>
  <c r="EH18" i="20"/>
  <c r="EH19" i="20"/>
  <c r="EH20" i="20"/>
  <c r="EH21" i="20"/>
  <c r="EH22" i="20"/>
  <c r="EH23" i="20"/>
  <c r="EH26" i="20"/>
  <c r="EH27" i="20"/>
  <c r="EH28" i="20"/>
  <c r="EH30" i="20"/>
  <c r="EH31" i="20"/>
  <c r="EH32" i="20"/>
  <c r="EH33" i="20"/>
  <c r="DL8" i="20"/>
  <c r="DL9" i="20"/>
  <c r="DL10" i="20"/>
  <c r="DL11" i="20"/>
  <c r="DL12" i="20"/>
  <c r="DL13" i="20"/>
  <c r="DL14" i="20"/>
  <c r="DL15" i="20"/>
  <c r="DL16" i="20"/>
  <c r="DL17" i="20"/>
  <c r="DL18" i="20"/>
  <c r="DL19" i="20"/>
  <c r="DL20" i="20"/>
  <c r="DL21" i="20"/>
  <c r="DL22" i="20"/>
  <c r="DL23" i="20"/>
  <c r="DL24" i="20"/>
  <c r="DL25" i="20"/>
  <c r="DL26" i="20"/>
  <c r="DL27" i="20"/>
  <c r="DL28" i="20"/>
  <c r="DL29" i="20"/>
  <c r="DL30" i="20"/>
  <c r="DL31" i="20"/>
  <c r="DL32" i="20"/>
  <c r="DL33" i="20"/>
  <c r="DK9" i="20"/>
  <c r="DK10" i="20"/>
  <c r="DK11" i="20"/>
  <c r="DK12" i="20"/>
  <c r="DK13" i="20"/>
  <c r="DK14" i="20"/>
  <c r="DK15" i="20"/>
  <c r="DK16" i="20"/>
  <c r="DK17" i="20"/>
  <c r="DK18" i="20"/>
  <c r="DK19" i="20"/>
  <c r="DK20" i="20"/>
  <c r="DK21" i="20"/>
  <c r="DK22" i="20"/>
  <c r="DK23" i="20"/>
  <c r="DK24" i="20"/>
  <c r="DK25" i="20"/>
  <c r="DK26" i="20"/>
  <c r="DK27" i="20"/>
  <c r="DK28" i="20"/>
  <c r="DK29" i="20"/>
  <c r="DK30" i="20"/>
  <c r="DK31" i="20"/>
  <c r="DK32" i="20"/>
  <c r="DK33" i="20"/>
  <c r="DI9" i="20"/>
  <c r="DI10" i="20"/>
  <c r="DI11" i="20"/>
  <c r="DI12" i="20"/>
  <c r="DI13" i="20"/>
  <c r="DI14" i="20"/>
  <c r="DI15" i="20"/>
  <c r="DI16" i="20"/>
  <c r="DI17" i="20"/>
  <c r="DI18" i="20"/>
  <c r="DI19" i="20"/>
  <c r="DI20" i="20"/>
  <c r="DI21" i="20"/>
  <c r="DI22" i="20"/>
  <c r="DI23" i="20"/>
  <c r="DI24" i="20"/>
  <c r="DI25" i="20"/>
  <c r="DI26" i="20"/>
  <c r="DI27" i="20"/>
  <c r="DI28" i="20"/>
  <c r="DI29" i="20"/>
  <c r="DI30" i="20"/>
  <c r="DI31" i="20"/>
  <c r="DI32" i="20"/>
  <c r="DI33" i="20"/>
  <c r="DJ9" i="20"/>
  <c r="DJ10" i="20"/>
  <c r="DJ11" i="20"/>
  <c r="DJ12" i="20"/>
  <c r="DJ13" i="20"/>
  <c r="DJ14" i="20"/>
  <c r="DJ15" i="20"/>
  <c r="DJ16" i="20"/>
  <c r="DJ17" i="20"/>
  <c r="DJ18" i="20"/>
  <c r="DJ19" i="20"/>
  <c r="DJ20" i="20"/>
  <c r="DJ21" i="20"/>
  <c r="DJ22" i="20"/>
  <c r="DJ23" i="20"/>
  <c r="DJ24" i="20"/>
  <c r="DJ25" i="20"/>
  <c r="DJ26" i="20"/>
  <c r="DJ27" i="20"/>
  <c r="DJ28" i="20"/>
  <c r="DJ29" i="20"/>
  <c r="DJ30" i="20"/>
  <c r="DJ31" i="20"/>
  <c r="DJ32" i="20"/>
  <c r="DJ33" i="20"/>
  <c r="DH9" i="20"/>
  <c r="DH10" i="20"/>
  <c r="DH11" i="20"/>
  <c r="DH12" i="20"/>
  <c r="DH13" i="20"/>
  <c r="DH14" i="20"/>
  <c r="DH15" i="20"/>
  <c r="DH16" i="20"/>
  <c r="DH17" i="20"/>
  <c r="DH18" i="20"/>
  <c r="DH19" i="20"/>
  <c r="DH20" i="20"/>
  <c r="DH21" i="20"/>
  <c r="DH22" i="20"/>
  <c r="DH23" i="20"/>
  <c r="DH24" i="20"/>
  <c r="DP24" i="20" s="1"/>
  <c r="DH25" i="20"/>
  <c r="DH26" i="20"/>
  <c r="DH27" i="20"/>
  <c r="DH28" i="20"/>
  <c r="DH29" i="20"/>
  <c r="DH30" i="20"/>
  <c r="DH31" i="20"/>
  <c r="DH32" i="20"/>
  <c r="DH33" i="20"/>
  <c r="FA12" i="20"/>
  <c r="FA13" i="20"/>
  <c r="FA20" i="20"/>
  <c r="FA21" i="20"/>
  <c r="FA22" i="20"/>
  <c r="FA23" i="20"/>
  <c r="FA26" i="20"/>
  <c r="FA27" i="20"/>
  <c r="FA17" i="20"/>
  <c r="FA18" i="20"/>
  <c r="FA19" i="20"/>
  <c r="FC10" i="20"/>
  <c r="FC11" i="20"/>
  <c r="FC12" i="20"/>
  <c r="FC13" i="20"/>
  <c r="FC14" i="20"/>
  <c r="FC15" i="20"/>
  <c r="FC16" i="20"/>
  <c r="FC17" i="20"/>
  <c r="FC18" i="20"/>
  <c r="FC19" i="20"/>
  <c r="FC20" i="20"/>
  <c r="FC21" i="20"/>
  <c r="FC22" i="20"/>
  <c r="FC23" i="20"/>
  <c r="FC24" i="20"/>
  <c r="FC25" i="20"/>
  <c r="FC26" i="20"/>
  <c r="FC27" i="20"/>
  <c r="FC28" i="20"/>
  <c r="FC29" i="20"/>
  <c r="FC30" i="20"/>
  <c r="FC31" i="20"/>
  <c r="FC33" i="20"/>
  <c r="FG32" i="20"/>
  <c r="FG33" i="20"/>
  <c r="FC9" i="20"/>
  <c r="DP11" i="20" l="1"/>
  <c r="DP12" i="20"/>
  <c r="FB12" i="20" s="1"/>
  <c r="DP23" i="20"/>
  <c r="DP22" i="20"/>
  <c r="DP33" i="20"/>
  <c r="DP9" i="20"/>
  <c r="DP10" i="20"/>
  <c r="DP21" i="20"/>
  <c r="DP31" i="20"/>
  <c r="DP19" i="20"/>
  <c r="DP32" i="20"/>
  <c r="DP20" i="20"/>
  <c r="DP30" i="20"/>
  <c r="DP18" i="20"/>
  <c r="DP29" i="20"/>
  <c r="DP17" i="20"/>
  <c r="DP28" i="20"/>
  <c r="DP27" i="20"/>
  <c r="DP15" i="20"/>
  <c r="DP14" i="20"/>
  <c r="DP16" i="20"/>
  <c r="FB16" i="20" s="1"/>
  <c r="DP26" i="20"/>
  <c r="FB26" i="20" s="1"/>
  <c r="DP25" i="20"/>
  <c r="FB25" i="20" s="1"/>
  <c r="DP13" i="20"/>
  <c r="FB13" i="20" s="1"/>
  <c r="EZ11" i="20"/>
  <c r="FA11" i="20"/>
  <c r="EZ33" i="20"/>
  <c r="EY31" i="20"/>
  <c r="FA32" i="20"/>
  <c r="EY25" i="20"/>
  <c r="EY24" i="20"/>
  <c r="FB24" i="20" s="1"/>
  <c r="EZ31" i="20"/>
  <c r="FA29" i="20"/>
  <c r="EY29" i="20"/>
  <c r="FA31" i="20"/>
  <c r="EY30" i="20"/>
  <c r="FA30" i="20"/>
  <c r="EY27" i="20"/>
  <c r="EZ24" i="20"/>
  <c r="EZ23" i="20"/>
  <c r="EY23" i="20"/>
  <c r="FB23" i="20" s="1"/>
  <c r="EY21" i="20"/>
  <c r="EZ21" i="20"/>
  <c r="EZ19" i="20"/>
  <c r="EZ30" i="20"/>
  <c r="EZ25" i="20"/>
  <c r="EY28" i="20"/>
  <c r="EZ26" i="20"/>
  <c r="EZ28" i="20"/>
  <c r="EY33" i="20"/>
  <c r="EZ27" i="20"/>
  <c r="EY22" i="20"/>
  <c r="FA28" i="20"/>
  <c r="FA33" i="20"/>
  <c r="EY32" i="20"/>
  <c r="EY20" i="20"/>
  <c r="EY26" i="20"/>
  <c r="EZ22" i="20"/>
  <c r="EY19" i="20"/>
  <c r="EZ32" i="20"/>
  <c r="EZ20" i="20"/>
  <c r="EY18" i="20"/>
  <c r="EZ18" i="20"/>
  <c r="EZ17" i="20"/>
  <c r="EY17" i="20"/>
  <c r="EZ16" i="20"/>
  <c r="EY16" i="20"/>
  <c r="EZ29" i="20"/>
  <c r="EY11" i="20"/>
  <c r="EZ13" i="20"/>
  <c r="EY13" i="20"/>
  <c r="FA10" i="20"/>
  <c r="EZ10" i="20"/>
  <c r="EY10" i="20"/>
  <c r="B431" i="32"/>
  <c r="C430" i="32"/>
  <c r="D430" i="32"/>
  <c r="G430" i="32"/>
  <c r="H430" i="32" s="1"/>
  <c r="EY9" i="20"/>
  <c r="EZ9" i="20"/>
  <c r="FA9" i="20"/>
  <c r="FB11" i="20" l="1"/>
  <c r="FB19" i="20"/>
  <c r="FB22" i="20"/>
  <c r="FB9" i="20"/>
  <c r="FB33" i="20"/>
  <c r="FB18" i="20"/>
  <c r="FB27" i="20"/>
  <c r="FB21" i="20"/>
  <c r="FB31" i="20"/>
  <c r="FB10" i="20"/>
  <c r="FB17" i="20"/>
  <c r="FB29" i="20"/>
  <c r="FB30" i="20"/>
  <c r="FB20" i="20"/>
  <c r="FB28" i="20"/>
  <c r="FB32" i="20"/>
  <c r="B432" i="32"/>
  <c r="C431" i="32"/>
  <c r="D431" i="32"/>
  <c r="G431" i="32"/>
  <c r="H431" i="32" s="1"/>
  <c r="A4" i="7"/>
  <c r="EH8" i="20"/>
  <c r="EI8" i="20"/>
  <c r="EJ8" i="20"/>
  <c r="EK8" i="20"/>
  <c r="EL8" i="20"/>
  <c r="EM8" i="20"/>
  <c r="EN8" i="20"/>
  <c r="EO8" i="20"/>
  <c r="ER8" i="20"/>
  <c r="ES8" i="20"/>
  <c r="ET8" i="20"/>
  <c r="EU8" i="20"/>
  <c r="EV8" i="20"/>
  <c r="EW8" i="20"/>
  <c r="EX8" i="20"/>
  <c r="FC8" i="20"/>
  <c r="C428" i="32"/>
  <c r="D428" i="32"/>
  <c r="G428" i="32"/>
  <c r="H428" i="32" s="1"/>
  <c r="BE428" i="32"/>
  <c r="B428" i="32"/>
  <c r="DH8" i="20"/>
  <c r="DI8" i="20"/>
  <c r="DJ8" i="20"/>
  <c r="DK8" i="20"/>
  <c r="DL5" i="20"/>
  <c r="DL6" i="20"/>
  <c r="DL7" i="20"/>
  <c r="DK5" i="20"/>
  <c r="DK6" i="20"/>
  <c r="DK7" i="20"/>
  <c r="DJ5" i="20"/>
  <c r="DJ6" i="20"/>
  <c r="DJ7" i="20"/>
  <c r="DI5" i="20"/>
  <c r="DI6" i="20"/>
  <c r="DI7" i="20"/>
  <c r="DH5" i="20"/>
  <c r="DH6" i="20"/>
  <c r="DH7" i="20"/>
  <c r="EJ7" i="20"/>
  <c r="EX5" i="20"/>
  <c r="EX6" i="20"/>
  <c r="EX7" i="20"/>
  <c r="EW5" i="20"/>
  <c r="EW6" i="20"/>
  <c r="EW7" i="20"/>
  <c r="EV5" i="20"/>
  <c r="EV6" i="20"/>
  <c r="EV7" i="20"/>
  <c r="EU5" i="20"/>
  <c r="EU6" i="20"/>
  <c r="EU7" i="20"/>
  <c r="ET5" i="20"/>
  <c r="ET6" i="20"/>
  <c r="ET7" i="20"/>
  <c r="ES5" i="20"/>
  <c r="ES6" i="20"/>
  <c r="ES7" i="20"/>
  <c r="ER5" i="20"/>
  <c r="ER6" i="20"/>
  <c r="ER7" i="20"/>
  <c r="EO5" i="20"/>
  <c r="EO6" i="20"/>
  <c r="EO7" i="20"/>
  <c r="EN5" i="20"/>
  <c r="EN6" i="20"/>
  <c r="EN7" i="20"/>
  <c r="EM5" i="20"/>
  <c r="EM6" i="20"/>
  <c r="EM7" i="20"/>
  <c r="EL5" i="20"/>
  <c r="EL6" i="20"/>
  <c r="EL7" i="20"/>
  <c r="EK5" i="20"/>
  <c r="EK6" i="20"/>
  <c r="EK7" i="20"/>
  <c r="EJ5" i="20"/>
  <c r="EJ6" i="20"/>
  <c r="EI5" i="20"/>
  <c r="EI6" i="20"/>
  <c r="EI7" i="20"/>
  <c r="EH5" i="20"/>
  <c r="EH6" i="20"/>
  <c r="EH7" i="20"/>
  <c r="FC5" i="20"/>
  <c r="FC6" i="20"/>
  <c r="FC7" i="2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P22" i="40" s="1"/>
  <c r="H23" i="40"/>
  <c r="I23" i="40"/>
  <c r="H24" i="40"/>
  <c r="I24" i="40"/>
  <c r="H25" i="40"/>
  <c r="I25" i="40"/>
  <c r="I14" i="40"/>
  <c r="O14" i="40" s="1"/>
  <c r="H14" i="40"/>
  <c r="C15" i="40"/>
  <c r="C16" i="40"/>
  <c r="C17" i="40"/>
  <c r="C18" i="40"/>
  <c r="C19" i="40"/>
  <c r="C20" i="40"/>
  <c r="C21" i="40"/>
  <c r="C22" i="40"/>
  <c r="C23" i="40"/>
  <c r="C24" i="40"/>
  <c r="C25" i="40"/>
  <c r="C14" i="40"/>
  <c r="A14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E20" i="40"/>
  <c r="E21" i="40"/>
  <c r="E22" i="40"/>
  <c r="E23" i="40"/>
  <c r="E24" i="40"/>
  <c r="E25" i="40"/>
  <c r="G20" i="40"/>
  <c r="G21" i="40"/>
  <c r="G22" i="40"/>
  <c r="G23" i="40"/>
  <c r="P23" i="40" s="1"/>
  <c r="G24" i="40"/>
  <c r="G25" i="40"/>
  <c r="P21" i="40"/>
  <c r="P24" i="40"/>
  <c r="T21" i="40"/>
  <c r="T22" i="40"/>
  <c r="T23" i="40"/>
  <c r="T24" i="40"/>
  <c r="T25" i="40"/>
  <c r="B20" i="40"/>
  <c r="B21" i="40"/>
  <c r="B22" i="40"/>
  <c r="B23" i="40"/>
  <c r="B24" i="40"/>
  <c r="B25" i="40"/>
  <c r="E17" i="40"/>
  <c r="E18" i="40"/>
  <c r="E19" i="40"/>
  <c r="G17" i="40"/>
  <c r="G18" i="40"/>
  <c r="T18" i="40" s="1"/>
  <c r="G19" i="40"/>
  <c r="T19" i="40" s="1"/>
  <c r="B15" i="40"/>
  <c r="B16" i="40"/>
  <c r="B17" i="40"/>
  <c r="B18" i="40"/>
  <c r="B19" i="40"/>
  <c r="B14" i="40"/>
  <c r="E14" i="40"/>
  <c r="E15" i="40"/>
  <c r="E16" i="40"/>
  <c r="G14" i="40"/>
  <c r="P14" i="40" s="1"/>
  <c r="G15" i="40"/>
  <c r="G16" i="40"/>
  <c r="O15" i="40"/>
  <c r="DP7" i="20" l="1"/>
  <c r="DP8" i="20"/>
  <c r="DP5" i="20"/>
  <c r="DP6" i="20"/>
  <c r="M4" i="7"/>
  <c r="EZ8" i="20"/>
  <c r="EY8" i="20"/>
  <c r="FA8" i="20"/>
  <c r="EZ7" i="20"/>
  <c r="FA5" i="20"/>
  <c r="EZ6" i="20"/>
  <c r="B433" i="32"/>
  <c r="C432" i="32"/>
  <c r="D432" i="32"/>
  <c r="G432" i="32"/>
  <c r="H432" i="32" s="1"/>
  <c r="EZ5" i="20"/>
  <c r="EY7" i="20"/>
  <c r="EY6" i="20"/>
  <c r="EY5" i="20"/>
  <c r="FA6" i="20"/>
  <c r="FA7" i="20"/>
  <c r="O16" i="40"/>
  <c r="P20" i="40"/>
  <c r="P16" i="40"/>
  <c r="P25" i="40"/>
  <c r="T20" i="40"/>
  <c r="P19" i="40"/>
  <c r="P18" i="40"/>
  <c r="P17" i="40"/>
  <c r="T17" i="40"/>
  <c r="T16" i="40"/>
  <c r="W16" i="40" s="1"/>
  <c r="T15" i="40"/>
  <c r="W15" i="40" s="1"/>
  <c r="P15" i="40"/>
  <c r="FB5" i="20" l="1"/>
  <c r="FB8" i="20"/>
  <c r="FB6" i="20"/>
  <c r="FB7" i="20"/>
  <c r="B434" i="32"/>
  <c r="C433" i="32"/>
  <c r="D433" i="32"/>
  <c r="G433" i="32"/>
  <c r="H433" i="32" s="1"/>
  <c r="O17" i="40"/>
  <c r="W17" i="40"/>
  <c r="B435" i="32" l="1"/>
  <c r="C434" i="32"/>
  <c r="G434" i="32"/>
  <c r="H434" i="32" s="1"/>
  <c r="D434" i="32"/>
  <c r="O18" i="40"/>
  <c r="W18" i="40"/>
  <c r="G435" i="32" l="1"/>
  <c r="H435" i="32" s="1"/>
  <c r="D435" i="32"/>
  <c r="B436" i="32"/>
  <c r="C435" i="32"/>
  <c r="O19" i="40"/>
  <c r="W19" i="40"/>
  <c r="G436" i="32" l="1"/>
  <c r="H436" i="32" s="1"/>
  <c r="D436" i="32"/>
  <c r="B437" i="32"/>
  <c r="C436" i="32"/>
  <c r="O20" i="40"/>
  <c r="W20" i="40"/>
  <c r="D437" i="32" l="1"/>
  <c r="G437" i="32"/>
  <c r="H437" i="32" s="1"/>
  <c r="B438" i="32"/>
  <c r="C437" i="32"/>
  <c r="O21" i="40"/>
  <c r="W21" i="40"/>
  <c r="D438" i="32" l="1"/>
  <c r="G438" i="32"/>
  <c r="H438" i="32" s="1"/>
  <c r="C438" i="32"/>
  <c r="B439" i="32"/>
  <c r="O22" i="40"/>
  <c r="W22" i="40"/>
  <c r="C439" i="32" l="1"/>
  <c r="D439" i="32"/>
  <c r="G439" i="32"/>
  <c r="H439" i="32" s="1"/>
  <c r="B440" i="32"/>
  <c r="O23" i="40"/>
  <c r="W23" i="40"/>
  <c r="B441" i="32" l="1"/>
  <c r="C440" i="32"/>
  <c r="D440" i="32"/>
  <c r="G440" i="32"/>
  <c r="H440" i="32" s="1"/>
  <c r="O24" i="40"/>
  <c r="W24" i="40"/>
  <c r="B442" i="32" l="1"/>
  <c r="C441" i="32"/>
  <c r="D441" i="32"/>
  <c r="G441" i="32"/>
  <c r="H441" i="32" s="1"/>
  <c r="W25" i="40"/>
  <c r="O25" i="40"/>
  <c r="B443" i="32" l="1"/>
  <c r="C442" i="32"/>
  <c r="D442" i="32"/>
  <c r="G442" i="32"/>
  <c r="H442" i="32" s="1"/>
  <c r="C24" i="9"/>
  <c r="C25" i="9"/>
  <c r="C23" i="9"/>
  <c r="C21" i="9"/>
  <c r="C22" i="9"/>
  <c r="C20" i="9"/>
  <c r="C1" i="8"/>
  <c r="K4" i="8" l="1"/>
  <c r="M4" i="8"/>
  <c r="B444" i="32"/>
  <c r="C443" i="32"/>
  <c r="D443" i="32"/>
  <c r="G443" i="32"/>
  <c r="H443" i="32" s="1"/>
  <c r="I4" i="8"/>
  <c r="B1" i="7"/>
  <c r="K4" i="7"/>
  <c r="I4" i="7"/>
  <c r="O2" i="40"/>
  <c r="O3" i="40"/>
  <c r="O4" i="40"/>
  <c r="O5" i="40"/>
  <c r="O6" i="40"/>
  <c r="O7" i="40"/>
  <c r="O8" i="40"/>
  <c r="O9" i="40"/>
  <c r="O10" i="40"/>
  <c r="O11" i="40"/>
  <c r="O12" i="40"/>
  <c r="O13" i="40"/>
  <c r="B445" i="32" l="1"/>
  <c r="C444" i="32"/>
  <c r="D444" i="32"/>
  <c r="G444" i="32"/>
  <c r="H444" i="32" s="1"/>
  <c r="B446" i="32" l="1"/>
  <c r="C445" i="32"/>
  <c r="D445" i="32"/>
  <c r="G445" i="32"/>
  <c r="H445" i="32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B447" i="32" l="1"/>
  <c r="C446" i="32"/>
  <c r="D446" i="32"/>
  <c r="G446" i="32"/>
  <c r="H446" i="32" s="1"/>
  <c r="P2" i="40"/>
  <c r="P5" i="40"/>
  <c r="T8" i="40"/>
  <c r="P8" i="40"/>
  <c r="P11" i="40"/>
  <c r="P9" i="40"/>
  <c r="T12" i="40"/>
  <c r="P12" i="40"/>
  <c r="P6" i="40"/>
  <c r="T4" i="40"/>
  <c r="P4" i="40"/>
  <c r="P7" i="40"/>
  <c r="P10" i="40"/>
  <c r="P13" i="40"/>
  <c r="P3" i="40"/>
  <c r="T5" i="40"/>
  <c r="T9" i="40"/>
  <c r="T13" i="40"/>
  <c r="T2" i="40"/>
  <c r="T6" i="40"/>
  <c r="T10" i="40"/>
  <c r="T3" i="40"/>
  <c r="T7" i="40"/>
  <c r="T11" i="40"/>
  <c r="G447" i="32" l="1"/>
  <c r="H447" i="32" s="1"/>
  <c r="B448" i="32"/>
  <c r="D447" i="32"/>
  <c r="C447" i="32"/>
  <c r="W12" i="40"/>
  <c r="W7" i="40"/>
  <c r="W3" i="40"/>
  <c r="W2" i="40"/>
  <c r="W10" i="40"/>
  <c r="W6" i="40"/>
  <c r="W11" i="40"/>
  <c r="W4" i="40"/>
  <c r="W13" i="40"/>
  <c r="W9" i="40"/>
  <c r="W8" i="40"/>
  <c r="W5" i="40"/>
  <c r="G448" i="32" l="1"/>
  <c r="H448" i="32" s="1"/>
  <c r="D448" i="32"/>
  <c r="B449" i="32"/>
  <c r="C448" i="32"/>
  <c r="B405" i="32"/>
  <c r="C405" i="32"/>
  <c r="D405" i="32"/>
  <c r="G405" i="32"/>
  <c r="H405" i="32" s="1"/>
  <c r="B406" i="32"/>
  <c r="C406" i="32"/>
  <c r="D406" i="32"/>
  <c r="G406" i="32"/>
  <c r="H406" i="32" s="1"/>
  <c r="B407" i="32"/>
  <c r="D407" i="32" s="1"/>
  <c r="C407" i="32"/>
  <c r="G407" i="32"/>
  <c r="H407" i="32" s="1"/>
  <c r="B408" i="32"/>
  <c r="C408" i="32" s="1"/>
  <c r="BE427" i="32"/>
  <c r="BE423" i="32"/>
  <c r="BE424" i="32"/>
  <c r="BE425" i="32"/>
  <c r="BE426" i="32"/>
  <c r="BE405" i="32"/>
  <c r="BE406" i="32"/>
  <c r="BE407" i="32"/>
  <c r="BE408" i="32"/>
  <c r="BE409" i="32"/>
  <c r="BE410" i="32"/>
  <c r="BE411" i="32"/>
  <c r="BE412" i="32"/>
  <c r="BE413" i="32"/>
  <c r="BE414" i="32"/>
  <c r="BE415" i="32"/>
  <c r="BE416" i="32"/>
  <c r="BE417" i="32"/>
  <c r="BE418" i="32"/>
  <c r="BE419" i="32"/>
  <c r="BE420" i="32"/>
  <c r="BE421" i="32"/>
  <c r="BE422" i="32"/>
  <c r="D449" i="32" l="1"/>
  <c r="G449" i="32"/>
  <c r="H449" i="32" s="1"/>
  <c r="C449" i="32"/>
  <c r="B450" i="32"/>
  <c r="B409" i="32"/>
  <c r="G408" i="32"/>
  <c r="H408" i="32" s="1"/>
  <c r="D408" i="32"/>
  <c r="C450" i="32" l="1"/>
  <c r="D450" i="32"/>
  <c r="G450" i="32"/>
  <c r="H450" i="32" s="1"/>
  <c r="B451" i="32"/>
  <c r="C409" i="32"/>
  <c r="D409" i="32"/>
  <c r="G409" i="32"/>
  <c r="H409" i="32" s="1"/>
  <c r="B410" i="32"/>
  <c r="C451" i="32" l="1"/>
  <c r="D451" i="32"/>
  <c r="G451" i="32"/>
  <c r="H451" i="32" s="1"/>
  <c r="B452" i="32"/>
  <c r="C410" i="32"/>
  <c r="G410" i="32"/>
  <c r="H410" i="32" s="1"/>
  <c r="B411" i="32"/>
  <c r="D410" i="32"/>
  <c r="B453" i="32" l="1"/>
  <c r="C452" i="32"/>
  <c r="D452" i="32"/>
  <c r="G452" i="32"/>
  <c r="H452" i="32" s="1"/>
  <c r="D411" i="32"/>
  <c r="C411" i="32"/>
  <c r="G411" i="32"/>
  <c r="H411" i="32" s="1"/>
  <c r="B412" i="32"/>
  <c r="B454" i="32" l="1"/>
  <c r="C453" i="32"/>
  <c r="D453" i="32"/>
  <c r="G453" i="32"/>
  <c r="H453" i="32" s="1"/>
  <c r="C412" i="32"/>
  <c r="G412" i="32"/>
  <c r="H412" i="32" s="1"/>
  <c r="B413" i="32"/>
  <c r="D412" i="32"/>
  <c r="B455" i="32" l="1"/>
  <c r="C454" i="32"/>
  <c r="D454" i="32"/>
  <c r="G454" i="32"/>
  <c r="H454" i="32" s="1"/>
  <c r="C413" i="32"/>
  <c r="G413" i="32"/>
  <c r="H413" i="32" s="1"/>
  <c r="B414" i="32"/>
  <c r="D413" i="32"/>
  <c r="B456" i="32" l="1"/>
  <c r="C455" i="32"/>
  <c r="D455" i="32"/>
  <c r="G455" i="32"/>
  <c r="H455" i="32" s="1"/>
  <c r="G414" i="32"/>
  <c r="H414" i="32" s="1"/>
  <c r="B415" i="32"/>
  <c r="C414" i="32"/>
  <c r="D414" i="32"/>
  <c r="B457" i="32" l="1"/>
  <c r="C456" i="32"/>
  <c r="D456" i="32"/>
  <c r="G456" i="32"/>
  <c r="H456" i="32" s="1"/>
  <c r="C415" i="32"/>
  <c r="D415" i="32"/>
  <c r="G415" i="32"/>
  <c r="H415" i="32" s="1"/>
  <c r="B416" i="32"/>
  <c r="C457" i="32" l="1"/>
  <c r="G457" i="32"/>
  <c r="H457" i="32" s="1"/>
  <c r="D457" i="32"/>
  <c r="B417" i="32"/>
  <c r="C416" i="32"/>
  <c r="D416" i="32"/>
  <c r="G416" i="32"/>
  <c r="H416" i="32" s="1"/>
  <c r="G458" i="32" l="1"/>
  <c r="H458" i="32" s="1"/>
  <c r="C458" i="32"/>
  <c r="D458" i="32"/>
  <c r="B418" i="32"/>
  <c r="D417" i="32"/>
  <c r="G417" i="32"/>
  <c r="H417" i="32" s="1"/>
  <c r="C417" i="32"/>
  <c r="G459" i="32" l="1"/>
  <c r="H459" i="32" s="1"/>
  <c r="D459" i="32"/>
  <c r="C459" i="32"/>
  <c r="C418" i="32"/>
  <c r="D418" i="32"/>
  <c r="G418" i="32"/>
  <c r="H418" i="32" s="1"/>
  <c r="B419" i="32"/>
  <c r="G460" i="32" l="1"/>
  <c r="H460" i="32" s="1"/>
  <c r="D460" i="32"/>
  <c r="C460" i="32"/>
  <c r="D419" i="32"/>
  <c r="B420" i="32"/>
  <c r="G419" i="32"/>
  <c r="H419" i="32" s="1"/>
  <c r="C419" i="32"/>
  <c r="D461" i="32" l="1"/>
  <c r="G461" i="32"/>
  <c r="H461" i="32" s="1"/>
  <c r="C461" i="32"/>
  <c r="C420" i="32"/>
  <c r="D420" i="32"/>
  <c r="B421" i="32"/>
  <c r="G420" i="32"/>
  <c r="H420" i="32" s="1"/>
  <c r="D462" i="32" l="1"/>
  <c r="G462" i="32"/>
  <c r="H462" i="32" s="1"/>
  <c r="C462" i="32"/>
  <c r="C421" i="32"/>
  <c r="D421" i="32"/>
  <c r="G421" i="32"/>
  <c r="H421" i="32" s="1"/>
  <c r="B422" i="32"/>
  <c r="C463" i="32" l="1"/>
  <c r="D463" i="32"/>
  <c r="G463" i="32"/>
  <c r="H463" i="32" s="1"/>
  <c r="G422" i="32"/>
  <c r="H422" i="32" s="1"/>
  <c r="D422" i="32"/>
  <c r="B423" i="32"/>
  <c r="C422" i="32"/>
  <c r="C464" i="32" l="1"/>
  <c r="D464" i="32"/>
  <c r="G464" i="32"/>
  <c r="H464" i="32" s="1"/>
  <c r="D423" i="32"/>
  <c r="G423" i="32"/>
  <c r="H423" i="32" s="1"/>
  <c r="C423" i="32"/>
  <c r="B424" i="32"/>
  <c r="C465" i="32" l="1"/>
  <c r="D465" i="32"/>
  <c r="G465" i="32"/>
  <c r="H465" i="32" s="1"/>
  <c r="C424" i="32"/>
  <c r="G424" i="32"/>
  <c r="H424" i="32" s="1"/>
  <c r="B425" i="32"/>
  <c r="D424" i="32"/>
  <c r="C466" i="32" l="1"/>
  <c r="D466" i="32"/>
  <c r="G466" i="32"/>
  <c r="H466" i="32" s="1"/>
  <c r="C425" i="32"/>
  <c r="G425" i="32"/>
  <c r="H425" i="32" s="1"/>
  <c r="D425" i="32"/>
  <c r="B426" i="32"/>
  <c r="C467" i="32" l="1"/>
  <c r="D467" i="32"/>
  <c r="G467" i="32"/>
  <c r="H467" i="32" s="1"/>
  <c r="G426" i="32"/>
  <c r="H426" i="32" s="1"/>
  <c r="C426" i="32"/>
  <c r="D426" i="32"/>
  <c r="B427" i="32"/>
  <c r="C468" i="32" l="1"/>
  <c r="D468" i="32"/>
  <c r="G468" i="32"/>
  <c r="H468" i="32" s="1"/>
  <c r="D427" i="32"/>
  <c r="G427" i="32"/>
  <c r="H427" i="32" s="1"/>
  <c r="C427" i="32"/>
  <c r="C469" i="32" l="1"/>
  <c r="D469" i="32"/>
  <c r="G469" i="32"/>
  <c r="H469" i="32" s="1"/>
  <c r="G470" i="32" l="1"/>
  <c r="H470" i="32" s="1"/>
  <c r="C470" i="32"/>
  <c r="D470" i="32"/>
  <c r="BE404" i="32"/>
  <c r="B404" i="32"/>
  <c r="C404" i="32"/>
  <c r="D404" i="32"/>
  <c r="G404" i="32"/>
  <c r="H404" i="32" s="1"/>
  <c r="G471" i="32" l="1"/>
  <c r="H471" i="32" s="1"/>
  <c r="D471" i="32"/>
  <c r="C471" i="32"/>
  <c r="BE403" i="32"/>
  <c r="G472" i="32" l="1"/>
  <c r="H472" i="32" s="1"/>
  <c r="D472" i="32"/>
  <c r="C472" i="32"/>
  <c r="BE401" i="32"/>
  <c r="BE400" i="32"/>
  <c r="D473" i="32" l="1"/>
  <c r="G473" i="32"/>
  <c r="H473" i="32" s="1"/>
  <c r="C473" i="32"/>
  <c r="D474" i="32" l="1"/>
  <c r="G474" i="32"/>
  <c r="H474" i="32" s="1"/>
  <c r="C474" i="32"/>
  <c r="C475" i="32" l="1"/>
  <c r="D475" i="32"/>
  <c r="G475" i="32"/>
  <c r="H475" i="32" s="1"/>
  <c r="C476" i="32" l="1"/>
  <c r="D476" i="32"/>
  <c r="G476" i="32"/>
  <c r="H476" i="32" s="1"/>
  <c r="BE399" i="32"/>
  <c r="C477" i="32" l="1"/>
  <c r="D477" i="32"/>
  <c r="G477" i="32"/>
  <c r="H477" i="32" s="1"/>
  <c r="BE398" i="32"/>
  <c r="BE397" i="32"/>
  <c r="BE3" i="32"/>
  <c r="BE4" i="32"/>
  <c r="BE5" i="32"/>
  <c r="BE6" i="32"/>
  <c r="BE7" i="32"/>
  <c r="BE8" i="32"/>
  <c r="BE9" i="32"/>
  <c r="BE10" i="32"/>
  <c r="BE11" i="32"/>
  <c r="BE12" i="32"/>
  <c r="BE13" i="32"/>
  <c r="BE14" i="32"/>
  <c r="BE15" i="32"/>
  <c r="BE16" i="32"/>
  <c r="BE17" i="32"/>
  <c r="BE18" i="32"/>
  <c r="BE19" i="32"/>
  <c r="BE20" i="32"/>
  <c r="BE21" i="32"/>
  <c r="BE22" i="32"/>
  <c r="BE23" i="32"/>
  <c r="BE24" i="32"/>
  <c r="BE25" i="32"/>
  <c r="BE26" i="32"/>
  <c r="BE27" i="32"/>
  <c r="BE28" i="32"/>
  <c r="BE29" i="32"/>
  <c r="BE30" i="32"/>
  <c r="BE31" i="32"/>
  <c r="BE32" i="32"/>
  <c r="BE33" i="32"/>
  <c r="BE34" i="32"/>
  <c r="BE35" i="32"/>
  <c r="BE36" i="32"/>
  <c r="BE37" i="32"/>
  <c r="BE38" i="32"/>
  <c r="BE39" i="32"/>
  <c r="BE40" i="32"/>
  <c r="BE41" i="32"/>
  <c r="BE42" i="32"/>
  <c r="BE43" i="32"/>
  <c r="BE44" i="32"/>
  <c r="BE45" i="32"/>
  <c r="BE46" i="32"/>
  <c r="BE47" i="32"/>
  <c r="BE48" i="32"/>
  <c r="BE49" i="32"/>
  <c r="BE50" i="32"/>
  <c r="BE51" i="32"/>
  <c r="BE52" i="32"/>
  <c r="BE53" i="32"/>
  <c r="BE54" i="32"/>
  <c r="BE55" i="32"/>
  <c r="BE56" i="32"/>
  <c r="BE57" i="32"/>
  <c r="BE58" i="32"/>
  <c r="BE59" i="32"/>
  <c r="BE60" i="32"/>
  <c r="BE61" i="32"/>
  <c r="BE62" i="32"/>
  <c r="BE63" i="32"/>
  <c r="BE64" i="32"/>
  <c r="BE65" i="32"/>
  <c r="BE66" i="32"/>
  <c r="BE67" i="32"/>
  <c r="BE68" i="32"/>
  <c r="BE69" i="32"/>
  <c r="BE70" i="32"/>
  <c r="BE71" i="32"/>
  <c r="BE72" i="32"/>
  <c r="BE73" i="32"/>
  <c r="BE74" i="32"/>
  <c r="BE75" i="32"/>
  <c r="BE76" i="32"/>
  <c r="BE77" i="32"/>
  <c r="BE78" i="32"/>
  <c r="BE79" i="32"/>
  <c r="BE80" i="32"/>
  <c r="BE81" i="32"/>
  <c r="BE82" i="32"/>
  <c r="BE83" i="32"/>
  <c r="BE84" i="32"/>
  <c r="BE85" i="32"/>
  <c r="BE86" i="32"/>
  <c r="BE87" i="32"/>
  <c r="BE88" i="32"/>
  <c r="BE89" i="32"/>
  <c r="BE90" i="32"/>
  <c r="BE91" i="32"/>
  <c r="BE92" i="32"/>
  <c r="BE93" i="32"/>
  <c r="BE94" i="32"/>
  <c r="BE95" i="32"/>
  <c r="BE96" i="32"/>
  <c r="BE97" i="32"/>
  <c r="BE98" i="32"/>
  <c r="BE99" i="32"/>
  <c r="BE100" i="32"/>
  <c r="BE101" i="32"/>
  <c r="BE102" i="32"/>
  <c r="BE103" i="32"/>
  <c r="BE104" i="32"/>
  <c r="BE105" i="32"/>
  <c r="BE106" i="32"/>
  <c r="BE107" i="32"/>
  <c r="BE108" i="32"/>
  <c r="BE109" i="32"/>
  <c r="BE110" i="32"/>
  <c r="BE111" i="32"/>
  <c r="BE112" i="32"/>
  <c r="BE113" i="32"/>
  <c r="BE114" i="32"/>
  <c r="BE115" i="32"/>
  <c r="BE116" i="32"/>
  <c r="BE117" i="32"/>
  <c r="BE118" i="32"/>
  <c r="BE119" i="32"/>
  <c r="BE120" i="32"/>
  <c r="BE121" i="32"/>
  <c r="BE122" i="32"/>
  <c r="BE123" i="32"/>
  <c r="BE124" i="32"/>
  <c r="BE125" i="32"/>
  <c r="BE126" i="32"/>
  <c r="BE127" i="32"/>
  <c r="BE128" i="32"/>
  <c r="BE129" i="32"/>
  <c r="BE130" i="32"/>
  <c r="BE131" i="32"/>
  <c r="BE132" i="32"/>
  <c r="BE133" i="32"/>
  <c r="BE134" i="32"/>
  <c r="BE135" i="32"/>
  <c r="BE136" i="32"/>
  <c r="BE137" i="32"/>
  <c r="BE138" i="32"/>
  <c r="BE139" i="32"/>
  <c r="BE140" i="32"/>
  <c r="BE141" i="32"/>
  <c r="BE142" i="32"/>
  <c r="BE143" i="32"/>
  <c r="BE144" i="32"/>
  <c r="BE145" i="32"/>
  <c r="BE146" i="32"/>
  <c r="BE147" i="32"/>
  <c r="BE148" i="32"/>
  <c r="BE149" i="32"/>
  <c r="BE150" i="32"/>
  <c r="BE151" i="32"/>
  <c r="BE152" i="32"/>
  <c r="BE153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BE166" i="32"/>
  <c r="BE167" i="32"/>
  <c r="BE168" i="32"/>
  <c r="BE169" i="32"/>
  <c r="BE170" i="32"/>
  <c r="BE171" i="32"/>
  <c r="BE172" i="32"/>
  <c r="BE173" i="32"/>
  <c r="BE174" i="32"/>
  <c r="BE175" i="32"/>
  <c r="BE176" i="32"/>
  <c r="BE177" i="32"/>
  <c r="BE178" i="32"/>
  <c r="BE179" i="32"/>
  <c r="BE180" i="32"/>
  <c r="BE181" i="32"/>
  <c r="BE182" i="32"/>
  <c r="BE183" i="32"/>
  <c r="BE184" i="32"/>
  <c r="BE185" i="32"/>
  <c r="BE186" i="32"/>
  <c r="BE187" i="32"/>
  <c r="BE188" i="32"/>
  <c r="BE189" i="32"/>
  <c r="BE190" i="32"/>
  <c r="BE191" i="32"/>
  <c r="BE192" i="32"/>
  <c r="BE193" i="32"/>
  <c r="BE194" i="32"/>
  <c r="BE195" i="32"/>
  <c r="BE196" i="32"/>
  <c r="BE197" i="32"/>
  <c r="BE198" i="32"/>
  <c r="BE199" i="32"/>
  <c r="BE200" i="32"/>
  <c r="BE201" i="32"/>
  <c r="BE202" i="32"/>
  <c r="BE203" i="32"/>
  <c r="BE204" i="32"/>
  <c r="BE205" i="32"/>
  <c r="BE206" i="32"/>
  <c r="BE207" i="32"/>
  <c r="BE208" i="32"/>
  <c r="BE209" i="32"/>
  <c r="BE210" i="32"/>
  <c r="BE211" i="32"/>
  <c r="BE212" i="32"/>
  <c r="BE213" i="32"/>
  <c r="BE214" i="32"/>
  <c r="BE215" i="32"/>
  <c r="BE216" i="32"/>
  <c r="BE217" i="32"/>
  <c r="BE218" i="32"/>
  <c r="BE219" i="32"/>
  <c r="BE220" i="32"/>
  <c r="BE221" i="32"/>
  <c r="BE222" i="32"/>
  <c r="BE223" i="32"/>
  <c r="BE224" i="32"/>
  <c r="BE225" i="32"/>
  <c r="BE226" i="32"/>
  <c r="BE227" i="32"/>
  <c r="BE228" i="32"/>
  <c r="BE229" i="32"/>
  <c r="BE230" i="32"/>
  <c r="BE231" i="32"/>
  <c r="BE232" i="32"/>
  <c r="BE233" i="32"/>
  <c r="BE234" i="32"/>
  <c r="BE235" i="32"/>
  <c r="BE236" i="32"/>
  <c r="BE237" i="32"/>
  <c r="BE238" i="32"/>
  <c r="BE239" i="32"/>
  <c r="BE240" i="32"/>
  <c r="BE241" i="32"/>
  <c r="BE242" i="32"/>
  <c r="BE243" i="32"/>
  <c r="BE244" i="32"/>
  <c r="BE245" i="32"/>
  <c r="BE246" i="32"/>
  <c r="BE247" i="32"/>
  <c r="BE248" i="32"/>
  <c r="BE249" i="32"/>
  <c r="BE250" i="32"/>
  <c r="BE251" i="32"/>
  <c r="BE252" i="32"/>
  <c r="BE253" i="32"/>
  <c r="BE254" i="32"/>
  <c r="BE255" i="32"/>
  <c r="BE256" i="32"/>
  <c r="BE257" i="32"/>
  <c r="BE258" i="32"/>
  <c r="BE259" i="32"/>
  <c r="BE260" i="32"/>
  <c r="BE261" i="32"/>
  <c r="BE262" i="32"/>
  <c r="BE263" i="32"/>
  <c r="BE264" i="32"/>
  <c r="BE265" i="32"/>
  <c r="BE266" i="32"/>
  <c r="BE267" i="32"/>
  <c r="BE268" i="32"/>
  <c r="BE269" i="32"/>
  <c r="BE270" i="32"/>
  <c r="BE271" i="32"/>
  <c r="BE272" i="32"/>
  <c r="BE273" i="32"/>
  <c r="BE274" i="32"/>
  <c r="BE275" i="32"/>
  <c r="BE276" i="32"/>
  <c r="BE277" i="32"/>
  <c r="BE278" i="32"/>
  <c r="BE279" i="32"/>
  <c r="BE280" i="32"/>
  <c r="BE281" i="32"/>
  <c r="BE282" i="32"/>
  <c r="BE283" i="32"/>
  <c r="BE284" i="32"/>
  <c r="BE285" i="32"/>
  <c r="BE286" i="32"/>
  <c r="BE287" i="32"/>
  <c r="BE288" i="32"/>
  <c r="BE289" i="32"/>
  <c r="BE290" i="32"/>
  <c r="BE291" i="32"/>
  <c r="BE292" i="32"/>
  <c r="BE293" i="32"/>
  <c r="BE294" i="32"/>
  <c r="BE295" i="32"/>
  <c r="BE296" i="32"/>
  <c r="BE297" i="32"/>
  <c r="BE298" i="32"/>
  <c r="BE299" i="32"/>
  <c r="BE300" i="32"/>
  <c r="BE301" i="32"/>
  <c r="BE302" i="32"/>
  <c r="BE303" i="32"/>
  <c r="BE304" i="32"/>
  <c r="BE305" i="32"/>
  <c r="BE306" i="32"/>
  <c r="BE307" i="32"/>
  <c r="BE308" i="32"/>
  <c r="BE309" i="32"/>
  <c r="BE310" i="32"/>
  <c r="BE311" i="32"/>
  <c r="BE312" i="32"/>
  <c r="BE313" i="32"/>
  <c r="BE314" i="32"/>
  <c r="BE315" i="32"/>
  <c r="BE316" i="32"/>
  <c r="BE317" i="32"/>
  <c r="BE318" i="32"/>
  <c r="BE319" i="32"/>
  <c r="BE320" i="32"/>
  <c r="BE321" i="32"/>
  <c r="BE322" i="32"/>
  <c r="BE323" i="32"/>
  <c r="BE324" i="32"/>
  <c r="BE325" i="32"/>
  <c r="BE326" i="32"/>
  <c r="BE327" i="32"/>
  <c r="BE328" i="32"/>
  <c r="BE329" i="32"/>
  <c r="BE330" i="32"/>
  <c r="BE331" i="32"/>
  <c r="BE332" i="32"/>
  <c r="BE333" i="32"/>
  <c r="BE334" i="32"/>
  <c r="BE335" i="32"/>
  <c r="BE336" i="32"/>
  <c r="BE337" i="32"/>
  <c r="BE338" i="32"/>
  <c r="BE339" i="32"/>
  <c r="BE340" i="32"/>
  <c r="BE341" i="32"/>
  <c r="BE342" i="32"/>
  <c r="BE343" i="32"/>
  <c r="BE344" i="32"/>
  <c r="BE345" i="32"/>
  <c r="BE346" i="32"/>
  <c r="BE347" i="32"/>
  <c r="BE348" i="32"/>
  <c r="BE349" i="32"/>
  <c r="BE350" i="32"/>
  <c r="BE351" i="32"/>
  <c r="BE352" i="32"/>
  <c r="BE353" i="32"/>
  <c r="BE354" i="32"/>
  <c r="BE355" i="32"/>
  <c r="BE356" i="32"/>
  <c r="BE357" i="32"/>
  <c r="BE358" i="32"/>
  <c r="BE359" i="32"/>
  <c r="BE360" i="32"/>
  <c r="BE361" i="32"/>
  <c r="BE362" i="32"/>
  <c r="BE363" i="32"/>
  <c r="BE364" i="32"/>
  <c r="BE365" i="32"/>
  <c r="BE366" i="32"/>
  <c r="BE367" i="32"/>
  <c r="BE368" i="32"/>
  <c r="BE369" i="32"/>
  <c r="BE370" i="32"/>
  <c r="BE371" i="32"/>
  <c r="BE372" i="32"/>
  <c r="BE373" i="32"/>
  <c r="BE374" i="32"/>
  <c r="BE375" i="32"/>
  <c r="BE376" i="32"/>
  <c r="BE377" i="32"/>
  <c r="BE378" i="32"/>
  <c r="BE379" i="32"/>
  <c r="BE380" i="32"/>
  <c r="BE381" i="32"/>
  <c r="BE382" i="32"/>
  <c r="BE383" i="32"/>
  <c r="BE384" i="32"/>
  <c r="BE385" i="32"/>
  <c r="BE386" i="32"/>
  <c r="BE387" i="32"/>
  <c r="BE388" i="32"/>
  <c r="BE389" i="32"/>
  <c r="BE390" i="32"/>
  <c r="BE391" i="32"/>
  <c r="BE392" i="32"/>
  <c r="BE393" i="32"/>
  <c r="BE394" i="32"/>
  <c r="BE395" i="32"/>
  <c r="BE396" i="32"/>
  <c r="B398" i="32"/>
  <c r="C398" i="32"/>
  <c r="D398" i="32"/>
  <c r="G398" i="32"/>
  <c r="H398" i="32" s="1"/>
  <c r="B399" i="32"/>
  <c r="B400" i="32" s="1"/>
  <c r="B401" i="32" s="1"/>
  <c r="B402" i="32" s="1"/>
  <c r="B403" i="32" s="1"/>
  <c r="C399" i="32"/>
  <c r="D399" i="32"/>
  <c r="G399" i="32"/>
  <c r="H399" i="32" s="1"/>
  <c r="C400" i="32"/>
  <c r="D400" i="32"/>
  <c r="G400" i="32"/>
  <c r="H400" i="32" s="1"/>
  <c r="C401" i="32"/>
  <c r="D401" i="32"/>
  <c r="G401" i="32"/>
  <c r="H401" i="32" s="1"/>
  <c r="C402" i="32"/>
  <c r="D402" i="32"/>
  <c r="G402" i="32"/>
  <c r="H402" i="32" s="1"/>
  <c r="C403" i="32"/>
  <c r="D403" i="32"/>
  <c r="G403" i="32"/>
  <c r="H403" i="32" s="1"/>
  <c r="C478" i="32" l="1"/>
  <c r="D478" i="32"/>
  <c r="G478" i="32"/>
  <c r="H478" i="32" s="1"/>
  <c r="B397" i="32"/>
  <c r="C397" i="32"/>
  <c r="D397" i="32"/>
  <c r="G397" i="32"/>
  <c r="H397" i="32" s="1"/>
  <c r="C479" i="32" l="1"/>
  <c r="D479" i="32"/>
  <c r="G479" i="32"/>
  <c r="H479" i="32" s="1"/>
  <c r="B396" i="32"/>
  <c r="C396" i="32"/>
  <c r="D396" i="32"/>
  <c r="G396" i="32"/>
  <c r="H396" i="32" s="1"/>
  <c r="B395" i="32"/>
  <c r="C395" i="32"/>
  <c r="D395" i="32"/>
  <c r="G395" i="32"/>
  <c r="H395" i="32" s="1"/>
  <c r="C480" i="32" l="1"/>
  <c r="D480" i="32"/>
  <c r="G480" i="32"/>
  <c r="H480" i="32" s="1"/>
  <c r="C481" i="32" l="1"/>
  <c r="D481" i="32"/>
  <c r="G481" i="32"/>
  <c r="H481" i="32" s="1"/>
  <c r="G482" i="32" l="1"/>
  <c r="H482" i="32" s="1"/>
  <c r="C482" i="32"/>
  <c r="D482" i="32"/>
  <c r="AM224" i="31"/>
  <c r="AM225" i="31"/>
  <c r="G225" i="31"/>
  <c r="H225" i="31" s="1"/>
  <c r="G226" i="31"/>
  <c r="H226" i="31" s="1"/>
  <c r="G227" i="31"/>
  <c r="H227" i="31" s="1"/>
  <c r="D225" i="31"/>
  <c r="D226" i="31"/>
  <c r="D227" i="31"/>
  <c r="C225" i="31"/>
  <c r="C226" i="31"/>
  <c r="C227" i="31"/>
  <c r="B225" i="31"/>
  <c r="B226" i="31" s="1"/>
  <c r="B227" i="31" s="1"/>
  <c r="H224" i="31"/>
  <c r="G224" i="31"/>
  <c r="D224" i="31"/>
  <c r="C224" i="31"/>
  <c r="B224" i="31"/>
  <c r="G483" i="32" l="1"/>
  <c r="H483" i="32" s="1"/>
  <c r="C483" i="32"/>
  <c r="D483" i="32"/>
  <c r="G223" i="31"/>
  <c r="H223" i="31" s="1"/>
  <c r="D223" i="31"/>
  <c r="C223" i="31"/>
  <c r="B223" i="31"/>
  <c r="D484" i="32" l="1"/>
  <c r="G484" i="32"/>
  <c r="H484" i="32" s="1"/>
  <c r="C484" i="32"/>
  <c r="AM223" i="31"/>
  <c r="D485" i="32" l="1"/>
  <c r="C485" i="32"/>
  <c r="G485" i="32"/>
  <c r="H485" i="32" s="1"/>
  <c r="AM222" i="31"/>
  <c r="D486" i="32" l="1"/>
  <c r="G486" i="32"/>
  <c r="H486" i="32" s="1"/>
  <c r="C486" i="32"/>
  <c r="AM221" i="31"/>
  <c r="G221" i="31"/>
  <c r="H221" i="31" s="1"/>
  <c r="G222" i="31"/>
  <c r="H222" i="31" s="1"/>
  <c r="D221" i="31"/>
  <c r="D222" i="31"/>
  <c r="C221" i="31"/>
  <c r="C222" i="31"/>
  <c r="B222" i="31"/>
  <c r="B221" i="31"/>
  <c r="C487" i="32" l="1"/>
  <c r="D487" i="32"/>
  <c r="G487" i="32"/>
  <c r="H487" i="32" s="1"/>
  <c r="AM220" i="31"/>
  <c r="AM219" i="31"/>
  <c r="G220" i="31"/>
  <c r="H220" i="31" s="1"/>
  <c r="D220" i="31"/>
  <c r="C220" i="31"/>
  <c r="B220" i="31"/>
  <c r="G218" i="31"/>
  <c r="G219" i="31"/>
  <c r="C488" i="32" l="1"/>
  <c r="D488" i="32"/>
  <c r="G488" i="32"/>
  <c r="H488" i="32" s="1"/>
  <c r="B4" i="36"/>
  <c r="D2" i="36"/>
  <c r="E2" i="36" s="1"/>
  <c r="F2" i="36" s="1"/>
  <c r="G2" i="36" s="1"/>
  <c r="H2" i="36" s="1"/>
  <c r="I2" i="36" s="1"/>
  <c r="J2" i="36" s="1"/>
  <c r="B4" i="35"/>
  <c r="D2" i="35"/>
  <c r="E2" i="35" s="1"/>
  <c r="F2" i="35" s="1"/>
  <c r="G2" i="35" s="1"/>
  <c r="B5" i="35" l="1"/>
  <c r="B6" i="35" s="1"/>
  <c r="C489" i="32"/>
  <c r="D489" i="32"/>
  <c r="G489" i="32"/>
  <c r="H489" i="32" s="1"/>
  <c r="K2" i="36"/>
  <c r="B5" i="36"/>
  <c r="H2" i="35"/>
  <c r="I2" i="35" s="1"/>
  <c r="C490" i="32" l="1"/>
  <c r="D490" i="32"/>
  <c r="G490" i="32"/>
  <c r="H490" i="32" s="1"/>
  <c r="B7" i="35"/>
  <c r="B6" i="36"/>
  <c r="L2" i="36"/>
  <c r="J2" i="35"/>
  <c r="C491" i="32" l="1"/>
  <c r="D491" i="32"/>
  <c r="G491" i="32"/>
  <c r="H491" i="32" s="1"/>
  <c r="B8" i="35"/>
  <c r="B7" i="36"/>
  <c r="M2" i="36"/>
  <c r="K2" i="35"/>
  <c r="C492" i="32" l="1"/>
  <c r="D492" i="32"/>
  <c r="G492" i="32"/>
  <c r="H492" i="32" s="1"/>
  <c r="B9" i="35"/>
  <c r="B8" i="36"/>
  <c r="N2" i="36"/>
  <c r="L2" i="35"/>
  <c r="G493" i="32" l="1"/>
  <c r="H493" i="32" s="1"/>
  <c r="C493" i="32"/>
  <c r="D493" i="32"/>
  <c r="B10" i="35"/>
  <c r="O2" i="36"/>
  <c r="B9" i="36"/>
  <c r="M2" i="35"/>
  <c r="G494" i="32" l="1"/>
  <c r="H494" i="32" s="1"/>
  <c r="C494" i="32"/>
  <c r="D494" i="32"/>
  <c r="B11" i="35"/>
  <c r="B10" i="36"/>
  <c r="P2" i="36"/>
  <c r="N2" i="35"/>
  <c r="G495" i="32" l="1"/>
  <c r="H495" i="32" s="1"/>
  <c r="D495" i="32"/>
  <c r="C495" i="32"/>
  <c r="B12" i="35"/>
  <c r="B11" i="36"/>
  <c r="Q2" i="36"/>
  <c r="O2" i="35"/>
  <c r="G496" i="32" l="1"/>
  <c r="H496" i="32" s="1"/>
  <c r="D496" i="32"/>
  <c r="C496" i="32"/>
  <c r="B13" i="35"/>
  <c r="R2" i="36"/>
  <c r="B12" i="36"/>
  <c r="P2" i="35"/>
  <c r="D497" i="32" l="1"/>
  <c r="G497" i="32"/>
  <c r="H497" i="32" s="1"/>
  <c r="C497" i="32"/>
  <c r="B14" i="35"/>
  <c r="B13" i="36"/>
  <c r="S2" i="36"/>
  <c r="Q2" i="35"/>
  <c r="D498" i="32" l="1"/>
  <c r="G498" i="32"/>
  <c r="H498" i="32" s="1"/>
  <c r="C498" i="32"/>
  <c r="B15" i="35"/>
  <c r="T2" i="36"/>
  <c r="B14" i="36"/>
  <c r="R2" i="35"/>
  <c r="C499" i="32" l="1"/>
  <c r="D499" i="32"/>
  <c r="G499" i="32"/>
  <c r="H499" i="32" s="1"/>
  <c r="B16" i="35"/>
  <c r="U2" i="36"/>
  <c r="B15" i="36"/>
  <c r="S2" i="35"/>
  <c r="C500" i="32" l="1"/>
  <c r="D500" i="32"/>
  <c r="G500" i="32"/>
  <c r="H500" i="32" s="1"/>
  <c r="B17" i="35"/>
  <c r="V2" i="36"/>
  <c r="B16" i="36"/>
  <c r="T2" i="35"/>
  <c r="C501" i="32" l="1"/>
  <c r="D501" i="32"/>
  <c r="G501" i="32"/>
  <c r="H501" i="32" s="1"/>
  <c r="B18" i="35"/>
  <c r="B17" i="36"/>
  <c r="W2" i="36"/>
  <c r="U2" i="35"/>
  <c r="C502" i="32" l="1"/>
  <c r="D502" i="32"/>
  <c r="G502" i="32"/>
  <c r="H502" i="32" s="1"/>
  <c r="B19" i="35"/>
  <c r="X2" i="36"/>
  <c r="B18" i="36"/>
  <c r="V2" i="35"/>
  <c r="B20" i="35" l="1"/>
  <c r="B19" i="36"/>
  <c r="Y2" i="36"/>
  <c r="W2" i="35"/>
  <c r="B21" i="35" l="1"/>
  <c r="Z2" i="36"/>
  <c r="B20" i="36"/>
  <c r="X2" i="35"/>
  <c r="B22" i="35" l="1"/>
  <c r="B21" i="36"/>
  <c r="AA2" i="36"/>
  <c r="Y2" i="35"/>
  <c r="B23" i="35" l="1"/>
  <c r="B22" i="36"/>
  <c r="AB2" i="36"/>
  <c r="Z2" i="35"/>
  <c r="B24" i="35" l="1"/>
  <c r="B23" i="36"/>
  <c r="AC2" i="36"/>
  <c r="AA2" i="35"/>
  <c r="B25" i="35" l="1"/>
  <c r="B24" i="36"/>
  <c r="AD2" i="36"/>
  <c r="AB2" i="35"/>
  <c r="B26" i="35" l="1"/>
  <c r="B25" i="36"/>
  <c r="AE2" i="36"/>
  <c r="AC2" i="35"/>
  <c r="B27" i="35" l="1"/>
  <c r="AF2" i="36"/>
  <c r="B26" i="36"/>
  <c r="AD2" i="35"/>
  <c r="B28" i="35" l="1"/>
  <c r="B27" i="36"/>
  <c r="AG2" i="36"/>
  <c r="AE2" i="35"/>
  <c r="B29" i="35" l="1"/>
  <c r="B28" i="36"/>
  <c r="AH2" i="36"/>
  <c r="AF2" i="35"/>
  <c r="B30" i="35" l="1"/>
  <c r="B29" i="36"/>
  <c r="AI2" i="36"/>
  <c r="AG2" i="35"/>
  <c r="B31" i="35" l="1"/>
  <c r="B30" i="36"/>
  <c r="AJ2" i="36"/>
  <c r="AH2" i="35"/>
  <c r="B32" i="35" l="1"/>
  <c r="B31" i="36"/>
  <c r="AK2" i="36"/>
  <c r="AI2" i="35"/>
  <c r="B33" i="35" l="1"/>
  <c r="B32" i="36"/>
  <c r="AL2" i="36"/>
  <c r="AJ2" i="35"/>
  <c r="B34" i="35" l="1"/>
  <c r="B33" i="36"/>
  <c r="AM2" i="36"/>
  <c r="AK2" i="35"/>
  <c r="B35" i="35" l="1"/>
  <c r="B34" i="36"/>
  <c r="AN2" i="36"/>
  <c r="AL2" i="35"/>
  <c r="B35" i="36" l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AO2" i="36"/>
  <c r="AM2" i="35"/>
  <c r="AP2" i="36" l="1"/>
  <c r="AN2" i="35"/>
  <c r="AQ2" i="36" l="1"/>
  <c r="AO2" i="35"/>
  <c r="AR2" i="36" l="1"/>
  <c r="AP2" i="35"/>
  <c r="AS2" i="36" l="1"/>
  <c r="AQ2" i="35"/>
  <c r="AT2" i="36" l="1"/>
  <c r="AR2" i="35"/>
  <c r="AU2" i="36" l="1"/>
  <c r="AS2" i="35"/>
  <c r="AV2" i="36" l="1"/>
  <c r="AT2" i="35"/>
  <c r="AU2" i="35" l="1"/>
  <c r="AV2" i="35" l="1"/>
  <c r="AW2" i="35" s="1"/>
  <c r="AX2" i="35" s="1"/>
  <c r="AY2" i="35" s="1"/>
  <c r="AZ2" i="35" s="1"/>
  <c r="BA2" i="35" s="1"/>
  <c r="BB2" i="35" s="1"/>
  <c r="BC2" i="35" s="1"/>
  <c r="BD2" i="35" s="1"/>
  <c r="BE2" i="35" s="1"/>
  <c r="BF2" i="35" s="1"/>
  <c r="BG2" i="35" s="1"/>
  <c r="BH2" i="35" s="1"/>
  <c r="BI2" i="35" s="1"/>
  <c r="BJ2" i="35" s="1"/>
  <c r="BK2" i="35" s="1"/>
  <c r="BL2" i="35" s="1"/>
  <c r="BM2" i="35" s="1"/>
  <c r="BN2" i="35" s="1"/>
  <c r="BO2" i="35" s="1"/>
  <c r="BP2" i="35" s="1"/>
  <c r="BQ2" i="35" s="1"/>
  <c r="BR2" i="35" s="1"/>
  <c r="BS2" i="35" s="1"/>
  <c r="BT2" i="35" s="1"/>
  <c r="AG10" i="22" l="1"/>
  <c r="B2" i="22" s="1"/>
  <c r="T658" i="22" l="1"/>
  <c r="T643" i="22"/>
  <c r="T641" i="22"/>
  <c r="T632" i="22"/>
  <c r="T640" i="22"/>
  <c r="T638" i="22"/>
  <c r="T636" i="22"/>
  <c r="T644" i="22"/>
  <c r="T635" i="22"/>
  <c r="T634" i="22"/>
  <c r="T642" i="22"/>
  <c r="T633" i="22"/>
  <c r="T639" i="22"/>
  <c r="T556" i="22"/>
  <c r="V71" i="27" s="1"/>
  <c r="AJ71" i="27" s="1"/>
  <c r="T668" i="22"/>
  <c r="T676" i="22"/>
  <c r="T684" i="22"/>
  <c r="T669" i="22"/>
  <c r="T677" i="22"/>
  <c r="T685" i="22"/>
  <c r="T662" i="22"/>
  <c r="T670" i="22"/>
  <c r="T678" i="22"/>
  <c r="T686" i="22"/>
  <c r="T663" i="22"/>
  <c r="T671" i="22"/>
  <c r="T679" i="22"/>
  <c r="T687" i="22"/>
  <c r="T664" i="22"/>
  <c r="T672" i="22"/>
  <c r="T680" i="22"/>
  <c r="T688" i="22"/>
  <c r="T665" i="22"/>
  <c r="T673" i="22"/>
  <c r="T681" i="22"/>
  <c r="T689" i="22"/>
  <c r="T666" i="22"/>
  <c r="T674" i="22"/>
  <c r="T682" i="22"/>
  <c r="T667" i="22"/>
  <c r="T675" i="22"/>
  <c r="T683" i="22"/>
  <c r="T657" i="22"/>
  <c r="T561" i="22"/>
  <c r="T574" i="22"/>
  <c r="T586" i="22"/>
  <c r="T599" i="22"/>
  <c r="T612" i="22"/>
  <c r="T624" i="22"/>
  <c r="T613" i="22"/>
  <c r="T625" i="22"/>
  <c r="T660" i="22"/>
  <c r="T576" i="22"/>
  <c r="T601" i="22"/>
  <c r="T626" i="22"/>
  <c r="T661" i="22"/>
  <c r="T564" i="22"/>
  <c r="T590" i="22"/>
  <c r="T615" i="22"/>
  <c r="T653" i="22"/>
  <c r="T565" i="22"/>
  <c r="T578" i="22"/>
  <c r="T608" i="22"/>
  <c r="T631" i="22"/>
  <c r="T654" i="22"/>
  <c r="T566" i="22"/>
  <c r="T579" i="22"/>
  <c r="T609" i="22"/>
  <c r="T637" i="22"/>
  <c r="T554" i="22"/>
  <c r="T597" i="22"/>
  <c r="T622" i="22"/>
  <c r="T656" i="22"/>
  <c r="T585" i="22"/>
  <c r="T611" i="22"/>
  <c r="T659" i="22"/>
  <c r="T562" i="22"/>
  <c r="T575" i="22"/>
  <c r="T588" i="22"/>
  <c r="T600" i="22"/>
  <c r="T563" i="22"/>
  <c r="T589" i="22"/>
  <c r="T614" i="22"/>
  <c r="T652" i="22"/>
  <c r="T577" i="22"/>
  <c r="T602" i="22"/>
  <c r="T627" i="22"/>
  <c r="T591" i="22"/>
  <c r="T620" i="22"/>
  <c r="T553" i="22"/>
  <c r="T596" i="22"/>
  <c r="T621" i="22"/>
  <c r="T655" i="22"/>
  <c r="T572" i="22"/>
  <c r="T610" i="22"/>
  <c r="T645" i="22"/>
  <c r="T555" i="22"/>
  <c r="T598" i="22"/>
  <c r="T623" i="22"/>
  <c r="T651" i="22"/>
  <c r="T584" i="22"/>
  <c r="T573" i="22"/>
  <c r="T595" i="22"/>
  <c r="T570" i="22"/>
  <c r="T557" i="22"/>
  <c r="T560" i="22"/>
  <c r="T583" i="22"/>
  <c r="T558" i="22"/>
  <c r="T628" i="22"/>
  <c r="T559" i="22"/>
  <c r="T571" i="22"/>
  <c r="T629" i="22"/>
  <c r="T616" i="22"/>
  <c r="T603" i="22"/>
  <c r="T630" i="22"/>
  <c r="T617" i="22"/>
  <c r="T604" i="22"/>
  <c r="T587" i="22"/>
  <c r="T618" i="22"/>
  <c r="T605" i="22"/>
  <c r="T592" i="22"/>
  <c r="T567" i="22"/>
  <c r="T606" i="22"/>
  <c r="T593" i="22"/>
  <c r="T580" i="22"/>
  <c r="T619" i="22"/>
  <c r="T594" i="22"/>
  <c r="T581" i="22"/>
  <c r="T568" i="22"/>
  <c r="T607" i="22"/>
  <c r="T582" i="22"/>
  <c r="T569" i="22"/>
  <c r="T440" i="22"/>
  <c r="T463" i="22"/>
  <c r="T471" i="22"/>
  <c r="T479" i="22"/>
  <c r="T487" i="22"/>
  <c r="T495" i="22"/>
  <c r="T503" i="22"/>
  <c r="T511" i="22"/>
  <c r="T519" i="22"/>
  <c r="T527" i="22"/>
  <c r="T535" i="22"/>
  <c r="T543" i="22"/>
  <c r="T551" i="22"/>
  <c r="T441" i="22"/>
  <c r="T449" i="22"/>
  <c r="T464" i="22"/>
  <c r="T472" i="22"/>
  <c r="T480" i="22"/>
  <c r="T488" i="22"/>
  <c r="T496" i="22"/>
  <c r="T504" i="22"/>
  <c r="T512" i="22"/>
  <c r="T520" i="22"/>
  <c r="T528" i="22"/>
  <c r="T536" i="22"/>
  <c r="T544" i="22"/>
  <c r="T552" i="22"/>
  <c r="T442" i="22"/>
  <c r="T450" i="22"/>
  <c r="T443" i="22"/>
  <c r="T458" i="22"/>
  <c r="T466" i="22"/>
  <c r="T482" i="22"/>
  <c r="T498" i="22"/>
  <c r="T514" i="22"/>
  <c r="T530" i="22"/>
  <c r="T546" i="22"/>
  <c r="T444" i="22"/>
  <c r="T467" i="22"/>
  <c r="T483" i="22"/>
  <c r="T499" i="22"/>
  <c r="T515" i="22"/>
  <c r="T457" i="22"/>
  <c r="T465" i="22"/>
  <c r="T473" i="22"/>
  <c r="T481" i="22"/>
  <c r="T489" i="22"/>
  <c r="T497" i="22"/>
  <c r="T505" i="22"/>
  <c r="T513" i="22"/>
  <c r="T521" i="22"/>
  <c r="T529" i="22"/>
  <c r="T537" i="22"/>
  <c r="T545" i="22"/>
  <c r="T452" i="22"/>
  <c r="T451" i="22"/>
  <c r="T474" i="22"/>
  <c r="T490" i="22"/>
  <c r="T506" i="22"/>
  <c r="T522" i="22"/>
  <c r="T538" i="22"/>
  <c r="T453" i="22"/>
  <c r="T459" i="22"/>
  <c r="T475" i="22"/>
  <c r="T491" i="22"/>
  <c r="T507" i="22"/>
  <c r="T523" i="22"/>
  <c r="T531" i="22"/>
  <c r="T539" i="22"/>
  <c r="T547" i="22"/>
  <c r="T454" i="22"/>
  <c r="V17" i="27" s="1"/>
  <c r="AJ17" i="27" s="1"/>
  <c r="T445" i="22"/>
  <c r="T460" i="22"/>
  <c r="T468" i="22"/>
  <c r="T476" i="22"/>
  <c r="T484" i="22"/>
  <c r="T492" i="22"/>
  <c r="T500" i="22"/>
  <c r="T508" i="22"/>
  <c r="T516" i="22"/>
  <c r="T524" i="22"/>
  <c r="T532" i="22"/>
  <c r="T540" i="22"/>
  <c r="T548" i="22"/>
  <c r="T455" i="22"/>
  <c r="T446" i="22"/>
  <c r="T461" i="22"/>
  <c r="T469" i="22"/>
  <c r="T477" i="22"/>
  <c r="T485" i="22"/>
  <c r="T493" i="22"/>
  <c r="T501" i="22"/>
  <c r="T509" i="22"/>
  <c r="T517" i="22"/>
  <c r="T525" i="22"/>
  <c r="T533" i="22"/>
  <c r="T541" i="22"/>
  <c r="T549" i="22"/>
  <c r="T456" i="22"/>
  <c r="T447" i="22"/>
  <c r="T462" i="22"/>
  <c r="T470" i="22"/>
  <c r="T478" i="22"/>
  <c r="T486" i="22"/>
  <c r="T494" i="22"/>
  <c r="T502" i="22"/>
  <c r="T510" i="22"/>
  <c r="T518" i="22"/>
  <c r="T526" i="22"/>
  <c r="T534" i="22"/>
  <c r="T542" i="22"/>
  <c r="T550" i="22"/>
  <c r="T448" i="22"/>
  <c r="AH3" i="22"/>
  <c r="AH7" i="22"/>
  <c r="AH2" i="22"/>
  <c r="AH10" i="22"/>
  <c r="AH9" i="22"/>
  <c r="AH8" i="22"/>
  <c r="AH6" i="22"/>
  <c r="AH5" i="22"/>
  <c r="AH4" i="22"/>
  <c r="S439" i="22"/>
  <c r="T439" i="22" s="1"/>
  <c r="S438" i="22"/>
  <c r="T438" i="22" s="1"/>
  <c r="S437" i="22"/>
  <c r="T437" i="22" s="1"/>
  <c r="S436" i="22"/>
  <c r="T436" i="22" s="1"/>
  <c r="S435" i="22"/>
  <c r="S434" i="22"/>
  <c r="T434" i="22" s="1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V18" i="27" s="1"/>
  <c r="AJ18" i="27" s="1"/>
  <c r="T409" i="22"/>
  <c r="V19" i="27" s="1"/>
  <c r="AJ19" i="27" s="1"/>
  <c r="T410" i="22"/>
  <c r="T411" i="22"/>
  <c r="T412" i="22"/>
  <c r="V22" i="27" s="1"/>
  <c r="AJ22" i="27" s="1"/>
  <c r="T413" i="22"/>
  <c r="V24" i="27" s="1"/>
  <c r="AJ24" i="27" s="1"/>
  <c r="T414" i="22"/>
  <c r="V25" i="27" s="1"/>
  <c r="AJ25" i="27" s="1"/>
  <c r="T415" i="22"/>
  <c r="V26" i="27" s="1"/>
  <c r="AJ26" i="27" s="1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V13" i="27" s="1"/>
  <c r="AJ13" i="27" s="1"/>
  <c r="T55" i="22"/>
  <c r="T56" i="22"/>
  <c r="T57" i="22"/>
  <c r="V16" i="27" s="1"/>
  <c r="AJ16" i="27" s="1"/>
  <c r="T58" i="22"/>
  <c r="T59" i="22"/>
  <c r="T60" i="22"/>
  <c r="T61" i="22"/>
  <c r="T62" i="22"/>
  <c r="T63" i="22"/>
  <c r="T64" i="22"/>
  <c r="T65" i="22"/>
  <c r="T66" i="22"/>
  <c r="T18" i="22"/>
  <c r="T435" i="22" l="1"/>
  <c r="V73" i="27" s="1"/>
  <c r="U73" i="27"/>
  <c r="AL73" i="27" s="1"/>
  <c r="V11" i="27"/>
  <c r="AJ11" i="27" s="1"/>
  <c r="V12" i="27"/>
  <c r="AJ12" i="27" s="1"/>
  <c r="V14" i="27"/>
  <c r="AJ14" i="27" s="1"/>
  <c r="V3" i="27"/>
  <c r="AJ3" i="27" s="1"/>
  <c r="V15" i="27"/>
  <c r="AJ15" i="27" s="1"/>
  <c r="V10" i="27"/>
  <c r="AJ10" i="27" s="1"/>
  <c r="V85" i="27"/>
  <c r="AJ85" i="27" s="1"/>
  <c r="V86" i="27"/>
  <c r="AJ86" i="27" s="1"/>
  <c r="V29" i="27"/>
  <c r="AJ29" i="27" s="1"/>
  <c r="V30" i="27"/>
  <c r="AJ30" i="27" s="1"/>
  <c r="V20" i="27"/>
  <c r="AJ20" i="27" s="1"/>
  <c r="V23" i="27"/>
  <c r="AJ23" i="27" s="1"/>
  <c r="V2" i="27"/>
  <c r="AJ2" i="27" s="1"/>
  <c r="V60" i="27"/>
  <c r="AJ60" i="27" s="1"/>
  <c r="V27" i="27"/>
  <c r="AJ27" i="27" s="1"/>
  <c r="V28" i="27"/>
  <c r="AJ28" i="27" s="1"/>
  <c r="V65" i="27"/>
  <c r="AJ65" i="27" s="1"/>
  <c r="V9" i="27"/>
  <c r="AJ9" i="27" s="1"/>
  <c r="AM211" i="31"/>
  <c r="AM212" i="31"/>
  <c r="AM213" i="31"/>
  <c r="AM214" i="31"/>
  <c r="AM215" i="31"/>
  <c r="AM216" i="31"/>
  <c r="AM217" i="31"/>
  <c r="AM218" i="31"/>
  <c r="AM186" i="31" l="1"/>
  <c r="AM187" i="31"/>
  <c r="AM188" i="31"/>
  <c r="AM189" i="31"/>
  <c r="AM190" i="31"/>
  <c r="AM191" i="31"/>
  <c r="AM192" i="31"/>
  <c r="AM193" i="31"/>
  <c r="AM194" i="31"/>
  <c r="AM195" i="31"/>
  <c r="AM196" i="31"/>
  <c r="AM197" i="31"/>
  <c r="AM198" i="31"/>
  <c r="AM199" i="31"/>
  <c r="AM200" i="31"/>
  <c r="AM201" i="31"/>
  <c r="AM202" i="31"/>
  <c r="AM203" i="31"/>
  <c r="AM204" i="31"/>
  <c r="AM205" i="31"/>
  <c r="AM206" i="31"/>
  <c r="AM207" i="31"/>
  <c r="AM208" i="31"/>
  <c r="AM209" i="31"/>
  <c r="AM210" i="31"/>
  <c r="B33" i="9" l="1"/>
  <c r="B36" i="9" l="1"/>
  <c r="B35" i="9"/>
  <c r="B32" i="9"/>
  <c r="G6" i="33" l="1"/>
  <c r="F6" i="33"/>
  <c r="Q7" i="33"/>
  <c r="B5" i="33"/>
  <c r="AM3" i="31" l="1"/>
  <c r="AM4" i="31"/>
  <c r="AM5" i="31"/>
  <c r="AM6" i="31"/>
  <c r="AM7" i="31"/>
  <c r="AM8" i="31"/>
  <c r="AM9" i="31"/>
  <c r="AM10" i="31"/>
  <c r="AM11" i="31"/>
  <c r="AM12" i="31"/>
  <c r="AM13" i="31"/>
  <c r="AM14" i="31"/>
  <c r="AM15" i="31"/>
  <c r="AM16" i="31"/>
  <c r="AM17" i="31"/>
  <c r="AM18" i="31"/>
  <c r="AM19" i="31"/>
  <c r="AM20" i="31"/>
  <c r="AM21" i="31"/>
  <c r="AM22" i="31"/>
  <c r="AM23" i="31"/>
  <c r="AM24" i="31"/>
  <c r="AM25" i="31"/>
  <c r="AM26" i="31"/>
  <c r="AM27" i="31"/>
  <c r="AM28" i="31"/>
  <c r="AM29" i="31"/>
  <c r="AM30" i="31"/>
  <c r="AM31" i="31"/>
  <c r="AM32" i="31"/>
  <c r="AM33" i="31"/>
  <c r="AM34" i="31"/>
  <c r="AM35" i="31"/>
  <c r="AM36" i="31"/>
  <c r="AM37" i="31"/>
  <c r="AM38" i="31"/>
  <c r="AM39" i="31"/>
  <c r="AM40" i="31"/>
  <c r="AM41" i="31"/>
  <c r="AM42" i="31"/>
  <c r="AM43" i="31"/>
  <c r="AM44" i="31"/>
  <c r="AM45" i="31"/>
  <c r="AM46" i="31"/>
  <c r="AM47" i="31"/>
  <c r="AM48" i="31"/>
  <c r="AM49" i="31"/>
  <c r="AM50" i="31"/>
  <c r="AM51" i="31"/>
  <c r="AM52" i="31"/>
  <c r="AM53" i="31"/>
  <c r="AM54" i="31"/>
  <c r="AM55" i="31"/>
  <c r="AM56" i="31"/>
  <c r="AM57" i="31"/>
  <c r="AM58" i="31"/>
  <c r="AM59" i="31"/>
  <c r="AM60" i="31"/>
  <c r="AM61" i="31"/>
  <c r="AM62" i="31"/>
  <c r="AM63" i="31"/>
  <c r="AM64" i="31"/>
  <c r="AM65" i="31"/>
  <c r="AM66" i="31"/>
  <c r="AM67" i="31"/>
  <c r="AM68" i="31"/>
  <c r="AM69" i="31"/>
  <c r="AM70" i="31"/>
  <c r="AM71" i="31"/>
  <c r="AM72" i="31"/>
  <c r="AM73" i="31"/>
  <c r="AM74" i="31"/>
  <c r="AM75" i="31"/>
  <c r="AM76" i="31"/>
  <c r="AM77" i="31"/>
  <c r="AM78" i="31"/>
  <c r="AM79" i="31"/>
  <c r="AM80" i="31"/>
  <c r="AM81" i="31"/>
  <c r="AM82" i="31"/>
  <c r="AM83" i="31"/>
  <c r="AM84" i="31"/>
  <c r="AM85" i="31"/>
  <c r="AM86" i="31"/>
  <c r="AM87" i="31"/>
  <c r="AM88" i="31"/>
  <c r="AM89" i="31"/>
  <c r="AM90" i="31"/>
  <c r="AM91" i="31"/>
  <c r="AM92" i="31"/>
  <c r="AM93" i="31"/>
  <c r="AM94" i="31"/>
  <c r="AM95" i="31"/>
  <c r="AM96" i="31"/>
  <c r="AM97" i="31"/>
  <c r="AM98" i="31"/>
  <c r="AM99" i="31"/>
  <c r="AM100" i="31"/>
  <c r="AM101" i="31"/>
  <c r="AM102" i="31"/>
  <c r="AM103" i="31"/>
  <c r="AM104" i="31"/>
  <c r="AM105" i="31"/>
  <c r="AM106" i="31"/>
  <c r="AM107" i="31"/>
  <c r="AM108" i="31"/>
  <c r="AM109" i="31"/>
  <c r="AM110" i="31"/>
  <c r="AM111" i="31"/>
  <c r="AM112" i="31"/>
  <c r="AM113" i="31"/>
  <c r="AM114" i="31"/>
  <c r="AM115" i="31"/>
  <c r="AM116" i="31"/>
  <c r="AM117" i="31"/>
  <c r="AM118" i="31"/>
  <c r="AM119" i="31"/>
  <c r="AM120" i="31"/>
  <c r="AM121" i="31"/>
  <c r="AM122" i="31"/>
  <c r="AM123" i="31"/>
  <c r="AM124" i="31"/>
  <c r="AM125" i="31"/>
  <c r="AM126" i="31"/>
  <c r="AM127" i="31"/>
  <c r="AM128" i="31"/>
  <c r="AM129" i="31"/>
  <c r="AM130" i="31"/>
  <c r="AM131" i="31"/>
  <c r="AM132" i="31"/>
  <c r="AM133" i="31"/>
  <c r="AM134" i="31"/>
  <c r="AM135" i="31"/>
  <c r="AM136" i="31"/>
  <c r="AM137" i="31"/>
  <c r="AM138" i="31"/>
  <c r="AM139" i="31"/>
  <c r="AM140" i="31"/>
  <c r="AM141" i="31"/>
  <c r="AM142" i="31"/>
  <c r="AM143" i="31"/>
  <c r="AM144" i="31"/>
  <c r="AM145" i="31"/>
  <c r="AM146" i="31"/>
  <c r="AM147" i="31"/>
  <c r="AM148" i="31"/>
  <c r="AM149" i="31"/>
  <c r="AM150" i="31"/>
  <c r="AM151" i="31"/>
  <c r="AM152" i="31"/>
  <c r="AM153" i="31"/>
  <c r="AM154" i="31"/>
  <c r="AM155" i="31"/>
  <c r="AM156" i="31"/>
  <c r="AM157" i="31"/>
  <c r="AM158" i="31"/>
  <c r="AM159" i="31"/>
  <c r="AM160" i="31"/>
  <c r="AM161" i="31"/>
  <c r="AM162" i="31"/>
  <c r="AM163" i="31"/>
  <c r="AM164" i="31"/>
  <c r="AM165" i="31"/>
  <c r="AM166" i="31"/>
  <c r="AM167" i="31"/>
  <c r="AM168" i="31"/>
  <c r="AM169" i="31"/>
  <c r="AM170" i="31"/>
  <c r="AM171" i="31"/>
  <c r="AM172" i="31"/>
  <c r="AM173" i="31"/>
  <c r="AM174" i="31"/>
  <c r="AM175" i="31"/>
  <c r="AM176" i="31"/>
  <c r="AM177" i="31"/>
  <c r="AM178" i="31"/>
  <c r="AM179" i="31"/>
  <c r="AM180" i="31"/>
  <c r="AM181" i="31"/>
  <c r="AM182" i="31"/>
  <c r="AM183" i="31"/>
  <c r="AM184" i="31"/>
  <c r="AM185" i="31"/>
  <c r="T10" i="22"/>
  <c r="T2" i="22"/>
  <c r="B4" i="32" l="1"/>
  <c r="G4" i="32" s="1"/>
  <c r="H4" i="32" s="1"/>
  <c r="G3" i="32"/>
  <c r="H3" i="32" s="1"/>
  <c r="D3" i="32"/>
  <c r="C3" i="32"/>
  <c r="C4" i="32" l="1"/>
  <c r="D4" i="32"/>
  <c r="B5" i="32"/>
  <c r="B1" i="8"/>
  <c r="A4" i="8" s="1"/>
  <c r="B6" i="9"/>
  <c r="B34" i="9" s="1"/>
  <c r="T29" i="22"/>
  <c r="T28" i="22"/>
  <c r="T27" i="22"/>
  <c r="T26" i="22"/>
  <c r="T25" i="22"/>
  <c r="T24" i="22"/>
  <c r="T23" i="22"/>
  <c r="T22" i="22"/>
  <c r="T21" i="22"/>
  <c r="T20" i="22"/>
  <c r="T19" i="22"/>
  <c r="T17" i="22"/>
  <c r="T16" i="22"/>
  <c r="T15" i="22"/>
  <c r="T14" i="22"/>
  <c r="T13" i="22"/>
  <c r="T12" i="22"/>
  <c r="T11" i="22"/>
  <c r="T9" i="22"/>
  <c r="T8" i="22"/>
  <c r="T7" i="22"/>
  <c r="T6" i="22"/>
  <c r="T5" i="22"/>
  <c r="T4" i="22"/>
  <c r="T3" i="22"/>
  <c r="B4" i="31"/>
  <c r="C4" i="31" s="1"/>
  <c r="G3" i="31"/>
  <c r="H3" i="31" s="1"/>
  <c r="D3" i="31"/>
  <c r="C3" i="31"/>
  <c r="B4" i="30"/>
  <c r="B5" i="30" s="1"/>
  <c r="G3" i="30"/>
  <c r="H3" i="30" s="1"/>
  <c r="D3" i="30"/>
  <c r="C3" i="30"/>
  <c r="X15" i="24"/>
  <c r="Q15" i="24"/>
  <c r="P15" i="24"/>
  <c r="O15" i="24"/>
  <c r="I15" i="24"/>
  <c r="H15" i="24"/>
  <c r="D15" i="24"/>
  <c r="C15" i="24"/>
  <c r="A15" i="24"/>
  <c r="X14" i="24"/>
  <c r="Q14" i="24"/>
  <c r="P14" i="24"/>
  <c r="O14" i="24"/>
  <c r="I14" i="24"/>
  <c r="H14" i="24"/>
  <c r="D14" i="24"/>
  <c r="C14" i="24"/>
  <c r="A14" i="24"/>
  <c r="X13" i="24"/>
  <c r="Q13" i="24"/>
  <c r="P13" i="24"/>
  <c r="O13" i="24"/>
  <c r="I13" i="24"/>
  <c r="H13" i="24"/>
  <c r="D13" i="24"/>
  <c r="C13" i="24"/>
  <c r="A13" i="24"/>
  <c r="X12" i="24"/>
  <c r="Q12" i="24"/>
  <c r="P12" i="24"/>
  <c r="O12" i="24"/>
  <c r="I12" i="24"/>
  <c r="H12" i="24"/>
  <c r="D12" i="24"/>
  <c r="C12" i="24"/>
  <c r="A12" i="24"/>
  <c r="X11" i="24"/>
  <c r="Q11" i="24"/>
  <c r="P11" i="24"/>
  <c r="O11" i="24"/>
  <c r="I11" i="24"/>
  <c r="H11" i="24"/>
  <c r="D11" i="24"/>
  <c r="C11" i="24"/>
  <c r="A11" i="24"/>
  <c r="X10" i="24"/>
  <c r="Q10" i="24"/>
  <c r="P10" i="24"/>
  <c r="O10" i="24"/>
  <c r="I10" i="24"/>
  <c r="H10" i="24"/>
  <c r="D10" i="24"/>
  <c r="C10" i="24"/>
  <c r="A10" i="24"/>
  <c r="X9" i="24"/>
  <c r="Q9" i="24"/>
  <c r="P9" i="24"/>
  <c r="O9" i="24"/>
  <c r="I9" i="24"/>
  <c r="T9" i="24" s="1"/>
  <c r="H9" i="24"/>
  <c r="D9" i="24"/>
  <c r="C9" i="24"/>
  <c r="A9" i="24"/>
  <c r="X8" i="24"/>
  <c r="Q8" i="24"/>
  <c r="P8" i="24"/>
  <c r="O8" i="24"/>
  <c r="I8" i="24"/>
  <c r="H8" i="24"/>
  <c r="D8" i="24"/>
  <c r="C8" i="24"/>
  <c r="A8" i="24"/>
  <c r="X7" i="24"/>
  <c r="Q7" i="24"/>
  <c r="P7" i="24"/>
  <c r="O7" i="24"/>
  <c r="I7" i="24"/>
  <c r="H7" i="24"/>
  <c r="D7" i="24"/>
  <c r="C7" i="24"/>
  <c r="A7" i="24"/>
  <c r="X6" i="24"/>
  <c r="Q6" i="24"/>
  <c r="P6" i="24"/>
  <c r="O6" i="24"/>
  <c r="I6" i="24"/>
  <c r="H6" i="24"/>
  <c r="D6" i="24"/>
  <c r="C6" i="24"/>
  <c r="A6" i="24"/>
  <c r="X5" i="24"/>
  <c r="Q5" i="24"/>
  <c r="P5" i="24"/>
  <c r="O5" i="24"/>
  <c r="I5" i="24"/>
  <c r="H5" i="24"/>
  <c r="D5" i="24"/>
  <c r="C5" i="24"/>
  <c r="A5" i="24"/>
  <c r="X4" i="24"/>
  <c r="Q4" i="24"/>
  <c r="P4" i="24"/>
  <c r="O4" i="24"/>
  <c r="I4" i="24"/>
  <c r="H4" i="24"/>
  <c r="D4" i="24"/>
  <c r="C4" i="24"/>
  <c r="A4" i="24"/>
  <c r="X3" i="24"/>
  <c r="Q3" i="24"/>
  <c r="P3" i="24"/>
  <c r="O3" i="24"/>
  <c r="H3" i="24"/>
  <c r="D3" i="24"/>
  <c r="C3" i="24"/>
  <c r="A3" i="24"/>
  <c r="X2" i="24"/>
  <c r="Q2" i="24"/>
  <c r="P2" i="24"/>
  <c r="O2" i="24"/>
  <c r="H2" i="24"/>
  <c r="D2" i="24"/>
  <c r="C2" i="24"/>
  <c r="D2" i="29"/>
  <c r="C2" i="29"/>
  <c r="D4" i="31" l="1"/>
  <c r="G4" i="31"/>
  <c r="H4" i="31" s="1"/>
  <c r="B5" i="31"/>
  <c r="D5" i="30"/>
  <c r="G5" i="30"/>
  <c r="H5" i="30" s="1"/>
  <c r="C5" i="30"/>
  <c r="B6" i="30"/>
  <c r="D4" i="30"/>
  <c r="G4" i="30"/>
  <c r="H4" i="30" s="1"/>
  <c r="C4" i="30"/>
  <c r="T8" i="24"/>
  <c r="B7" i="7"/>
  <c r="B6" i="7" s="1"/>
  <c r="T2" i="24"/>
  <c r="T3" i="24"/>
  <c r="T4" i="24"/>
  <c r="T5" i="24"/>
  <c r="T6" i="24"/>
  <c r="T7" i="24"/>
  <c r="T11" i="24"/>
  <c r="T12" i="24"/>
  <c r="T13" i="24"/>
  <c r="T14" i="24"/>
  <c r="T15" i="24"/>
  <c r="T10" i="24"/>
  <c r="C5" i="32"/>
  <c r="G5" i="32"/>
  <c r="H5" i="32" s="1"/>
  <c r="B6" i="32"/>
  <c r="D5" i="32"/>
  <c r="B4" i="8"/>
  <c r="B4" i="7"/>
  <c r="A10" i="7"/>
  <c r="K10" i="7" l="1"/>
  <c r="I10" i="7"/>
  <c r="G5" i="31"/>
  <c r="H5" i="31" s="1"/>
  <c r="D5" i="31"/>
  <c r="C5" i="31"/>
  <c r="B6" i="31"/>
  <c r="B7" i="30"/>
  <c r="G6" i="30"/>
  <c r="H6" i="30" s="1"/>
  <c r="D6" i="30"/>
  <c r="C6" i="30"/>
  <c r="G6" i="32"/>
  <c r="H6" i="32" s="1"/>
  <c r="B7" i="32"/>
  <c r="D6" i="32"/>
  <c r="C6" i="32"/>
  <c r="G6" i="31" l="1"/>
  <c r="H6" i="31" s="1"/>
  <c r="D6" i="31"/>
  <c r="C6" i="31"/>
  <c r="B7" i="31"/>
  <c r="C7" i="30"/>
  <c r="B8" i="30"/>
  <c r="D7" i="30"/>
  <c r="G7" i="30"/>
  <c r="H7" i="30" s="1"/>
  <c r="C7" i="32"/>
  <c r="G7" i="32"/>
  <c r="H7" i="32" s="1"/>
  <c r="B8" i="32"/>
  <c r="D7" i="32"/>
  <c r="B8" i="31" l="1"/>
  <c r="G7" i="31"/>
  <c r="H7" i="31" s="1"/>
  <c r="C7" i="31"/>
  <c r="D7" i="31"/>
  <c r="G8" i="30"/>
  <c r="H8" i="30" s="1"/>
  <c r="D8" i="30"/>
  <c r="B9" i="30"/>
  <c r="C8" i="30"/>
  <c r="G8" i="32"/>
  <c r="H8" i="32" s="1"/>
  <c r="B9" i="32"/>
  <c r="D8" i="32"/>
  <c r="C8" i="32"/>
  <c r="C8" i="31" l="1"/>
  <c r="B9" i="31"/>
  <c r="G8" i="31"/>
  <c r="H8" i="31" s="1"/>
  <c r="D8" i="31"/>
  <c r="B10" i="30"/>
  <c r="G9" i="30"/>
  <c r="H9" i="30" s="1"/>
  <c r="D9" i="30"/>
  <c r="C9" i="30"/>
  <c r="C9" i="32"/>
  <c r="G9" i="32"/>
  <c r="H9" i="32" s="1"/>
  <c r="B10" i="32"/>
  <c r="D9" i="32"/>
  <c r="B10" i="7"/>
  <c r="G9" i="31" l="1"/>
  <c r="H9" i="31" s="1"/>
  <c r="D9" i="31"/>
  <c r="C9" i="31"/>
  <c r="B10" i="31"/>
  <c r="C10" i="30"/>
  <c r="D10" i="30"/>
  <c r="G10" i="30"/>
  <c r="H10" i="30" s="1"/>
  <c r="B11" i="30"/>
  <c r="G10" i="32"/>
  <c r="H10" i="32" s="1"/>
  <c r="B11" i="32"/>
  <c r="D10" i="32"/>
  <c r="C10" i="32"/>
  <c r="G10" i="31" l="1"/>
  <c r="H10" i="31" s="1"/>
  <c r="D10" i="31"/>
  <c r="C10" i="31"/>
  <c r="B11" i="31"/>
  <c r="G11" i="30"/>
  <c r="H11" i="30" s="1"/>
  <c r="D11" i="30"/>
  <c r="B12" i="30"/>
  <c r="C11" i="30"/>
  <c r="C11" i="32"/>
  <c r="G11" i="32"/>
  <c r="H11" i="32" s="1"/>
  <c r="B12" i="32"/>
  <c r="D11" i="32"/>
  <c r="D11" i="31" l="1"/>
  <c r="B12" i="31"/>
  <c r="G11" i="31"/>
  <c r="H11" i="31" s="1"/>
  <c r="C11" i="31"/>
  <c r="C12" i="30"/>
  <c r="B13" i="30"/>
  <c r="G12" i="30"/>
  <c r="H12" i="30" s="1"/>
  <c r="D12" i="30"/>
  <c r="G12" i="32"/>
  <c r="H12" i="32" s="1"/>
  <c r="B13" i="32"/>
  <c r="D12" i="32"/>
  <c r="C12" i="32"/>
  <c r="C12" i="31" l="1"/>
  <c r="B13" i="31"/>
  <c r="G12" i="31"/>
  <c r="H12" i="31" s="1"/>
  <c r="D12" i="31"/>
  <c r="D13" i="30"/>
  <c r="G13" i="30"/>
  <c r="H13" i="30" s="1"/>
  <c r="C13" i="30"/>
  <c r="B14" i="30"/>
  <c r="C13" i="32"/>
  <c r="G13" i="32"/>
  <c r="H13" i="32" s="1"/>
  <c r="B14" i="32"/>
  <c r="D13" i="32"/>
  <c r="G13" i="31" l="1"/>
  <c r="H13" i="31" s="1"/>
  <c r="D13" i="31"/>
  <c r="C13" i="31"/>
  <c r="B14" i="31"/>
  <c r="B15" i="30"/>
  <c r="G14" i="30"/>
  <c r="H14" i="30" s="1"/>
  <c r="D14" i="30"/>
  <c r="C14" i="30"/>
  <c r="G14" i="32"/>
  <c r="H14" i="32" s="1"/>
  <c r="B15" i="32"/>
  <c r="D14" i="32"/>
  <c r="C14" i="32"/>
  <c r="G14" i="31" l="1"/>
  <c r="H14" i="31" s="1"/>
  <c r="D14" i="31"/>
  <c r="C14" i="31"/>
  <c r="B15" i="31"/>
  <c r="B16" i="30"/>
  <c r="D15" i="30"/>
  <c r="C15" i="30"/>
  <c r="G15" i="30"/>
  <c r="H15" i="30" s="1"/>
  <c r="C15" i="32"/>
  <c r="G15" i="32"/>
  <c r="H15" i="32" s="1"/>
  <c r="B16" i="32"/>
  <c r="D15" i="32"/>
  <c r="B16" i="31" l="1"/>
  <c r="G15" i="31"/>
  <c r="H15" i="31" s="1"/>
  <c r="C15" i="31"/>
  <c r="D15" i="31"/>
  <c r="G16" i="30"/>
  <c r="H16" i="30" s="1"/>
  <c r="B17" i="30"/>
  <c r="D16" i="30"/>
  <c r="C16" i="30"/>
  <c r="G16" i="32"/>
  <c r="H16" i="32" s="1"/>
  <c r="B17" i="32"/>
  <c r="D16" i="32"/>
  <c r="C16" i="32"/>
  <c r="C16" i="31" l="1"/>
  <c r="B17" i="31"/>
  <c r="G16" i="31"/>
  <c r="H16" i="31" s="1"/>
  <c r="D16" i="31"/>
  <c r="B18" i="30"/>
  <c r="G17" i="30"/>
  <c r="H17" i="30" s="1"/>
  <c r="D17" i="30"/>
  <c r="C17" i="30"/>
  <c r="C17" i="32"/>
  <c r="G17" i="32"/>
  <c r="H17" i="32" s="1"/>
  <c r="B18" i="32"/>
  <c r="D17" i="32"/>
  <c r="G17" i="31" l="1"/>
  <c r="H17" i="31" s="1"/>
  <c r="D17" i="31"/>
  <c r="C17" i="31"/>
  <c r="B18" i="31"/>
  <c r="C18" i="30"/>
  <c r="D18" i="30"/>
  <c r="B19" i="30"/>
  <c r="G18" i="30"/>
  <c r="H18" i="30" s="1"/>
  <c r="G18" i="32"/>
  <c r="H18" i="32" s="1"/>
  <c r="B19" i="32"/>
  <c r="D18" i="32"/>
  <c r="C18" i="32"/>
  <c r="G18" i="31" l="1"/>
  <c r="H18" i="31" s="1"/>
  <c r="D18" i="31"/>
  <c r="C18" i="31"/>
  <c r="B19" i="31"/>
  <c r="D19" i="30"/>
  <c r="G19" i="30"/>
  <c r="H19" i="30" s="1"/>
  <c r="C19" i="30"/>
  <c r="B20" i="30"/>
  <c r="C19" i="32"/>
  <c r="G19" i="32"/>
  <c r="H19" i="32" s="1"/>
  <c r="B20" i="32"/>
  <c r="D19" i="32"/>
  <c r="D19" i="31" l="1"/>
  <c r="B20" i="31"/>
  <c r="G19" i="31"/>
  <c r="H19" i="31" s="1"/>
  <c r="C19" i="31"/>
  <c r="B21" i="30"/>
  <c r="G20" i="30"/>
  <c r="H20" i="30" s="1"/>
  <c r="C20" i="30"/>
  <c r="D20" i="30"/>
  <c r="G20" i="32"/>
  <c r="H20" i="32" s="1"/>
  <c r="B21" i="32"/>
  <c r="D20" i="32"/>
  <c r="C20" i="32"/>
  <c r="C20" i="31" l="1"/>
  <c r="B21" i="31"/>
  <c r="G20" i="31"/>
  <c r="H20" i="31" s="1"/>
  <c r="D20" i="31"/>
  <c r="B22" i="30"/>
  <c r="G21" i="30"/>
  <c r="H21" i="30" s="1"/>
  <c r="D21" i="30"/>
  <c r="C21" i="30"/>
  <c r="C21" i="32"/>
  <c r="G21" i="32"/>
  <c r="H21" i="32" s="1"/>
  <c r="B22" i="32"/>
  <c r="D21" i="32"/>
  <c r="G21" i="31" l="1"/>
  <c r="H21" i="31" s="1"/>
  <c r="D21" i="31"/>
  <c r="C21" i="31"/>
  <c r="B22" i="31"/>
  <c r="G22" i="30"/>
  <c r="H22" i="30" s="1"/>
  <c r="C22" i="30"/>
  <c r="D22" i="30"/>
  <c r="B23" i="30"/>
  <c r="G22" i="32"/>
  <c r="H22" i="32" s="1"/>
  <c r="B23" i="32"/>
  <c r="D22" i="32"/>
  <c r="C22" i="32"/>
  <c r="G22" i="31" l="1"/>
  <c r="H22" i="31" s="1"/>
  <c r="D22" i="31"/>
  <c r="C22" i="31"/>
  <c r="B23" i="31"/>
  <c r="B24" i="30"/>
  <c r="G23" i="30"/>
  <c r="H23" i="30" s="1"/>
  <c r="D23" i="30"/>
  <c r="C23" i="30"/>
  <c r="C23" i="32"/>
  <c r="G23" i="32"/>
  <c r="H23" i="32" s="1"/>
  <c r="B24" i="32"/>
  <c r="D23" i="32"/>
  <c r="B24" i="31" l="1"/>
  <c r="D23" i="31"/>
  <c r="G23" i="31"/>
  <c r="H23" i="31" s="1"/>
  <c r="C23" i="31"/>
  <c r="B25" i="30"/>
  <c r="D24" i="30"/>
  <c r="C24" i="30"/>
  <c r="G24" i="30"/>
  <c r="H24" i="30" s="1"/>
  <c r="G24" i="32"/>
  <c r="H24" i="32" s="1"/>
  <c r="D24" i="32"/>
  <c r="B25" i="32"/>
  <c r="C24" i="32"/>
  <c r="C24" i="31" l="1"/>
  <c r="B25" i="31"/>
  <c r="G24" i="31"/>
  <c r="H24" i="31" s="1"/>
  <c r="D24" i="31"/>
  <c r="G25" i="30"/>
  <c r="H25" i="30" s="1"/>
  <c r="C25" i="30"/>
  <c r="B26" i="30"/>
  <c r="D25" i="30"/>
  <c r="B26" i="32"/>
  <c r="D25" i="32"/>
  <c r="G25" i="32"/>
  <c r="H25" i="32" s="1"/>
  <c r="C25" i="32"/>
  <c r="G25" i="31" l="1"/>
  <c r="H25" i="31" s="1"/>
  <c r="D25" i="31"/>
  <c r="C25" i="31"/>
  <c r="B26" i="31"/>
  <c r="B27" i="30"/>
  <c r="G26" i="30"/>
  <c r="H26" i="30" s="1"/>
  <c r="D26" i="30"/>
  <c r="C26" i="30"/>
  <c r="D26" i="32"/>
  <c r="B27" i="32"/>
  <c r="C26" i="32"/>
  <c r="G26" i="32"/>
  <c r="H26" i="32" s="1"/>
  <c r="G26" i="31" l="1"/>
  <c r="H26" i="31" s="1"/>
  <c r="D26" i="31"/>
  <c r="C26" i="31"/>
  <c r="B27" i="31"/>
  <c r="B28" i="30"/>
  <c r="D27" i="30"/>
  <c r="C27" i="30"/>
  <c r="G27" i="30"/>
  <c r="H27" i="30" s="1"/>
  <c r="B28" i="32"/>
  <c r="D27" i="32"/>
  <c r="C27" i="32"/>
  <c r="G27" i="32"/>
  <c r="H27" i="32" s="1"/>
  <c r="B28" i="31" l="1"/>
  <c r="G27" i="31"/>
  <c r="H27" i="31" s="1"/>
  <c r="C27" i="31"/>
  <c r="D27" i="31"/>
  <c r="G28" i="30"/>
  <c r="H28" i="30" s="1"/>
  <c r="C28" i="30"/>
  <c r="B29" i="30"/>
  <c r="D28" i="30"/>
  <c r="B29" i="32"/>
  <c r="C28" i="32"/>
  <c r="G28" i="32"/>
  <c r="H28" i="32" s="1"/>
  <c r="D28" i="32"/>
  <c r="C28" i="31" l="1"/>
  <c r="B29" i="31"/>
  <c r="G28" i="31"/>
  <c r="H28" i="31" s="1"/>
  <c r="D28" i="31"/>
  <c r="G29" i="30"/>
  <c r="H29" i="30" s="1"/>
  <c r="C29" i="30"/>
  <c r="D29" i="30"/>
  <c r="B30" i="30"/>
  <c r="B30" i="32"/>
  <c r="D29" i="32"/>
  <c r="G29" i="32"/>
  <c r="H29" i="32" s="1"/>
  <c r="C29" i="32"/>
  <c r="G29" i="31" l="1"/>
  <c r="H29" i="31" s="1"/>
  <c r="D29" i="31"/>
  <c r="C29" i="31"/>
  <c r="B30" i="31"/>
  <c r="C30" i="30"/>
  <c r="B31" i="30"/>
  <c r="G30" i="30"/>
  <c r="H30" i="30" s="1"/>
  <c r="D30" i="30"/>
  <c r="G30" i="32"/>
  <c r="H30" i="32" s="1"/>
  <c r="D30" i="32"/>
  <c r="B31" i="32"/>
  <c r="C30" i="32"/>
  <c r="G30" i="31" l="1"/>
  <c r="H30" i="31" s="1"/>
  <c r="D30" i="31"/>
  <c r="C30" i="31"/>
  <c r="B31" i="31"/>
  <c r="C31" i="31" s="1"/>
  <c r="G31" i="30"/>
  <c r="H31" i="30" s="1"/>
  <c r="D31" i="30"/>
  <c r="C31" i="30"/>
  <c r="B32" i="30"/>
  <c r="B32" i="32"/>
  <c r="D31" i="32"/>
  <c r="G31" i="32"/>
  <c r="H31" i="32" s="1"/>
  <c r="C31" i="32"/>
  <c r="B32" i="31" l="1"/>
  <c r="G31" i="31"/>
  <c r="H31" i="31" s="1"/>
  <c r="D31" i="31"/>
  <c r="B33" i="30"/>
  <c r="G32" i="30"/>
  <c r="H32" i="30" s="1"/>
  <c r="C32" i="30"/>
  <c r="D32" i="30"/>
  <c r="G32" i="32"/>
  <c r="H32" i="32" s="1"/>
  <c r="D32" i="32"/>
  <c r="B33" i="32"/>
  <c r="C32" i="32"/>
  <c r="C32" i="31" l="1"/>
  <c r="B33" i="31"/>
  <c r="G32" i="31"/>
  <c r="H32" i="31" s="1"/>
  <c r="D32" i="31"/>
  <c r="C33" i="30"/>
  <c r="B34" i="30"/>
  <c r="G33" i="30"/>
  <c r="H33" i="30" s="1"/>
  <c r="D33" i="30"/>
  <c r="B34" i="32"/>
  <c r="D33" i="32"/>
  <c r="G33" i="32"/>
  <c r="H33" i="32" s="1"/>
  <c r="C33" i="32"/>
  <c r="G33" i="31" l="1"/>
  <c r="H33" i="31" s="1"/>
  <c r="D33" i="31"/>
  <c r="C33" i="31"/>
  <c r="B34" i="31"/>
  <c r="G34" i="30"/>
  <c r="H34" i="30" s="1"/>
  <c r="D34" i="30"/>
  <c r="C34" i="30"/>
  <c r="B35" i="30"/>
  <c r="D34" i="32"/>
  <c r="B35" i="32"/>
  <c r="C34" i="32"/>
  <c r="G34" i="32"/>
  <c r="H34" i="32" s="1"/>
  <c r="G34" i="31" l="1"/>
  <c r="H34" i="31" s="1"/>
  <c r="D34" i="31"/>
  <c r="C34" i="31"/>
  <c r="B35" i="31"/>
  <c r="B36" i="30"/>
  <c r="G35" i="30"/>
  <c r="H35" i="30" s="1"/>
  <c r="D35" i="30"/>
  <c r="C35" i="30"/>
  <c r="B36" i="32"/>
  <c r="D35" i="32"/>
  <c r="C35" i="32"/>
  <c r="G35" i="32"/>
  <c r="H35" i="32" s="1"/>
  <c r="B36" i="31" l="1"/>
  <c r="G35" i="31"/>
  <c r="H35" i="31" s="1"/>
  <c r="C35" i="31"/>
  <c r="D35" i="31"/>
  <c r="D36" i="30"/>
  <c r="C36" i="30"/>
  <c r="B37" i="30"/>
  <c r="G36" i="30"/>
  <c r="H36" i="30" s="1"/>
  <c r="C36" i="32"/>
  <c r="D36" i="32"/>
  <c r="B37" i="32"/>
  <c r="G36" i="32"/>
  <c r="H36" i="32" s="1"/>
  <c r="C36" i="31" l="1"/>
  <c r="B37" i="31"/>
  <c r="G36" i="31"/>
  <c r="H36" i="31" s="1"/>
  <c r="D36" i="31"/>
  <c r="B38" i="30"/>
  <c r="G37" i="30"/>
  <c r="H37" i="30" s="1"/>
  <c r="D37" i="30"/>
  <c r="C37" i="30"/>
  <c r="G37" i="32"/>
  <c r="H37" i="32" s="1"/>
  <c r="B38" i="32"/>
  <c r="D37" i="32"/>
  <c r="C37" i="32"/>
  <c r="G37" i="31" l="1"/>
  <c r="H37" i="31" s="1"/>
  <c r="D37" i="31"/>
  <c r="C37" i="31"/>
  <c r="B38" i="31"/>
  <c r="B39" i="30"/>
  <c r="G38" i="30"/>
  <c r="H38" i="30" s="1"/>
  <c r="C38" i="30"/>
  <c r="D38" i="30"/>
  <c r="C38" i="32"/>
  <c r="G38" i="32"/>
  <c r="H38" i="32" s="1"/>
  <c r="B39" i="32"/>
  <c r="D38" i="32"/>
  <c r="G38" i="31" l="1"/>
  <c r="H38" i="31" s="1"/>
  <c r="D38" i="31"/>
  <c r="C38" i="31"/>
  <c r="B39" i="31"/>
  <c r="D39" i="30"/>
  <c r="C39" i="30"/>
  <c r="B40" i="30"/>
  <c r="G39" i="30"/>
  <c r="H39" i="30" s="1"/>
  <c r="G39" i="32"/>
  <c r="H39" i="32" s="1"/>
  <c r="B40" i="32"/>
  <c r="D39" i="32"/>
  <c r="C39" i="32"/>
  <c r="B40" i="31" l="1"/>
  <c r="D39" i="31"/>
  <c r="G39" i="31"/>
  <c r="H39" i="31" s="1"/>
  <c r="C39" i="31"/>
  <c r="B41" i="30"/>
  <c r="G40" i="30"/>
  <c r="H40" i="30" s="1"/>
  <c r="D40" i="30"/>
  <c r="C40" i="30"/>
  <c r="C40" i="32"/>
  <c r="G40" i="32"/>
  <c r="H40" i="32" s="1"/>
  <c r="D40" i="32"/>
  <c r="B41" i="32"/>
  <c r="C40" i="31" l="1"/>
  <c r="B41" i="31"/>
  <c r="G40" i="31"/>
  <c r="H40" i="31" s="1"/>
  <c r="D40" i="31"/>
  <c r="B42" i="30"/>
  <c r="C41" i="30"/>
  <c r="G41" i="30"/>
  <c r="H41" i="30" s="1"/>
  <c r="D41" i="30"/>
  <c r="G41" i="32"/>
  <c r="H41" i="32" s="1"/>
  <c r="B42" i="32"/>
  <c r="D41" i="32"/>
  <c r="C41" i="32"/>
  <c r="G41" i="31" l="1"/>
  <c r="H41" i="31" s="1"/>
  <c r="D41" i="31"/>
  <c r="C41" i="31"/>
  <c r="B42" i="31"/>
  <c r="G42" i="30"/>
  <c r="H42" i="30" s="1"/>
  <c r="D42" i="30"/>
  <c r="C42" i="30"/>
  <c r="B43" i="30"/>
  <c r="C42" i="32"/>
  <c r="G42" i="32"/>
  <c r="H42" i="32" s="1"/>
  <c r="D42" i="32"/>
  <c r="B43" i="32"/>
  <c r="G42" i="31" l="1"/>
  <c r="H42" i="31" s="1"/>
  <c r="D42" i="31"/>
  <c r="C42" i="31"/>
  <c r="B43" i="31"/>
  <c r="B44" i="30"/>
  <c r="G43" i="30"/>
  <c r="H43" i="30" s="1"/>
  <c r="D43" i="30"/>
  <c r="C43" i="30"/>
  <c r="G43" i="32"/>
  <c r="H43" i="32" s="1"/>
  <c r="B44" i="32"/>
  <c r="D43" i="32"/>
  <c r="C43" i="32"/>
  <c r="D43" i="31" l="1"/>
  <c r="B44" i="31"/>
  <c r="G43" i="31"/>
  <c r="H43" i="31" s="1"/>
  <c r="C43" i="31"/>
  <c r="B45" i="30"/>
  <c r="C44" i="30"/>
  <c r="G44" i="30"/>
  <c r="H44" i="30" s="1"/>
  <c r="D44" i="30"/>
  <c r="C44" i="32"/>
  <c r="G44" i="32"/>
  <c r="H44" i="32" s="1"/>
  <c r="B45" i="32"/>
  <c r="D44" i="32"/>
  <c r="C44" i="31" l="1"/>
  <c r="B45" i="31"/>
  <c r="G44" i="31"/>
  <c r="H44" i="31" s="1"/>
  <c r="D44" i="31"/>
  <c r="G45" i="30"/>
  <c r="H45" i="30" s="1"/>
  <c r="D45" i="30"/>
  <c r="C45" i="30"/>
  <c r="B46" i="30"/>
  <c r="G45" i="32"/>
  <c r="H45" i="32" s="1"/>
  <c r="B46" i="32"/>
  <c r="D45" i="32"/>
  <c r="C45" i="32"/>
  <c r="G45" i="31" l="1"/>
  <c r="H45" i="31" s="1"/>
  <c r="B46" i="31"/>
  <c r="D45" i="31"/>
  <c r="C45" i="31"/>
  <c r="B47" i="30"/>
  <c r="G46" i="30"/>
  <c r="H46" i="30" s="1"/>
  <c r="D46" i="30"/>
  <c r="C46" i="30"/>
  <c r="C46" i="32"/>
  <c r="G46" i="32"/>
  <c r="H46" i="32" s="1"/>
  <c r="B47" i="32"/>
  <c r="D46" i="32"/>
  <c r="G46" i="31" l="1"/>
  <c r="H46" i="31" s="1"/>
  <c r="D46" i="31"/>
  <c r="C46" i="31"/>
  <c r="B47" i="31"/>
  <c r="B48" i="30"/>
  <c r="G47" i="30"/>
  <c r="H47" i="30" s="1"/>
  <c r="D47" i="30"/>
  <c r="C47" i="30"/>
  <c r="G47" i="32"/>
  <c r="H47" i="32" s="1"/>
  <c r="B48" i="32"/>
  <c r="D47" i="32"/>
  <c r="C47" i="32"/>
  <c r="B48" i="31" l="1"/>
  <c r="G47" i="31"/>
  <c r="H47" i="31" s="1"/>
  <c r="C47" i="31"/>
  <c r="D47" i="31"/>
  <c r="G48" i="30"/>
  <c r="H48" i="30" s="1"/>
  <c r="D48" i="30"/>
  <c r="C48" i="30"/>
  <c r="B49" i="30"/>
  <c r="C48" i="32"/>
  <c r="G48" i="32"/>
  <c r="H48" i="32" s="1"/>
  <c r="D48" i="32"/>
  <c r="B49" i="32"/>
  <c r="C48" i="31" l="1"/>
  <c r="B49" i="31"/>
  <c r="G48" i="31"/>
  <c r="H48" i="31" s="1"/>
  <c r="D48" i="31"/>
  <c r="B50" i="30"/>
  <c r="G49" i="30"/>
  <c r="H49" i="30" s="1"/>
  <c r="D49" i="30"/>
  <c r="C49" i="30"/>
  <c r="G49" i="32"/>
  <c r="H49" i="32" s="1"/>
  <c r="B50" i="32"/>
  <c r="D49" i="32"/>
  <c r="C49" i="32"/>
  <c r="G49" i="31" l="1"/>
  <c r="H49" i="31" s="1"/>
  <c r="D49" i="31"/>
  <c r="C49" i="31"/>
  <c r="B50" i="31"/>
  <c r="C50" i="30"/>
  <c r="B51" i="30"/>
  <c r="D50" i="30"/>
  <c r="G50" i="30"/>
  <c r="H50" i="30" s="1"/>
  <c r="C50" i="32"/>
  <c r="G50" i="32"/>
  <c r="H50" i="32" s="1"/>
  <c r="D50" i="32"/>
  <c r="B51" i="32"/>
  <c r="G50" i="31" l="1"/>
  <c r="H50" i="31" s="1"/>
  <c r="D50" i="31"/>
  <c r="C50" i="31"/>
  <c r="B51" i="31"/>
  <c r="G51" i="30"/>
  <c r="H51" i="30" s="1"/>
  <c r="D51" i="30"/>
  <c r="C51" i="30"/>
  <c r="B52" i="30"/>
  <c r="G51" i="32"/>
  <c r="H51" i="32" s="1"/>
  <c r="B52" i="32"/>
  <c r="D51" i="32"/>
  <c r="C51" i="32"/>
  <c r="B52" i="31" l="1"/>
  <c r="G51" i="31"/>
  <c r="H51" i="31" s="1"/>
  <c r="D51" i="31"/>
  <c r="C51" i="31"/>
  <c r="B53" i="30"/>
  <c r="G52" i="30"/>
  <c r="H52" i="30" s="1"/>
  <c r="D52" i="30"/>
  <c r="C52" i="30"/>
  <c r="C52" i="32"/>
  <c r="G52" i="32"/>
  <c r="H52" i="32" s="1"/>
  <c r="B53" i="32"/>
  <c r="D52" i="32"/>
  <c r="C52" i="31" l="1"/>
  <c r="B53" i="31"/>
  <c r="G52" i="31"/>
  <c r="H52" i="31" s="1"/>
  <c r="D52" i="31"/>
  <c r="C53" i="30"/>
  <c r="B54" i="30"/>
  <c r="D53" i="30"/>
  <c r="G53" i="30"/>
  <c r="H53" i="30" s="1"/>
  <c r="G53" i="32"/>
  <c r="H53" i="32" s="1"/>
  <c r="B54" i="32"/>
  <c r="D53" i="32"/>
  <c r="C53" i="32"/>
  <c r="G53" i="31" l="1"/>
  <c r="H53" i="31" s="1"/>
  <c r="D53" i="31"/>
  <c r="C53" i="31"/>
  <c r="B54" i="31"/>
  <c r="G54" i="30"/>
  <c r="H54" i="30" s="1"/>
  <c r="D54" i="30"/>
  <c r="C54" i="30"/>
  <c r="B55" i="30"/>
  <c r="C54" i="32"/>
  <c r="G54" i="32"/>
  <c r="H54" i="32" s="1"/>
  <c r="B55" i="32"/>
  <c r="D54" i="32"/>
  <c r="G54" i="31" l="1"/>
  <c r="H54" i="31" s="1"/>
  <c r="D54" i="31"/>
  <c r="C54" i="31"/>
  <c r="B55" i="31"/>
  <c r="B56" i="30"/>
  <c r="G55" i="30"/>
  <c r="H55" i="30" s="1"/>
  <c r="D55" i="30"/>
  <c r="C55" i="30"/>
  <c r="G55" i="32"/>
  <c r="H55" i="32" s="1"/>
  <c r="B56" i="32"/>
  <c r="D55" i="32"/>
  <c r="C55" i="32"/>
  <c r="B56" i="31" l="1"/>
  <c r="G55" i="31"/>
  <c r="H55" i="31" s="1"/>
  <c r="C55" i="31"/>
  <c r="D55" i="31"/>
  <c r="C56" i="30"/>
  <c r="B57" i="30"/>
  <c r="D56" i="30"/>
  <c r="G56" i="30"/>
  <c r="H56" i="30" s="1"/>
  <c r="C56" i="32"/>
  <c r="G56" i="32"/>
  <c r="H56" i="32" s="1"/>
  <c r="D56" i="32"/>
  <c r="B57" i="32"/>
  <c r="C56" i="31" l="1"/>
  <c r="B57" i="31"/>
  <c r="G56" i="31"/>
  <c r="H56" i="31" s="1"/>
  <c r="D56" i="31"/>
  <c r="G57" i="30"/>
  <c r="H57" i="30" s="1"/>
  <c r="D57" i="30"/>
  <c r="C57" i="30"/>
  <c r="B58" i="30"/>
  <c r="G57" i="32"/>
  <c r="H57" i="32" s="1"/>
  <c r="B58" i="32"/>
  <c r="D57" i="32"/>
  <c r="C57" i="32"/>
  <c r="G57" i="31" l="1"/>
  <c r="H57" i="31" s="1"/>
  <c r="D57" i="31"/>
  <c r="C57" i="31"/>
  <c r="B58" i="31"/>
  <c r="B59" i="30"/>
  <c r="G58" i="30"/>
  <c r="H58" i="30" s="1"/>
  <c r="D58" i="30"/>
  <c r="C58" i="30"/>
  <c r="C58" i="32"/>
  <c r="G58" i="32"/>
  <c r="H58" i="32" s="1"/>
  <c r="D58" i="32"/>
  <c r="B59" i="32"/>
  <c r="G58" i="31" l="1"/>
  <c r="H58" i="31" s="1"/>
  <c r="D58" i="31"/>
  <c r="C58" i="31"/>
  <c r="B59" i="31"/>
  <c r="C59" i="30"/>
  <c r="B60" i="30"/>
  <c r="D59" i="30"/>
  <c r="G59" i="30"/>
  <c r="H59" i="30" s="1"/>
  <c r="G59" i="32"/>
  <c r="H59" i="32" s="1"/>
  <c r="B60" i="32"/>
  <c r="D59" i="32"/>
  <c r="C59" i="32"/>
  <c r="D59" i="31" l="1"/>
  <c r="B60" i="31"/>
  <c r="G59" i="31"/>
  <c r="H59" i="31" s="1"/>
  <c r="C59" i="31"/>
  <c r="G60" i="30"/>
  <c r="H60" i="30" s="1"/>
  <c r="D60" i="30"/>
  <c r="C60" i="30"/>
  <c r="B61" i="30"/>
  <c r="C60" i="32"/>
  <c r="G60" i="32"/>
  <c r="H60" i="32" s="1"/>
  <c r="B61" i="32"/>
  <c r="D60" i="32"/>
  <c r="C60" i="31" l="1"/>
  <c r="B61" i="31"/>
  <c r="G60" i="31"/>
  <c r="H60" i="31" s="1"/>
  <c r="D60" i="31"/>
  <c r="B62" i="30"/>
  <c r="G61" i="30"/>
  <c r="H61" i="30" s="1"/>
  <c r="D61" i="30"/>
  <c r="C61" i="30"/>
  <c r="G61" i="32"/>
  <c r="H61" i="32" s="1"/>
  <c r="B62" i="32"/>
  <c r="D61" i="32"/>
  <c r="C61" i="32"/>
  <c r="G61" i="31" l="1"/>
  <c r="H61" i="31" s="1"/>
  <c r="D61" i="31"/>
  <c r="C61" i="31"/>
  <c r="B62" i="31"/>
  <c r="D62" i="30"/>
  <c r="C62" i="30"/>
  <c r="B63" i="30"/>
  <c r="G62" i="30"/>
  <c r="H62" i="30" s="1"/>
  <c r="C62" i="32"/>
  <c r="G62" i="32"/>
  <c r="H62" i="32" s="1"/>
  <c r="B63" i="32"/>
  <c r="D62" i="32"/>
  <c r="G62" i="31" l="1"/>
  <c r="H62" i="31" s="1"/>
  <c r="D62" i="31"/>
  <c r="C62" i="31"/>
  <c r="B63" i="31"/>
  <c r="G63" i="30"/>
  <c r="H63" i="30" s="1"/>
  <c r="D63" i="30"/>
  <c r="C63" i="30"/>
  <c r="B64" i="30"/>
  <c r="G63" i="32"/>
  <c r="H63" i="32" s="1"/>
  <c r="B64" i="32"/>
  <c r="D63" i="32"/>
  <c r="C63" i="32"/>
  <c r="D63" i="31" l="1"/>
  <c r="B64" i="31"/>
  <c r="G63" i="31"/>
  <c r="H63" i="31" s="1"/>
  <c r="C63" i="31"/>
  <c r="B65" i="30"/>
  <c r="G64" i="30"/>
  <c r="H64" i="30" s="1"/>
  <c r="D64" i="30"/>
  <c r="C64" i="30"/>
  <c r="C64" i="32"/>
  <c r="G64" i="32"/>
  <c r="H64" i="32" s="1"/>
  <c r="D64" i="32"/>
  <c r="B65" i="32"/>
  <c r="C64" i="31" l="1"/>
  <c r="B65" i="31"/>
  <c r="G64" i="31"/>
  <c r="H64" i="31" s="1"/>
  <c r="D64" i="31"/>
  <c r="D65" i="30"/>
  <c r="C65" i="30"/>
  <c r="G65" i="30"/>
  <c r="H65" i="30" s="1"/>
  <c r="B66" i="30"/>
  <c r="G65" i="32"/>
  <c r="H65" i="32" s="1"/>
  <c r="B66" i="32"/>
  <c r="D65" i="32"/>
  <c r="C65" i="32"/>
  <c r="G65" i="31" l="1"/>
  <c r="H65" i="31" s="1"/>
  <c r="D65" i="31"/>
  <c r="C65" i="31"/>
  <c r="B66" i="31"/>
  <c r="G66" i="30"/>
  <c r="H66" i="30" s="1"/>
  <c r="D66" i="30"/>
  <c r="C66" i="30"/>
  <c r="B67" i="30"/>
  <c r="C66" i="32"/>
  <c r="G66" i="32"/>
  <c r="H66" i="32" s="1"/>
  <c r="D66" i="32"/>
  <c r="B67" i="32"/>
  <c r="G66" i="31" l="1"/>
  <c r="H66" i="31" s="1"/>
  <c r="D66" i="31"/>
  <c r="C66" i="31"/>
  <c r="B67" i="31"/>
  <c r="B68" i="30"/>
  <c r="G67" i="30"/>
  <c r="H67" i="30" s="1"/>
  <c r="D67" i="30"/>
  <c r="C67" i="30"/>
  <c r="G67" i="32"/>
  <c r="H67" i="32" s="1"/>
  <c r="B68" i="32"/>
  <c r="D67" i="32"/>
  <c r="C67" i="32"/>
  <c r="D67" i="31" l="1"/>
  <c r="B68" i="31"/>
  <c r="G67" i="31"/>
  <c r="H67" i="31" s="1"/>
  <c r="C67" i="31"/>
  <c r="D68" i="30"/>
  <c r="C68" i="30"/>
  <c r="G68" i="30"/>
  <c r="H68" i="30" s="1"/>
  <c r="B69" i="30"/>
  <c r="C68" i="32"/>
  <c r="G68" i="32"/>
  <c r="H68" i="32" s="1"/>
  <c r="B69" i="32"/>
  <c r="D68" i="32"/>
  <c r="C68" i="31" l="1"/>
  <c r="B69" i="31"/>
  <c r="G68" i="31"/>
  <c r="H68" i="31" s="1"/>
  <c r="D68" i="31"/>
  <c r="B70" i="30"/>
  <c r="G69" i="30"/>
  <c r="H69" i="30" s="1"/>
  <c r="D69" i="30"/>
  <c r="C69" i="30"/>
  <c r="G69" i="32"/>
  <c r="H69" i="32" s="1"/>
  <c r="B70" i="32"/>
  <c r="D69" i="32"/>
  <c r="C69" i="32"/>
  <c r="G69" i="31" l="1"/>
  <c r="H69" i="31" s="1"/>
  <c r="D69" i="31"/>
  <c r="C69" i="31"/>
  <c r="B70" i="31"/>
  <c r="B71" i="30"/>
  <c r="G70" i="30"/>
  <c r="H70" i="30" s="1"/>
  <c r="D70" i="30"/>
  <c r="C70" i="30"/>
  <c r="C70" i="32"/>
  <c r="G70" i="32"/>
  <c r="H70" i="32" s="1"/>
  <c r="B71" i="32"/>
  <c r="D70" i="32"/>
  <c r="G70" i="31" l="1"/>
  <c r="H70" i="31" s="1"/>
  <c r="D70" i="31"/>
  <c r="C70" i="31"/>
  <c r="B71" i="31"/>
  <c r="D71" i="30"/>
  <c r="C71" i="30"/>
  <c r="G71" i="30"/>
  <c r="H71" i="30" s="1"/>
  <c r="B72" i="30"/>
  <c r="G71" i="32"/>
  <c r="H71" i="32" s="1"/>
  <c r="B72" i="32"/>
  <c r="D71" i="32"/>
  <c r="C71" i="32"/>
  <c r="G71" i="31" l="1"/>
  <c r="H71" i="31" s="1"/>
  <c r="B72" i="31"/>
  <c r="D71" i="31"/>
  <c r="C71" i="31"/>
  <c r="B73" i="30"/>
  <c r="G72" i="30"/>
  <c r="H72" i="30" s="1"/>
  <c r="D72" i="30"/>
  <c r="C72" i="30"/>
  <c r="C72" i="32"/>
  <c r="G72" i="32"/>
  <c r="H72" i="32" s="1"/>
  <c r="D72" i="32"/>
  <c r="B73" i="32"/>
  <c r="B73" i="31" l="1"/>
  <c r="D72" i="31"/>
  <c r="C72" i="31"/>
  <c r="G72" i="31"/>
  <c r="H72" i="31" s="1"/>
  <c r="B74" i="30"/>
  <c r="G73" i="30"/>
  <c r="H73" i="30" s="1"/>
  <c r="D73" i="30"/>
  <c r="C73" i="30"/>
  <c r="G73" i="32"/>
  <c r="H73" i="32" s="1"/>
  <c r="B74" i="32"/>
  <c r="D73" i="32"/>
  <c r="C73" i="32"/>
  <c r="G73" i="31" l="1"/>
  <c r="H73" i="31" s="1"/>
  <c r="D73" i="31"/>
  <c r="C73" i="31"/>
  <c r="B74" i="31"/>
  <c r="G74" i="30"/>
  <c r="H74" i="30" s="1"/>
  <c r="D74" i="30"/>
  <c r="C74" i="30"/>
  <c r="B75" i="30"/>
  <c r="C74" i="32"/>
  <c r="G74" i="32"/>
  <c r="H74" i="32" s="1"/>
  <c r="D74" i="32"/>
  <c r="B75" i="32"/>
  <c r="C74" i="31" l="1"/>
  <c r="B75" i="31"/>
  <c r="G74" i="31"/>
  <c r="H74" i="31" s="1"/>
  <c r="D74" i="31"/>
  <c r="B76" i="30"/>
  <c r="G75" i="30"/>
  <c r="H75" i="30" s="1"/>
  <c r="D75" i="30"/>
  <c r="C75" i="30"/>
  <c r="G75" i="32"/>
  <c r="H75" i="32" s="1"/>
  <c r="B76" i="32"/>
  <c r="D75" i="32"/>
  <c r="C75" i="32"/>
  <c r="G75" i="31" l="1"/>
  <c r="H75" i="31" s="1"/>
  <c r="C75" i="31"/>
  <c r="B76" i="31"/>
  <c r="D75" i="31"/>
  <c r="B77" i="30"/>
  <c r="G76" i="30"/>
  <c r="H76" i="30" s="1"/>
  <c r="D76" i="30"/>
  <c r="C76" i="30"/>
  <c r="C76" i="32"/>
  <c r="G76" i="32"/>
  <c r="H76" i="32" s="1"/>
  <c r="B77" i="32"/>
  <c r="D76" i="32"/>
  <c r="G76" i="31" l="1"/>
  <c r="H76" i="31" s="1"/>
  <c r="D76" i="31"/>
  <c r="B77" i="31"/>
  <c r="C76" i="31"/>
  <c r="G77" i="30"/>
  <c r="H77" i="30" s="1"/>
  <c r="D77" i="30"/>
  <c r="C77" i="30"/>
  <c r="B78" i="30"/>
  <c r="G77" i="32"/>
  <c r="H77" i="32" s="1"/>
  <c r="B78" i="32"/>
  <c r="D77" i="32"/>
  <c r="C77" i="32"/>
  <c r="C77" i="31" l="1"/>
  <c r="B78" i="31"/>
  <c r="D77" i="31"/>
  <c r="G77" i="31"/>
  <c r="H77" i="31" s="1"/>
  <c r="B79" i="30"/>
  <c r="G78" i="30"/>
  <c r="H78" i="30" s="1"/>
  <c r="D78" i="30"/>
  <c r="C78" i="30"/>
  <c r="C78" i="32"/>
  <c r="G78" i="32"/>
  <c r="H78" i="32" s="1"/>
  <c r="B79" i="32"/>
  <c r="D78" i="32"/>
  <c r="C78" i="31" l="1"/>
  <c r="B79" i="31"/>
  <c r="G78" i="31"/>
  <c r="H78" i="31" s="1"/>
  <c r="D78" i="31"/>
  <c r="B80" i="30"/>
  <c r="G79" i="30"/>
  <c r="H79" i="30" s="1"/>
  <c r="D79" i="30"/>
  <c r="C79" i="30"/>
  <c r="G79" i="32"/>
  <c r="H79" i="32" s="1"/>
  <c r="B80" i="32"/>
  <c r="D79" i="32"/>
  <c r="C79" i="32"/>
  <c r="G79" i="31" l="1"/>
  <c r="H79" i="31" s="1"/>
  <c r="C79" i="31"/>
  <c r="D79" i="31"/>
  <c r="B80" i="31"/>
  <c r="G80" i="30"/>
  <c r="H80" i="30" s="1"/>
  <c r="D80" i="30"/>
  <c r="C80" i="30"/>
  <c r="B81" i="30"/>
  <c r="C80" i="32"/>
  <c r="G80" i="32"/>
  <c r="H80" i="32" s="1"/>
  <c r="D80" i="32"/>
  <c r="B81" i="32"/>
  <c r="G80" i="31" l="1"/>
  <c r="H80" i="31" s="1"/>
  <c r="D80" i="31"/>
  <c r="B81" i="31"/>
  <c r="C80" i="31"/>
  <c r="B82" i="30"/>
  <c r="G81" i="30"/>
  <c r="H81" i="30" s="1"/>
  <c r="D81" i="30"/>
  <c r="C81" i="30"/>
  <c r="G81" i="32"/>
  <c r="H81" i="32" s="1"/>
  <c r="B82" i="32"/>
  <c r="D81" i="32"/>
  <c r="C81" i="32"/>
  <c r="C81" i="31" l="1"/>
  <c r="G81" i="31"/>
  <c r="H81" i="31" s="1"/>
  <c r="D81" i="31"/>
  <c r="B82" i="31"/>
  <c r="C82" i="30"/>
  <c r="B83" i="30"/>
  <c r="G82" i="30"/>
  <c r="H82" i="30" s="1"/>
  <c r="D82" i="30"/>
  <c r="C82" i="32"/>
  <c r="G82" i="32"/>
  <c r="H82" i="32" s="1"/>
  <c r="D82" i="32"/>
  <c r="B83" i="32"/>
  <c r="C82" i="31" l="1"/>
  <c r="B83" i="31"/>
  <c r="G82" i="31"/>
  <c r="H82" i="31" s="1"/>
  <c r="D82" i="31"/>
  <c r="G83" i="30"/>
  <c r="H83" i="30" s="1"/>
  <c r="D83" i="30"/>
  <c r="C83" i="30"/>
  <c r="B84" i="30"/>
  <c r="G83" i="32"/>
  <c r="H83" i="32" s="1"/>
  <c r="B84" i="32"/>
  <c r="D83" i="32"/>
  <c r="C83" i="32"/>
  <c r="G83" i="31" l="1"/>
  <c r="H83" i="31" s="1"/>
  <c r="C83" i="31"/>
  <c r="B84" i="31"/>
  <c r="D83" i="31"/>
  <c r="B85" i="30"/>
  <c r="G84" i="30"/>
  <c r="H84" i="30" s="1"/>
  <c r="C84" i="30"/>
  <c r="D84" i="30"/>
  <c r="C84" i="32"/>
  <c r="G84" i="32"/>
  <c r="H84" i="32" s="1"/>
  <c r="B85" i="32"/>
  <c r="D84" i="32"/>
  <c r="G84" i="31" l="1"/>
  <c r="H84" i="31" s="1"/>
  <c r="D84" i="31"/>
  <c r="B85" i="31"/>
  <c r="C84" i="31"/>
  <c r="D85" i="30"/>
  <c r="C85" i="30"/>
  <c r="B86" i="30"/>
  <c r="G85" i="30"/>
  <c r="H85" i="30" s="1"/>
  <c r="G85" i="32"/>
  <c r="H85" i="32" s="1"/>
  <c r="B86" i="32"/>
  <c r="D85" i="32"/>
  <c r="C85" i="32"/>
  <c r="C85" i="31" l="1"/>
  <c r="B86" i="31"/>
  <c r="D85" i="31"/>
  <c r="G85" i="31"/>
  <c r="H85" i="31" s="1"/>
  <c r="B87" i="30"/>
  <c r="G86" i="30"/>
  <c r="H86" i="30" s="1"/>
  <c r="D86" i="30"/>
  <c r="C86" i="30"/>
  <c r="C86" i="32"/>
  <c r="G86" i="32"/>
  <c r="H86" i="32" s="1"/>
  <c r="B87" i="32"/>
  <c r="D86" i="32"/>
  <c r="C86" i="31" l="1"/>
  <c r="B87" i="31"/>
  <c r="G86" i="31"/>
  <c r="H86" i="31" s="1"/>
  <c r="D86" i="31"/>
  <c r="B88" i="30"/>
  <c r="D87" i="30"/>
  <c r="C87" i="30"/>
  <c r="G87" i="30"/>
  <c r="H87" i="30" s="1"/>
  <c r="G87" i="32"/>
  <c r="H87" i="32" s="1"/>
  <c r="B88" i="32"/>
  <c r="D87" i="32"/>
  <c r="C87" i="32"/>
  <c r="G87" i="31" l="1"/>
  <c r="H87" i="31" s="1"/>
  <c r="C87" i="31"/>
  <c r="D87" i="31"/>
  <c r="B88" i="31"/>
  <c r="G88" i="30"/>
  <c r="H88" i="30" s="1"/>
  <c r="D88" i="30"/>
  <c r="C88" i="30"/>
  <c r="B89" i="30"/>
  <c r="C88" i="32"/>
  <c r="G88" i="32"/>
  <c r="H88" i="32" s="1"/>
  <c r="D88" i="32"/>
  <c r="B89" i="32"/>
  <c r="G88" i="31" l="1"/>
  <c r="H88" i="31" s="1"/>
  <c r="D88" i="31"/>
  <c r="B89" i="31"/>
  <c r="C88" i="31"/>
  <c r="B90" i="30"/>
  <c r="G89" i="30"/>
  <c r="H89" i="30" s="1"/>
  <c r="D89" i="30"/>
  <c r="C89" i="30"/>
  <c r="B90" i="32"/>
  <c r="D89" i="32"/>
  <c r="G89" i="32"/>
  <c r="H89" i="32" s="1"/>
  <c r="C89" i="32"/>
  <c r="C89" i="31" l="1"/>
  <c r="G89" i="31"/>
  <c r="H89" i="31" s="1"/>
  <c r="D89" i="31"/>
  <c r="B90" i="31"/>
  <c r="C90" i="30"/>
  <c r="B91" i="30"/>
  <c r="G90" i="30"/>
  <c r="H90" i="30" s="1"/>
  <c r="D90" i="30"/>
  <c r="G90" i="32"/>
  <c r="H90" i="32" s="1"/>
  <c r="D90" i="32"/>
  <c r="B91" i="32"/>
  <c r="C90" i="32"/>
  <c r="C90" i="31" l="1"/>
  <c r="B91" i="31"/>
  <c r="G90" i="31"/>
  <c r="H90" i="31" s="1"/>
  <c r="D90" i="31"/>
  <c r="G91" i="30"/>
  <c r="H91" i="30" s="1"/>
  <c r="D91" i="30"/>
  <c r="C91" i="30"/>
  <c r="B92" i="30"/>
  <c r="B92" i="32"/>
  <c r="D91" i="32"/>
  <c r="G91" i="32"/>
  <c r="H91" i="32" s="1"/>
  <c r="C91" i="32"/>
  <c r="G91" i="31" l="1"/>
  <c r="H91" i="31" s="1"/>
  <c r="C91" i="31"/>
  <c r="B92" i="31"/>
  <c r="D91" i="31"/>
  <c r="B93" i="30"/>
  <c r="G92" i="30"/>
  <c r="H92" i="30" s="1"/>
  <c r="D92" i="30"/>
  <c r="C92" i="30"/>
  <c r="D92" i="32"/>
  <c r="B93" i="32"/>
  <c r="C92" i="32"/>
  <c r="G92" i="32"/>
  <c r="H92" i="32" s="1"/>
  <c r="G92" i="31" l="1"/>
  <c r="H92" i="31" s="1"/>
  <c r="D92" i="31"/>
  <c r="B93" i="31"/>
  <c r="C92" i="31"/>
  <c r="D93" i="30"/>
  <c r="C93" i="30"/>
  <c r="G93" i="30"/>
  <c r="H93" i="30" s="1"/>
  <c r="B94" i="30"/>
  <c r="B94" i="32"/>
  <c r="D93" i="32"/>
  <c r="C93" i="32"/>
  <c r="G93" i="32"/>
  <c r="H93" i="32" s="1"/>
  <c r="C93" i="31" l="1"/>
  <c r="B94" i="31"/>
  <c r="D93" i="31"/>
  <c r="G93" i="31"/>
  <c r="H93" i="31" s="1"/>
  <c r="B95" i="30"/>
  <c r="G94" i="30"/>
  <c r="H94" i="30" s="1"/>
  <c r="D94" i="30"/>
  <c r="C94" i="30"/>
  <c r="B95" i="32"/>
  <c r="C94" i="32"/>
  <c r="G94" i="32"/>
  <c r="H94" i="32" s="1"/>
  <c r="D94" i="32"/>
  <c r="C94" i="31" l="1"/>
  <c r="B95" i="31"/>
  <c r="G94" i="31"/>
  <c r="H94" i="31" s="1"/>
  <c r="D94" i="31"/>
  <c r="B96" i="30"/>
  <c r="G95" i="30"/>
  <c r="H95" i="30" s="1"/>
  <c r="D95" i="30"/>
  <c r="C95" i="30"/>
  <c r="B96" i="32"/>
  <c r="D95" i="32"/>
  <c r="G95" i="32"/>
  <c r="H95" i="32" s="1"/>
  <c r="C95" i="32"/>
  <c r="G95" i="31" l="1"/>
  <c r="H95" i="31" s="1"/>
  <c r="C95" i="31"/>
  <c r="D95" i="31"/>
  <c r="B96" i="31"/>
  <c r="G96" i="30"/>
  <c r="H96" i="30" s="1"/>
  <c r="D96" i="30"/>
  <c r="C96" i="30"/>
  <c r="B97" i="30"/>
  <c r="G96" i="32"/>
  <c r="H96" i="32" s="1"/>
  <c r="D96" i="32"/>
  <c r="B97" i="32"/>
  <c r="C96" i="32"/>
  <c r="G96" i="31" l="1"/>
  <c r="H96" i="31" s="1"/>
  <c r="D96" i="31"/>
  <c r="B97" i="31"/>
  <c r="C96" i="31"/>
  <c r="B98" i="30"/>
  <c r="G97" i="30"/>
  <c r="H97" i="30" s="1"/>
  <c r="D97" i="30"/>
  <c r="C97" i="30"/>
  <c r="B98" i="32"/>
  <c r="D97" i="32"/>
  <c r="G97" i="32"/>
  <c r="H97" i="32" s="1"/>
  <c r="C97" i="32"/>
  <c r="C97" i="31" l="1"/>
  <c r="G97" i="31"/>
  <c r="H97" i="31" s="1"/>
  <c r="D97" i="31"/>
  <c r="B98" i="31"/>
  <c r="C98" i="30"/>
  <c r="B99" i="30"/>
  <c r="G98" i="30"/>
  <c r="H98" i="30" s="1"/>
  <c r="D98" i="30"/>
  <c r="G98" i="32"/>
  <c r="H98" i="32" s="1"/>
  <c r="D98" i="32"/>
  <c r="B99" i="32"/>
  <c r="C98" i="32"/>
  <c r="C98" i="31" l="1"/>
  <c r="B99" i="31"/>
  <c r="G98" i="31"/>
  <c r="H98" i="31" s="1"/>
  <c r="D98" i="31"/>
  <c r="G99" i="30"/>
  <c r="H99" i="30" s="1"/>
  <c r="D99" i="30"/>
  <c r="C99" i="30"/>
  <c r="B100" i="30"/>
  <c r="B100" i="32"/>
  <c r="D99" i="32"/>
  <c r="G99" i="32"/>
  <c r="H99" i="32" s="1"/>
  <c r="C99" i="32"/>
  <c r="G99" i="31" l="1"/>
  <c r="H99" i="31" s="1"/>
  <c r="C99" i="31"/>
  <c r="B100" i="31"/>
  <c r="D99" i="31"/>
  <c r="B101" i="30"/>
  <c r="G100" i="30"/>
  <c r="H100" i="30" s="1"/>
  <c r="C100" i="30"/>
  <c r="D100" i="30"/>
  <c r="D100" i="32"/>
  <c r="B101" i="32"/>
  <c r="C100" i="32"/>
  <c r="G100" i="32"/>
  <c r="H100" i="32" s="1"/>
  <c r="G100" i="31" l="1"/>
  <c r="H100" i="31" s="1"/>
  <c r="D100" i="31"/>
  <c r="B101" i="31"/>
  <c r="C100" i="31"/>
  <c r="D101" i="30"/>
  <c r="C101" i="30"/>
  <c r="B102" i="30"/>
  <c r="G101" i="30"/>
  <c r="H101" i="30" s="1"/>
  <c r="B102" i="32"/>
  <c r="D101" i="32"/>
  <c r="C101" i="32"/>
  <c r="G101" i="32"/>
  <c r="H101" i="32" s="1"/>
  <c r="C101" i="31" l="1"/>
  <c r="B102" i="31"/>
  <c r="D101" i="31"/>
  <c r="G101" i="31"/>
  <c r="H101" i="31" s="1"/>
  <c r="B103" i="30"/>
  <c r="G102" i="30"/>
  <c r="H102" i="30" s="1"/>
  <c r="D102" i="30"/>
  <c r="C102" i="30"/>
  <c r="B103" i="32"/>
  <c r="D102" i="32"/>
  <c r="G102" i="32"/>
  <c r="H102" i="32" s="1"/>
  <c r="C102" i="32"/>
  <c r="C102" i="31" l="1"/>
  <c r="B103" i="31"/>
  <c r="G102" i="31"/>
  <c r="H102" i="31" s="1"/>
  <c r="D102" i="31"/>
  <c r="B104" i="30"/>
  <c r="D103" i="30"/>
  <c r="C103" i="30"/>
  <c r="G103" i="30"/>
  <c r="H103" i="30" s="1"/>
  <c r="B104" i="32"/>
  <c r="D103" i="32"/>
  <c r="G103" i="32"/>
  <c r="H103" i="32" s="1"/>
  <c r="C103" i="32"/>
  <c r="G103" i="31" l="1"/>
  <c r="H103" i="31" s="1"/>
  <c r="C103" i="31"/>
  <c r="D103" i="31"/>
  <c r="B104" i="31"/>
  <c r="G104" i="30"/>
  <c r="H104" i="30" s="1"/>
  <c r="D104" i="30"/>
  <c r="C104" i="30"/>
  <c r="B105" i="30"/>
  <c r="B105" i="32"/>
  <c r="D104" i="32"/>
  <c r="G104" i="32"/>
  <c r="H104" i="32" s="1"/>
  <c r="C104" i="32"/>
  <c r="G104" i="31" l="1"/>
  <c r="H104" i="31" s="1"/>
  <c r="D104" i="31"/>
  <c r="C104" i="31"/>
  <c r="B105" i="31"/>
  <c r="B106" i="30"/>
  <c r="G105" i="30"/>
  <c r="H105" i="30" s="1"/>
  <c r="D105" i="30"/>
  <c r="C105" i="30"/>
  <c r="B106" i="32"/>
  <c r="D105" i="32"/>
  <c r="C105" i="32"/>
  <c r="G105" i="32"/>
  <c r="H105" i="32" s="1"/>
  <c r="G105" i="31" l="1"/>
  <c r="H105" i="31" s="1"/>
  <c r="C105" i="31"/>
  <c r="B106" i="31"/>
  <c r="D105" i="31"/>
  <c r="C106" i="30"/>
  <c r="B107" i="30"/>
  <c r="G106" i="30"/>
  <c r="H106" i="30" s="1"/>
  <c r="D106" i="30"/>
  <c r="B107" i="32"/>
  <c r="D106" i="32"/>
  <c r="G106" i="32"/>
  <c r="H106" i="32" s="1"/>
  <c r="C106" i="32"/>
  <c r="C106" i="31" l="1"/>
  <c r="B107" i="31"/>
  <c r="G106" i="31"/>
  <c r="H106" i="31" s="1"/>
  <c r="D106" i="31"/>
  <c r="G107" i="30"/>
  <c r="H107" i="30" s="1"/>
  <c r="D107" i="30"/>
  <c r="C107" i="30"/>
  <c r="B108" i="30"/>
  <c r="B108" i="32"/>
  <c r="D107" i="32"/>
  <c r="G107" i="32"/>
  <c r="H107" i="32" s="1"/>
  <c r="C107" i="32"/>
  <c r="G107" i="31" l="1"/>
  <c r="H107" i="31" s="1"/>
  <c r="C107" i="31"/>
  <c r="B108" i="31"/>
  <c r="D107" i="31"/>
  <c r="B109" i="30"/>
  <c r="G108" i="30"/>
  <c r="H108" i="30" s="1"/>
  <c r="D108" i="30"/>
  <c r="C108" i="30"/>
  <c r="B109" i="32"/>
  <c r="D108" i="32"/>
  <c r="G108" i="32"/>
  <c r="H108" i="32" s="1"/>
  <c r="C108" i="32"/>
  <c r="G108" i="31" l="1"/>
  <c r="H108" i="31" s="1"/>
  <c r="D108" i="31"/>
  <c r="C108" i="31"/>
  <c r="B109" i="31"/>
  <c r="D109" i="30"/>
  <c r="C109" i="30"/>
  <c r="G109" i="30"/>
  <c r="H109" i="30" s="1"/>
  <c r="B110" i="30"/>
  <c r="B110" i="32"/>
  <c r="D109" i="32"/>
  <c r="C109" i="32"/>
  <c r="G109" i="32"/>
  <c r="H109" i="32" s="1"/>
  <c r="G109" i="31" l="1"/>
  <c r="H109" i="31" s="1"/>
  <c r="C109" i="31"/>
  <c r="D109" i="31"/>
  <c r="B110" i="31"/>
  <c r="B111" i="30"/>
  <c r="G110" i="30"/>
  <c r="H110" i="30" s="1"/>
  <c r="D110" i="30"/>
  <c r="C110" i="30"/>
  <c r="B111" i="32"/>
  <c r="D110" i="32"/>
  <c r="G110" i="32"/>
  <c r="H110" i="32" s="1"/>
  <c r="C110" i="32"/>
  <c r="C110" i="31" l="1"/>
  <c r="B111" i="31"/>
  <c r="G110" i="31"/>
  <c r="H110" i="31" s="1"/>
  <c r="D110" i="31"/>
  <c r="B112" i="30"/>
  <c r="G111" i="30"/>
  <c r="H111" i="30" s="1"/>
  <c r="D111" i="30"/>
  <c r="C111" i="30"/>
  <c r="B112" i="32"/>
  <c r="D111" i="32"/>
  <c r="G111" i="32"/>
  <c r="H111" i="32" s="1"/>
  <c r="C111" i="32"/>
  <c r="G111" i="31" l="1"/>
  <c r="H111" i="31" s="1"/>
  <c r="C111" i="31"/>
  <c r="B112" i="31"/>
  <c r="D111" i="31"/>
  <c r="G112" i="30"/>
  <c r="H112" i="30" s="1"/>
  <c r="D112" i="30"/>
  <c r="C112" i="30"/>
  <c r="B113" i="30"/>
  <c r="B113" i="32"/>
  <c r="D112" i="32"/>
  <c r="G112" i="32"/>
  <c r="H112" i="32" s="1"/>
  <c r="C112" i="32"/>
  <c r="G112" i="31" l="1"/>
  <c r="H112" i="31" s="1"/>
  <c r="D112" i="31"/>
  <c r="C112" i="31"/>
  <c r="B113" i="31"/>
  <c r="B114" i="30"/>
  <c r="G113" i="30"/>
  <c r="H113" i="30" s="1"/>
  <c r="D113" i="30"/>
  <c r="C113" i="30"/>
  <c r="B114" i="32"/>
  <c r="D113" i="32"/>
  <c r="C113" i="32"/>
  <c r="G113" i="32"/>
  <c r="H113" i="32" s="1"/>
  <c r="G113" i="31" l="1"/>
  <c r="H113" i="31" s="1"/>
  <c r="C113" i="31"/>
  <c r="B114" i="31"/>
  <c r="D113" i="31"/>
  <c r="C114" i="30"/>
  <c r="B115" i="30"/>
  <c r="G114" i="30"/>
  <c r="H114" i="30" s="1"/>
  <c r="D114" i="30"/>
  <c r="B115" i="32"/>
  <c r="D114" i="32"/>
  <c r="G114" i="32"/>
  <c r="H114" i="32" s="1"/>
  <c r="C114" i="32"/>
  <c r="C114" i="31" l="1"/>
  <c r="B115" i="31"/>
  <c r="G114" i="31"/>
  <c r="H114" i="31" s="1"/>
  <c r="D114" i="31"/>
  <c r="G115" i="30"/>
  <c r="H115" i="30" s="1"/>
  <c r="D115" i="30"/>
  <c r="C115" i="30"/>
  <c r="B116" i="30"/>
  <c r="B116" i="32"/>
  <c r="D115" i="32"/>
  <c r="G115" i="32"/>
  <c r="H115" i="32" s="1"/>
  <c r="C115" i="32"/>
  <c r="G115" i="31" l="1"/>
  <c r="H115" i="31" s="1"/>
  <c r="C115" i="31"/>
  <c r="B116" i="31"/>
  <c r="D115" i="31"/>
  <c r="B117" i="30"/>
  <c r="G116" i="30"/>
  <c r="H116" i="30" s="1"/>
  <c r="C116" i="30"/>
  <c r="D116" i="30"/>
  <c r="B117" i="32"/>
  <c r="D116" i="32"/>
  <c r="G116" i="32"/>
  <c r="H116" i="32" s="1"/>
  <c r="C116" i="32"/>
  <c r="G116" i="31" l="1"/>
  <c r="H116" i="31" s="1"/>
  <c r="D116" i="31"/>
  <c r="C116" i="31"/>
  <c r="B117" i="31"/>
  <c r="D117" i="30"/>
  <c r="C117" i="30"/>
  <c r="B118" i="30"/>
  <c r="G117" i="30"/>
  <c r="H117" i="30" s="1"/>
  <c r="B118" i="32"/>
  <c r="D117" i="32"/>
  <c r="C117" i="32"/>
  <c r="G117" i="32"/>
  <c r="H117" i="32" s="1"/>
  <c r="G117" i="31" l="1"/>
  <c r="H117" i="31" s="1"/>
  <c r="C117" i="31"/>
  <c r="D117" i="31"/>
  <c r="B118" i="31"/>
  <c r="B119" i="30"/>
  <c r="G118" i="30"/>
  <c r="H118" i="30" s="1"/>
  <c r="D118" i="30"/>
  <c r="C118" i="30"/>
  <c r="B119" i="32"/>
  <c r="D118" i="32"/>
  <c r="G118" i="32"/>
  <c r="H118" i="32" s="1"/>
  <c r="C118" i="32"/>
  <c r="C118" i="31" l="1"/>
  <c r="B119" i="31"/>
  <c r="G118" i="31"/>
  <c r="H118" i="31" s="1"/>
  <c r="D118" i="31"/>
  <c r="B120" i="30"/>
  <c r="D119" i="30"/>
  <c r="C119" i="30"/>
  <c r="G119" i="30"/>
  <c r="H119" i="30" s="1"/>
  <c r="B120" i="32"/>
  <c r="D119" i="32"/>
  <c r="G119" i="32"/>
  <c r="H119" i="32" s="1"/>
  <c r="C119" i="32"/>
  <c r="G119" i="31" l="1"/>
  <c r="H119" i="31" s="1"/>
  <c r="C119" i="31"/>
  <c r="D119" i="31"/>
  <c r="B120" i="31"/>
  <c r="G120" i="30"/>
  <c r="H120" i="30" s="1"/>
  <c r="D120" i="30"/>
  <c r="C120" i="30"/>
  <c r="B121" i="30"/>
  <c r="B121" i="32"/>
  <c r="D120" i="32"/>
  <c r="G120" i="32"/>
  <c r="H120" i="32" s="1"/>
  <c r="C120" i="32"/>
  <c r="G120" i="31" l="1"/>
  <c r="H120" i="31" s="1"/>
  <c r="D120" i="31"/>
  <c r="C120" i="31"/>
  <c r="B121" i="31"/>
  <c r="B122" i="30"/>
  <c r="G121" i="30"/>
  <c r="H121" i="30" s="1"/>
  <c r="D121" i="30"/>
  <c r="C121" i="30"/>
  <c r="B122" i="32"/>
  <c r="D121" i="32"/>
  <c r="C121" i="32"/>
  <c r="G121" i="32"/>
  <c r="H121" i="32" s="1"/>
  <c r="G121" i="31" l="1"/>
  <c r="H121" i="31" s="1"/>
  <c r="C121" i="31"/>
  <c r="B122" i="31"/>
  <c r="D121" i="31"/>
  <c r="C122" i="30"/>
  <c r="B123" i="30"/>
  <c r="G122" i="30"/>
  <c r="H122" i="30" s="1"/>
  <c r="D122" i="30"/>
  <c r="B123" i="32"/>
  <c r="D122" i="32"/>
  <c r="G122" i="32"/>
  <c r="H122" i="32" s="1"/>
  <c r="C122" i="32"/>
  <c r="C122" i="31" l="1"/>
  <c r="B123" i="31"/>
  <c r="G122" i="31"/>
  <c r="H122" i="31" s="1"/>
  <c r="D122" i="31"/>
  <c r="G123" i="30"/>
  <c r="H123" i="30" s="1"/>
  <c r="D123" i="30"/>
  <c r="C123" i="30"/>
  <c r="B124" i="30"/>
  <c r="B124" i="32"/>
  <c r="D123" i="32"/>
  <c r="G123" i="32"/>
  <c r="H123" i="32" s="1"/>
  <c r="C123" i="32"/>
  <c r="G123" i="31" l="1"/>
  <c r="H123" i="31" s="1"/>
  <c r="C123" i="31"/>
  <c r="B124" i="31"/>
  <c r="D123" i="31"/>
  <c r="B125" i="30"/>
  <c r="G124" i="30"/>
  <c r="H124" i="30" s="1"/>
  <c r="D124" i="30"/>
  <c r="C124" i="30"/>
  <c r="B125" i="32"/>
  <c r="D124" i="32"/>
  <c r="G124" i="32"/>
  <c r="H124" i="32" s="1"/>
  <c r="C124" i="32"/>
  <c r="G124" i="31" l="1"/>
  <c r="H124" i="31" s="1"/>
  <c r="D124" i="31"/>
  <c r="C124" i="31"/>
  <c r="B125" i="31"/>
  <c r="D125" i="30"/>
  <c r="C125" i="30"/>
  <c r="G125" i="30"/>
  <c r="H125" i="30" s="1"/>
  <c r="B126" i="30"/>
  <c r="B126" i="32"/>
  <c r="D125" i="32"/>
  <c r="C125" i="32"/>
  <c r="G125" i="32"/>
  <c r="H125" i="32" s="1"/>
  <c r="G125" i="31" l="1"/>
  <c r="H125" i="31" s="1"/>
  <c r="C125" i="31"/>
  <c r="D125" i="31"/>
  <c r="B126" i="31"/>
  <c r="B127" i="30"/>
  <c r="G126" i="30"/>
  <c r="H126" i="30" s="1"/>
  <c r="D126" i="30"/>
  <c r="C126" i="30"/>
  <c r="B127" i="32"/>
  <c r="D126" i="32"/>
  <c r="G126" i="32"/>
  <c r="H126" i="32" s="1"/>
  <c r="C126" i="32"/>
  <c r="C126" i="31" l="1"/>
  <c r="B127" i="31"/>
  <c r="G126" i="31"/>
  <c r="H126" i="31" s="1"/>
  <c r="D126" i="31"/>
  <c r="B128" i="30"/>
  <c r="G127" i="30"/>
  <c r="H127" i="30" s="1"/>
  <c r="D127" i="30"/>
  <c r="C127" i="30"/>
  <c r="B128" i="32"/>
  <c r="D127" i="32"/>
  <c r="G127" i="32"/>
  <c r="H127" i="32" s="1"/>
  <c r="C127" i="32"/>
  <c r="G127" i="31" l="1"/>
  <c r="H127" i="31" s="1"/>
  <c r="C127" i="31"/>
  <c r="B128" i="31"/>
  <c r="D127" i="31"/>
  <c r="G128" i="30"/>
  <c r="H128" i="30" s="1"/>
  <c r="D128" i="30"/>
  <c r="C128" i="30"/>
  <c r="B129" i="30"/>
  <c r="G128" i="32"/>
  <c r="H128" i="32" s="1"/>
  <c r="B129" i="32"/>
  <c r="D128" i="32"/>
  <c r="C128" i="32"/>
  <c r="G128" i="31" l="1"/>
  <c r="H128" i="31" s="1"/>
  <c r="D128" i="31"/>
  <c r="C128" i="31"/>
  <c r="B129" i="31"/>
  <c r="B130" i="30"/>
  <c r="G129" i="30"/>
  <c r="H129" i="30" s="1"/>
  <c r="D129" i="30"/>
  <c r="C129" i="30"/>
  <c r="G129" i="32"/>
  <c r="H129" i="32" s="1"/>
  <c r="D129" i="32"/>
  <c r="C129" i="32"/>
  <c r="B130" i="32"/>
  <c r="G129" i="31" l="1"/>
  <c r="H129" i="31" s="1"/>
  <c r="C129" i="31"/>
  <c r="B130" i="31"/>
  <c r="D129" i="31"/>
  <c r="C130" i="30"/>
  <c r="B131" i="30"/>
  <c r="G130" i="30"/>
  <c r="H130" i="30" s="1"/>
  <c r="D130" i="30"/>
  <c r="B131" i="32"/>
  <c r="D130" i="32"/>
  <c r="C130" i="32"/>
  <c r="G130" i="32"/>
  <c r="H130" i="32" s="1"/>
  <c r="C130" i="31" l="1"/>
  <c r="B131" i="31"/>
  <c r="G130" i="31"/>
  <c r="H130" i="31" s="1"/>
  <c r="D130" i="31"/>
  <c r="B132" i="30"/>
  <c r="G131" i="30"/>
  <c r="H131" i="30" s="1"/>
  <c r="D131" i="30"/>
  <c r="C131" i="30"/>
  <c r="G131" i="32"/>
  <c r="H131" i="32" s="1"/>
  <c r="D131" i="32"/>
  <c r="C131" i="32"/>
  <c r="B132" i="32"/>
  <c r="G131" i="31" l="1"/>
  <c r="H131" i="31" s="1"/>
  <c r="C131" i="31"/>
  <c r="B132" i="31"/>
  <c r="D131" i="31"/>
  <c r="B133" i="30"/>
  <c r="G132" i="30"/>
  <c r="H132" i="30" s="1"/>
  <c r="D132" i="30"/>
  <c r="C132" i="30"/>
  <c r="B133" i="32"/>
  <c r="D132" i="32"/>
  <c r="C132" i="32"/>
  <c r="G132" i="32"/>
  <c r="H132" i="32" s="1"/>
  <c r="G132" i="31" l="1"/>
  <c r="H132" i="31" s="1"/>
  <c r="D132" i="31"/>
  <c r="C132" i="31"/>
  <c r="B133" i="31"/>
  <c r="G133" i="30"/>
  <c r="H133" i="30" s="1"/>
  <c r="D133" i="30"/>
  <c r="C133" i="30"/>
  <c r="B134" i="30"/>
  <c r="G133" i="32"/>
  <c r="H133" i="32" s="1"/>
  <c r="B134" i="32"/>
  <c r="D133" i="32"/>
  <c r="C133" i="32"/>
  <c r="G133" i="31" l="1"/>
  <c r="H133" i="31" s="1"/>
  <c r="C133" i="31"/>
  <c r="B134" i="31"/>
  <c r="D133" i="31"/>
  <c r="B135" i="30"/>
  <c r="G134" i="30"/>
  <c r="H134" i="30" s="1"/>
  <c r="D134" i="30"/>
  <c r="C134" i="30"/>
  <c r="B135" i="32"/>
  <c r="D134" i="32"/>
  <c r="C134" i="32"/>
  <c r="G134" i="32"/>
  <c r="H134" i="32" s="1"/>
  <c r="C134" i="31" l="1"/>
  <c r="B135" i="31"/>
  <c r="G134" i="31"/>
  <c r="H134" i="31" s="1"/>
  <c r="D134" i="31"/>
  <c r="C135" i="30"/>
  <c r="B136" i="30"/>
  <c r="G135" i="30"/>
  <c r="H135" i="30" s="1"/>
  <c r="D135" i="30"/>
  <c r="G135" i="32"/>
  <c r="H135" i="32" s="1"/>
  <c r="C135" i="32"/>
  <c r="B136" i="32"/>
  <c r="D135" i="32"/>
  <c r="G135" i="31" l="1"/>
  <c r="H135" i="31" s="1"/>
  <c r="C135" i="31"/>
  <c r="D135" i="31"/>
  <c r="B136" i="31"/>
  <c r="G136" i="30"/>
  <c r="H136" i="30" s="1"/>
  <c r="D136" i="30"/>
  <c r="C136" i="30"/>
  <c r="B137" i="30"/>
  <c r="B137" i="32"/>
  <c r="D136" i="32"/>
  <c r="C136" i="32"/>
  <c r="G136" i="32"/>
  <c r="H136" i="32" s="1"/>
  <c r="G136" i="31" l="1"/>
  <c r="H136" i="31" s="1"/>
  <c r="D136" i="31"/>
  <c r="C136" i="31"/>
  <c r="B137" i="31"/>
  <c r="B138" i="30"/>
  <c r="G137" i="30"/>
  <c r="H137" i="30" s="1"/>
  <c r="D137" i="30"/>
  <c r="C137" i="30"/>
  <c r="G137" i="32"/>
  <c r="H137" i="32" s="1"/>
  <c r="D137" i="32"/>
  <c r="C137" i="32"/>
  <c r="B138" i="32"/>
  <c r="G137" i="31" l="1"/>
  <c r="H137" i="31" s="1"/>
  <c r="C137" i="31"/>
  <c r="B138" i="31"/>
  <c r="D137" i="31"/>
  <c r="D138" i="30"/>
  <c r="C138" i="30"/>
  <c r="B139" i="30"/>
  <c r="G138" i="30"/>
  <c r="H138" i="30" s="1"/>
  <c r="B139" i="32"/>
  <c r="D138" i="32"/>
  <c r="C138" i="32"/>
  <c r="G138" i="32"/>
  <c r="H138" i="32" s="1"/>
  <c r="C138" i="31" l="1"/>
  <c r="B139" i="31"/>
  <c r="G138" i="31"/>
  <c r="H138" i="31" s="1"/>
  <c r="D138" i="31"/>
  <c r="B140" i="30"/>
  <c r="G139" i="30"/>
  <c r="H139" i="30" s="1"/>
  <c r="D139" i="30"/>
  <c r="C139" i="30"/>
  <c r="G139" i="32"/>
  <c r="H139" i="32" s="1"/>
  <c r="D139" i="32"/>
  <c r="C139" i="32"/>
  <c r="B140" i="32"/>
  <c r="G139" i="31" l="1"/>
  <c r="H139" i="31" s="1"/>
  <c r="C139" i="31"/>
  <c r="B140" i="31"/>
  <c r="D139" i="31"/>
  <c r="B141" i="30"/>
  <c r="G140" i="30"/>
  <c r="H140" i="30" s="1"/>
  <c r="D140" i="30"/>
  <c r="C140" i="30"/>
  <c r="B141" i="32"/>
  <c r="D140" i="32"/>
  <c r="C140" i="32"/>
  <c r="G140" i="32"/>
  <c r="H140" i="32" s="1"/>
  <c r="G140" i="31" l="1"/>
  <c r="H140" i="31" s="1"/>
  <c r="D140" i="31"/>
  <c r="C140" i="31"/>
  <c r="B141" i="31"/>
  <c r="G141" i="30"/>
  <c r="H141" i="30" s="1"/>
  <c r="D141" i="30"/>
  <c r="C141" i="30"/>
  <c r="B142" i="30"/>
  <c r="G141" i="32"/>
  <c r="H141" i="32" s="1"/>
  <c r="B142" i="32"/>
  <c r="D141" i="32"/>
  <c r="C141" i="32"/>
  <c r="G141" i="31" l="1"/>
  <c r="H141" i="31" s="1"/>
  <c r="C141" i="31"/>
  <c r="D141" i="31"/>
  <c r="B142" i="31"/>
  <c r="B143" i="30"/>
  <c r="G142" i="30"/>
  <c r="H142" i="30" s="1"/>
  <c r="D142" i="30"/>
  <c r="C142" i="30"/>
  <c r="B143" i="32"/>
  <c r="D142" i="32"/>
  <c r="C142" i="32"/>
  <c r="G142" i="32"/>
  <c r="H142" i="32" s="1"/>
  <c r="C142" i="31" l="1"/>
  <c r="B143" i="31"/>
  <c r="G142" i="31"/>
  <c r="H142" i="31" s="1"/>
  <c r="D142" i="31"/>
  <c r="C143" i="30"/>
  <c r="B144" i="30"/>
  <c r="G143" i="30"/>
  <c r="H143" i="30" s="1"/>
  <c r="D143" i="30"/>
  <c r="G143" i="32"/>
  <c r="H143" i="32" s="1"/>
  <c r="C143" i="32"/>
  <c r="B144" i="32"/>
  <c r="D143" i="32"/>
  <c r="G143" i="31" l="1"/>
  <c r="H143" i="31" s="1"/>
  <c r="C143" i="31"/>
  <c r="B144" i="31"/>
  <c r="D143" i="31"/>
  <c r="G144" i="30"/>
  <c r="H144" i="30" s="1"/>
  <c r="D144" i="30"/>
  <c r="C144" i="30"/>
  <c r="B145" i="30"/>
  <c r="B145" i="32"/>
  <c r="D144" i="32"/>
  <c r="C144" i="32"/>
  <c r="G144" i="32"/>
  <c r="H144" i="32" s="1"/>
  <c r="G144" i="31" l="1"/>
  <c r="H144" i="31" s="1"/>
  <c r="D144" i="31"/>
  <c r="C144" i="31"/>
  <c r="B145" i="31"/>
  <c r="B146" i="30"/>
  <c r="G145" i="30"/>
  <c r="H145" i="30" s="1"/>
  <c r="D145" i="30"/>
  <c r="C145" i="30"/>
  <c r="G145" i="32"/>
  <c r="H145" i="32" s="1"/>
  <c r="D145" i="32"/>
  <c r="C145" i="32"/>
  <c r="B146" i="32"/>
  <c r="G145" i="31" l="1"/>
  <c r="H145" i="31" s="1"/>
  <c r="C145" i="31"/>
  <c r="B146" i="31"/>
  <c r="D145" i="31"/>
  <c r="D146" i="30"/>
  <c r="C146" i="30"/>
  <c r="B147" i="30"/>
  <c r="G146" i="30"/>
  <c r="H146" i="30" s="1"/>
  <c r="B147" i="32"/>
  <c r="D146" i="32"/>
  <c r="C146" i="32"/>
  <c r="G146" i="32"/>
  <c r="H146" i="32" s="1"/>
  <c r="C146" i="31" l="1"/>
  <c r="B147" i="31"/>
  <c r="G146" i="31"/>
  <c r="H146" i="31" s="1"/>
  <c r="D146" i="31"/>
  <c r="B148" i="30"/>
  <c r="G147" i="30"/>
  <c r="H147" i="30" s="1"/>
  <c r="D147" i="30"/>
  <c r="C147" i="30"/>
  <c r="G147" i="32"/>
  <c r="H147" i="32" s="1"/>
  <c r="D147" i="32"/>
  <c r="C147" i="32"/>
  <c r="B148" i="32"/>
  <c r="G147" i="31" l="1"/>
  <c r="H147" i="31" s="1"/>
  <c r="C147" i="31"/>
  <c r="B148" i="31"/>
  <c r="D147" i="31"/>
  <c r="B149" i="30"/>
  <c r="G148" i="30"/>
  <c r="H148" i="30" s="1"/>
  <c r="D148" i="30"/>
  <c r="C148" i="30"/>
  <c r="B149" i="32"/>
  <c r="D148" i="32"/>
  <c r="C148" i="32"/>
  <c r="G148" i="32"/>
  <c r="H148" i="32" s="1"/>
  <c r="G148" i="31" l="1"/>
  <c r="H148" i="31" s="1"/>
  <c r="D148" i="31"/>
  <c r="C148" i="31"/>
  <c r="B149" i="31"/>
  <c r="G149" i="30"/>
  <c r="H149" i="30" s="1"/>
  <c r="D149" i="30"/>
  <c r="C149" i="30"/>
  <c r="B150" i="30"/>
  <c r="G149" i="32"/>
  <c r="H149" i="32" s="1"/>
  <c r="B150" i="32"/>
  <c r="D149" i="32"/>
  <c r="C149" i="32"/>
  <c r="G149" i="31" l="1"/>
  <c r="H149" i="31" s="1"/>
  <c r="C149" i="31"/>
  <c r="B150" i="31"/>
  <c r="D149" i="31"/>
  <c r="B151" i="30"/>
  <c r="G150" i="30"/>
  <c r="H150" i="30" s="1"/>
  <c r="D150" i="30"/>
  <c r="C150" i="30"/>
  <c r="B151" i="32"/>
  <c r="D150" i="32"/>
  <c r="C150" i="32"/>
  <c r="G150" i="32"/>
  <c r="H150" i="32" s="1"/>
  <c r="C150" i="31" l="1"/>
  <c r="B151" i="31"/>
  <c r="G150" i="31"/>
  <c r="H150" i="31" s="1"/>
  <c r="D150" i="31"/>
  <c r="C151" i="30"/>
  <c r="B152" i="30"/>
  <c r="G151" i="30"/>
  <c r="H151" i="30" s="1"/>
  <c r="D151" i="30"/>
  <c r="G151" i="32"/>
  <c r="H151" i="32" s="1"/>
  <c r="C151" i="32"/>
  <c r="B152" i="32"/>
  <c r="D151" i="32"/>
  <c r="G151" i="31" l="1"/>
  <c r="H151" i="31" s="1"/>
  <c r="C151" i="31"/>
  <c r="D151" i="31"/>
  <c r="B152" i="31"/>
  <c r="G152" i="30"/>
  <c r="H152" i="30" s="1"/>
  <c r="D152" i="30"/>
  <c r="C152" i="30"/>
  <c r="B153" i="30"/>
  <c r="B153" i="32"/>
  <c r="D152" i="32"/>
  <c r="C152" i="32"/>
  <c r="G152" i="32"/>
  <c r="H152" i="32" s="1"/>
  <c r="G152" i="31" l="1"/>
  <c r="H152" i="31" s="1"/>
  <c r="D152" i="31"/>
  <c r="C152" i="31"/>
  <c r="B153" i="31"/>
  <c r="B154" i="30"/>
  <c r="G153" i="30"/>
  <c r="H153" i="30" s="1"/>
  <c r="D153" i="30"/>
  <c r="C153" i="30"/>
  <c r="G153" i="32"/>
  <c r="H153" i="32" s="1"/>
  <c r="D153" i="32"/>
  <c r="C153" i="32"/>
  <c r="B154" i="32"/>
  <c r="G153" i="31" l="1"/>
  <c r="H153" i="31" s="1"/>
  <c r="C153" i="31"/>
  <c r="B154" i="31"/>
  <c r="D153" i="31"/>
  <c r="D154" i="30"/>
  <c r="C154" i="30"/>
  <c r="B155" i="30"/>
  <c r="G154" i="30"/>
  <c r="H154" i="30" s="1"/>
  <c r="B155" i="32"/>
  <c r="D154" i="32"/>
  <c r="C154" i="32"/>
  <c r="G154" i="32"/>
  <c r="H154" i="32" s="1"/>
  <c r="C154" i="31" l="1"/>
  <c r="B155" i="31"/>
  <c r="G154" i="31"/>
  <c r="H154" i="31" s="1"/>
  <c r="D154" i="31"/>
  <c r="B156" i="30"/>
  <c r="G155" i="30"/>
  <c r="H155" i="30" s="1"/>
  <c r="D155" i="30"/>
  <c r="C155" i="30"/>
  <c r="G155" i="32"/>
  <c r="H155" i="32" s="1"/>
  <c r="D155" i="32"/>
  <c r="C155" i="32"/>
  <c r="B156" i="32"/>
  <c r="G155" i="31" l="1"/>
  <c r="H155" i="31" s="1"/>
  <c r="C155" i="31"/>
  <c r="B156" i="31"/>
  <c r="D155" i="31"/>
  <c r="B157" i="30"/>
  <c r="G156" i="30"/>
  <c r="H156" i="30" s="1"/>
  <c r="C156" i="30"/>
  <c r="D156" i="30"/>
  <c r="B157" i="32"/>
  <c r="D156" i="32"/>
  <c r="C156" i="32"/>
  <c r="G156" i="32"/>
  <c r="H156" i="32" s="1"/>
  <c r="G156" i="31" l="1"/>
  <c r="H156" i="31" s="1"/>
  <c r="D156" i="31"/>
  <c r="C156" i="31"/>
  <c r="B157" i="31"/>
  <c r="G157" i="30"/>
  <c r="H157" i="30" s="1"/>
  <c r="D157" i="30"/>
  <c r="C157" i="30"/>
  <c r="B158" i="30"/>
  <c r="G157" i="32"/>
  <c r="H157" i="32" s="1"/>
  <c r="B158" i="32"/>
  <c r="D157" i="32"/>
  <c r="C157" i="32"/>
  <c r="G157" i="31" l="1"/>
  <c r="H157" i="31" s="1"/>
  <c r="C157" i="31"/>
  <c r="D157" i="31"/>
  <c r="B158" i="31"/>
  <c r="B159" i="30"/>
  <c r="G158" i="30"/>
  <c r="H158" i="30" s="1"/>
  <c r="D158" i="30"/>
  <c r="C158" i="30"/>
  <c r="B159" i="32"/>
  <c r="D158" i="32"/>
  <c r="C158" i="32"/>
  <c r="G158" i="32"/>
  <c r="H158" i="32" s="1"/>
  <c r="C158" i="31" l="1"/>
  <c r="B159" i="31"/>
  <c r="G158" i="31"/>
  <c r="H158" i="31" s="1"/>
  <c r="D158" i="31"/>
  <c r="C159" i="30"/>
  <c r="B160" i="30"/>
  <c r="G159" i="30"/>
  <c r="H159" i="30" s="1"/>
  <c r="D159" i="30"/>
  <c r="G159" i="32"/>
  <c r="H159" i="32" s="1"/>
  <c r="C159" i="32"/>
  <c r="B160" i="32"/>
  <c r="D159" i="32"/>
  <c r="G159" i="31" l="1"/>
  <c r="H159" i="31" s="1"/>
  <c r="C159" i="31"/>
  <c r="B160" i="31"/>
  <c r="D159" i="31"/>
  <c r="G160" i="30"/>
  <c r="H160" i="30" s="1"/>
  <c r="D160" i="30"/>
  <c r="C160" i="30"/>
  <c r="B161" i="30"/>
  <c r="B161" i="32"/>
  <c r="D160" i="32"/>
  <c r="C160" i="32"/>
  <c r="G160" i="32"/>
  <c r="H160" i="32" s="1"/>
  <c r="G160" i="31" l="1"/>
  <c r="H160" i="31" s="1"/>
  <c r="D160" i="31"/>
  <c r="C160" i="31"/>
  <c r="B161" i="31"/>
  <c r="B162" i="30"/>
  <c r="G161" i="30"/>
  <c r="H161" i="30" s="1"/>
  <c r="D161" i="30"/>
  <c r="C161" i="30"/>
  <c r="G161" i="32"/>
  <c r="H161" i="32" s="1"/>
  <c r="D161" i="32"/>
  <c r="C161" i="32"/>
  <c r="B162" i="32"/>
  <c r="G161" i="31" l="1"/>
  <c r="H161" i="31" s="1"/>
  <c r="C161" i="31"/>
  <c r="B162" i="31"/>
  <c r="D161" i="31"/>
  <c r="D162" i="30"/>
  <c r="C162" i="30"/>
  <c r="B163" i="30"/>
  <c r="G162" i="30"/>
  <c r="H162" i="30" s="1"/>
  <c r="B163" i="32"/>
  <c r="D162" i="32"/>
  <c r="C162" i="32"/>
  <c r="G162" i="32"/>
  <c r="H162" i="32" s="1"/>
  <c r="C162" i="31" l="1"/>
  <c r="B163" i="31"/>
  <c r="G162" i="31"/>
  <c r="H162" i="31" s="1"/>
  <c r="D162" i="31"/>
  <c r="B164" i="30"/>
  <c r="G163" i="30"/>
  <c r="H163" i="30" s="1"/>
  <c r="D163" i="30"/>
  <c r="C163" i="30"/>
  <c r="G163" i="32"/>
  <c r="H163" i="32" s="1"/>
  <c r="D163" i="32"/>
  <c r="C163" i="32"/>
  <c r="B164" i="32"/>
  <c r="G163" i="31" l="1"/>
  <c r="H163" i="31" s="1"/>
  <c r="C163" i="31"/>
  <c r="B164" i="31"/>
  <c r="D163" i="31"/>
  <c r="B165" i="30"/>
  <c r="G164" i="30"/>
  <c r="H164" i="30" s="1"/>
  <c r="C164" i="30"/>
  <c r="D164" i="30"/>
  <c r="B165" i="32"/>
  <c r="D164" i="32"/>
  <c r="C164" i="32"/>
  <c r="G164" i="32"/>
  <c r="H164" i="32" s="1"/>
  <c r="G164" i="31" l="1"/>
  <c r="H164" i="31" s="1"/>
  <c r="D164" i="31"/>
  <c r="C164" i="31"/>
  <c r="B165" i="31"/>
  <c r="G165" i="30"/>
  <c r="H165" i="30" s="1"/>
  <c r="D165" i="30"/>
  <c r="C165" i="30"/>
  <c r="B166" i="30"/>
  <c r="G165" i="32"/>
  <c r="H165" i="32" s="1"/>
  <c r="B166" i="32"/>
  <c r="D165" i="32"/>
  <c r="C165" i="32"/>
  <c r="G165" i="31" l="1"/>
  <c r="H165" i="31" s="1"/>
  <c r="C165" i="31"/>
  <c r="B166" i="31"/>
  <c r="D165" i="31"/>
  <c r="B167" i="30"/>
  <c r="G166" i="30"/>
  <c r="H166" i="30" s="1"/>
  <c r="D166" i="30"/>
  <c r="C166" i="30"/>
  <c r="B167" i="32"/>
  <c r="D166" i="32"/>
  <c r="C166" i="32"/>
  <c r="G166" i="32"/>
  <c r="H166" i="32" s="1"/>
  <c r="C166" i="31" l="1"/>
  <c r="B167" i="31"/>
  <c r="G166" i="31"/>
  <c r="H166" i="31" s="1"/>
  <c r="D166" i="31"/>
  <c r="C167" i="30"/>
  <c r="B168" i="30"/>
  <c r="G167" i="30"/>
  <c r="H167" i="30" s="1"/>
  <c r="D167" i="30"/>
  <c r="G167" i="32"/>
  <c r="H167" i="32" s="1"/>
  <c r="C167" i="32"/>
  <c r="B168" i="32"/>
  <c r="D167" i="32"/>
  <c r="G167" i="31" l="1"/>
  <c r="H167" i="31" s="1"/>
  <c r="C167" i="31"/>
  <c r="D167" i="31"/>
  <c r="B168" i="31"/>
  <c r="G168" i="30"/>
  <c r="H168" i="30" s="1"/>
  <c r="D168" i="30"/>
  <c r="C168" i="30"/>
  <c r="B169" i="30"/>
  <c r="B169" i="32"/>
  <c r="D168" i="32"/>
  <c r="C168" i="32"/>
  <c r="G168" i="32"/>
  <c r="H168" i="32" s="1"/>
  <c r="G168" i="31" l="1"/>
  <c r="H168" i="31" s="1"/>
  <c r="D168" i="31"/>
  <c r="C168" i="31"/>
  <c r="B169" i="31"/>
  <c r="B170" i="30"/>
  <c r="G169" i="30"/>
  <c r="H169" i="30" s="1"/>
  <c r="D169" i="30"/>
  <c r="C169" i="30"/>
  <c r="G169" i="32"/>
  <c r="H169" i="32" s="1"/>
  <c r="B170" i="32"/>
  <c r="D169" i="32"/>
  <c r="C169" i="32"/>
  <c r="G169" i="31" l="1"/>
  <c r="H169" i="31" s="1"/>
  <c r="C169" i="31"/>
  <c r="B170" i="31"/>
  <c r="D169" i="31"/>
  <c r="D170" i="30"/>
  <c r="C170" i="30"/>
  <c r="B171" i="30"/>
  <c r="G170" i="30"/>
  <c r="H170" i="30" s="1"/>
  <c r="B171" i="32"/>
  <c r="D170" i="32"/>
  <c r="C170" i="32"/>
  <c r="G170" i="32"/>
  <c r="H170" i="32" s="1"/>
  <c r="C170" i="31" l="1"/>
  <c r="B171" i="31"/>
  <c r="G170" i="31"/>
  <c r="H170" i="31" s="1"/>
  <c r="D170" i="31"/>
  <c r="B172" i="30"/>
  <c r="G171" i="30"/>
  <c r="H171" i="30" s="1"/>
  <c r="D171" i="30"/>
  <c r="C171" i="30"/>
  <c r="G171" i="32"/>
  <c r="H171" i="32" s="1"/>
  <c r="B172" i="32"/>
  <c r="D171" i="32"/>
  <c r="C171" i="32"/>
  <c r="G171" i="31" l="1"/>
  <c r="H171" i="31" s="1"/>
  <c r="C171" i="31"/>
  <c r="B172" i="31"/>
  <c r="D171" i="31"/>
  <c r="B173" i="30"/>
  <c r="G172" i="30"/>
  <c r="H172" i="30" s="1"/>
  <c r="D172" i="30"/>
  <c r="C172" i="30"/>
  <c r="B173" i="32"/>
  <c r="D172" i="32"/>
  <c r="C172" i="32"/>
  <c r="G172" i="32"/>
  <c r="H172" i="32" s="1"/>
  <c r="G172" i="31" l="1"/>
  <c r="H172" i="31" s="1"/>
  <c r="D172" i="31"/>
  <c r="C172" i="31"/>
  <c r="B173" i="31"/>
  <c r="G173" i="30"/>
  <c r="H173" i="30" s="1"/>
  <c r="D173" i="30"/>
  <c r="C173" i="30"/>
  <c r="B174" i="30"/>
  <c r="G173" i="32"/>
  <c r="H173" i="32" s="1"/>
  <c r="B174" i="32"/>
  <c r="D173" i="32"/>
  <c r="C173" i="32"/>
  <c r="G173" i="31" l="1"/>
  <c r="H173" i="31" s="1"/>
  <c r="C173" i="31"/>
  <c r="D173" i="31"/>
  <c r="B174" i="31"/>
  <c r="B175" i="30"/>
  <c r="G174" i="30"/>
  <c r="H174" i="30" s="1"/>
  <c r="D174" i="30"/>
  <c r="C174" i="30"/>
  <c r="B175" i="32"/>
  <c r="D174" i="32"/>
  <c r="C174" i="32"/>
  <c r="G174" i="32"/>
  <c r="H174" i="32" s="1"/>
  <c r="C174" i="31" l="1"/>
  <c r="B175" i="31"/>
  <c r="G174" i="31"/>
  <c r="H174" i="31" s="1"/>
  <c r="D174" i="31"/>
  <c r="C175" i="30"/>
  <c r="B176" i="30"/>
  <c r="G175" i="30"/>
  <c r="H175" i="30" s="1"/>
  <c r="D175" i="30"/>
  <c r="G175" i="32"/>
  <c r="H175" i="32" s="1"/>
  <c r="B176" i="32"/>
  <c r="D175" i="32"/>
  <c r="C175" i="32"/>
  <c r="G175" i="31" l="1"/>
  <c r="H175" i="31" s="1"/>
  <c r="C175" i="31"/>
  <c r="B176" i="31"/>
  <c r="D175" i="31"/>
  <c r="G176" i="30"/>
  <c r="H176" i="30" s="1"/>
  <c r="D176" i="30"/>
  <c r="C176" i="30"/>
  <c r="B177" i="30"/>
  <c r="B177" i="32"/>
  <c r="D176" i="32"/>
  <c r="C176" i="32"/>
  <c r="G176" i="32"/>
  <c r="H176" i="32" s="1"/>
  <c r="G176" i="31" l="1"/>
  <c r="H176" i="31" s="1"/>
  <c r="D176" i="31"/>
  <c r="C176" i="31"/>
  <c r="B177" i="31"/>
  <c r="B178" i="30"/>
  <c r="G177" i="30"/>
  <c r="H177" i="30" s="1"/>
  <c r="D177" i="30"/>
  <c r="C177" i="30"/>
  <c r="G177" i="32"/>
  <c r="H177" i="32" s="1"/>
  <c r="B178" i="32"/>
  <c r="D177" i="32"/>
  <c r="C177" i="32"/>
  <c r="G177" i="31" l="1"/>
  <c r="H177" i="31" s="1"/>
  <c r="C177" i="31"/>
  <c r="D177" i="31"/>
  <c r="B178" i="31"/>
  <c r="D178" i="30"/>
  <c r="C178" i="30"/>
  <c r="B179" i="30"/>
  <c r="G178" i="30"/>
  <c r="H178" i="30" s="1"/>
  <c r="B179" i="32"/>
  <c r="D178" i="32"/>
  <c r="C178" i="32"/>
  <c r="G178" i="32"/>
  <c r="H178" i="32" s="1"/>
  <c r="C178" i="31" l="1"/>
  <c r="B179" i="31"/>
  <c r="G178" i="31"/>
  <c r="H178" i="31" s="1"/>
  <c r="D178" i="31"/>
  <c r="B180" i="30"/>
  <c r="G179" i="30"/>
  <c r="H179" i="30" s="1"/>
  <c r="D179" i="30"/>
  <c r="C179" i="30"/>
  <c r="G179" i="32"/>
  <c r="H179" i="32" s="1"/>
  <c r="B180" i="32"/>
  <c r="D179" i="32"/>
  <c r="C179" i="32"/>
  <c r="G179" i="31" l="1"/>
  <c r="H179" i="31" s="1"/>
  <c r="C179" i="31"/>
  <c r="B180" i="31"/>
  <c r="D179" i="31"/>
  <c r="B181" i="30"/>
  <c r="G180" i="30"/>
  <c r="H180" i="30" s="1"/>
  <c r="C180" i="30"/>
  <c r="D180" i="30"/>
  <c r="B181" i="32"/>
  <c r="D180" i="32"/>
  <c r="C180" i="32"/>
  <c r="G180" i="32"/>
  <c r="H180" i="32" s="1"/>
  <c r="G180" i="31" l="1"/>
  <c r="H180" i="31" s="1"/>
  <c r="D180" i="31"/>
  <c r="C180" i="31"/>
  <c r="B181" i="31"/>
  <c r="C181" i="31" s="1"/>
  <c r="G181" i="30"/>
  <c r="H181" i="30" s="1"/>
  <c r="D181" i="30"/>
  <c r="C181" i="30"/>
  <c r="B182" i="30"/>
  <c r="G181" i="32"/>
  <c r="H181" i="32" s="1"/>
  <c r="B182" i="32"/>
  <c r="D181" i="32"/>
  <c r="C181" i="32"/>
  <c r="G181" i="31" l="1"/>
  <c r="H181" i="31" s="1"/>
  <c r="D181" i="31"/>
  <c r="B182" i="31"/>
  <c r="B183" i="30"/>
  <c r="G182" i="30"/>
  <c r="H182" i="30" s="1"/>
  <c r="D182" i="30"/>
  <c r="C182" i="30"/>
  <c r="B183" i="32"/>
  <c r="D182" i="32"/>
  <c r="C182" i="32"/>
  <c r="G182" i="32"/>
  <c r="H182" i="32" s="1"/>
  <c r="C182" i="31" l="1"/>
  <c r="B183" i="31"/>
  <c r="G182" i="31"/>
  <c r="H182" i="31" s="1"/>
  <c r="D182" i="31"/>
  <c r="C183" i="30"/>
  <c r="B184" i="30"/>
  <c r="G183" i="30"/>
  <c r="H183" i="30" s="1"/>
  <c r="D183" i="30"/>
  <c r="G183" i="32"/>
  <c r="H183" i="32" s="1"/>
  <c r="B184" i="32"/>
  <c r="D183" i="32"/>
  <c r="C183" i="32"/>
  <c r="G183" i="31" l="1"/>
  <c r="H183" i="31" s="1"/>
  <c r="C183" i="31"/>
  <c r="D183" i="31"/>
  <c r="B184" i="31"/>
  <c r="G184" i="30"/>
  <c r="H184" i="30" s="1"/>
  <c r="D184" i="30"/>
  <c r="C184" i="30"/>
  <c r="B185" i="30"/>
  <c r="B185" i="32"/>
  <c r="B186" i="32" s="1"/>
  <c r="D184" i="32"/>
  <c r="C184" i="32"/>
  <c r="G184" i="32"/>
  <c r="H184" i="32" s="1"/>
  <c r="D186" i="32" l="1"/>
  <c r="G186" i="32"/>
  <c r="H186" i="32" s="1"/>
  <c r="B187" i="32"/>
  <c r="C186" i="32"/>
  <c r="G184" i="31"/>
  <c r="H184" i="31" s="1"/>
  <c r="D184" i="31"/>
  <c r="C184" i="31"/>
  <c r="B185" i="31"/>
  <c r="B186" i="31" s="1"/>
  <c r="G185" i="30"/>
  <c r="H185" i="30" s="1"/>
  <c r="D185" i="30"/>
  <c r="C185" i="30"/>
  <c r="G185" i="32"/>
  <c r="H185" i="32" s="1"/>
  <c r="D185" i="32"/>
  <c r="C185" i="32"/>
  <c r="B187" i="31" l="1"/>
  <c r="C186" i="31"/>
  <c r="D186" i="31"/>
  <c r="G186" i="31"/>
  <c r="H186" i="31" s="1"/>
  <c r="B188" i="32"/>
  <c r="C187" i="32"/>
  <c r="D187" i="32"/>
  <c r="G187" i="32"/>
  <c r="H187" i="32" s="1"/>
  <c r="G185" i="31"/>
  <c r="H185" i="31" s="1"/>
  <c r="C185" i="31"/>
  <c r="D185" i="31"/>
  <c r="B188" i="31" l="1"/>
  <c r="C187" i="31"/>
  <c r="D187" i="31"/>
  <c r="G187" i="31"/>
  <c r="H187" i="31" s="1"/>
  <c r="B189" i="32"/>
  <c r="C188" i="32"/>
  <c r="D188" i="32"/>
  <c r="G188" i="32"/>
  <c r="H188" i="32" s="1"/>
  <c r="B189" i="31" l="1"/>
  <c r="G188" i="31"/>
  <c r="H188" i="31" s="1"/>
  <c r="C188" i="31"/>
  <c r="D188" i="31"/>
  <c r="B190" i="32"/>
  <c r="C189" i="32"/>
  <c r="D189" i="32"/>
  <c r="G189" i="32"/>
  <c r="H189" i="32" s="1"/>
  <c r="B190" i="31" l="1"/>
  <c r="C189" i="31"/>
  <c r="D189" i="31"/>
  <c r="G189" i="31"/>
  <c r="H189" i="31" s="1"/>
  <c r="B191" i="32"/>
  <c r="C190" i="32"/>
  <c r="D190" i="32"/>
  <c r="G190" i="32"/>
  <c r="H190" i="32" s="1"/>
  <c r="B191" i="31" l="1"/>
  <c r="C190" i="31"/>
  <c r="D190" i="31"/>
  <c r="G190" i="31"/>
  <c r="H190" i="31" s="1"/>
  <c r="B192" i="32"/>
  <c r="C191" i="32"/>
  <c r="D191" i="32"/>
  <c r="G191" i="32"/>
  <c r="H191" i="32" s="1"/>
  <c r="B192" i="31" l="1"/>
  <c r="C191" i="31"/>
  <c r="D191" i="31"/>
  <c r="G191" i="31"/>
  <c r="H191" i="31" s="1"/>
  <c r="B193" i="32"/>
  <c r="C192" i="32"/>
  <c r="D192" i="32"/>
  <c r="G192" i="32"/>
  <c r="H192" i="32" s="1"/>
  <c r="B193" i="31" l="1"/>
  <c r="C192" i="31"/>
  <c r="D192" i="31"/>
  <c r="G192" i="31"/>
  <c r="H192" i="31" s="1"/>
  <c r="B194" i="32"/>
  <c r="C193" i="32"/>
  <c r="D193" i="32"/>
  <c r="G193" i="32"/>
  <c r="H193" i="32" s="1"/>
  <c r="B194" i="31" l="1"/>
  <c r="D193" i="31"/>
  <c r="C193" i="31"/>
  <c r="G193" i="31"/>
  <c r="H193" i="31" s="1"/>
  <c r="B195" i="32"/>
  <c r="C194" i="32"/>
  <c r="D194" i="32"/>
  <c r="G194" i="32"/>
  <c r="H194" i="32" s="1"/>
  <c r="B195" i="31" l="1"/>
  <c r="G194" i="31"/>
  <c r="H194" i="31" s="1"/>
  <c r="C194" i="31"/>
  <c r="D194" i="31"/>
  <c r="B196" i="32"/>
  <c r="C195" i="32"/>
  <c r="D195" i="32"/>
  <c r="G195" i="32"/>
  <c r="H195" i="32" s="1"/>
  <c r="B196" i="31" l="1"/>
  <c r="C195" i="31"/>
  <c r="D195" i="31"/>
  <c r="G195" i="31"/>
  <c r="H195" i="31" s="1"/>
  <c r="B197" i="32"/>
  <c r="C196" i="32"/>
  <c r="D196" i="32"/>
  <c r="G196" i="32"/>
  <c r="H196" i="32" s="1"/>
  <c r="B197" i="31" l="1"/>
  <c r="C196" i="31"/>
  <c r="D196" i="31"/>
  <c r="G196" i="31"/>
  <c r="H196" i="31" s="1"/>
  <c r="B198" i="32"/>
  <c r="C197" i="32"/>
  <c r="D197" i="32"/>
  <c r="G197" i="32"/>
  <c r="H197" i="32" s="1"/>
  <c r="B198" i="31" l="1"/>
  <c r="D197" i="31"/>
  <c r="G197" i="31"/>
  <c r="H197" i="31" s="1"/>
  <c r="C197" i="31"/>
  <c r="B199" i="32"/>
  <c r="C198" i="32"/>
  <c r="D198" i="32"/>
  <c r="G198" i="32"/>
  <c r="H198" i="32" s="1"/>
  <c r="B199" i="31" l="1"/>
  <c r="C198" i="31"/>
  <c r="D198" i="31"/>
  <c r="G198" i="31"/>
  <c r="H198" i="31" s="1"/>
  <c r="B200" i="32"/>
  <c r="C199" i="32"/>
  <c r="D199" i="32"/>
  <c r="G199" i="32"/>
  <c r="H199" i="32" s="1"/>
  <c r="B200" i="31" l="1"/>
  <c r="G199" i="31"/>
  <c r="H199" i="31" s="1"/>
  <c r="C199" i="31"/>
  <c r="D199" i="31"/>
  <c r="B201" i="32"/>
  <c r="G200" i="32"/>
  <c r="H200" i="32" s="1"/>
  <c r="C200" i="32"/>
  <c r="D200" i="32"/>
  <c r="B201" i="31" l="1"/>
  <c r="G200" i="31"/>
  <c r="H200" i="31" s="1"/>
  <c r="C200" i="31"/>
  <c r="D200" i="31"/>
  <c r="B202" i="32"/>
  <c r="C201" i="32"/>
  <c r="D201" i="32"/>
  <c r="G201" i="32"/>
  <c r="H201" i="32" s="1"/>
  <c r="B202" i="31" l="1"/>
  <c r="C201" i="31"/>
  <c r="D201" i="31"/>
  <c r="G201" i="31"/>
  <c r="H201" i="31" s="1"/>
  <c r="B203" i="32"/>
  <c r="C202" i="32"/>
  <c r="G202" i="32"/>
  <c r="H202" i="32" s="1"/>
  <c r="D202" i="32"/>
  <c r="B203" i="31" l="1"/>
  <c r="G202" i="31"/>
  <c r="H202" i="31" s="1"/>
  <c r="C202" i="31"/>
  <c r="D202" i="31"/>
  <c r="B204" i="32"/>
  <c r="C203" i="32"/>
  <c r="D203" i="32"/>
  <c r="G203" i="32"/>
  <c r="H203" i="32" s="1"/>
  <c r="B204" i="31" l="1"/>
  <c r="C203" i="31"/>
  <c r="D203" i="31"/>
  <c r="G203" i="31"/>
  <c r="H203" i="31" s="1"/>
  <c r="B205" i="32"/>
  <c r="C204" i="32"/>
  <c r="D204" i="32"/>
  <c r="G204" i="32"/>
  <c r="H204" i="32" s="1"/>
  <c r="B205" i="31" l="1"/>
  <c r="C204" i="31"/>
  <c r="G204" i="31"/>
  <c r="H204" i="31" s="1"/>
  <c r="D204" i="31"/>
  <c r="B206" i="32"/>
  <c r="D205" i="32"/>
  <c r="C205" i="32"/>
  <c r="G205" i="32"/>
  <c r="H205" i="32" s="1"/>
  <c r="B206" i="31" l="1"/>
  <c r="G205" i="31"/>
  <c r="H205" i="31" s="1"/>
  <c r="C205" i="31"/>
  <c r="D205" i="31"/>
  <c r="B207" i="32"/>
  <c r="C206" i="32"/>
  <c r="D206" i="32"/>
  <c r="G206" i="32"/>
  <c r="H206" i="32" s="1"/>
  <c r="B207" i="31" l="1"/>
  <c r="D206" i="31"/>
  <c r="G206" i="31"/>
  <c r="H206" i="31" s="1"/>
  <c r="C206" i="31"/>
  <c r="B208" i="32"/>
  <c r="C207" i="32"/>
  <c r="D207" i="32"/>
  <c r="G207" i="32"/>
  <c r="H207" i="32" s="1"/>
  <c r="B208" i="31" l="1"/>
  <c r="C207" i="31"/>
  <c r="D207" i="31"/>
  <c r="G207" i="31"/>
  <c r="H207" i="31" s="1"/>
  <c r="B209" i="32"/>
  <c r="D208" i="32"/>
  <c r="C208" i="32"/>
  <c r="G208" i="32"/>
  <c r="H208" i="32" s="1"/>
  <c r="B209" i="31" l="1"/>
  <c r="C208" i="31"/>
  <c r="D208" i="31"/>
  <c r="G208" i="31"/>
  <c r="H208" i="31" s="1"/>
  <c r="B210" i="32"/>
  <c r="C209" i="32"/>
  <c r="D209" i="32"/>
  <c r="G209" i="32"/>
  <c r="H209" i="32" s="1"/>
  <c r="B210" i="31" l="1"/>
  <c r="C209" i="31"/>
  <c r="D209" i="31"/>
  <c r="G209" i="31"/>
  <c r="H209" i="31" s="1"/>
  <c r="B211" i="32"/>
  <c r="C210" i="32"/>
  <c r="D210" i="32"/>
  <c r="G210" i="32"/>
  <c r="H210" i="32" s="1"/>
  <c r="B211" i="31" l="1"/>
  <c r="C210" i="31"/>
  <c r="D210" i="31"/>
  <c r="G210" i="31"/>
  <c r="H210" i="31" s="1"/>
  <c r="B212" i="32"/>
  <c r="D211" i="32"/>
  <c r="C211" i="32"/>
  <c r="G211" i="32"/>
  <c r="H211" i="32" s="1"/>
  <c r="C211" i="31" l="1"/>
  <c r="D211" i="31"/>
  <c r="G211" i="31"/>
  <c r="H211" i="31" s="1"/>
  <c r="B212" i="31"/>
  <c r="B213" i="32"/>
  <c r="C212" i="32"/>
  <c r="D212" i="32"/>
  <c r="G212" i="32"/>
  <c r="H212" i="32" s="1"/>
  <c r="B213" i="31" l="1"/>
  <c r="C212" i="31"/>
  <c r="D212" i="31"/>
  <c r="G212" i="31"/>
  <c r="H212" i="31" s="1"/>
  <c r="B214" i="32"/>
  <c r="C213" i="32"/>
  <c r="D213" i="32"/>
  <c r="G213" i="32"/>
  <c r="H213" i="32" s="1"/>
  <c r="B214" i="31" l="1"/>
  <c r="G213" i="31"/>
  <c r="H213" i="31" s="1"/>
  <c r="D213" i="31"/>
  <c r="C213" i="31"/>
  <c r="B215" i="32"/>
  <c r="G214" i="32"/>
  <c r="H214" i="32" s="1"/>
  <c r="C214" i="32"/>
  <c r="D214" i="32"/>
  <c r="B215" i="31" l="1"/>
  <c r="C214" i="31"/>
  <c r="G214" i="31"/>
  <c r="H214" i="31" s="1"/>
  <c r="D214" i="31"/>
  <c r="B216" i="32"/>
  <c r="C215" i="32"/>
  <c r="D215" i="32"/>
  <c r="G215" i="32"/>
  <c r="H215" i="32" s="1"/>
  <c r="B216" i="31" l="1"/>
  <c r="C215" i="31"/>
  <c r="D215" i="31"/>
  <c r="G215" i="31"/>
  <c r="H215" i="31" s="1"/>
  <c r="B217" i="32"/>
  <c r="C216" i="32"/>
  <c r="D216" i="32"/>
  <c r="G216" i="32"/>
  <c r="H216" i="32" s="1"/>
  <c r="B217" i="31" l="1"/>
  <c r="G216" i="31"/>
  <c r="H216" i="31" s="1"/>
  <c r="D216" i="31"/>
  <c r="C216" i="31"/>
  <c r="B218" i="32"/>
  <c r="D217" i="32"/>
  <c r="G217" i="32"/>
  <c r="H217" i="32" s="1"/>
  <c r="C217" i="32"/>
  <c r="B218" i="31" l="1"/>
  <c r="C217" i="31"/>
  <c r="D217" i="31"/>
  <c r="G217" i="31"/>
  <c r="H217" i="31" s="1"/>
  <c r="B219" i="32"/>
  <c r="C218" i="32"/>
  <c r="D218" i="32"/>
  <c r="G218" i="32"/>
  <c r="H218" i="32" s="1"/>
  <c r="B219" i="31" l="1"/>
  <c r="C218" i="31"/>
  <c r="H218" i="31"/>
  <c r="D218" i="31"/>
  <c r="B220" i="32"/>
  <c r="G219" i="32"/>
  <c r="H219" i="32" s="1"/>
  <c r="C219" i="32"/>
  <c r="D219" i="32"/>
  <c r="E2" i="39" l="1"/>
  <c r="A3" i="39"/>
  <c r="D2" i="39"/>
  <c r="C2" i="39"/>
  <c r="B2" i="39"/>
  <c r="H219" i="31"/>
  <c r="C219" i="31"/>
  <c r="D219" i="31"/>
  <c r="B221" i="32"/>
  <c r="D220" i="32"/>
  <c r="G220" i="32"/>
  <c r="H220" i="32" s="1"/>
  <c r="C220" i="32"/>
  <c r="AR2" i="39" l="1"/>
  <c r="AD2" i="39"/>
  <c r="AH2" i="39"/>
  <c r="AG2" i="39"/>
  <c r="AE2" i="39"/>
  <c r="AC2" i="39"/>
  <c r="AF2" i="39"/>
  <c r="B3" i="39"/>
  <c r="E3" i="39"/>
  <c r="D3" i="39"/>
  <c r="C3" i="39"/>
  <c r="A4" i="39"/>
  <c r="B222" i="32"/>
  <c r="C221" i="32"/>
  <c r="D221" i="32"/>
  <c r="G221" i="32"/>
  <c r="H221" i="32" s="1"/>
  <c r="AR3" i="39" l="1"/>
  <c r="AD3" i="39"/>
  <c r="AH3" i="39"/>
  <c r="AG3" i="39"/>
  <c r="AE3" i="39"/>
  <c r="AC3" i="39"/>
  <c r="AF3" i="39"/>
  <c r="A5" i="39"/>
  <c r="E4" i="39"/>
  <c r="D4" i="39"/>
  <c r="C4" i="39"/>
  <c r="B4" i="39"/>
  <c r="B223" i="32"/>
  <c r="G222" i="32"/>
  <c r="H222" i="32" s="1"/>
  <c r="C222" i="32"/>
  <c r="D222" i="32"/>
  <c r="AR4" i="39" l="1"/>
  <c r="AD4" i="39"/>
  <c r="AH4" i="39"/>
  <c r="AG4" i="39"/>
  <c r="AE4" i="39"/>
  <c r="AC4" i="39"/>
  <c r="AF4" i="39"/>
  <c r="C5" i="39"/>
  <c r="B5" i="39"/>
  <c r="A6" i="39"/>
  <c r="E5" i="39"/>
  <c r="D5" i="39"/>
  <c r="B224" i="32"/>
  <c r="D223" i="32"/>
  <c r="G223" i="32"/>
  <c r="H223" i="32" s="1"/>
  <c r="C223" i="32"/>
  <c r="AR5" i="39" l="1"/>
  <c r="AD5" i="39"/>
  <c r="AH5" i="39"/>
  <c r="AG5" i="39"/>
  <c r="AE5" i="39"/>
  <c r="AF5" i="39"/>
  <c r="AC5" i="39"/>
  <c r="E6" i="39"/>
  <c r="A7" i="39"/>
  <c r="D6" i="39"/>
  <c r="C6" i="39"/>
  <c r="B6" i="39"/>
  <c r="B225" i="32"/>
  <c r="C224" i="32"/>
  <c r="D224" i="32"/>
  <c r="G224" i="32"/>
  <c r="H224" i="32" s="1"/>
  <c r="AR6" i="39" l="1"/>
  <c r="AD6" i="39"/>
  <c r="AH6" i="39"/>
  <c r="AG6" i="39"/>
  <c r="AF6" i="39"/>
  <c r="AE6" i="39"/>
  <c r="AC6" i="39"/>
  <c r="B7" i="39"/>
  <c r="A8" i="39"/>
  <c r="E7" i="39"/>
  <c r="D7" i="39"/>
  <c r="C7" i="39"/>
  <c r="B226" i="32"/>
  <c r="C225" i="32"/>
  <c r="D225" i="32"/>
  <c r="G225" i="32"/>
  <c r="H225" i="32" s="1"/>
  <c r="AR7" i="39" l="1"/>
  <c r="AD7" i="39"/>
  <c r="AH7" i="39"/>
  <c r="AG7" i="39"/>
  <c r="AF7" i="39"/>
  <c r="AE7" i="39"/>
  <c r="AC7" i="39"/>
  <c r="B8" i="39"/>
  <c r="A9" i="39"/>
  <c r="E8" i="39"/>
  <c r="D8" i="39"/>
  <c r="C8" i="39"/>
  <c r="B227" i="32"/>
  <c r="C226" i="32"/>
  <c r="D226" i="32"/>
  <c r="G226" i="32"/>
  <c r="H226" i="32" s="1"/>
  <c r="AR8" i="39" l="1"/>
  <c r="AD8" i="39"/>
  <c r="AH8" i="39"/>
  <c r="AG8" i="39"/>
  <c r="AF8" i="39"/>
  <c r="AE8" i="39"/>
  <c r="AC8" i="39"/>
  <c r="C9" i="39"/>
  <c r="E9" i="39"/>
  <c r="D9" i="39"/>
  <c r="B9" i="39"/>
  <c r="A10" i="39"/>
  <c r="B228" i="32"/>
  <c r="C227" i="32"/>
  <c r="D227" i="32"/>
  <c r="G227" i="32"/>
  <c r="H227" i="32" s="1"/>
  <c r="AR9" i="39" l="1"/>
  <c r="AD9" i="39"/>
  <c r="AH9" i="39"/>
  <c r="AF9" i="39"/>
  <c r="AG9" i="39"/>
  <c r="AE9" i="39"/>
  <c r="AC9" i="39"/>
  <c r="E10" i="39"/>
  <c r="A11" i="39"/>
  <c r="D10" i="39"/>
  <c r="C10" i="39"/>
  <c r="B10" i="39"/>
  <c r="B229" i="32"/>
  <c r="G228" i="32"/>
  <c r="H228" i="32" s="1"/>
  <c r="D228" i="32"/>
  <c r="C228" i="32"/>
  <c r="AR10" i="39" l="1"/>
  <c r="AD10" i="39"/>
  <c r="AH10" i="39"/>
  <c r="AF10" i="39"/>
  <c r="AG10" i="39"/>
  <c r="AE10" i="39"/>
  <c r="AC10" i="39"/>
  <c r="B11" i="39"/>
  <c r="A12" i="39"/>
  <c r="E11" i="39"/>
  <c r="D11" i="39"/>
  <c r="C11" i="39"/>
  <c r="B230" i="32"/>
  <c r="C229" i="32"/>
  <c r="D229" i="32"/>
  <c r="G229" i="32"/>
  <c r="H229" i="32" s="1"/>
  <c r="AR11" i="39" l="1"/>
  <c r="AD11" i="39"/>
  <c r="AH11" i="39"/>
  <c r="AE11" i="39"/>
  <c r="AG11" i="39"/>
  <c r="AF11" i="39"/>
  <c r="AC11" i="39"/>
  <c r="E12" i="39"/>
  <c r="D12" i="39"/>
  <c r="C12" i="39"/>
  <c r="B12" i="39"/>
  <c r="A13" i="39"/>
  <c r="B231" i="32"/>
  <c r="C230" i="32"/>
  <c r="G230" i="32"/>
  <c r="H230" i="32" s="1"/>
  <c r="D230" i="32"/>
  <c r="AR12" i="39" l="1"/>
  <c r="AD12" i="39"/>
  <c r="AF12" i="39"/>
  <c r="AE12" i="39"/>
  <c r="AH12" i="39"/>
  <c r="AG12" i="39"/>
  <c r="AC12" i="39"/>
  <c r="C13" i="39"/>
  <c r="A14" i="39"/>
  <c r="E13" i="39"/>
  <c r="D13" i="39"/>
  <c r="B13" i="39"/>
  <c r="B232" i="32"/>
  <c r="D231" i="32"/>
  <c r="G231" i="32"/>
  <c r="H231" i="32" s="1"/>
  <c r="C231" i="32"/>
  <c r="AR13" i="39" l="1"/>
  <c r="AD13" i="39"/>
  <c r="AH13" i="39"/>
  <c r="AF13" i="39"/>
  <c r="AG13" i="39"/>
  <c r="AE13" i="39"/>
  <c r="AC13" i="39"/>
  <c r="E14" i="39"/>
  <c r="A15" i="39"/>
  <c r="D14" i="39"/>
  <c r="B14" i="39"/>
  <c r="C14" i="39"/>
  <c r="B233" i="32"/>
  <c r="C232" i="32"/>
  <c r="D232" i="32"/>
  <c r="G232" i="32"/>
  <c r="H232" i="32" s="1"/>
  <c r="AR14" i="39" l="1"/>
  <c r="AD14" i="39"/>
  <c r="AH14" i="39"/>
  <c r="AE14" i="39"/>
  <c r="AG14" i="39"/>
  <c r="AF14" i="39"/>
  <c r="AC14" i="39"/>
  <c r="B15" i="39"/>
  <c r="A16" i="39"/>
  <c r="E15" i="39"/>
  <c r="D15" i="39"/>
  <c r="C15" i="39"/>
  <c r="B234" i="32"/>
  <c r="G233" i="32"/>
  <c r="H233" i="32" s="1"/>
  <c r="C233" i="32"/>
  <c r="D233" i="32"/>
  <c r="AR15" i="39" l="1"/>
  <c r="AD15" i="39"/>
  <c r="AH15" i="39"/>
  <c r="AF15" i="39"/>
  <c r="AG15" i="39"/>
  <c r="AE15" i="39"/>
  <c r="AC15" i="39"/>
  <c r="E16" i="39"/>
  <c r="A17" i="39"/>
  <c r="D16" i="39"/>
  <c r="C16" i="39"/>
  <c r="B16" i="39"/>
  <c r="B235" i="32"/>
  <c r="D234" i="32"/>
  <c r="G234" i="32"/>
  <c r="H234" i="32" s="1"/>
  <c r="C234" i="32"/>
  <c r="AR16" i="39" l="1"/>
  <c r="AD16" i="39"/>
  <c r="AH16" i="39"/>
  <c r="AG16" i="39"/>
  <c r="AC16" i="39"/>
  <c r="AF16" i="39"/>
  <c r="AE16" i="39"/>
  <c r="C17" i="39"/>
  <c r="B17" i="39"/>
  <c r="D17" i="39"/>
  <c r="A18" i="39"/>
  <c r="E17" i="39"/>
  <c r="B236" i="32"/>
  <c r="C235" i="32"/>
  <c r="D235" i="32"/>
  <c r="G235" i="32"/>
  <c r="H235" i="32" s="1"/>
  <c r="AR17" i="39" l="1"/>
  <c r="AD17" i="39"/>
  <c r="AH17" i="39"/>
  <c r="AG17" i="39"/>
  <c r="AE17" i="39"/>
  <c r="AC17" i="39"/>
  <c r="AF17" i="39"/>
  <c r="E18" i="39"/>
  <c r="A19" i="39"/>
  <c r="D18" i="39"/>
  <c r="C18" i="39"/>
  <c r="B18" i="39"/>
  <c r="B237" i="32"/>
  <c r="G236" i="32"/>
  <c r="H236" i="32" s="1"/>
  <c r="C236" i="32"/>
  <c r="D236" i="32"/>
  <c r="AR18" i="39" l="1"/>
  <c r="AD18" i="39"/>
  <c r="AH18" i="39"/>
  <c r="AG18" i="39"/>
  <c r="AF18" i="39"/>
  <c r="AC18" i="39"/>
  <c r="AE18" i="39"/>
  <c r="B19" i="39"/>
  <c r="A20" i="39"/>
  <c r="E19" i="39"/>
  <c r="D19" i="39"/>
  <c r="C19" i="39"/>
  <c r="B238" i="32"/>
  <c r="C237" i="32"/>
  <c r="D237" i="32"/>
  <c r="G237" i="32"/>
  <c r="H237" i="32" s="1"/>
  <c r="AR19" i="39" l="1"/>
  <c r="AD19" i="39"/>
  <c r="AH19" i="39"/>
  <c r="AG19" i="39"/>
  <c r="AF19" i="39"/>
  <c r="AC19" i="39"/>
  <c r="AE19" i="39"/>
  <c r="E20" i="39"/>
  <c r="A21" i="39"/>
  <c r="D20" i="39"/>
  <c r="C20" i="39"/>
  <c r="B20" i="39"/>
  <c r="B239" i="32"/>
  <c r="C238" i="32"/>
  <c r="D238" i="32"/>
  <c r="G238" i="32"/>
  <c r="H238" i="32" s="1"/>
  <c r="AR20" i="39" l="1"/>
  <c r="AD20" i="39"/>
  <c r="AH20" i="39"/>
  <c r="AG20" i="39"/>
  <c r="AC20" i="39"/>
  <c r="AF20" i="39"/>
  <c r="AE20" i="39"/>
  <c r="C21" i="39"/>
  <c r="B21" i="39"/>
  <c r="A22" i="39"/>
  <c r="E21" i="39"/>
  <c r="D21" i="39"/>
  <c r="B240" i="32"/>
  <c r="G239" i="32"/>
  <c r="H239" i="32" s="1"/>
  <c r="C239" i="32"/>
  <c r="D239" i="32"/>
  <c r="AR21" i="39" l="1"/>
  <c r="AD21" i="39"/>
  <c r="AH21" i="39"/>
  <c r="AF21" i="39"/>
  <c r="AG21" i="39"/>
  <c r="AE21" i="39"/>
  <c r="AC21" i="39"/>
  <c r="E22" i="39"/>
  <c r="A23" i="39"/>
  <c r="D22" i="39"/>
  <c r="C22" i="39"/>
  <c r="B22" i="39"/>
  <c r="B241" i="32"/>
  <c r="C240" i="32"/>
  <c r="D240" i="32"/>
  <c r="G240" i="32"/>
  <c r="H240" i="32" s="1"/>
  <c r="AR22" i="39" l="1"/>
  <c r="AD22" i="39"/>
  <c r="AH22" i="39"/>
  <c r="AF22" i="39"/>
  <c r="AE22" i="39"/>
  <c r="AG22" i="39"/>
  <c r="AC22" i="39"/>
  <c r="B23" i="39"/>
  <c r="E23" i="39"/>
  <c r="D23" i="39"/>
  <c r="C23" i="39"/>
  <c r="A24" i="39"/>
  <c r="B242" i="32"/>
  <c r="C241" i="32"/>
  <c r="D241" i="32"/>
  <c r="G241" i="32"/>
  <c r="H241" i="32" s="1"/>
  <c r="AR23" i="39" l="1"/>
  <c r="AD23" i="39"/>
  <c r="AH23" i="39"/>
  <c r="AE23" i="39"/>
  <c r="AG23" i="39"/>
  <c r="AF23" i="39"/>
  <c r="AC23" i="39"/>
  <c r="E24" i="39"/>
  <c r="A25" i="39"/>
  <c r="D24" i="39"/>
  <c r="C24" i="39"/>
  <c r="B24" i="39"/>
  <c r="B243" i="32"/>
  <c r="G242" i="32"/>
  <c r="H242" i="32" s="1"/>
  <c r="C242" i="32"/>
  <c r="D242" i="32"/>
  <c r="AR24" i="39" l="1"/>
  <c r="AD24" i="39"/>
  <c r="AF24" i="39"/>
  <c r="AE24" i="39"/>
  <c r="AG24" i="39"/>
  <c r="AH24" i="39"/>
  <c r="AC24" i="39"/>
  <c r="C25" i="39"/>
  <c r="B25" i="39"/>
  <c r="A26" i="39"/>
  <c r="E25" i="39"/>
  <c r="D25" i="39"/>
  <c r="B244" i="32"/>
  <c r="C243" i="32"/>
  <c r="D243" i="32"/>
  <c r="G243" i="32"/>
  <c r="H243" i="32" s="1"/>
  <c r="AR25" i="39" l="1"/>
  <c r="AD25" i="39"/>
  <c r="AH25" i="39"/>
  <c r="AF25" i="39"/>
  <c r="AE25" i="39"/>
  <c r="AG25" i="39"/>
  <c r="AC25" i="39"/>
  <c r="E26" i="39"/>
  <c r="A27" i="39"/>
  <c r="D26" i="39"/>
  <c r="C26" i="39"/>
  <c r="B26" i="39"/>
  <c r="B245" i="32"/>
  <c r="C244" i="32"/>
  <c r="D244" i="32"/>
  <c r="G244" i="32"/>
  <c r="H244" i="32" s="1"/>
  <c r="AR26" i="39" l="1"/>
  <c r="AD26" i="39"/>
  <c r="AH26" i="39"/>
  <c r="AE26" i="39"/>
  <c r="AG26" i="39"/>
  <c r="AF26" i="39"/>
  <c r="AC26" i="39"/>
  <c r="B27" i="39"/>
  <c r="A28" i="39"/>
  <c r="E27" i="39"/>
  <c r="D27" i="39"/>
  <c r="C27" i="39"/>
  <c r="B246" i="32"/>
  <c r="G245" i="32"/>
  <c r="H245" i="32" s="1"/>
  <c r="C245" i="32"/>
  <c r="D245" i="32"/>
  <c r="AR27" i="39" l="1"/>
  <c r="AD27" i="39"/>
  <c r="AH27" i="39"/>
  <c r="AF27" i="39"/>
  <c r="AG27" i="39"/>
  <c r="AE27" i="39"/>
  <c r="AC27" i="39"/>
  <c r="E28" i="39"/>
  <c r="A29" i="39"/>
  <c r="D28" i="39"/>
  <c r="C28" i="39"/>
  <c r="B28" i="39"/>
  <c r="B247" i="32"/>
  <c r="C246" i="32"/>
  <c r="D246" i="32"/>
  <c r="G246" i="32"/>
  <c r="H246" i="32" s="1"/>
  <c r="AR28" i="39" l="1"/>
  <c r="AD28" i="39"/>
  <c r="AH28" i="39"/>
  <c r="AG28" i="39"/>
  <c r="AC28" i="39"/>
  <c r="AE28" i="39"/>
  <c r="AF28" i="39"/>
  <c r="C29" i="39"/>
  <c r="B29" i="39"/>
  <c r="E29" i="39"/>
  <c r="D29" i="39"/>
  <c r="A30" i="39"/>
  <c r="B248" i="32"/>
  <c r="C247" i="32"/>
  <c r="D247" i="32"/>
  <c r="G247" i="32"/>
  <c r="H247" i="32" s="1"/>
  <c r="AR29" i="39" l="1"/>
  <c r="AD29" i="39"/>
  <c r="AH29" i="39"/>
  <c r="AG29" i="39"/>
  <c r="AE29" i="39"/>
  <c r="AC29" i="39"/>
  <c r="AF29" i="39"/>
  <c r="E30" i="39"/>
  <c r="A31" i="39"/>
  <c r="D30" i="39"/>
  <c r="C30" i="39"/>
  <c r="B30" i="39"/>
  <c r="B249" i="32"/>
  <c r="G248" i="32"/>
  <c r="H248" i="32" s="1"/>
  <c r="C248" i="32"/>
  <c r="D248" i="32"/>
  <c r="AR30" i="39" l="1"/>
  <c r="AD30" i="39"/>
  <c r="AH30" i="39"/>
  <c r="AG30" i="39"/>
  <c r="AF30" i="39"/>
  <c r="AC30" i="39"/>
  <c r="AE30" i="39"/>
  <c r="E31" i="39"/>
  <c r="A32" i="39"/>
  <c r="D31" i="39"/>
  <c r="B31" i="39"/>
  <c r="C31" i="39"/>
  <c r="B250" i="32"/>
  <c r="C249" i="32"/>
  <c r="D249" i="32"/>
  <c r="G249" i="32"/>
  <c r="H249" i="32" s="1"/>
  <c r="AR31" i="39" l="1"/>
  <c r="AD31" i="39"/>
  <c r="AH31" i="39"/>
  <c r="AG31" i="39"/>
  <c r="AF31" i="39"/>
  <c r="AC31" i="39"/>
  <c r="AE31" i="39"/>
  <c r="E32" i="39"/>
  <c r="A33" i="39"/>
  <c r="D32" i="39"/>
  <c r="C32" i="39"/>
  <c r="B32" i="39"/>
  <c r="B251" i="32"/>
  <c r="G250" i="32"/>
  <c r="H250" i="32" s="1"/>
  <c r="C250" i="32"/>
  <c r="D250" i="32"/>
  <c r="AR32" i="39" l="1"/>
  <c r="AD32" i="39"/>
  <c r="AH32" i="39"/>
  <c r="AG32" i="39"/>
  <c r="AC32" i="39"/>
  <c r="AE32" i="39"/>
  <c r="AF32" i="39"/>
  <c r="C33" i="39"/>
  <c r="B33" i="39"/>
  <c r="E33" i="39"/>
  <c r="D33" i="39"/>
  <c r="A34" i="39"/>
  <c r="B252" i="32"/>
  <c r="C251" i="32"/>
  <c r="D251" i="32"/>
  <c r="G251" i="32"/>
  <c r="H251" i="32" s="1"/>
  <c r="AR33" i="39" l="1"/>
  <c r="AD33" i="39"/>
  <c r="AH33" i="39"/>
  <c r="AF33" i="39"/>
  <c r="AE33" i="39"/>
  <c r="AG33" i="39"/>
  <c r="AC33" i="39"/>
  <c r="E34" i="39"/>
  <c r="A35" i="39"/>
  <c r="D34" i="39"/>
  <c r="C34" i="39"/>
  <c r="B34" i="39"/>
  <c r="B253" i="32"/>
  <c r="C252" i="32"/>
  <c r="D252" i="32"/>
  <c r="G252" i="32"/>
  <c r="H252" i="32" s="1"/>
  <c r="AR34" i="39" l="1"/>
  <c r="AD34" i="39"/>
  <c r="AH34" i="39"/>
  <c r="AF34" i="39"/>
  <c r="AE34" i="39"/>
  <c r="AG34" i="39"/>
  <c r="AC34" i="39"/>
  <c r="E35" i="39"/>
  <c r="A36" i="39"/>
  <c r="D35" i="39"/>
  <c r="C35" i="39"/>
  <c r="B35" i="39"/>
  <c r="B254" i="32"/>
  <c r="G253" i="32"/>
  <c r="H253" i="32" s="1"/>
  <c r="C253" i="32"/>
  <c r="D253" i="32"/>
  <c r="AR35" i="39" l="1"/>
  <c r="AD35" i="39"/>
  <c r="AH35" i="39"/>
  <c r="AE35" i="39"/>
  <c r="AG35" i="39"/>
  <c r="AF35" i="39"/>
  <c r="AC35" i="39"/>
  <c r="E36" i="39"/>
  <c r="A37" i="39"/>
  <c r="D36" i="39"/>
  <c r="C36" i="39"/>
  <c r="B36" i="39"/>
  <c r="B255" i="32"/>
  <c r="C254" i="32"/>
  <c r="D254" i="32"/>
  <c r="G254" i="32"/>
  <c r="H254" i="32" s="1"/>
  <c r="AR36" i="39" l="1"/>
  <c r="AD36" i="39"/>
  <c r="AF36" i="39"/>
  <c r="AE36" i="39"/>
  <c r="AG36" i="39"/>
  <c r="AH36" i="39"/>
  <c r="AC36" i="39"/>
  <c r="C37" i="39"/>
  <c r="B37" i="39"/>
  <c r="A38" i="39"/>
  <c r="E37" i="39"/>
  <c r="D37" i="39"/>
  <c r="B256" i="32"/>
  <c r="C255" i="32"/>
  <c r="D255" i="32"/>
  <c r="G255" i="32"/>
  <c r="H255" i="32" s="1"/>
  <c r="AR37" i="39" l="1"/>
  <c r="AD37" i="39"/>
  <c r="AH37" i="39"/>
  <c r="AF37" i="39"/>
  <c r="AE37" i="39"/>
  <c r="AG37" i="39"/>
  <c r="AC37" i="39"/>
  <c r="E38" i="39"/>
  <c r="A39" i="39"/>
  <c r="D38" i="39"/>
  <c r="C38" i="39"/>
  <c r="B38" i="39"/>
  <c r="B257" i="32"/>
  <c r="C256" i="32"/>
  <c r="G256" i="32"/>
  <c r="H256" i="32" s="1"/>
  <c r="D256" i="32"/>
  <c r="AR38" i="39" l="1"/>
  <c r="AD38" i="39"/>
  <c r="AH38" i="39"/>
  <c r="AE38" i="39"/>
  <c r="AG38" i="39"/>
  <c r="AF38" i="39"/>
  <c r="AC38" i="39"/>
  <c r="E39" i="39"/>
  <c r="A40" i="39"/>
  <c r="D39" i="39"/>
  <c r="C39" i="39"/>
  <c r="B39" i="39"/>
  <c r="B258" i="32"/>
  <c r="C257" i="32"/>
  <c r="D257" i="32"/>
  <c r="G257" i="32"/>
  <c r="H257" i="32" s="1"/>
  <c r="AR39" i="39" l="1"/>
  <c r="AD39" i="39"/>
  <c r="AH39" i="39"/>
  <c r="AF39" i="39"/>
  <c r="AG39" i="39"/>
  <c r="AE39" i="39"/>
  <c r="AC39" i="39"/>
  <c r="E40" i="39"/>
  <c r="A41" i="39"/>
  <c r="D40" i="39"/>
  <c r="C40" i="39"/>
  <c r="B40" i="39"/>
  <c r="B259" i="32"/>
  <c r="C258" i="32"/>
  <c r="D258" i="32"/>
  <c r="G258" i="32"/>
  <c r="H258" i="32" s="1"/>
  <c r="AR40" i="39" l="1"/>
  <c r="AD40" i="39"/>
  <c r="AH40" i="39"/>
  <c r="AG40" i="39"/>
  <c r="AF40" i="39"/>
  <c r="AC40" i="39"/>
  <c r="AE40" i="39"/>
  <c r="C41" i="39"/>
  <c r="B41" i="39"/>
  <c r="E41" i="39"/>
  <c r="D41" i="39"/>
  <c r="A42" i="39"/>
  <c r="B260" i="32"/>
  <c r="G259" i="32"/>
  <c r="H259" i="32" s="1"/>
  <c r="C259" i="32"/>
  <c r="D259" i="32"/>
  <c r="AR41" i="39" l="1"/>
  <c r="AD41" i="39"/>
  <c r="AH41" i="39"/>
  <c r="AG41" i="39"/>
  <c r="AE41" i="39"/>
  <c r="AF41" i="39"/>
  <c r="AC41" i="39"/>
  <c r="E42" i="39"/>
  <c r="A43" i="39"/>
  <c r="D42" i="39"/>
  <c r="C42" i="39"/>
  <c r="B42" i="39"/>
  <c r="B261" i="32"/>
  <c r="C260" i="32"/>
  <c r="D260" i="32"/>
  <c r="G260" i="32"/>
  <c r="H260" i="32" s="1"/>
  <c r="AR42" i="39" l="1"/>
  <c r="AD42" i="39"/>
  <c r="AH42" i="39"/>
  <c r="AG42" i="39"/>
  <c r="AF42" i="39"/>
  <c r="AE42" i="39"/>
  <c r="AC42" i="39"/>
  <c r="E43" i="39"/>
  <c r="A44" i="39"/>
  <c r="D43" i="39"/>
  <c r="C43" i="39"/>
  <c r="B43" i="39"/>
  <c r="B262" i="32"/>
  <c r="C261" i="32"/>
  <c r="D261" i="32"/>
  <c r="G261" i="32"/>
  <c r="H261" i="32" s="1"/>
  <c r="AR43" i="39" l="1"/>
  <c r="AD43" i="39"/>
  <c r="AH43" i="39"/>
  <c r="AF43" i="39"/>
  <c r="AE43" i="39"/>
  <c r="AC43" i="39"/>
  <c r="AG43" i="39"/>
  <c r="E44" i="39"/>
  <c r="A45" i="39"/>
  <c r="D44" i="39"/>
  <c r="C44" i="39"/>
  <c r="B44" i="39"/>
  <c r="B263" i="32"/>
  <c r="G262" i="32"/>
  <c r="H262" i="32" s="1"/>
  <c r="D262" i="32"/>
  <c r="C262" i="32"/>
  <c r="AR44" i="39" l="1"/>
  <c r="AD44" i="39"/>
  <c r="AH44" i="39"/>
  <c r="AG44" i="39"/>
  <c r="AF44" i="39"/>
  <c r="AE44" i="39"/>
  <c r="AC44" i="39"/>
  <c r="C45" i="39"/>
  <c r="B45" i="39"/>
  <c r="E45" i="39"/>
  <c r="D45" i="39"/>
  <c r="A46" i="39"/>
  <c r="B264" i="32"/>
  <c r="C263" i="32"/>
  <c r="D263" i="32"/>
  <c r="G263" i="32"/>
  <c r="H263" i="32" s="1"/>
  <c r="AR45" i="39" l="1"/>
  <c r="AD45" i="39"/>
  <c r="AH45" i="39"/>
  <c r="AF45" i="39"/>
  <c r="AG45" i="39"/>
  <c r="AE45" i="39"/>
  <c r="AC45" i="39"/>
  <c r="E46" i="39"/>
  <c r="A47" i="39"/>
  <c r="D46" i="39"/>
  <c r="C46" i="39"/>
  <c r="B46" i="39"/>
  <c r="B265" i="32"/>
  <c r="G264" i="32"/>
  <c r="H264" i="32" s="1"/>
  <c r="C264" i="32"/>
  <c r="D264" i="32"/>
  <c r="AR46" i="39" l="1"/>
  <c r="AD46" i="39"/>
  <c r="AF46" i="39"/>
  <c r="AH46" i="39"/>
  <c r="AG46" i="39"/>
  <c r="AE46" i="39"/>
  <c r="AC46" i="39"/>
  <c r="E47" i="39"/>
  <c r="A48" i="39"/>
  <c r="D47" i="39"/>
  <c r="C47" i="39"/>
  <c r="B47" i="39"/>
  <c r="B266" i="32"/>
  <c r="C265" i="32"/>
  <c r="D265" i="32"/>
  <c r="G265" i="32"/>
  <c r="H265" i="32" s="1"/>
  <c r="AR47" i="39" l="1"/>
  <c r="AD47" i="39"/>
  <c r="AH47" i="39"/>
  <c r="AE47" i="39"/>
  <c r="AG47" i="39"/>
  <c r="AF47" i="39"/>
  <c r="AC47" i="39"/>
  <c r="E48" i="39"/>
  <c r="A49" i="39"/>
  <c r="D48" i="39"/>
  <c r="C48" i="39"/>
  <c r="B48" i="39"/>
  <c r="B267" i="32"/>
  <c r="C266" i="32"/>
  <c r="D266" i="32"/>
  <c r="G266" i="32"/>
  <c r="H266" i="32" s="1"/>
  <c r="AR48" i="39" l="1"/>
  <c r="AD48" i="39"/>
  <c r="AH48" i="39"/>
  <c r="AF48" i="39"/>
  <c r="AE48" i="39"/>
  <c r="AG48" i="39"/>
  <c r="AC48" i="39"/>
  <c r="C49" i="39"/>
  <c r="B49" i="39"/>
  <c r="A50" i="39"/>
  <c r="E49" i="39"/>
  <c r="D49" i="39"/>
  <c r="B268" i="32"/>
  <c r="D267" i="32"/>
  <c r="C267" i="32"/>
  <c r="G267" i="32"/>
  <c r="H267" i="32" s="1"/>
  <c r="AR49" i="39" l="1"/>
  <c r="AD49" i="39"/>
  <c r="AH49" i="39"/>
  <c r="AF49" i="39"/>
  <c r="AG49" i="39"/>
  <c r="AE49" i="39"/>
  <c r="AC49" i="39"/>
  <c r="E50" i="39"/>
  <c r="A51" i="39"/>
  <c r="D50" i="39"/>
  <c r="C50" i="39"/>
  <c r="B50" i="39"/>
  <c r="B269" i="32"/>
  <c r="C268" i="32"/>
  <c r="D268" i="32"/>
  <c r="G268" i="32"/>
  <c r="H268" i="32" s="1"/>
  <c r="AR50" i="39" l="1"/>
  <c r="AD50" i="39"/>
  <c r="AH50" i="39"/>
  <c r="AE50" i="39"/>
  <c r="AG50" i="39"/>
  <c r="AF50" i="39"/>
  <c r="AC50" i="39"/>
  <c r="E51" i="39"/>
  <c r="A52" i="39"/>
  <c r="D51" i="39"/>
  <c r="C51" i="39"/>
  <c r="B51" i="39"/>
  <c r="B270" i="32"/>
  <c r="C269" i="32"/>
  <c r="D269" i="32"/>
  <c r="G269" i="32"/>
  <c r="H269" i="32" s="1"/>
  <c r="AR51" i="39" l="1"/>
  <c r="AD51" i="39"/>
  <c r="AH51" i="39"/>
  <c r="AF51" i="39"/>
  <c r="AG51" i="39"/>
  <c r="AE51" i="39"/>
  <c r="AC51" i="39"/>
  <c r="E52" i="39"/>
  <c r="A53" i="39"/>
  <c r="D52" i="39"/>
  <c r="C52" i="39"/>
  <c r="B52" i="39"/>
  <c r="B271" i="32"/>
  <c r="D270" i="32"/>
  <c r="C270" i="32"/>
  <c r="G270" i="32"/>
  <c r="H270" i="32" s="1"/>
  <c r="AR52" i="39" l="1"/>
  <c r="AD52" i="39"/>
  <c r="AH52" i="39"/>
  <c r="AG52" i="39"/>
  <c r="AC52" i="39"/>
  <c r="AF52" i="39"/>
  <c r="AE52" i="39"/>
  <c r="C53" i="39"/>
  <c r="B53" i="39"/>
  <c r="A54" i="39"/>
  <c r="E53" i="39"/>
  <c r="D53" i="39"/>
  <c r="B272" i="32"/>
  <c r="C271" i="32"/>
  <c r="D271" i="32"/>
  <c r="G271" i="32"/>
  <c r="H271" i="32" s="1"/>
  <c r="AR53" i="39" l="1"/>
  <c r="AD53" i="39"/>
  <c r="AH53" i="39"/>
  <c r="AG53" i="39"/>
  <c r="AE53" i="39"/>
  <c r="AC53" i="39"/>
  <c r="AF53" i="39"/>
  <c r="E54" i="39"/>
  <c r="A55" i="39"/>
  <c r="D54" i="39"/>
  <c r="C54" i="39"/>
  <c r="B54" i="39"/>
  <c r="B273" i="32"/>
  <c r="C272" i="32"/>
  <c r="D272" i="32"/>
  <c r="G272" i="32"/>
  <c r="H272" i="32" s="1"/>
  <c r="AR54" i="39" l="1"/>
  <c r="AD54" i="39"/>
  <c r="AH54" i="39"/>
  <c r="AG54" i="39"/>
  <c r="AF54" i="39"/>
  <c r="AC54" i="39"/>
  <c r="AE54" i="39"/>
  <c r="E55" i="39"/>
  <c r="A56" i="39"/>
  <c r="D55" i="39"/>
  <c r="C55" i="39"/>
  <c r="B55" i="39"/>
  <c r="B274" i="32"/>
  <c r="C273" i="32"/>
  <c r="G273" i="32"/>
  <c r="H273" i="32" s="1"/>
  <c r="D273" i="32"/>
  <c r="AR55" i="39" l="1"/>
  <c r="AD55" i="39"/>
  <c r="AH55" i="39"/>
  <c r="AF55" i="39"/>
  <c r="AG55" i="39"/>
  <c r="AC55" i="39"/>
  <c r="AE55" i="39"/>
  <c r="E56" i="39"/>
  <c r="A57" i="39"/>
  <c r="D56" i="39"/>
  <c r="C56" i="39"/>
  <c r="B56" i="39"/>
  <c r="B275" i="32"/>
  <c r="C274" i="32"/>
  <c r="D274" i="32"/>
  <c r="G274" i="32"/>
  <c r="H274" i="32" s="1"/>
  <c r="AR56" i="39" l="1"/>
  <c r="AD56" i="39"/>
  <c r="AH56" i="39"/>
  <c r="AG56" i="39"/>
  <c r="AC56" i="39"/>
  <c r="AF56" i="39"/>
  <c r="AE56" i="39"/>
  <c r="C57" i="39"/>
  <c r="B57" i="39"/>
  <c r="A58" i="39"/>
  <c r="E57" i="39"/>
  <c r="D57" i="39"/>
  <c r="B276" i="32"/>
  <c r="C275" i="32"/>
  <c r="D275" i="32"/>
  <c r="G275" i="32"/>
  <c r="H275" i="32" s="1"/>
  <c r="AR57" i="39" l="1"/>
  <c r="AD57" i="39"/>
  <c r="AH57" i="39"/>
  <c r="AF57" i="39"/>
  <c r="AG57" i="39"/>
  <c r="AE57" i="39"/>
  <c r="AC57" i="39"/>
  <c r="E58" i="39"/>
  <c r="A59" i="39"/>
  <c r="D58" i="39"/>
  <c r="C58" i="39"/>
  <c r="B58" i="39"/>
  <c r="B277" i="32"/>
  <c r="G276" i="32"/>
  <c r="H276" i="32" s="1"/>
  <c r="D276" i="32"/>
  <c r="C276" i="32"/>
  <c r="AR58" i="39" l="1"/>
  <c r="AD58" i="39"/>
  <c r="AH58" i="39"/>
  <c r="AF58" i="39"/>
  <c r="AE58" i="39"/>
  <c r="AG58" i="39"/>
  <c r="AC58" i="39"/>
  <c r="E59" i="39"/>
  <c r="A60" i="39"/>
  <c r="D59" i="39"/>
  <c r="C59" i="39"/>
  <c r="B59" i="39"/>
  <c r="B278" i="32"/>
  <c r="C277" i="32"/>
  <c r="D277" i="32"/>
  <c r="G277" i="32"/>
  <c r="H277" i="32" s="1"/>
  <c r="AR59" i="39" l="1"/>
  <c r="AD59" i="39"/>
  <c r="AH59" i="39"/>
  <c r="AE59" i="39"/>
  <c r="AG59" i="39"/>
  <c r="AF59" i="39"/>
  <c r="AC59" i="39"/>
  <c r="E60" i="39"/>
  <c r="A61" i="39"/>
  <c r="D60" i="39"/>
  <c r="C60" i="39"/>
  <c r="B60" i="39"/>
  <c r="B279" i="32"/>
  <c r="C278" i="32"/>
  <c r="G278" i="32"/>
  <c r="H278" i="32" s="1"/>
  <c r="D278" i="32"/>
  <c r="AR60" i="39" l="1"/>
  <c r="AD60" i="39"/>
  <c r="AF60" i="39"/>
  <c r="AE60" i="39"/>
  <c r="AH60" i="39"/>
  <c r="AG60" i="39"/>
  <c r="AC60" i="39"/>
  <c r="C61" i="39"/>
  <c r="B61" i="39"/>
  <c r="A62" i="39"/>
  <c r="E61" i="39"/>
  <c r="D61" i="39"/>
  <c r="B280" i="32"/>
  <c r="D279" i="32"/>
  <c r="G279" i="32"/>
  <c r="H279" i="32" s="1"/>
  <c r="C279" i="32"/>
  <c r="AR61" i="39" l="1"/>
  <c r="AD61" i="39"/>
  <c r="AH61" i="39"/>
  <c r="AF61" i="39"/>
  <c r="AE61" i="39"/>
  <c r="AG61" i="39"/>
  <c r="AC61" i="39"/>
  <c r="E62" i="39"/>
  <c r="A63" i="39"/>
  <c r="D62" i="39"/>
  <c r="C62" i="39"/>
  <c r="B62" i="39"/>
  <c r="B281" i="32"/>
  <c r="C280" i="32"/>
  <c r="D280" i="32"/>
  <c r="G280" i="32"/>
  <c r="H280" i="32" s="1"/>
  <c r="AR62" i="39" l="1"/>
  <c r="AD62" i="39"/>
  <c r="AH62" i="39"/>
  <c r="AE62" i="39"/>
  <c r="AG62" i="39"/>
  <c r="AF62" i="39"/>
  <c r="AC62" i="39"/>
  <c r="E63" i="39"/>
  <c r="A64" i="39"/>
  <c r="D63" i="39"/>
  <c r="C63" i="39"/>
  <c r="B63" i="39"/>
  <c r="B282" i="32"/>
  <c r="G281" i="32"/>
  <c r="H281" i="32" s="1"/>
  <c r="C281" i="32"/>
  <c r="D281" i="32"/>
  <c r="AR63" i="39" l="1"/>
  <c r="AD63" i="39"/>
  <c r="AH63" i="39"/>
  <c r="AF63" i="39"/>
  <c r="AG63" i="39"/>
  <c r="AE63" i="39"/>
  <c r="AC63" i="39"/>
  <c r="E64" i="39"/>
  <c r="A65" i="39"/>
  <c r="D64" i="39"/>
  <c r="C64" i="39"/>
  <c r="B64" i="39"/>
  <c r="B283" i="32"/>
  <c r="D282" i="32"/>
  <c r="G282" i="32"/>
  <c r="H282" i="32" s="1"/>
  <c r="C282" i="32"/>
  <c r="AR64" i="39" l="1"/>
  <c r="AD64" i="39"/>
  <c r="AH64" i="39"/>
  <c r="AG64" i="39"/>
  <c r="AC64" i="39"/>
  <c r="AE64" i="39"/>
  <c r="AF64" i="39"/>
  <c r="C65" i="39"/>
  <c r="B65" i="39"/>
  <c r="A66" i="39"/>
  <c r="E65" i="39"/>
  <c r="D65" i="39"/>
  <c r="B284" i="32"/>
  <c r="C283" i="32"/>
  <c r="D283" i="32"/>
  <c r="G283" i="32"/>
  <c r="H283" i="32" s="1"/>
  <c r="AR65" i="39" l="1"/>
  <c r="AD65" i="39"/>
  <c r="AH65" i="39"/>
  <c r="AG65" i="39"/>
  <c r="AE65" i="39"/>
  <c r="AC65" i="39"/>
  <c r="AF65" i="39"/>
  <c r="E66" i="39"/>
  <c r="A67" i="39"/>
  <c r="D66" i="39"/>
  <c r="C66" i="39"/>
  <c r="B66" i="39"/>
  <c r="B285" i="32"/>
  <c r="C284" i="32"/>
  <c r="D284" i="32"/>
  <c r="G284" i="32"/>
  <c r="H284" i="32" s="1"/>
  <c r="AR66" i="39" l="1"/>
  <c r="AD66" i="39"/>
  <c r="AH66" i="39"/>
  <c r="AG66" i="39"/>
  <c r="AF66" i="39"/>
  <c r="AC66" i="39"/>
  <c r="AE66" i="39"/>
  <c r="E67" i="39"/>
  <c r="A68" i="39"/>
  <c r="D67" i="39"/>
  <c r="C67" i="39"/>
  <c r="B67" i="39"/>
  <c r="B286" i="32"/>
  <c r="C285" i="32"/>
  <c r="D285" i="32"/>
  <c r="G285" i="32"/>
  <c r="H285" i="32" s="1"/>
  <c r="AR67" i="39" l="1"/>
  <c r="AD67" i="39"/>
  <c r="AH67" i="39"/>
  <c r="AF67" i="39"/>
  <c r="AC67" i="39"/>
  <c r="AE67" i="39"/>
  <c r="AG67" i="39"/>
  <c r="E68" i="39"/>
  <c r="A69" i="39"/>
  <c r="D68" i="39"/>
  <c r="C68" i="39"/>
  <c r="B68" i="39"/>
  <c r="B287" i="32"/>
  <c r="C286" i="32"/>
  <c r="D286" i="32"/>
  <c r="G286" i="32"/>
  <c r="H286" i="32" s="1"/>
  <c r="AR68" i="39" l="1"/>
  <c r="AD68" i="39"/>
  <c r="AH68" i="39"/>
  <c r="AG68" i="39"/>
  <c r="AC68" i="39"/>
  <c r="AE68" i="39"/>
  <c r="AF68" i="39"/>
  <c r="C69" i="39"/>
  <c r="B69" i="39"/>
  <c r="E69" i="39"/>
  <c r="A70" i="39"/>
  <c r="D69" i="39"/>
  <c r="B288" i="32"/>
  <c r="G287" i="32"/>
  <c r="H287" i="32" s="1"/>
  <c r="C287" i="32"/>
  <c r="D287" i="32"/>
  <c r="AR69" i="39" l="1"/>
  <c r="AD69" i="39"/>
  <c r="AH69" i="39"/>
  <c r="AF69" i="39"/>
  <c r="AE69" i="39"/>
  <c r="AG69" i="39"/>
  <c r="AC69" i="39"/>
  <c r="E70" i="39"/>
  <c r="A71" i="39"/>
  <c r="D70" i="39"/>
  <c r="C70" i="39"/>
  <c r="B70" i="39"/>
  <c r="B289" i="32"/>
  <c r="C288" i="32"/>
  <c r="D288" i="32"/>
  <c r="G288" i="32"/>
  <c r="H288" i="32" s="1"/>
  <c r="AR70" i="39" l="1"/>
  <c r="AD70" i="39"/>
  <c r="AH70" i="39"/>
  <c r="AF70" i="39"/>
  <c r="AE70" i="39"/>
  <c r="AG70" i="39"/>
  <c r="AC70" i="39"/>
  <c r="E71" i="39"/>
  <c r="A72" i="39"/>
  <c r="D71" i="39"/>
  <c r="C71" i="39"/>
  <c r="B71" i="39"/>
  <c r="B290" i="32"/>
  <c r="C289" i="32"/>
  <c r="D289" i="32"/>
  <c r="G289" i="32"/>
  <c r="H289" i="32" s="1"/>
  <c r="AR71" i="39" l="1"/>
  <c r="AD71" i="39"/>
  <c r="AH71" i="39"/>
  <c r="AE71" i="39"/>
  <c r="AG71" i="39"/>
  <c r="AF71" i="39"/>
  <c r="AC71" i="39"/>
  <c r="E72" i="39"/>
  <c r="A73" i="39"/>
  <c r="D72" i="39"/>
  <c r="C72" i="39"/>
  <c r="B72" i="39"/>
  <c r="B291" i="32"/>
  <c r="G290" i="32"/>
  <c r="H290" i="32" s="1"/>
  <c r="D290" i="32"/>
  <c r="C290" i="32"/>
  <c r="AR72" i="39" l="1"/>
  <c r="AD72" i="39"/>
  <c r="AF72" i="39"/>
  <c r="AE72" i="39"/>
  <c r="AH72" i="39"/>
  <c r="AG72" i="39"/>
  <c r="AC72" i="39"/>
  <c r="C73" i="39"/>
  <c r="B73" i="39"/>
  <c r="E73" i="39"/>
  <c r="A74" i="39"/>
  <c r="D73" i="39"/>
  <c r="B292" i="32"/>
  <c r="C291" i="32"/>
  <c r="D291" i="32"/>
  <c r="G291" i="32"/>
  <c r="H291" i="32" s="1"/>
  <c r="AR73" i="39" l="1"/>
  <c r="AD73" i="39"/>
  <c r="AH73" i="39"/>
  <c r="AF73" i="39"/>
  <c r="AE73" i="39"/>
  <c r="AG73" i="39"/>
  <c r="AC73" i="39"/>
  <c r="E74" i="39"/>
  <c r="A75" i="39"/>
  <c r="D74" i="39"/>
  <c r="C74" i="39"/>
  <c r="B74" i="39"/>
  <c r="B293" i="32"/>
  <c r="C292" i="32"/>
  <c r="D292" i="32"/>
  <c r="G292" i="32"/>
  <c r="H292" i="32" s="1"/>
  <c r="AR74" i="39" l="1"/>
  <c r="AD74" i="39"/>
  <c r="AH74" i="39"/>
  <c r="AE74" i="39"/>
  <c r="AG74" i="39"/>
  <c r="AF74" i="39"/>
  <c r="AC74" i="39"/>
  <c r="E75" i="39"/>
  <c r="A76" i="39"/>
  <c r="D75" i="39"/>
  <c r="C75" i="39"/>
  <c r="B75" i="39"/>
  <c r="B294" i="32"/>
  <c r="G293" i="32"/>
  <c r="H293" i="32" s="1"/>
  <c r="D293" i="32"/>
  <c r="C293" i="32"/>
  <c r="AR75" i="39" l="1"/>
  <c r="AD75" i="39"/>
  <c r="AH75" i="39"/>
  <c r="AF75" i="39"/>
  <c r="AG75" i="39"/>
  <c r="AE75" i="39"/>
  <c r="AC75" i="39"/>
  <c r="E76" i="39"/>
  <c r="A77" i="39"/>
  <c r="D76" i="39"/>
  <c r="C76" i="39"/>
  <c r="B76" i="39"/>
  <c r="B295" i="32"/>
  <c r="C294" i="32"/>
  <c r="D294" i="32"/>
  <c r="G294" i="32"/>
  <c r="H294" i="32" s="1"/>
  <c r="AR76" i="39" l="1"/>
  <c r="AD76" i="39"/>
  <c r="AH76" i="39"/>
  <c r="AG76" i="39"/>
  <c r="AF76" i="39"/>
  <c r="AC76" i="39"/>
  <c r="AE76" i="39"/>
  <c r="C77" i="39"/>
  <c r="B77" i="39"/>
  <c r="E77" i="39"/>
  <c r="A78" i="39"/>
  <c r="D77" i="39"/>
  <c r="B296" i="32"/>
  <c r="C295" i="32"/>
  <c r="D295" i="32"/>
  <c r="G295" i="32"/>
  <c r="H295" i="32" s="1"/>
  <c r="AR77" i="39" l="1"/>
  <c r="AD77" i="39"/>
  <c r="AH77" i="39"/>
  <c r="AG77" i="39"/>
  <c r="AE77" i="39"/>
  <c r="AF77" i="39"/>
  <c r="AC77" i="39"/>
  <c r="E78" i="39"/>
  <c r="A79" i="39"/>
  <c r="D78" i="39"/>
  <c r="C78" i="39"/>
  <c r="B78" i="39"/>
  <c r="B297" i="32"/>
  <c r="G296" i="32"/>
  <c r="H296" i="32" s="1"/>
  <c r="D296" i="32"/>
  <c r="C296" i="32"/>
  <c r="AR78" i="39" l="1"/>
  <c r="AD78" i="39"/>
  <c r="AH78" i="39"/>
  <c r="AG78" i="39"/>
  <c r="AF78" i="39"/>
  <c r="AE78" i="39"/>
  <c r="AC78" i="39"/>
  <c r="E79" i="39"/>
  <c r="A80" i="39"/>
  <c r="D79" i="39"/>
  <c r="C79" i="39"/>
  <c r="B79" i="39"/>
  <c r="B298" i="32"/>
  <c r="C297" i="32"/>
  <c r="D297" i="32"/>
  <c r="G297" i="32"/>
  <c r="H297" i="32" s="1"/>
  <c r="AR79" i="39" l="1"/>
  <c r="AD79" i="39"/>
  <c r="AH79" i="39"/>
  <c r="AF79" i="39"/>
  <c r="AE79" i="39"/>
  <c r="AC79" i="39"/>
  <c r="AG79" i="39"/>
  <c r="E80" i="39"/>
  <c r="A81" i="39"/>
  <c r="D80" i="39"/>
  <c r="C80" i="39"/>
  <c r="B80" i="39"/>
  <c r="B299" i="32"/>
  <c r="G298" i="32"/>
  <c r="H298" i="32" s="1"/>
  <c r="C298" i="32"/>
  <c r="D298" i="32"/>
  <c r="AR80" i="39" l="1"/>
  <c r="AD80" i="39"/>
  <c r="AH80" i="39"/>
  <c r="AG80" i="39"/>
  <c r="AF80" i="39"/>
  <c r="AE80" i="39"/>
  <c r="AC80" i="39"/>
  <c r="C81" i="39"/>
  <c r="B81" i="39"/>
  <c r="E81" i="39"/>
  <c r="A82" i="39"/>
  <c r="D81" i="39"/>
  <c r="B300" i="32"/>
  <c r="C299" i="32"/>
  <c r="D299" i="32"/>
  <c r="G299" i="32"/>
  <c r="H299" i="32" s="1"/>
  <c r="AR81" i="39" l="1"/>
  <c r="AD81" i="39"/>
  <c r="AH81" i="39"/>
  <c r="AF81" i="39"/>
  <c r="AG81" i="39"/>
  <c r="AE81" i="39"/>
  <c r="AC81" i="39"/>
  <c r="E82" i="39"/>
  <c r="A83" i="39"/>
  <c r="D82" i="39"/>
  <c r="C82" i="39"/>
  <c r="B82" i="39"/>
  <c r="B301" i="32"/>
  <c r="C300" i="32"/>
  <c r="D300" i="32"/>
  <c r="G300" i="32"/>
  <c r="H300" i="32" s="1"/>
  <c r="AR82" i="39" l="1"/>
  <c r="AD82" i="39"/>
  <c r="AH82" i="39"/>
  <c r="AF82" i="39"/>
  <c r="AG82" i="39"/>
  <c r="AE82" i="39"/>
  <c r="AC82" i="39"/>
  <c r="B83" i="39"/>
  <c r="C83" i="39"/>
  <c r="A84" i="39"/>
  <c r="E83" i="39"/>
  <c r="D83" i="39"/>
  <c r="B302" i="32"/>
  <c r="C301" i="32"/>
  <c r="G301" i="32"/>
  <c r="H301" i="32" s="1"/>
  <c r="D301" i="32"/>
  <c r="AR83" i="39" l="1"/>
  <c r="AD83" i="39"/>
  <c r="AH83" i="39"/>
  <c r="AE83" i="39"/>
  <c r="AG83" i="39"/>
  <c r="AF83" i="39"/>
  <c r="AC83" i="39"/>
  <c r="D84" i="39"/>
  <c r="C84" i="39"/>
  <c r="B84" i="39"/>
  <c r="A85" i="39"/>
  <c r="E84" i="39"/>
  <c r="B303" i="32"/>
  <c r="C302" i="32"/>
  <c r="D302" i="32"/>
  <c r="G302" i="32"/>
  <c r="H302" i="32" s="1"/>
  <c r="AR84" i="39" l="1"/>
  <c r="AD84" i="39"/>
  <c r="AF84" i="39"/>
  <c r="AE84" i="39"/>
  <c r="AH84" i="39"/>
  <c r="AG84" i="39"/>
  <c r="AC84" i="39"/>
  <c r="E85" i="39"/>
  <c r="D85" i="39"/>
  <c r="C85" i="39"/>
  <c r="B85" i="39"/>
  <c r="A86" i="39"/>
  <c r="B304" i="32"/>
  <c r="C303" i="32"/>
  <c r="D303" i="32"/>
  <c r="G303" i="32"/>
  <c r="H303" i="32" s="1"/>
  <c r="AR85" i="39" l="1"/>
  <c r="AD85" i="39"/>
  <c r="AH85" i="39"/>
  <c r="AF85" i="39"/>
  <c r="AG85" i="39"/>
  <c r="AE85" i="39"/>
  <c r="AC85" i="39"/>
  <c r="E86" i="39"/>
  <c r="A87" i="39"/>
  <c r="D86" i="39"/>
  <c r="C86" i="39"/>
  <c r="B86" i="39"/>
  <c r="B305" i="32"/>
  <c r="C304" i="32"/>
  <c r="G304" i="32"/>
  <c r="H304" i="32" s="1"/>
  <c r="D304" i="32"/>
  <c r="AR86" i="39" l="1"/>
  <c r="AD86" i="39"/>
  <c r="AH86" i="39"/>
  <c r="AE86" i="39"/>
  <c r="AG86" i="39"/>
  <c r="AF86" i="39"/>
  <c r="AC86" i="39"/>
  <c r="B87" i="39"/>
  <c r="E87" i="39"/>
  <c r="D87" i="39"/>
  <c r="C87" i="39"/>
  <c r="A88" i="39"/>
  <c r="B306" i="32"/>
  <c r="C305" i="32"/>
  <c r="D305" i="32"/>
  <c r="G305" i="32"/>
  <c r="H305" i="32" s="1"/>
  <c r="AR87" i="39" l="1"/>
  <c r="AD87" i="39"/>
  <c r="AH87" i="39"/>
  <c r="AF87" i="39"/>
  <c r="AG87" i="39"/>
  <c r="AE87" i="39"/>
  <c r="AC87" i="39"/>
  <c r="E88" i="39"/>
  <c r="D88" i="39"/>
  <c r="C88" i="39"/>
  <c r="B88" i="39"/>
  <c r="A89" i="39"/>
  <c r="B307" i="32"/>
  <c r="C306" i="32"/>
  <c r="D306" i="32"/>
  <c r="G306" i="32"/>
  <c r="H306" i="32" s="1"/>
  <c r="AR88" i="39" l="1"/>
  <c r="AD88" i="39"/>
  <c r="AH88" i="39"/>
  <c r="AG88" i="39"/>
  <c r="AC88" i="39"/>
  <c r="AF88" i="39"/>
  <c r="AE88" i="39"/>
  <c r="E89" i="39"/>
  <c r="D89" i="39"/>
  <c r="C89" i="39"/>
  <c r="B89" i="39"/>
  <c r="A90" i="39"/>
  <c r="B308" i="32"/>
  <c r="G307" i="32"/>
  <c r="H307" i="32" s="1"/>
  <c r="C307" i="32"/>
  <c r="D307" i="32"/>
  <c r="AR89" i="39" l="1"/>
  <c r="AD89" i="39"/>
  <c r="AH89" i="39"/>
  <c r="AG89" i="39"/>
  <c r="AC89" i="39"/>
  <c r="AF89" i="39"/>
  <c r="AE89" i="39"/>
  <c r="E90" i="39"/>
  <c r="A91" i="39"/>
  <c r="D90" i="39"/>
  <c r="C90" i="39"/>
  <c r="B90" i="39"/>
  <c r="B309" i="32"/>
  <c r="C308" i="32"/>
  <c r="D308" i="32"/>
  <c r="G308" i="32"/>
  <c r="H308" i="32" s="1"/>
  <c r="AR90" i="39" l="1"/>
  <c r="AD90" i="39"/>
  <c r="AH90" i="39"/>
  <c r="AG90" i="39"/>
  <c r="AF90" i="39"/>
  <c r="AC90" i="39"/>
  <c r="AE90" i="39"/>
  <c r="B91" i="39"/>
  <c r="C91" i="39"/>
  <c r="A92" i="39"/>
  <c r="E91" i="39"/>
  <c r="D91" i="39"/>
  <c r="B310" i="32"/>
  <c r="C309" i="32"/>
  <c r="D309" i="32"/>
  <c r="G309" i="32"/>
  <c r="H309" i="32" s="1"/>
  <c r="AR91" i="39" l="1"/>
  <c r="AD91" i="39"/>
  <c r="AH91" i="39"/>
  <c r="AF91" i="39"/>
  <c r="AG91" i="39"/>
  <c r="AE91" i="39"/>
  <c r="AC91" i="39"/>
  <c r="D92" i="39"/>
  <c r="C92" i="39"/>
  <c r="B92" i="39"/>
  <c r="A93" i="39"/>
  <c r="E92" i="39"/>
  <c r="B311" i="32"/>
  <c r="G310" i="32"/>
  <c r="H310" i="32" s="1"/>
  <c r="C310" i="32"/>
  <c r="D310" i="32"/>
  <c r="AR92" i="39" l="1"/>
  <c r="AD92" i="39"/>
  <c r="AH92" i="39"/>
  <c r="AG92" i="39"/>
  <c r="AF92" i="39"/>
  <c r="AE92" i="39"/>
  <c r="AC92" i="39"/>
  <c r="E93" i="39"/>
  <c r="D93" i="39"/>
  <c r="C93" i="39"/>
  <c r="B93" i="39"/>
  <c r="A94" i="39"/>
  <c r="B312" i="32"/>
  <c r="C311" i="32"/>
  <c r="D311" i="32"/>
  <c r="G311" i="32"/>
  <c r="H311" i="32" s="1"/>
  <c r="AR93" i="39" l="1"/>
  <c r="AD93" i="39"/>
  <c r="AH93" i="39"/>
  <c r="AF93" i="39"/>
  <c r="AE93" i="39"/>
  <c r="AG93" i="39"/>
  <c r="AC93" i="39"/>
  <c r="E94" i="39"/>
  <c r="A95" i="39"/>
  <c r="D94" i="39"/>
  <c r="C94" i="39"/>
  <c r="B94" i="39"/>
  <c r="B313" i="32"/>
  <c r="G312" i="32"/>
  <c r="H312" i="32" s="1"/>
  <c r="C312" i="32"/>
  <c r="D312" i="32"/>
  <c r="AR94" i="39" l="1"/>
  <c r="AD94" i="39"/>
  <c r="AH94" i="39"/>
  <c r="AF94" i="39"/>
  <c r="AE94" i="39"/>
  <c r="AG94" i="39"/>
  <c r="AC94" i="39"/>
  <c r="B95" i="39"/>
  <c r="E95" i="39"/>
  <c r="D95" i="39"/>
  <c r="C95" i="39"/>
  <c r="A96" i="39"/>
  <c r="B314" i="32"/>
  <c r="C313" i="32"/>
  <c r="D313" i="32"/>
  <c r="G313" i="32"/>
  <c r="H313" i="32" s="1"/>
  <c r="AR95" i="39" l="1"/>
  <c r="AD95" i="39"/>
  <c r="AH95" i="39"/>
  <c r="AE95" i="39"/>
  <c r="AG95" i="39"/>
  <c r="AF95" i="39"/>
  <c r="AC95" i="39"/>
  <c r="E96" i="39"/>
  <c r="D96" i="39"/>
  <c r="C96" i="39"/>
  <c r="B96" i="39"/>
  <c r="A97" i="39"/>
  <c r="B315" i="32"/>
  <c r="C314" i="32"/>
  <c r="D314" i="32"/>
  <c r="G314" i="32"/>
  <c r="H314" i="32" s="1"/>
  <c r="AR96" i="39" l="1"/>
  <c r="AD96" i="39"/>
  <c r="AF96" i="39"/>
  <c r="AE96" i="39"/>
  <c r="AG96" i="39"/>
  <c r="AH96" i="39"/>
  <c r="AC96" i="39"/>
  <c r="E97" i="39"/>
  <c r="D97" i="39"/>
  <c r="C97" i="39"/>
  <c r="B97" i="39"/>
  <c r="A98" i="39"/>
  <c r="B316" i="32"/>
  <c r="D315" i="32"/>
  <c r="C315" i="32"/>
  <c r="G315" i="32"/>
  <c r="H315" i="32" s="1"/>
  <c r="AR97" i="39" l="1"/>
  <c r="AD97" i="39"/>
  <c r="AH97" i="39"/>
  <c r="AF97" i="39"/>
  <c r="AE97" i="39"/>
  <c r="AG97" i="39"/>
  <c r="AC97" i="39"/>
  <c r="E98" i="39"/>
  <c r="A99" i="39"/>
  <c r="D98" i="39"/>
  <c r="C98" i="39"/>
  <c r="B98" i="39"/>
  <c r="B317" i="32"/>
  <c r="C316" i="32"/>
  <c r="D316" i="32"/>
  <c r="G316" i="32"/>
  <c r="H316" i="32" s="1"/>
  <c r="AR98" i="39" l="1"/>
  <c r="AD98" i="39"/>
  <c r="AH98" i="39"/>
  <c r="AE98" i="39"/>
  <c r="AG98" i="39"/>
  <c r="AF98" i="39"/>
  <c r="AC98" i="39"/>
  <c r="B99" i="39"/>
  <c r="C99" i="39"/>
  <c r="A100" i="39"/>
  <c r="E99" i="39"/>
  <c r="D99" i="39"/>
  <c r="B318" i="32"/>
  <c r="C317" i="32"/>
  <c r="D317" i="32"/>
  <c r="G317" i="32"/>
  <c r="H317" i="32" s="1"/>
  <c r="AR99" i="39" l="1"/>
  <c r="AD99" i="39"/>
  <c r="AH99" i="39"/>
  <c r="AF99" i="39"/>
  <c r="AG99" i="39"/>
  <c r="AE99" i="39"/>
  <c r="AC99" i="39"/>
  <c r="D100" i="39"/>
  <c r="C100" i="39"/>
  <c r="B100" i="39"/>
  <c r="A101" i="39"/>
  <c r="E100" i="39"/>
  <c r="B319" i="32"/>
  <c r="D318" i="32"/>
  <c r="C318" i="32"/>
  <c r="G318" i="32"/>
  <c r="H318" i="32" s="1"/>
  <c r="AR100" i="39" l="1"/>
  <c r="AD100" i="39"/>
  <c r="AH100" i="39"/>
  <c r="AG100" i="39"/>
  <c r="AC100" i="39"/>
  <c r="AE100" i="39"/>
  <c r="AF100" i="39"/>
  <c r="E101" i="39"/>
  <c r="D101" i="39"/>
  <c r="C101" i="39"/>
  <c r="B101" i="39"/>
  <c r="A102" i="39"/>
  <c r="B320" i="32"/>
  <c r="C319" i="32"/>
  <c r="D319" i="32"/>
  <c r="G319" i="32"/>
  <c r="H319" i="32" s="1"/>
  <c r="AR101" i="39" l="1"/>
  <c r="AD101" i="39"/>
  <c r="AH101" i="39"/>
  <c r="AG101" i="39"/>
  <c r="AC101" i="39"/>
  <c r="AE101" i="39"/>
  <c r="AF101" i="39"/>
  <c r="E102" i="39"/>
  <c r="A103" i="39"/>
  <c r="D102" i="39"/>
  <c r="C102" i="39"/>
  <c r="B102" i="39"/>
  <c r="B321" i="32"/>
  <c r="C320" i="32"/>
  <c r="D320" i="32"/>
  <c r="G320" i="32"/>
  <c r="H320" i="32" s="1"/>
  <c r="AR102" i="39" l="1"/>
  <c r="AD102" i="39"/>
  <c r="AH102" i="39"/>
  <c r="AG102" i="39"/>
  <c r="AF102" i="39"/>
  <c r="AC102" i="39"/>
  <c r="AE102" i="39"/>
  <c r="B103" i="39"/>
  <c r="E103" i="39"/>
  <c r="D103" i="39"/>
  <c r="C103" i="39"/>
  <c r="A104" i="39"/>
  <c r="B322" i="32"/>
  <c r="C321" i="32"/>
  <c r="G321" i="32"/>
  <c r="H321" i="32" s="1"/>
  <c r="D321" i="32"/>
  <c r="AR103" i="39" l="1"/>
  <c r="AD103" i="39"/>
  <c r="AH103" i="39"/>
  <c r="AF103" i="39"/>
  <c r="AG103" i="39"/>
  <c r="AE103" i="39"/>
  <c r="AC103" i="39"/>
  <c r="E104" i="39"/>
  <c r="D104" i="39"/>
  <c r="C104" i="39"/>
  <c r="B104" i="39"/>
  <c r="A105" i="39"/>
  <c r="B323" i="32"/>
  <c r="C322" i="32"/>
  <c r="D322" i="32"/>
  <c r="G322" i="32"/>
  <c r="H322" i="32" s="1"/>
  <c r="AR104" i="39" l="1"/>
  <c r="AD104" i="39"/>
  <c r="AH104" i="39"/>
  <c r="AG104" i="39"/>
  <c r="AE104" i="39"/>
  <c r="AF104" i="39"/>
  <c r="AC104" i="39"/>
  <c r="E105" i="39"/>
  <c r="D105" i="39"/>
  <c r="C105" i="39"/>
  <c r="B105" i="39"/>
  <c r="A106" i="39"/>
  <c r="B324" i="32"/>
  <c r="C323" i="32"/>
  <c r="D323" i="32"/>
  <c r="G323" i="32"/>
  <c r="H323" i="32" s="1"/>
  <c r="AR105" i="39" l="1"/>
  <c r="AD105" i="39"/>
  <c r="AH105" i="39"/>
  <c r="AF105" i="39"/>
  <c r="AG105" i="39"/>
  <c r="AE105" i="39"/>
  <c r="AC105" i="39"/>
  <c r="E106" i="39"/>
  <c r="A107" i="39"/>
  <c r="D106" i="39"/>
  <c r="C106" i="39"/>
  <c r="B106" i="39"/>
  <c r="B325" i="32"/>
  <c r="G324" i="32"/>
  <c r="H324" i="32" s="1"/>
  <c r="D324" i="32"/>
  <c r="C324" i="32"/>
  <c r="AR106" i="39" l="1"/>
  <c r="AD106" i="39"/>
  <c r="AH106" i="39"/>
  <c r="AF106" i="39"/>
  <c r="AG106" i="39"/>
  <c r="AE106" i="39"/>
  <c r="AC106" i="39"/>
  <c r="B107" i="39"/>
  <c r="C107" i="39"/>
  <c r="A108" i="39"/>
  <c r="E107" i="39"/>
  <c r="D107" i="39"/>
  <c r="B326" i="32"/>
  <c r="C325" i="32"/>
  <c r="D325" i="32"/>
  <c r="G325" i="32"/>
  <c r="H325" i="32" s="1"/>
  <c r="AR107" i="39" l="1"/>
  <c r="AD107" i="39"/>
  <c r="AH107" i="39"/>
  <c r="AE107" i="39"/>
  <c r="AG107" i="39"/>
  <c r="AF107" i="39"/>
  <c r="AC107" i="39"/>
  <c r="D108" i="39"/>
  <c r="C108" i="39"/>
  <c r="B108" i="39"/>
  <c r="A109" i="39"/>
  <c r="E108" i="39"/>
  <c r="B327" i="32"/>
  <c r="C326" i="32"/>
  <c r="G326" i="32"/>
  <c r="H326" i="32" s="1"/>
  <c r="D326" i="32"/>
  <c r="AR108" i="39" l="1"/>
  <c r="AD108" i="39"/>
  <c r="AF108" i="39"/>
  <c r="AE108" i="39"/>
  <c r="AG108" i="39"/>
  <c r="AH108" i="39"/>
  <c r="AC108" i="39"/>
  <c r="E109" i="39"/>
  <c r="D109" i="39"/>
  <c r="C109" i="39"/>
  <c r="B109" i="39"/>
  <c r="A110" i="39"/>
  <c r="B328" i="32"/>
  <c r="D327" i="32"/>
  <c r="G327" i="32"/>
  <c r="H327" i="32" s="1"/>
  <c r="C327" i="32"/>
  <c r="AR109" i="39" l="1"/>
  <c r="AD109" i="39"/>
  <c r="AH109" i="39"/>
  <c r="AF109" i="39"/>
  <c r="AG109" i="39"/>
  <c r="AE109" i="39"/>
  <c r="AC109" i="39"/>
  <c r="E110" i="39"/>
  <c r="A111" i="39"/>
  <c r="D110" i="39"/>
  <c r="C110" i="39"/>
  <c r="B110" i="39"/>
  <c r="B329" i="32"/>
  <c r="C328" i="32"/>
  <c r="D328" i="32"/>
  <c r="G328" i="32"/>
  <c r="H328" i="32" s="1"/>
  <c r="AR110" i="39" l="1"/>
  <c r="AD110" i="39"/>
  <c r="AH110" i="39"/>
  <c r="AE110" i="39"/>
  <c r="AG110" i="39"/>
  <c r="AF110" i="39"/>
  <c r="AC110" i="39"/>
  <c r="B111" i="39"/>
  <c r="E111" i="39"/>
  <c r="A112" i="39"/>
  <c r="D111" i="39"/>
  <c r="C111" i="39"/>
  <c r="B330" i="32"/>
  <c r="G329" i="32"/>
  <c r="H329" i="32" s="1"/>
  <c r="C329" i="32"/>
  <c r="D329" i="32"/>
  <c r="AR111" i="39" l="1"/>
  <c r="AD111" i="39"/>
  <c r="AH111" i="39"/>
  <c r="AF111" i="39"/>
  <c r="AG111" i="39"/>
  <c r="AE111" i="39"/>
  <c r="AC111" i="39"/>
  <c r="E112" i="39"/>
  <c r="A113" i="39"/>
  <c r="D112" i="39"/>
  <c r="C112" i="39"/>
  <c r="B112" i="39"/>
  <c r="B331" i="32"/>
  <c r="D330" i="32"/>
  <c r="G330" i="32"/>
  <c r="H330" i="32" s="1"/>
  <c r="C330" i="32"/>
  <c r="AR112" i="39" l="1"/>
  <c r="AD112" i="39"/>
  <c r="AH112" i="39"/>
  <c r="AG112" i="39"/>
  <c r="AF112" i="39"/>
  <c r="AC112" i="39"/>
  <c r="AE112" i="39"/>
  <c r="A114" i="39"/>
  <c r="D113" i="39"/>
  <c r="C113" i="39"/>
  <c r="B113" i="39"/>
  <c r="E113" i="39"/>
  <c r="B332" i="32"/>
  <c r="C331" i="32"/>
  <c r="D331" i="32"/>
  <c r="G331" i="32"/>
  <c r="H331" i="32" s="1"/>
  <c r="AR113" i="39" l="1"/>
  <c r="AD113" i="39"/>
  <c r="AH113" i="39"/>
  <c r="AG113" i="39"/>
  <c r="AF113" i="39"/>
  <c r="AC113" i="39"/>
  <c r="AE113" i="39"/>
  <c r="E114" i="39"/>
  <c r="A115" i="39"/>
  <c r="D114" i="39"/>
  <c r="B114" i="39"/>
  <c r="C114" i="39"/>
  <c r="B333" i="32"/>
  <c r="G332" i="32"/>
  <c r="H332" i="32" s="1"/>
  <c r="C332" i="32"/>
  <c r="D332" i="32"/>
  <c r="AR114" i="39" l="1"/>
  <c r="AD114" i="39"/>
  <c r="AH114" i="39"/>
  <c r="AG114" i="39"/>
  <c r="AF114" i="39"/>
  <c r="AC114" i="39"/>
  <c r="AE114" i="39"/>
  <c r="B115" i="39"/>
  <c r="C115" i="39"/>
  <c r="A116" i="39"/>
  <c r="E115" i="39"/>
  <c r="D115" i="39"/>
  <c r="B334" i="32"/>
  <c r="C333" i="32"/>
  <c r="D333" i="32"/>
  <c r="G333" i="32"/>
  <c r="H333" i="32" s="1"/>
  <c r="AR115" i="39" l="1"/>
  <c r="AD115" i="39"/>
  <c r="AH115" i="39"/>
  <c r="AF115" i="39"/>
  <c r="AE115" i="39"/>
  <c r="AG115" i="39"/>
  <c r="AC115" i="39"/>
  <c r="E116" i="39"/>
  <c r="A117" i="39"/>
  <c r="D116" i="39"/>
  <c r="C116" i="39"/>
  <c r="B116" i="39"/>
  <c r="B335" i="32"/>
  <c r="C334" i="32"/>
  <c r="D334" i="32"/>
  <c r="G334" i="32"/>
  <c r="H334" i="32" s="1"/>
  <c r="AR116" i="39" l="1"/>
  <c r="AD116" i="39"/>
  <c r="AH116" i="39"/>
  <c r="AG116" i="39"/>
  <c r="AF116" i="39"/>
  <c r="AE116" i="39"/>
  <c r="AC116" i="39"/>
  <c r="A118" i="39"/>
  <c r="D117" i="39"/>
  <c r="C117" i="39"/>
  <c r="B117" i="39"/>
  <c r="E117" i="39"/>
  <c r="B336" i="32"/>
  <c r="G335" i="32"/>
  <c r="H335" i="32" s="1"/>
  <c r="C335" i="32"/>
  <c r="D335" i="32"/>
  <c r="AR117" i="39" l="1"/>
  <c r="AD117" i="39"/>
  <c r="AH117" i="39"/>
  <c r="AF117" i="39"/>
  <c r="AG117" i="39"/>
  <c r="AE117" i="39"/>
  <c r="AC117" i="39"/>
  <c r="E118" i="39"/>
  <c r="A119" i="39"/>
  <c r="D118" i="39"/>
  <c r="C118" i="39"/>
  <c r="B118" i="39"/>
  <c r="B337" i="32"/>
  <c r="C336" i="32"/>
  <c r="D336" i="32"/>
  <c r="G336" i="32"/>
  <c r="H336" i="32" s="1"/>
  <c r="AR118" i="39" l="1"/>
  <c r="AD118" i="39"/>
  <c r="AF118" i="39"/>
  <c r="AH118" i="39"/>
  <c r="AG118" i="39"/>
  <c r="AE118" i="39"/>
  <c r="AC118" i="39"/>
  <c r="B119" i="39"/>
  <c r="E119" i="39"/>
  <c r="D119" i="39"/>
  <c r="C119" i="39"/>
  <c r="A120" i="39"/>
  <c r="B338" i="32"/>
  <c r="C337" i="32"/>
  <c r="D337" i="32"/>
  <c r="G337" i="32"/>
  <c r="H337" i="32" s="1"/>
  <c r="AR119" i="39" l="1"/>
  <c r="AD119" i="39"/>
  <c r="AH119" i="39"/>
  <c r="AE119" i="39"/>
  <c r="AG119" i="39"/>
  <c r="AF119" i="39"/>
  <c r="AC119" i="39"/>
  <c r="E120" i="39"/>
  <c r="A121" i="39"/>
  <c r="D120" i="39"/>
  <c r="C120" i="39"/>
  <c r="B120" i="39"/>
  <c r="C338" i="32"/>
  <c r="D338" i="32"/>
  <c r="G338" i="32"/>
  <c r="H338" i="32" s="1"/>
  <c r="B339" i="32"/>
  <c r="AR120" i="39" l="1"/>
  <c r="AD120" i="39"/>
  <c r="AH120" i="39"/>
  <c r="AF120" i="39"/>
  <c r="AE120" i="39"/>
  <c r="AG120" i="39"/>
  <c r="AC120" i="39"/>
  <c r="A122" i="39"/>
  <c r="D121" i="39"/>
  <c r="C121" i="39"/>
  <c r="B121" i="39"/>
  <c r="E121" i="39"/>
  <c r="B340" i="32"/>
  <c r="C339" i="32"/>
  <c r="D339" i="32"/>
  <c r="G339" i="32"/>
  <c r="H339" i="32" s="1"/>
  <c r="AR121" i="39" l="1"/>
  <c r="AD121" i="39"/>
  <c r="AH121" i="39"/>
  <c r="AF121" i="39"/>
  <c r="AG121" i="39"/>
  <c r="AE121" i="39"/>
  <c r="AC121" i="39"/>
  <c r="E122" i="39"/>
  <c r="A123" i="39"/>
  <c r="D122" i="39"/>
  <c r="C122" i="39"/>
  <c r="B122" i="39"/>
  <c r="B341" i="32"/>
  <c r="G340" i="32"/>
  <c r="H340" i="32" s="1"/>
  <c r="C340" i="32"/>
  <c r="D340" i="32"/>
  <c r="AR122" i="39" l="1"/>
  <c r="AD122" i="39"/>
  <c r="AH122" i="39"/>
  <c r="AE122" i="39"/>
  <c r="AG122" i="39"/>
  <c r="AF122" i="39"/>
  <c r="AC122" i="39"/>
  <c r="C123" i="39"/>
  <c r="B123" i="39"/>
  <c r="A124" i="39"/>
  <c r="E123" i="39"/>
  <c r="D123" i="39"/>
  <c r="B342" i="32"/>
  <c r="C341" i="32"/>
  <c r="D341" i="32"/>
  <c r="G341" i="32"/>
  <c r="H341" i="32" s="1"/>
  <c r="AR123" i="39" l="1"/>
  <c r="AD123" i="39"/>
  <c r="AH123" i="39"/>
  <c r="AF123" i="39"/>
  <c r="AG123" i="39"/>
  <c r="AE123" i="39"/>
  <c r="AC123" i="39"/>
  <c r="E124" i="39"/>
  <c r="A125" i="39"/>
  <c r="D124" i="39"/>
  <c r="C124" i="39"/>
  <c r="B124" i="39"/>
  <c r="B343" i="32"/>
  <c r="C342" i="32"/>
  <c r="G342" i="32"/>
  <c r="H342" i="32" s="1"/>
  <c r="D342" i="32"/>
  <c r="AR124" i="39" l="1"/>
  <c r="AD124" i="39"/>
  <c r="AH124" i="39"/>
  <c r="AG124" i="39"/>
  <c r="AC124" i="39"/>
  <c r="AF124" i="39"/>
  <c r="AE124" i="39"/>
  <c r="A126" i="39"/>
  <c r="D125" i="39"/>
  <c r="C125" i="39"/>
  <c r="B125" i="39"/>
  <c r="E125" i="39"/>
  <c r="B344" i="32"/>
  <c r="D343" i="32"/>
  <c r="G343" i="32"/>
  <c r="H343" i="32" s="1"/>
  <c r="C343" i="32"/>
  <c r="AR125" i="39" l="1"/>
  <c r="AD125" i="39"/>
  <c r="AH125" i="39"/>
  <c r="AG125" i="39"/>
  <c r="AC125" i="39"/>
  <c r="AF125" i="39"/>
  <c r="AE125" i="39"/>
  <c r="E126" i="39"/>
  <c r="A127" i="39"/>
  <c r="D126" i="39"/>
  <c r="B126" i="39"/>
  <c r="C126" i="39"/>
  <c r="B345" i="32"/>
  <c r="C344" i="32"/>
  <c r="D344" i="32"/>
  <c r="G344" i="32"/>
  <c r="H344" i="32" s="1"/>
  <c r="AR126" i="39" l="1"/>
  <c r="AD126" i="39"/>
  <c r="AH126" i="39"/>
  <c r="AG126" i="39"/>
  <c r="AF126" i="39"/>
  <c r="AE126" i="39"/>
  <c r="AC126" i="39"/>
  <c r="E127" i="39"/>
  <c r="A128" i="39"/>
  <c r="D127" i="39"/>
  <c r="C127" i="39"/>
  <c r="B127" i="39"/>
  <c r="B346" i="32"/>
  <c r="C345" i="32"/>
  <c r="D345" i="32"/>
  <c r="G345" i="32"/>
  <c r="H345" i="32" s="1"/>
  <c r="AR127" i="39" l="1"/>
  <c r="AD127" i="39"/>
  <c r="AH127" i="39"/>
  <c r="AF127" i="39"/>
  <c r="AE127" i="39"/>
  <c r="AG127" i="39"/>
  <c r="AC127" i="39"/>
  <c r="E128" i="39"/>
  <c r="A129" i="39"/>
  <c r="D128" i="39"/>
  <c r="C128" i="39"/>
  <c r="B128" i="39"/>
  <c r="B347" i="32"/>
  <c r="C346" i="32"/>
  <c r="D346" i="32"/>
  <c r="G346" i="32"/>
  <c r="H346" i="32" s="1"/>
  <c r="AR128" i="39" l="1"/>
  <c r="AD128" i="39"/>
  <c r="AH128" i="39"/>
  <c r="AG128" i="39"/>
  <c r="AE128" i="39"/>
  <c r="AF128" i="39"/>
  <c r="AC128" i="39"/>
  <c r="A130" i="39"/>
  <c r="D129" i="39"/>
  <c r="C129" i="39"/>
  <c r="B129" i="39"/>
  <c r="E129" i="39"/>
  <c r="B348" i="32"/>
  <c r="C347" i="32"/>
  <c r="D347" i="32"/>
  <c r="G347" i="32"/>
  <c r="H347" i="32" s="1"/>
  <c r="AR129" i="39" l="1"/>
  <c r="AD129" i="39"/>
  <c r="AH129" i="39"/>
  <c r="AF129" i="39"/>
  <c r="AE129" i="39"/>
  <c r="AG129" i="39"/>
  <c r="AC129" i="39"/>
  <c r="E130" i="39"/>
  <c r="A131" i="39"/>
  <c r="D130" i="39"/>
  <c r="C130" i="39"/>
  <c r="B130" i="39"/>
  <c r="B349" i="32"/>
  <c r="G348" i="32"/>
  <c r="H348" i="32" s="1"/>
  <c r="C348" i="32"/>
  <c r="D348" i="32"/>
  <c r="AR130" i="39" l="1"/>
  <c r="AD130" i="39"/>
  <c r="AH130" i="39"/>
  <c r="AF130" i="39"/>
  <c r="AE130" i="39"/>
  <c r="AG130" i="39"/>
  <c r="AC130" i="39"/>
  <c r="E131" i="39"/>
  <c r="A132" i="39"/>
  <c r="D131" i="39"/>
  <c r="C131" i="39"/>
  <c r="B131" i="39"/>
  <c r="B350" i="32"/>
  <c r="C349" i="32"/>
  <c r="D349" i="32"/>
  <c r="G349" i="32"/>
  <c r="H349" i="32" s="1"/>
  <c r="AR131" i="39" l="1"/>
  <c r="AD131" i="39"/>
  <c r="AH131" i="39"/>
  <c r="AE131" i="39"/>
  <c r="AG131" i="39"/>
  <c r="AF131" i="39"/>
  <c r="AC131" i="39"/>
  <c r="E132" i="39"/>
  <c r="A133" i="39"/>
  <c r="D132" i="39"/>
  <c r="C132" i="39"/>
  <c r="B132" i="39"/>
  <c r="B351" i="32"/>
  <c r="G350" i="32"/>
  <c r="H350" i="32" s="1"/>
  <c r="C350" i="32"/>
  <c r="D350" i="32"/>
  <c r="AR132" i="39" l="1"/>
  <c r="AD132" i="39"/>
  <c r="AF132" i="39"/>
  <c r="AE132" i="39"/>
  <c r="AH132" i="39"/>
  <c r="AG132" i="39"/>
  <c r="AC132" i="39"/>
  <c r="A134" i="39"/>
  <c r="D133" i="39"/>
  <c r="C133" i="39"/>
  <c r="B133" i="39"/>
  <c r="E133" i="39"/>
  <c r="B352" i="32"/>
  <c r="C351" i="32"/>
  <c r="D351" i="32"/>
  <c r="G351" i="32"/>
  <c r="H351" i="32" s="1"/>
  <c r="AR133" i="39" l="1"/>
  <c r="AD133" i="39"/>
  <c r="AH133" i="39"/>
  <c r="AF133" i="39"/>
  <c r="AE133" i="39"/>
  <c r="AG133" i="39"/>
  <c r="AC133" i="39"/>
  <c r="E134" i="39"/>
  <c r="A135" i="39"/>
  <c r="D134" i="39"/>
  <c r="C134" i="39"/>
  <c r="B134" i="39"/>
  <c r="B353" i="32"/>
  <c r="C352" i="32"/>
  <c r="D352" i="32"/>
  <c r="G352" i="32"/>
  <c r="H352" i="32" s="1"/>
  <c r="AR134" i="39" l="1"/>
  <c r="AD134" i="39"/>
  <c r="AH134" i="39"/>
  <c r="AE134" i="39"/>
  <c r="AG134" i="39"/>
  <c r="AF134" i="39"/>
  <c r="AC134" i="39"/>
  <c r="E135" i="39"/>
  <c r="A136" i="39"/>
  <c r="D135" i="39"/>
  <c r="C135" i="39"/>
  <c r="B135" i="39"/>
  <c r="B354" i="32"/>
  <c r="C353" i="32"/>
  <c r="D353" i="32"/>
  <c r="G353" i="32"/>
  <c r="H353" i="32" s="1"/>
  <c r="AR135" i="39" l="1"/>
  <c r="AD135" i="39"/>
  <c r="AH135" i="39"/>
  <c r="AF135" i="39"/>
  <c r="AG135" i="39"/>
  <c r="AE135" i="39"/>
  <c r="AC135" i="39"/>
  <c r="E136" i="39"/>
  <c r="A137" i="39"/>
  <c r="D136" i="39"/>
  <c r="C136" i="39"/>
  <c r="B136" i="39"/>
  <c r="B355" i="32"/>
  <c r="C354" i="32"/>
  <c r="D354" i="32"/>
  <c r="G354" i="32"/>
  <c r="H354" i="32" s="1"/>
  <c r="AR136" i="39" l="1"/>
  <c r="AD136" i="39"/>
  <c r="AH136" i="39"/>
  <c r="AG136" i="39"/>
  <c r="AC136" i="39"/>
  <c r="AE136" i="39"/>
  <c r="AF136" i="39"/>
  <c r="A138" i="39"/>
  <c r="D137" i="39"/>
  <c r="C137" i="39"/>
  <c r="B137" i="39"/>
  <c r="E137" i="39"/>
  <c r="B356" i="32"/>
  <c r="C355" i="32"/>
  <c r="D355" i="32"/>
  <c r="G355" i="32"/>
  <c r="H355" i="32" s="1"/>
  <c r="AR137" i="39" l="1"/>
  <c r="AD137" i="39"/>
  <c r="AH137" i="39"/>
  <c r="AG137" i="39"/>
  <c r="AC137" i="39"/>
  <c r="AE137" i="39"/>
  <c r="AF137" i="39"/>
  <c r="E138" i="39"/>
  <c r="A139" i="39"/>
  <c r="D138" i="39"/>
  <c r="C138" i="39"/>
  <c r="B138" i="39"/>
  <c r="B357" i="32"/>
  <c r="C356" i="32"/>
  <c r="D356" i="32"/>
  <c r="G356" i="32"/>
  <c r="H356" i="32" s="1"/>
  <c r="AR138" i="39" l="1"/>
  <c r="AD138" i="39"/>
  <c r="AH138" i="39"/>
  <c r="AG138" i="39"/>
  <c r="AF138" i="39"/>
  <c r="AC138" i="39"/>
  <c r="AE138" i="39"/>
  <c r="E139" i="39"/>
  <c r="A140" i="39"/>
  <c r="D139" i="39"/>
  <c r="C139" i="39"/>
  <c r="B139" i="39"/>
  <c r="B358" i="32"/>
  <c r="C357" i="32"/>
  <c r="D357" i="32"/>
  <c r="G357" i="32"/>
  <c r="H357" i="32" s="1"/>
  <c r="AR139" i="39" l="1"/>
  <c r="AD139" i="39"/>
  <c r="AH139" i="39"/>
  <c r="AF139" i="39"/>
  <c r="AG139" i="39"/>
  <c r="AE139" i="39"/>
  <c r="AC139" i="39"/>
  <c r="E140" i="39"/>
  <c r="A141" i="39"/>
  <c r="D140" i="39"/>
  <c r="C140" i="39"/>
  <c r="B140" i="39"/>
  <c r="B359" i="32"/>
  <c r="C358" i="32"/>
  <c r="D358" i="32"/>
  <c r="G358" i="32"/>
  <c r="H358" i="32" s="1"/>
  <c r="AR140" i="39" l="1"/>
  <c r="AD140" i="39"/>
  <c r="AH140" i="39"/>
  <c r="AG140" i="39"/>
  <c r="AF140" i="39"/>
  <c r="AE140" i="39"/>
  <c r="AC140" i="39"/>
  <c r="A142" i="39"/>
  <c r="D141" i="39"/>
  <c r="C141" i="39"/>
  <c r="B141" i="39"/>
  <c r="E141" i="39"/>
  <c r="B360" i="32"/>
  <c r="D359" i="32"/>
  <c r="G359" i="32"/>
  <c r="H359" i="32" s="1"/>
  <c r="C359" i="32"/>
  <c r="AR141" i="39" l="1"/>
  <c r="AD141" i="39"/>
  <c r="AH141" i="39"/>
  <c r="AF141" i="39"/>
  <c r="AE141" i="39"/>
  <c r="AG141" i="39"/>
  <c r="AC141" i="39"/>
  <c r="E142" i="39"/>
  <c r="A143" i="39"/>
  <c r="D142" i="39"/>
  <c r="C142" i="39"/>
  <c r="B142" i="39"/>
  <c r="B361" i="32"/>
  <c r="C360" i="32"/>
  <c r="D360" i="32"/>
  <c r="G360" i="32"/>
  <c r="H360" i="32" s="1"/>
  <c r="AR142" i="39" l="1"/>
  <c r="AD142" i="39"/>
  <c r="AH142" i="39"/>
  <c r="AF142" i="39"/>
  <c r="AE142" i="39"/>
  <c r="AG142" i="39"/>
  <c r="AC142" i="39"/>
  <c r="E143" i="39"/>
  <c r="A144" i="39"/>
  <c r="D143" i="39"/>
  <c r="C143" i="39"/>
  <c r="B143" i="39"/>
  <c r="B362" i="32"/>
  <c r="C361" i="32"/>
  <c r="D361" i="32"/>
  <c r="G361" i="32"/>
  <c r="H361" i="32" s="1"/>
  <c r="AR143" i="39" l="1"/>
  <c r="AD143" i="39"/>
  <c r="AH143" i="39"/>
  <c r="AE143" i="39"/>
  <c r="AG143" i="39"/>
  <c r="AF143" i="39"/>
  <c r="AC143" i="39"/>
  <c r="E144" i="39"/>
  <c r="A145" i="39"/>
  <c r="D144" i="39"/>
  <c r="C144" i="39"/>
  <c r="B144" i="39"/>
  <c r="B363" i="32"/>
  <c r="C362" i="32"/>
  <c r="D362" i="32"/>
  <c r="G362" i="32"/>
  <c r="H362" i="32" s="1"/>
  <c r="AR144" i="39" l="1"/>
  <c r="AD144" i="39"/>
  <c r="AF144" i="39"/>
  <c r="AE144" i="39"/>
  <c r="AH144" i="39"/>
  <c r="AG144" i="39"/>
  <c r="AC144" i="39"/>
  <c r="A146" i="39"/>
  <c r="D145" i="39"/>
  <c r="C145" i="39"/>
  <c r="B145" i="39"/>
  <c r="E145" i="39"/>
  <c r="B364" i="32"/>
  <c r="C363" i="32"/>
  <c r="D363" i="32"/>
  <c r="G363" i="32"/>
  <c r="H363" i="32" s="1"/>
  <c r="AR145" i="39" l="1"/>
  <c r="AD145" i="39"/>
  <c r="AH145" i="39"/>
  <c r="AF145" i="39"/>
  <c r="AE145" i="39"/>
  <c r="AG145" i="39"/>
  <c r="AC145" i="39"/>
  <c r="E146" i="39"/>
  <c r="A147" i="39"/>
  <c r="D146" i="39"/>
  <c r="C146" i="39"/>
  <c r="B146" i="39"/>
  <c r="B365" i="32"/>
  <c r="G364" i="32"/>
  <c r="H364" i="32" s="1"/>
  <c r="C364" i="32"/>
  <c r="D364" i="32"/>
  <c r="AR146" i="39" l="1"/>
  <c r="AD146" i="39"/>
  <c r="AH146" i="39"/>
  <c r="AE146" i="39"/>
  <c r="AG146" i="39"/>
  <c r="AF146" i="39"/>
  <c r="AC146" i="39"/>
  <c r="E147" i="39"/>
  <c r="A148" i="39"/>
  <c r="D147" i="39"/>
  <c r="C147" i="39"/>
  <c r="B147" i="39"/>
  <c r="B366" i="32"/>
  <c r="C365" i="32"/>
  <c r="D365" i="32"/>
  <c r="G365" i="32"/>
  <c r="H365" i="32" s="1"/>
  <c r="AR147" i="39" l="1"/>
  <c r="AD147" i="39"/>
  <c r="AH147" i="39"/>
  <c r="AF147" i="39"/>
  <c r="AG147" i="39"/>
  <c r="AE147" i="39"/>
  <c r="AC147" i="39"/>
  <c r="E148" i="39"/>
  <c r="A149" i="39"/>
  <c r="D148" i="39"/>
  <c r="C148" i="39"/>
  <c r="B148" i="39"/>
  <c r="B367" i="32"/>
  <c r="G366" i="32"/>
  <c r="H366" i="32" s="1"/>
  <c r="C366" i="32"/>
  <c r="D366" i="32"/>
  <c r="AR148" i="39" l="1"/>
  <c r="AD148" i="39"/>
  <c r="AH148" i="39"/>
  <c r="AG148" i="39"/>
  <c r="AF148" i="39"/>
  <c r="AC148" i="39"/>
  <c r="AE148" i="39"/>
  <c r="A150" i="39"/>
  <c r="D149" i="39"/>
  <c r="C149" i="39"/>
  <c r="B149" i="39"/>
  <c r="E149" i="39"/>
  <c r="B368" i="32"/>
  <c r="D367" i="32"/>
  <c r="G367" i="32"/>
  <c r="H367" i="32" s="1"/>
  <c r="C367" i="32"/>
  <c r="D5" i="20"/>
  <c r="C5" i="20"/>
  <c r="A6" i="20"/>
  <c r="E5" i="20"/>
  <c r="B5" i="20"/>
  <c r="AR149" i="39" l="1"/>
  <c r="AD149" i="39"/>
  <c r="AH149" i="39"/>
  <c r="AG149" i="39"/>
  <c r="AF149" i="39"/>
  <c r="AC149" i="39"/>
  <c r="AE149" i="39"/>
  <c r="E150" i="39"/>
  <c r="A151" i="39"/>
  <c r="D150" i="39"/>
  <c r="C150" i="39"/>
  <c r="B150" i="39"/>
  <c r="B369" i="32"/>
  <c r="C368" i="32"/>
  <c r="D368" i="32"/>
  <c r="G368" i="32"/>
  <c r="H368" i="32" s="1"/>
  <c r="A7" i="20"/>
  <c r="D6" i="20"/>
  <c r="C6" i="20"/>
  <c r="E6" i="20"/>
  <c r="B6" i="20"/>
  <c r="AR150" i="39" l="1"/>
  <c r="AD150" i="39"/>
  <c r="AH150" i="39"/>
  <c r="AG150" i="39"/>
  <c r="AF150" i="39"/>
  <c r="AC150" i="39"/>
  <c r="AE150" i="39"/>
  <c r="A8" i="20"/>
  <c r="E151" i="39"/>
  <c r="A152" i="39"/>
  <c r="D151" i="39"/>
  <c r="C151" i="39"/>
  <c r="B151" i="39"/>
  <c r="B370" i="32"/>
  <c r="D369" i="32"/>
  <c r="C369" i="32"/>
  <c r="G369" i="32"/>
  <c r="H369" i="32" s="1"/>
  <c r="B7" i="20"/>
  <c r="D7" i="20"/>
  <c r="C7" i="20"/>
  <c r="E7" i="20"/>
  <c r="AR151" i="39" l="1"/>
  <c r="AD151" i="39"/>
  <c r="A9" i="20"/>
  <c r="B8" i="20"/>
  <c r="C8" i="20"/>
  <c r="D8" i="20"/>
  <c r="E8" i="20"/>
  <c r="AH151" i="39"/>
  <c r="AF151" i="39"/>
  <c r="AE151" i="39"/>
  <c r="AG151" i="39"/>
  <c r="AC151" i="39"/>
  <c r="V5" i="39"/>
  <c r="V4" i="39"/>
  <c r="V3" i="39"/>
  <c r="V2" i="39"/>
  <c r="Y2" i="39"/>
  <c r="AB3" i="39"/>
  <c r="AS3" i="39" s="1"/>
  <c r="Y3" i="39"/>
  <c r="AA2" i="39"/>
  <c r="W2" i="39" s="1"/>
  <c r="X2" i="39"/>
  <c r="Z2" i="39"/>
  <c r="Z3" i="39"/>
  <c r="AB2" i="39"/>
  <c r="AS2" i="39" s="1"/>
  <c r="AA4" i="39"/>
  <c r="W4" i="39" s="1"/>
  <c r="X3" i="39"/>
  <c r="AA3" i="39"/>
  <c r="W3" i="39" s="1"/>
  <c r="Z4" i="39"/>
  <c r="Y5" i="39"/>
  <c r="AB5" i="39"/>
  <c r="AS5" i="39" s="1"/>
  <c r="AA5" i="39"/>
  <c r="W5" i="39" s="1"/>
  <c r="AB4" i="39"/>
  <c r="AS4" i="39" s="1"/>
  <c r="Y4" i="39"/>
  <c r="Z5" i="39"/>
  <c r="X4" i="39"/>
  <c r="X5" i="39"/>
  <c r="E152" i="39"/>
  <c r="A153" i="39"/>
  <c r="D152" i="39"/>
  <c r="C152" i="39"/>
  <c r="B152" i="39"/>
  <c r="B371" i="32"/>
  <c r="C370" i="32"/>
  <c r="D370" i="32"/>
  <c r="G370" i="32"/>
  <c r="H370" i="32" s="1"/>
  <c r="AB6" i="39" l="1"/>
  <c r="AS6" i="39" s="1"/>
  <c r="V6" i="39"/>
  <c r="Y6" i="39"/>
  <c r="Z6" i="39"/>
  <c r="AA6" i="39"/>
  <c r="W6" i="39" s="1"/>
  <c r="A10" i="20"/>
  <c r="Q4" i="39"/>
  <c r="O4" i="39"/>
  <c r="Q3" i="39"/>
  <c r="O3" i="39"/>
  <c r="AR152" i="39"/>
  <c r="AD152" i="39"/>
  <c r="Q2" i="39"/>
  <c r="O2" i="39"/>
  <c r="Q5" i="39"/>
  <c r="O5" i="39"/>
  <c r="R3" i="39"/>
  <c r="R5" i="39"/>
  <c r="R4" i="39"/>
  <c r="R2" i="39"/>
  <c r="D9" i="20"/>
  <c r="B9" i="20"/>
  <c r="E9" i="20"/>
  <c r="C9" i="20"/>
  <c r="AH152" i="39"/>
  <c r="AG152" i="39"/>
  <c r="AF152" i="39"/>
  <c r="AE152" i="39"/>
  <c r="AC152" i="39"/>
  <c r="A154" i="39"/>
  <c r="D153" i="39"/>
  <c r="C153" i="39"/>
  <c r="B153" i="39"/>
  <c r="E153" i="39"/>
  <c r="B372" i="32"/>
  <c r="C371" i="32"/>
  <c r="D371" i="32"/>
  <c r="G371" i="32"/>
  <c r="H371" i="32" s="1"/>
  <c r="D10" i="20" l="1"/>
  <c r="A11" i="20"/>
  <c r="R6" i="39"/>
  <c r="Q6" i="39"/>
  <c r="C10" i="20"/>
  <c r="E10" i="20"/>
  <c r="B10" i="20"/>
  <c r="J2" i="27"/>
  <c r="I2" i="27"/>
  <c r="O6" i="39"/>
  <c r="AR153" i="39"/>
  <c r="AD153" i="39"/>
  <c r="E11" i="20"/>
  <c r="D11" i="20"/>
  <c r="C11" i="20"/>
  <c r="B11" i="20"/>
  <c r="AB7" i="39"/>
  <c r="AS7" i="39" s="1"/>
  <c r="AA8" i="39"/>
  <c r="W8" i="39" s="1"/>
  <c r="X7" i="39"/>
  <c r="V8" i="39"/>
  <c r="V7" i="39"/>
  <c r="Z7" i="39"/>
  <c r="AA7" i="39"/>
  <c r="W7" i="39" s="1"/>
  <c r="Y7" i="39"/>
  <c r="Y8" i="39"/>
  <c r="X8" i="39"/>
  <c r="Z8" i="39"/>
  <c r="AB8" i="39"/>
  <c r="AS8" i="39" s="1"/>
  <c r="AH153" i="39"/>
  <c r="AF153" i="39"/>
  <c r="AG153" i="39"/>
  <c r="AE153" i="39"/>
  <c r="AC153" i="39"/>
  <c r="E154" i="39"/>
  <c r="A155" i="39"/>
  <c r="D154" i="39"/>
  <c r="AD154" i="39" s="1"/>
  <c r="C154" i="39"/>
  <c r="B154" i="39"/>
  <c r="B373" i="32"/>
  <c r="G372" i="32"/>
  <c r="H372" i="32" s="1"/>
  <c r="C372" i="32"/>
  <c r="D372" i="32"/>
  <c r="A12" i="20" l="1"/>
  <c r="K2" i="27"/>
  <c r="Q7" i="39"/>
  <c r="O7" i="39"/>
  <c r="O8" i="39"/>
  <c r="Q8" i="39"/>
  <c r="R7" i="39"/>
  <c r="R8" i="39"/>
  <c r="AR154" i="39"/>
  <c r="AH154" i="39"/>
  <c r="AF154" i="39"/>
  <c r="AG154" i="39"/>
  <c r="AE154" i="39"/>
  <c r="AC154" i="39"/>
  <c r="E155" i="39"/>
  <c r="A156" i="39"/>
  <c r="D155" i="39"/>
  <c r="C155" i="39"/>
  <c r="B155" i="39"/>
  <c r="B374" i="32"/>
  <c r="C373" i="32"/>
  <c r="D373" i="32"/>
  <c r="G373" i="32"/>
  <c r="H373" i="32" s="1"/>
  <c r="B12" i="20" l="1"/>
  <c r="E12" i="20"/>
  <c r="D12" i="20"/>
  <c r="C12" i="20"/>
  <c r="A13" i="20"/>
  <c r="AA10" i="39" s="1"/>
  <c r="W10" i="39" s="1"/>
  <c r="AR155" i="39"/>
  <c r="AD155" i="39"/>
  <c r="AA9" i="39"/>
  <c r="W9" i="39" s="1"/>
  <c r="Y9" i="39"/>
  <c r="V9" i="39"/>
  <c r="X9" i="39"/>
  <c r="Z9" i="39"/>
  <c r="AH155" i="39"/>
  <c r="AE155" i="39"/>
  <c r="AG155" i="39"/>
  <c r="AF155" i="39"/>
  <c r="AC155" i="39"/>
  <c r="E156" i="39"/>
  <c r="A157" i="39"/>
  <c r="D156" i="39"/>
  <c r="AD156" i="39" s="1"/>
  <c r="C156" i="39"/>
  <c r="B156" i="39"/>
  <c r="B375" i="32"/>
  <c r="G374" i="32"/>
  <c r="H374" i="32" s="1"/>
  <c r="C374" i="32"/>
  <c r="D374" i="32"/>
  <c r="Y10" i="39" l="1"/>
  <c r="A14" i="20"/>
  <c r="V10" i="39"/>
  <c r="X10" i="39"/>
  <c r="C13" i="20"/>
  <c r="D13" i="20"/>
  <c r="Z10" i="39"/>
  <c r="B13" i="20"/>
  <c r="E13" i="20"/>
  <c r="O10" i="39"/>
  <c r="Q10" i="39"/>
  <c r="O9" i="39"/>
  <c r="Q9" i="39"/>
  <c r="R9" i="39"/>
  <c r="R10" i="39"/>
  <c r="A15" i="20"/>
  <c r="C14" i="20"/>
  <c r="E14" i="20"/>
  <c r="B14" i="20"/>
  <c r="D14" i="20"/>
  <c r="AR156" i="39"/>
  <c r="AF156" i="39"/>
  <c r="AE156" i="39"/>
  <c r="AH156" i="39"/>
  <c r="AG156" i="39"/>
  <c r="AC156" i="39"/>
  <c r="A158" i="39"/>
  <c r="D157" i="39"/>
  <c r="C157" i="39"/>
  <c r="B157" i="39"/>
  <c r="E157" i="39"/>
  <c r="B376" i="32"/>
  <c r="C375" i="32"/>
  <c r="D375" i="32"/>
  <c r="G375" i="32"/>
  <c r="H375" i="32" s="1"/>
  <c r="I3" i="27" l="1"/>
  <c r="AR157" i="39"/>
  <c r="AD157" i="39"/>
  <c r="A16" i="20"/>
  <c r="C15" i="20"/>
  <c r="E15" i="20"/>
  <c r="B15" i="20"/>
  <c r="D15" i="20"/>
  <c r="AA12" i="39"/>
  <c r="W12" i="39" s="1"/>
  <c r="V12" i="39"/>
  <c r="Y11" i="39"/>
  <c r="X11" i="39"/>
  <c r="Y12" i="39"/>
  <c r="V11" i="39"/>
  <c r="Z11" i="39"/>
  <c r="AA11" i="39"/>
  <c r="W11" i="39" s="1"/>
  <c r="Z12" i="39"/>
  <c r="X12" i="39"/>
  <c r="AH157" i="39"/>
  <c r="AF157" i="39"/>
  <c r="AG157" i="39"/>
  <c r="AE157" i="39"/>
  <c r="AC157" i="39"/>
  <c r="E158" i="39"/>
  <c r="A159" i="39"/>
  <c r="D158" i="39"/>
  <c r="AD158" i="39" s="1"/>
  <c r="C158" i="39"/>
  <c r="B158" i="39"/>
  <c r="B377" i="32"/>
  <c r="C376" i="32"/>
  <c r="D376" i="32"/>
  <c r="G376" i="32"/>
  <c r="H376" i="32" s="1"/>
  <c r="Q11" i="39" l="1"/>
  <c r="O11" i="39"/>
  <c r="Q12" i="39"/>
  <c r="O12" i="39"/>
  <c r="R11" i="39"/>
  <c r="R12" i="39"/>
  <c r="C16" i="20"/>
  <c r="B16" i="20"/>
  <c r="A17" i="20"/>
  <c r="E16" i="20"/>
  <c r="D16" i="20"/>
  <c r="AR158" i="39"/>
  <c r="AH158" i="39"/>
  <c r="AE158" i="39"/>
  <c r="AG158" i="39"/>
  <c r="AF158" i="39"/>
  <c r="AC158" i="39"/>
  <c r="E159" i="39"/>
  <c r="A160" i="39"/>
  <c r="D159" i="39"/>
  <c r="C159" i="39"/>
  <c r="B159" i="39"/>
  <c r="B378" i="32"/>
  <c r="C377" i="32"/>
  <c r="D377" i="32"/>
  <c r="G377" i="32"/>
  <c r="H377" i="32" s="1"/>
  <c r="AR159" i="39" l="1"/>
  <c r="AD159" i="39"/>
  <c r="A18" i="20"/>
  <c r="E17" i="20"/>
  <c r="D17" i="20"/>
  <c r="C17" i="20"/>
  <c r="B17" i="20"/>
  <c r="V14" i="39"/>
  <c r="X14" i="39"/>
  <c r="Y14" i="39"/>
  <c r="X13" i="39"/>
  <c r="Y13" i="39"/>
  <c r="V13" i="39"/>
  <c r="AA13" i="39"/>
  <c r="W13" i="39" s="1"/>
  <c r="Z13" i="39"/>
  <c r="Z14" i="39"/>
  <c r="AA14" i="39"/>
  <c r="W14" i="39" s="1"/>
  <c r="AH159" i="39"/>
  <c r="AF159" i="39"/>
  <c r="AG159" i="39"/>
  <c r="AE159" i="39"/>
  <c r="AC159" i="39"/>
  <c r="E160" i="39"/>
  <c r="A161" i="39"/>
  <c r="D160" i="39"/>
  <c r="AD160" i="39" s="1"/>
  <c r="C160" i="39"/>
  <c r="B160" i="39"/>
  <c r="B379" i="32"/>
  <c r="C378" i="32"/>
  <c r="D378" i="32"/>
  <c r="G378" i="32"/>
  <c r="H378" i="32" s="1"/>
  <c r="Q13" i="39" l="1"/>
  <c r="O13" i="39"/>
  <c r="Q14" i="39"/>
  <c r="O14" i="39"/>
  <c r="R14" i="39"/>
  <c r="R13" i="39"/>
  <c r="A19" i="20"/>
  <c r="E18" i="20"/>
  <c r="D18" i="20"/>
  <c r="C18" i="20"/>
  <c r="B18" i="20"/>
  <c r="AR160" i="39"/>
  <c r="AH160" i="39"/>
  <c r="AG160" i="39"/>
  <c r="AC160" i="39"/>
  <c r="AE160" i="39"/>
  <c r="AF160" i="39"/>
  <c r="A162" i="39"/>
  <c r="D161" i="39"/>
  <c r="C161" i="39"/>
  <c r="B161" i="39"/>
  <c r="E161" i="39"/>
  <c r="B380" i="32"/>
  <c r="C379" i="32"/>
  <c r="D379" i="32"/>
  <c r="G379" i="32"/>
  <c r="H379" i="32" s="1"/>
  <c r="AR161" i="39" l="1"/>
  <c r="AD161" i="39"/>
  <c r="A20" i="20"/>
  <c r="E19" i="20"/>
  <c r="D19" i="20"/>
  <c r="C19" i="20"/>
  <c r="B19" i="20"/>
  <c r="V15" i="39"/>
  <c r="X15" i="39"/>
  <c r="V16" i="39"/>
  <c r="Y15" i="39"/>
  <c r="Z15" i="39"/>
  <c r="AA15" i="39"/>
  <c r="W15" i="39" s="1"/>
  <c r="AH161" i="39"/>
  <c r="AG161" i="39"/>
  <c r="AC161" i="39"/>
  <c r="AE161" i="39"/>
  <c r="AF161" i="39"/>
  <c r="E162" i="39"/>
  <c r="A163" i="39"/>
  <c r="D162" i="39"/>
  <c r="AD162" i="39" s="1"/>
  <c r="C162" i="39"/>
  <c r="B162" i="39"/>
  <c r="B381" i="32"/>
  <c r="C380" i="32"/>
  <c r="D380" i="32"/>
  <c r="G380" i="32"/>
  <c r="H380" i="32" s="1"/>
  <c r="Q15" i="39" l="1"/>
  <c r="O15" i="39"/>
  <c r="R15" i="39"/>
  <c r="A21" i="20"/>
  <c r="E20" i="20"/>
  <c r="D20" i="20"/>
  <c r="C20" i="20"/>
  <c r="B20" i="20"/>
  <c r="AR162" i="39"/>
  <c r="AA16" i="39"/>
  <c r="W16" i="39" s="1"/>
  <c r="X16" i="39"/>
  <c r="Z16" i="39"/>
  <c r="Y16" i="39"/>
  <c r="AH162" i="39"/>
  <c r="AG162" i="39"/>
  <c r="AF162" i="39"/>
  <c r="AE162" i="39"/>
  <c r="AC162" i="39"/>
  <c r="E163" i="39"/>
  <c r="A164" i="39"/>
  <c r="D163" i="39"/>
  <c r="C163" i="39"/>
  <c r="B163" i="39"/>
  <c r="B382" i="32"/>
  <c r="C381" i="32"/>
  <c r="D381" i="32"/>
  <c r="G381" i="32"/>
  <c r="H381" i="32" s="1"/>
  <c r="Q16" i="39" l="1"/>
  <c r="O16" i="39"/>
  <c r="AR163" i="39"/>
  <c r="AD163" i="39"/>
  <c r="R16" i="39"/>
  <c r="A22" i="20"/>
  <c r="E21" i="20"/>
  <c r="D21" i="20"/>
  <c r="C21" i="20"/>
  <c r="B21" i="20"/>
  <c r="AH163" i="39"/>
  <c r="AF163" i="39"/>
  <c r="AG163" i="39"/>
  <c r="AE163" i="39"/>
  <c r="AC163" i="39"/>
  <c r="E164" i="39"/>
  <c r="A165" i="39"/>
  <c r="D164" i="39"/>
  <c r="C164" i="39"/>
  <c r="B164" i="39"/>
  <c r="B383" i="32"/>
  <c r="C382" i="32"/>
  <c r="D382" i="32"/>
  <c r="G382" i="32"/>
  <c r="H382" i="32" s="1"/>
  <c r="AR164" i="39" l="1"/>
  <c r="AD164" i="39"/>
  <c r="A23" i="20"/>
  <c r="E22" i="20"/>
  <c r="D22" i="20"/>
  <c r="C22" i="20"/>
  <c r="B22" i="20"/>
  <c r="AH164" i="39"/>
  <c r="AG164" i="39"/>
  <c r="AE164" i="39"/>
  <c r="AF164" i="39"/>
  <c r="AC164" i="39"/>
  <c r="A166" i="39"/>
  <c r="D165" i="39"/>
  <c r="C165" i="39"/>
  <c r="B165" i="39"/>
  <c r="E165" i="39"/>
  <c r="B384" i="32"/>
  <c r="D383" i="32"/>
  <c r="G383" i="32"/>
  <c r="H383" i="32" s="1"/>
  <c r="C383" i="32"/>
  <c r="AR165" i="39" l="1"/>
  <c r="AD165" i="39"/>
  <c r="A24" i="20"/>
  <c r="E23" i="20"/>
  <c r="D23" i="20"/>
  <c r="C23" i="20"/>
  <c r="B23" i="20"/>
  <c r="AH165" i="39"/>
  <c r="AF165" i="39"/>
  <c r="AG165" i="39"/>
  <c r="AE165" i="39"/>
  <c r="AC165" i="39"/>
  <c r="E166" i="39"/>
  <c r="A167" i="39"/>
  <c r="D166" i="39"/>
  <c r="C166" i="39"/>
  <c r="B166" i="39"/>
  <c r="B385" i="32"/>
  <c r="C384" i="32"/>
  <c r="D384" i="32"/>
  <c r="G384" i="32"/>
  <c r="H384" i="32" s="1"/>
  <c r="AR166" i="39" l="1"/>
  <c r="AD166" i="39"/>
  <c r="C24" i="20"/>
  <c r="E24" i="20"/>
  <c r="B24" i="20"/>
  <c r="A25" i="20"/>
  <c r="D24" i="20"/>
  <c r="AH166" i="39"/>
  <c r="AF166" i="39"/>
  <c r="AG166" i="39"/>
  <c r="AE166" i="39"/>
  <c r="AC166" i="39"/>
  <c r="E167" i="39"/>
  <c r="A168" i="39"/>
  <c r="D167" i="39"/>
  <c r="C167" i="39"/>
  <c r="B167" i="39"/>
  <c r="B386" i="32"/>
  <c r="C385" i="32"/>
  <c r="D385" i="32"/>
  <c r="G385" i="32"/>
  <c r="H385" i="32" s="1"/>
  <c r="AR167" i="39" l="1"/>
  <c r="AD167" i="39"/>
  <c r="D25" i="20"/>
  <c r="A26" i="20"/>
  <c r="C25" i="20"/>
  <c r="E25" i="20"/>
  <c r="B25" i="20"/>
  <c r="AH167" i="39"/>
  <c r="AE167" i="39"/>
  <c r="AG167" i="39"/>
  <c r="AF167" i="39"/>
  <c r="AC167" i="39"/>
  <c r="E168" i="39"/>
  <c r="A169" i="39"/>
  <c r="D168" i="39"/>
  <c r="C168" i="39"/>
  <c r="B168" i="39"/>
  <c r="B387" i="32"/>
  <c r="C386" i="32"/>
  <c r="D386" i="32"/>
  <c r="G386" i="32"/>
  <c r="H386" i="32" s="1"/>
  <c r="AR168" i="39" l="1"/>
  <c r="AD168" i="39"/>
  <c r="D26" i="20"/>
  <c r="A27" i="20"/>
  <c r="C26" i="20"/>
  <c r="E26" i="20"/>
  <c r="B26" i="20"/>
  <c r="AF168" i="39"/>
  <c r="AE168" i="39"/>
  <c r="AG168" i="39"/>
  <c r="AH168" i="39"/>
  <c r="AC168" i="39"/>
  <c r="A170" i="39"/>
  <c r="D169" i="39"/>
  <c r="C169" i="39"/>
  <c r="B169" i="39"/>
  <c r="E169" i="39"/>
  <c r="B388" i="32"/>
  <c r="C387" i="32"/>
  <c r="D387" i="32"/>
  <c r="G387" i="32"/>
  <c r="H387" i="32" s="1"/>
  <c r="AR169" i="39" l="1"/>
  <c r="AD169" i="39"/>
  <c r="A28" i="20"/>
  <c r="C27" i="20"/>
  <c r="E27" i="20"/>
  <c r="B27" i="20"/>
  <c r="D27" i="20"/>
  <c r="AH169" i="39"/>
  <c r="AF169" i="39"/>
  <c r="AG169" i="39"/>
  <c r="AE169" i="39"/>
  <c r="AC169" i="39"/>
  <c r="E170" i="39"/>
  <c r="A171" i="39"/>
  <c r="D170" i="39"/>
  <c r="C170" i="39"/>
  <c r="B170" i="39"/>
  <c r="B389" i="32"/>
  <c r="G388" i="32"/>
  <c r="H388" i="32" s="1"/>
  <c r="C388" i="32"/>
  <c r="D388" i="32"/>
  <c r="AR170" i="39" l="1"/>
  <c r="AD170" i="39"/>
  <c r="A29" i="20"/>
  <c r="C28" i="20"/>
  <c r="E28" i="20"/>
  <c r="B28" i="20"/>
  <c r="D28" i="20"/>
  <c r="AH170" i="39"/>
  <c r="AE170" i="39"/>
  <c r="AG170" i="39"/>
  <c r="AF170" i="39"/>
  <c r="AC170" i="39"/>
  <c r="E171" i="39"/>
  <c r="A172" i="39"/>
  <c r="D171" i="39"/>
  <c r="C171" i="39"/>
  <c r="B171" i="39"/>
  <c r="B390" i="32"/>
  <c r="C389" i="32"/>
  <c r="D389" i="32"/>
  <c r="G389" i="32"/>
  <c r="H389" i="32" s="1"/>
  <c r="AR171" i="39" l="1"/>
  <c r="AD171" i="39"/>
  <c r="E29" i="20"/>
  <c r="B29" i="20"/>
  <c r="D29" i="20"/>
  <c r="A30" i="20"/>
  <c r="C29" i="20"/>
  <c r="AH171" i="39"/>
  <c r="AF171" i="39"/>
  <c r="AG171" i="39"/>
  <c r="AE171" i="39"/>
  <c r="AC171" i="39"/>
  <c r="E172" i="39"/>
  <c r="A173" i="39"/>
  <c r="D172" i="39"/>
  <c r="C172" i="39"/>
  <c r="B172" i="39"/>
  <c r="B391" i="32"/>
  <c r="G390" i="32"/>
  <c r="H390" i="32" s="1"/>
  <c r="C390" i="32"/>
  <c r="D390" i="32"/>
  <c r="AR172" i="39" l="1"/>
  <c r="AD172" i="39"/>
  <c r="E30" i="20"/>
  <c r="B30" i="20"/>
  <c r="D30" i="20"/>
  <c r="A31" i="20"/>
  <c r="C30" i="20"/>
  <c r="AH172" i="39"/>
  <c r="AG172" i="39"/>
  <c r="AC172" i="39"/>
  <c r="AF172" i="39"/>
  <c r="AE172" i="39"/>
  <c r="A174" i="39"/>
  <c r="D173" i="39"/>
  <c r="C173" i="39"/>
  <c r="B173" i="39"/>
  <c r="E173" i="39"/>
  <c r="B392" i="32"/>
  <c r="D391" i="32"/>
  <c r="G391" i="32"/>
  <c r="H391" i="32" s="1"/>
  <c r="C391" i="32"/>
  <c r="AR173" i="39" l="1"/>
  <c r="AD173" i="39"/>
  <c r="A32" i="20"/>
  <c r="C31" i="20"/>
  <c r="E31" i="20"/>
  <c r="B31" i="20"/>
  <c r="D31" i="20"/>
  <c r="AH173" i="39"/>
  <c r="AG173" i="39"/>
  <c r="AC173" i="39"/>
  <c r="AF173" i="39"/>
  <c r="AE173" i="39"/>
  <c r="E174" i="39"/>
  <c r="A175" i="39"/>
  <c r="D174" i="39"/>
  <c r="C174" i="39"/>
  <c r="B174" i="39"/>
  <c r="B393" i="32"/>
  <c r="C392" i="32"/>
  <c r="D392" i="32"/>
  <c r="G392" i="32"/>
  <c r="H392" i="32" s="1"/>
  <c r="AR174" i="39" l="1"/>
  <c r="AD174" i="39"/>
  <c r="A33" i="20"/>
  <c r="C32" i="20"/>
  <c r="E32" i="20"/>
  <c r="B32" i="20"/>
  <c r="D32" i="20"/>
  <c r="AH174" i="39"/>
  <c r="AG174" i="39"/>
  <c r="AF174" i="39"/>
  <c r="AE174" i="39"/>
  <c r="AC174" i="39"/>
  <c r="E175" i="39"/>
  <c r="A176" i="39"/>
  <c r="D175" i="39"/>
  <c r="C175" i="39"/>
  <c r="B175" i="39"/>
  <c r="B394" i="32"/>
  <c r="D393" i="32"/>
  <c r="C393" i="32"/>
  <c r="G393" i="32"/>
  <c r="H393" i="32" s="1"/>
  <c r="A34" i="20" l="1"/>
  <c r="AR175" i="39"/>
  <c r="AD175" i="39"/>
  <c r="D33" i="20"/>
  <c r="C33" i="20"/>
  <c r="E33" i="20"/>
  <c r="B33" i="20"/>
  <c r="AH175" i="39"/>
  <c r="AF175" i="39"/>
  <c r="AE175" i="39"/>
  <c r="AG175" i="39"/>
  <c r="AC175" i="39"/>
  <c r="E176" i="39"/>
  <c r="A177" i="39"/>
  <c r="D176" i="39"/>
  <c r="C176" i="39"/>
  <c r="B176" i="39"/>
  <c r="C394" i="32"/>
  <c r="D394" i="32"/>
  <c r="G394" i="32"/>
  <c r="H394" i="32" s="1"/>
  <c r="A35" i="20" l="1"/>
  <c r="E34" i="20"/>
  <c r="B34" i="20"/>
  <c r="C34" i="20"/>
  <c r="D34" i="20"/>
  <c r="AR176" i="39"/>
  <c r="AD176" i="39"/>
  <c r="AB19" i="39"/>
  <c r="AS19" i="39" s="1"/>
  <c r="AB14" i="39"/>
  <c r="AB23" i="39"/>
  <c r="AS23" i="39" s="1"/>
  <c r="AB21" i="39"/>
  <c r="AS21" i="39" s="1"/>
  <c r="AB15" i="39"/>
  <c r="AB13" i="39"/>
  <c r="AB12" i="39"/>
  <c r="AB18" i="39"/>
  <c r="AS18" i="39" s="1"/>
  <c r="AB16" i="39"/>
  <c r="AB10" i="39"/>
  <c r="AB17" i="39"/>
  <c r="AB20" i="39"/>
  <c r="AS20" i="39" s="1"/>
  <c r="AB22" i="39"/>
  <c r="AS22" i="39" s="1"/>
  <c r="AB9" i="39"/>
  <c r="AB11" i="39"/>
  <c r="F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AA19" i="39"/>
  <c r="W19" i="39" s="1"/>
  <c r="Y24" i="39"/>
  <c r="Y27" i="39"/>
  <c r="Z17" i="39"/>
  <c r="AA20" i="39"/>
  <c r="W20" i="39" s="1"/>
  <c r="Z19" i="39"/>
  <c r="AA31" i="39"/>
  <c r="W31" i="39" s="1"/>
  <c r="Y20" i="39"/>
  <c r="Y21" i="39"/>
  <c r="AA25" i="39"/>
  <c r="W25" i="39" s="1"/>
  <c r="V31" i="39"/>
  <c r="AA22" i="39"/>
  <c r="W22" i="39" s="1"/>
  <c r="AB28" i="39"/>
  <c r="AS28" i="39" s="1"/>
  <c r="Y18" i="39"/>
  <c r="AA28" i="39"/>
  <c r="W28" i="39" s="1"/>
  <c r="V23" i="39"/>
  <c r="Y17" i="39"/>
  <c r="Y29" i="39"/>
  <c r="AB25" i="39"/>
  <c r="AS25" i="39" s="1"/>
  <c r="X18" i="39"/>
  <c r="Z27" i="39"/>
  <c r="V17" i="39"/>
  <c r="Z29" i="39"/>
  <c r="V21" i="39"/>
  <c r="Z25" i="39"/>
  <c r="V26" i="39"/>
  <c r="AA30" i="39"/>
  <c r="W30" i="39" s="1"/>
  <c r="AA24" i="39"/>
  <c r="W24" i="39" s="1"/>
  <c r="V19" i="39"/>
  <c r="Y30" i="39"/>
  <c r="Z31" i="39"/>
  <c r="X20" i="39"/>
  <c r="AB29" i="39"/>
  <c r="AS29" i="39" s="1"/>
  <c r="Z26" i="39"/>
  <c r="AA18" i="39"/>
  <c r="W18" i="39" s="1"/>
  <c r="Y28" i="39"/>
  <c r="V29" i="39"/>
  <c r="X25" i="39"/>
  <c r="V25" i="39"/>
  <c r="AA23" i="39"/>
  <c r="W23" i="39" s="1"/>
  <c r="Y31" i="39"/>
  <c r="X28" i="39"/>
  <c r="X27" i="39"/>
  <c r="X19" i="39"/>
  <c r="Z24" i="39"/>
  <c r="X26" i="39"/>
  <c r="V30" i="39"/>
  <c r="Y22" i="39"/>
  <c r="Z18" i="39"/>
  <c r="AA29" i="39"/>
  <c r="W29" i="39" s="1"/>
  <c r="Z28" i="39"/>
  <c r="V27" i="39"/>
  <c r="AB26" i="39"/>
  <c r="AS26" i="39" s="1"/>
  <c r="V18" i="39"/>
  <c r="V24" i="39"/>
  <c r="Z21" i="39"/>
  <c r="X22" i="39"/>
  <c r="X30" i="39"/>
  <c r="Y19" i="39"/>
  <c r="AA26" i="39"/>
  <c r="W26" i="39" s="1"/>
  <c r="Y23" i="39"/>
  <c r="Z22" i="39"/>
  <c r="V20" i="39"/>
  <c r="X29" i="39"/>
  <c r="X17" i="39"/>
  <c r="AA17" i="39"/>
  <c r="W17" i="39" s="1"/>
  <c r="Y26" i="39"/>
  <c r="Y25" i="39"/>
  <c r="V22" i="39"/>
  <c r="X21" i="39"/>
  <c r="X23" i="39"/>
  <c r="AB30" i="39"/>
  <c r="AS30" i="39" s="1"/>
  <c r="AA21" i="39"/>
  <c r="W21" i="39" s="1"/>
  <c r="AB27" i="39"/>
  <c r="AS27" i="39" s="1"/>
  <c r="Z20" i="39"/>
  <c r="AA27" i="39"/>
  <c r="W27" i="39" s="1"/>
  <c r="AB24" i="39"/>
  <c r="AS24" i="39" s="1"/>
  <c r="X31" i="39"/>
  <c r="AB31" i="39"/>
  <c r="AS31" i="39" s="1"/>
  <c r="X24" i="39"/>
  <c r="Z23" i="39"/>
  <c r="V28" i="39"/>
  <c r="Z30" i="39"/>
  <c r="AH176" i="39"/>
  <c r="AG176" i="39"/>
  <c r="AE176" i="39"/>
  <c r="AF176" i="39"/>
  <c r="AC176" i="39"/>
  <c r="A178" i="39"/>
  <c r="D177" i="39"/>
  <c r="C177" i="39"/>
  <c r="B177" i="39"/>
  <c r="E177" i="39"/>
  <c r="A36" i="20" l="1"/>
  <c r="D35" i="20"/>
  <c r="B35" i="20"/>
  <c r="C35" i="20"/>
  <c r="E35" i="20"/>
  <c r="Q19" i="39"/>
  <c r="O19" i="39"/>
  <c r="AR177" i="39"/>
  <c r="AD177" i="39"/>
  <c r="Q27" i="39"/>
  <c r="O27" i="39"/>
  <c r="Q26" i="39"/>
  <c r="O26" i="39"/>
  <c r="Q24" i="39"/>
  <c r="O24" i="39"/>
  <c r="O22" i="39"/>
  <c r="Q22" i="39"/>
  <c r="Q31" i="39"/>
  <c r="O31" i="39"/>
  <c r="Q18" i="39"/>
  <c r="O18" i="39"/>
  <c r="O20" i="39"/>
  <c r="Q20" i="39"/>
  <c r="Q17" i="39"/>
  <c r="O17" i="39"/>
  <c r="Q29" i="39"/>
  <c r="O29" i="39"/>
  <c r="Q23" i="39"/>
  <c r="O23" i="39"/>
  <c r="Q30" i="39"/>
  <c r="O30" i="39"/>
  <c r="O21" i="39"/>
  <c r="Q21" i="39"/>
  <c r="Q28" i="39"/>
  <c r="O28" i="39"/>
  <c r="Q25" i="39"/>
  <c r="O25" i="39"/>
  <c r="AS10" i="39"/>
  <c r="AS16" i="39"/>
  <c r="AS12" i="39"/>
  <c r="AS13" i="39"/>
  <c r="AS15" i="39"/>
  <c r="AS11" i="39"/>
  <c r="AS9" i="39"/>
  <c r="AS14" i="39"/>
  <c r="R17" i="39"/>
  <c r="R29" i="39"/>
  <c r="R21" i="39"/>
  <c r="R28" i="39"/>
  <c r="R25" i="39"/>
  <c r="R31" i="39"/>
  <c r="R27" i="39"/>
  <c r="R24" i="39"/>
  <c r="R22" i="39"/>
  <c r="R18" i="39"/>
  <c r="R20" i="39"/>
  <c r="R19" i="39"/>
  <c r="R26" i="39"/>
  <c r="R23" i="39"/>
  <c r="R30" i="39"/>
  <c r="AS17" i="39"/>
  <c r="AH177" i="39"/>
  <c r="AF177" i="39"/>
  <c r="AE177" i="39"/>
  <c r="AG177" i="39"/>
  <c r="AC177" i="39"/>
  <c r="E178" i="39"/>
  <c r="A179" i="39"/>
  <c r="D178" i="39"/>
  <c r="C178" i="39"/>
  <c r="B178" i="39"/>
  <c r="A37" i="20" l="1"/>
  <c r="D36" i="20"/>
  <c r="E36" i="20"/>
  <c r="B36" i="20"/>
  <c r="C36" i="20"/>
  <c r="AR178" i="39"/>
  <c r="AD178" i="39"/>
  <c r="AB33" i="39"/>
  <c r="AS33" i="39" s="1"/>
  <c r="F32" i="39"/>
  <c r="F33" i="39"/>
  <c r="Y33" i="39"/>
  <c r="F34" i="39"/>
  <c r="Y34" i="39"/>
  <c r="AA32" i="39"/>
  <c r="Z33" i="39"/>
  <c r="Z32" i="39"/>
  <c r="Z34" i="39"/>
  <c r="X33" i="39"/>
  <c r="V33" i="39"/>
  <c r="AB32" i="39"/>
  <c r="AS32" i="39" s="1"/>
  <c r="AA33" i="39"/>
  <c r="W33" i="39" s="1"/>
  <c r="X32" i="39"/>
  <c r="AB34" i="39"/>
  <c r="AS34" i="39" s="1"/>
  <c r="V32" i="39"/>
  <c r="Y32" i="39"/>
  <c r="AH178" i="39"/>
  <c r="AF178" i="39"/>
  <c r="AE178" i="39"/>
  <c r="AG178" i="39"/>
  <c r="AC178" i="39"/>
  <c r="E179" i="39"/>
  <c r="A180" i="39"/>
  <c r="D179" i="39"/>
  <c r="C179" i="39"/>
  <c r="B179" i="39"/>
  <c r="V34" i="39" l="1"/>
  <c r="X34" i="39"/>
  <c r="AA34" i="39"/>
  <c r="W34" i="39" s="1"/>
  <c r="W32" i="39"/>
  <c r="A38" i="20"/>
  <c r="E37" i="20"/>
  <c r="C37" i="20"/>
  <c r="D37" i="20"/>
  <c r="B37" i="20"/>
  <c r="Q33" i="39"/>
  <c r="O33" i="39"/>
  <c r="AR179" i="39"/>
  <c r="AD179" i="39"/>
  <c r="Q32" i="39"/>
  <c r="O32" i="39"/>
  <c r="R33" i="39"/>
  <c r="R32" i="39"/>
  <c r="AH179" i="39"/>
  <c r="AE179" i="39"/>
  <c r="AG179" i="39"/>
  <c r="AF179" i="39"/>
  <c r="AC179" i="39"/>
  <c r="E180" i="39"/>
  <c r="A181" i="39"/>
  <c r="D180" i="39"/>
  <c r="C180" i="39"/>
  <c r="B180" i="39"/>
  <c r="O34" i="39" l="1"/>
  <c r="R34" i="39"/>
  <c r="Q34" i="39"/>
  <c r="A39" i="20"/>
  <c r="C38" i="20"/>
  <c r="D38" i="20"/>
  <c r="E38" i="20"/>
  <c r="B38" i="20"/>
  <c r="V35" i="39"/>
  <c r="F35" i="39"/>
  <c r="X35" i="39"/>
  <c r="Z35" i="39"/>
  <c r="Y35" i="39"/>
  <c r="AA35" i="39"/>
  <c r="AB35" i="39"/>
  <c r="AS35" i="39" s="1"/>
  <c r="V36" i="39"/>
  <c r="Y36" i="39"/>
  <c r="AR180" i="39"/>
  <c r="AD180" i="39"/>
  <c r="AF180" i="39"/>
  <c r="AE180" i="39"/>
  <c r="AG180" i="39"/>
  <c r="AH180" i="39"/>
  <c r="AC180" i="39"/>
  <c r="A182" i="39"/>
  <c r="D181" i="39"/>
  <c r="C181" i="39"/>
  <c r="B181" i="39"/>
  <c r="E181" i="39"/>
  <c r="AA36" i="39" l="1"/>
  <c r="W36" i="39" s="1"/>
  <c r="W35" i="39"/>
  <c r="X36" i="39"/>
  <c r="AB36" i="39"/>
  <c r="AS36" i="39" s="1"/>
  <c r="Z36" i="39"/>
  <c r="F36" i="39"/>
  <c r="Q35" i="39"/>
  <c r="R35" i="39"/>
  <c r="O35" i="39"/>
  <c r="A40" i="20"/>
  <c r="C39" i="20"/>
  <c r="D39" i="20"/>
  <c r="E39" i="20"/>
  <c r="B39" i="20"/>
  <c r="AR181" i="39"/>
  <c r="AD181" i="39"/>
  <c r="AH181" i="39"/>
  <c r="AF181" i="39"/>
  <c r="AE181" i="39"/>
  <c r="AG181" i="39"/>
  <c r="AC181" i="39"/>
  <c r="E182" i="39"/>
  <c r="A183" i="39"/>
  <c r="D182" i="39"/>
  <c r="AD182" i="39" s="1"/>
  <c r="C182" i="39"/>
  <c r="B182" i="39"/>
  <c r="O36" i="39" l="1"/>
  <c r="R36" i="39"/>
  <c r="Q36" i="39"/>
  <c r="A41" i="20"/>
  <c r="V38" i="39" s="1"/>
  <c r="D40" i="20"/>
  <c r="E40" i="20"/>
  <c r="B40" i="20"/>
  <c r="C40" i="20"/>
  <c r="V37" i="39"/>
  <c r="X37" i="39"/>
  <c r="F37" i="39"/>
  <c r="X38" i="39"/>
  <c r="Y37" i="39"/>
  <c r="AB37" i="39"/>
  <c r="AS37" i="39" s="1"/>
  <c r="AA37" i="39"/>
  <c r="Z37" i="39"/>
  <c r="AR182" i="39"/>
  <c r="AH182" i="39"/>
  <c r="AE182" i="39"/>
  <c r="AG182" i="39"/>
  <c r="AF182" i="39"/>
  <c r="AC182" i="39"/>
  <c r="E183" i="39"/>
  <c r="A184" i="39"/>
  <c r="D183" i="39"/>
  <c r="AD183" i="39" s="1"/>
  <c r="C183" i="39"/>
  <c r="B183" i="39"/>
  <c r="Z38" i="39" l="1"/>
  <c r="W37" i="39"/>
  <c r="AA38" i="39"/>
  <c r="F38" i="39"/>
  <c r="Y38" i="39"/>
  <c r="AB38" i="39"/>
  <c r="AS38" i="39" s="1"/>
  <c r="R37" i="39"/>
  <c r="Q37" i="39"/>
  <c r="O37" i="39"/>
  <c r="A42" i="20"/>
  <c r="B41" i="20"/>
  <c r="C41" i="20"/>
  <c r="D41" i="20"/>
  <c r="E41" i="20"/>
  <c r="AR183" i="39"/>
  <c r="AH183" i="39"/>
  <c r="AF183" i="39"/>
  <c r="AG183" i="39"/>
  <c r="AE183" i="39"/>
  <c r="AC183" i="39"/>
  <c r="E184" i="39"/>
  <c r="A185" i="39"/>
  <c r="D184" i="39"/>
  <c r="AD184" i="39" s="1"/>
  <c r="C184" i="39"/>
  <c r="B184" i="39"/>
  <c r="O38" i="39" l="1"/>
  <c r="W38" i="39"/>
  <c r="R38" i="39"/>
  <c r="Q38" i="39"/>
  <c r="A43" i="20"/>
  <c r="Z40" i="39" s="1"/>
  <c r="B42" i="20"/>
  <c r="D42" i="20"/>
  <c r="E42" i="20"/>
  <c r="C42" i="20"/>
  <c r="X39" i="39"/>
  <c r="Y39" i="39"/>
  <c r="Z39" i="39"/>
  <c r="AA39" i="39"/>
  <c r="AB39" i="39"/>
  <c r="AS39" i="39" s="1"/>
  <c r="F39" i="39"/>
  <c r="V39" i="39"/>
  <c r="AR184" i="39"/>
  <c r="AH184" i="39"/>
  <c r="AG184" i="39"/>
  <c r="AF184" i="39"/>
  <c r="AC184" i="39"/>
  <c r="AE184" i="39"/>
  <c r="A186" i="39"/>
  <c r="D185" i="39"/>
  <c r="AD185" i="39" s="1"/>
  <c r="C185" i="39"/>
  <c r="B185" i="39"/>
  <c r="E185" i="39"/>
  <c r="F40" i="39" l="1"/>
  <c r="X40" i="39"/>
  <c r="V40" i="39"/>
  <c r="AB40" i="39"/>
  <c r="AS40" i="39" s="1"/>
  <c r="AA40" i="39"/>
  <c r="W40" i="39" s="1"/>
  <c r="W39" i="39"/>
  <c r="Y40" i="39"/>
  <c r="R39" i="39"/>
  <c r="Q39" i="39"/>
  <c r="O39" i="39"/>
  <c r="A44" i="20"/>
  <c r="B43" i="20"/>
  <c r="C43" i="20"/>
  <c r="E43" i="20"/>
  <c r="D43" i="20"/>
  <c r="AR185" i="39"/>
  <c r="AH185" i="39"/>
  <c r="AG185" i="39"/>
  <c r="AF185" i="39"/>
  <c r="AC185" i="39"/>
  <c r="AE185" i="39"/>
  <c r="E186" i="39"/>
  <c r="A187" i="39"/>
  <c r="D186" i="39"/>
  <c r="AD186" i="39" s="1"/>
  <c r="C186" i="39"/>
  <c r="B186" i="39"/>
  <c r="O40" i="39" l="1"/>
  <c r="R40" i="39"/>
  <c r="Q40" i="39"/>
  <c r="A45" i="20"/>
  <c r="Z42" i="39" s="1"/>
  <c r="E44" i="20"/>
  <c r="C44" i="20"/>
  <c r="D44" i="20"/>
  <c r="B44" i="20"/>
  <c r="V42" i="39"/>
  <c r="AA42" i="39"/>
  <c r="W42" i="39" s="1"/>
  <c r="AB41" i="39"/>
  <c r="AS41" i="39" s="1"/>
  <c r="F42" i="39"/>
  <c r="X41" i="39"/>
  <c r="Y41" i="39"/>
  <c r="V41" i="39"/>
  <c r="X42" i="39"/>
  <c r="F41" i="39"/>
  <c r="AA41" i="39"/>
  <c r="W41" i="39" s="1"/>
  <c r="Z41" i="39"/>
  <c r="AR186" i="39"/>
  <c r="AH186" i="39"/>
  <c r="AG186" i="39"/>
  <c r="AF186" i="39"/>
  <c r="AE186" i="39"/>
  <c r="AC186" i="39"/>
  <c r="E187" i="39"/>
  <c r="A188" i="39"/>
  <c r="D187" i="39"/>
  <c r="AD187" i="39" s="1"/>
  <c r="C187" i="39"/>
  <c r="B187" i="39"/>
  <c r="AB42" i="39" l="1"/>
  <c r="AS42" i="39" s="1"/>
  <c r="O41" i="39"/>
  <c r="R41" i="39"/>
  <c r="Q41" i="39"/>
  <c r="A46" i="20"/>
  <c r="E45" i="20"/>
  <c r="C45" i="20"/>
  <c r="D45" i="20"/>
  <c r="B45" i="20"/>
  <c r="Q42" i="39"/>
  <c r="O42" i="39"/>
  <c r="R42" i="39"/>
  <c r="AR187" i="39"/>
  <c r="AH187" i="39"/>
  <c r="AF187" i="39"/>
  <c r="AE187" i="39"/>
  <c r="AG187" i="39"/>
  <c r="AC187" i="39"/>
  <c r="E188" i="39"/>
  <c r="A189" i="39"/>
  <c r="D188" i="39"/>
  <c r="AD188" i="39" s="1"/>
  <c r="C188" i="39"/>
  <c r="B188" i="39"/>
  <c r="A47" i="20" l="1"/>
  <c r="Y44" i="39" s="1"/>
  <c r="E46" i="20"/>
  <c r="B46" i="20"/>
  <c r="C46" i="20"/>
  <c r="D46" i="20"/>
  <c r="Z43" i="39"/>
  <c r="F43" i="39"/>
  <c r="AB43" i="39"/>
  <c r="AS43" i="39" s="1"/>
  <c r="V43" i="39"/>
  <c r="X43" i="39"/>
  <c r="X44" i="39"/>
  <c r="Y43" i="39"/>
  <c r="AA43" i="39"/>
  <c r="AR188" i="39"/>
  <c r="AH188" i="39"/>
  <c r="AG188" i="39"/>
  <c r="AF188" i="39"/>
  <c r="AE188" i="39"/>
  <c r="AC188" i="39"/>
  <c r="A190" i="39"/>
  <c r="D189" i="39"/>
  <c r="C189" i="39"/>
  <c r="B189" i="39"/>
  <c r="E189" i="39"/>
  <c r="W43" i="39" l="1"/>
  <c r="Z44" i="39"/>
  <c r="AB44" i="39"/>
  <c r="AS44" i="39" s="1"/>
  <c r="AA44" i="39"/>
  <c r="W44" i="39" s="1"/>
  <c r="F44" i="39"/>
  <c r="V44" i="39"/>
  <c r="Q43" i="39"/>
  <c r="O43" i="39"/>
  <c r="R43" i="39"/>
  <c r="A48" i="20"/>
  <c r="A49" i="20" s="1"/>
  <c r="D47" i="20"/>
  <c r="B47" i="20"/>
  <c r="C47" i="20"/>
  <c r="E47" i="20"/>
  <c r="AR189" i="39"/>
  <c r="AD189" i="39"/>
  <c r="AH189" i="39"/>
  <c r="AF189" i="39"/>
  <c r="AG189" i="39"/>
  <c r="AE189" i="39"/>
  <c r="AC189" i="39"/>
  <c r="E190" i="39"/>
  <c r="A191" i="39"/>
  <c r="D190" i="39"/>
  <c r="C190" i="39"/>
  <c r="B190" i="39"/>
  <c r="A50" i="20" l="1"/>
  <c r="B49" i="20"/>
  <c r="C49" i="20"/>
  <c r="D49" i="20"/>
  <c r="E49" i="20"/>
  <c r="N22" i="39"/>
  <c r="M37" i="39"/>
  <c r="L14" i="39"/>
  <c r="H40" i="39"/>
  <c r="I26" i="39"/>
  <c r="U26" i="39" s="1"/>
  <c r="M43" i="39"/>
  <c r="L11" i="39"/>
  <c r="L36" i="39"/>
  <c r="L23" i="39"/>
  <c r="H18" i="39"/>
  <c r="J16" i="39"/>
  <c r="K11" i="39"/>
  <c r="N28" i="39"/>
  <c r="K31" i="39"/>
  <c r="N29" i="39"/>
  <c r="N12" i="39"/>
  <c r="N33" i="39"/>
  <c r="K15" i="39"/>
  <c r="G24" i="39"/>
  <c r="J41" i="39"/>
  <c r="K18" i="39"/>
  <c r="L21" i="39"/>
  <c r="K20" i="39"/>
  <c r="K36" i="39"/>
  <c r="M12" i="39"/>
  <c r="J42" i="39"/>
  <c r="I40" i="39"/>
  <c r="U40" i="39" s="1"/>
  <c r="L8" i="39"/>
  <c r="I18" i="39"/>
  <c r="U18" i="39" s="1"/>
  <c r="I39" i="39"/>
  <c r="U39" i="39" s="1"/>
  <c r="L27" i="39"/>
  <c r="L4" i="39"/>
  <c r="M4" i="39"/>
  <c r="J38" i="39"/>
  <c r="M30" i="39"/>
  <c r="K19" i="39"/>
  <c r="H41" i="39"/>
  <c r="M27" i="39"/>
  <c r="G2" i="39"/>
  <c r="I38" i="39"/>
  <c r="U38" i="39" s="1"/>
  <c r="K25" i="39"/>
  <c r="I10" i="39"/>
  <c r="U10" i="39" s="1"/>
  <c r="J30" i="39"/>
  <c r="M38" i="39"/>
  <c r="G6" i="39"/>
  <c r="G10" i="39"/>
  <c r="H45" i="39"/>
  <c r="G13" i="39"/>
  <c r="N26" i="39"/>
  <c r="N37" i="39"/>
  <c r="J21" i="39"/>
  <c r="I42" i="39"/>
  <c r="U42" i="39" s="1"/>
  <c r="G19" i="39"/>
  <c r="G9" i="39"/>
  <c r="G38" i="39"/>
  <c r="I36" i="39"/>
  <c r="U36" i="39" s="1"/>
  <c r="M40" i="39"/>
  <c r="G27" i="39"/>
  <c r="N17" i="39"/>
  <c r="G33" i="39"/>
  <c r="K37" i="39"/>
  <c r="H10" i="39"/>
  <c r="N31" i="39"/>
  <c r="J35" i="39"/>
  <c r="K17" i="39"/>
  <c r="K7" i="39"/>
  <c r="L33" i="39"/>
  <c r="M11" i="39"/>
  <c r="K4" i="39"/>
  <c r="H35" i="39"/>
  <c r="I4" i="39"/>
  <c r="U4" i="39" s="1"/>
  <c r="K45" i="39"/>
  <c r="M33" i="39"/>
  <c r="M31" i="39"/>
  <c r="I15" i="39"/>
  <c r="U15" i="39" s="1"/>
  <c r="H24" i="39"/>
  <c r="G17" i="39"/>
  <c r="J7" i="39"/>
  <c r="H36" i="39"/>
  <c r="K40" i="39"/>
  <c r="L41" i="39"/>
  <c r="J18" i="39"/>
  <c r="J44" i="39"/>
  <c r="L30" i="39"/>
  <c r="N42" i="39"/>
  <c r="M25" i="39"/>
  <c r="M28" i="39"/>
  <c r="J20" i="39"/>
  <c r="K35" i="39"/>
  <c r="M15" i="39"/>
  <c r="I45" i="39"/>
  <c r="J12" i="39"/>
  <c r="K30" i="39"/>
  <c r="J43" i="39"/>
  <c r="N43" i="39"/>
  <c r="L35" i="39"/>
  <c r="I24" i="39"/>
  <c r="U24" i="39" s="1"/>
  <c r="J33" i="39"/>
  <c r="H8" i="39"/>
  <c r="G21" i="39"/>
  <c r="L6" i="39"/>
  <c r="I27" i="39"/>
  <c r="U27" i="39" s="1"/>
  <c r="I12" i="39"/>
  <c r="U12" i="39" s="1"/>
  <c r="J4" i="39"/>
  <c r="H20" i="39"/>
  <c r="J37" i="39"/>
  <c r="J22" i="39"/>
  <c r="G42" i="39"/>
  <c r="H6" i="39"/>
  <c r="K24" i="39"/>
  <c r="N6" i="39"/>
  <c r="H29" i="39"/>
  <c r="K28" i="39"/>
  <c r="N45" i="39"/>
  <c r="G36" i="39"/>
  <c r="K38" i="39"/>
  <c r="M5" i="39"/>
  <c r="H23" i="39"/>
  <c r="G40" i="39"/>
  <c r="J27" i="39"/>
  <c r="H5" i="39"/>
  <c r="L9" i="39"/>
  <c r="I16" i="39"/>
  <c r="U16" i="39" s="1"/>
  <c r="L20" i="39"/>
  <c r="I11" i="39"/>
  <c r="U11" i="39" s="1"/>
  <c r="M3" i="39"/>
  <c r="K21" i="39"/>
  <c r="G23" i="39"/>
  <c r="H38" i="39"/>
  <c r="N10" i="39"/>
  <c r="L7" i="39"/>
  <c r="G37" i="39"/>
  <c r="M24" i="39"/>
  <c r="L29" i="39"/>
  <c r="J29" i="39"/>
  <c r="N11" i="39"/>
  <c r="J40" i="39"/>
  <c r="J31" i="39"/>
  <c r="N40" i="39"/>
  <c r="J19" i="39"/>
  <c r="L17" i="39"/>
  <c r="K2" i="39"/>
  <c r="L12" i="39"/>
  <c r="M19" i="39"/>
  <c r="H37" i="39"/>
  <c r="H21" i="39"/>
  <c r="K29" i="39"/>
  <c r="K8" i="39"/>
  <c r="J17" i="39"/>
  <c r="L2" i="39"/>
  <c r="I29" i="39"/>
  <c r="U29" i="39" s="1"/>
  <c r="L24" i="39"/>
  <c r="K5" i="39"/>
  <c r="I21" i="39"/>
  <c r="U21" i="39" s="1"/>
  <c r="I30" i="39"/>
  <c r="U30" i="39" s="1"/>
  <c r="M21" i="39"/>
  <c r="I5" i="39"/>
  <c r="U5" i="39" s="1"/>
  <c r="N25" i="39"/>
  <c r="K41" i="39"/>
  <c r="J45" i="39"/>
  <c r="L19" i="39"/>
  <c r="J24" i="39"/>
  <c r="H14" i="39"/>
  <c r="M32" i="39"/>
  <c r="G32" i="39"/>
  <c r="I37" i="39"/>
  <c r="U37" i="39" s="1"/>
  <c r="H9" i="39"/>
  <c r="I32" i="39"/>
  <c r="G15" i="39"/>
  <c r="N32" i="39"/>
  <c r="K32" i="39"/>
  <c r="J10" i="39"/>
  <c r="L3" i="39"/>
  <c r="G7" i="39"/>
  <c r="K12" i="39"/>
  <c r="M8" i="39"/>
  <c r="K39" i="39"/>
  <c r="G18" i="39"/>
  <c r="N23" i="39"/>
  <c r="M36" i="39"/>
  <c r="G16" i="39"/>
  <c r="N39" i="39"/>
  <c r="N44" i="39"/>
  <c r="J9" i="39"/>
  <c r="L26" i="39"/>
  <c r="H16" i="39"/>
  <c r="H31" i="39"/>
  <c r="M39" i="39"/>
  <c r="H43" i="39"/>
  <c r="H32" i="39"/>
  <c r="J32" i="39"/>
  <c r="I43" i="39"/>
  <c r="U43" i="39" s="1"/>
  <c r="I17" i="39"/>
  <c r="U17" i="39" s="1"/>
  <c r="L22" i="39"/>
  <c r="K43" i="39"/>
  <c r="G45" i="39"/>
  <c r="M34" i="39"/>
  <c r="M42" i="39"/>
  <c r="H28" i="39"/>
  <c r="I13" i="39"/>
  <c r="U13" i="39" s="1"/>
  <c r="L25" i="39"/>
  <c r="N18" i="39"/>
  <c r="K10" i="39"/>
  <c r="L44" i="39"/>
  <c r="I41" i="39"/>
  <c r="U41" i="39" s="1"/>
  <c r="K22" i="39"/>
  <c r="M9" i="39"/>
  <c r="H15" i="39"/>
  <c r="I35" i="39"/>
  <c r="U35" i="39" s="1"/>
  <c r="J8" i="39"/>
  <c r="J28" i="39"/>
  <c r="H2" i="39"/>
  <c r="N5" i="39"/>
  <c r="N9" i="39"/>
  <c r="M26" i="39"/>
  <c r="L39" i="39"/>
  <c r="H39" i="39"/>
  <c r="G31" i="39"/>
  <c r="M44" i="39"/>
  <c r="K27" i="39"/>
  <c r="N21" i="39"/>
  <c r="M23" i="39"/>
  <c r="G30" i="39"/>
  <c r="N24" i="39"/>
  <c r="I20" i="39"/>
  <c r="U20" i="39" s="1"/>
  <c r="H11" i="39"/>
  <c r="N34" i="39"/>
  <c r="G34" i="39"/>
  <c r="H25" i="39"/>
  <c r="M2" i="39"/>
  <c r="J14" i="39"/>
  <c r="J26" i="39"/>
  <c r="N3" i="39"/>
  <c r="M7" i="39"/>
  <c r="H44" i="39"/>
  <c r="I23" i="39"/>
  <c r="U23" i="39" s="1"/>
  <c r="H13" i="39"/>
  <c r="I14" i="39"/>
  <c r="U14" i="39" s="1"/>
  <c r="H19" i="39"/>
  <c r="G8" i="39"/>
  <c r="K14" i="39"/>
  <c r="J23" i="39"/>
  <c r="J39" i="39"/>
  <c r="G35" i="39"/>
  <c r="K33" i="39"/>
  <c r="I25" i="39"/>
  <c r="U25" i="39" s="1"/>
  <c r="H7" i="39"/>
  <c r="I28" i="39"/>
  <c r="U28" i="39" s="1"/>
  <c r="J25" i="39"/>
  <c r="G28" i="39"/>
  <c r="L45" i="39"/>
  <c r="N7" i="39"/>
  <c r="G4" i="39"/>
  <c r="H27" i="39"/>
  <c r="K6" i="39"/>
  <c r="M17" i="39"/>
  <c r="M41" i="39"/>
  <c r="G11" i="39"/>
  <c r="K23" i="39"/>
  <c r="J36" i="39"/>
  <c r="L43" i="39"/>
  <c r="N2" i="39"/>
  <c r="J3" i="39"/>
  <c r="G29" i="39"/>
  <c r="I9" i="39"/>
  <c r="U9" i="39" s="1"/>
  <c r="G26" i="39"/>
  <c r="M22" i="39"/>
  <c r="K34" i="39"/>
  <c r="I7" i="39"/>
  <c r="U7" i="39" s="1"/>
  <c r="H34" i="39"/>
  <c r="K42" i="39"/>
  <c r="G39" i="39"/>
  <c r="L38" i="39"/>
  <c r="N19" i="39"/>
  <c r="H4" i="39"/>
  <c r="I19" i="39"/>
  <c r="U19" i="39" s="1"/>
  <c r="L31" i="39"/>
  <c r="N4" i="39"/>
  <c r="M35" i="39"/>
  <c r="K44" i="39"/>
  <c r="I44" i="39"/>
  <c r="U44" i="39" s="1"/>
  <c r="L13" i="39"/>
  <c r="J5" i="39"/>
  <c r="G3" i="39"/>
  <c r="I33" i="39"/>
  <c r="U33" i="39" s="1"/>
  <c r="N30" i="39"/>
  <c r="J15" i="39"/>
  <c r="G44" i="39"/>
  <c r="H3" i="39"/>
  <c r="N38" i="39"/>
  <c r="J13" i="39"/>
  <c r="M20" i="39"/>
  <c r="I6" i="39"/>
  <c r="U6" i="39" s="1"/>
  <c r="N15" i="39"/>
  <c r="G41" i="39"/>
  <c r="I31" i="39"/>
  <c r="U31" i="39" s="1"/>
  <c r="I3" i="39"/>
  <c r="U3" i="39" s="1"/>
  <c r="M18" i="39"/>
  <c r="M6" i="39"/>
  <c r="H42" i="39"/>
  <c r="K3" i="39"/>
  <c r="G43" i="39"/>
  <c r="H22" i="39"/>
  <c r="L34" i="39"/>
  <c r="N14" i="39"/>
  <c r="I22" i="39"/>
  <c r="U22" i="39" s="1"/>
  <c r="L32" i="39"/>
  <c r="N13" i="39"/>
  <c r="N35" i="39"/>
  <c r="M16" i="39"/>
  <c r="M29" i="39"/>
  <c r="J11" i="39"/>
  <c r="M45" i="39"/>
  <c r="I8" i="39"/>
  <c r="U8" i="39" s="1"/>
  <c r="K16" i="39"/>
  <c r="L15" i="39"/>
  <c r="J6" i="39"/>
  <c r="L37" i="39"/>
  <c r="K13" i="39"/>
  <c r="L18" i="39"/>
  <c r="G5" i="39"/>
  <c r="H12" i="39"/>
  <c r="N20" i="39"/>
  <c r="L16" i="39"/>
  <c r="H33" i="39"/>
  <c r="L28" i="39"/>
  <c r="K26" i="39"/>
  <c r="N41" i="39"/>
  <c r="G20" i="39"/>
  <c r="M10" i="39"/>
  <c r="I34" i="39"/>
  <c r="U34" i="39" s="1"/>
  <c r="N8" i="39"/>
  <c r="M14" i="39"/>
  <c r="M13" i="39"/>
  <c r="G14" i="39"/>
  <c r="J2" i="39"/>
  <c r="L10" i="39"/>
  <c r="N16" i="39"/>
  <c r="H17" i="39"/>
  <c r="L42" i="39"/>
  <c r="L40" i="39"/>
  <c r="L5" i="39"/>
  <c r="N27" i="39"/>
  <c r="H30" i="39"/>
  <c r="K9" i="39"/>
  <c r="N36" i="39"/>
  <c r="H26" i="39"/>
  <c r="K46" i="39"/>
  <c r="J46" i="39"/>
  <c r="I47" i="39"/>
  <c r="N46" i="39"/>
  <c r="G12" i="39"/>
  <c r="G47" i="39"/>
  <c r="J34" i="39"/>
  <c r="I2" i="39"/>
  <c r="U2" i="39" s="1"/>
  <c r="K47" i="39"/>
  <c r="M47" i="39"/>
  <c r="M46" i="39"/>
  <c r="G22" i="39"/>
  <c r="L46" i="39"/>
  <c r="G25" i="39"/>
  <c r="G46" i="39"/>
  <c r="J47" i="39"/>
  <c r="I46" i="39"/>
  <c r="H46" i="39"/>
  <c r="L47" i="39"/>
  <c r="H47" i="39"/>
  <c r="N47" i="39"/>
  <c r="O44" i="39"/>
  <c r="Q44" i="39"/>
  <c r="R44" i="39"/>
  <c r="D48" i="20"/>
  <c r="E48" i="20"/>
  <c r="C48" i="20"/>
  <c r="B48" i="20"/>
  <c r="Y42" i="39"/>
  <c r="Z47" i="39"/>
  <c r="Z46" i="39"/>
  <c r="AB47" i="39"/>
  <c r="AS47" i="39" s="1"/>
  <c r="Y46" i="39"/>
  <c r="AB45" i="39"/>
  <c r="AS45" i="39" s="1"/>
  <c r="AA47" i="39"/>
  <c r="W47" i="39" s="1"/>
  <c r="V46" i="39"/>
  <c r="AA46" i="39"/>
  <c r="W46" i="39" s="1"/>
  <c r="F46" i="39"/>
  <c r="F47" i="39"/>
  <c r="X45" i="39"/>
  <c r="AA45" i="39"/>
  <c r="W45" i="39" s="1"/>
  <c r="Z45" i="39"/>
  <c r="X47" i="39"/>
  <c r="AB46" i="39"/>
  <c r="AS46" i="39" s="1"/>
  <c r="X46" i="39"/>
  <c r="V45" i="39"/>
  <c r="F45" i="39"/>
  <c r="Y47" i="39"/>
  <c r="Y45" i="39"/>
  <c r="V47" i="39"/>
  <c r="AR190" i="39"/>
  <c r="AD190" i="39"/>
  <c r="AF190" i="39"/>
  <c r="AH190" i="39"/>
  <c r="AG190" i="39"/>
  <c r="AE190" i="39"/>
  <c r="AC190" i="39"/>
  <c r="E191" i="39"/>
  <c r="A192" i="39"/>
  <c r="D191" i="39"/>
  <c r="C191" i="39"/>
  <c r="B191" i="39"/>
  <c r="C50" i="20" l="1"/>
  <c r="D50" i="20"/>
  <c r="A51" i="20"/>
  <c r="B50" i="20"/>
  <c r="E50" i="20"/>
  <c r="U32" i="39"/>
  <c r="O46" i="39"/>
  <c r="U46" i="39"/>
  <c r="Q46" i="39"/>
  <c r="R46" i="39"/>
  <c r="U45" i="39"/>
  <c r="O45" i="39"/>
  <c r="Q45" i="39"/>
  <c r="R45" i="39"/>
  <c r="R47" i="39"/>
  <c r="Q47" i="39"/>
  <c r="O47" i="39"/>
  <c r="U47" i="39"/>
  <c r="AR191" i="39"/>
  <c r="AD191" i="39"/>
  <c r="AH191" i="39"/>
  <c r="AE191" i="39"/>
  <c r="AG191" i="39"/>
  <c r="AF191" i="39"/>
  <c r="AC191" i="39"/>
  <c r="E192" i="39"/>
  <c r="A193" i="39"/>
  <c r="D192" i="39"/>
  <c r="C192" i="39"/>
  <c r="B192" i="39"/>
  <c r="D51" i="20" l="1"/>
  <c r="A52" i="20"/>
  <c r="B51" i="20"/>
  <c r="E51" i="20"/>
  <c r="C51" i="20"/>
  <c r="N49" i="39"/>
  <c r="M48" i="39"/>
  <c r="J48" i="39"/>
  <c r="L48" i="39"/>
  <c r="M49" i="39"/>
  <c r="H49" i="39"/>
  <c r="K48" i="39"/>
  <c r="I48" i="39"/>
  <c r="K49" i="39"/>
  <c r="N48" i="39"/>
  <c r="H48" i="39"/>
  <c r="G48" i="39"/>
  <c r="I49" i="39"/>
  <c r="AA48" i="39"/>
  <c r="X48" i="39"/>
  <c r="V49" i="39"/>
  <c r="F48" i="39"/>
  <c r="V48" i="39"/>
  <c r="Y48" i="39"/>
  <c r="G49" i="39"/>
  <c r="AB49" i="39"/>
  <c r="AS49" i="39" s="1"/>
  <c r="Z48" i="39"/>
  <c r="AB48" i="39"/>
  <c r="AS48" i="39" s="1"/>
  <c r="AA49" i="39"/>
  <c r="Y49" i="39"/>
  <c r="F49" i="39"/>
  <c r="AR192" i="39"/>
  <c r="AD192" i="39"/>
  <c r="AH192" i="39"/>
  <c r="AF192" i="39"/>
  <c r="AE192" i="39"/>
  <c r="AG192" i="39"/>
  <c r="AC192" i="39"/>
  <c r="A194" i="39"/>
  <c r="D193" i="39"/>
  <c r="C193" i="39"/>
  <c r="B193" i="39"/>
  <c r="E193" i="39"/>
  <c r="O10" i="7"/>
  <c r="J49" i="39" l="1"/>
  <c r="X49" i="39"/>
  <c r="L49" i="39"/>
  <c r="Z49" i="39"/>
  <c r="A53" i="20"/>
  <c r="W48" i="39"/>
  <c r="U48" i="39"/>
  <c r="R48" i="39"/>
  <c r="Q48" i="39"/>
  <c r="O48" i="39"/>
  <c r="W49" i="39"/>
  <c r="Q49" i="39"/>
  <c r="O49" i="39"/>
  <c r="U49" i="39"/>
  <c r="R49" i="39"/>
  <c r="D52" i="20"/>
  <c r="B52" i="20"/>
  <c r="E52" i="20"/>
  <c r="C52" i="20"/>
  <c r="AR193" i="39"/>
  <c r="AD193" i="39"/>
  <c r="AH193" i="39"/>
  <c r="AF193" i="39"/>
  <c r="AG193" i="39"/>
  <c r="AE193" i="39"/>
  <c r="AC193" i="39"/>
  <c r="E194" i="39"/>
  <c r="A195" i="39"/>
  <c r="D194" i="39"/>
  <c r="C194" i="39"/>
  <c r="B194" i="39"/>
  <c r="C18" i="9"/>
  <c r="A54" i="20" l="1"/>
  <c r="E53" i="20"/>
  <c r="C53" i="20"/>
  <c r="B53" i="20"/>
  <c r="D53" i="20"/>
  <c r="I50" i="39"/>
  <c r="J50" i="39"/>
  <c r="L50" i="39"/>
  <c r="K50" i="39"/>
  <c r="G50" i="39"/>
  <c r="M50" i="39"/>
  <c r="F50" i="39"/>
  <c r="H50" i="39"/>
  <c r="N50" i="39"/>
  <c r="AB50" i="39"/>
  <c r="AS50" i="39" s="1"/>
  <c r="Z50" i="39"/>
  <c r="X50" i="39"/>
  <c r="AA50" i="39"/>
  <c r="V50" i="39"/>
  <c r="Y50" i="39"/>
  <c r="AR194" i="39"/>
  <c r="AD194" i="39"/>
  <c r="AH194" i="39"/>
  <c r="AE194" i="39"/>
  <c r="AG194" i="39"/>
  <c r="AF194" i="39"/>
  <c r="AC194" i="39"/>
  <c r="E195" i="39"/>
  <c r="A196" i="39"/>
  <c r="D195" i="39"/>
  <c r="C195" i="39"/>
  <c r="B195" i="39"/>
  <c r="X51" i="39" l="1"/>
  <c r="K51" i="39"/>
  <c r="F51" i="39"/>
  <c r="AB51" i="39"/>
  <c r="AS51" i="39" s="1"/>
  <c r="L51" i="39"/>
  <c r="H51" i="39"/>
  <c r="N51" i="39"/>
  <c r="V51" i="39"/>
  <c r="AA51" i="39"/>
  <c r="W51" i="39" s="1"/>
  <c r="Z51" i="39"/>
  <c r="M51" i="39"/>
  <c r="I51" i="39"/>
  <c r="Y51" i="39"/>
  <c r="J51" i="39"/>
  <c r="G51" i="39"/>
  <c r="C54" i="20"/>
  <c r="E54" i="20"/>
  <c r="B54" i="20"/>
  <c r="D54" i="20"/>
  <c r="W50" i="39"/>
  <c r="R50" i="39"/>
  <c r="Q50" i="39"/>
  <c r="O50" i="39"/>
  <c r="U50" i="39"/>
  <c r="A55" i="20"/>
  <c r="AR195" i="39"/>
  <c r="AD195" i="39"/>
  <c r="AH195" i="39"/>
  <c r="AF195" i="39"/>
  <c r="AG195" i="39"/>
  <c r="AE195" i="39"/>
  <c r="AC195" i="39"/>
  <c r="E196" i="39"/>
  <c r="A197" i="39"/>
  <c r="D196" i="39"/>
  <c r="C196" i="39"/>
  <c r="B196" i="39"/>
  <c r="AM100" i="30"/>
  <c r="AM130" i="30"/>
  <c r="AM141" i="30"/>
  <c r="AM122" i="30"/>
  <c r="AM132" i="30"/>
  <c r="AM67" i="30"/>
  <c r="AM63" i="30"/>
  <c r="AM38" i="30"/>
  <c r="AM70" i="30"/>
  <c r="AM102" i="30"/>
  <c r="AM134" i="30"/>
  <c r="AM166" i="30"/>
  <c r="AM47" i="30"/>
  <c r="AM143" i="30"/>
  <c r="AM169" i="30"/>
  <c r="AM114" i="30"/>
  <c r="AM51" i="30"/>
  <c r="AM163" i="30"/>
  <c r="AM32" i="30"/>
  <c r="AM64" i="30"/>
  <c r="AM96" i="30"/>
  <c r="AM128" i="30"/>
  <c r="AM160" i="30"/>
  <c r="AM9" i="30"/>
  <c r="AM41" i="30"/>
  <c r="AM73" i="30"/>
  <c r="AM129" i="30"/>
  <c r="AM74" i="30"/>
  <c r="AM3" i="30"/>
  <c r="AM139" i="30"/>
  <c r="AM164" i="30"/>
  <c r="AM13" i="30"/>
  <c r="AM159" i="30"/>
  <c r="AM12" i="30"/>
  <c r="AM44" i="30"/>
  <c r="AM76" i="30"/>
  <c r="AM108" i="30"/>
  <c r="AM140" i="30"/>
  <c r="AM172" i="30"/>
  <c r="AM71" i="30"/>
  <c r="AM183" i="30"/>
  <c r="AM34" i="30"/>
  <c r="AM162" i="30"/>
  <c r="AM107" i="30"/>
  <c r="AM21" i="30"/>
  <c r="AM53" i="30"/>
  <c r="AM85" i="30"/>
  <c r="AM117" i="30"/>
  <c r="AM149" i="30"/>
  <c r="AM181" i="30"/>
  <c r="AM87" i="30"/>
  <c r="AM175" i="30"/>
  <c r="AM26" i="30"/>
  <c r="AM154" i="30"/>
  <c r="AM91" i="30"/>
  <c r="AM6" i="30"/>
  <c r="AM68" i="30"/>
  <c r="AM177" i="30"/>
  <c r="AM109" i="30"/>
  <c r="AM179" i="30"/>
  <c r="AM46" i="30"/>
  <c r="AM78" i="30"/>
  <c r="AM110" i="30"/>
  <c r="AM142" i="30"/>
  <c r="AM174" i="30"/>
  <c r="AM79" i="30"/>
  <c r="AM167" i="30"/>
  <c r="AM10" i="30"/>
  <c r="AM146" i="30"/>
  <c r="AM75" i="30"/>
  <c r="AM8" i="30"/>
  <c r="AM40" i="30"/>
  <c r="AM72" i="30"/>
  <c r="AM104" i="30"/>
  <c r="AM136" i="30"/>
  <c r="AM168" i="30"/>
  <c r="AM17" i="30"/>
  <c r="AM49" i="30"/>
  <c r="AM81" i="30"/>
  <c r="AM161" i="30"/>
  <c r="AM106" i="30"/>
  <c r="AM43" i="30"/>
  <c r="AM171" i="30"/>
  <c r="AM4" i="30"/>
  <c r="AM151" i="30"/>
  <c r="AM173" i="30"/>
  <c r="AM20" i="30"/>
  <c r="AM52" i="30"/>
  <c r="AM84" i="30"/>
  <c r="AM116" i="30"/>
  <c r="AM148" i="30"/>
  <c r="AM180" i="30"/>
  <c r="AM95" i="30"/>
  <c r="AM89" i="30"/>
  <c r="AM66" i="30"/>
  <c r="AM11" i="30"/>
  <c r="AM147" i="30"/>
  <c r="AM29" i="30"/>
  <c r="AM61" i="30"/>
  <c r="AM93" i="30"/>
  <c r="AM125" i="30"/>
  <c r="AM157" i="30"/>
  <c r="AM7" i="30"/>
  <c r="AM111" i="30"/>
  <c r="AM97" i="30"/>
  <c r="AM58" i="30"/>
  <c r="AM15" i="30"/>
  <c r="AM123" i="30"/>
  <c r="AM55" i="30"/>
  <c r="AM77" i="30"/>
  <c r="AM59" i="30"/>
  <c r="AM54" i="30"/>
  <c r="AM86" i="30"/>
  <c r="AM118" i="30"/>
  <c r="AM150" i="30"/>
  <c r="AM182" i="30"/>
  <c r="AM103" i="30"/>
  <c r="AM105" i="30"/>
  <c r="AM50" i="30"/>
  <c r="AM178" i="30"/>
  <c r="AM99" i="30"/>
  <c r="AM16" i="30"/>
  <c r="AM48" i="30"/>
  <c r="AM80" i="30"/>
  <c r="AM112" i="30"/>
  <c r="AM144" i="30"/>
  <c r="AM176" i="30"/>
  <c r="AM25" i="30"/>
  <c r="AM57" i="30"/>
  <c r="AM113" i="30"/>
  <c r="AM18" i="30"/>
  <c r="AM138" i="30"/>
  <c r="AM83" i="30"/>
  <c r="AM36" i="30"/>
  <c r="AM45" i="30"/>
  <c r="AM185" i="30"/>
  <c r="AM28" i="30"/>
  <c r="AM60" i="30"/>
  <c r="AM92" i="30"/>
  <c r="AM124" i="30"/>
  <c r="AM156" i="30"/>
  <c r="AM23" i="30"/>
  <c r="AM119" i="30"/>
  <c r="AM137" i="30"/>
  <c r="AM98" i="30"/>
  <c r="AM35" i="30"/>
  <c r="AM5" i="30"/>
  <c r="AM37" i="30"/>
  <c r="AM69" i="30"/>
  <c r="AM101" i="30"/>
  <c r="AM133" i="30"/>
  <c r="AM165" i="30"/>
  <c r="AM31" i="30"/>
  <c r="AM135" i="30"/>
  <c r="AM153" i="30"/>
  <c r="AM90" i="30"/>
  <c r="AM19" i="30"/>
  <c r="AM155" i="30"/>
  <c r="AM30" i="30"/>
  <c r="AM62" i="30"/>
  <c r="AM94" i="30"/>
  <c r="AM126" i="30"/>
  <c r="AM158" i="30"/>
  <c r="AM39" i="30"/>
  <c r="AM127" i="30"/>
  <c r="AM145" i="30"/>
  <c r="AM82" i="30"/>
  <c r="AM27" i="30"/>
  <c r="AM131" i="30"/>
  <c r="AM24" i="30"/>
  <c r="AM56" i="30"/>
  <c r="AM88" i="30"/>
  <c r="AM120" i="30"/>
  <c r="AM152" i="30"/>
  <c r="AM184" i="30"/>
  <c r="AM33" i="30"/>
  <c r="AM65" i="30"/>
  <c r="AM121" i="30"/>
  <c r="AM42" i="30"/>
  <c r="AM170" i="30"/>
  <c r="AM115" i="30"/>
  <c r="AM22" i="30"/>
  <c r="AM14" i="30"/>
  <c r="O51" i="39" l="1"/>
  <c r="R51" i="39"/>
  <c r="U51" i="39"/>
  <c r="Q51" i="39"/>
  <c r="D55" i="20"/>
  <c r="C55" i="20"/>
  <c r="E55" i="20"/>
  <c r="B55" i="20"/>
  <c r="A56" i="20"/>
  <c r="G52" i="39"/>
  <c r="L52" i="39"/>
  <c r="H52" i="39"/>
  <c r="K52" i="39"/>
  <c r="I52" i="39"/>
  <c r="AB52" i="39"/>
  <c r="AS52" i="39" s="1"/>
  <c r="F52" i="39"/>
  <c r="J52" i="39"/>
  <c r="M52" i="39"/>
  <c r="N52" i="39"/>
  <c r="X52" i="39"/>
  <c r="V52" i="39"/>
  <c r="Z52" i="39"/>
  <c r="AA52" i="39"/>
  <c r="Y52" i="39"/>
  <c r="AR196" i="39"/>
  <c r="AD196" i="39"/>
  <c r="AH196" i="39"/>
  <c r="AG196" i="39"/>
  <c r="AC196" i="39"/>
  <c r="AF196" i="39"/>
  <c r="AE196" i="39"/>
  <c r="A198" i="39"/>
  <c r="D197" i="39"/>
  <c r="C197" i="39"/>
  <c r="B197" i="39"/>
  <c r="E197" i="39"/>
  <c r="I53" i="39" l="1"/>
  <c r="Y53" i="39"/>
  <c r="J53" i="39"/>
  <c r="Z53" i="39"/>
  <c r="F53" i="39"/>
  <c r="N53" i="39"/>
  <c r="M53" i="39"/>
  <c r="AA53" i="39"/>
  <c r="W53" i="39" s="1"/>
  <c r="V53" i="39"/>
  <c r="AB53" i="39"/>
  <c r="AS53" i="39" s="1"/>
  <c r="K53" i="39"/>
  <c r="X53" i="39"/>
  <c r="G53" i="39"/>
  <c r="H53" i="39"/>
  <c r="L53" i="39"/>
  <c r="D56" i="20"/>
  <c r="C56" i="20"/>
  <c r="E56" i="20"/>
  <c r="B56" i="20"/>
  <c r="W52" i="39"/>
  <c r="Q52" i="39"/>
  <c r="O52" i="39"/>
  <c r="R52" i="39"/>
  <c r="U52" i="39"/>
  <c r="A57" i="20"/>
  <c r="AR197" i="39"/>
  <c r="AD197" i="39"/>
  <c r="AH197" i="39"/>
  <c r="AG197" i="39"/>
  <c r="AC197" i="39"/>
  <c r="AF197" i="39"/>
  <c r="AE197" i="39"/>
  <c r="E198" i="39"/>
  <c r="A199" i="39"/>
  <c r="D198" i="39"/>
  <c r="C198" i="39"/>
  <c r="B198" i="39"/>
  <c r="Q53" i="39" l="1"/>
  <c r="O53" i="39"/>
  <c r="R53" i="39"/>
  <c r="U53" i="39"/>
  <c r="D57" i="20"/>
  <c r="C57" i="20"/>
  <c r="E57" i="20"/>
  <c r="B57" i="20"/>
  <c r="A58" i="20"/>
  <c r="K54" i="39"/>
  <c r="J54" i="39"/>
  <c r="H54" i="39"/>
  <c r="N54" i="39"/>
  <c r="L54" i="39"/>
  <c r="AB54" i="39"/>
  <c r="AS54" i="39" s="1"/>
  <c r="M54" i="39"/>
  <c r="Y54" i="39"/>
  <c r="Z54" i="39"/>
  <c r="I54" i="39"/>
  <c r="V54" i="39"/>
  <c r="AA54" i="39"/>
  <c r="X54" i="39"/>
  <c r="G54" i="39"/>
  <c r="F54" i="39"/>
  <c r="AR198" i="39"/>
  <c r="AD198" i="39"/>
  <c r="AH198" i="39"/>
  <c r="AG198" i="39"/>
  <c r="AF198" i="39"/>
  <c r="AE198" i="39"/>
  <c r="AC198" i="39"/>
  <c r="E199" i="39"/>
  <c r="A200" i="39"/>
  <c r="D199" i="39"/>
  <c r="C199" i="39"/>
  <c r="B199" i="39"/>
  <c r="X55" i="39" l="1"/>
  <c r="AB55" i="39"/>
  <c r="AS55" i="39" s="1"/>
  <c r="F55" i="39"/>
  <c r="Y55" i="39"/>
  <c r="V55" i="39"/>
  <c r="J55" i="39"/>
  <c r="Z55" i="39"/>
  <c r="N55" i="39"/>
  <c r="L55" i="39"/>
  <c r="M55" i="39"/>
  <c r="K55" i="39"/>
  <c r="AA55" i="39"/>
  <c r="W55" i="39" s="1"/>
  <c r="H55" i="39"/>
  <c r="G55" i="39"/>
  <c r="I55" i="39"/>
  <c r="B58" i="20"/>
  <c r="D58" i="20"/>
  <c r="C58" i="20"/>
  <c r="E58" i="20"/>
  <c r="W54" i="39"/>
  <c r="O54" i="39"/>
  <c r="U54" i="39"/>
  <c r="R54" i="39"/>
  <c r="Q54" i="39"/>
  <c r="A59" i="20"/>
  <c r="AR199" i="39"/>
  <c r="AD199" i="39"/>
  <c r="AH199" i="39"/>
  <c r="AF199" i="39"/>
  <c r="AG199" i="39"/>
  <c r="AE199" i="39"/>
  <c r="AC199" i="39"/>
  <c r="E200" i="39"/>
  <c r="A201" i="39"/>
  <c r="D200" i="39"/>
  <c r="C200" i="39"/>
  <c r="B200" i="39"/>
  <c r="Q55" i="39" l="1"/>
  <c r="O55" i="39"/>
  <c r="R55" i="39"/>
  <c r="U55" i="39"/>
  <c r="B59" i="20"/>
  <c r="D59" i="20"/>
  <c r="C59" i="20"/>
  <c r="E59" i="20"/>
  <c r="A60" i="20"/>
  <c r="G56" i="39"/>
  <c r="I56" i="39"/>
  <c r="K56" i="39"/>
  <c r="H56" i="39"/>
  <c r="J56" i="39"/>
  <c r="X56" i="39"/>
  <c r="L56" i="39"/>
  <c r="Z56" i="39"/>
  <c r="V56" i="39"/>
  <c r="F56" i="39"/>
  <c r="M56" i="39"/>
  <c r="AB56" i="39"/>
  <c r="AS56" i="39" s="1"/>
  <c r="AA56" i="39"/>
  <c r="N56" i="39"/>
  <c r="Y56" i="39"/>
  <c r="AR200" i="39"/>
  <c r="AD200" i="39"/>
  <c r="AH200" i="39"/>
  <c r="AG200" i="39"/>
  <c r="AF200" i="39"/>
  <c r="AE200" i="39"/>
  <c r="AC200" i="39"/>
  <c r="A202" i="39"/>
  <c r="D201" i="39"/>
  <c r="C201" i="39"/>
  <c r="B201" i="39"/>
  <c r="E201" i="39"/>
  <c r="J57" i="39" l="1"/>
  <c r="Z57" i="39"/>
  <c r="N57" i="39"/>
  <c r="G57" i="39"/>
  <c r="L57" i="39"/>
  <c r="AB57" i="39"/>
  <c r="AS57" i="39" s="1"/>
  <c r="K57" i="39"/>
  <c r="Y57" i="39"/>
  <c r="AA57" i="39"/>
  <c r="I57" i="39"/>
  <c r="V57" i="39"/>
  <c r="M57" i="39"/>
  <c r="X57" i="39"/>
  <c r="H57" i="39"/>
  <c r="F57" i="39"/>
  <c r="A61" i="20"/>
  <c r="B60" i="20"/>
  <c r="D60" i="20"/>
  <c r="C60" i="20"/>
  <c r="E60" i="20"/>
  <c r="W56" i="39"/>
  <c r="O56" i="39"/>
  <c r="Q56" i="39"/>
  <c r="U56" i="39"/>
  <c r="R56" i="39"/>
  <c r="AR201" i="39"/>
  <c r="AD201" i="39"/>
  <c r="AH201" i="39"/>
  <c r="AF201" i="39"/>
  <c r="AG201" i="39"/>
  <c r="AE201" i="39"/>
  <c r="AC201" i="39"/>
  <c r="E202" i="39"/>
  <c r="A203" i="39"/>
  <c r="D202" i="39"/>
  <c r="C202" i="39"/>
  <c r="B202" i="39"/>
  <c r="Q57" i="39" l="1"/>
  <c r="W57" i="39"/>
  <c r="O57" i="39"/>
  <c r="R57" i="39"/>
  <c r="U57" i="39"/>
  <c r="B61" i="20"/>
  <c r="E61" i="20"/>
  <c r="C61" i="20"/>
  <c r="D61" i="20"/>
  <c r="A62" i="20"/>
  <c r="H58" i="39"/>
  <c r="L58" i="39"/>
  <c r="K58" i="39"/>
  <c r="I58" i="39"/>
  <c r="J58" i="39"/>
  <c r="M58" i="39"/>
  <c r="AA58" i="39"/>
  <c r="N58" i="39"/>
  <c r="AB58" i="39"/>
  <c r="AS58" i="39" s="1"/>
  <c r="Y58" i="39"/>
  <c r="Z58" i="39"/>
  <c r="V58" i="39"/>
  <c r="F58" i="39"/>
  <c r="X58" i="39"/>
  <c r="G58" i="39"/>
  <c r="AR202" i="39"/>
  <c r="AD202" i="39"/>
  <c r="AH202" i="39"/>
  <c r="AF202" i="39"/>
  <c r="AG202" i="39"/>
  <c r="AE202" i="39"/>
  <c r="AC202" i="39"/>
  <c r="A204" i="39"/>
  <c r="E203" i="39"/>
  <c r="D203" i="39"/>
  <c r="C203" i="39"/>
  <c r="B203" i="39"/>
  <c r="Z59" i="39" l="1"/>
  <c r="V59" i="39"/>
  <c r="I59" i="39"/>
  <c r="M59" i="39"/>
  <c r="F59" i="39"/>
  <c r="AB59" i="39"/>
  <c r="AS59" i="39" s="1"/>
  <c r="H59" i="39"/>
  <c r="X59" i="39"/>
  <c r="J59" i="39"/>
  <c r="N59" i="39"/>
  <c r="G59" i="39"/>
  <c r="L59" i="39"/>
  <c r="Y59" i="39"/>
  <c r="K59" i="39"/>
  <c r="AA59" i="39"/>
  <c r="O59" i="39" s="1"/>
  <c r="B62" i="20"/>
  <c r="E62" i="20"/>
  <c r="C62" i="20"/>
  <c r="D62" i="20"/>
  <c r="U58" i="39"/>
  <c r="Q58" i="39"/>
  <c r="W58" i="39"/>
  <c r="O58" i="39"/>
  <c r="R58" i="39"/>
  <c r="A63" i="20"/>
  <c r="AR203" i="39"/>
  <c r="AD203" i="39"/>
  <c r="AH203" i="39"/>
  <c r="AE203" i="39"/>
  <c r="AG203" i="39"/>
  <c r="AF203" i="39"/>
  <c r="AC203" i="39"/>
  <c r="E204" i="39"/>
  <c r="D204" i="39"/>
  <c r="C204" i="39"/>
  <c r="B204" i="39"/>
  <c r="A205" i="39"/>
  <c r="R59" i="39" l="1"/>
  <c r="W59" i="39"/>
  <c r="Q59" i="39"/>
  <c r="U59" i="39"/>
  <c r="D63" i="20"/>
  <c r="B63" i="20"/>
  <c r="E63" i="20"/>
  <c r="C63" i="20"/>
  <c r="A64" i="20"/>
  <c r="N60" i="39"/>
  <c r="J60" i="39"/>
  <c r="L60" i="39"/>
  <c r="H60" i="39"/>
  <c r="I60" i="39"/>
  <c r="K60" i="39"/>
  <c r="Z60" i="39"/>
  <c r="F60" i="39"/>
  <c r="AA60" i="39"/>
  <c r="M60" i="39"/>
  <c r="V60" i="39"/>
  <c r="Y60" i="39"/>
  <c r="G60" i="39"/>
  <c r="AB60" i="39"/>
  <c r="AS60" i="39" s="1"/>
  <c r="X60" i="39"/>
  <c r="AR204" i="39"/>
  <c r="AD204" i="39"/>
  <c r="AF204" i="39"/>
  <c r="AE204" i="39"/>
  <c r="AH204" i="39"/>
  <c r="AG204" i="39"/>
  <c r="AC204" i="39"/>
  <c r="E205" i="39"/>
  <c r="D205" i="39"/>
  <c r="C205" i="39"/>
  <c r="B205" i="39"/>
  <c r="A206" i="39"/>
  <c r="X61" i="39" l="1"/>
  <c r="V61" i="39"/>
  <c r="AB61" i="39"/>
  <c r="AS61" i="39" s="1"/>
  <c r="Y61" i="39"/>
  <c r="Z61" i="39"/>
  <c r="AA61" i="39"/>
  <c r="W61" i="39" s="1"/>
  <c r="K61" i="39"/>
  <c r="G61" i="39"/>
  <c r="L61" i="39"/>
  <c r="H61" i="39"/>
  <c r="N61" i="39"/>
  <c r="M61" i="39"/>
  <c r="I61" i="39"/>
  <c r="J61" i="39"/>
  <c r="B64" i="20"/>
  <c r="E64" i="20"/>
  <c r="D64" i="20"/>
  <c r="C64" i="20"/>
  <c r="F61" i="39"/>
  <c r="U60" i="39"/>
  <c r="W60" i="39"/>
  <c r="O60" i="39"/>
  <c r="Q60" i="39"/>
  <c r="R60" i="39"/>
  <c r="A65" i="20"/>
  <c r="AR205" i="39"/>
  <c r="AD205" i="39"/>
  <c r="AH205" i="39"/>
  <c r="AF205" i="39"/>
  <c r="AG205" i="39"/>
  <c r="AE205" i="39"/>
  <c r="AC205" i="39"/>
  <c r="E206" i="39"/>
  <c r="A207" i="39"/>
  <c r="D206" i="39"/>
  <c r="C206" i="39"/>
  <c r="B206" i="39"/>
  <c r="U61" i="39" l="1"/>
  <c r="O61" i="39"/>
  <c r="Q61" i="39"/>
  <c r="R61" i="39"/>
  <c r="C65" i="20"/>
  <c r="D65" i="20"/>
  <c r="B65" i="20"/>
  <c r="E65" i="20"/>
  <c r="A66" i="20"/>
  <c r="M62" i="39"/>
  <c r="N62" i="39"/>
  <c r="G62" i="39"/>
  <c r="J62" i="39"/>
  <c r="Z62" i="39"/>
  <c r="K62" i="39"/>
  <c r="V62" i="39"/>
  <c r="H62" i="39"/>
  <c r="AB62" i="39"/>
  <c r="AS62" i="39" s="1"/>
  <c r="X62" i="39"/>
  <c r="I62" i="39"/>
  <c r="L62" i="39"/>
  <c r="F62" i="39"/>
  <c r="AA62" i="39"/>
  <c r="Y62" i="39"/>
  <c r="AR206" i="39"/>
  <c r="AD206" i="39"/>
  <c r="AH206" i="39"/>
  <c r="AG206" i="39"/>
  <c r="AE206" i="39"/>
  <c r="AF206" i="39"/>
  <c r="AC206" i="39"/>
  <c r="A208" i="39"/>
  <c r="D207" i="39"/>
  <c r="C207" i="39"/>
  <c r="B207" i="39"/>
  <c r="E207" i="39"/>
  <c r="Y63" i="39" l="1"/>
  <c r="X63" i="39"/>
  <c r="L63" i="39"/>
  <c r="AB63" i="39"/>
  <c r="AS63" i="39" s="1"/>
  <c r="F63" i="39"/>
  <c r="V63" i="39"/>
  <c r="I63" i="39"/>
  <c r="K63" i="39"/>
  <c r="Z63" i="39"/>
  <c r="N63" i="39"/>
  <c r="G63" i="39"/>
  <c r="M63" i="39"/>
  <c r="J63" i="39"/>
  <c r="H63" i="39"/>
  <c r="AA63" i="39"/>
  <c r="W63" i="39" s="1"/>
  <c r="C66" i="20"/>
  <c r="B66" i="20"/>
  <c r="E66" i="20"/>
  <c r="D66" i="20"/>
  <c r="W62" i="39"/>
  <c r="Q62" i="39"/>
  <c r="R62" i="39"/>
  <c r="U62" i="39"/>
  <c r="O62" i="39"/>
  <c r="A67" i="20"/>
  <c r="AR207" i="39"/>
  <c r="AD207" i="39"/>
  <c r="AH207" i="39"/>
  <c r="AF207" i="39"/>
  <c r="AG207" i="39"/>
  <c r="AE207" i="39"/>
  <c r="AC207" i="39"/>
  <c r="E208" i="39"/>
  <c r="D208" i="39"/>
  <c r="C208" i="39"/>
  <c r="B208" i="39"/>
  <c r="A209" i="39"/>
  <c r="O63" i="39" l="1"/>
  <c r="R63" i="39"/>
  <c r="Q63" i="39"/>
  <c r="U63" i="39"/>
  <c r="C67" i="20"/>
  <c r="E67" i="20"/>
  <c r="B67" i="20"/>
  <c r="D67" i="20"/>
  <c r="A68" i="20"/>
  <c r="X64" i="39"/>
  <c r="N64" i="39"/>
  <c r="H64" i="39"/>
  <c r="AB64" i="39"/>
  <c r="AS64" i="39" s="1"/>
  <c r="K64" i="39"/>
  <c r="L64" i="39"/>
  <c r="AA64" i="39"/>
  <c r="Z64" i="39"/>
  <c r="G64" i="39"/>
  <c r="J64" i="39"/>
  <c r="F64" i="39"/>
  <c r="Y64" i="39"/>
  <c r="I64" i="39"/>
  <c r="M64" i="39"/>
  <c r="V64" i="39"/>
  <c r="AR208" i="39"/>
  <c r="AD208" i="39"/>
  <c r="AH208" i="39"/>
  <c r="AG208" i="39"/>
  <c r="AC208" i="39"/>
  <c r="AE208" i="39"/>
  <c r="AF208" i="39"/>
  <c r="A210" i="39"/>
  <c r="E209" i="39"/>
  <c r="D209" i="39"/>
  <c r="C209" i="39"/>
  <c r="B209" i="39"/>
  <c r="F65" i="39" l="1"/>
  <c r="H65" i="39"/>
  <c r="N65" i="39"/>
  <c r="K65" i="39"/>
  <c r="I65" i="39"/>
  <c r="Z65" i="39"/>
  <c r="J65" i="39"/>
  <c r="V65" i="39"/>
  <c r="AA65" i="39"/>
  <c r="O65" i="39" s="1"/>
  <c r="A69" i="20"/>
  <c r="E68" i="20"/>
  <c r="B68" i="20"/>
  <c r="C68" i="20"/>
  <c r="D68" i="20"/>
  <c r="Y65" i="39"/>
  <c r="AB65" i="39"/>
  <c r="AS65" i="39" s="1"/>
  <c r="G65" i="39"/>
  <c r="M65" i="39"/>
  <c r="L65" i="39"/>
  <c r="X65" i="39"/>
  <c r="U64" i="39"/>
  <c r="W64" i="39"/>
  <c r="O64" i="39"/>
  <c r="Q64" i="39"/>
  <c r="R64" i="39"/>
  <c r="AR209" i="39"/>
  <c r="AD209" i="39"/>
  <c r="AH209" i="39"/>
  <c r="AG209" i="39"/>
  <c r="AC209" i="39"/>
  <c r="AE209" i="39"/>
  <c r="AF209" i="39"/>
  <c r="E210" i="39"/>
  <c r="C210" i="39"/>
  <c r="B210" i="39"/>
  <c r="A211" i="39"/>
  <c r="D210" i="39"/>
  <c r="J66" i="39" l="1"/>
  <c r="I66" i="39"/>
  <c r="N66" i="39"/>
  <c r="H66" i="39"/>
  <c r="M66" i="39"/>
  <c r="F66" i="39"/>
  <c r="W65" i="39"/>
  <c r="Q65" i="39"/>
  <c r="L66" i="39"/>
  <c r="A70" i="20"/>
  <c r="B69" i="20"/>
  <c r="E69" i="20"/>
  <c r="D69" i="20"/>
  <c r="C69" i="20"/>
  <c r="R65" i="39"/>
  <c r="AA66" i="39"/>
  <c r="W66" i="39" s="1"/>
  <c r="Y66" i="39"/>
  <c r="AB66" i="39"/>
  <c r="AS66" i="39" s="1"/>
  <c r="G66" i="39"/>
  <c r="V66" i="39"/>
  <c r="X66" i="39"/>
  <c r="K66" i="39"/>
  <c r="Z66" i="39"/>
  <c r="U65" i="39"/>
  <c r="AR210" i="39"/>
  <c r="AD210" i="39"/>
  <c r="AH210" i="39"/>
  <c r="AG210" i="39"/>
  <c r="AF210" i="39"/>
  <c r="AE210" i="39"/>
  <c r="AC210" i="39"/>
  <c r="A212" i="39"/>
  <c r="D211" i="39"/>
  <c r="C211" i="39"/>
  <c r="B211" i="39"/>
  <c r="E211" i="39"/>
  <c r="O66" i="39" l="1"/>
  <c r="L67" i="39"/>
  <c r="Z67" i="39"/>
  <c r="M67" i="39"/>
  <c r="F67" i="39"/>
  <c r="Y67" i="39"/>
  <c r="K67" i="39"/>
  <c r="A71" i="20"/>
  <c r="B70" i="20"/>
  <c r="E70" i="20"/>
  <c r="C70" i="20"/>
  <c r="D70" i="20"/>
  <c r="U66" i="39"/>
  <c r="G67" i="39"/>
  <c r="N67" i="39"/>
  <c r="I67" i="39"/>
  <c r="V67" i="39"/>
  <c r="AB67" i="39"/>
  <c r="AS67" i="39" s="1"/>
  <c r="H67" i="39"/>
  <c r="J67" i="39"/>
  <c r="AA67" i="39"/>
  <c r="X67" i="39"/>
  <c r="AR211" i="39"/>
  <c r="AD211" i="39"/>
  <c r="AH211" i="39"/>
  <c r="AF211" i="39"/>
  <c r="AE211" i="39"/>
  <c r="AG211" i="39"/>
  <c r="AC211" i="39"/>
  <c r="A213" i="39"/>
  <c r="E212" i="39"/>
  <c r="D212" i="39"/>
  <c r="C212" i="39"/>
  <c r="B212" i="39"/>
  <c r="G68" i="39" l="1"/>
  <c r="M68" i="39"/>
  <c r="A72" i="20"/>
  <c r="C71" i="20"/>
  <c r="B71" i="20"/>
  <c r="E71" i="20"/>
  <c r="D71" i="20"/>
  <c r="Q67" i="39"/>
  <c r="R67" i="39"/>
  <c r="O67" i="39"/>
  <c r="W67" i="39"/>
  <c r="U67" i="39"/>
  <c r="AB68" i="39"/>
  <c r="AS68" i="39" s="1"/>
  <c r="N68" i="39"/>
  <c r="K68" i="39"/>
  <c r="J68" i="39"/>
  <c r="H68" i="39"/>
  <c r="AB69" i="39"/>
  <c r="AS69" i="39" s="1"/>
  <c r="AA68" i="39"/>
  <c r="V68" i="39"/>
  <c r="L68" i="39"/>
  <c r="Y68" i="39"/>
  <c r="I68" i="39"/>
  <c r="X68" i="39"/>
  <c r="F68" i="39"/>
  <c r="Z68" i="39"/>
  <c r="AR212" i="39"/>
  <c r="AD212" i="39"/>
  <c r="AH212" i="39"/>
  <c r="AG212" i="39"/>
  <c r="AE212" i="39"/>
  <c r="AF212" i="39"/>
  <c r="AC212" i="39"/>
  <c r="C213" i="39"/>
  <c r="B213" i="39"/>
  <c r="A214" i="39"/>
  <c r="E213" i="39"/>
  <c r="D213" i="39"/>
  <c r="F69" i="39" l="1"/>
  <c r="X69" i="39"/>
  <c r="Y69" i="39"/>
  <c r="V69" i="39"/>
  <c r="A73" i="20"/>
  <c r="C72" i="20"/>
  <c r="B72" i="20"/>
  <c r="E72" i="20"/>
  <c r="D72" i="20"/>
  <c r="O68" i="39"/>
  <c r="R68" i="39"/>
  <c r="U68" i="39"/>
  <c r="Q68" i="39"/>
  <c r="W68" i="39"/>
  <c r="N69" i="39"/>
  <c r="L69" i="39"/>
  <c r="M69" i="39"/>
  <c r="Z69" i="39"/>
  <c r="G69" i="39"/>
  <c r="I69" i="39"/>
  <c r="AA69" i="39"/>
  <c r="J69" i="39"/>
  <c r="H69" i="39"/>
  <c r="K69" i="39"/>
  <c r="AR213" i="39"/>
  <c r="AD213" i="39"/>
  <c r="AH213" i="39"/>
  <c r="AF213" i="39"/>
  <c r="AE213" i="39"/>
  <c r="AG213" i="39"/>
  <c r="AC213" i="39"/>
  <c r="E214" i="39"/>
  <c r="D214" i="39"/>
  <c r="C214" i="39"/>
  <c r="B214" i="39"/>
  <c r="A215" i="39"/>
  <c r="V70" i="39" l="1"/>
  <c r="Y70" i="39"/>
  <c r="AB70" i="39"/>
  <c r="AS70" i="39" s="1"/>
  <c r="K70" i="39"/>
  <c r="M70" i="39"/>
  <c r="F70" i="39"/>
  <c r="L70" i="39"/>
  <c r="G70" i="39"/>
  <c r="AA70" i="39"/>
  <c r="Q70" i="39" s="1"/>
  <c r="A74" i="20"/>
  <c r="C73" i="20"/>
  <c r="B73" i="20"/>
  <c r="E73" i="20"/>
  <c r="D73" i="20"/>
  <c r="W69" i="39"/>
  <c r="R69" i="39"/>
  <c r="O69" i="39"/>
  <c r="Q69" i="39"/>
  <c r="U69" i="39"/>
  <c r="I70" i="39"/>
  <c r="G71" i="39"/>
  <c r="J71" i="39"/>
  <c r="N70" i="39"/>
  <c r="X70" i="39"/>
  <c r="H70" i="39"/>
  <c r="Z70" i="39"/>
  <c r="J70" i="39"/>
  <c r="AR214" i="39"/>
  <c r="AD214" i="39"/>
  <c r="AH214" i="39"/>
  <c r="AE214" i="39"/>
  <c r="AG214" i="39"/>
  <c r="AF214" i="39"/>
  <c r="AC214" i="39"/>
  <c r="A216" i="39"/>
  <c r="D215" i="39"/>
  <c r="C215" i="39"/>
  <c r="B215" i="39"/>
  <c r="E215" i="39"/>
  <c r="AA71" i="39" l="1"/>
  <c r="W71" i="39" s="1"/>
  <c r="Y71" i="39"/>
  <c r="H71" i="39"/>
  <c r="V71" i="39"/>
  <c r="Z71" i="39"/>
  <c r="U70" i="39"/>
  <c r="O70" i="39"/>
  <c r="R70" i="39"/>
  <c r="W70" i="39"/>
  <c r="I71" i="39"/>
  <c r="N71" i="39"/>
  <c r="A75" i="20"/>
  <c r="C74" i="20"/>
  <c r="B74" i="20"/>
  <c r="E74" i="20"/>
  <c r="D74" i="20"/>
  <c r="AB71" i="39"/>
  <c r="AS71" i="39" s="1"/>
  <c r="N72" i="39"/>
  <c r="I72" i="39"/>
  <c r="X71" i="39"/>
  <c r="K71" i="39"/>
  <c r="L71" i="39"/>
  <c r="F71" i="39"/>
  <c r="M71" i="39"/>
  <c r="AR215" i="39"/>
  <c r="AD215" i="39"/>
  <c r="AH215" i="39"/>
  <c r="AE215" i="39"/>
  <c r="AG215" i="39"/>
  <c r="AF215" i="39"/>
  <c r="AC215" i="39"/>
  <c r="C216" i="39"/>
  <c r="B216" i="39"/>
  <c r="A217" i="39"/>
  <c r="E216" i="39"/>
  <c r="D216" i="39"/>
  <c r="O71" i="39" l="1"/>
  <c r="K72" i="39"/>
  <c r="Q71" i="39"/>
  <c r="R71" i="39"/>
  <c r="F72" i="39"/>
  <c r="Y72" i="39"/>
  <c r="A76" i="20"/>
  <c r="D75" i="20"/>
  <c r="C75" i="20"/>
  <c r="B75" i="20"/>
  <c r="E75" i="20"/>
  <c r="X72" i="39"/>
  <c r="L72" i="39"/>
  <c r="AB72" i="39"/>
  <c r="AS72" i="39" s="1"/>
  <c r="J72" i="39"/>
  <c r="V72" i="39"/>
  <c r="H72" i="39"/>
  <c r="J73" i="39"/>
  <c r="G72" i="39"/>
  <c r="V73" i="39"/>
  <c r="M72" i="39"/>
  <c r="AB73" i="39"/>
  <c r="AS73" i="39" s="1"/>
  <c r="Z73" i="39"/>
  <c r="Z72" i="39"/>
  <c r="AA72" i="39"/>
  <c r="U71" i="39"/>
  <c r="AR216" i="39"/>
  <c r="AD216" i="39"/>
  <c r="AF216" i="39"/>
  <c r="AE216" i="39"/>
  <c r="AH216" i="39"/>
  <c r="AG216" i="39"/>
  <c r="AC216" i="39"/>
  <c r="E217" i="39"/>
  <c r="D217" i="39"/>
  <c r="C217" i="39"/>
  <c r="B217" i="39"/>
  <c r="A218" i="39"/>
  <c r="I73" i="39" l="1"/>
  <c r="G73" i="39"/>
  <c r="N73" i="39"/>
  <c r="K73" i="39"/>
  <c r="X73" i="39"/>
  <c r="H73" i="39"/>
  <c r="F73" i="39"/>
  <c r="Y73" i="39"/>
  <c r="A77" i="20"/>
  <c r="D76" i="20"/>
  <c r="C76" i="20"/>
  <c r="B76" i="20"/>
  <c r="E76" i="20"/>
  <c r="R72" i="39"/>
  <c r="O72" i="39"/>
  <c r="W72" i="39"/>
  <c r="Q72" i="39"/>
  <c r="U72" i="39"/>
  <c r="AA73" i="39"/>
  <c r="L73" i="39"/>
  <c r="M73" i="39"/>
  <c r="AR217" i="39"/>
  <c r="AD217" i="39"/>
  <c r="AH217" i="39"/>
  <c r="AF217" i="39"/>
  <c r="AE217" i="39"/>
  <c r="AG217" i="39"/>
  <c r="AC217" i="39"/>
  <c r="E218" i="39"/>
  <c r="D218" i="39"/>
  <c r="C218" i="39"/>
  <c r="B218" i="39"/>
  <c r="A219" i="39"/>
  <c r="G74" i="39" l="1"/>
  <c r="A78" i="20"/>
  <c r="D77" i="20"/>
  <c r="C77" i="20"/>
  <c r="B77" i="20"/>
  <c r="E77" i="20"/>
  <c r="J74" i="39"/>
  <c r="K74" i="39"/>
  <c r="H74" i="39"/>
  <c r="M74" i="39"/>
  <c r="L74" i="39"/>
  <c r="F74" i="39"/>
  <c r="AA74" i="39"/>
  <c r="G75" i="39"/>
  <c r="Z74" i="39"/>
  <c r="Y74" i="39"/>
  <c r="N74" i="39"/>
  <c r="X74" i="39"/>
  <c r="V74" i="39"/>
  <c r="Y75" i="39"/>
  <c r="R73" i="39"/>
  <c r="Q73" i="39"/>
  <c r="W73" i="39"/>
  <c r="U73" i="39"/>
  <c r="O73" i="39"/>
  <c r="AR218" i="39"/>
  <c r="AD218" i="39"/>
  <c r="AH218" i="39"/>
  <c r="AG218" i="39"/>
  <c r="AF218" i="39"/>
  <c r="AE218" i="39"/>
  <c r="AC218" i="39"/>
  <c r="A220" i="39"/>
  <c r="D219" i="39"/>
  <c r="C219" i="39"/>
  <c r="B219" i="39"/>
  <c r="E219" i="39"/>
  <c r="L75" i="39" l="1"/>
  <c r="AA75" i="39"/>
  <c r="Q75" i="39" s="1"/>
  <c r="M75" i="39"/>
  <c r="F75" i="39"/>
  <c r="I75" i="39"/>
  <c r="X75" i="39"/>
  <c r="V75" i="39"/>
  <c r="Z75" i="39"/>
  <c r="A79" i="20"/>
  <c r="B78" i="20"/>
  <c r="D78" i="20"/>
  <c r="C78" i="20"/>
  <c r="E78" i="20"/>
  <c r="R74" i="39"/>
  <c r="O74" i="39"/>
  <c r="W74" i="39"/>
  <c r="Q74" i="39"/>
  <c r="H75" i="39"/>
  <c r="J75" i="39"/>
  <c r="N75" i="39"/>
  <c r="K75" i="39"/>
  <c r="AR219" i="39"/>
  <c r="AD219" i="39"/>
  <c r="AH219" i="39"/>
  <c r="AF219" i="39"/>
  <c r="AG219" i="39"/>
  <c r="AE219" i="39"/>
  <c r="AC219" i="39"/>
  <c r="E220" i="39"/>
  <c r="D220" i="39"/>
  <c r="C220" i="39"/>
  <c r="B220" i="39"/>
  <c r="A221" i="39"/>
  <c r="W75" i="39" l="1"/>
  <c r="O75" i="39"/>
  <c r="R75" i="39"/>
  <c r="L76" i="39"/>
  <c r="H76" i="39"/>
  <c r="Z76" i="39"/>
  <c r="Y76" i="39"/>
  <c r="A80" i="20"/>
  <c r="B79" i="20"/>
  <c r="E79" i="20"/>
  <c r="D79" i="20"/>
  <c r="C79" i="20"/>
  <c r="I74" i="39"/>
  <c r="AB74" i="39"/>
  <c r="AS74" i="39" s="1"/>
  <c r="AB75" i="39"/>
  <c r="G76" i="39"/>
  <c r="AB76" i="39"/>
  <c r="AS76" i="39" s="1"/>
  <c r="X76" i="39"/>
  <c r="M76" i="39"/>
  <c r="N76" i="39"/>
  <c r="F77" i="39"/>
  <c r="AA77" i="39"/>
  <c r="AA76" i="39"/>
  <c r="J76" i="39"/>
  <c r="K76" i="39"/>
  <c r="V76" i="39"/>
  <c r="I76" i="39"/>
  <c r="F76" i="39"/>
  <c r="AR220" i="39"/>
  <c r="AD220" i="39"/>
  <c r="AH220" i="39"/>
  <c r="AG220" i="39"/>
  <c r="AE220" i="39"/>
  <c r="AC220" i="39"/>
  <c r="AF220" i="39"/>
  <c r="C221" i="39"/>
  <c r="A222" i="39"/>
  <c r="E221" i="39"/>
  <c r="D221" i="39"/>
  <c r="B221" i="39"/>
  <c r="Y77" i="39" l="1"/>
  <c r="N77" i="39"/>
  <c r="J77" i="39"/>
  <c r="H77" i="39"/>
  <c r="X77" i="39"/>
  <c r="M77" i="39"/>
  <c r="AB77" i="39"/>
  <c r="AS77" i="39" s="1"/>
  <c r="K77" i="39"/>
  <c r="G77" i="39"/>
  <c r="A81" i="20"/>
  <c r="B80" i="20"/>
  <c r="E80" i="20"/>
  <c r="D80" i="20"/>
  <c r="C80" i="20"/>
  <c r="V77" i="39"/>
  <c r="Z77" i="39"/>
  <c r="AA78" i="39"/>
  <c r="F78" i="39"/>
  <c r="I77" i="39"/>
  <c r="V78" i="39"/>
  <c r="L77" i="39"/>
  <c r="O77" i="39"/>
  <c r="W77" i="39"/>
  <c r="Q77" i="39"/>
  <c r="R77" i="39"/>
  <c r="AS75" i="39"/>
  <c r="U75" i="39"/>
  <c r="W76" i="39"/>
  <c r="R76" i="39"/>
  <c r="Q76" i="39"/>
  <c r="O76" i="39"/>
  <c r="U76" i="39"/>
  <c r="U74" i="39"/>
  <c r="AR221" i="39"/>
  <c r="AD221" i="39"/>
  <c r="AH221" i="39"/>
  <c r="AG221" i="39"/>
  <c r="AE221" i="39"/>
  <c r="AC221" i="39"/>
  <c r="AF221" i="39"/>
  <c r="E222" i="39"/>
  <c r="C222" i="39"/>
  <c r="B222" i="39"/>
  <c r="A223" i="39"/>
  <c r="D222" i="39"/>
  <c r="M78" i="39" l="1"/>
  <c r="U77" i="39"/>
  <c r="Z78" i="39"/>
  <c r="J78" i="39"/>
  <c r="O78" i="39"/>
  <c r="Q78" i="39"/>
  <c r="W78" i="39"/>
  <c r="R78" i="39"/>
  <c r="A82" i="20"/>
  <c r="B81" i="20"/>
  <c r="E81" i="20"/>
  <c r="D81" i="20"/>
  <c r="C81" i="20"/>
  <c r="Y78" i="39"/>
  <c r="G78" i="39"/>
  <c r="H78" i="39"/>
  <c r="N78" i="39"/>
  <c r="L78" i="39"/>
  <c r="K78" i="39"/>
  <c r="I78" i="39"/>
  <c r="X78" i="39"/>
  <c r="AB78" i="39"/>
  <c r="AS78" i="39" s="1"/>
  <c r="AR222" i="39"/>
  <c r="AD222" i="39"/>
  <c r="AH222" i="39"/>
  <c r="AG222" i="39"/>
  <c r="AF222" i="39"/>
  <c r="AE222" i="39"/>
  <c r="AC222" i="39"/>
  <c r="A224" i="39"/>
  <c r="D223" i="39"/>
  <c r="C223" i="39"/>
  <c r="B223" i="39"/>
  <c r="E223" i="39"/>
  <c r="V79" i="39" l="1"/>
  <c r="L79" i="39"/>
  <c r="I79" i="39"/>
  <c r="K79" i="39"/>
  <c r="AB79" i="39"/>
  <c r="AS79" i="39" s="1"/>
  <c r="F79" i="39"/>
  <c r="Y79" i="39"/>
  <c r="Z79" i="39"/>
  <c r="U78" i="39"/>
  <c r="A83" i="20"/>
  <c r="B82" i="20"/>
  <c r="E82" i="20"/>
  <c r="C82" i="20"/>
  <c r="D82" i="20"/>
  <c r="J79" i="39"/>
  <c r="AA79" i="39"/>
  <c r="N79" i="39"/>
  <c r="H79" i="39"/>
  <c r="G79" i="39"/>
  <c r="M79" i="39"/>
  <c r="X79" i="39"/>
  <c r="AR223" i="39"/>
  <c r="AD223" i="39"/>
  <c r="AH223" i="39"/>
  <c r="AF223" i="39"/>
  <c r="AE223" i="39"/>
  <c r="AG223" i="39"/>
  <c r="AC223" i="39"/>
  <c r="D224" i="39"/>
  <c r="C224" i="39"/>
  <c r="B224" i="39"/>
  <c r="A225" i="39"/>
  <c r="E224" i="39"/>
  <c r="H6" i="35" l="1"/>
  <c r="Y80" i="39"/>
  <c r="M80" i="39"/>
  <c r="X80" i="39"/>
  <c r="G80" i="39"/>
  <c r="V80" i="39"/>
  <c r="I80" i="39"/>
  <c r="L80" i="39"/>
  <c r="O79" i="39"/>
  <c r="Q79" i="39"/>
  <c r="R79" i="39"/>
  <c r="W79" i="39"/>
  <c r="U79" i="39"/>
  <c r="A84" i="20"/>
  <c r="C83" i="20"/>
  <c r="B83" i="20"/>
  <c r="E83" i="20"/>
  <c r="D83" i="20"/>
  <c r="H80" i="39"/>
  <c r="AA80" i="39"/>
  <c r="K80" i="39"/>
  <c r="F80" i="39"/>
  <c r="AB80" i="39"/>
  <c r="AS80" i="39" s="1"/>
  <c r="Z80" i="39"/>
  <c r="J80" i="39"/>
  <c r="N80" i="39"/>
  <c r="AR224" i="39"/>
  <c r="AD224" i="39"/>
  <c r="AH224" i="39"/>
  <c r="AG224" i="39"/>
  <c r="AF224" i="39"/>
  <c r="AE224" i="39"/>
  <c r="AC224" i="39"/>
  <c r="E225" i="39"/>
  <c r="C225" i="39"/>
  <c r="A226" i="39"/>
  <c r="D225" i="39"/>
  <c r="B225" i="39"/>
  <c r="N81" i="39" l="1"/>
  <c r="H81" i="39"/>
  <c r="M81" i="39"/>
  <c r="X81" i="39"/>
  <c r="Z81" i="39"/>
  <c r="I81" i="39"/>
  <c r="J81" i="39"/>
  <c r="K81" i="39"/>
  <c r="A85" i="20"/>
  <c r="C84" i="20"/>
  <c r="B84" i="20"/>
  <c r="E84" i="20"/>
  <c r="D84" i="20"/>
  <c r="V81" i="39"/>
  <c r="AB81" i="39"/>
  <c r="AS81" i="39" s="1"/>
  <c r="AA81" i="39"/>
  <c r="Y81" i="39"/>
  <c r="L81" i="39"/>
  <c r="G82" i="39"/>
  <c r="G81" i="39"/>
  <c r="J82" i="39"/>
  <c r="F81" i="39"/>
  <c r="R80" i="39"/>
  <c r="U80" i="39"/>
  <c r="Q80" i="39"/>
  <c r="O80" i="39"/>
  <c r="W80" i="39"/>
  <c r="AR225" i="39"/>
  <c r="AD225" i="39"/>
  <c r="AH225" i="39"/>
  <c r="AF225" i="39"/>
  <c r="AG225" i="39"/>
  <c r="AE225" i="39"/>
  <c r="AC225" i="39"/>
  <c r="B226" i="39"/>
  <c r="E226" i="39"/>
  <c r="A227" i="39"/>
  <c r="D226" i="39"/>
  <c r="C226" i="39"/>
  <c r="K82" i="39" l="1"/>
  <c r="X82" i="39"/>
  <c r="U81" i="39"/>
  <c r="W81" i="39"/>
  <c r="R81" i="39"/>
  <c r="O81" i="39"/>
  <c r="Q81" i="39"/>
  <c r="A86" i="20"/>
  <c r="C85" i="20"/>
  <c r="B85" i="20"/>
  <c r="E85" i="20"/>
  <c r="D85" i="20"/>
  <c r="Z82" i="39"/>
  <c r="I82" i="39"/>
  <c r="L82" i="39"/>
  <c r="Y82" i="39"/>
  <c r="AA82" i="39"/>
  <c r="M82" i="39"/>
  <c r="V82" i="39"/>
  <c r="F82" i="39"/>
  <c r="AB82" i="39"/>
  <c r="AS82" i="39" s="1"/>
  <c r="H82" i="39"/>
  <c r="N82" i="39"/>
  <c r="AR226" i="39"/>
  <c r="AD226" i="39"/>
  <c r="AH226" i="39"/>
  <c r="AG226" i="39"/>
  <c r="AF226" i="39"/>
  <c r="AE226" i="39"/>
  <c r="AC226" i="39"/>
  <c r="A228" i="39"/>
  <c r="D227" i="39"/>
  <c r="C227" i="39"/>
  <c r="B227" i="39"/>
  <c r="E227" i="39"/>
  <c r="C10" i="35" l="1"/>
  <c r="AO10" i="35"/>
  <c r="V83" i="39"/>
  <c r="AB83" i="39"/>
  <c r="AS83" i="39" s="1"/>
  <c r="N83" i="39"/>
  <c r="Z83" i="39"/>
  <c r="I83" i="39"/>
  <c r="X83" i="39"/>
  <c r="O82" i="39"/>
  <c r="R82" i="39"/>
  <c r="Q82" i="39"/>
  <c r="U82" i="39"/>
  <c r="W82" i="39"/>
  <c r="A87" i="20"/>
  <c r="C86" i="20"/>
  <c r="D86" i="20"/>
  <c r="B86" i="20"/>
  <c r="E86" i="20"/>
  <c r="J83" i="39"/>
  <c r="Y83" i="39"/>
  <c r="L83" i="39"/>
  <c r="K83" i="39"/>
  <c r="AA83" i="39"/>
  <c r="M83" i="39"/>
  <c r="H83" i="39"/>
  <c r="F83" i="39"/>
  <c r="G83" i="39"/>
  <c r="AR227" i="39"/>
  <c r="AD227" i="39"/>
  <c r="AH227" i="39"/>
  <c r="AE227" i="39"/>
  <c r="AG227" i="39"/>
  <c r="AF227" i="39"/>
  <c r="AC227" i="39"/>
  <c r="A229" i="39"/>
  <c r="D228" i="39"/>
  <c r="C228" i="39"/>
  <c r="B228" i="39"/>
  <c r="E228" i="39"/>
  <c r="AG11" i="35" l="1"/>
  <c r="M84" i="39"/>
  <c r="AB84" i="39"/>
  <c r="AS84" i="39" s="1"/>
  <c r="V84" i="39"/>
  <c r="G84" i="39"/>
  <c r="W83" i="39"/>
  <c r="O83" i="39"/>
  <c r="R83" i="39"/>
  <c r="Q83" i="39"/>
  <c r="U83" i="39"/>
  <c r="A88" i="20"/>
  <c r="D87" i="20"/>
  <c r="C87" i="20"/>
  <c r="B87" i="20"/>
  <c r="E87" i="20"/>
  <c r="K84" i="39"/>
  <c r="AA84" i="39"/>
  <c r="H84" i="39"/>
  <c r="Z84" i="39"/>
  <c r="N84" i="39"/>
  <c r="X84" i="39"/>
  <c r="J84" i="39"/>
  <c r="I84" i="39"/>
  <c r="L84" i="39"/>
  <c r="M85" i="39"/>
  <c r="Y84" i="39"/>
  <c r="F84" i="39"/>
  <c r="AR228" i="39"/>
  <c r="AD228" i="39"/>
  <c r="AF228" i="39"/>
  <c r="AE228" i="39"/>
  <c r="AH228" i="39"/>
  <c r="AG228" i="39"/>
  <c r="AC228" i="39"/>
  <c r="E229" i="39"/>
  <c r="A230" i="39"/>
  <c r="D229" i="39"/>
  <c r="C229" i="39"/>
  <c r="B229" i="39"/>
  <c r="BS11" i="35" l="1"/>
  <c r="AQ11" i="35"/>
  <c r="AB85" i="39"/>
  <c r="AS85" i="39" s="1"/>
  <c r="H85" i="39"/>
  <c r="X85" i="39"/>
  <c r="I85" i="39"/>
  <c r="AA85" i="39"/>
  <c r="R85" i="39" s="1"/>
  <c r="N85" i="39"/>
  <c r="W84" i="39"/>
  <c r="Q84" i="39"/>
  <c r="O84" i="39"/>
  <c r="R84" i="39"/>
  <c r="U84" i="39"/>
  <c r="A89" i="20"/>
  <c r="D88" i="20"/>
  <c r="C88" i="20"/>
  <c r="B88" i="20"/>
  <c r="E88" i="20"/>
  <c r="J85" i="39"/>
  <c r="V85" i="39"/>
  <c r="Z85" i="39"/>
  <c r="K85" i="39"/>
  <c r="Y85" i="39"/>
  <c r="G85" i="39"/>
  <c r="F85" i="39"/>
  <c r="L85" i="39"/>
  <c r="AR229" i="39"/>
  <c r="AD229" i="39"/>
  <c r="AH229" i="39"/>
  <c r="AF229" i="39"/>
  <c r="AG229" i="39"/>
  <c r="AE229" i="39"/>
  <c r="AC229" i="39"/>
  <c r="B230" i="39"/>
  <c r="E230" i="39"/>
  <c r="A231" i="39"/>
  <c r="D230" i="39"/>
  <c r="C230" i="39"/>
  <c r="H86" i="39" l="1"/>
  <c r="AA86" i="39"/>
  <c r="R86" i="39" s="1"/>
  <c r="W85" i="39"/>
  <c r="O85" i="39"/>
  <c r="Q85" i="39"/>
  <c r="U85" i="39"/>
  <c r="M86" i="39"/>
  <c r="N86" i="39"/>
  <c r="G86" i="39"/>
  <c r="J86" i="39"/>
  <c r="F86" i="39"/>
  <c r="X86" i="39"/>
  <c r="A90" i="20"/>
  <c r="D89" i="20"/>
  <c r="C89" i="20"/>
  <c r="B89" i="20"/>
  <c r="E89" i="20"/>
  <c r="Y86" i="39"/>
  <c r="L86" i="39"/>
  <c r="V86" i="39"/>
  <c r="I86" i="39"/>
  <c r="Z86" i="39"/>
  <c r="J87" i="39"/>
  <c r="L87" i="39"/>
  <c r="F87" i="39"/>
  <c r="AB86" i="39"/>
  <c r="AS86" i="39" s="1"/>
  <c r="AR230" i="39"/>
  <c r="AD230" i="39"/>
  <c r="AH230" i="39"/>
  <c r="AG230" i="39"/>
  <c r="AF230" i="39"/>
  <c r="AE230" i="39"/>
  <c r="AC230" i="39"/>
  <c r="A232" i="39"/>
  <c r="D231" i="39"/>
  <c r="C231" i="39"/>
  <c r="B231" i="39"/>
  <c r="E231" i="39"/>
  <c r="H87" i="39" l="1"/>
  <c r="O86" i="39"/>
  <c r="Q86" i="39"/>
  <c r="W86" i="39"/>
  <c r="AA87" i="39"/>
  <c r="Y87" i="39"/>
  <c r="V87" i="39"/>
  <c r="I87" i="39"/>
  <c r="M87" i="39"/>
  <c r="K87" i="39"/>
  <c r="AB87" i="39"/>
  <c r="AS87" i="39" s="1"/>
  <c r="U86" i="39"/>
  <c r="A91" i="20"/>
  <c r="D90" i="20"/>
  <c r="E90" i="20"/>
  <c r="C90" i="20"/>
  <c r="B90" i="20"/>
  <c r="AR231" i="39"/>
  <c r="AD231" i="39"/>
  <c r="AH231" i="39"/>
  <c r="AF231" i="39"/>
  <c r="AG231" i="39"/>
  <c r="AE231" i="39"/>
  <c r="AC231" i="39"/>
  <c r="E232" i="39"/>
  <c r="D232" i="39"/>
  <c r="C232" i="39"/>
  <c r="A233" i="39"/>
  <c r="B232" i="39"/>
  <c r="W87" i="39" l="1"/>
  <c r="O87" i="39"/>
  <c r="R87" i="39"/>
  <c r="Q87" i="39"/>
  <c r="U87" i="39"/>
  <c r="A92" i="20"/>
  <c r="B91" i="20"/>
  <c r="E91" i="20"/>
  <c r="D91" i="20"/>
  <c r="C91" i="20"/>
  <c r="AR232" i="39"/>
  <c r="AD232" i="39"/>
  <c r="AH232" i="39"/>
  <c r="AG232" i="39"/>
  <c r="AC232" i="39"/>
  <c r="AF232" i="39"/>
  <c r="AE232" i="39"/>
  <c r="E233" i="39"/>
  <c r="A234" i="39"/>
  <c r="D233" i="39"/>
  <c r="C233" i="39"/>
  <c r="B233" i="39"/>
  <c r="A93" i="20" l="1"/>
  <c r="B92" i="20"/>
  <c r="E92" i="20"/>
  <c r="D92" i="20"/>
  <c r="C92" i="20"/>
  <c r="AR233" i="39"/>
  <c r="AD233" i="39"/>
  <c r="AH233" i="39"/>
  <c r="AG233" i="39"/>
  <c r="AC233" i="39"/>
  <c r="AF233" i="39"/>
  <c r="AE233" i="39"/>
  <c r="B234" i="39"/>
  <c r="E234" i="39"/>
  <c r="D234" i="39"/>
  <c r="C234" i="39"/>
  <c r="A235" i="39"/>
  <c r="A94" i="20" l="1"/>
  <c r="B93" i="20"/>
  <c r="E93" i="20"/>
  <c r="D93" i="20"/>
  <c r="C93" i="20"/>
  <c r="AR234" i="39"/>
  <c r="AD234" i="39"/>
  <c r="AH234" i="39"/>
  <c r="AG234" i="39"/>
  <c r="AF234" i="39"/>
  <c r="AE234" i="39"/>
  <c r="AC234" i="39"/>
  <c r="A236" i="39"/>
  <c r="D235" i="39"/>
  <c r="C235" i="39"/>
  <c r="B235" i="39"/>
  <c r="E235" i="39"/>
  <c r="A95" i="20" l="1"/>
  <c r="C94" i="20"/>
  <c r="B94" i="20"/>
  <c r="E94" i="20"/>
  <c r="D94" i="20"/>
  <c r="AR235" i="39"/>
  <c r="AD235" i="39"/>
  <c r="AH235" i="39"/>
  <c r="AF235" i="39"/>
  <c r="AE235" i="39"/>
  <c r="AG235" i="39"/>
  <c r="AC235" i="39"/>
  <c r="E236" i="39"/>
  <c r="A237" i="39"/>
  <c r="D236" i="39"/>
  <c r="C236" i="39"/>
  <c r="B236" i="39"/>
  <c r="A96" i="20" l="1"/>
  <c r="C95" i="20"/>
  <c r="B95" i="20"/>
  <c r="E95" i="20"/>
  <c r="D95" i="20"/>
  <c r="AR236" i="39"/>
  <c r="AD236" i="39"/>
  <c r="AH236" i="39"/>
  <c r="AG236" i="39"/>
  <c r="AE236" i="39"/>
  <c r="AF236" i="39"/>
  <c r="AC236" i="39"/>
  <c r="E237" i="39"/>
  <c r="A238" i="39"/>
  <c r="D237" i="39"/>
  <c r="C237" i="39"/>
  <c r="B237" i="39"/>
  <c r="A97" i="20" l="1"/>
  <c r="C96" i="20"/>
  <c r="B96" i="20"/>
  <c r="E96" i="20"/>
  <c r="D96" i="20"/>
  <c r="AR237" i="39"/>
  <c r="AD237" i="39"/>
  <c r="AH237" i="39"/>
  <c r="AF237" i="39"/>
  <c r="AE237" i="39"/>
  <c r="AG237" i="39"/>
  <c r="AC237" i="39"/>
  <c r="B238" i="39"/>
  <c r="E238" i="39"/>
  <c r="A239" i="39"/>
  <c r="D238" i="39"/>
  <c r="C238" i="39"/>
  <c r="A98" i="20" l="1"/>
  <c r="C97" i="20"/>
  <c r="B97" i="20"/>
  <c r="E97" i="20"/>
  <c r="D97" i="20"/>
  <c r="AR238" i="39"/>
  <c r="AD238" i="39"/>
  <c r="AH238" i="39"/>
  <c r="AE238" i="39"/>
  <c r="AG238" i="39"/>
  <c r="AF238" i="39"/>
  <c r="AC238" i="39"/>
  <c r="E239" i="39"/>
  <c r="A240" i="39"/>
  <c r="D239" i="39"/>
  <c r="C239" i="39"/>
  <c r="B239" i="39"/>
  <c r="A99" i="20" l="1"/>
  <c r="C98" i="20"/>
  <c r="D98" i="20"/>
  <c r="B98" i="20"/>
  <c r="E98" i="20"/>
  <c r="AR239" i="39"/>
  <c r="AD239" i="39"/>
  <c r="AH239" i="39"/>
  <c r="AE239" i="39"/>
  <c r="AG239" i="39"/>
  <c r="AF239" i="39"/>
  <c r="AC239" i="39"/>
  <c r="E240" i="39"/>
  <c r="A241" i="39"/>
  <c r="D240" i="39"/>
  <c r="C240" i="39"/>
  <c r="B240" i="39"/>
  <c r="A100" i="20" l="1"/>
  <c r="D99" i="20"/>
  <c r="C99" i="20"/>
  <c r="B99" i="20"/>
  <c r="E99" i="20"/>
  <c r="AR240" i="39"/>
  <c r="AD240" i="39"/>
  <c r="AF240" i="39"/>
  <c r="AE240" i="39"/>
  <c r="AG240" i="39"/>
  <c r="AH240" i="39"/>
  <c r="AC240" i="39"/>
  <c r="E241" i="39"/>
  <c r="A242" i="39"/>
  <c r="D241" i="39"/>
  <c r="C241" i="39"/>
  <c r="B241" i="39"/>
  <c r="A101" i="20" l="1"/>
  <c r="I69" i="27"/>
  <c r="J70" i="27"/>
  <c r="J69" i="27"/>
  <c r="I70" i="27"/>
  <c r="C101" i="20"/>
  <c r="D101" i="20"/>
  <c r="E101" i="20"/>
  <c r="B101" i="20"/>
  <c r="I61" i="27"/>
  <c r="I63" i="27"/>
  <c r="I35" i="27"/>
  <c r="I50" i="27"/>
  <c r="J65" i="27"/>
  <c r="I65" i="27"/>
  <c r="I66" i="27"/>
  <c r="J62" i="27"/>
  <c r="J66" i="27"/>
  <c r="J63" i="27"/>
  <c r="J68" i="27"/>
  <c r="I64" i="27"/>
  <c r="I21" i="27"/>
  <c r="J50" i="27"/>
  <c r="J67" i="27"/>
  <c r="J64" i="27"/>
  <c r="J61" i="27"/>
  <c r="I68" i="27"/>
  <c r="I62" i="27"/>
  <c r="I67" i="27"/>
  <c r="J35" i="27"/>
  <c r="J21" i="27"/>
  <c r="D100" i="20"/>
  <c r="C100" i="20"/>
  <c r="B100" i="20"/>
  <c r="E100" i="20"/>
  <c r="J10" i="27"/>
  <c r="J36" i="27"/>
  <c r="J45" i="27"/>
  <c r="J13" i="27"/>
  <c r="I48" i="27"/>
  <c r="I29" i="27"/>
  <c r="J31" i="27"/>
  <c r="J11" i="27"/>
  <c r="J24" i="27"/>
  <c r="J59" i="27"/>
  <c r="J26" i="27"/>
  <c r="I36" i="27"/>
  <c r="I43" i="27"/>
  <c r="J53" i="27"/>
  <c r="J14" i="27"/>
  <c r="J7" i="27"/>
  <c r="J57" i="27"/>
  <c r="I12" i="27"/>
  <c r="I30" i="27"/>
  <c r="J33" i="27"/>
  <c r="J22" i="27"/>
  <c r="J60" i="27"/>
  <c r="I10" i="27"/>
  <c r="J18" i="27"/>
  <c r="I41" i="27"/>
  <c r="J43" i="27"/>
  <c r="J41" i="27"/>
  <c r="I14" i="27"/>
  <c r="J38" i="27"/>
  <c r="J16" i="27"/>
  <c r="I8" i="27"/>
  <c r="J19" i="27"/>
  <c r="I60" i="27"/>
  <c r="J15" i="27"/>
  <c r="J8" i="27"/>
  <c r="I42" i="27"/>
  <c r="J9" i="27"/>
  <c r="I51" i="27"/>
  <c r="J4" i="27"/>
  <c r="I16" i="27"/>
  <c r="I11" i="27"/>
  <c r="I24" i="27"/>
  <c r="I18" i="27"/>
  <c r="J5" i="27"/>
  <c r="J47" i="27"/>
  <c r="J23" i="27"/>
  <c r="I9" i="27"/>
  <c r="I26" i="27"/>
  <c r="I22" i="27"/>
  <c r="I47" i="27"/>
  <c r="I57" i="27"/>
  <c r="I5" i="27"/>
  <c r="I31" i="27"/>
  <c r="I55" i="27"/>
  <c r="J25" i="27"/>
  <c r="J3" i="27"/>
  <c r="K3" i="27" s="1"/>
  <c r="I4" i="27"/>
  <c r="J12" i="27"/>
  <c r="I25" i="27"/>
  <c r="J40" i="27"/>
  <c r="I23" i="27"/>
  <c r="J28" i="27"/>
  <c r="I15" i="27"/>
  <c r="I45" i="27"/>
  <c r="I40" i="27"/>
  <c r="J44" i="27"/>
  <c r="I19" i="27"/>
  <c r="I33" i="27"/>
  <c r="J20" i="27"/>
  <c r="I59" i="27"/>
  <c r="I53" i="27"/>
  <c r="I7" i="27"/>
  <c r="I17" i="27"/>
  <c r="J51" i="27"/>
  <c r="I6" i="27"/>
  <c r="J17" i="27"/>
  <c r="J42" i="27"/>
  <c r="I38" i="27"/>
  <c r="J29" i="27"/>
  <c r="J27" i="27"/>
  <c r="J48" i="27"/>
  <c r="I13" i="27"/>
  <c r="J30" i="27"/>
  <c r="I44" i="27"/>
  <c r="I27" i="27"/>
  <c r="J6" i="27"/>
  <c r="I28" i="27"/>
  <c r="J55" i="27"/>
  <c r="I20" i="27"/>
  <c r="AA96" i="39"/>
  <c r="K86" i="39"/>
  <c r="M93" i="39"/>
  <c r="X95" i="39"/>
  <c r="N92" i="39"/>
  <c r="M97" i="39"/>
  <c r="Z96" i="39"/>
  <c r="K88" i="39"/>
  <c r="I95" i="39"/>
  <c r="N87" i="39"/>
  <c r="I93" i="39"/>
  <c r="AA91" i="39"/>
  <c r="J92" i="39"/>
  <c r="K90" i="39"/>
  <c r="J91" i="39"/>
  <c r="AA89" i="39"/>
  <c r="J90" i="39"/>
  <c r="L94" i="39"/>
  <c r="K98" i="39"/>
  <c r="J94" i="39"/>
  <c r="J98" i="39"/>
  <c r="G94" i="39"/>
  <c r="L91" i="39"/>
  <c r="Z87" i="39"/>
  <c r="H98" i="39"/>
  <c r="L93" i="39"/>
  <c r="V94" i="39"/>
  <c r="H94" i="39"/>
  <c r="X90" i="39"/>
  <c r="X89" i="39"/>
  <c r="X87" i="39"/>
  <c r="L96" i="39"/>
  <c r="N95" i="39"/>
  <c r="J95" i="39"/>
  <c r="H95" i="39"/>
  <c r="X88" i="39"/>
  <c r="L97" i="39"/>
  <c r="V90" i="39"/>
  <c r="Z95" i="39"/>
  <c r="G87" i="39"/>
  <c r="Z94" i="39"/>
  <c r="N91" i="39"/>
  <c r="AA95" i="39"/>
  <c r="M88" i="39"/>
  <c r="M91" i="39"/>
  <c r="F96" i="39"/>
  <c r="M94" i="39"/>
  <c r="I91" i="39"/>
  <c r="M90" i="39"/>
  <c r="V93" i="39"/>
  <c r="H89" i="39"/>
  <c r="J97" i="39"/>
  <c r="I88" i="39"/>
  <c r="F92" i="39"/>
  <c r="X93" i="39"/>
  <c r="H93" i="39"/>
  <c r="N93" i="39"/>
  <c r="L89" i="39"/>
  <c r="V92" i="39"/>
  <c r="Y94" i="39"/>
  <c r="I89" i="39"/>
  <c r="H88" i="39"/>
  <c r="J88" i="39"/>
  <c r="Z92" i="39"/>
  <c r="F89" i="39"/>
  <c r="V96" i="39"/>
  <c r="G93" i="39"/>
  <c r="Y91" i="39"/>
  <c r="V91" i="39"/>
  <c r="AB88" i="39"/>
  <c r="AS88" i="39" s="1"/>
  <c r="F98" i="39"/>
  <c r="G88" i="39"/>
  <c r="Z88" i="39"/>
  <c r="N96" i="39"/>
  <c r="H97" i="39"/>
  <c r="AA94" i="39"/>
  <c r="X98" i="39"/>
  <c r="K97" i="39"/>
  <c r="H96" i="39"/>
  <c r="AB90" i="39"/>
  <c r="AS90" i="39" s="1"/>
  <c r="Y97" i="39"/>
  <c r="N90" i="39"/>
  <c r="K95" i="39"/>
  <c r="J89" i="39"/>
  <c r="L92" i="39"/>
  <c r="K91" i="39"/>
  <c r="AB94" i="39"/>
  <c r="AS94" i="39" s="1"/>
  <c r="V89" i="39"/>
  <c r="Z93" i="39"/>
  <c r="X92" i="39"/>
  <c r="AA92" i="39"/>
  <c r="AB97" i="39"/>
  <c r="AS97" i="39" s="1"/>
  <c r="X91" i="39"/>
  <c r="L95" i="39"/>
  <c r="H92" i="39"/>
  <c r="F95" i="39"/>
  <c r="G97" i="39"/>
  <c r="F88" i="39"/>
  <c r="X96" i="39"/>
  <c r="N98" i="39"/>
  <c r="F94" i="39"/>
  <c r="I90" i="39"/>
  <c r="V97" i="39"/>
  <c r="X94" i="39"/>
  <c r="AA93" i="39"/>
  <c r="AB95" i="39"/>
  <c r="AS95" i="39" s="1"/>
  <c r="I94" i="39"/>
  <c r="K94" i="39"/>
  <c r="F97" i="39"/>
  <c r="M89" i="39"/>
  <c r="AB96" i="39"/>
  <c r="AS96" i="39" s="1"/>
  <c r="J93" i="39"/>
  <c r="F93" i="39"/>
  <c r="Y96" i="39"/>
  <c r="I96" i="39"/>
  <c r="M95" i="39"/>
  <c r="F91" i="39"/>
  <c r="Y90" i="39"/>
  <c r="Z98" i="39"/>
  <c r="Z97" i="39"/>
  <c r="G89" i="39"/>
  <c r="AB93" i="39"/>
  <c r="AS93" i="39" s="1"/>
  <c r="I97" i="39"/>
  <c r="K93" i="39"/>
  <c r="J96" i="39"/>
  <c r="N97" i="39"/>
  <c r="M92" i="39"/>
  <c r="Y98" i="39"/>
  <c r="H90" i="39"/>
  <c r="L90" i="39"/>
  <c r="N88" i="39"/>
  <c r="K92" i="39"/>
  <c r="I92" i="39"/>
  <c r="AA97" i="39"/>
  <c r="F90" i="39"/>
  <c r="V88" i="39"/>
  <c r="Z91" i="39"/>
  <c r="AA88" i="39"/>
  <c r="G96" i="39"/>
  <c r="AB92" i="39"/>
  <c r="AS92" i="39" s="1"/>
  <c r="Y92" i="39"/>
  <c r="V95" i="39"/>
  <c r="M98" i="39"/>
  <c r="H91" i="39"/>
  <c r="K96" i="39"/>
  <c r="AA98" i="39"/>
  <c r="V98" i="39"/>
  <c r="G91" i="39"/>
  <c r="G90" i="39"/>
  <c r="Y93" i="39"/>
  <c r="I98" i="39"/>
  <c r="Z89" i="39"/>
  <c r="L98" i="39"/>
  <c r="G98" i="39"/>
  <c r="N89" i="39"/>
  <c r="AB91" i="39"/>
  <c r="AS91" i="39" s="1"/>
  <c r="Y88" i="39"/>
  <c r="L88" i="39"/>
  <c r="G95" i="39"/>
  <c r="N94" i="39"/>
  <c r="Y89" i="39"/>
  <c r="M96" i="39"/>
  <c r="Z90" i="39"/>
  <c r="AB98" i="39"/>
  <c r="AS98" i="39" s="1"/>
  <c r="G92" i="39"/>
  <c r="AB89" i="39"/>
  <c r="AS89" i="39" s="1"/>
  <c r="X97" i="39"/>
  <c r="AA90" i="39"/>
  <c r="Y95" i="39"/>
  <c r="K89" i="39"/>
  <c r="AR241" i="39"/>
  <c r="AD241" i="39"/>
  <c r="AH241" i="39"/>
  <c r="AF241" i="39"/>
  <c r="AE241" i="39"/>
  <c r="AG241" i="39"/>
  <c r="AC241" i="39"/>
  <c r="B242" i="39"/>
  <c r="E242" i="39"/>
  <c r="A243" i="39"/>
  <c r="D242" i="39"/>
  <c r="C242" i="39"/>
  <c r="A102" i="20" l="1"/>
  <c r="J82" i="27"/>
  <c r="G2" i="24"/>
  <c r="J74" i="27"/>
  <c r="I87" i="27"/>
  <c r="I79" i="27"/>
  <c r="I81" i="27"/>
  <c r="J85" i="27"/>
  <c r="I77" i="27"/>
  <c r="J88" i="27"/>
  <c r="I75" i="27"/>
  <c r="J73" i="27"/>
  <c r="I90" i="27"/>
  <c r="J81" i="27"/>
  <c r="I85" i="27"/>
  <c r="J77" i="27"/>
  <c r="I89" i="27"/>
  <c r="I86" i="27"/>
  <c r="J79" i="27"/>
  <c r="J80" i="27"/>
  <c r="J83" i="27"/>
  <c r="I84" i="27"/>
  <c r="I76" i="27"/>
  <c r="J32" i="27"/>
  <c r="J90" i="27"/>
  <c r="J89" i="27"/>
  <c r="I80" i="27"/>
  <c r="J78" i="27"/>
  <c r="J76" i="27"/>
  <c r="I74" i="27"/>
  <c r="J86" i="27"/>
  <c r="I88" i="27"/>
  <c r="I83" i="27"/>
  <c r="J84" i="27"/>
  <c r="I32" i="27"/>
  <c r="I82" i="27"/>
  <c r="I73" i="27"/>
  <c r="J75" i="27"/>
  <c r="I78" i="27"/>
  <c r="J87" i="27"/>
  <c r="G3" i="24"/>
  <c r="I71" i="27"/>
  <c r="V2" i="24"/>
  <c r="J72" i="27"/>
  <c r="V3" i="24"/>
  <c r="I72" i="27"/>
  <c r="J71" i="27"/>
  <c r="K69" i="27"/>
  <c r="K70" i="27"/>
  <c r="K68" i="27"/>
  <c r="K21" i="27"/>
  <c r="K63" i="27"/>
  <c r="K35" i="27"/>
  <c r="K66" i="27"/>
  <c r="K61" i="27"/>
  <c r="K65" i="27"/>
  <c r="K50" i="27"/>
  <c r="K62" i="27"/>
  <c r="K64" i="27"/>
  <c r="K67" i="27"/>
  <c r="K40" i="27"/>
  <c r="K13" i="27"/>
  <c r="K11" i="27"/>
  <c r="K4" i="27"/>
  <c r="K51" i="27"/>
  <c r="K30" i="27"/>
  <c r="K31" i="27"/>
  <c r="K27" i="27"/>
  <c r="K5" i="27"/>
  <c r="K19" i="27"/>
  <c r="K25" i="27"/>
  <c r="K44" i="27"/>
  <c r="K16" i="27"/>
  <c r="K41" i="27"/>
  <c r="K14" i="27"/>
  <c r="K45" i="27"/>
  <c r="K53" i="27"/>
  <c r="K9" i="27"/>
  <c r="K10" i="27"/>
  <c r="K18" i="27"/>
  <c r="U92" i="39"/>
  <c r="Q92" i="39"/>
  <c r="O92" i="39"/>
  <c r="R92" i="39"/>
  <c r="W92" i="39"/>
  <c r="K29" i="27"/>
  <c r="W89" i="39"/>
  <c r="O89" i="39"/>
  <c r="U89" i="39"/>
  <c r="Q95" i="39"/>
  <c r="W95" i="39"/>
  <c r="R95" i="39"/>
  <c r="O95" i="39"/>
  <c r="U95" i="39"/>
  <c r="K42" i="27"/>
  <c r="K38" i="27"/>
  <c r="K57" i="27"/>
  <c r="Q94" i="39"/>
  <c r="U94" i="39"/>
  <c r="W94" i="39"/>
  <c r="O94" i="39"/>
  <c r="R94" i="39"/>
  <c r="K55" i="27"/>
  <c r="K17" i="27"/>
  <c r="K7" i="27"/>
  <c r="U98" i="39"/>
  <c r="O98" i="39"/>
  <c r="R98" i="39"/>
  <c r="Q98" i="39"/>
  <c r="W98" i="39"/>
  <c r="K6" i="27"/>
  <c r="K28" i="27"/>
  <c r="K43" i="27"/>
  <c r="K36" i="27"/>
  <c r="W96" i="39"/>
  <c r="R96" i="39"/>
  <c r="O96" i="39"/>
  <c r="Q96" i="39"/>
  <c r="U96" i="39"/>
  <c r="U91" i="39"/>
  <c r="Q91" i="39"/>
  <c r="O91" i="39"/>
  <c r="W91" i="39"/>
  <c r="R91" i="39"/>
  <c r="BR16" i="35"/>
  <c r="AB15" i="35"/>
  <c r="G14" i="35"/>
  <c r="I15" i="35"/>
  <c r="AV16" i="35"/>
  <c r="R13" i="35"/>
  <c r="U15" i="35"/>
  <c r="AP17" i="35"/>
  <c r="AH13" i="35"/>
  <c r="Z17" i="35"/>
  <c r="AR17" i="35"/>
  <c r="AX15" i="35"/>
  <c r="BL17" i="35"/>
  <c r="BH14" i="35"/>
  <c r="G16" i="35"/>
  <c r="S16" i="35"/>
  <c r="AY17" i="35"/>
  <c r="AP16" i="35"/>
  <c r="E14" i="35"/>
  <c r="BA13" i="35"/>
  <c r="N18" i="35"/>
  <c r="AU13" i="35"/>
  <c r="BM15" i="35"/>
  <c r="U17" i="35"/>
  <c r="BT13" i="35"/>
  <c r="AV15" i="35"/>
  <c r="BC17" i="35"/>
  <c r="AM16" i="35"/>
  <c r="BR13" i="35"/>
  <c r="BO16" i="35"/>
  <c r="AI17" i="35"/>
  <c r="BC13" i="35"/>
  <c r="AI18" i="35"/>
  <c r="AW16" i="35"/>
  <c r="AK16" i="35"/>
  <c r="BE15" i="35"/>
  <c r="Y16" i="35"/>
  <c r="AZ17" i="35"/>
  <c r="X13" i="35"/>
  <c r="BC16" i="35"/>
  <c r="AD13" i="35"/>
  <c r="BF15" i="35"/>
  <c r="X14" i="35"/>
  <c r="AE15" i="35"/>
  <c r="AR18" i="35"/>
  <c r="AM17" i="35"/>
  <c r="BD16" i="35"/>
  <c r="BA15" i="35"/>
  <c r="Q13" i="35"/>
  <c r="BA18" i="35"/>
  <c r="AQ18" i="35"/>
  <c r="AK17" i="35"/>
  <c r="H13" i="35"/>
  <c r="AE18" i="35"/>
  <c r="L15" i="35"/>
  <c r="AE16" i="35"/>
  <c r="AJ17" i="35"/>
  <c r="AS14" i="35"/>
  <c r="AP15" i="35"/>
  <c r="AU17" i="35"/>
  <c r="AD14" i="35"/>
  <c r="Q17" i="35"/>
  <c r="BM13" i="35"/>
  <c r="C13" i="35"/>
  <c r="AC18" i="35"/>
  <c r="BH15" i="35"/>
  <c r="BO14" i="35"/>
  <c r="BR15" i="35"/>
  <c r="M18" i="35"/>
  <c r="AV17" i="35"/>
  <c r="AQ13" i="35"/>
  <c r="AK15" i="35"/>
  <c r="S13" i="35"/>
  <c r="AO15" i="35"/>
  <c r="T14" i="35"/>
  <c r="D15" i="35"/>
  <c r="BG17" i="35"/>
  <c r="BC14" i="35"/>
  <c r="AG16" i="35"/>
  <c r="Z13" i="35"/>
  <c r="C16" i="35"/>
  <c r="BN16" i="35"/>
  <c r="BD15" i="35"/>
  <c r="AA13" i="35"/>
  <c r="AH18" i="35"/>
  <c r="AF15" i="35"/>
  <c r="BE18" i="35"/>
  <c r="AG18" i="35"/>
  <c r="AD15" i="35"/>
  <c r="BP18" i="35"/>
  <c r="BN15" i="35"/>
  <c r="BP13" i="35"/>
  <c r="BR14" i="35"/>
  <c r="AJ16" i="35"/>
  <c r="BK14" i="35"/>
  <c r="I17" i="35"/>
  <c r="AP13" i="35"/>
  <c r="P16" i="35"/>
  <c r="AD18" i="35"/>
  <c r="W14" i="35"/>
  <c r="AA14" i="35"/>
  <c r="R15" i="35"/>
  <c r="AB14" i="35"/>
  <c r="AO14" i="35"/>
  <c r="AX18" i="35"/>
  <c r="AN16" i="35"/>
  <c r="L17" i="35"/>
  <c r="H18" i="35"/>
  <c r="AE17" i="35"/>
  <c r="AT16" i="35"/>
  <c r="BK15" i="35"/>
  <c r="BP16" i="35"/>
  <c r="BI14" i="35"/>
  <c r="N16" i="35"/>
  <c r="AS18" i="35"/>
  <c r="P18" i="35"/>
  <c r="AY13" i="35"/>
  <c r="H17" i="35"/>
  <c r="BH13" i="35"/>
  <c r="BO13" i="35"/>
  <c r="AL13" i="35"/>
  <c r="Z14" i="35"/>
  <c r="N13" i="35"/>
  <c r="BK18" i="35"/>
  <c r="G13" i="35"/>
  <c r="BB15" i="35"/>
  <c r="AX14" i="35"/>
  <c r="BS14" i="35"/>
  <c r="Z15" i="35"/>
  <c r="O13" i="35"/>
  <c r="O18" i="35"/>
  <c r="AH15" i="35"/>
  <c r="W17" i="35"/>
  <c r="Z16" i="35"/>
  <c r="M15" i="35"/>
  <c r="AZ13" i="35"/>
  <c r="BG15" i="35"/>
  <c r="W18" i="35"/>
  <c r="T17" i="35"/>
  <c r="P13" i="35"/>
  <c r="AH17" i="35"/>
  <c r="AO18" i="35"/>
  <c r="BC15" i="35"/>
  <c r="AL15" i="35"/>
  <c r="BD17" i="35"/>
  <c r="BG14" i="35"/>
  <c r="G17" i="35"/>
  <c r="BR17" i="35"/>
  <c r="BS18" i="35"/>
  <c r="BB14" i="35"/>
  <c r="R16" i="35"/>
  <c r="BL18" i="35"/>
  <c r="AL17" i="35"/>
  <c r="AN15" i="35"/>
  <c r="AS13" i="35"/>
  <c r="BA16" i="35"/>
  <c r="BC18" i="35"/>
  <c r="W15" i="35"/>
  <c r="AW15" i="35"/>
  <c r="U13" i="35"/>
  <c r="O16" i="35"/>
  <c r="BS13" i="35"/>
  <c r="BQ15" i="35"/>
  <c r="AT17" i="35"/>
  <c r="AL16" i="35"/>
  <c r="BN18" i="35"/>
  <c r="BH16" i="35"/>
  <c r="F17" i="35"/>
  <c r="AN17" i="35"/>
  <c r="V17" i="35"/>
  <c r="AO16" i="35"/>
  <c r="P15" i="35"/>
  <c r="C17" i="35"/>
  <c r="BO17" i="35"/>
  <c r="H16" i="35"/>
  <c r="AH14" i="35"/>
  <c r="AN14" i="35"/>
  <c r="AM15" i="35"/>
  <c r="AY18" i="35"/>
  <c r="BJ14" i="35"/>
  <c r="AQ15" i="35"/>
  <c r="AJ18" i="35"/>
  <c r="R14" i="35"/>
  <c r="E16" i="35"/>
  <c r="K15" i="35"/>
  <c r="L16" i="35"/>
  <c r="V15" i="35"/>
  <c r="J13" i="35"/>
  <c r="BF13" i="35"/>
  <c r="V14" i="35"/>
  <c r="AC13" i="35"/>
  <c r="AW18" i="35"/>
  <c r="K16" i="35"/>
  <c r="BI16" i="35"/>
  <c r="AP18" i="35"/>
  <c r="AX16" i="35"/>
  <c r="AM18" i="35"/>
  <c r="H15" i="35"/>
  <c r="AW13" i="35"/>
  <c r="AJ13" i="35"/>
  <c r="V16" i="35"/>
  <c r="AI16" i="35"/>
  <c r="BP14" i="35"/>
  <c r="BQ16" i="35"/>
  <c r="AJ14" i="35"/>
  <c r="F18" i="35"/>
  <c r="T18" i="35"/>
  <c r="AY15" i="35"/>
  <c r="AG17" i="35"/>
  <c r="BL13" i="35"/>
  <c r="BM16" i="35"/>
  <c r="AS15" i="35"/>
  <c r="AQ17" i="35"/>
  <c r="D13" i="35"/>
  <c r="Q14" i="35"/>
  <c r="D14" i="35"/>
  <c r="BN17" i="35"/>
  <c r="BN13" i="35"/>
  <c r="F16" i="35"/>
  <c r="L14" i="35"/>
  <c r="BF14" i="35"/>
  <c r="X18" i="35"/>
  <c r="BE16" i="35"/>
  <c r="BQ13" i="35"/>
  <c r="BN14" i="35"/>
  <c r="K17" i="35"/>
  <c r="BT15" i="35"/>
  <c r="AN18" i="35"/>
  <c r="BT17" i="35"/>
  <c r="BT18" i="35"/>
  <c r="BA17" i="35"/>
  <c r="AV13" i="35"/>
  <c r="M13" i="35"/>
  <c r="BS17" i="35"/>
  <c r="BT16" i="35"/>
  <c r="AU18" i="35"/>
  <c r="T15" i="35"/>
  <c r="X15" i="35"/>
  <c r="AC15" i="35"/>
  <c r="BS15" i="35"/>
  <c r="Z18" i="35"/>
  <c r="AZ18" i="35"/>
  <c r="BI15" i="35"/>
  <c r="AU15" i="35"/>
  <c r="G15" i="35"/>
  <c r="AS16" i="35"/>
  <c r="I16" i="35"/>
  <c r="V18" i="35"/>
  <c r="R17" i="35"/>
  <c r="R18" i="35"/>
  <c r="AY14" i="35"/>
  <c r="AS17" i="35"/>
  <c r="BJ18" i="35"/>
  <c r="BI18" i="35"/>
  <c r="AO13" i="35"/>
  <c r="BO15" i="35"/>
  <c r="N14" i="35"/>
  <c r="AG15" i="35"/>
  <c r="BE17" i="35"/>
  <c r="BB18" i="35"/>
  <c r="F14" i="35"/>
  <c r="AF18" i="35"/>
  <c r="AZ15" i="35"/>
  <c r="AK13" i="35"/>
  <c r="N17" i="35"/>
  <c r="AB18" i="35"/>
  <c r="S18" i="35"/>
  <c r="AL14" i="35"/>
  <c r="AV18" i="35"/>
  <c r="BB16" i="35"/>
  <c r="K14" i="35"/>
  <c r="BK17" i="35"/>
  <c r="U16" i="35"/>
  <c r="AB13" i="35"/>
  <c r="AF17" i="35"/>
  <c r="BL15" i="35"/>
  <c r="U14" i="35"/>
  <c r="AR14" i="35"/>
  <c r="Q15" i="35"/>
  <c r="U18" i="35"/>
  <c r="H14" i="35"/>
  <c r="O15" i="35"/>
  <c r="K18" i="35"/>
  <c r="AQ16" i="35"/>
  <c r="AN13" i="35"/>
  <c r="T13" i="35"/>
  <c r="AX17" i="35"/>
  <c r="AA15" i="35"/>
  <c r="AI13" i="35"/>
  <c r="M16" i="35"/>
  <c r="P14" i="35"/>
  <c r="Y13" i="35"/>
  <c r="I14" i="35"/>
  <c r="BL14" i="35"/>
  <c r="AT14" i="35"/>
  <c r="BQ14" i="35"/>
  <c r="C15" i="35"/>
  <c r="AI14" i="35"/>
  <c r="BE14" i="35"/>
  <c r="AG14" i="35"/>
  <c r="BS16" i="35"/>
  <c r="AF16" i="35"/>
  <c r="AT18" i="35"/>
  <c r="BM18" i="35"/>
  <c r="S15" i="35"/>
  <c r="D18" i="35"/>
  <c r="AU14" i="35"/>
  <c r="AT15" i="35"/>
  <c r="BD14" i="35"/>
  <c r="AF13" i="35"/>
  <c r="BQ17" i="35"/>
  <c r="X17" i="35"/>
  <c r="AZ16" i="35"/>
  <c r="BG18" i="35"/>
  <c r="BB13" i="35"/>
  <c r="F15" i="35"/>
  <c r="BP15" i="35"/>
  <c r="O14" i="35"/>
  <c r="D17" i="35"/>
  <c r="J15" i="35"/>
  <c r="BG13" i="35"/>
  <c r="AR15" i="35"/>
  <c r="S14" i="35"/>
  <c r="L18" i="35"/>
  <c r="AT13" i="35"/>
  <c r="W13" i="35"/>
  <c r="O17" i="35"/>
  <c r="BD18" i="35"/>
  <c r="BE19" i="35"/>
  <c r="AL18" i="35"/>
  <c r="BM14" i="35"/>
  <c r="Q18" i="35"/>
  <c r="BL20" i="35"/>
  <c r="BG16" i="35"/>
  <c r="AJ19" i="35"/>
  <c r="BF16" i="35"/>
  <c r="AJ15" i="35"/>
  <c r="AA17" i="35"/>
  <c r="T16" i="35"/>
  <c r="AR19" i="35"/>
  <c r="AI19" i="35"/>
  <c r="E19" i="35"/>
  <c r="D16" i="35"/>
  <c r="BT14" i="35"/>
  <c r="BR19" i="35"/>
  <c r="X16" i="35"/>
  <c r="AX19" i="35"/>
  <c r="M14" i="35"/>
  <c r="BA14" i="35"/>
  <c r="AC14" i="35"/>
  <c r="AU16" i="35"/>
  <c r="O19" i="35"/>
  <c r="AD16" i="35"/>
  <c r="N15" i="35"/>
  <c r="AE14" i="35"/>
  <c r="AZ14" i="35"/>
  <c r="P17" i="35"/>
  <c r="BJ16" i="35"/>
  <c r="AW17" i="35"/>
  <c r="AF19" i="35"/>
  <c r="AQ14" i="35"/>
  <c r="K19" i="35"/>
  <c r="BJ15" i="35"/>
  <c r="Y19" i="35"/>
  <c r="J14" i="35"/>
  <c r="BH19" i="35"/>
  <c r="BT19" i="35"/>
  <c r="AW19" i="35"/>
  <c r="AK20" i="35"/>
  <c r="AB16" i="35"/>
  <c r="AW14" i="35"/>
  <c r="AO17" i="35"/>
  <c r="BG19" i="35"/>
  <c r="BF17" i="35"/>
  <c r="BO19" i="35"/>
  <c r="BF19" i="35"/>
  <c r="H20" i="35"/>
  <c r="S20" i="35"/>
  <c r="BH17" i="35"/>
  <c r="BA19" i="35"/>
  <c r="BM19" i="35"/>
  <c r="E17" i="35"/>
  <c r="AY16" i="35"/>
  <c r="U19" i="35"/>
  <c r="AK18" i="35"/>
  <c r="AD17" i="35"/>
  <c r="AI15" i="35"/>
  <c r="Y14" i="35"/>
  <c r="Q19" i="35"/>
  <c r="AB19" i="35"/>
  <c r="AG19" i="35"/>
  <c r="BQ18" i="35"/>
  <c r="BI17" i="35"/>
  <c r="AH19" i="35"/>
  <c r="E15" i="35"/>
  <c r="AU19" i="35"/>
  <c r="AT19" i="35"/>
  <c r="Y17" i="35"/>
  <c r="BM17" i="35"/>
  <c r="AF14" i="35"/>
  <c r="AR16" i="35"/>
  <c r="P19" i="35"/>
  <c r="BK19" i="35"/>
  <c r="BJ17" i="35"/>
  <c r="M19" i="35"/>
  <c r="N19" i="35"/>
  <c r="D19" i="35"/>
  <c r="J16" i="35"/>
  <c r="G18" i="35"/>
  <c r="BK16" i="35"/>
  <c r="AK19" i="35"/>
  <c r="J18" i="35"/>
  <c r="AP19" i="35"/>
  <c r="Q16" i="35"/>
  <c r="E18" i="35"/>
  <c r="AV14" i="35"/>
  <c r="AJ20" i="35"/>
  <c r="AE19" i="35"/>
  <c r="X19" i="35"/>
  <c r="AM14" i="35"/>
  <c r="BN19" i="35"/>
  <c r="V19" i="35"/>
  <c r="BR18" i="35"/>
  <c r="J17" i="35"/>
  <c r="W19" i="35"/>
  <c r="BB17" i="35"/>
  <c r="BL16" i="35"/>
  <c r="AY19" i="35"/>
  <c r="AP14" i="35"/>
  <c r="AC16" i="35"/>
  <c r="W16" i="35"/>
  <c r="C18" i="35"/>
  <c r="Y18" i="35"/>
  <c r="BL19" i="35"/>
  <c r="AL19" i="35"/>
  <c r="BF18" i="35"/>
  <c r="BO18" i="35"/>
  <c r="C14" i="35"/>
  <c r="Z19" i="35"/>
  <c r="R19" i="35"/>
  <c r="Y15" i="35"/>
  <c r="BH18" i="35"/>
  <c r="AH16" i="35"/>
  <c r="F19" i="35"/>
  <c r="AA18" i="35"/>
  <c r="AW20" i="35"/>
  <c r="BS19" i="35"/>
  <c r="T19" i="35"/>
  <c r="BP17" i="35"/>
  <c r="BR20" i="35"/>
  <c r="BG20" i="35"/>
  <c r="AS19" i="35"/>
  <c r="AQ19" i="35"/>
  <c r="I21" i="35"/>
  <c r="I19" i="35"/>
  <c r="AD19" i="35"/>
  <c r="AL21" i="35"/>
  <c r="L19" i="35"/>
  <c r="AM19" i="35"/>
  <c r="BC19" i="35"/>
  <c r="AO19" i="35"/>
  <c r="AS20" i="35"/>
  <c r="BK20" i="35"/>
  <c r="BJ20" i="35"/>
  <c r="BN20" i="35"/>
  <c r="AU20" i="35"/>
  <c r="BJ19" i="35"/>
  <c r="AT20" i="35"/>
  <c r="C19" i="35"/>
  <c r="M20" i="35"/>
  <c r="AB17" i="35"/>
  <c r="BB19" i="35"/>
  <c r="S17" i="35"/>
  <c r="M17" i="35"/>
  <c r="K20" i="35"/>
  <c r="Y21" i="35"/>
  <c r="J19" i="35"/>
  <c r="G20" i="35"/>
  <c r="AY20" i="35"/>
  <c r="AA16" i="35"/>
  <c r="AN19" i="35"/>
  <c r="BP19" i="35"/>
  <c r="BI19" i="35"/>
  <c r="E20" i="35"/>
  <c r="AV20" i="35"/>
  <c r="AC19" i="35"/>
  <c r="C20" i="35"/>
  <c r="H19" i="35"/>
  <c r="R20" i="35"/>
  <c r="I18" i="35"/>
  <c r="AA19" i="35"/>
  <c r="AZ19" i="35"/>
  <c r="AC17" i="35"/>
  <c r="G19" i="35"/>
  <c r="BQ19" i="35"/>
  <c r="S19" i="35"/>
  <c r="AV19" i="35"/>
  <c r="N20" i="35"/>
  <c r="AZ20" i="35"/>
  <c r="BD19" i="35"/>
  <c r="AW21" i="35"/>
  <c r="BO20" i="35"/>
  <c r="AF21" i="35"/>
  <c r="BJ21" i="35"/>
  <c r="BP21" i="35"/>
  <c r="X20" i="35"/>
  <c r="AZ21" i="35"/>
  <c r="AM21" i="35"/>
  <c r="BB21" i="35"/>
  <c r="Y20" i="35"/>
  <c r="AL20" i="35"/>
  <c r="Q21" i="35"/>
  <c r="AF20" i="35"/>
  <c r="P20" i="35"/>
  <c r="O21" i="35"/>
  <c r="AB20" i="35"/>
  <c r="AN21" i="35"/>
  <c r="BM20" i="35"/>
  <c r="J21" i="35"/>
  <c r="AS21" i="35"/>
  <c r="BA20" i="35"/>
  <c r="BC21" i="35"/>
  <c r="BK21" i="35"/>
  <c r="AE20" i="35"/>
  <c r="O20" i="35"/>
  <c r="L21" i="35"/>
  <c r="BE21" i="35"/>
  <c r="BQ21" i="35"/>
  <c r="I20" i="35"/>
  <c r="D20" i="35"/>
  <c r="F20" i="35"/>
  <c r="V20" i="35"/>
  <c r="K21" i="35"/>
  <c r="AA20" i="35"/>
  <c r="X21" i="35"/>
  <c r="AN20" i="35"/>
  <c r="Z21" i="35"/>
  <c r="AX21" i="35"/>
  <c r="AI21" i="35"/>
  <c r="AB21" i="35"/>
  <c r="F21" i="35"/>
  <c r="BO21" i="35"/>
  <c r="BT20" i="35"/>
  <c r="AF22" i="35"/>
  <c r="AJ21" i="35"/>
  <c r="AG21" i="35"/>
  <c r="G21" i="35"/>
  <c r="BM22" i="35"/>
  <c r="BL21" i="35"/>
  <c r="AD21" i="35"/>
  <c r="BI21" i="35"/>
  <c r="BE20" i="35"/>
  <c r="W20" i="35"/>
  <c r="BS21" i="35"/>
  <c r="AV21" i="35"/>
  <c r="BQ20" i="35"/>
  <c r="E21" i="35"/>
  <c r="BS20" i="35"/>
  <c r="AK21" i="35"/>
  <c r="U21" i="35"/>
  <c r="AD20" i="35"/>
  <c r="AR21" i="35"/>
  <c r="AQ20" i="35"/>
  <c r="AQ21" i="35"/>
  <c r="BM21" i="35"/>
  <c r="V21" i="35"/>
  <c r="AC21" i="35"/>
  <c r="AH20" i="35"/>
  <c r="W21" i="35"/>
  <c r="AM20" i="35"/>
  <c r="AC20" i="35"/>
  <c r="AN22" i="35"/>
  <c r="BC20" i="35"/>
  <c r="BD20" i="35"/>
  <c r="C21" i="35"/>
  <c r="AO21" i="35"/>
  <c r="AU21" i="35"/>
  <c r="BP20" i="35"/>
  <c r="AO20" i="35"/>
  <c r="D21" i="35"/>
  <c r="BF21" i="35"/>
  <c r="AI20" i="35"/>
  <c r="T21" i="35"/>
  <c r="AL22" i="35"/>
  <c r="BB20" i="35"/>
  <c r="AY21" i="35"/>
  <c r="AG20" i="35"/>
  <c r="BI20" i="35"/>
  <c r="AX20" i="35"/>
  <c r="J20" i="35"/>
  <c r="BH20" i="35"/>
  <c r="AP21" i="35"/>
  <c r="R21" i="35"/>
  <c r="AT22" i="35"/>
  <c r="BD21" i="35"/>
  <c r="Z20" i="35"/>
  <c r="BH21" i="35"/>
  <c r="W22" i="35"/>
  <c r="P21" i="35"/>
  <c r="BT21" i="35"/>
  <c r="S21" i="35"/>
  <c r="BN21" i="35"/>
  <c r="Q20" i="35"/>
  <c r="M21" i="35"/>
  <c r="T20" i="35"/>
  <c r="AP20" i="35"/>
  <c r="BB22" i="35"/>
  <c r="Z22" i="35"/>
  <c r="T22" i="35"/>
  <c r="R22" i="35"/>
  <c r="AD22" i="35"/>
  <c r="AE21" i="35"/>
  <c r="AI22" i="35"/>
  <c r="BT22" i="35"/>
  <c r="AQ22" i="35"/>
  <c r="C22" i="35"/>
  <c r="AP22" i="35"/>
  <c r="P22" i="35"/>
  <c r="AW22" i="35"/>
  <c r="BA22" i="35"/>
  <c r="AQ23" i="35"/>
  <c r="BE22" i="35"/>
  <c r="J22" i="35"/>
  <c r="AM22" i="35"/>
  <c r="AA22" i="35"/>
  <c r="K23" i="35"/>
  <c r="AH22" i="35"/>
  <c r="Y22" i="35"/>
  <c r="F22" i="35"/>
  <c r="AT21" i="35"/>
  <c r="G22" i="35"/>
  <c r="N22" i="35"/>
  <c r="AA21" i="35"/>
  <c r="Q22" i="35"/>
  <c r="BK22" i="35"/>
  <c r="K22" i="35"/>
  <c r="AS22" i="35"/>
  <c r="AL23" i="35"/>
  <c r="BP22" i="35"/>
  <c r="BD22" i="35"/>
  <c r="BJ22" i="35"/>
  <c r="N21" i="35"/>
  <c r="O22" i="35"/>
  <c r="U22" i="35"/>
  <c r="E23" i="35"/>
  <c r="AK23" i="35"/>
  <c r="U20" i="35"/>
  <c r="BI22" i="35"/>
  <c r="AZ22" i="35"/>
  <c r="BF20" i="35"/>
  <c r="E22" i="35"/>
  <c r="BO22" i="35"/>
  <c r="H21" i="35"/>
  <c r="BN22" i="35"/>
  <c r="M23" i="35"/>
  <c r="AH21" i="35"/>
  <c r="H22" i="35"/>
  <c r="BG22" i="35"/>
  <c r="AE22" i="35"/>
  <c r="BS22" i="35"/>
  <c r="BF22" i="35"/>
  <c r="BC22" i="35"/>
  <c r="BH22" i="35"/>
  <c r="AV22" i="35"/>
  <c r="BR22" i="35"/>
  <c r="G24" i="35"/>
  <c r="AB22" i="35"/>
  <c r="BG21" i="35"/>
  <c r="AU22" i="35"/>
  <c r="AP23" i="35"/>
  <c r="BR21" i="35"/>
  <c r="AR20" i="35"/>
  <c r="W23" i="35"/>
  <c r="AY22" i="35"/>
  <c r="AV23" i="35"/>
  <c r="AL24" i="35"/>
  <c r="AB23" i="35"/>
  <c r="BT23" i="35"/>
  <c r="BE24" i="35"/>
  <c r="I22" i="35"/>
  <c r="J23" i="35"/>
  <c r="AG22" i="35"/>
  <c r="BM24" i="35"/>
  <c r="AJ24" i="35"/>
  <c r="D23" i="35"/>
  <c r="BL22" i="35"/>
  <c r="T23" i="35"/>
  <c r="BO23" i="35"/>
  <c r="AD24" i="35"/>
  <c r="AJ22" i="35"/>
  <c r="AX23" i="35"/>
  <c r="M22" i="35"/>
  <c r="L20" i="35"/>
  <c r="AR23" i="35"/>
  <c r="BG23" i="35"/>
  <c r="BL23" i="35"/>
  <c r="Y23" i="35"/>
  <c r="AH23" i="35"/>
  <c r="AE23" i="35"/>
  <c r="L22" i="35"/>
  <c r="AC22" i="35"/>
  <c r="AX22" i="35"/>
  <c r="U23" i="35"/>
  <c r="BN23" i="35"/>
  <c r="BS23" i="35"/>
  <c r="AO23" i="35"/>
  <c r="AM24" i="35"/>
  <c r="BB24" i="35"/>
  <c r="V23" i="35"/>
  <c r="BQ22" i="35"/>
  <c r="AD23" i="35"/>
  <c r="BM23" i="35"/>
  <c r="AW23" i="35"/>
  <c r="G23" i="35"/>
  <c r="L23" i="35"/>
  <c r="I23" i="35"/>
  <c r="X23" i="35"/>
  <c r="AN23" i="35"/>
  <c r="BD23" i="35"/>
  <c r="AI23" i="35"/>
  <c r="D22" i="35"/>
  <c r="Z23" i="35"/>
  <c r="E24" i="35"/>
  <c r="BE23" i="35"/>
  <c r="AY23" i="35"/>
  <c r="AM23" i="35"/>
  <c r="X22" i="35"/>
  <c r="AT23" i="35"/>
  <c r="BA21" i="35"/>
  <c r="AR22" i="35"/>
  <c r="BC23" i="35"/>
  <c r="AZ23" i="35"/>
  <c r="BR23" i="35"/>
  <c r="AG23" i="35"/>
  <c r="N23" i="35"/>
  <c r="O23" i="35"/>
  <c r="BA23" i="35"/>
  <c r="BF23" i="35"/>
  <c r="AS23" i="35"/>
  <c r="BK23" i="35"/>
  <c r="P23" i="35"/>
  <c r="AO24" i="35"/>
  <c r="Y24" i="35"/>
  <c r="L24" i="35"/>
  <c r="U24" i="35"/>
  <c r="AQ24" i="35"/>
  <c r="BP23" i="35"/>
  <c r="AW24" i="35"/>
  <c r="C23" i="35"/>
  <c r="BK24" i="35"/>
  <c r="R24" i="35"/>
  <c r="P24" i="35"/>
  <c r="T24" i="35"/>
  <c r="AI24" i="35"/>
  <c r="AD25" i="35"/>
  <c r="V24" i="35"/>
  <c r="AO22" i="35"/>
  <c r="V22" i="35"/>
  <c r="AF24" i="35"/>
  <c r="AC23" i="35"/>
  <c r="BA24" i="35"/>
  <c r="U25" i="35"/>
  <c r="BL24" i="35"/>
  <c r="AB24" i="35"/>
  <c r="AP24" i="35"/>
  <c r="BB25" i="35"/>
  <c r="AN24" i="35"/>
  <c r="AQ25" i="35"/>
  <c r="AK24" i="35"/>
  <c r="AA24" i="35"/>
  <c r="BJ23" i="35"/>
  <c r="AJ23" i="35"/>
  <c r="BB23" i="35"/>
  <c r="BN24" i="35"/>
  <c r="Z24" i="35"/>
  <c r="F23" i="35"/>
  <c r="AU24" i="35"/>
  <c r="AH24" i="35"/>
  <c r="Q23" i="35"/>
  <c r="S23" i="35"/>
  <c r="I24" i="35"/>
  <c r="O24" i="35"/>
  <c r="AE24" i="35"/>
  <c r="R23" i="35"/>
  <c r="AR24" i="35"/>
  <c r="BI23" i="35"/>
  <c r="BO24" i="35"/>
  <c r="AT24" i="35"/>
  <c r="J24" i="35"/>
  <c r="BR24" i="35"/>
  <c r="AY24" i="35"/>
  <c r="BH24" i="35"/>
  <c r="BA25" i="35"/>
  <c r="AG24" i="35"/>
  <c r="H23" i="35"/>
  <c r="BP25" i="35"/>
  <c r="AZ24" i="35"/>
  <c r="M24" i="35"/>
  <c r="X24" i="35"/>
  <c r="AK22" i="35"/>
  <c r="BD24" i="35"/>
  <c r="BH23" i="35"/>
  <c r="AA23" i="35"/>
  <c r="S22" i="35"/>
  <c r="AF23" i="35"/>
  <c r="BQ23" i="35"/>
  <c r="BF24" i="35"/>
  <c r="AV24" i="35"/>
  <c r="S24" i="35"/>
  <c r="BC24" i="35"/>
  <c r="F24" i="35"/>
  <c r="AU23" i="35"/>
  <c r="AU25" i="35"/>
  <c r="X25" i="35"/>
  <c r="BS24" i="35"/>
  <c r="BQ24" i="35"/>
  <c r="S25" i="35"/>
  <c r="D24" i="35"/>
  <c r="K25" i="35"/>
  <c r="Q24" i="35"/>
  <c r="H24" i="35"/>
  <c r="AS25" i="35"/>
  <c r="D25" i="35"/>
  <c r="W24" i="35"/>
  <c r="BF25" i="35"/>
  <c r="AC24" i="35"/>
  <c r="BP24" i="35"/>
  <c r="Q25" i="35"/>
  <c r="N24" i="35"/>
  <c r="L25" i="35"/>
  <c r="AY25" i="35"/>
  <c r="AJ25" i="35"/>
  <c r="BQ25" i="35"/>
  <c r="AC25" i="35"/>
  <c r="C24" i="35"/>
  <c r="AR25" i="35"/>
  <c r="I25" i="35"/>
  <c r="BI24" i="35"/>
  <c r="AS24" i="35"/>
  <c r="AB25" i="35"/>
  <c r="AV25" i="35"/>
  <c r="AL25" i="35"/>
  <c r="BT24" i="35"/>
  <c r="Y25" i="35"/>
  <c r="O25" i="35"/>
  <c r="W25" i="35"/>
  <c r="AH25" i="35"/>
  <c r="AA25" i="35"/>
  <c r="BJ24" i="35"/>
  <c r="BG24" i="35"/>
  <c r="AX25" i="35"/>
  <c r="AX24" i="35"/>
  <c r="AF25" i="35"/>
  <c r="K24" i="35"/>
  <c r="BN25" i="35"/>
  <c r="H25" i="35"/>
  <c r="BG25" i="35"/>
  <c r="AM25" i="35"/>
  <c r="Z25" i="35"/>
  <c r="AE25" i="35"/>
  <c r="AN25" i="35"/>
  <c r="AK25" i="35"/>
  <c r="M25" i="35"/>
  <c r="AZ25" i="35"/>
  <c r="N25" i="35"/>
  <c r="R25" i="35"/>
  <c r="E25" i="35"/>
  <c r="AT25" i="35"/>
  <c r="BO25" i="35"/>
  <c r="BR25" i="35"/>
  <c r="BK25" i="35"/>
  <c r="BM25" i="35"/>
  <c r="BL25" i="35"/>
  <c r="AO25" i="35"/>
  <c r="BS25" i="35"/>
  <c r="C25" i="35"/>
  <c r="BE25" i="35"/>
  <c r="BJ25" i="35"/>
  <c r="T25" i="35"/>
  <c r="F25" i="35"/>
  <c r="AG25" i="35"/>
  <c r="AW25" i="35"/>
  <c r="BH25" i="35"/>
  <c r="AI25" i="35"/>
  <c r="BT25" i="35"/>
  <c r="V25" i="35"/>
  <c r="J25" i="35"/>
  <c r="BC25" i="35"/>
  <c r="BI25" i="35"/>
  <c r="G25" i="35"/>
  <c r="BD25" i="35"/>
  <c r="AP25" i="35"/>
  <c r="K8" i="27"/>
  <c r="K26" i="27"/>
  <c r="K12" i="27"/>
  <c r="K23" i="27"/>
  <c r="K15" i="27"/>
  <c r="K60" i="27"/>
  <c r="K59" i="27"/>
  <c r="K48" i="27"/>
  <c r="K20" i="27"/>
  <c r="K47" i="27"/>
  <c r="K22" i="27"/>
  <c r="K24" i="27"/>
  <c r="W90" i="39"/>
  <c r="U90" i="39"/>
  <c r="R90" i="39"/>
  <c r="O90" i="39"/>
  <c r="Q90" i="39"/>
  <c r="R88" i="39"/>
  <c r="W88" i="39"/>
  <c r="Q88" i="39"/>
  <c r="O88" i="39"/>
  <c r="U88" i="39"/>
  <c r="U97" i="39"/>
  <c r="R97" i="39"/>
  <c r="O97" i="39"/>
  <c r="W97" i="39"/>
  <c r="Q97" i="39"/>
  <c r="U93" i="39"/>
  <c r="R93" i="39"/>
  <c r="W93" i="39"/>
  <c r="Q93" i="39"/>
  <c r="O93" i="39"/>
  <c r="K33" i="27"/>
  <c r="AR242" i="39"/>
  <c r="AD242" i="39"/>
  <c r="AH242" i="39"/>
  <c r="AG242" i="39"/>
  <c r="AF242" i="39"/>
  <c r="AE242" i="39"/>
  <c r="AC242" i="39"/>
  <c r="E243" i="39"/>
  <c r="A244" i="39"/>
  <c r="D243" i="39"/>
  <c r="C243" i="39"/>
  <c r="B243" i="39"/>
  <c r="K84" i="27" l="1"/>
  <c r="A103" i="20"/>
  <c r="B102" i="20"/>
  <c r="C102" i="20"/>
  <c r="K99" i="39"/>
  <c r="V100" i="39"/>
  <c r="E102" i="20"/>
  <c r="N99" i="39"/>
  <c r="X99" i="39"/>
  <c r="Y100" i="39"/>
  <c r="F100" i="39"/>
  <c r="X100" i="39"/>
  <c r="L99" i="39"/>
  <c r="N100" i="39"/>
  <c r="M100" i="39"/>
  <c r="F99" i="39"/>
  <c r="K100" i="39"/>
  <c r="AA99" i="39"/>
  <c r="AA100" i="39"/>
  <c r="L100" i="39"/>
  <c r="Z100" i="39"/>
  <c r="G99" i="39"/>
  <c r="I99" i="39"/>
  <c r="J99" i="39"/>
  <c r="D102" i="20"/>
  <c r="AB99" i="39"/>
  <c r="AS99" i="39" s="1"/>
  <c r="J100" i="39"/>
  <c r="Y99" i="39"/>
  <c r="H99" i="39"/>
  <c r="M99" i="39"/>
  <c r="H100" i="39"/>
  <c r="V99" i="39"/>
  <c r="AB100" i="39"/>
  <c r="AS100" i="39" s="1"/>
  <c r="G100" i="39"/>
  <c r="Z99" i="39"/>
  <c r="I100" i="39"/>
  <c r="K90" i="27"/>
  <c r="K79" i="27"/>
  <c r="K32" i="27"/>
  <c r="K86" i="27"/>
  <c r="K76" i="27"/>
  <c r="K87" i="27"/>
  <c r="K77" i="27"/>
  <c r="K75" i="27"/>
  <c r="K89" i="27"/>
  <c r="K81" i="27"/>
  <c r="K73" i="27"/>
  <c r="K88" i="27"/>
  <c r="BV22" i="35"/>
  <c r="BU26" i="35"/>
  <c r="BU15" i="35"/>
  <c r="BW18" i="35"/>
  <c r="BX15" i="35"/>
  <c r="BV24" i="35"/>
  <c r="BU12" i="35"/>
  <c r="BV16" i="35"/>
  <c r="BX12" i="35"/>
  <c r="BV13" i="35"/>
  <c r="BV9" i="35"/>
  <c r="BX9" i="35"/>
  <c r="BW16" i="35"/>
  <c r="BU13" i="35"/>
  <c r="BX13" i="35"/>
  <c r="BV6" i="35"/>
  <c r="BW10" i="35"/>
  <c r="BU16" i="35"/>
  <c r="BW17" i="35"/>
  <c r="BU17" i="35"/>
  <c r="BW13" i="35"/>
  <c r="BW21" i="35"/>
  <c r="BW24" i="35"/>
  <c r="BV7" i="35"/>
  <c r="BX7" i="35"/>
  <c r="BU10" i="35"/>
  <c r="BX19" i="35"/>
  <c r="BW22" i="35"/>
  <c r="BU6" i="35"/>
  <c r="BX22" i="35"/>
  <c r="BV10" i="35"/>
  <c r="BX16" i="35"/>
  <c r="BW19" i="35"/>
  <c r="BW12" i="35"/>
  <c r="BV19" i="35"/>
  <c r="BX21" i="35"/>
  <c r="BW20" i="35"/>
  <c r="BV20" i="35"/>
  <c r="BU22" i="35"/>
  <c r="BX8" i="35"/>
  <c r="BU8" i="35"/>
  <c r="BW23" i="35"/>
  <c r="BV18" i="35"/>
  <c r="BX17" i="35"/>
  <c r="BW5" i="35"/>
  <c r="BV8" i="35"/>
  <c r="BX25" i="35"/>
  <c r="BV25" i="35"/>
  <c r="BU14" i="35"/>
  <c r="BX6" i="35"/>
  <c r="BW26" i="35"/>
  <c r="BV15" i="35"/>
  <c r="BW6" i="35"/>
  <c r="BU11" i="35"/>
  <c r="BU19" i="35"/>
  <c r="BW8" i="35"/>
  <c r="BX4" i="35"/>
  <c r="BW15" i="35"/>
  <c r="BX20" i="35"/>
  <c r="BW4" i="35"/>
  <c r="BU25" i="35"/>
  <c r="BW11" i="35"/>
  <c r="BX11" i="35"/>
  <c r="BX18" i="35"/>
  <c r="BU18" i="35"/>
  <c r="BU24" i="35"/>
  <c r="BW9" i="35"/>
  <c r="BX5" i="35"/>
  <c r="BU21" i="35"/>
  <c r="BV4" i="35"/>
  <c r="BU23" i="35"/>
  <c r="BV12" i="35"/>
  <c r="BU7" i="35"/>
  <c r="BX10" i="35"/>
  <c r="BV5" i="35"/>
  <c r="BV21" i="35"/>
  <c r="BU4" i="35"/>
  <c r="BX26" i="35"/>
  <c r="BV17" i="35"/>
  <c r="BV23" i="35"/>
  <c r="BV26" i="35"/>
  <c r="BW25" i="35"/>
  <c r="BX23" i="35"/>
  <c r="BU5" i="35"/>
  <c r="BU9" i="35"/>
  <c r="BX24" i="35"/>
  <c r="BW7" i="35"/>
  <c r="BX14" i="35"/>
  <c r="BW14" i="35"/>
  <c r="BU20" i="35"/>
  <c r="BV14" i="35"/>
  <c r="BV11" i="35"/>
  <c r="AB4" i="35"/>
  <c r="E5" i="35"/>
  <c r="BF5" i="35"/>
  <c r="AU6" i="35"/>
  <c r="AB6" i="35"/>
  <c r="AR10" i="35"/>
  <c r="BH10" i="35"/>
  <c r="H11" i="35"/>
  <c r="AA10" i="35"/>
  <c r="AN10" i="35"/>
  <c r="AE10" i="35"/>
  <c r="AA11" i="35"/>
  <c r="E26" i="35"/>
  <c r="AV26" i="35"/>
  <c r="K83" i="27"/>
  <c r="K80" i="27"/>
  <c r="K85" i="27"/>
  <c r="K78" i="27"/>
  <c r="K74" i="27"/>
  <c r="K82" i="27"/>
  <c r="K71" i="27"/>
  <c r="K72" i="27"/>
  <c r="AA4" i="35"/>
  <c r="BC4" i="35"/>
  <c r="BA4" i="35"/>
  <c r="AS4" i="35"/>
  <c r="T4" i="35"/>
  <c r="L4" i="35"/>
  <c r="E4" i="35"/>
  <c r="AN4" i="35"/>
  <c r="AO4" i="35"/>
  <c r="AE4" i="35"/>
  <c r="AP4" i="35"/>
  <c r="AC4" i="35"/>
  <c r="C4" i="35"/>
  <c r="W4" i="35"/>
  <c r="AD4" i="35"/>
  <c r="G4" i="35"/>
  <c r="BT4" i="35"/>
  <c r="R4" i="35"/>
  <c r="I4" i="35"/>
  <c r="BK4" i="35"/>
  <c r="BS4" i="35"/>
  <c r="BE4" i="35"/>
  <c r="AG4" i="35"/>
  <c r="AM4" i="35"/>
  <c r="D4" i="35"/>
  <c r="N4" i="35"/>
  <c r="AY4" i="35"/>
  <c r="AK4" i="35"/>
  <c r="S4" i="35"/>
  <c r="BL4" i="35"/>
  <c r="AT5" i="35"/>
  <c r="AI4" i="35"/>
  <c r="O4" i="35"/>
  <c r="AL4" i="35"/>
  <c r="BF4" i="35"/>
  <c r="BP4" i="35"/>
  <c r="Y4" i="35"/>
  <c r="AM5" i="35"/>
  <c r="AR4" i="35"/>
  <c r="AT4" i="35"/>
  <c r="X4" i="35"/>
  <c r="AV4" i="35"/>
  <c r="H4" i="35"/>
  <c r="AF4" i="35"/>
  <c r="F4" i="35"/>
  <c r="F5" i="35"/>
  <c r="BD6" i="35"/>
  <c r="AJ4" i="35"/>
  <c r="AJ5" i="35"/>
  <c r="BT5" i="35"/>
  <c r="BB4" i="35"/>
  <c r="AZ4" i="35"/>
  <c r="AK5" i="35"/>
  <c r="U5" i="35"/>
  <c r="AG5" i="35"/>
  <c r="W5" i="35"/>
  <c r="O5" i="35"/>
  <c r="BJ5" i="35"/>
  <c r="J4" i="35"/>
  <c r="BJ4" i="35"/>
  <c r="BN4" i="35"/>
  <c r="K5" i="35"/>
  <c r="BS5" i="35"/>
  <c r="BA5" i="35"/>
  <c r="AX4" i="35"/>
  <c r="AQ4" i="35"/>
  <c r="AU4" i="35"/>
  <c r="AX5" i="35"/>
  <c r="AZ5" i="35"/>
  <c r="BP5" i="35"/>
  <c r="AH4" i="35"/>
  <c r="AQ5" i="35"/>
  <c r="M4" i="35"/>
  <c r="C5" i="35"/>
  <c r="AV5" i="35"/>
  <c r="BG4" i="35"/>
  <c r="AN5" i="35"/>
  <c r="Q5" i="35"/>
  <c r="BR4" i="35"/>
  <c r="P5" i="35"/>
  <c r="BO4" i="35"/>
  <c r="P4" i="35"/>
  <c r="Z4" i="35"/>
  <c r="BQ4" i="35"/>
  <c r="AN6" i="35"/>
  <c r="Q4" i="35"/>
  <c r="D5" i="35"/>
  <c r="AB5" i="35"/>
  <c r="AC5" i="35"/>
  <c r="BH4" i="35"/>
  <c r="AY7" i="35"/>
  <c r="AD5" i="35"/>
  <c r="BK5" i="35"/>
  <c r="BN5" i="35"/>
  <c r="V4" i="35"/>
  <c r="AH5" i="35"/>
  <c r="AL5" i="35"/>
  <c r="X5" i="35"/>
  <c r="BL5" i="35"/>
  <c r="BC5" i="35"/>
  <c r="T5" i="35"/>
  <c r="AA5" i="35"/>
  <c r="BD5" i="35"/>
  <c r="M5" i="35"/>
  <c r="BI5" i="35"/>
  <c r="BI4" i="35"/>
  <c r="L5" i="35"/>
  <c r="Z5" i="35"/>
  <c r="AW4" i="35"/>
  <c r="K4" i="35"/>
  <c r="AX6" i="35"/>
  <c r="G5" i="35"/>
  <c r="BH5" i="35"/>
  <c r="BK6" i="35"/>
  <c r="R5" i="35"/>
  <c r="AS5" i="35"/>
  <c r="BJ6" i="35"/>
  <c r="BQ5" i="35"/>
  <c r="AF5" i="35"/>
  <c r="BI6" i="35"/>
  <c r="AP7" i="35"/>
  <c r="AM6" i="35"/>
  <c r="BE6" i="35"/>
  <c r="AP6" i="35"/>
  <c r="S5" i="35"/>
  <c r="BG6" i="35"/>
  <c r="BQ7" i="35"/>
  <c r="S6" i="35"/>
  <c r="AP5" i="35"/>
  <c r="Y6" i="35"/>
  <c r="W6" i="35"/>
  <c r="X7" i="35"/>
  <c r="W7" i="35"/>
  <c r="BR5" i="35"/>
  <c r="C6" i="35"/>
  <c r="BA6" i="35"/>
  <c r="BM5" i="35"/>
  <c r="AI5" i="35"/>
  <c r="J6" i="35"/>
  <c r="BL6" i="35"/>
  <c r="Q6" i="35"/>
  <c r="X6" i="35"/>
  <c r="L7" i="35"/>
  <c r="BT6" i="35"/>
  <c r="I5" i="35"/>
  <c r="AK6" i="35"/>
  <c r="AE5" i="35"/>
  <c r="O6" i="35"/>
  <c r="AI6" i="35"/>
  <c r="AA6" i="35"/>
  <c r="BS6" i="35"/>
  <c r="AW5" i="35"/>
  <c r="BQ6" i="35"/>
  <c r="G6" i="35"/>
  <c r="AO6" i="35"/>
  <c r="D6" i="35"/>
  <c r="AD6" i="35"/>
  <c r="AY6" i="35"/>
  <c r="AO7" i="35"/>
  <c r="BM6" i="35"/>
  <c r="AV6" i="35"/>
  <c r="AU5" i="35"/>
  <c r="J5" i="35"/>
  <c r="P6" i="35"/>
  <c r="AO5" i="35"/>
  <c r="AF6" i="35"/>
  <c r="R6" i="35"/>
  <c r="BB5" i="35"/>
  <c r="V6" i="35"/>
  <c r="BC6" i="35"/>
  <c r="K6" i="35"/>
  <c r="AR6" i="35"/>
  <c r="T6" i="35"/>
  <c r="Y5" i="35"/>
  <c r="BE5" i="35"/>
  <c r="V5" i="35"/>
  <c r="AC6" i="35"/>
  <c r="H5" i="35"/>
  <c r="BP6" i="35"/>
  <c r="AR5" i="35"/>
  <c r="BG5" i="35"/>
  <c r="BL7" i="35"/>
  <c r="BO5" i="35"/>
  <c r="BH6" i="35"/>
  <c r="P7" i="35"/>
  <c r="BN6" i="35"/>
  <c r="U6" i="35"/>
  <c r="AZ7" i="35"/>
  <c r="BJ7" i="35"/>
  <c r="BR6" i="35"/>
  <c r="I7" i="35"/>
  <c r="V8" i="35"/>
  <c r="AM7" i="35"/>
  <c r="BI7" i="35"/>
  <c r="BT7" i="35"/>
  <c r="AD7" i="35"/>
  <c r="BF7" i="35"/>
  <c r="Z6" i="35"/>
  <c r="BB6" i="35"/>
  <c r="BP7" i="35"/>
  <c r="T7" i="35"/>
  <c r="BR7" i="35"/>
  <c r="U7" i="35"/>
  <c r="AW7" i="35"/>
  <c r="AQ6" i="35"/>
  <c r="BA7" i="35"/>
  <c r="AT6" i="35"/>
  <c r="BO7" i="35"/>
  <c r="Y7" i="35"/>
  <c r="BD8" i="35"/>
  <c r="L6" i="35"/>
  <c r="Z7" i="35"/>
  <c r="AU7" i="35"/>
  <c r="AL6" i="35"/>
  <c r="F6" i="35"/>
  <c r="AG7" i="35"/>
  <c r="AE6" i="35"/>
  <c r="S7" i="35"/>
  <c r="BC7" i="35"/>
  <c r="BK7" i="35"/>
  <c r="AS6" i="35"/>
  <c r="BF6" i="35"/>
  <c r="AV7" i="35"/>
  <c r="AF7" i="35"/>
  <c r="AJ6" i="35"/>
  <c r="AC7" i="35"/>
  <c r="F7" i="35"/>
  <c r="BB7" i="35"/>
  <c r="AH6" i="35"/>
  <c r="R7" i="35"/>
  <c r="AW6" i="35"/>
  <c r="AS7" i="35"/>
  <c r="AI7" i="35"/>
  <c r="AK7" i="35"/>
  <c r="N6" i="35"/>
  <c r="BO6" i="35"/>
  <c r="M7" i="35"/>
  <c r="AN7" i="35"/>
  <c r="H7" i="35"/>
  <c r="E6" i="35"/>
  <c r="G7" i="35"/>
  <c r="BN7" i="35"/>
  <c r="BA8" i="35"/>
  <c r="BD7" i="35"/>
  <c r="P8" i="35"/>
  <c r="AY8" i="35"/>
  <c r="AQ7" i="35"/>
  <c r="BM8" i="35"/>
  <c r="BE8" i="35"/>
  <c r="N8" i="35"/>
  <c r="AR8" i="35"/>
  <c r="AP8" i="35"/>
  <c r="K7" i="35"/>
  <c r="G8" i="35"/>
  <c r="AS8" i="35"/>
  <c r="U8" i="35"/>
  <c r="BH7" i="35"/>
  <c r="E7" i="35"/>
  <c r="I8" i="35"/>
  <c r="AB7" i="35"/>
  <c r="AV8" i="35"/>
  <c r="BS7" i="35"/>
  <c r="AT8" i="35"/>
  <c r="J7" i="35"/>
  <c r="AE8" i="35"/>
  <c r="AR7" i="35"/>
  <c r="O7" i="35"/>
  <c r="BK8" i="35"/>
  <c r="AT7" i="35"/>
  <c r="BG7" i="35"/>
  <c r="AO8" i="35"/>
  <c r="AK8" i="35"/>
  <c r="AD8" i="35"/>
  <c r="BR9" i="35"/>
  <c r="AI8" i="35"/>
  <c r="BH8" i="35"/>
  <c r="BL8" i="35"/>
  <c r="F8" i="35"/>
  <c r="AG8" i="35"/>
  <c r="K8" i="35"/>
  <c r="BC8" i="35"/>
  <c r="D8" i="35"/>
  <c r="T8" i="35"/>
  <c r="AL7" i="35"/>
  <c r="C8" i="35"/>
  <c r="BC9" i="35"/>
  <c r="Q8" i="35"/>
  <c r="AA7" i="35"/>
  <c r="AH8" i="35"/>
  <c r="W8" i="35"/>
  <c r="BM7" i="35"/>
  <c r="AF8" i="35"/>
  <c r="AB8" i="35"/>
  <c r="E8" i="35"/>
  <c r="R8" i="35"/>
  <c r="AX8" i="35"/>
  <c r="AC8" i="35"/>
  <c r="Z8" i="35"/>
  <c r="AW8" i="35"/>
  <c r="Q7" i="35"/>
  <c r="J8" i="35"/>
  <c r="D7" i="35"/>
  <c r="BQ8" i="35"/>
  <c r="BO8" i="35"/>
  <c r="V7" i="35"/>
  <c r="BE7" i="35"/>
  <c r="AJ7" i="35"/>
  <c r="AY9" i="35"/>
  <c r="AZ8" i="35"/>
  <c r="AH7" i="35"/>
  <c r="AI9" i="35"/>
  <c r="V9" i="35"/>
  <c r="BD9" i="35"/>
  <c r="K9" i="35"/>
  <c r="BI9" i="35"/>
  <c r="M9" i="35"/>
  <c r="AG9" i="35"/>
  <c r="N9" i="35"/>
  <c r="BG8" i="35"/>
  <c r="BR8" i="35"/>
  <c r="AD9" i="35"/>
  <c r="BM9" i="35"/>
  <c r="BS9" i="35"/>
  <c r="X8" i="35"/>
  <c r="E9" i="35"/>
  <c r="AE9" i="35"/>
  <c r="BT8" i="35"/>
  <c r="AK9" i="35"/>
  <c r="BF8" i="35"/>
  <c r="R9" i="35"/>
  <c r="M8" i="35"/>
  <c r="BN8" i="35"/>
  <c r="AA8" i="35"/>
  <c r="BQ9" i="35"/>
  <c r="BG9" i="35"/>
  <c r="AQ9" i="35"/>
  <c r="BA9" i="35"/>
  <c r="AU8" i="35"/>
  <c r="BP9" i="35"/>
  <c r="BK9" i="35"/>
  <c r="BH9" i="35"/>
  <c r="I9" i="35"/>
  <c r="X9" i="35"/>
  <c r="AM8" i="35"/>
  <c r="L8" i="35"/>
  <c r="BJ8" i="35"/>
  <c r="BS8" i="35"/>
  <c r="C9" i="35"/>
  <c r="AN9" i="35"/>
  <c r="AL8" i="35"/>
  <c r="BP8" i="35"/>
  <c r="E10" i="35"/>
  <c r="BI8" i="35"/>
  <c r="AU9" i="35"/>
  <c r="AJ9" i="35"/>
  <c r="S8" i="35"/>
  <c r="BB9" i="35"/>
  <c r="AW9" i="35"/>
  <c r="AT9" i="35"/>
  <c r="AS9" i="35"/>
  <c r="U10" i="35"/>
  <c r="AC9" i="35"/>
  <c r="AZ9" i="35"/>
  <c r="AX10" i="35"/>
  <c r="BB10" i="35"/>
  <c r="BJ10" i="35"/>
  <c r="AO9" i="35"/>
  <c r="M10" i="35"/>
  <c r="AC10" i="35"/>
  <c r="H9" i="35"/>
  <c r="BD10" i="35"/>
  <c r="BO10" i="35"/>
  <c r="AL9" i="35"/>
  <c r="Z9" i="35"/>
  <c r="J9" i="35"/>
  <c r="W9" i="35"/>
  <c r="BP10" i="35"/>
  <c r="Q9" i="35"/>
  <c r="L9" i="35"/>
  <c r="N10" i="35"/>
  <c r="BF10" i="35"/>
  <c r="J10" i="35"/>
  <c r="Y9" i="35"/>
  <c r="D10" i="35"/>
  <c r="H10" i="35"/>
  <c r="D9" i="35"/>
  <c r="O10" i="35"/>
  <c r="AH11" i="35"/>
  <c r="BL9" i="35"/>
  <c r="AV9" i="35"/>
  <c r="G9" i="35"/>
  <c r="BL10" i="35"/>
  <c r="AU10" i="35"/>
  <c r="R10" i="35"/>
  <c r="I10" i="35"/>
  <c r="T10" i="35"/>
  <c r="BE10" i="35"/>
  <c r="F10" i="35"/>
  <c r="AJ11" i="35"/>
  <c r="X10" i="35"/>
  <c r="AL10" i="35"/>
  <c r="R11" i="35"/>
  <c r="BT9" i="35"/>
  <c r="AW10" i="35"/>
  <c r="BE9" i="35"/>
  <c r="L10" i="35"/>
  <c r="BC10" i="35"/>
  <c r="AD10" i="35"/>
  <c r="BJ9" i="35"/>
  <c r="AF10" i="35"/>
  <c r="AB9" i="35"/>
  <c r="AR9" i="35"/>
  <c r="BO9" i="35"/>
  <c r="AX9" i="35"/>
  <c r="AM9" i="35"/>
  <c r="O9" i="35"/>
  <c r="AQ10" i="35"/>
  <c r="BI10" i="35"/>
  <c r="P10" i="35"/>
  <c r="BG11" i="35"/>
  <c r="BE12" i="35"/>
  <c r="AB10" i="35"/>
  <c r="AC11" i="35"/>
  <c r="BN10" i="35"/>
  <c r="C11" i="35"/>
  <c r="BK12" i="35"/>
  <c r="BR10" i="35"/>
  <c r="X11" i="35"/>
  <c r="Z10" i="35"/>
  <c r="BR11" i="35"/>
  <c r="S11" i="35"/>
  <c r="AN11" i="35"/>
  <c r="AL11" i="35"/>
  <c r="BF11" i="35"/>
  <c r="K10" i="35"/>
  <c r="I11" i="35"/>
  <c r="S12" i="35"/>
  <c r="BL11" i="35"/>
  <c r="AH10" i="35"/>
  <c r="F11" i="35"/>
  <c r="AY10" i="35"/>
  <c r="V11" i="35"/>
  <c r="AP10" i="35"/>
  <c r="BH11" i="35"/>
  <c r="BH12" i="35"/>
  <c r="AG10" i="35"/>
  <c r="AJ10" i="35"/>
  <c r="U11" i="35"/>
  <c r="Y11" i="35"/>
  <c r="AF11" i="35"/>
  <c r="W11" i="35"/>
  <c r="AY11" i="35"/>
  <c r="BD11" i="35"/>
  <c r="BI11" i="35"/>
  <c r="BT11" i="35"/>
  <c r="BQ11" i="35"/>
  <c r="J12" i="35"/>
  <c r="V10" i="35"/>
  <c r="I12" i="35"/>
  <c r="BC11" i="35"/>
  <c r="BM11" i="35"/>
  <c r="T11" i="35"/>
  <c r="BN12" i="35"/>
  <c r="BE11" i="35"/>
  <c r="Y10" i="35"/>
  <c r="AV10" i="35"/>
  <c r="AM11" i="35"/>
  <c r="R12" i="35"/>
  <c r="AZ10" i="35"/>
  <c r="BG12" i="35"/>
  <c r="Y12" i="35"/>
  <c r="BA10" i="35"/>
  <c r="AB11" i="35"/>
  <c r="AA12" i="35"/>
  <c r="P11" i="35"/>
  <c r="BA12" i="35"/>
  <c r="AC12" i="35"/>
  <c r="AI11" i="35"/>
  <c r="U12" i="35"/>
  <c r="AP11" i="35"/>
  <c r="F12" i="35"/>
  <c r="M12" i="35"/>
  <c r="BL12" i="35"/>
  <c r="P12" i="35"/>
  <c r="AV11" i="35"/>
  <c r="E11" i="35"/>
  <c r="K12" i="35"/>
  <c r="AZ11" i="35"/>
  <c r="AX11" i="35"/>
  <c r="M11" i="35"/>
  <c r="AB12" i="35"/>
  <c r="BP11" i="35"/>
  <c r="BD12" i="35"/>
  <c r="BA11" i="35"/>
  <c r="AT11" i="35"/>
  <c r="BS12" i="35"/>
  <c r="H12" i="35"/>
  <c r="AP12" i="35"/>
  <c r="BR12" i="35"/>
  <c r="BM12" i="35"/>
  <c r="L12" i="35"/>
  <c r="AD12" i="35"/>
  <c r="N11" i="35"/>
  <c r="G11" i="35"/>
  <c r="D11" i="35"/>
  <c r="AK12" i="35"/>
  <c r="AO12" i="35"/>
  <c r="D12" i="35"/>
  <c r="AR13" i="35"/>
  <c r="V12" i="35"/>
  <c r="AI12" i="35"/>
  <c r="AR11" i="35"/>
  <c r="L11" i="35"/>
  <c r="BO11" i="35"/>
  <c r="AN12" i="35"/>
  <c r="BD13" i="35"/>
  <c r="BP12" i="35"/>
  <c r="Q12" i="35"/>
  <c r="Z11" i="35"/>
  <c r="E12" i="35"/>
  <c r="V13" i="35"/>
  <c r="O12" i="35"/>
  <c r="AJ12" i="35"/>
  <c r="BB12" i="35"/>
  <c r="AW12" i="35"/>
  <c r="AE12" i="35"/>
  <c r="AM13" i="35"/>
  <c r="AZ12" i="35"/>
  <c r="BT12" i="35"/>
  <c r="W12" i="35"/>
  <c r="BQ12" i="35"/>
  <c r="AY12" i="35"/>
  <c r="AM12" i="35"/>
  <c r="T12" i="35"/>
  <c r="Z12" i="35"/>
  <c r="BE13" i="35"/>
  <c r="BJ12" i="35"/>
  <c r="AE13" i="35"/>
  <c r="AR12" i="35"/>
  <c r="AT12" i="35"/>
  <c r="N12" i="35"/>
  <c r="G12" i="35"/>
  <c r="AF12" i="35"/>
  <c r="AX12" i="35"/>
  <c r="K13" i="35"/>
  <c r="C12" i="35"/>
  <c r="AV12" i="35"/>
  <c r="X12" i="35"/>
  <c r="AX13" i="35"/>
  <c r="F13" i="35"/>
  <c r="BI13" i="35"/>
  <c r="BK13" i="35"/>
  <c r="E13" i="35"/>
  <c r="BJ13" i="35"/>
  <c r="AK14" i="35"/>
  <c r="L26" i="35"/>
  <c r="AP26" i="35"/>
  <c r="AW26" i="35"/>
  <c r="X26" i="35"/>
  <c r="BJ26" i="35"/>
  <c r="Q26" i="35"/>
  <c r="J26" i="35"/>
  <c r="BD26" i="35"/>
  <c r="AG26" i="35"/>
  <c r="BG26" i="35"/>
  <c r="BM26" i="35"/>
  <c r="Z26" i="35"/>
  <c r="AL26" i="35"/>
  <c r="BS26" i="35"/>
  <c r="G26" i="35"/>
  <c r="V26" i="35"/>
  <c r="AY26" i="35"/>
  <c r="O26" i="35"/>
  <c r="I26" i="35"/>
  <c r="K26" i="35"/>
  <c r="P25" i="35"/>
  <c r="BT26" i="35"/>
  <c r="N26" i="35"/>
  <c r="W26" i="35"/>
  <c r="AC26" i="35"/>
  <c r="AU26" i="35"/>
  <c r="AM26" i="35"/>
  <c r="AA26" i="35"/>
  <c r="BK26" i="35"/>
  <c r="BB26" i="35"/>
  <c r="BC26" i="35"/>
  <c r="AK26" i="35"/>
  <c r="BH26" i="35"/>
  <c r="AB26" i="35"/>
  <c r="AR26" i="35"/>
  <c r="S26" i="35"/>
  <c r="AX26" i="35"/>
  <c r="AF26" i="35"/>
  <c r="D26" i="35"/>
  <c r="BR26" i="35"/>
  <c r="R26" i="35"/>
  <c r="AJ26" i="35"/>
  <c r="AR243" i="39"/>
  <c r="AD243" i="39"/>
  <c r="AH243" i="39"/>
  <c r="AF243" i="39"/>
  <c r="AG243" i="39"/>
  <c r="AE243" i="39"/>
  <c r="AC243" i="39"/>
  <c r="E244" i="39"/>
  <c r="A245" i="39"/>
  <c r="D244" i="39"/>
  <c r="C244" i="39"/>
  <c r="B244" i="39"/>
  <c r="AQ26" i="35" l="1"/>
  <c r="H27" i="35"/>
  <c r="AI26" i="35"/>
  <c r="T26" i="35"/>
  <c r="BP26" i="35"/>
  <c r="AE26" i="35"/>
  <c r="M26" i="35"/>
  <c r="BI26" i="35"/>
  <c r="E27" i="35"/>
  <c r="P26" i="35"/>
  <c r="AZ26" i="35"/>
  <c r="AH26" i="35"/>
  <c r="AO26" i="35"/>
  <c r="F26" i="35"/>
  <c r="BQ26" i="35"/>
  <c r="BL26" i="35"/>
  <c r="U26" i="35"/>
  <c r="AD26" i="35"/>
  <c r="BA26" i="35"/>
  <c r="AN26" i="35"/>
  <c r="BE26" i="35"/>
  <c r="BF26" i="35"/>
  <c r="Y26" i="35"/>
  <c r="BN26" i="35"/>
  <c r="AC27" i="35"/>
  <c r="H26" i="35"/>
  <c r="C26" i="35"/>
  <c r="BO26" i="35"/>
  <c r="AT26" i="35"/>
  <c r="AS26" i="35"/>
  <c r="BY23" i="35"/>
  <c r="AD23" i="36" s="1"/>
  <c r="W100" i="39"/>
  <c r="U100" i="39"/>
  <c r="Q100" i="39"/>
  <c r="O100" i="39"/>
  <c r="R100" i="39"/>
  <c r="O99" i="39"/>
  <c r="Q99" i="39"/>
  <c r="W99" i="39"/>
  <c r="U99" i="39"/>
  <c r="R99" i="39"/>
  <c r="A104" i="20"/>
  <c r="B103" i="20"/>
  <c r="C103" i="20"/>
  <c r="D103" i="20"/>
  <c r="E103" i="20"/>
  <c r="BY16" i="35"/>
  <c r="R16" i="36" s="1"/>
  <c r="BY14" i="35"/>
  <c r="AA14" i="36" s="1"/>
  <c r="BY18" i="35"/>
  <c r="AA18" i="36" s="1"/>
  <c r="BY19" i="35"/>
  <c r="E19" i="36" s="1"/>
  <c r="BY21" i="35"/>
  <c r="BQ21" i="36" s="1"/>
  <c r="BY22" i="35"/>
  <c r="AK22" i="36" s="1"/>
  <c r="BY17" i="35"/>
  <c r="H17" i="36" s="1"/>
  <c r="BY15" i="35"/>
  <c r="BE15" i="36" s="1"/>
  <c r="BY24" i="35"/>
  <c r="BD24" i="36" s="1"/>
  <c r="BY20" i="35"/>
  <c r="BV20" i="36" s="1"/>
  <c r="BY25" i="35"/>
  <c r="P25" i="36" s="1"/>
  <c r="AR244" i="39"/>
  <c r="AD244" i="39"/>
  <c r="AH244" i="39"/>
  <c r="AG244" i="39"/>
  <c r="AC244" i="39"/>
  <c r="AF244" i="39"/>
  <c r="AE244" i="39"/>
  <c r="E245" i="39"/>
  <c r="A246" i="39"/>
  <c r="D245" i="39"/>
  <c r="C245" i="39"/>
  <c r="B245" i="39"/>
  <c r="BY26" i="35" l="1"/>
  <c r="BU26" i="36" s="1"/>
  <c r="T27" i="35"/>
  <c r="BJ27" i="35"/>
  <c r="S27" i="35"/>
  <c r="BM27" i="35"/>
  <c r="AV27" i="35"/>
  <c r="X27" i="35"/>
  <c r="O27" i="35"/>
  <c r="BU27" i="35"/>
  <c r="AI27" i="35"/>
  <c r="AP27" i="35"/>
  <c r="AD27" i="35"/>
  <c r="I27" i="35"/>
  <c r="AM27" i="35"/>
  <c r="K27" i="35"/>
  <c r="P27" i="35"/>
  <c r="AY27" i="35"/>
  <c r="AR27" i="35"/>
  <c r="AG27" i="35"/>
  <c r="BG27" i="35"/>
  <c r="C27" i="35"/>
  <c r="R27" i="35"/>
  <c r="AX27" i="35"/>
  <c r="V27" i="35"/>
  <c r="AQ27" i="35"/>
  <c r="BP27" i="35"/>
  <c r="AU27" i="35"/>
  <c r="AJ27" i="35"/>
  <c r="Y27" i="35"/>
  <c r="AH27" i="35"/>
  <c r="AB27" i="35"/>
  <c r="M27" i="35"/>
  <c r="BW27" i="35"/>
  <c r="F27" i="35"/>
  <c r="AK27" i="35"/>
  <c r="AW27" i="35"/>
  <c r="BR27" i="35"/>
  <c r="L27" i="35"/>
  <c r="BL27" i="35"/>
  <c r="BB27" i="35"/>
  <c r="J27" i="35"/>
  <c r="AT27" i="35"/>
  <c r="G27" i="35"/>
  <c r="AN27" i="35"/>
  <c r="AS27" i="35"/>
  <c r="AA27" i="35"/>
  <c r="BF27" i="35"/>
  <c r="W27" i="35"/>
  <c r="Z27" i="35"/>
  <c r="BV27" i="35"/>
  <c r="AO27" i="35"/>
  <c r="BS27" i="35"/>
  <c r="D27" i="35"/>
  <c r="BQ27" i="35"/>
  <c r="BT27" i="35"/>
  <c r="BN27" i="35"/>
  <c r="BO27" i="35"/>
  <c r="AZ27" i="35"/>
  <c r="BK27" i="35"/>
  <c r="N27" i="35"/>
  <c r="BX27" i="35"/>
  <c r="BC27" i="35"/>
  <c r="BA27" i="35"/>
  <c r="BD27" i="35"/>
  <c r="Q27" i="35"/>
  <c r="BI27" i="35"/>
  <c r="BE27" i="35"/>
  <c r="AE27" i="35"/>
  <c r="BH27" i="35"/>
  <c r="AF27" i="35"/>
  <c r="AL27" i="35"/>
  <c r="U27" i="35"/>
  <c r="Q20" i="36"/>
  <c r="M20" i="36"/>
  <c r="BB20" i="36"/>
  <c r="AK20" i="36"/>
  <c r="AF20" i="36"/>
  <c r="U20" i="36"/>
  <c r="Z20" i="36"/>
  <c r="F20" i="36"/>
  <c r="I20" i="36"/>
  <c r="BE20" i="36"/>
  <c r="O20" i="36"/>
  <c r="AQ20" i="36"/>
  <c r="D20" i="36"/>
  <c r="BA20" i="36"/>
  <c r="N20" i="36"/>
  <c r="W20" i="36"/>
  <c r="T20" i="36"/>
  <c r="BD20" i="36"/>
  <c r="BC20" i="36"/>
  <c r="BI20" i="36"/>
  <c r="AB20" i="36"/>
  <c r="BM20" i="36"/>
  <c r="C20" i="36"/>
  <c r="AR20" i="36"/>
  <c r="AP20" i="36"/>
  <c r="BG20" i="36"/>
  <c r="BQ16" i="36"/>
  <c r="BE14" i="36"/>
  <c r="BD14" i="36"/>
  <c r="AF14" i="36"/>
  <c r="AM14" i="36"/>
  <c r="BP16" i="36"/>
  <c r="P14" i="36"/>
  <c r="D14" i="36"/>
  <c r="G14" i="36"/>
  <c r="R14" i="36"/>
  <c r="AT14" i="36"/>
  <c r="AQ14" i="36"/>
  <c r="L16" i="36"/>
  <c r="E23" i="36"/>
  <c r="AL23" i="36"/>
  <c r="AZ23" i="36"/>
  <c r="AR23" i="36"/>
  <c r="BH23" i="36"/>
  <c r="F23" i="36"/>
  <c r="AS23" i="36"/>
  <c r="Y23" i="36"/>
  <c r="BO23" i="36"/>
  <c r="AY23" i="36"/>
  <c r="K23" i="36"/>
  <c r="G23" i="36"/>
  <c r="BK23" i="36"/>
  <c r="BC23" i="36"/>
  <c r="AA23" i="36"/>
  <c r="AI23" i="36"/>
  <c r="C23" i="36"/>
  <c r="BE23" i="36"/>
  <c r="BH14" i="36"/>
  <c r="AB23" i="36"/>
  <c r="AU14" i="36"/>
  <c r="U23" i="36"/>
  <c r="AE23" i="36"/>
  <c r="AW23" i="36"/>
  <c r="BN23" i="36"/>
  <c r="BB14" i="36"/>
  <c r="BF23" i="36"/>
  <c r="W23" i="36"/>
  <c r="BS16" i="36"/>
  <c r="Z23" i="36"/>
  <c r="R23" i="36"/>
  <c r="AM23" i="36"/>
  <c r="BV23" i="36"/>
  <c r="AT23" i="36"/>
  <c r="N23" i="36"/>
  <c r="BG23" i="36"/>
  <c r="H14" i="36"/>
  <c r="E14" i="36"/>
  <c r="BL23" i="36"/>
  <c r="AQ23" i="36"/>
  <c r="K14" i="36"/>
  <c r="C16" i="36"/>
  <c r="V23" i="36"/>
  <c r="AN23" i="36"/>
  <c r="BR16" i="36"/>
  <c r="Q23" i="36"/>
  <c r="AF23" i="36"/>
  <c r="BD23" i="36"/>
  <c r="AX23" i="36"/>
  <c r="D23" i="36"/>
  <c r="J23" i="36"/>
  <c r="S23" i="36"/>
  <c r="AU23" i="36"/>
  <c r="BT23" i="36"/>
  <c r="AV23" i="36"/>
  <c r="I23" i="36"/>
  <c r="AJ23" i="36"/>
  <c r="AK23" i="36"/>
  <c r="BA23" i="36"/>
  <c r="L23" i="36"/>
  <c r="X23" i="36"/>
  <c r="H23" i="36"/>
  <c r="AH23" i="36"/>
  <c r="AG23" i="36"/>
  <c r="T23" i="36"/>
  <c r="O23" i="36"/>
  <c r="M23" i="36"/>
  <c r="AO23" i="36"/>
  <c r="AC23" i="36"/>
  <c r="AI14" i="36"/>
  <c r="BI23" i="36"/>
  <c r="BJ14" i="36"/>
  <c r="BM23" i="36"/>
  <c r="AX14" i="36"/>
  <c r="BB23" i="36"/>
  <c r="AP23" i="36"/>
  <c r="AY14" i="36"/>
  <c r="BP23" i="36"/>
  <c r="P23" i="36"/>
  <c r="BJ23" i="36"/>
  <c r="BQ23" i="36"/>
  <c r="BK21" i="36"/>
  <c r="T21" i="36"/>
  <c r="AS14" i="36"/>
  <c r="BM14" i="36"/>
  <c r="AG21" i="36"/>
  <c r="BN14" i="36"/>
  <c r="AP21" i="36"/>
  <c r="AZ14" i="36"/>
  <c r="Q21" i="36"/>
  <c r="Y14" i="36"/>
  <c r="AR14" i="36"/>
  <c r="W14" i="36"/>
  <c r="BR23" i="36"/>
  <c r="H21" i="36"/>
  <c r="AF21" i="36"/>
  <c r="AE21" i="36"/>
  <c r="AT21" i="36"/>
  <c r="AN14" i="36"/>
  <c r="BE21" i="36"/>
  <c r="AV14" i="36"/>
  <c r="BX23" i="36"/>
  <c r="BW23" i="36"/>
  <c r="C21" i="36"/>
  <c r="AA21" i="36"/>
  <c r="BB21" i="36"/>
  <c r="AC21" i="36"/>
  <c r="AN21" i="36"/>
  <c r="AW21" i="36"/>
  <c r="BI21" i="36"/>
  <c r="I14" i="36"/>
  <c r="BU23" i="36"/>
  <c r="AS21" i="36"/>
  <c r="BF21" i="36"/>
  <c r="BS23" i="36"/>
  <c r="V21" i="36"/>
  <c r="AV21" i="36"/>
  <c r="F21" i="36"/>
  <c r="E16" i="36"/>
  <c r="AE16" i="36"/>
  <c r="AM21" i="36"/>
  <c r="AX16" i="36"/>
  <c r="W21" i="36"/>
  <c r="AR16" i="36"/>
  <c r="X16" i="36"/>
  <c r="BM16" i="36"/>
  <c r="D21" i="36"/>
  <c r="AU21" i="36"/>
  <c r="BM21" i="36"/>
  <c r="AO16" i="36"/>
  <c r="BD21" i="36"/>
  <c r="Q14" i="36"/>
  <c r="AR21" i="36"/>
  <c r="AA16" i="36"/>
  <c r="AP14" i="36"/>
  <c r="O14" i="36"/>
  <c r="AU25" i="36"/>
  <c r="M16" i="36"/>
  <c r="F16" i="36"/>
  <c r="H16" i="36"/>
  <c r="AH16" i="36"/>
  <c r="D16" i="36"/>
  <c r="BU16" i="36"/>
  <c r="O16" i="36"/>
  <c r="AV16" i="36"/>
  <c r="I16" i="36"/>
  <c r="AW14" i="36"/>
  <c r="V16" i="36"/>
  <c r="L14" i="36"/>
  <c r="BN16" i="36"/>
  <c r="X14" i="36"/>
  <c r="BG16" i="36"/>
  <c r="J14" i="36"/>
  <c r="AI16" i="36"/>
  <c r="AM16" i="36"/>
  <c r="AQ16" i="36"/>
  <c r="BJ16" i="36"/>
  <c r="AZ16" i="36"/>
  <c r="AN16" i="36"/>
  <c r="BL16" i="36"/>
  <c r="BD16" i="36"/>
  <c r="N14" i="36"/>
  <c r="BI16" i="36"/>
  <c r="J16" i="36"/>
  <c r="BH16" i="36"/>
  <c r="K16" i="36"/>
  <c r="BC16" i="36"/>
  <c r="AB14" i="36"/>
  <c r="AD14" i="36"/>
  <c r="BP14" i="36"/>
  <c r="BG14" i="36"/>
  <c r="AK14" i="36"/>
  <c r="AJ14" i="36"/>
  <c r="AO14" i="36"/>
  <c r="AL14" i="36"/>
  <c r="BO14" i="36"/>
  <c r="M14" i="36"/>
  <c r="BF14" i="36"/>
  <c r="AG14" i="36"/>
  <c r="T14" i="36"/>
  <c r="S14" i="36"/>
  <c r="BL14" i="36"/>
  <c r="BI14" i="36"/>
  <c r="Z14" i="36"/>
  <c r="F14" i="36"/>
  <c r="AC14" i="36"/>
  <c r="V14" i="36"/>
  <c r="BI18" i="36"/>
  <c r="BL21" i="36"/>
  <c r="BN21" i="36"/>
  <c r="G19" i="36"/>
  <c r="AG19" i="36"/>
  <c r="AW19" i="36"/>
  <c r="N19" i="36"/>
  <c r="AI19" i="36"/>
  <c r="S19" i="36"/>
  <c r="BF19" i="36"/>
  <c r="BE19" i="36"/>
  <c r="BI19" i="36"/>
  <c r="O19" i="36"/>
  <c r="AK19" i="36"/>
  <c r="AQ19" i="36"/>
  <c r="H19" i="36"/>
  <c r="K19" i="36"/>
  <c r="AC19" i="36"/>
  <c r="L19" i="36"/>
  <c r="BS19" i="36"/>
  <c r="V19" i="36"/>
  <c r="AV19" i="36"/>
  <c r="BC19" i="36"/>
  <c r="R19" i="36"/>
  <c r="AM19" i="36"/>
  <c r="AD19" i="36"/>
  <c r="AY19" i="36"/>
  <c r="AE19" i="36"/>
  <c r="Y19" i="36"/>
  <c r="AO19" i="36"/>
  <c r="AP19" i="36"/>
  <c r="T19" i="36"/>
  <c r="AJ19" i="36"/>
  <c r="BB19" i="36"/>
  <c r="Z19" i="36"/>
  <c r="F19" i="36"/>
  <c r="BP19" i="36"/>
  <c r="BO19" i="36"/>
  <c r="Q19" i="36"/>
  <c r="M19" i="36"/>
  <c r="AL22" i="36"/>
  <c r="O22" i="36"/>
  <c r="AO22" i="36"/>
  <c r="AM22" i="36"/>
  <c r="AT19" i="36"/>
  <c r="AX19" i="36"/>
  <c r="AB19" i="36"/>
  <c r="BQ19" i="36"/>
  <c r="AZ19" i="36"/>
  <c r="BG19" i="36"/>
  <c r="BH19" i="36"/>
  <c r="AU19" i="36"/>
  <c r="BK19" i="36"/>
  <c r="U19" i="36"/>
  <c r="P19" i="36"/>
  <c r="BU19" i="36"/>
  <c r="AN19" i="36"/>
  <c r="BJ19" i="36"/>
  <c r="C19" i="36"/>
  <c r="AF19" i="36"/>
  <c r="BT19" i="36"/>
  <c r="BX19" i="36"/>
  <c r="BL19" i="36"/>
  <c r="AR19" i="36"/>
  <c r="I19" i="36"/>
  <c r="W19" i="36"/>
  <c r="D19" i="36"/>
  <c r="BM19" i="36"/>
  <c r="AL19" i="36"/>
  <c r="J19" i="36"/>
  <c r="BA19" i="36"/>
  <c r="AH19" i="36"/>
  <c r="AA19" i="36"/>
  <c r="BD19" i="36"/>
  <c r="AS19" i="36"/>
  <c r="X19" i="36"/>
  <c r="AC22" i="36"/>
  <c r="AF22" i="36"/>
  <c r="V22" i="36"/>
  <c r="AE22" i="36"/>
  <c r="X22" i="36"/>
  <c r="BT22" i="36"/>
  <c r="BF22" i="36"/>
  <c r="S22" i="36"/>
  <c r="G22" i="36"/>
  <c r="BC22" i="36"/>
  <c r="Y22" i="36"/>
  <c r="AJ22" i="36"/>
  <c r="AX22" i="36"/>
  <c r="W22" i="36"/>
  <c r="AR22" i="36"/>
  <c r="N22" i="36"/>
  <c r="BA22" i="36"/>
  <c r="AV22" i="36"/>
  <c r="AP22" i="36"/>
  <c r="H22" i="36"/>
  <c r="BN22" i="36"/>
  <c r="M22" i="36"/>
  <c r="BQ14" i="36"/>
  <c r="BC14" i="36"/>
  <c r="AH14" i="36"/>
  <c r="BK22" i="36"/>
  <c r="BP22" i="36"/>
  <c r="AE14" i="36"/>
  <c r="BJ22" i="36"/>
  <c r="AU22" i="36"/>
  <c r="BD22" i="36"/>
  <c r="AI22" i="36"/>
  <c r="K22" i="36"/>
  <c r="E22" i="36"/>
  <c r="U22" i="36"/>
  <c r="P22" i="36"/>
  <c r="Q22" i="36"/>
  <c r="L22" i="36"/>
  <c r="BE22" i="36"/>
  <c r="F22" i="36"/>
  <c r="AW22" i="36"/>
  <c r="BG22" i="36"/>
  <c r="AD22" i="36"/>
  <c r="AZ22" i="36"/>
  <c r="AS22" i="36"/>
  <c r="AY22" i="36"/>
  <c r="D22" i="36"/>
  <c r="BL22" i="36"/>
  <c r="BI22" i="36"/>
  <c r="Z22" i="36"/>
  <c r="J22" i="36"/>
  <c r="BO22" i="36"/>
  <c r="AQ22" i="36"/>
  <c r="BH22" i="36"/>
  <c r="R22" i="36"/>
  <c r="I22" i="36"/>
  <c r="AT22" i="36"/>
  <c r="T22" i="36"/>
  <c r="C22" i="36"/>
  <c r="AN22" i="36"/>
  <c r="BM22" i="36"/>
  <c r="AH22" i="36"/>
  <c r="BB22" i="36"/>
  <c r="AB22" i="36"/>
  <c r="AW17" i="36"/>
  <c r="Y17" i="36"/>
  <c r="AV17" i="36"/>
  <c r="N17" i="36"/>
  <c r="W17" i="36"/>
  <c r="AU17" i="36"/>
  <c r="AM17" i="36"/>
  <c r="AA22" i="36"/>
  <c r="BP17" i="36"/>
  <c r="P17" i="36"/>
  <c r="AA17" i="36"/>
  <c r="AG22" i="36"/>
  <c r="BJ17" i="36"/>
  <c r="BX16" i="36"/>
  <c r="BR19" i="36"/>
  <c r="BO16" i="36"/>
  <c r="BW19" i="36"/>
  <c r="BN19" i="36"/>
  <c r="BV19" i="36"/>
  <c r="T16" i="36"/>
  <c r="BX17" i="36"/>
  <c r="BX14" i="36"/>
  <c r="G15" i="36"/>
  <c r="R15" i="36"/>
  <c r="AG15" i="36"/>
  <c r="E15" i="36"/>
  <c r="Z15" i="36"/>
  <c r="BL15" i="36"/>
  <c r="AP15" i="36"/>
  <c r="I15" i="36"/>
  <c r="Y15" i="36"/>
  <c r="W15" i="36"/>
  <c r="AO15" i="36"/>
  <c r="BG15" i="36"/>
  <c r="AH15" i="36"/>
  <c r="AW15" i="36"/>
  <c r="BB15" i="36"/>
  <c r="AU15" i="36"/>
  <c r="X15" i="36"/>
  <c r="AQ15" i="36"/>
  <c r="BI15" i="36"/>
  <c r="AC15" i="36"/>
  <c r="J15" i="36"/>
  <c r="U15" i="36"/>
  <c r="BP15" i="36"/>
  <c r="BM15" i="36"/>
  <c r="F15" i="36"/>
  <c r="BD15" i="36"/>
  <c r="BQ22" i="36"/>
  <c r="BQ15" i="36"/>
  <c r="BW14" i="36"/>
  <c r="BW17" i="36"/>
  <c r="BC17" i="36"/>
  <c r="K17" i="36"/>
  <c r="L17" i="36"/>
  <c r="D17" i="36"/>
  <c r="BT17" i="36"/>
  <c r="F17" i="36"/>
  <c r="AN17" i="36"/>
  <c r="V17" i="36"/>
  <c r="AQ17" i="36"/>
  <c r="AB17" i="36"/>
  <c r="AI17" i="36"/>
  <c r="Q15" i="36"/>
  <c r="E17" i="36"/>
  <c r="V15" i="36"/>
  <c r="G17" i="36"/>
  <c r="BR17" i="36"/>
  <c r="AV15" i="36"/>
  <c r="BD17" i="36"/>
  <c r="S15" i="36"/>
  <c r="AF17" i="36"/>
  <c r="BW15" i="36"/>
  <c r="BV17" i="36"/>
  <c r="AD17" i="36"/>
  <c r="BF17" i="36"/>
  <c r="AS17" i="36"/>
  <c r="O15" i="36"/>
  <c r="I17" i="36"/>
  <c r="AF15" i="36"/>
  <c r="AK17" i="36"/>
  <c r="AG17" i="36"/>
  <c r="BE17" i="36"/>
  <c r="BV15" i="36"/>
  <c r="AZ17" i="36"/>
  <c r="AY17" i="36"/>
  <c r="BN17" i="36"/>
  <c r="AC17" i="36"/>
  <c r="O17" i="36"/>
  <c r="BA17" i="36"/>
  <c r="T15" i="36"/>
  <c r="M17" i="36"/>
  <c r="BI17" i="36"/>
  <c r="AA15" i="36"/>
  <c r="P15" i="36"/>
  <c r="AM15" i="36"/>
  <c r="BL17" i="36"/>
  <c r="AO17" i="36"/>
  <c r="AJ15" i="36"/>
  <c r="BB17" i="36"/>
  <c r="BQ17" i="36"/>
  <c r="J17" i="36"/>
  <c r="BO15" i="36"/>
  <c r="R17" i="36"/>
  <c r="BG17" i="36"/>
  <c r="AH17" i="36"/>
  <c r="AE15" i="36"/>
  <c r="BA15" i="36"/>
  <c r="BH15" i="36"/>
  <c r="AT15" i="36"/>
  <c r="AL17" i="36"/>
  <c r="BO17" i="36"/>
  <c r="BW22" i="36"/>
  <c r="S17" i="36"/>
  <c r="BM17" i="36"/>
  <c r="AN15" i="36"/>
  <c r="BN15" i="36"/>
  <c r="BK17" i="36"/>
  <c r="AY15" i="36"/>
  <c r="AE17" i="36"/>
  <c r="BH17" i="36"/>
  <c r="AX17" i="36"/>
  <c r="C17" i="36"/>
  <c r="AP17" i="36"/>
  <c r="X17" i="36"/>
  <c r="BV22" i="36"/>
  <c r="AT17" i="36"/>
  <c r="K15" i="36"/>
  <c r="U17" i="36"/>
  <c r="BK15" i="36"/>
  <c r="AI15" i="36"/>
  <c r="BJ15" i="36"/>
  <c r="H15" i="36"/>
  <c r="AR17" i="36"/>
  <c r="Q17" i="36"/>
  <c r="Z17" i="36"/>
  <c r="M15" i="36"/>
  <c r="BU22" i="36"/>
  <c r="BV14" i="36"/>
  <c r="AN24" i="36"/>
  <c r="Y24" i="36"/>
  <c r="BK24" i="36"/>
  <c r="BP24" i="36"/>
  <c r="I24" i="36"/>
  <c r="AZ24" i="36"/>
  <c r="T24" i="36"/>
  <c r="AV24" i="36"/>
  <c r="O24" i="36"/>
  <c r="BF24" i="36"/>
  <c r="AH24" i="36"/>
  <c r="AI24" i="36"/>
  <c r="M24" i="36"/>
  <c r="AW24" i="36"/>
  <c r="AU24" i="36"/>
  <c r="BA24" i="36"/>
  <c r="BH24" i="36"/>
  <c r="BB24" i="36"/>
  <c r="V24" i="36"/>
  <c r="AT24" i="36"/>
  <c r="BI24" i="36"/>
  <c r="Q24" i="36"/>
  <c r="T17" i="36"/>
  <c r="BS15" i="36"/>
  <c r="BU17" i="36"/>
  <c r="BS22" i="36"/>
  <c r="G24" i="36"/>
  <c r="AR24" i="36"/>
  <c r="BO24" i="36"/>
  <c r="AS24" i="36"/>
  <c r="D24" i="36"/>
  <c r="BR22" i="36"/>
  <c r="C24" i="36"/>
  <c r="AE24" i="36"/>
  <c r="E24" i="36"/>
  <c r="AG24" i="36"/>
  <c r="AQ24" i="36"/>
  <c r="AJ24" i="36"/>
  <c r="AJ17" i="36"/>
  <c r="BX15" i="36"/>
  <c r="BS17" i="36"/>
  <c r="BX22" i="36"/>
  <c r="BS21" i="36"/>
  <c r="BS14" i="36"/>
  <c r="AX18" i="36"/>
  <c r="AR18" i="36"/>
  <c r="W18" i="36"/>
  <c r="U18" i="36"/>
  <c r="H18" i="36"/>
  <c r="Y18" i="36"/>
  <c r="AD21" i="36"/>
  <c r="BR21" i="36"/>
  <c r="G18" i="36"/>
  <c r="AK18" i="36"/>
  <c r="AT18" i="36"/>
  <c r="AE18" i="36"/>
  <c r="BM18" i="36"/>
  <c r="T18" i="36"/>
  <c r="AI18" i="36"/>
  <c r="BG18" i="36"/>
  <c r="H24" i="36"/>
  <c r="BS18" i="36"/>
  <c r="BV24" i="36"/>
  <c r="BW21" i="36"/>
  <c r="X18" i="36"/>
  <c r="L18" i="36"/>
  <c r="BA18" i="36"/>
  <c r="BR18" i="36"/>
  <c r="BU24" i="36"/>
  <c r="BX21" i="36"/>
  <c r="Z18" i="36"/>
  <c r="BJ21" i="36"/>
  <c r="AB18" i="36"/>
  <c r="AM18" i="36"/>
  <c r="AW18" i="36"/>
  <c r="P24" i="36"/>
  <c r="G16" i="36"/>
  <c r="F24" i="36"/>
  <c r="M18" i="36"/>
  <c r="AX24" i="36"/>
  <c r="U24" i="36"/>
  <c r="W16" i="36"/>
  <c r="BL18" i="36"/>
  <c r="AF18" i="36"/>
  <c r="AM24" i="36"/>
  <c r="W24" i="36"/>
  <c r="BC18" i="36"/>
  <c r="AZ21" i="36"/>
  <c r="AC24" i="36"/>
  <c r="AZ15" i="36"/>
  <c r="G21" i="36"/>
  <c r="Z16" i="36"/>
  <c r="AJ16" i="36"/>
  <c r="AD15" i="36"/>
  <c r="AL15" i="36"/>
  <c r="Z21" i="36"/>
  <c r="D15" i="36"/>
  <c r="U14" i="36"/>
  <c r="L15" i="36"/>
  <c r="BC15" i="36"/>
  <c r="BR15" i="36"/>
  <c r="BW18" i="36"/>
  <c r="BT24" i="36"/>
  <c r="BV21" i="36"/>
  <c r="AG18" i="36"/>
  <c r="O21" i="36"/>
  <c r="AC18" i="36"/>
  <c r="N21" i="36"/>
  <c r="L24" i="36"/>
  <c r="AB24" i="36"/>
  <c r="Y21" i="36"/>
  <c r="S18" i="36"/>
  <c r="S21" i="36"/>
  <c r="O18" i="36"/>
  <c r="BL24" i="36"/>
  <c r="V18" i="36"/>
  <c r="R24" i="36"/>
  <c r="AB21" i="36"/>
  <c r="AN18" i="36"/>
  <c r="AI21" i="36"/>
  <c r="AU16" i="36"/>
  <c r="BC21" i="36"/>
  <c r="BG21" i="36"/>
  <c r="BX18" i="36"/>
  <c r="BU21" i="36"/>
  <c r="A105" i="20"/>
  <c r="B104" i="20"/>
  <c r="C104" i="20"/>
  <c r="D104" i="20"/>
  <c r="E104" i="20"/>
  <c r="L101" i="39"/>
  <c r="X101" i="39"/>
  <c r="G101" i="39"/>
  <c r="AB101" i="39"/>
  <c r="AS101" i="39" s="1"/>
  <c r="N101" i="39"/>
  <c r="Y101" i="39"/>
  <c r="AA101" i="39"/>
  <c r="F101" i="39"/>
  <c r="V101" i="39"/>
  <c r="I101" i="39"/>
  <c r="M101" i="39"/>
  <c r="J101" i="39"/>
  <c r="Z101" i="39"/>
  <c r="H101" i="39"/>
  <c r="K101" i="39"/>
  <c r="BV18" i="36"/>
  <c r="K18" i="36"/>
  <c r="BF18" i="36"/>
  <c r="I21" i="36"/>
  <c r="AS18" i="36"/>
  <c r="AO24" i="36"/>
  <c r="AJ21" i="36"/>
  <c r="X21" i="36"/>
  <c r="BU18" i="36"/>
  <c r="AL18" i="36"/>
  <c r="AX21" i="36"/>
  <c r="AZ18" i="36"/>
  <c r="R21" i="36"/>
  <c r="D18" i="36"/>
  <c r="AD18" i="36"/>
  <c r="AO18" i="36"/>
  <c r="S24" i="36"/>
  <c r="BC24" i="36"/>
  <c r="AP18" i="36"/>
  <c r="R18" i="36"/>
  <c r="AF24" i="36"/>
  <c r="P16" i="36"/>
  <c r="AK16" i="36"/>
  <c r="P21" i="36"/>
  <c r="BD18" i="36"/>
  <c r="AY18" i="36"/>
  <c r="M21" i="36"/>
  <c r="Z24" i="36"/>
  <c r="F18" i="36"/>
  <c r="S16" i="36"/>
  <c r="Y16" i="36"/>
  <c r="BN18" i="36"/>
  <c r="AD24" i="36"/>
  <c r="E21" i="36"/>
  <c r="AY21" i="36"/>
  <c r="N18" i="36"/>
  <c r="J18" i="36"/>
  <c r="K21" i="36"/>
  <c r="AF16" i="36"/>
  <c r="U21" i="36"/>
  <c r="N15" i="36"/>
  <c r="AB15" i="36"/>
  <c r="AS16" i="36"/>
  <c r="BE16" i="36"/>
  <c r="BF16" i="36"/>
  <c r="AY16" i="36"/>
  <c r="N16" i="36"/>
  <c r="BK14" i="36"/>
  <c r="AS15" i="36"/>
  <c r="C14" i="36"/>
  <c r="BA14" i="36"/>
  <c r="U16" i="36"/>
  <c r="C15" i="36"/>
  <c r="BW16" i="36"/>
  <c r="BU15" i="36"/>
  <c r="BT18" i="36"/>
  <c r="BU14" i="36"/>
  <c r="BJ18" i="36"/>
  <c r="AQ18" i="36"/>
  <c r="AU18" i="36"/>
  <c r="AY24" i="36"/>
  <c r="AH21" i="36"/>
  <c r="BP21" i="36"/>
  <c r="I18" i="36"/>
  <c r="AO21" i="36"/>
  <c r="BJ24" i="36"/>
  <c r="BH21" i="36"/>
  <c r="N24" i="36"/>
  <c r="AJ18" i="36"/>
  <c r="BH18" i="36"/>
  <c r="BK18" i="36"/>
  <c r="J24" i="36"/>
  <c r="J21" i="36"/>
  <c r="BB18" i="36"/>
  <c r="BA16" i="36"/>
  <c r="AL16" i="36"/>
  <c r="AR15" i="36"/>
  <c r="BA21" i="36"/>
  <c r="BF15" i="36"/>
  <c r="AK15" i="36"/>
  <c r="AX15" i="36"/>
  <c r="BB16" i="36"/>
  <c r="BV16" i="36"/>
  <c r="BT15" i="36"/>
  <c r="BQ24" i="36"/>
  <c r="BT14" i="36"/>
  <c r="Q18" i="36"/>
  <c r="AV18" i="36"/>
  <c r="P18" i="36"/>
  <c r="BQ18" i="36"/>
  <c r="E18" i="36"/>
  <c r="C18" i="36"/>
  <c r="BP18" i="36"/>
  <c r="L21" i="36"/>
  <c r="BO21" i="36"/>
  <c r="BE24" i="36"/>
  <c r="AH18" i="36"/>
  <c r="X24" i="36"/>
  <c r="BN24" i="36"/>
  <c r="AK24" i="36"/>
  <c r="BO18" i="36"/>
  <c r="AA24" i="36"/>
  <c r="AQ21" i="36"/>
  <c r="BM24" i="36"/>
  <c r="AL21" i="36"/>
  <c r="BE18" i="36"/>
  <c r="K24" i="36"/>
  <c r="AL24" i="36"/>
  <c r="BG24" i="36"/>
  <c r="AP24" i="36"/>
  <c r="AW16" i="36"/>
  <c r="BK16" i="36"/>
  <c r="Q16" i="36"/>
  <c r="AG16" i="36"/>
  <c r="AB16" i="36"/>
  <c r="AT16" i="36"/>
  <c r="AD16" i="36"/>
  <c r="AC16" i="36"/>
  <c r="AP16" i="36"/>
  <c r="BT16" i="36"/>
  <c r="BR14" i="36"/>
  <c r="BS24" i="36"/>
  <c r="BR24" i="36"/>
  <c r="BU20" i="36"/>
  <c r="BT20" i="36"/>
  <c r="BT21" i="36"/>
  <c r="BA25" i="36"/>
  <c r="L25" i="36"/>
  <c r="AA25" i="36"/>
  <c r="BH25" i="36"/>
  <c r="AL25" i="36"/>
  <c r="K25" i="36"/>
  <c r="Y25" i="36"/>
  <c r="T25" i="36"/>
  <c r="E25" i="36"/>
  <c r="X25" i="36"/>
  <c r="BB25" i="36"/>
  <c r="BN25" i="36"/>
  <c r="AJ25" i="36"/>
  <c r="AE25" i="36"/>
  <c r="W25" i="36"/>
  <c r="AR25" i="36"/>
  <c r="BE25" i="36"/>
  <c r="AW25" i="36"/>
  <c r="AT25" i="36"/>
  <c r="AD25" i="36"/>
  <c r="H25" i="36"/>
  <c r="AY25" i="36"/>
  <c r="U25" i="36"/>
  <c r="O25" i="36"/>
  <c r="BL25" i="36"/>
  <c r="AK25" i="36"/>
  <c r="AS25" i="36"/>
  <c r="BR25" i="36"/>
  <c r="AO25" i="36"/>
  <c r="M25" i="36"/>
  <c r="AV25" i="36"/>
  <c r="AZ25" i="36"/>
  <c r="AM25" i="36"/>
  <c r="N25" i="36"/>
  <c r="G25" i="36"/>
  <c r="BP25" i="36"/>
  <c r="F25" i="36"/>
  <c r="AP25" i="36"/>
  <c r="AI25" i="36"/>
  <c r="Q25" i="36"/>
  <c r="AH25" i="36"/>
  <c r="BC25" i="36"/>
  <c r="S25" i="36"/>
  <c r="AC25" i="36"/>
  <c r="C25" i="36"/>
  <c r="BX25" i="36"/>
  <c r="BJ25" i="36"/>
  <c r="AG25" i="36"/>
  <c r="J25" i="36"/>
  <c r="D25" i="36"/>
  <c r="BK25" i="36"/>
  <c r="AF25" i="36"/>
  <c r="AB25" i="36"/>
  <c r="I25" i="36"/>
  <c r="BO25" i="36"/>
  <c r="BD25" i="36"/>
  <c r="BG25" i="36"/>
  <c r="BF25" i="36"/>
  <c r="V25" i="36"/>
  <c r="AX25" i="36"/>
  <c r="AN25" i="36"/>
  <c r="BM25" i="36"/>
  <c r="R25" i="36"/>
  <c r="Z25" i="36"/>
  <c r="AQ25" i="36"/>
  <c r="BI25" i="36"/>
  <c r="AK21" i="36"/>
  <c r="BW24" i="36"/>
  <c r="BS20" i="36"/>
  <c r="AE20" i="36"/>
  <c r="R20" i="36"/>
  <c r="BR20" i="36"/>
  <c r="AV20" i="36"/>
  <c r="AS20" i="36"/>
  <c r="AM20" i="36"/>
  <c r="AT20" i="36"/>
  <c r="E20" i="36"/>
  <c r="L20" i="36"/>
  <c r="AZ20" i="36"/>
  <c r="G20" i="36"/>
  <c r="AG20" i="36"/>
  <c r="H20" i="36"/>
  <c r="Y20" i="36"/>
  <c r="BL20" i="36"/>
  <c r="AH20" i="36"/>
  <c r="BK20" i="36"/>
  <c r="J20" i="36"/>
  <c r="AN20" i="36"/>
  <c r="S20" i="36"/>
  <c r="X20" i="36"/>
  <c r="BN20" i="36"/>
  <c r="K20" i="36"/>
  <c r="AX20" i="36"/>
  <c r="V20" i="36"/>
  <c r="AW20" i="36"/>
  <c r="BX20" i="36"/>
  <c r="AY20" i="36"/>
  <c r="BF20" i="36"/>
  <c r="AL20" i="36"/>
  <c r="BJ20" i="36"/>
  <c r="AD20" i="36"/>
  <c r="BQ20" i="36"/>
  <c r="BW20" i="36"/>
  <c r="AU20" i="36"/>
  <c r="P20" i="36"/>
  <c r="BH20" i="36"/>
  <c r="BO20" i="36"/>
  <c r="AO20" i="36"/>
  <c r="AC20" i="36"/>
  <c r="AI20" i="36"/>
  <c r="BP20" i="36"/>
  <c r="AJ20" i="36"/>
  <c r="AA20" i="36"/>
  <c r="BX24" i="36"/>
  <c r="BW25" i="36"/>
  <c r="BQ25" i="36"/>
  <c r="BV25" i="36"/>
  <c r="BU25" i="36"/>
  <c r="BT25" i="36"/>
  <c r="BS25" i="36"/>
  <c r="BT26" i="36"/>
  <c r="BS26" i="36"/>
  <c r="AI26" i="36"/>
  <c r="BQ26" i="36"/>
  <c r="BV26" i="36"/>
  <c r="BX26" i="36"/>
  <c r="BW26" i="36"/>
  <c r="BR26" i="36"/>
  <c r="V26" i="36"/>
  <c r="BD26" i="36"/>
  <c r="BG26" i="36"/>
  <c r="AS26" i="36"/>
  <c r="BH26" i="36"/>
  <c r="H26" i="36"/>
  <c r="BM26" i="36"/>
  <c r="T26" i="36"/>
  <c r="AX26" i="36"/>
  <c r="BO26" i="36"/>
  <c r="AM26" i="36"/>
  <c r="BL26" i="36"/>
  <c r="AP26" i="36"/>
  <c r="AV26" i="36"/>
  <c r="M26" i="36"/>
  <c r="BI26" i="36"/>
  <c r="AW26" i="36"/>
  <c r="Q26" i="36"/>
  <c r="BP26" i="36"/>
  <c r="AF26" i="36"/>
  <c r="D26" i="36"/>
  <c r="AB26" i="36"/>
  <c r="N26" i="36"/>
  <c r="BA26" i="36"/>
  <c r="K26" i="36"/>
  <c r="J26" i="36"/>
  <c r="BB26" i="36"/>
  <c r="BF26" i="36"/>
  <c r="AK26" i="36"/>
  <c r="O26" i="36"/>
  <c r="AJ26" i="36"/>
  <c r="AY26" i="36"/>
  <c r="AR26" i="36"/>
  <c r="BN26" i="36"/>
  <c r="AE26" i="36"/>
  <c r="P26" i="36"/>
  <c r="AU26" i="36"/>
  <c r="S26" i="36"/>
  <c r="R26" i="36"/>
  <c r="AZ26" i="36"/>
  <c r="BJ26" i="36"/>
  <c r="X26" i="36"/>
  <c r="G26" i="36"/>
  <c r="Y26" i="36"/>
  <c r="AH26" i="36"/>
  <c r="W26" i="36"/>
  <c r="L26" i="36"/>
  <c r="AC26" i="36"/>
  <c r="AL26" i="36"/>
  <c r="AO26" i="36"/>
  <c r="BC26" i="36"/>
  <c r="AA26" i="36"/>
  <c r="Z26" i="36"/>
  <c r="AG26" i="36"/>
  <c r="AQ26" i="36"/>
  <c r="F26" i="36"/>
  <c r="E26" i="36"/>
  <c r="I26" i="36"/>
  <c r="BK26" i="36"/>
  <c r="AN26" i="36"/>
  <c r="C26" i="36"/>
  <c r="BE26" i="36"/>
  <c r="AT26" i="36"/>
  <c r="U26" i="36"/>
  <c r="AD26" i="36"/>
  <c r="AR245" i="39"/>
  <c r="AD245" i="39"/>
  <c r="AH245" i="39"/>
  <c r="AG245" i="39"/>
  <c r="AC245" i="39"/>
  <c r="AF245" i="39"/>
  <c r="AE245" i="39"/>
  <c r="B246" i="39"/>
  <c r="E246" i="39"/>
  <c r="A247" i="39"/>
  <c r="D246" i="39"/>
  <c r="C246" i="39"/>
  <c r="BY27" i="35" l="1"/>
  <c r="BB28" i="35"/>
  <c r="G102" i="39"/>
  <c r="H28" i="35"/>
  <c r="AF28" i="35"/>
  <c r="AO28" i="35"/>
  <c r="I28" i="35"/>
  <c r="AJ28" i="35"/>
  <c r="W28" i="35"/>
  <c r="AK28" i="35"/>
  <c r="R28" i="35"/>
  <c r="BW28" i="35"/>
  <c r="BP28" i="35"/>
  <c r="BI28" i="35"/>
  <c r="T28" i="35"/>
  <c r="BN28" i="35"/>
  <c r="AV28" i="35"/>
  <c r="BM28" i="35"/>
  <c r="V102" i="39"/>
  <c r="AT29" i="35"/>
  <c r="BU28" i="35"/>
  <c r="AD28" i="35"/>
  <c r="BX28" i="35"/>
  <c r="AI28" i="35"/>
  <c r="S28" i="35"/>
  <c r="J28" i="35"/>
  <c r="X28" i="35"/>
  <c r="H102" i="39"/>
  <c r="Y28" i="35"/>
  <c r="BG28" i="35"/>
  <c r="AP28" i="35"/>
  <c r="J102" i="39"/>
  <c r="V28" i="35"/>
  <c r="AG28" i="35"/>
  <c r="AC28" i="35"/>
  <c r="BD28" i="35"/>
  <c r="BJ28" i="35"/>
  <c r="BT28" i="35"/>
  <c r="Q28" i="35"/>
  <c r="AY28" i="35"/>
  <c r="N28" i="35"/>
  <c r="BK28" i="35"/>
  <c r="BO28" i="35"/>
  <c r="AZ28" i="35"/>
  <c r="BE28" i="35"/>
  <c r="AS28" i="35"/>
  <c r="F28" i="35"/>
  <c r="C28" i="35"/>
  <c r="AM28" i="35"/>
  <c r="BL28" i="35"/>
  <c r="M29" i="35"/>
  <c r="AA102" i="39"/>
  <c r="BF28" i="35"/>
  <c r="BA28" i="35"/>
  <c r="AE28" i="35"/>
  <c r="AT28" i="35"/>
  <c r="AX28" i="35"/>
  <c r="D29" i="35"/>
  <c r="AU28" i="35"/>
  <c r="K28" i="35"/>
  <c r="G28" i="35"/>
  <c r="Z28" i="35"/>
  <c r="AR28" i="35"/>
  <c r="M28" i="35"/>
  <c r="BH28" i="35"/>
  <c r="U28" i="35"/>
  <c r="X102" i="39"/>
  <c r="BC28" i="35"/>
  <c r="O28" i="35"/>
  <c r="L28" i="35"/>
  <c r="BV28" i="35"/>
  <c r="BQ28" i="35"/>
  <c r="AL28" i="35"/>
  <c r="AN28" i="35"/>
  <c r="L102" i="39"/>
  <c r="AW28" i="35"/>
  <c r="BR28" i="35"/>
  <c r="AA28" i="35"/>
  <c r="AQ28" i="35"/>
  <c r="AB28" i="35"/>
  <c r="D28" i="35"/>
  <c r="P28" i="35"/>
  <c r="AH28" i="35"/>
  <c r="BS28" i="35"/>
  <c r="E28" i="35"/>
  <c r="AR29" i="35"/>
  <c r="B105" i="20"/>
  <c r="E105" i="20"/>
  <c r="D105" i="20"/>
  <c r="C105" i="20"/>
  <c r="A106" i="20"/>
  <c r="I102" i="39"/>
  <c r="N103" i="39"/>
  <c r="Y102" i="39"/>
  <c r="Z103" i="39"/>
  <c r="F102" i="39"/>
  <c r="I103" i="39"/>
  <c r="Z102" i="39"/>
  <c r="AB102" i="39"/>
  <c r="AS102" i="39" s="1"/>
  <c r="J103" i="39"/>
  <c r="K102" i="39"/>
  <c r="F103" i="39"/>
  <c r="AB103" i="39"/>
  <c r="AS103" i="39" s="1"/>
  <c r="M102" i="39"/>
  <c r="N102" i="39"/>
  <c r="O101" i="39"/>
  <c r="Q101" i="39"/>
  <c r="R101" i="39"/>
  <c r="U101" i="39"/>
  <c r="W101" i="39"/>
  <c r="R102" i="39"/>
  <c r="Q102" i="39"/>
  <c r="O102" i="39"/>
  <c r="W102" i="39"/>
  <c r="AR246" i="39"/>
  <c r="AD246" i="39"/>
  <c r="AH246" i="39"/>
  <c r="AG246" i="39"/>
  <c r="AF246" i="39"/>
  <c r="AE246" i="39"/>
  <c r="AC246" i="39"/>
  <c r="E247" i="39"/>
  <c r="A248" i="39"/>
  <c r="D247" i="39"/>
  <c r="C247" i="39"/>
  <c r="B247" i="39"/>
  <c r="AV27" i="36" l="1"/>
  <c r="AM27" i="36"/>
  <c r="S27" i="36"/>
  <c r="AN27" i="36"/>
  <c r="H27" i="36"/>
  <c r="AT27" i="36"/>
  <c r="AP27" i="36"/>
  <c r="BB27" i="36"/>
  <c r="BT27" i="36"/>
  <c r="J27" i="36"/>
  <c r="AC27" i="36"/>
  <c r="AY27" i="36"/>
  <c r="AB27" i="36"/>
  <c r="W27" i="36"/>
  <c r="BU27" i="36"/>
  <c r="BF27" i="36"/>
  <c r="AX27" i="36"/>
  <c r="BI27" i="36"/>
  <c r="AZ27" i="36"/>
  <c r="BA27" i="36"/>
  <c r="BV27" i="36"/>
  <c r="AW27" i="36"/>
  <c r="BK27" i="36"/>
  <c r="V27" i="36"/>
  <c r="AL27" i="36"/>
  <c r="BN27" i="36"/>
  <c r="AG27" i="36"/>
  <c r="AI27" i="36"/>
  <c r="AJ27" i="36"/>
  <c r="BM27" i="36"/>
  <c r="U27" i="36"/>
  <c r="G27" i="36"/>
  <c r="AR27" i="36"/>
  <c r="AF27" i="36"/>
  <c r="AK27" i="36"/>
  <c r="BW27" i="36"/>
  <c r="BP27" i="36"/>
  <c r="AU27" i="36"/>
  <c r="L27" i="36"/>
  <c r="BD27" i="36"/>
  <c r="P27" i="36"/>
  <c r="BL27" i="36"/>
  <c r="BS27" i="36"/>
  <c r="BJ27" i="36"/>
  <c r="AH27" i="36"/>
  <c r="K27" i="36"/>
  <c r="T27" i="36"/>
  <c r="N27" i="36"/>
  <c r="O27" i="36"/>
  <c r="R27" i="36"/>
  <c r="AO27" i="36"/>
  <c r="AD27" i="36"/>
  <c r="X27" i="36"/>
  <c r="M27" i="36"/>
  <c r="Y27" i="36"/>
  <c r="C27" i="36"/>
  <c r="AE27" i="36"/>
  <c r="BQ27" i="36"/>
  <c r="D27" i="36"/>
  <c r="E27" i="36"/>
  <c r="F27" i="36"/>
  <c r="Q27" i="36"/>
  <c r="BC27" i="36"/>
  <c r="BH27" i="36"/>
  <c r="BE27" i="36"/>
  <c r="AS27" i="36"/>
  <c r="AA27" i="36"/>
  <c r="BG27" i="36"/>
  <c r="BO27" i="36"/>
  <c r="BY28" i="35"/>
  <c r="BB28" i="36" s="1"/>
  <c r="BR27" i="36"/>
  <c r="AQ27" i="36"/>
  <c r="I27" i="36"/>
  <c r="BX27" i="36"/>
  <c r="Z27" i="36"/>
  <c r="L29" i="35"/>
  <c r="BP29" i="35"/>
  <c r="S29" i="35"/>
  <c r="AJ29" i="35"/>
  <c r="J29" i="35"/>
  <c r="BC29" i="35"/>
  <c r="AO29" i="35"/>
  <c r="BT29" i="35"/>
  <c r="AI29" i="35"/>
  <c r="BR29" i="35"/>
  <c r="BB29" i="35"/>
  <c r="BS29" i="35"/>
  <c r="AH29" i="35"/>
  <c r="I29" i="35"/>
  <c r="E29" i="35"/>
  <c r="AF29" i="35"/>
  <c r="T29" i="35"/>
  <c r="F29" i="35"/>
  <c r="AA29" i="35"/>
  <c r="BD29" i="35"/>
  <c r="AS29" i="35"/>
  <c r="AL29" i="35"/>
  <c r="BO29" i="35"/>
  <c r="AX29" i="35"/>
  <c r="BE29" i="35"/>
  <c r="BW29" i="35"/>
  <c r="BX29" i="35"/>
  <c r="BH29" i="35"/>
  <c r="AY29" i="35"/>
  <c r="N29" i="35"/>
  <c r="AG29" i="35"/>
  <c r="Y29" i="35"/>
  <c r="BU29" i="35"/>
  <c r="V29" i="35"/>
  <c r="U29" i="35"/>
  <c r="BL29" i="35"/>
  <c r="BG29" i="35"/>
  <c r="AW29" i="35"/>
  <c r="BJ29" i="35"/>
  <c r="AD29" i="35"/>
  <c r="AU29" i="35"/>
  <c r="AC29" i="35"/>
  <c r="W29" i="35"/>
  <c r="R29" i="35"/>
  <c r="BA29" i="35"/>
  <c r="AK29" i="35"/>
  <c r="Q29" i="35"/>
  <c r="AE29" i="35"/>
  <c r="BK29" i="35"/>
  <c r="AV29" i="35"/>
  <c r="AZ29" i="35"/>
  <c r="AP29" i="35"/>
  <c r="AB29" i="35"/>
  <c r="P29" i="35"/>
  <c r="AQ29" i="35"/>
  <c r="BQ29" i="35"/>
  <c r="BV29" i="35"/>
  <c r="X29" i="35"/>
  <c r="H29" i="35"/>
  <c r="BF29" i="35"/>
  <c r="AM29" i="35"/>
  <c r="AN29" i="35"/>
  <c r="K29" i="35"/>
  <c r="BI29" i="35"/>
  <c r="BN29" i="35"/>
  <c r="C29" i="35"/>
  <c r="G29" i="35"/>
  <c r="O29" i="35"/>
  <c r="BM29" i="35"/>
  <c r="Z29" i="35"/>
  <c r="U102" i="39"/>
  <c r="D106" i="20"/>
  <c r="B106" i="20"/>
  <c r="E106" i="20"/>
  <c r="C106" i="20"/>
  <c r="A107" i="20"/>
  <c r="AA103" i="39"/>
  <c r="H103" i="39"/>
  <c r="Y103" i="39"/>
  <c r="V103" i="39"/>
  <c r="L103" i="39"/>
  <c r="M103" i="39"/>
  <c r="G103" i="39"/>
  <c r="X103" i="39"/>
  <c r="K103" i="39"/>
  <c r="AR247" i="39"/>
  <c r="AD247" i="39"/>
  <c r="AH247" i="39"/>
  <c r="AF247" i="39"/>
  <c r="AG247" i="39"/>
  <c r="AE247" i="39"/>
  <c r="AC247" i="39"/>
  <c r="E248" i="39"/>
  <c r="A249" i="39"/>
  <c r="D248" i="39"/>
  <c r="C248" i="39"/>
  <c r="B248" i="39"/>
  <c r="AE28" i="36" l="1"/>
  <c r="AZ28" i="36"/>
  <c r="BO28" i="36"/>
  <c r="O28" i="36"/>
  <c r="AG28" i="36"/>
  <c r="AU28" i="36"/>
  <c r="BJ28" i="36"/>
  <c r="BF28" i="36"/>
  <c r="AS28" i="36"/>
  <c r="BV28" i="36"/>
  <c r="AM28" i="36"/>
  <c r="AR28" i="36"/>
  <c r="I28" i="36"/>
  <c r="W28" i="36"/>
  <c r="G28" i="36"/>
  <c r="BH28" i="36"/>
  <c r="AF28" i="36"/>
  <c r="BU28" i="36"/>
  <c r="L28" i="36"/>
  <c r="BW28" i="36"/>
  <c r="AL28" i="36"/>
  <c r="AP28" i="36"/>
  <c r="AV28" i="36"/>
  <c r="V28" i="36"/>
  <c r="P28" i="36"/>
  <c r="AI28" i="36"/>
  <c r="T28" i="36"/>
  <c r="Y28" i="36"/>
  <c r="AJ28" i="36"/>
  <c r="BE28" i="36"/>
  <c r="BR28" i="36"/>
  <c r="BD28" i="36"/>
  <c r="AA28" i="36"/>
  <c r="X28" i="36"/>
  <c r="N28" i="36"/>
  <c r="AX28" i="36"/>
  <c r="AQ28" i="36"/>
  <c r="C28" i="36"/>
  <c r="BI28" i="36"/>
  <c r="Q28" i="36"/>
  <c r="AO28" i="36"/>
  <c r="J28" i="36"/>
  <c r="H28" i="36"/>
  <c r="BM28" i="36"/>
  <c r="AT28" i="36"/>
  <c r="D28" i="36"/>
  <c r="R28" i="36"/>
  <c r="K28" i="36"/>
  <c r="BT28" i="36"/>
  <c r="BN28" i="36"/>
  <c r="BG28" i="36"/>
  <c r="BC28" i="36"/>
  <c r="BX28" i="36"/>
  <c r="BQ28" i="36"/>
  <c r="BL28" i="36"/>
  <c r="AY28" i="36"/>
  <c r="BK28" i="36"/>
  <c r="BY29" i="35"/>
  <c r="S29" i="36" s="1"/>
  <c r="AB28" i="36"/>
  <c r="AK28" i="36"/>
  <c r="AC28" i="36"/>
  <c r="BS28" i="36"/>
  <c r="BP28" i="36"/>
  <c r="Z28" i="36"/>
  <c r="M28" i="36"/>
  <c r="BA28" i="36"/>
  <c r="AH28" i="36"/>
  <c r="AD28" i="36"/>
  <c r="F28" i="36"/>
  <c r="E28" i="36"/>
  <c r="S28" i="36"/>
  <c r="AN28" i="36"/>
  <c r="AW28" i="36"/>
  <c r="U28" i="36"/>
  <c r="F104" i="39"/>
  <c r="H30" i="35"/>
  <c r="BV30" i="35"/>
  <c r="AX30" i="35"/>
  <c r="R30" i="35"/>
  <c r="AM31" i="35"/>
  <c r="AY30" i="35"/>
  <c r="BE30" i="35"/>
  <c r="BG30" i="35"/>
  <c r="BS30" i="35"/>
  <c r="G104" i="39"/>
  <c r="AS31" i="35"/>
  <c r="BH30" i="35"/>
  <c r="T30" i="35"/>
  <c r="AS30" i="35"/>
  <c r="BC30" i="35"/>
  <c r="S30" i="35"/>
  <c r="AI31" i="35"/>
  <c r="AP30" i="35"/>
  <c r="C30" i="35"/>
  <c r="G30" i="35"/>
  <c r="BM31" i="35"/>
  <c r="L30" i="35"/>
  <c r="J30" i="35"/>
  <c r="T31" i="35"/>
  <c r="V30" i="35"/>
  <c r="BA30" i="35"/>
  <c r="AM30" i="35"/>
  <c r="AF30" i="35"/>
  <c r="W30" i="35"/>
  <c r="AL30" i="35"/>
  <c r="BU30" i="35"/>
  <c r="P30" i="35"/>
  <c r="O30" i="35"/>
  <c r="X104" i="39"/>
  <c r="N30" i="35"/>
  <c r="BJ30" i="35"/>
  <c r="AW30" i="35"/>
  <c r="BW30" i="35"/>
  <c r="Q30" i="35"/>
  <c r="BF30" i="35"/>
  <c r="AT30" i="35"/>
  <c r="AQ30" i="35"/>
  <c r="BK30" i="35"/>
  <c r="AU30" i="35"/>
  <c r="BI30" i="35"/>
  <c r="BN31" i="35"/>
  <c r="BX30" i="35"/>
  <c r="K104" i="39"/>
  <c r="V104" i="39"/>
  <c r="BQ30" i="35"/>
  <c r="I30" i="35"/>
  <c r="AZ30" i="35"/>
  <c r="AB30" i="35"/>
  <c r="U30" i="35"/>
  <c r="D30" i="35"/>
  <c r="AJ30" i="35"/>
  <c r="BL30" i="35"/>
  <c r="AR30" i="35"/>
  <c r="BN30" i="35"/>
  <c r="AG30" i="35"/>
  <c r="X30" i="35"/>
  <c r="BM30" i="35"/>
  <c r="AH30" i="35"/>
  <c r="M30" i="35"/>
  <c r="AB104" i="39"/>
  <c r="AS104" i="39" s="1"/>
  <c r="Z104" i="39"/>
  <c r="AN30" i="35"/>
  <c r="AD30" i="35"/>
  <c r="AV30" i="35"/>
  <c r="BP30" i="35"/>
  <c r="F30" i="35"/>
  <c r="Y30" i="35"/>
  <c r="AO30" i="35"/>
  <c r="AA104" i="39"/>
  <c r="M104" i="39"/>
  <c r="U31" i="35"/>
  <c r="BB30" i="35"/>
  <c r="AE30" i="35"/>
  <c r="AK30" i="35"/>
  <c r="G31" i="35"/>
  <c r="BD30" i="35"/>
  <c r="K30" i="35"/>
  <c r="BT30" i="35"/>
  <c r="BO30" i="35"/>
  <c r="AY31" i="35"/>
  <c r="BG31" i="35"/>
  <c r="BR30" i="35"/>
  <c r="AI30" i="35"/>
  <c r="BU31" i="35"/>
  <c r="AC30" i="35"/>
  <c r="Z30" i="35"/>
  <c r="E30" i="35"/>
  <c r="N31" i="35"/>
  <c r="D107" i="20"/>
  <c r="B107" i="20"/>
  <c r="E107" i="20"/>
  <c r="C107" i="20"/>
  <c r="U103" i="39"/>
  <c r="R103" i="39"/>
  <c r="O103" i="39"/>
  <c r="Q103" i="39"/>
  <c r="W103" i="39"/>
  <c r="W104" i="39"/>
  <c r="O104" i="39"/>
  <c r="Q104" i="39"/>
  <c r="R104" i="39"/>
  <c r="A108" i="20"/>
  <c r="N104" i="39"/>
  <c r="J104" i="39"/>
  <c r="Y104" i="39"/>
  <c r="H104" i="39"/>
  <c r="L104" i="39"/>
  <c r="F105" i="39"/>
  <c r="I104" i="39"/>
  <c r="AR248" i="39"/>
  <c r="AD248" i="39"/>
  <c r="AH248" i="39"/>
  <c r="AG248" i="39"/>
  <c r="AE248" i="39"/>
  <c r="AF248" i="39"/>
  <c r="AC248" i="39"/>
  <c r="E249" i="39"/>
  <c r="A250" i="39"/>
  <c r="D249" i="39"/>
  <c r="C249" i="39"/>
  <c r="B249" i="39"/>
  <c r="C29" i="36" l="1"/>
  <c r="AA29" i="36"/>
  <c r="Z29" i="36"/>
  <c r="AC29" i="36"/>
  <c r="AO29" i="36"/>
  <c r="AT29" i="36"/>
  <c r="M29" i="36"/>
  <c r="D29" i="36"/>
  <c r="AR29" i="36"/>
  <c r="BT29" i="36"/>
  <c r="BP29" i="36"/>
  <c r="AI29" i="36"/>
  <c r="W29" i="36"/>
  <c r="BD29" i="36"/>
  <c r="L29" i="36"/>
  <c r="I29" i="36"/>
  <c r="BJ29" i="36"/>
  <c r="E29" i="36"/>
  <c r="AG29" i="36"/>
  <c r="BX29" i="36"/>
  <c r="J29" i="36"/>
  <c r="BM29" i="36"/>
  <c r="AQ29" i="36"/>
  <c r="Y29" i="36"/>
  <c r="BS29" i="36"/>
  <c r="AH29" i="36"/>
  <c r="BW29" i="36"/>
  <c r="AZ29" i="36"/>
  <c r="T29" i="36"/>
  <c r="X29" i="36"/>
  <c r="G29" i="36"/>
  <c r="R29" i="36"/>
  <c r="AX29" i="36"/>
  <c r="BE29" i="36"/>
  <c r="AW29" i="36"/>
  <c r="K29" i="36"/>
  <c r="AY29" i="36"/>
  <c r="AS29" i="36"/>
  <c r="BQ29" i="36"/>
  <c r="BB29" i="36"/>
  <c r="BL29" i="36"/>
  <c r="BG29" i="36"/>
  <c r="AV29" i="36"/>
  <c r="AD29" i="36"/>
  <c r="AU29" i="36"/>
  <c r="O29" i="36"/>
  <c r="BO29" i="36"/>
  <c r="AE29" i="36"/>
  <c r="BK29" i="36"/>
  <c r="BI29" i="36"/>
  <c r="AB29" i="36"/>
  <c r="BU29" i="36"/>
  <c r="BR29" i="36"/>
  <c r="U29" i="36"/>
  <c r="BF29" i="36"/>
  <c r="AM29" i="36"/>
  <c r="AJ29" i="36"/>
  <c r="BN29" i="36"/>
  <c r="BC29" i="36"/>
  <c r="BV29" i="36"/>
  <c r="AL29" i="36"/>
  <c r="Q29" i="36"/>
  <c r="AN29" i="36"/>
  <c r="AF29" i="36"/>
  <c r="P29" i="36"/>
  <c r="F29" i="36"/>
  <c r="AK29" i="36"/>
  <c r="V29" i="36"/>
  <c r="H29" i="36"/>
  <c r="BH29" i="36"/>
  <c r="BA29" i="36"/>
  <c r="N29" i="36"/>
  <c r="AP29" i="36"/>
  <c r="AU31" i="35"/>
  <c r="K31" i="35"/>
  <c r="V31" i="35"/>
  <c r="AQ31" i="35"/>
  <c r="AL31" i="35"/>
  <c r="BT31" i="35"/>
  <c r="BF31" i="35"/>
  <c r="AF31" i="35"/>
  <c r="BO31" i="35"/>
  <c r="Y31" i="35"/>
  <c r="R31" i="35"/>
  <c r="AR31" i="35"/>
  <c r="H31" i="35"/>
  <c r="AO31" i="35"/>
  <c r="W31" i="35"/>
  <c r="BE31" i="35"/>
  <c r="BC31" i="35"/>
  <c r="L31" i="35"/>
  <c r="AN31" i="35"/>
  <c r="AX31" i="35"/>
  <c r="AJ31" i="35"/>
  <c r="BS31" i="35"/>
  <c r="K32" i="35"/>
  <c r="BI31" i="35"/>
  <c r="AH31" i="35"/>
  <c r="F31" i="35"/>
  <c r="BX31" i="35"/>
  <c r="AW31" i="35"/>
  <c r="O31" i="35"/>
  <c r="BW31" i="35"/>
  <c r="AC31" i="35"/>
  <c r="I31" i="35"/>
  <c r="Z31" i="35"/>
  <c r="M31" i="35"/>
  <c r="BA31" i="35"/>
  <c r="BV31" i="35"/>
  <c r="BR31" i="35"/>
  <c r="J31" i="35"/>
  <c r="AA31" i="35"/>
  <c r="BD31" i="35"/>
  <c r="AV31" i="35"/>
  <c r="P31" i="35"/>
  <c r="AZ31" i="35"/>
  <c r="BJ31" i="35"/>
  <c r="AB31" i="35"/>
  <c r="Q31" i="35"/>
  <c r="BL31" i="35"/>
  <c r="BB31" i="35"/>
  <c r="AT31" i="35"/>
  <c r="BK31" i="35"/>
  <c r="BP31" i="35"/>
  <c r="BU32" i="35"/>
  <c r="U104" i="39"/>
  <c r="D108" i="20"/>
  <c r="B108" i="20"/>
  <c r="E108" i="20"/>
  <c r="C108" i="20"/>
  <c r="A109" i="20"/>
  <c r="X105" i="39"/>
  <c r="K105" i="39"/>
  <c r="G105" i="39"/>
  <c r="M106" i="39"/>
  <c r="Y105" i="39"/>
  <c r="F106" i="39"/>
  <c r="J105" i="39"/>
  <c r="N105" i="39"/>
  <c r="M105" i="39"/>
  <c r="L106" i="39"/>
  <c r="AA105" i="39"/>
  <c r="J106" i="39"/>
  <c r="Z105" i="39"/>
  <c r="AB105" i="39"/>
  <c r="AS105" i="39" s="1"/>
  <c r="AB106" i="39"/>
  <c r="AS106" i="39" s="1"/>
  <c r="L105" i="39"/>
  <c r="AA106" i="39"/>
  <c r="N106" i="39"/>
  <c r="V106" i="39"/>
  <c r="H106" i="39"/>
  <c r="I105" i="39"/>
  <c r="H105" i="39"/>
  <c r="V105" i="39"/>
  <c r="AR249" i="39"/>
  <c r="AD249" i="39"/>
  <c r="AH249" i="39"/>
  <c r="AE249" i="39"/>
  <c r="AF249" i="39"/>
  <c r="AG249" i="39"/>
  <c r="AC249" i="39"/>
  <c r="B250" i="39"/>
  <c r="E250" i="39"/>
  <c r="A251" i="39"/>
  <c r="D250" i="39"/>
  <c r="C250" i="39"/>
  <c r="Z106" i="39" l="1"/>
  <c r="G32" i="35"/>
  <c r="BI32" i="35"/>
  <c r="AQ32" i="35"/>
  <c r="X106" i="39"/>
  <c r="K106" i="39"/>
  <c r="I106" i="39"/>
  <c r="U106" i="39" s="1"/>
  <c r="S32" i="35"/>
  <c r="D109" i="20"/>
  <c r="C109" i="20"/>
  <c r="B109" i="20"/>
  <c r="E109" i="20"/>
  <c r="G106" i="39"/>
  <c r="Y106" i="39"/>
  <c r="O106" i="39"/>
  <c r="R106" i="39"/>
  <c r="Q106" i="39"/>
  <c r="W106" i="39"/>
  <c r="U105" i="39"/>
  <c r="Q105" i="39"/>
  <c r="R105" i="39"/>
  <c r="O105" i="39"/>
  <c r="W105" i="39"/>
  <c r="A110" i="20"/>
  <c r="AR250" i="39"/>
  <c r="AD250" i="39"/>
  <c r="AH250" i="39"/>
  <c r="AE250" i="39"/>
  <c r="AF250" i="39"/>
  <c r="AG250" i="39"/>
  <c r="AC250" i="39"/>
  <c r="E251" i="39"/>
  <c r="A252" i="39"/>
  <c r="D251" i="39"/>
  <c r="C251" i="39"/>
  <c r="B251" i="39"/>
  <c r="BV33" i="35" l="1"/>
  <c r="C110" i="20"/>
  <c r="D110" i="20"/>
  <c r="B110" i="20"/>
  <c r="E110" i="20"/>
  <c r="A111" i="20"/>
  <c r="H107" i="39"/>
  <c r="Y108" i="39"/>
  <c r="L107" i="39"/>
  <c r="Z107" i="39"/>
  <c r="AB107" i="39"/>
  <c r="AS107" i="39" s="1"/>
  <c r="AA108" i="39"/>
  <c r="G107" i="39"/>
  <c r="N108" i="39"/>
  <c r="M108" i="39"/>
  <c r="X108" i="39"/>
  <c r="H108" i="39"/>
  <c r="K108" i="39"/>
  <c r="AR251" i="39"/>
  <c r="AD251" i="39"/>
  <c r="AH251" i="39"/>
  <c r="AE251" i="39"/>
  <c r="AG251" i="39"/>
  <c r="AF251" i="39"/>
  <c r="AC251" i="39"/>
  <c r="E252" i="39"/>
  <c r="A253" i="39"/>
  <c r="D252" i="39"/>
  <c r="C252" i="39"/>
  <c r="B252" i="39"/>
  <c r="G35" i="35" l="1"/>
  <c r="U35" i="35"/>
  <c r="C111" i="20"/>
  <c r="D111" i="20"/>
  <c r="B111" i="20"/>
  <c r="E111" i="20"/>
  <c r="Q108" i="39"/>
  <c r="O108" i="39"/>
  <c r="R108" i="39"/>
  <c r="W108" i="39"/>
  <c r="A112" i="20"/>
  <c r="AR252" i="39"/>
  <c r="AD252" i="39"/>
  <c r="AF252" i="39"/>
  <c r="AE252" i="39"/>
  <c r="AG252" i="39"/>
  <c r="AH252" i="39"/>
  <c r="AC252" i="39"/>
  <c r="E253" i="39"/>
  <c r="A254" i="39"/>
  <c r="D253" i="39"/>
  <c r="C253" i="39"/>
  <c r="B253" i="39"/>
  <c r="C112" i="20" l="1"/>
  <c r="D112" i="20"/>
  <c r="B112" i="20"/>
  <c r="E112" i="20"/>
  <c r="A113" i="20"/>
  <c r="AR253" i="39"/>
  <c r="AD253" i="39"/>
  <c r="AH253" i="39"/>
  <c r="AF253" i="39"/>
  <c r="AE253" i="39"/>
  <c r="AG253" i="39"/>
  <c r="AC253" i="39"/>
  <c r="B254" i="39"/>
  <c r="E254" i="39"/>
  <c r="A255" i="39"/>
  <c r="D254" i="39"/>
  <c r="C254" i="39"/>
  <c r="C113" i="20" l="1"/>
  <c r="E113" i="20"/>
  <c r="D113" i="20"/>
  <c r="B113" i="20"/>
  <c r="A114" i="20"/>
  <c r="AR254" i="39"/>
  <c r="AD254" i="39"/>
  <c r="AH254" i="39"/>
  <c r="AG254" i="39"/>
  <c r="AE254" i="39"/>
  <c r="AF254" i="39"/>
  <c r="AC254" i="39"/>
  <c r="E255" i="39"/>
  <c r="A256" i="39"/>
  <c r="D255" i="39"/>
  <c r="C255" i="39"/>
  <c r="B255" i="39"/>
  <c r="B114" i="20" l="1"/>
  <c r="E114" i="20"/>
  <c r="C114" i="20"/>
  <c r="D114" i="20"/>
  <c r="A115" i="20"/>
  <c r="AR255" i="39"/>
  <c r="AD255" i="39"/>
  <c r="AH255" i="39"/>
  <c r="AF255" i="39"/>
  <c r="AG255" i="39"/>
  <c r="AE255" i="39"/>
  <c r="AC255" i="39"/>
  <c r="E256" i="39"/>
  <c r="A257" i="39"/>
  <c r="D256" i="39"/>
  <c r="C256" i="39"/>
  <c r="B256" i="39"/>
  <c r="B115" i="20" l="1"/>
  <c r="E115" i="20"/>
  <c r="C115" i="20"/>
  <c r="D115" i="20"/>
  <c r="A116" i="20"/>
  <c r="AR256" i="39"/>
  <c r="AD256" i="39"/>
  <c r="AH256" i="39"/>
  <c r="AG256" i="39"/>
  <c r="AC256" i="39"/>
  <c r="AE256" i="39"/>
  <c r="AF256" i="39"/>
  <c r="E257" i="39"/>
  <c r="A258" i="39"/>
  <c r="D257" i="39"/>
  <c r="C257" i="39"/>
  <c r="B257" i="39"/>
  <c r="B116" i="20" l="1"/>
  <c r="E116" i="20"/>
  <c r="C116" i="20"/>
  <c r="D116" i="20"/>
  <c r="A117" i="20"/>
  <c r="AR257" i="39"/>
  <c r="AD257" i="39"/>
  <c r="AH257" i="39"/>
  <c r="AG257" i="39"/>
  <c r="AC257" i="39"/>
  <c r="AE257" i="39"/>
  <c r="AF257" i="39"/>
  <c r="B258" i="39"/>
  <c r="E258" i="39"/>
  <c r="A259" i="39"/>
  <c r="D258" i="39"/>
  <c r="C258" i="39"/>
  <c r="B117" i="20" l="1"/>
  <c r="E117" i="20"/>
  <c r="D117" i="20"/>
  <c r="C117" i="20"/>
  <c r="A118" i="20"/>
  <c r="AR258" i="39"/>
  <c r="AD258" i="39"/>
  <c r="AG258" i="39"/>
  <c r="AF258" i="39"/>
  <c r="AH258" i="39"/>
  <c r="AE258" i="39"/>
  <c r="AC258" i="39"/>
  <c r="E259" i="39"/>
  <c r="A260" i="39"/>
  <c r="D259" i="39"/>
  <c r="C259" i="39"/>
  <c r="B259" i="39"/>
  <c r="D118" i="20" l="1"/>
  <c r="B118" i="20"/>
  <c r="E118" i="20"/>
  <c r="C118" i="20"/>
  <c r="A119" i="20"/>
  <c r="AR259" i="39"/>
  <c r="AD259" i="39"/>
  <c r="AH259" i="39"/>
  <c r="AF259" i="39"/>
  <c r="AE259" i="39"/>
  <c r="AG259" i="39"/>
  <c r="AC259" i="39"/>
  <c r="E260" i="39"/>
  <c r="A261" i="39"/>
  <c r="D260" i="39"/>
  <c r="C260" i="39"/>
  <c r="B260" i="39"/>
  <c r="D119" i="20" l="1"/>
  <c r="B119" i="20"/>
  <c r="E119" i="20"/>
  <c r="C119" i="20"/>
  <c r="A120" i="20"/>
  <c r="AR260" i="39"/>
  <c r="AD260" i="39"/>
  <c r="AH260" i="39"/>
  <c r="AG260" i="39"/>
  <c r="AE260" i="39"/>
  <c r="AF260" i="39"/>
  <c r="AC260" i="39"/>
  <c r="E261" i="39"/>
  <c r="A262" i="39"/>
  <c r="D261" i="39"/>
  <c r="C261" i="39"/>
  <c r="B261" i="39"/>
  <c r="A121" i="20" l="1"/>
  <c r="D120" i="20"/>
  <c r="C120" i="20"/>
  <c r="B120" i="20"/>
  <c r="E120" i="20"/>
  <c r="J46" i="27"/>
  <c r="J34" i="27"/>
  <c r="I39" i="27"/>
  <c r="I34" i="27"/>
  <c r="J37" i="27"/>
  <c r="J49" i="27"/>
  <c r="I49" i="27"/>
  <c r="J39" i="27"/>
  <c r="I37" i="27"/>
  <c r="J91" i="27"/>
  <c r="I91" i="27"/>
  <c r="I46" i="27"/>
  <c r="G108" i="39"/>
  <c r="J107" i="39"/>
  <c r="AB114" i="39"/>
  <c r="AS114" i="39" s="1"/>
  <c r="AA116" i="39"/>
  <c r="H109" i="39"/>
  <c r="Y107" i="39"/>
  <c r="I112" i="39"/>
  <c r="Z117" i="39"/>
  <c r="AB110" i="39"/>
  <c r="AS110" i="39" s="1"/>
  <c r="Z115" i="39"/>
  <c r="J116" i="39"/>
  <c r="Y115" i="39"/>
  <c r="N118" i="39"/>
  <c r="N117" i="39"/>
  <c r="I108" i="39"/>
  <c r="K117" i="39"/>
  <c r="N109" i="39"/>
  <c r="J110" i="39"/>
  <c r="V114" i="39"/>
  <c r="L116" i="39"/>
  <c r="I110" i="39"/>
  <c r="L109" i="39"/>
  <c r="AB111" i="39"/>
  <c r="AS111" i="39" s="1"/>
  <c r="N111" i="39"/>
  <c r="F118" i="39"/>
  <c r="G110" i="39"/>
  <c r="V110" i="39"/>
  <c r="G112" i="39"/>
  <c r="N107" i="39"/>
  <c r="M116" i="39"/>
  <c r="Z108" i="39"/>
  <c r="L108" i="39"/>
  <c r="F108" i="39"/>
  <c r="J108" i="39"/>
  <c r="X116" i="39"/>
  <c r="V118" i="39"/>
  <c r="F107" i="39"/>
  <c r="L111" i="39"/>
  <c r="K109" i="39"/>
  <c r="G116" i="39"/>
  <c r="L114" i="39"/>
  <c r="H111" i="39"/>
  <c r="M115" i="39"/>
  <c r="M110" i="39"/>
  <c r="V116" i="39"/>
  <c r="V107" i="39"/>
  <c r="Y118" i="39"/>
  <c r="G117" i="39"/>
  <c r="Y113" i="39"/>
  <c r="F115" i="39"/>
  <c r="I107" i="39"/>
  <c r="AA113" i="39"/>
  <c r="F116" i="39"/>
  <c r="Y112" i="39"/>
  <c r="X115" i="39"/>
  <c r="AA112" i="39"/>
  <c r="AB108" i="39"/>
  <c r="AS108" i="39" s="1"/>
  <c r="AB116" i="39"/>
  <c r="AS116" i="39" s="1"/>
  <c r="F111" i="39"/>
  <c r="L118" i="39"/>
  <c r="Y117" i="39"/>
  <c r="N115" i="39"/>
  <c r="V108" i="39"/>
  <c r="J112" i="39"/>
  <c r="J115" i="39"/>
  <c r="G111" i="39"/>
  <c r="X107" i="39"/>
  <c r="AB112" i="39"/>
  <c r="AS112" i="39" s="1"/>
  <c r="M107" i="39"/>
  <c r="G114" i="39"/>
  <c r="K107" i="39"/>
  <c r="X118" i="39"/>
  <c r="I114" i="39"/>
  <c r="J118" i="39"/>
  <c r="AA114" i="39"/>
  <c r="H114" i="39"/>
  <c r="L110" i="39"/>
  <c r="H118" i="39"/>
  <c r="Z109" i="39"/>
  <c r="I113" i="39"/>
  <c r="M118" i="39"/>
  <c r="L115" i="39"/>
  <c r="G118" i="39"/>
  <c r="Z113" i="39"/>
  <c r="AA107" i="39"/>
  <c r="N113" i="39"/>
  <c r="I109" i="39"/>
  <c r="X110" i="39"/>
  <c r="AA117" i="39"/>
  <c r="AA115" i="39"/>
  <c r="F113" i="39"/>
  <c r="J113" i="39"/>
  <c r="I115" i="39"/>
  <c r="N112" i="39"/>
  <c r="X111" i="39"/>
  <c r="M111" i="39"/>
  <c r="M112" i="39"/>
  <c r="AB118" i="39"/>
  <c r="AS118" i="39" s="1"/>
  <c r="J114" i="39"/>
  <c r="AB113" i="39"/>
  <c r="AS113" i="39" s="1"/>
  <c r="Z114" i="39"/>
  <c r="AB115" i="39"/>
  <c r="AS115" i="39" s="1"/>
  <c r="V109" i="39"/>
  <c r="I111" i="39"/>
  <c r="V113" i="39"/>
  <c r="Z110" i="39"/>
  <c r="F114" i="39"/>
  <c r="Y109" i="39"/>
  <c r="K118" i="39"/>
  <c r="J109" i="39"/>
  <c r="I116" i="39"/>
  <c r="F117" i="39"/>
  <c r="AA110" i="39"/>
  <c r="K110" i="39"/>
  <c r="X112" i="39"/>
  <c r="F110" i="39"/>
  <c r="AB109" i="39"/>
  <c r="AS109" i="39" s="1"/>
  <c r="K112" i="39"/>
  <c r="M113" i="39"/>
  <c r="AA109" i="39"/>
  <c r="H115" i="39"/>
  <c r="H113" i="39"/>
  <c r="J111" i="39"/>
  <c r="K115" i="39"/>
  <c r="Z112" i="39"/>
  <c r="Y114" i="39"/>
  <c r="J117" i="39"/>
  <c r="M109" i="39"/>
  <c r="H117" i="39"/>
  <c r="G109" i="39"/>
  <c r="L113" i="39"/>
  <c r="Z118" i="39"/>
  <c r="Y110" i="39"/>
  <c r="M114" i="39"/>
  <c r="Z111" i="39"/>
  <c r="Y111" i="39"/>
  <c r="X113" i="39"/>
  <c r="F112" i="39"/>
  <c r="V115" i="39"/>
  <c r="X114" i="39"/>
  <c r="AB117" i="39"/>
  <c r="AS117" i="39" s="1"/>
  <c r="K113" i="39"/>
  <c r="N116" i="39"/>
  <c r="V112" i="39"/>
  <c r="K116" i="39"/>
  <c r="H116" i="39"/>
  <c r="AA118" i="39"/>
  <c r="F109" i="39"/>
  <c r="X109" i="39"/>
  <c r="Z116" i="39"/>
  <c r="L112" i="39"/>
  <c r="V117" i="39"/>
  <c r="H110" i="39"/>
  <c r="AA111" i="39"/>
  <c r="K111" i="39"/>
  <c r="M117" i="39"/>
  <c r="N114" i="39"/>
  <c r="G113" i="39"/>
  <c r="L117" i="39"/>
  <c r="H112" i="39"/>
  <c r="G115" i="39"/>
  <c r="V111" i="39"/>
  <c r="N110" i="39"/>
  <c r="I118" i="39"/>
  <c r="Y116" i="39"/>
  <c r="K114" i="39"/>
  <c r="X117" i="39"/>
  <c r="I117" i="39"/>
  <c r="AR261" i="39"/>
  <c r="AD261" i="39"/>
  <c r="AH261" i="39"/>
  <c r="AG261" i="39"/>
  <c r="AF261" i="39"/>
  <c r="AE261" i="39"/>
  <c r="AC261" i="39"/>
  <c r="B262" i="39"/>
  <c r="E262" i="39"/>
  <c r="A263" i="39"/>
  <c r="D262" i="39"/>
  <c r="C262" i="39"/>
  <c r="D11" i="9" l="1"/>
  <c r="G11" i="9"/>
  <c r="D14" i="9"/>
  <c r="K37" i="27"/>
  <c r="B121" i="20"/>
  <c r="C121" i="20"/>
  <c r="D121" i="20"/>
  <c r="E121" i="20"/>
  <c r="K91" i="27"/>
  <c r="K49" i="27"/>
  <c r="A122" i="20"/>
  <c r="Q111" i="39"/>
  <c r="W111" i="39"/>
  <c r="R111" i="39"/>
  <c r="O111" i="39"/>
  <c r="U111" i="39"/>
  <c r="K34" i="27"/>
  <c r="R107" i="39"/>
  <c r="U107" i="39"/>
  <c r="D17" i="9" s="1"/>
  <c r="O107" i="39"/>
  <c r="W107" i="39"/>
  <c r="Q107" i="39"/>
  <c r="R113" i="39"/>
  <c r="W113" i="39"/>
  <c r="Q113" i="39"/>
  <c r="U113" i="39"/>
  <c r="O113" i="39"/>
  <c r="K46" i="27"/>
  <c r="U109" i="39"/>
  <c r="Q109" i="39"/>
  <c r="O109" i="39"/>
  <c r="W109" i="39"/>
  <c r="R109" i="39"/>
  <c r="R118" i="39"/>
  <c r="W118" i="39"/>
  <c r="Q118" i="39"/>
  <c r="U118" i="39"/>
  <c r="O118" i="39"/>
  <c r="Q116" i="39"/>
  <c r="O116" i="39"/>
  <c r="R116" i="39"/>
  <c r="U116" i="39"/>
  <c r="W116" i="39"/>
  <c r="R112" i="39"/>
  <c r="W112" i="39"/>
  <c r="U112" i="39"/>
  <c r="Q112" i="39"/>
  <c r="O112" i="39"/>
  <c r="K39" i="27"/>
  <c r="U110" i="39"/>
  <c r="O110" i="39"/>
  <c r="Q110" i="39"/>
  <c r="W110" i="39"/>
  <c r="R110" i="39"/>
  <c r="U115" i="39"/>
  <c r="W115" i="39"/>
  <c r="R115" i="39"/>
  <c r="O115" i="39"/>
  <c r="Q115" i="39"/>
  <c r="U114" i="39"/>
  <c r="O114" i="39"/>
  <c r="W114" i="39"/>
  <c r="R114" i="39"/>
  <c r="Q114" i="39"/>
  <c r="U108" i="39"/>
  <c r="Q117" i="39"/>
  <c r="R117" i="39"/>
  <c r="W117" i="39"/>
  <c r="U117" i="39"/>
  <c r="O117" i="39"/>
  <c r="AR262" i="39"/>
  <c r="AD262" i="39"/>
  <c r="AH262" i="39"/>
  <c r="AE262" i="39"/>
  <c r="AG262" i="39"/>
  <c r="AF262" i="39"/>
  <c r="AC262" i="39"/>
  <c r="E263" i="39"/>
  <c r="A264" i="39"/>
  <c r="D263" i="39"/>
  <c r="C263" i="39"/>
  <c r="B263" i="39"/>
  <c r="D26" i="9" l="1"/>
  <c r="D20" i="9"/>
  <c r="E20" i="9" s="1"/>
  <c r="B122" i="20"/>
  <c r="C122" i="20"/>
  <c r="D122" i="20"/>
  <c r="E122" i="20"/>
  <c r="A123" i="20"/>
  <c r="H119" i="39"/>
  <c r="J119" i="39"/>
  <c r="Z120" i="39"/>
  <c r="I119" i="39"/>
  <c r="K119" i="39"/>
  <c r="Y120" i="39"/>
  <c r="J120" i="39"/>
  <c r="H120" i="39"/>
  <c r="G120" i="39"/>
  <c r="G119" i="39"/>
  <c r="F119" i="39"/>
  <c r="AB119" i="39"/>
  <c r="AS119" i="39" s="1"/>
  <c r="N120" i="39"/>
  <c r="L119" i="39"/>
  <c r="AA119" i="39"/>
  <c r="F120" i="39"/>
  <c r="M119" i="39"/>
  <c r="Z119" i="39"/>
  <c r="N119" i="39"/>
  <c r="X119" i="39"/>
  <c r="Y119" i="39"/>
  <c r="M120" i="39"/>
  <c r="AA120" i="39"/>
  <c r="V119" i="39"/>
  <c r="AR263" i="39"/>
  <c r="AD263" i="39"/>
  <c r="AH263" i="39"/>
  <c r="AE263" i="39"/>
  <c r="AG263" i="39"/>
  <c r="AF263" i="39"/>
  <c r="AC263" i="39"/>
  <c r="E264" i="39"/>
  <c r="A265" i="39"/>
  <c r="D264" i="39"/>
  <c r="C264" i="39"/>
  <c r="B264" i="39"/>
  <c r="B123" i="20" l="1"/>
  <c r="C123" i="20"/>
  <c r="D123" i="20"/>
  <c r="E123" i="20"/>
  <c r="K120" i="39"/>
  <c r="V120" i="39"/>
  <c r="AB120" i="39"/>
  <c r="AS120" i="39" s="1"/>
  <c r="X120" i="39"/>
  <c r="I120" i="39"/>
  <c r="U120" i="39" s="1"/>
  <c r="L120" i="39"/>
  <c r="R120" i="39"/>
  <c r="Q120" i="39"/>
  <c r="O120" i="39"/>
  <c r="W120" i="39"/>
  <c r="Q119" i="39"/>
  <c r="R119" i="39"/>
  <c r="U119" i="39"/>
  <c r="O119" i="39"/>
  <c r="W119" i="39"/>
  <c r="A124" i="20"/>
  <c r="AR264" i="39"/>
  <c r="AD264" i="39"/>
  <c r="AF264" i="39"/>
  <c r="AH264" i="39"/>
  <c r="AE264" i="39"/>
  <c r="AG264" i="39"/>
  <c r="AC264" i="39"/>
  <c r="E265" i="39"/>
  <c r="A266" i="39"/>
  <c r="D265" i="39"/>
  <c r="C265" i="39"/>
  <c r="B265" i="39"/>
  <c r="E124" i="20" l="1"/>
  <c r="B124" i="20"/>
  <c r="C124" i="20"/>
  <c r="D124" i="20"/>
  <c r="A125" i="20"/>
  <c r="J121" i="39"/>
  <c r="M121" i="39"/>
  <c r="G121" i="39"/>
  <c r="Y122" i="39"/>
  <c r="F121" i="39"/>
  <c r="L121" i="39"/>
  <c r="I121" i="39"/>
  <c r="N121" i="39"/>
  <c r="AB122" i="39"/>
  <c r="AS122" i="39" s="1"/>
  <c r="AB121" i="39"/>
  <c r="AS121" i="39" s="1"/>
  <c r="H122" i="39"/>
  <c r="L122" i="39"/>
  <c r="X122" i="39"/>
  <c r="G122" i="39"/>
  <c r="I122" i="39"/>
  <c r="X121" i="39"/>
  <c r="K122" i="39"/>
  <c r="H121" i="39"/>
  <c r="K121" i="39"/>
  <c r="N122" i="39"/>
  <c r="Y121" i="39"/>
  <c r="Z121" i="39"/>
  <c r="AA122" i="39"/>
  <c r="V122" i="39"/>
  <c r="Z122" i="39"/>
  <c r="AA121" i="39"/>
  <c r="V121" i="39"/>
  <c r="AR265" i="39"/>
  <c r="AD265" i="39"/>
  <c r="AH265" i="39"/>
  <c r="AF265" i="39"/>
  <c r="AE265" i="39"/>
  <c r="AG265" i="39"/>
  <c r="AC265" i="39"/>
  <c r="B266" i="39"/>
  <c r="E266" i="39"/>
  <c r="A267" i="39"/>
  <c r="D266" i="39"/>
  <c r="C266" i="39"/>
  <c r="E125" i="20" l="1"/>
  <c r="B125" i="20"/>
  <c r="C125" i="20"/>
  <c r="D125" i="20"/>
  <c r="M122" i="39"/>
  <c r="J122" i="39"/>
  <c r="F122" i="39"/>
  <c r="U122" i="39"/>
  <c r="O122" i="39"/>
  <c r="R122" i="39"/>
  <c r="W122" i="39"/>
  <c r="Q122" i="39"/>
  <c r="U121" i="39"/>
  <c r="O121" i="39"/>
  <c r="W121" i="39"/>
  <c r="Q121" i="39"/>
  <c r="R121" i="39"/>
  <c r="A126" i="20"/>
  <c r="AR266" i="39"/>
  <c r="AD266" i="39"/>
  <c r="AH266" i="39"/>
  <c r="AG266" i="39"/>
  <c r="AE266" i="39"/>
  <c r="AF266" i="39"/>
  <c r="AC266" i="39"/>
  <c r="E267" i="39"/>
  <c r="A268" i="39"/>
  <c r="D267" i="39"/>
  <c r="C267" i="39"/>
  <c r="B267" i="39"/>
  <c r="E126" i="20" l="1"/>
  <c r="B126" i="20"/>
  <c r="C126" i="20"/>
  <c r="D126" i="20"/>
  <c r="A127" i="20"/>
  <c r="H124" i="39"/>
  <c r="Z124" i="39"/>
  <c r="N124" i="39"/>
  <c r="L124" i="39"/>
  <c r="X124" i="39"/>
  <c r="I123" i="39"/>
  <c r="AB123" i="39"/>
  <c r="AS123" i="39" s="1"/>
  <c r="H123" i="39"/>
  <c r="Y123" i="39"/>
  <c r="Z123" i="39"/>
  <c r="V124" i="39"/>
  <c r="J123" i="39"/>
  <c r="AA123" i="39"/>
  <c r="F123" i="39"/>
  <c r="AA124" i="39"/>
  <c r="G123" i="39"/>
  <c r="AB124" i="39"/>
  <c r="AS124" i="39" s="1"/>
  <c r="V123" i="39"/>
  <c r="M123" i="39"/>
  <c r="K124" i="39"/>
  <c r="M124" i="39"/>
  <c r="N123" i="39"/>
  <c r="X123" i="39"/>
  <c r="F124" i="39"/>
  <c r="J124" i="39"/>
  <c r="K123" i="39"/>
  <c r="G124" i="39"/>
  <c r="L123" i="39"/>
  <c r="Y124" i="39"/>
  <c r="I124" i="39"/>
  <c r="AR267" i="39"/>
  <c r="AD267" i="39"/>
  <c r="AH267" i="39"/>
  <c r="AF267" i="39"/>
  <c r="AG267" i="39"/>
  <c r="AE267" i="39"/>
  <c r="AC267" i="39"/>
  <c r="E268" i="39"/>
  <c r="A269" i="39"/>
  <c r="D268" i="39"/>
  <c r="C268" i="39"/>
  <c r="B268" i="39"/>
  <c r="D127" i="20" l="1"/>
  <c r="E127" i="20"/>
  <c r="B127" i="20"/>
  <c r="C127" i="20"/>
  <c r="Q123" i="39"/>
  <c r="R123" i="39"/>
  <c r="U123" i="39"/>
  <c r="W123" i="39"/>
  <c r="O123" i="39"/>
  <c r="R124" i="39"/>
  <c r="O124" i="39"/>
  <c r="U124" i="39"/>
  <c r="W124" i="39"/>
  <c r="Q124" i="39"/>
  <c r="A128" i="20"/>
  <c r="AR268" i="39"/>
  <c r="AD268" i="39"/>
  <c r="AH268" i="39"/>
  <c r="AG268" i="39"/>
  <c r="AC268" i="39"/>
  <c r="AF268" i="39"/>
  <c r="AE268" i="39"/>
  <c r="E269" i="39"/>
  <c r="A270" i="39"/>
  <c r="D269" i="39"/>
  <c r="C269" i="39"/>
  <c r="B269" i="39"/>
  <c r="D128" i="20" l="1"/>
  <c r="E128" i="20"/>
  <c r="B128" i="20"/>
  <c r="C128" i="20"/>
  <c r="A129" i="20"/>
  <c r="AA126" i="39"/>
  <c r="F126" i="39"/>
  <c r="AB126" i="39"/>
  <c r="AS126" i="39" s="1"/>
  <c r="N125" i="39"/>
  <c r="M126" i="39"/>
  <c r="J125" i="39"/>
  <c r="Z126" i="39"/>
  <c r="K125" i="39"/>
  <c r="K126" i="39"/>
  <c r="V125" i="39"/>
  <c r="L125" i="39"/>
  <c r="L126" i="39"/>
  <c r="Y126" i="39"/>
  <c r="I126" i="39"/>
  <c r="N126" i="39"/>
  <c r="AA125" i="39"/>
  <c r="F125" i="39"/>
  <c r="I125" i="39"/>
  <c r="V126" i="39"/>
  <c r="X125" i="39"/>
  <c r="Z125" i="39"/>
  <c r="X126" i="39"/>
  <c r="G125" i="39"/>
  <c r="Y125" i="39"/>
  <c r="G126" i="39"/>
  <c r="H125" i="39"/>
  <c r="J126" i="39"/>
  <c r="H126" i="39"/>
  <c r="AB125" i="39"/>
  <c r="AS125" i="39" s="1"/>
  <c r="M125" i="39"/>
  <c r="AR269" i="39"/>
  <c r="AD269" i="39"/>
  <c r="AH269" i="39"/>
  <c r="AG269" i="39"/>
  <c r="AC269" i="39"/>
  <c r="AF269" i="39"/>
  <c r="AE269" i="39"/>
  <c r="B270" i="39"/>
  <c r="E270" i="39"/>
  <c r="A271" i="39"/>
  <c r="D270" i="39"/>
  <c r="C270" i="39"/>
  <c r="D129" i="20" l="1"/>
  <c r="E129" i="20"/>
  <c r="B129" i="20"/>
  <c r="C129" i="20"/>
  <c r="W126" i="39"/>
  <c r="U126" i="39"/>
  <c r="O126" i="39"/>
  <c r="Q126" i="39"/>
  <c r="R126" i="39"/>
  <c r="A130" i="20"/>
  <c r="Q125" i="39"/>
  <c r="U125" i="39"/>
  <c r="W125" i="39"/>
  <c r="R125" i="39"/>
  <c r="O125" i="39"/>
  <c r="AR270" i="39"/>
  <c r="AD270" i="39"/>
  <c r="AG270" i="39"/>
  <c r="AH270" i="39"/>
  <c r="AF270" i="39"/>
  <c r="AE270" i="39"/>
  <c r="AC270" i="39"/>
  <c r="E271" i="39"/>
  <c r="A272" i="39"/>
  <c r="D271" i="39"/>
  <c r="C271" i="39"/>
  <c r="B271" i="39"/>
  <c r="C130" i="20" l="1"/>
  <c r="D130" i="20"/>
  <c r="B130" i="20"/>
  <c r="E130" i="20"/>
  <c r="A131" i="20"/>
  <c r="X128" i="39"/>
  <c r="M127" i="39"/>
  <c r="I127" i="39"/>
  <c r="L127" i="39"/>
  <c r="G128" i="39"/>
  <c r="AA128" i="39"/>
  <c r="K127" i="39"/>
  <c r="V128" i="39"/>
  <c r="G127" i="39"/>
  <c r="X127" i="39"/>
  <c r="Y128" i="39"/>
  <c r="N127" i="39"/>
  <c r="Y127" i="39"/>
  <c r="AB128" i="39"/>
  <c r="AS128" i="39" s="1"/>
  <c r="J127" i="39"/>
  <c r="F127" i="39"/>
  <c r="V127" i="39"/>
  <c r="AB127" i="39"/>
  <c r="AS127" i="39" s="1"/>
  <c r="N128" i="39"/>
  <c r="L128" i="39"/>
  <c r="H127" i="39"/>
  <c r="J128" i="39"/>
  <c r="AA127" i="39"/>
  <c r="M128" i="39"/>
  <c r="Z127" i="39"/>
  <c r="I128" i="39"/>
  <c r="H128" i="39"/>
  <c r="K128" i="39"/>
  <c r="Z128" i="39"/>
  <c r="F128" i="39"/>
  <c r="AR271" i="39"/>
  <c r="AD271" i="39"/>
  <c r="AH271" i="39"/>
  <c r="AF271" i="39"/>
  <c r="AG271" i="39"/>
  <c r="AE271" i="39"/>
  <c r="AC271" i="39"/>
  <c r="E272" i="39"/>
  <c r="A273" i="39"/>
  <c r="D272" i="39"/>
  <c r="C272" i="39"/>
  <c r="B272" i="39"/>
  <c r="C131" i="20" l="1"/>
  <c r="D131" i="20"/>
  <c r="E131" i="20"/>
  <c r="B131" i="20"/>
  <c r="R127" i="39"/>
  <c r="U127" i="39"/>
  <c r="Q127" i="39"/>
  <c r="W127" i="39"/>
  <c r="O127" i="39"/>
  <c r="A132" i="20"/>
  <c r="Q128" i="39"/>
  <c r="U128" i="39"/>
  <c r="W128" i="39"/>
  <c r="R128" i="39"/>
  <c r="O128" i="39"/>
  <c r="AR272" i="39"/>
  <c r="AD272" i="39"/>
  <c r="AH272" i="39"/>
  <c r="AG272" i="39"/>
  <c r="AF272" i="39"/>
  <c r="AE272" i="39"/>
  <c r="AC272" i="39"/>
  <c r="E273" i="39"/>
  <c r="A274" i="39"/>
  <c r="D273" i="39"/>
  <c r="C273" i="39"/>
  <c r="B273" i="39"/>
  <c r="C132" i="20" l="1"/>
  <c r="D132" i="20"/>
  <c r="E132" i="20"/>
  <c r="B132" i="20"/>
  <c r="A133" i="20"/>
  <c r="AR273" i="39"/>
  <c r="AD273" i="39"/>
  <c r="AH273" i="39"/>
  <c r="AG273" i="39"/>
  <c r="AF273" i="39"/>
  <c r="AE273" i="39"/>
  <c r="AC273" i="39"/>
  <c r="B274" i="39"/>
  <c r="E274" i="39"/>
  <c r="A275" i="39"/>
  <c r="D274" i="39"/>
  <c r="C274" i="39"/>
  <c r="B133" i="20" l="1"/>
  <c r="D133" i="20"/>
  <c r="C133" i="20"/>
  <c r="E133" i="20"/>
  <c r="A134" i="20"/>
  <c r="AR274" i="39"/>
  <c r="AD274" i="39"/>
  <c r="AH274" i="39"/>
  <c r="AG274" i="39"/>
  <c r="AF274" i="39"/>
  <c r="AE274" i="39"/>
  <c r="AC274" i="39"/>
  <c r="E275" i="39"/>
  <c r="A276" i="39"/>
  <c r="D275" i="39"/>
  <c r="C275" i="39"/>
  <c r="B275" i="39"/>
  <c r="B134" i="20" l="1"/>
  <c r="C134" i="20"/>
  <c r="D134" i="20"/>
  <c r="E134" i="20"/>
  <c r="A135" i="20"/>
  <c r="A136" i="20" s="1"/>
  <c r="G267" i="39"/>
  <c r="N268" i="39"/>
  <c r="V266" i="39"/>
  <c r="AB267" i="39"/>
  <c r="AS267" i="39" s="1"/>
  <c r="K267" i="39"/>
  <c r="AA267" i="39"/>
  <c r="Y272" i="39"/>
  <c r="L272" i="39"/>
  <c r="G272" i="39"/>
  <c r="L274" i="39"/>
  <c r="I274" i="39"/>
  <c r="V274" i="39"/>
  <c r="M268" i="39"/>
  <c r="G269" i="39"/>
  <c r="N270" i="39"/>
  <c r="Y268" i="39"/>
  <c r="X270" i="39"/>
  <c r="Z266" i="39"/>
  <c r="V267" i="39"/>
  <c r="Z272" i="39"/>
  <c r="V272" i="39"/>
  <c r="G274" i="39"/>
  <c r="AA274" i="39"/>
  <c r="X268" i="39"/>
  <c r="J270" i="39"/>
  <c r="L268" i="39"/>
  <c r="Y270" i="39"/>
  <c r="F274" i="39"/>
  <c r="AB274" i="39"/>
  <c r="AS274" i="39" s="1"/>
  <c r="K274" i="39"/>
  <c r="AB266" i="39"/>
  <c r="AS266" i="39" s="1"/>
  <c r="F268" i="39"/>
  <c r="Z270" i="39"/>
  <c r="M266" i="39"/>
  <c r="X266" i="39"/>
  <c r="F266" i="39"/>
  <c r="H272" i="39"/>
  <c r="AA268" i="39"/>
  <c r="H274" i="39"/>
  <c r="I266" i="39"/>
  <c r="I268" i="39"/>
  <c r="L267" i="39"/>
  <c r="X272" i="39"/>
  <c r="K272" i="39"/>
  <c r="AB272" i="39"/>
  <c r="AS272" i="39" s="1"/>
  <c r="V271" i="39"/>
  <c r="V269" i="39"/>
  <c r="H269" i="39"/>
  <c r="L266" i="39"/>
  <c r="AB270" i="39"/>
  <c r="AS270" i="39" s="1"/>
  <c r="M269" i="39"/>
  <c r="F270" i="39"/>
  <c r="J272" i="39"/>
  <c r="Z267" i="39"/>
  <c r="N267" i="39"/>
  <c r="K269" i="39"/>
  <c r="V270" i="39"/>
  <c r="AA270" i="39"/>
  <c r="Y266" i="39"/>
  <c r="G268" i="39"/>
  <c r="M267" i="39"/>
  <c r="N266" i="39"/>
  <c r="H267" i="39"/>
  <c r="H266" i="39"/>
  <c r="Z269" i="39"/>
  <c r="AA266" i="39"/>
  <c r="N269" i="39"/>
  <c r="I272" i="39"/>
  <c r="Z274" i="39"/>
  <c r="X274" i="39"/>
  <c r="M272" i="39"/>
  <c r="J268" i="39"/>
  <c r="H270" i="39"/>
  <c r="V268" i="39"/>
  <c r="K268" i="39"/>
  <c r="J269" i="39"/>
  <c r="K266" i="39"/>
  <c r="M274" i="39"/>
  <c r="H268" i="39"/>
  <c r="X267" i="39"/>
  <c r="J266" i="39"/>
  <c r="Z268" i="39"/>
  <c r="AB268" i="39"/>
  <c r="AS268" i="39" s="1"/>
  <c r="G270" i="39"/>
  <c r="N272" i="39"/>
  <c r="F272" i="39"/>
  <c r="N274" i="39"/>
  <c r="Y274" i="39"/>
  <c r="I270" i="39"/>
  <c r="J267" i="39"/>
  <c r="M270" i="39"/>
  <c r="L270" i="39"/>
  <c r="I267" i="39"/>
  <c r="AA272" i="39"/>
  <c r="K270" i="39"/>
  <c r="G266" i="39"/>
  <c r="J274" i="39"/>
  <c r="N276" i="39"/>
  <c r="I276" i="39"/>
  <c r="M276" i="39"/>
  <c r="H276" i="39"/>
  <c r="K276" i="39"/>
  <c r="L276" i="39"/>
  <c r="J276" i="39"/>
  <c r="G276" i="39"/>
  <c r="AR275" i="39"/>
  <c r="AD275" i="39"/>
  <c r="AH275" i="39"/>
  <c r="AE275" i="39"/>
  <c r="AG275" i="39"/>
  <c r="AF275" i="39"/>
  <c r="AC275" i="39"/>
  <c r="F276" i="39"/>
  <c r="V276" i="39"/>
  <c r="AB276" i="39"/>
  <c r="AA276" i="39"/>
  <c r="Z276" i="39"/>
  <c r="Y276" i="39"/>
  <c r="X276" i="39"/>
  <c r="E276" i="39"/>
  <c r="A277" i="39"/>
  <c r="D276" i="39"/>
  <c r="C276" i="39"/>
  <c r="B276" i="39"/>
  <c r="I110" i="27" l="1"/>
  <c r="J108" i="27"/>
  <c r="J109" i="27"/>
  <c r="J110" i="27"/>
  <c r="I107" i="27"/>
  <c r="I105" i="27"/>
  <c r="J111" i="27"/>
  <c r="J107" i="27"/>
  <c r="J104" i="27"/>
  <c r="I108" i="27"/>
  <c r="I104" i="27"/>
  <c r="J105" i="27"/>
  <c r="I111" i="27"/>
  <c r="I109" i="27"/>
  <c r="K109" i="27" s="1"/>
  <c r="I106" i="27"/>
  <c r="J106" i="27"/>
  <c r="D136" i="20"/>
  <c r="B136" i="20"/>
  <c r="C136" i="20"/>
  <c r="E136" i="20"/>
  <c r="J93" i="27"/>
  <c r="I95" i="27"/>
  <c r="I94" i="27"/>
  <c r="I101" i="27"/>
  <c r="I100" i="27"/>
  <c r="J97" i="27"/>
  <c r="J92" i="27"/>
  <c r="J101" i="27"/>
  <c r="J100" i="27"/>
  <c r="J103" i="27"/>
  <c r="I92" i="27"/>
  <c r="I102" i="27"/>
  <c r="J99" i="27"/>
  <c r="I97" i="27"/>
  <c r="J95" i="27"/>
  <c r="I98" i="27"/>
  <c r="I96" i="27"/>
  <c r="I93" i="27"/>
  <c r="J98" i="27"/>
  <c r="J102" i="27"/>
  <c r="I103" i="27"/>
  <c r="I99" i="27"/>
  <c r="J94" i="27"/>
  <c r="J96" i="27"/>
  <c r="B135" i="20"/>
  <c r="C135" i="20"/>
  <c r="D135" i="20"/>
  <c r="E135" i="20"/>
  <c r="U14" i="29"/>
  <c r="U5" i="29"/>
  <c r="U7" i="29"/>
  <c r="G7" i="24"/>
  <c r="U13" i="29"/>
  <c r="U18" i="29"/>
  <c r="G15" i="24"/>
  <c r="U8" i="29"/>
  <c r="G5" i="24"/>
  <c r="G10" i="24"/>
  <c r="V13" i="24"/>
  <c r="U20" i="29"/>
  <c r="U10" i="29"/>
  <c r="G8" i="24"/>
  <c r="U4" i="29"/>
  <c r="U6" i="29"/>
  <c r="U17" i="29"/>
  <c r="U15" i="29"/>
  <c r="U11" i="29"/>
  <c r="G4" i="24"/>
  <c r="U19" i="29"/>
  <c r="U9" i="29"/>
  <c r="V10" i="24"/>
  <c r="G12" i="24"/>
  <c r="V15" i="24"/>
  <c r="U3" i="29"/>
  <c r="G9" i="24"/>
  <c r="U16" i="29"/>
  <c r="G11" i="24"/>
  <c r="V14" i="24"/>
  <c r="G13" i="24"/>
  <c r="U2" i="29"/>
  <c r="G14" i="24"/>
  <c r="V6" i="24"/>
  <c r="V5" i="24"/>
  <c r="V11" i="24"/>
  <c r="V4" i="24"/>
  <c r="V7" i="24"/>
  <c r="V8" i="24"/>
  <c r="G6" i="24"/>
  <c r="V12" i="24"/>
  <c r="V9" i="24"/>
  <c r="U12" i="29"/>
  <c r="O268" i="39"/>
  <c r="R268" i="39"/>
  <c r="U268" i="39"/>
  <c r="Q268" i="39"/>
  <c r="W268" i="39"/>
  <c r="U274" i="39"/>
  <c r="R274" i="39"/>
  <c r="Q274" i="39"/>
  <c r="O274" i="39"/>
  <c r="R272" i="39"/>
  <c r="U272" i="39"/>
  <c r="Q272" i="39"/>
  <c r="O272" i="39"/>
  <c r="W272" i="39"/>
  <c r="U270" i="39"/>
  <c r="R270" i="39"/>
  <c r="Q270" i="39"/>
  <c r="O270" i="39"/>
  <c r="W270" i="39"/>
  <c r="Q266" i="39"/>
  <c r="U266" i="39"/>
  <c r="R266" i="39"/>
  <c r="O266" i="39"/>
  <c r="W266" i="39"/>
  <c r="R267" i="39"/>
  <c r="O267" i="39"/>
  <c r="U267" i="39"/>
  <c r="Q267" i="39"/>
  <c r="W267" i="39"/>
  <c r="F261" i="39"/>
  <c r="L261" i="39"/>
  <c r="L259" i="39"/>
  <c r="I257" i="39"/>
  <c r="J257" i="39"/>
  <c r="AB261" i="39"/>
  <c r="AS261" i="39" s="1"/>
  <c r="K251" i="39"/>
  <c r="M253" i="39"/>
  <c r="K261" i="39"/>
  <c r="F253" i="39"/>
  <c r="X253" i="39"/>
  <c r="AB251" i="39"/>
  <c r="AS251" i="39" s="1"/>
  <c r="I251" i="39"/>
  <c r="F257" i="39"/>
  <c r="Z253" i="39"/>
  <c r="I253" i="39"/>
  <c r="F255" i="39"/>
  <c r="Y255" i="39"/>
  <c r="K257" i="39"/>
  <c r="AA261" i="39"/>
  <c r="J255" i="39"/>
  <c r="N259" i="39"/>
  <c r="V259" i="39"/>
  <c r="Z257" i="39"/>
  <c r="H255" i="39"/>
  <c r="M259" i="39"/>
  <c r="AB253" i="39"/>
  <c r="AS253" i="39" s="1"/>
  <c r="X261" i="39"/>
  <c r="I255" i="39"/>
  <c r="AA251" i="39"/>
  <c r="M255" i="39"/>
  <c r="H257" i="39"/>
  <c r="K253" i="39"/>
  <c r="V257" i="39"/>
  <c r="I261" i="39"/>
  <c r="V253" i="39"/>
  <c r="G261" i="39"/>
  <c r="H261" i="39"/>
  <c r="G251" i="39"/>
  <c r="K259" i="39"/>
  <c r="F259" i="39"/>
  <c r="Z261" i="39"/>
  <c r="AA257" i="39"/>
  <c r="J259" i="39"/>
  <c r="Z259" i="39"/>
  <c r="G259" i="39"/>
  <c r="L253" i="39"/>
  <c r="AA255" i="39"/>
  <c r="L257" i="39"/>
  <c r="AB257" i="39"/>
  <c r="AS257" i="39" s="1"/>
  <c r="AB259" i="39"/>
  <c r="AS259" i="39" s="1"/>
  <c r="I259" i="39"/>
  <c r="N257" i="39"/>
  <c r="M257" i="39"/>
  <c r="V251" i="39"/>
  <c r="Y261" i="39"/>
  <c r="X251" i="39"/>
  <c r="L255" i="39"/>
  <c r="G257" i="39"/>
  <c r="Y253" i="39"/>
  <c r="AA253" i="39"/>
  <c r="AB255" i="39"/>
  <c r="AS255" i="39" s="1"/>
  <c r="V255" i="39"/>
  <c r="M261" i="39"/>
  <c r="J253" i="39"/>
  <c r="N255" i="39"/>
  <c r="N261" i="39"/>
  <c r="Y259" i="39"/>
  <c r="AA259" i="39"/>
  <c r="H253" i="39"/>
  <c r="K255" i="39"/>
  <c r="N253" i="39"/>
  <c r="J261" i="39"/>
  <c r="G255" i="39"/>
  <c r="V261" i="39"/>
  <c r="Y257" i="39"/>
  <c r="H259" i="39"/>
  <c r="X257" i="39"/>
  <c r="X255" i="39"/>
  <c r="Z255" i="39"/>
  <c r="G253" i="39"/>
  <c r="X259" i="39"/>
  <c r="V183" i="39"/>
  <c r="Z161" i="39"/>
  <c r="V221" i="39"/>
  <c r="L139" i="39"/>
  <c r="Z155" i="39"/>
  <c r="I159" i="39"/>
  <c r="X249" i="39"/>
  <c r="I250" i="39"/>
  <c r="J174" i="39"/>
  <c r="F141" i="39"/>
  <c r="M185" i="39"/>
  <c r="AB250" i="39"/>
  <c r="AS250" i="39" s="1"/>
  <c r="M154" i="39"/>
  <c r="J235" i="39"/>
  <c r="AA137" i="39"/>
  <c r="Z158" i="39"/>
  <c r="V205" i="39"/>
  <c r="I169" i="39"/>
  <c r="G232" i="39"/>
  <c r="AA146" i="39"/>
  <c r="M200" i="39"/>
  <c r="Z168" i="39"/>
  <c r="F175" i="39"/>
  <c r="H219" i="39"/>
  <c r="Z178" i="39"/>
  <c r="I182" i="39"/>
  <c r="V220" i="39"/>
  <c r="L149" i="39"/>
  <c r="Z133" i="39"/>
  <c r="X192" i="39"/>
  <c r="AA209" i="39"/>
  <c r="M184" i="39"/>
  <c r="N137" i="39"/>
  <c r="L223" i="39"/>
  <c r="L229" i="39"/>
  <c r="F188" i="39"/>
  <c r="I156" i="39"/>
  <c r="Z247" i="39"/>
  <c r="G174" i="39"/>
  <c r="X258" i="39"/>
  <c r="AB139" i="39"/>
  <c r="AS139" i="39" s="1"/>
  <c r="L196" i="39"/>
  <c r="Y137" i="39"/>
  <c r="H241" i="39"/>
  <c r="G241" i="39"/>
  <c r="G153" i="39"/>
  <c r="I189" i="39"/>
  <c r="M210" i="39"/>
  <c r="I248" i="39"/>
  <c r="K196" i="39"/>
  <c r="J165" i="39"/>
  <c r="Y250" i="39"/>
  <c r="F182" i="39"/>
  <c r="N175" i="39"/>
  <c r="N167" i="39"/>
  <c r="V143" i="39"/>
  <c r="G178" i="39"/>
  <c r="H188" i="39"/>
  <c r="H157" i="39"/>
  <c r="Z163" i="39"/>
  <c r="Z156" i="39"/>
  <c r="M152" i="39"/>
  <c r="K232" i="39"/>
  <c r="X177" i="39"/>
  <c r="Z217" i="39"/>
  <c r="I136" i="39"/>
  <c r="J226" i="39"/>
  <c r="H191" i="39"/>
  <c r="X242" i="39"/>
  <c r="AB262" i="39"/>
  <c r="AS262" i="39" s="1"/>
  <c r="V237" i="39"/>
  <c r="X162" i="39"/>
  <c r="AA238" i="39"/>
  <c r="M226" i="39"/>
  <c r="L243" i="39"/>
  <c r="Z199" i="39"/>
  <c r="F177" i="39"/>
  <c r="I219" i="39"/>
  <c r="G215" i="39"/>
  <c r="AB178" i="39"/>
  <c r="AS178" i="39" s="1"/>
  <c r="Z229" i="39"/>
  <c r="V250" i="39"/>
  <c r="AB237" i="39"/>
  <c r="AS237" i="39" s="1"/>
  <c r="AB175" i="39"/>
  <c r="AS175" i="39" s="1"/>
  <c r="J169" i="39"/>
  <c r="N226" i="39"/>
  <c r="J193" i="39"/>
  <c r="L252" i="39"/>
  <c r="M242" i="39"/>
  <c r="N237" i="39"/>
  <c r="K208" i="39"/>
  <c r="AA184" i="39"/>
  <c r="J224" i="39"/>
  <c r="F213" i="39"/>
  <c r="I131" i="39"/>
  <c r="N131" i="39"/>
  <c r="AB222" i="39"/>
  <c r="AS222" i="39" s="1"/>
  <c r="G157" i="39"/>
  <c r="Y167" i="39"/>
  <c r="AA205" i="39"/>
  <c r="H230" i="39"/>
  <c r="K187" i="39"/>
  <c r="Y163" i="39"/>
  <c r="Z193" i="39"/>
  <c r="V155" i="39"/>
  <c r="N178" i="39"/>
  <c r="M203" i="39"/>
  <c r="N159" i="39"/>
  <c r="Z202" i="39"/>
  <c r="F165" i="39"/>
  <c r="N233" i="39"/>
  <c r="L239" i="39"/>
  <c r="AB166" i="39"/>
  <c r="AS166" i="39" s="1"/>
  <c r="L178" i="39"/>
  <c r="G155" i="39"/>
  <c r="Z206" i="39"/>
  <c r="H148" i="39"/>
  <c r="Z186" i="39"/>
  <c r="V244" i="39"/>
  <c r="L171" i="39"/>
  <c r="M151" i="39"/>
  <c r="L238" i="39"/>
  <c r="Y206" i="39"/>
  <c r="J168" i="39"/>
  <c r="AA133" i="39"/>
  <c r="G137" i="39"/>
  <c r="F144" i="39"/>
  <c r="G240" i="39"/>
  <c r="H251" i="39"/>
  <c r="Y179" i="39"/>
  <c r="G262" i="39"/>
  <c r="N171" i="39"/>
  <c r="AA156" i="39"/>
  <c r="G143" i="39"/>
  <c r="X213" i="39"/>
  <c r="H210" i="39"/>
  <c r="X153" i="39"/>
  <c r="H215" i="39"/>
  <c r="I223" i="39"/>
  <c r="Z151" i="39"/>
  <c r="I143" i="39"/>
  <c r="K136" i="39"/>
  <c r="AA212" i="39"/>
  <c r="J198" i="39"/>
  <c r="N182" i="39"/>
  <c r="AA198" i="39"/>
  <c r="AB173" i="39"/>
  <c r="AS173" i="39" s="1"/>
  <c r="V182" i="39"/>
  <c r="X222" i="39"/>
  <c r="X236" i="39"/>
  <c r="F157" i="39"/>
  <c r="X185" i="39"/>
  <c r="X136" i="39"/>
  <c r="M263" i="39"/>
  <c r="F184" i="39"/>
  <c r="N192" i="39"/>
  <c r="AA202" i="39"/>
  <c r="M233" i="39"/>
  <c r="AB194" i="39"/>
  <c r="AS194" i="39" s="1"/>
  <c r="G172" i="39"/>
  <c r="Y180" i="39"/>
  <c r="G171" i="39"/>
  <c r="L205" i="39"/>
  <c r="K138" i="39"/>
  <c r="J228" i="39"/>
  <c r="J131" i="39"/>
  <c r="V227" i="39"/>
  <c r="N246" i="39"/>
  <c r="Z246" i="39"/>
  <c r="AB219" i="39"/>
  <c r="AS219" i="39" s="1"/>
  <c r="H203" i="39"/>
  <c r="F156" i="39"/>
  <c r="X142" i="39"/>
  <c r="N244" i="39"/>
  <c r="AA191" i="39"/>
  <c r="H226" i="39"/>
  <c r="G190" i="39"/>
  <c r="V224" i="39"/>
  <c r="AA169" i="39"/>
  <c r="K206" i="39"/>
  <c r="K226" i="39"/>
  <c r="K166" i="39"/>
  <c r="Z149" i="39"/>
  <c r="J211" i="39"/>
  <c r="X252" i="39"/>
  <c r="G245" i="39"/>
  <c r="H221" i="39"/>
  <c r="X178" i="39"/>
  <c r="N215" i="39"/>
  <c r="AA129" i="39"/>
  <c r="H196" i="39"/>
  <c r="X243" i="39"/>
  <c r="H209" i="39"/>
  <c r="I214" i="39"/>
  <c r="N245" i="39"/>
  <c r="V236" i="39"/>
  <c r="F136" i="39"/>
  <c r="H263" i="39"/>
  <c r="M249" i="39"/>
  <c r="K247" i="39"/>
  <c r="M198" i="39"/>
  <c r="J215" i="39"/>
  <c r="G169" i="39"/>
  <c r="AB242" i="39"/>
  <c r="AS242" i="39" s="1"/>
  <c r="L172" i="39"/>
  <c r="Y207" i="39"/>
  <c r="F145" i="39"/>
  <c r="M173" i="39"/>
  <c r="I164" i="39"/>
  <c r="X244" i="39"/>
  <c r="V228" i="39"/>
  <c r="M224" i="39"/>
  <c r="I220" i="39"/>
  <c r="M145" i="39"/>
  <c r="K173" i="39"/>
  <c r="N231" i="39"/>
  <c r="H140" i="39"/>
  <c r="H150" i="39"/>
  <c r="AB153" i="39"/>
  <c r="AS153" i="39" s="1"/>
  <c r="H228" i="39"/>
  <c r="H217" i="39"/>
  <c r="Y181" i="39"/>
  <c r="J262" i="39"/>
  <c r="X210" i="39"/>
  <c r="I183" i="39"/>
  <c r="V132" i="39"/>
  <c r="AB204" i="39"/>
  <c r="AS204" i="39" s="1"/>
  <c r="G158" i="39"/>
  <c r="Y194" i="39"/>
  <c r="G238" i="39"/>
  <c r="X139" i="39"/>
  <c r="V152" i="39"/>
  <c r="K219" i="39"/>
  <c r="AB181" i="39"/>
  <c r="AS181" i="39" s="1"/>
  <c r="K137" i="39"/>
  <c r="M258" i="39"/>
  <c r="N186" i="39"/>
  <c r="M246" i="39"/>
  <c r="M134" i="39"/>
  <c r="J133" i="39"/>
  <c r="Y208" i="39"/>
  <c r="J156" i="39"/>
  <c r="K170" i="39"/>
  <c r="M159" i="39"/>
  <c r="F217" i="39"/>
  <c r="I252" i="39"/>
  <c r="X169" i="39"/>
  <c r="Z129" i="39"/>
  <c r="AB263" i="39"/>
  <c r="AS263" i="39" s="1"/>
  <c r="V158" i="39"/>
  <c r="I228" i="39"/>
  <c r="F242" i="39"/>
  <c r="Y159" i="39"/>
  <c r="L163" i="39"/>
  <c r="K239" i="39"/>
  <c r="AA132" i="39"/>
  <c r="K162" i="39"/>
  <c r="Z183" i="39"/>
  <c r="H141" i="39"/>
  <c r="I235" i="39"/>
  <c r="G206" i="39"/>
  <c r="H149" i="39"/>
  <c r="I242" i="39"/>
  <c r="X188" i="39"/>
  <c r="H214" i="39"/>
  <c r="L232" i="39"/>
  <c r="I150" i="39"/>
  <c r="F166" i="39"/>
  <c r="M211" i="39"/>
  <c r="L154" i="39"/>
  <c r="V187" i="39"/>
  <c r="L165" i="39"/>
  <c r="AA176" i="39"/>
  <c r="V150" i="39"/>
  <c r="I243" i="39"/>
  <c r="AB240" i="39"/>
  <c r="AS240" i="39" s="1"/>
  <c r="N206" i="39"/>
  <c r="M155" i="39"/>
  <c r="J134" i="39"/>
  <c r="G159" i="39"/>
  <c r="F150" i="39"/>
  <c r="Y147" i="39"/>
  <c r="G161" i="39"/>
  <c r="Y205" i="39"/>
  <c r="Y234" i="39"/>
  <c r="F240" i="39"/>
  <c r="M219" i="39"/>
  <c r="Z166" i="39"/>
  <c r="Y213" i="39"/>
  <c r="V214" i="39"/>
  <c r="AA190" i="39"/>
  <c r="K258" i="39"/>
  <c r="M186" i="39"/>
  <c r="AB214" i="39"/>
  <c r="AS214" i="39" s="1"/>
  <c r="M176" i="39"/>
  <c r="Y226" i="39"/>
  <c r="AB135" i="39"/>
  <c r="AS135" i="39" s="1"/>
  <c r="F160" i="39"/>
  <c r="N148" i="39"/>
  <c r="J214" i="39"/>
  <c r="J141" i="39"/>
  <c r="Z210" i="39"/>
  <c r="N222" i="39"/>
  <c r="L137" i="39"/>
  <c r="Y155" i="39"/>
  <c r="J151" i="39"/>
  <c r="H225" i="39"/>
  <c r="V157" i="39"/>
  <c r="N219" i="39"/>
  <c r="I247" i="39"/>
  <c r="N248" i="39"/>
  <c r="F163" i="39"/>
  <c r="G168" i="39"/>
  <c r="H147" i="39"/>
  <c r="Z207" i="39"/>
  <c r="Y189" i="39"/>
  <c r="K142" i="39"/>
  <c r="J210" i="39"/>
  <c r="Y238" i="39"/>
  <c r="X206" i="39"/>
  <c r="F197" i="39"/>
  <c r="L216" i="39"/>
  <c r="X238" i="39"/>
  <c r="V218" i="39"/>
  <c r="J192" i="39"/>
  <c r="G180" i="39"/>
  <c r="Y129" i="39"/>
  <c r="L221" i="39"/>
  <c r="H242" i="39"/>
  <c r="Y176" i="39"/>
  <c r="AB231" i="39"/>
  <c r="AS231" i="39" s="1"/>
  <c r="J155" i="39"/>
  <c r="G175" i="39"/>
  <c r="V209" i="39"/>
  <c r="L185" i="39"/>
  <c r="X240" i="39"/>
  <c r="I130" i="39"/>
  <c r="F241" i="39"/>
  <c r="L227" i="39"/>
  <c r="F155" i="39"/>
  <c r="G217" i="39"/>
  <c r="N256" i="39"/>
  <c r="Y243" i="39"/>
  <c r="Z236" i="39"/>
  <c r="Y138" i="39"/>
  <c r="L176" i="39"/>
  <c r="I249" i="39"/>
  <c r="J246" i="39"/>
  <c r="I260" i="39"/>
  <c r="L249" i="39"/>
  <c r="J207" i="39"/>
  <c r="L157" i="39"/>
  <c r="AA214" i="39"/>
  <c r="AB186" i="39"/>
  <c r="AS186" i="39" s="1"/>
  <c r="Y242" i="39"/>
  <c r="G221" i="39"/>
  <c r="Z150" i="39"/>
  <c r="N224" i="39"/>
  <c r="X221" i="39"/>
  <c r="M207" i="39"/>
  <c r="G132" i="39"/>
  <c r="V202" i="39"/>
  <c r="AB221" i="39"/>
  <c r="AS221" i="39" s="1"/>
  <c r="J260" i="39"/>
  <c r="M153" i="39"/>
  <c r="AB236" i="39"/>
  <c r="AS236" i="39" s="1"/>
  <c r="J176" i="39"/>
  <c r="L190" i="39"/>
  <c r="I201" i="39"/>
  <c r="F239" i="39"/>
  <c r="V232" i="39"/>
  <c r="AA227" i="39"/>
  <c r="AA200" i="39"/>
  <c r="J186" i="39"/>
  <c r="F198" i="39"/>
  <c r="F149" i="39"/>
  <c r="AB167" i="39"/>
  <c r="AS167" i="39" s="1"/>
  <c r="AA171" i="39"/>
  <c r="AB201" i="39"/>
  <c r="AS201" i="39" s="1"/>
  <c r="F218" i="39"/>
  <c r="AA143" i="39"/>
  <c r="Y144" i="39"/>
  <c r="F137" i="39"/>
  <c r="L155" i="39"/>
  <c r="Y198" i="39"/>
  <c r="X230" i="39"/>
  <c r="F151" i="39"/>
  <c r="M240" i="39"/>
  <c r="M144" i="39"/>
  <c r="H206" i="39"/>
  <c r="J252" i="39"/>
  <c r="I254" i="39"/>
  <c r="Z258" i="39"/>
  <c r="F169" i="39"/>
  <c r="M143" i="39"/>
  <c r="M136" i="39"/>
  <c r="Y132" i="39"/>
  <c r="AA136" i="39"/>
  <c r="G211" i="39"/>
  <c r="H193" i="39"/>
  <c r="AA235" i="39"/>
  <c r="M137" i="39"/>
  <c r="M245" i="39"/>
  <c r="V242" i="39"/>
  <c r="M231" i="39"/>
  <c r="F139" i="39"/>
  <c r="I153" i="39"/>
  <c r="K201" i="39"/>
  <c r="I163" i="39"/>
  <c r="M241" i="39"/>
  <c r="X140" i="39"/>
  <c r="F190" i="39"/>
  <c r="AA144" i="39"/>
  <c r="N228" i="39"/>
  <c r="M227" i="39"/>
  <c r="I184" i="39"/>
  <c r="J238" i="39"/>
  <c r="X148" i="39"/>
  <c r="L225" i="39"/>
  <c r="Y153" i="39"/>
  <c r="X160" i="39"/>
  <c r="V161" i="39"/>
  <c r="J197" i="39"/>
  <c r="X157" i="39"/>
  <c r="L254" i="39"/>
  <c r="F260" i="39"/>
  <c r="G247" i="39"/>
  <c r="I263" i="39"/>
  <c r="H181" i="39"/>
  <c r="M170" i="39"/>
  <c r="AA131" i="39"/>
  <c r="V249" i="39"/>
  <c r="H245" i="39"/>
  <c r="G246" i="39"/>
  <c r="Z249" i="39"/>
  <c r="X146" i="39"/>
  <c r="G173" i="39"/>
  <c r="X158" i="39"/>
  <c r="V194" i="39"/>
  <c r="I149" i="39"/>
  <c r="N184" i="39"/>
  <c r="AA243" i="39"/>
  <c r="M190" i="39"/>
  <c r="AA181" i="39"/>
  <c r="X187" i="39"/>
  <c r="L231" i="39"/>
  <c r="F208" i="39"/>
  <c r="L262" i="39"/>
  <c r="Y157" i="39"/>
  <c r="AB159" i="39"/>
  <c r="AS159" i="39" s="1"/>
  <c r="G258" i="39"/>
  <c r="N168" i="39"/>
  <c r="L250" i="39"/>
  <c r="Y231" i="39"/>
  <c r="F262" i="39"/>
  <c r="AB143" i="39"/>
  <c r="AS143" i="39" s="1"/>
  <c r="G199" i="39"/>
  <c r="V164" i="39"/>
  <c r="AA153" i="39"/>
  <c r="N142" i="39"/>
  <c r="AA239" i="39"/>
  <c r="Y169" i="39"/>
  <c r="Z222" i="39"/>
  <c r="M251" i="39"/>
  <c r="M218" i="39"/>
  <c r="J201" i="39"/>
  <c r="AB132" i="39"/>
  <c r="AS132" i="39" s="1"/>
  <c r="M222" i="39"/>
  <c r="N251" i="39"/>
  <c r="AB131" i="39"/>
  <c r="AS131" i="39" s="1"/>
  <c r="L130" i="39"/>
  <c r="F131" i="39"/>
  <c r="X174" i="39"/>
  <c r="H204" i="39"/>
  <c r="N129" i="39"/>
  <c r="G224" i="39"/>
  <c r="Z192" i="39"/>
  <c r="M141" i="39"/>
  <c r="H237" i="39"/>
  <c r="H178" i="39"/>
  <c r="L134" i="39"/>
  <c r="J212" i="39"/>
  <c r="AB184" i="39"/>
  <c r="AS184" i="39" s="1"/>
  <c r="I148" i="39"/>
  <c r="J254" i="39"/>
  <c r="H172" i="39"/>
  <c r="Z145" i="39"/>
  <c r="X198" i="39"/>
  <c r="K191" i="39"/>
  <c r="K241" i="39"/>
  <c r="Y214" i="39"/>
  <c r="G248" i="39"/>
  <c r="AB195" i="39"/>
  <c r="AS195" i="39" s="1"/>
  <c r="N198" i="39"/>
  <c r="Z177" i="39"/>
  <c r="X168" i="39"/>
  <c r="J200" i="39"/>
  <c r="AB210" i="39"/>
  <c r="AS210" i="39" s="1"/>
  <c r="I202" i="39"/>
  <c r="V134" i="39"/>
  <c r="J136" i="39"/>
  <c r="G256" i="39"/>
  <c r="X133" i="39"/>
  <c r="Y229" i="39"/>
  <c r="G243" i="39"/>
  <c r="I172" i="39"/>
  <c r="X173" i="39"/>
  <c r="G156" i="39"/>
  <c r="X171" i="39"/>
  <c r="Y262" i="39"/>
  <c r="I188" i="39"/>
  <c r="F254" i="39"/>
  <c r="K186" i="39"/>
  <c r="Y152" i="39"/>
  <c r="I233" i="39"/>
  <c r="I190" i="39"/>
  <c r="AA138" i="39"/>
  <c r="V240" i="39"/>
  <c r="L244" i="39"/>
  <c r="AB180" i="39"/>
  <c r="AS180" i="39" s="1"/>
  <c r="Y237" i="39"/>
  <c r="X263" i="39"/>
  <c r="J146" i="39"/>
  <c r="F205" i="39"/>
  <c r="J213" i="39"/>
  <c r="Z200" i="39"/>
  <c r="L263" i="39"/>
  <c r="AA232" i="39"/>
  <c r="AA162" i="39"/>
  <c r="N132" i="39"/>
  <c r="AB189" i="39"/>
  <c r="AS189" i="39" s="1"/>
  <c r="M164" i="39"/>
  <c r="Z251" i="39"/>
  <c r="N240" i="39"/>
  <c r="I240" i="39"/>
  <c r="N140" i="39"/>
  <c r="N201" i="39"/>
  <c r="AB203" i="39"/>
  <c r="AS203" i="39" s="1"/>
  <c r="J202" i="39"/>
  <c r="N235" i="39"/>
  <c r="L201" i="39"/>
  <c r="K151" i="39"/>
  <c r="V162" i="39"/>
  <c r="V256" i="39"/>
  <c r="Y151" i="39"/>
  <c r="I139" i="39"/>
  <c r="AA231" i="39"/>
  <c r="F192" i="39"/>
  <c r="K227" i="39"/>
  <c r="K169" i="39"/>
  <c r="K250" i="39"/>
  <c r="AA145" i="39"/>
  <c r="L147" i="39"/>
  <c r="L256" i="39"/>
  <c r="Z188" i="39"/>
  <c r="N204" i="39"/>
  <c r="F146" i="39"/>
  <c r="Z135" i="39"/>
  <c r="K256" i="39"/>
  <c r="H131" i="39"/>
  <c r="F258" i="39"/>
  <c r="H229" i="39"/>
  <c r="H133" i="39"/>
  <c r="F153" i="39"/>
  <c r="X190" i="39"/>
  <c r="AB216" i="39"/>
  <c r="AS216" i="39" s="1"/>
  <c r="F134" i="39"/>
  <c r="Z173" i="39"/>
  <c r="Z167" i="39"/>
  <c r="J219" i="39"/>
  <c r="F246" i="39"/>
  <c r="N154" i="39"/>
  <c r="I132" i="39"/>
  <c r="L182" i="39"/>
  <c r="J249" i="39"/>
  <c r="M177" i="39"/>
  <c r="AB238" i="39"/>
  <c r="AS238" i="39" s="1"/>
  <c r="Z176" i="39"/>
  <c r="I256" i="39"/>
  <c r="AB157" i="39"/>
  <c r="AS157" i="39" s="1"/>
  <c r="F220" i="39"/>
  <c r="V172" i="39"/>
  <c r="I215" i="39"/>
  <c r="X262" i="39"/>
  <c r="M229" i="39"/>
  <c r="L183" i="39"/>
  <c r="Z235" i="39"/>
  <c r="X135" i="39"/>
  <c r="G250" i="39"/>
  <c r="M239" i="39"/>
  <c r="V154" i="39"/>
  <c r="G236" i="39"/>
  <c r="AA204" i="39"/>
  <c r="V136" i="39"/>
  <c r="Y135" i="39"/>
  <c r="K135" i="39"/>
  <c r="X131" i="39"/>
  <c r="Y222" i="39"/>
  <c r="L210" i="39"/>
  <c r="K244" i="39"/>
  <c r="Z238" i="39"/>
  <c r="I203" i="39"/>
  <c r="K192" i="39"/>
  <c r="H170" i="39"/>
  <c r="I137" i="39"/>
  <c r="F140" i="39"/>
  <c r="AB151" i="39"/>
  <c r="AS151" i="39" s="1"/>
  <c r="H184" i="39"/>
  <c r="I138" i="39"/>
  <c r="M254" i="39"/>
  <c r="Y223" i="39"/>
  <c r="H199" i="39"/>
  <c r="Z252" i="39"/>
  <c r="AB207" i="39"/>
  <c r="AS207" i="39" s="1"/>
  <c r="H167" i="39"/>
  <c r="J218" i="39"/>
  <c r="M138" i="39"/>
  <c r="AB193" i="39"/>
  <c r="AS193" i="39" s="1"/>
  <c r="V198" i="39"/>
  <c r="K238" i="39"/>
  <c r="AA161" i="39"/>
  <c r="F227" i="39"/>
  <c r="X201" i="39"/>
  <c r="AA225" i="39"/>
  <c r="AB149" i="39"/>
  <c r="AS149" i="39" s="1"/>
  <c r="L234" i="39"/>
  <c r="N212" i="39"/>
  <c r="M197" i="39"/>
  <c r="F130" i="39"/>
  <c r="V173" i="39"/>
  <c r="L195" i="39"/>
  <c r="V193" i="39"/>
  <c r="K150" i="39"/>
  <c r="K233" i="39"/>
  <c r="J203" i="39"/>
  <c r="J216" i="39"/>
  <c r="Z191" i="39"/>
  <c r="H163" i="39"/>
  <c r="L202" i="39"/>
  <c r="G152" i="39"/>
  <c r="Y204" i="39"/>
  <c r="X165" i="39"/>
  <c r="Z241" i="39"/>
  <c r="K224" i="39"/>
  <c r="L240" i="39"/>
  <c r="M161" i="39"/>
  <c r="N220" i="39"/>
  <c r="F237" i="39"/>
  <c r="Z195" i="39"/>
  <c r="J245" i="39"/>
  <c r="M230" i="39"/>
  <c r="F230" i="39"/>
  <c r="Y220" i="39"/>
  <c r="Y211" i="39"/>
  <c r="G140" i="39"/>
  <c r="J240" i="39"/>
  <c r="K164" i="39"/>
  <c r="G237" i="39"/>
  <c r="X248" i="39"/>
  <c r="G197" i="39"/>
  <c r="V166" i="39"/>
  <c r="Z230" i="39"/>
  <c r="N205" i="39"/>
  <c r="M196" i="39"/>
  <c r="K220" i="39"/>
  <c r="I135" i="39"/>
  <c r="L143" i="39"/>
  <c r="H246" i="39"/>
  <c r="G148" i="39"/>
  <c r="F221" i="39"/>
  <c r="X176" i="39"/>
  <c r="AB245" i="39"/>
  <c r="AS245" i="39" s="1"/>
  <c r="M191" i="39"/>
  <c r="I158" i="39"/>
  <c r="AA164" i="39"/>
  <c r="N232" i="39"/>
  <c r="J199" i="39"/>
  <c r="AB246" i="39"/>
  <c r="AS246" i="39" s="1"/>
  <c r="F235" i="39"/>
  <c r="F203" i="39"/>
  <c r="K218" i="39"/>
  <c r="J231" i="39"/>
  <c r="N179" i="39"/>
  <c r="V226" i="39"/>
  <c r="J221" i="39"/>
  <c r="AA142" i="39"/>
  <c r="N185" i="39"/>
  <c r="N158" i="39"/>
  <c r="AA192" i="39"/>
  <c r="Z234" i="39"/>
  <c r="AB183" i="39"/>
  <c r="AS183" i="39" s="1"/>
  <c r="Y182" i="39"/>
  <c r="Y210" i="39"/>
  <c r="AA241" i="39"/>
  <c r="M179" i="39"/>
  <c r="AB200" i="39"/>
  <c r="AS200" i="39" s="1"/>
  <c r="N195" i="39"/>
  <c r="AB144" i="39"/>
  <c r="AS144" i="39" s="1"/>
  <c r="H159" i="39"/>
  <c r="K132" i="39"/>
  <c r="AB224" i="39"/>
  <c r="AS224" i="39" s="1"/>
  <c r="M172" i="39"/>
  <c r="X156" i="39"/>
  <c r="K144" i="39"/>
  <c r="J194" i="39"/>
  <c r="K185" i="39"/>
  <c r="Y202" i="39"/>
  <c r="M148" i="39"/>
  <c r="G150" i="39"/>
  <c r="I232" i="39"/>
  <c r="K139" i="39"/>
  <c r="L174" i="39"/>
  <c r="L167" i="39"/>
  <c r="V147" i="39"/>
  <c r="Z179" i="39"/>
  <c r="F251" i="39"/>
  <c r="K175" i="39"/>
  <c r="L251" i="39"/>
  <c r="Y200" i="39"/>
  <c r="N254" i="39"/>
  <c r="V140" i="39"/>
  <c r="M212" i="39"/>
  <c r="AA154" i="39"/>
  <c r="J191" i="39"/>
  <c r="K163" i="39"/>
  <c r="Z130" i="39"/>
  <c r="X220" i="39"/>
  <c r="X184" i="39"/>
  <c r="F171" i="39"/>
  <c r="F250" i="39"/>
  <c r="J157" i="39"/>
  <c r="F223" i="39"/>
  <c r="Y221" i="39"/>
  <c r="AA166" i="39"/>
  <c r="H179" i="39"/>
  <c r="H232" i="39"/>
  <c r="L150" i="39"/>
  <c r="Z205" i="39"/>
  <c r="Z170" i="39"/>
  <c r="I236" i="39"/>
  <c r="G130" i="39"/>
  <c r="F167" i="39"/>
  <c r="F204" i="39"/>
  <c r="K131" i="39"/>
  <c r="X225" i="39"/>
  <c r="N260" i="39"/>
  <c r="G254" i="39"/>
  <c r="N200" i="39"/>
  <c r="X228" i="39"/>
  <c r="G145" i="39"/>
  <c r="I170" i="39"/>
  <c r="J175" i="39"/>
  <c r="AB179" i="39"/>
  <c r="AS179" i="39" s="1"/>
  <c r="X161" i="39"/>
  <c r="Z260" i="39"/>
  <c r="Z152" i="39"/>
  <c r="AB191" i="39"/>
  <c r="AS191" i="39" s="1"/>
  <c r="AA196" i="39"/>
  <c r="I186" i="39"/>
  <c r="J139" i="39"/>
  <c r="K221" i="39"/>
  <c r="M180" i="39"/>
  <c r="J173" i="39"/>
  <c r="AB220" i="39"/>
  <c r="AS220" i="39" s="1"/>
  <c r="G249" i="39"/>
  <c r="G184" i="39"/>
  <c r="AA254" i="39"/>
  <c r="M235" i="39"/>
  <c r="L151" i="39"/>
  <c r="J239" i="39"/>
  <c r="Z216" i="39"/>
  <c r="I171" i="39"/>
  <c r="Y183" i="39"/>
  <c r="F201" i="39"/>
  <c r="Z194" i="39"/>
  <c r="H156" i="39"/>
  <c r="I211" i="39"/>
  <c r="X200" i="39"/>
  <c r="K235" i="39"/>
  <c r="Z153" i="39"/>
  <c r="M260" i="39"/>
  <c r="F202" i="39"/>
  <c r="H145" i="39"/>
  <c r="V197" i="39"/>
  <c r="Y209" i="39"/>
  <c r="M150" i="39"/>
  <c r="Y168" i="39"/>
  <c r="J233" i="39"/>
  <c r="K157" i="39"/>
  <c r="K190" i="39"/>
  <c r="AA229" i="39"/>
  <c r="Z242" i="39"/>
  <c r="Z240" i="39"/>
  <c r="I192" i="39"/>
  <c r="G182" i="39"/>
  <c r="Y203" i="39"/>
  <c r="I217" i="39"/>
  <c r="X260" i="39"/>
  <c r="N258" i="39"/>
  <c r="I199" i="39"/>
  <c r="N221" i="39"/>
  <c r="L142" i="39"/>
  <c r="AB213" i="39"/>
  <c r="AS213" i="39" s="1"/>
  <c r="I239" i="39"/>
  <c r="X229" i="39"/>
  <c r="AB230" i="39"/>
  <c r="AS230" i="39" s="1"/>
  <c r="H244" i="39"/>
  <c r="J166" i="39"/>
  <c r="X224" i="39"/>
  <c r="AB169" i="39"/>
  <c r="AS169" i="39" s="1"/>
  <c r="AA203" i="39"/>
  <c r="Y215" i="39"/>
  <c r="M204" i="39"/>
  <c r="F247" i="39"/>
  <c r="I225" i="39"/>
  <c r="I227" i="39"/>
  <c r="AB215" i="39"/>
  <c r="AS215" i="39" s="1"/>
  <c r="N152" i="39"/>
  <c r="L161" i="39"/>
  <c r="I193" i="39"/>
  <c r="L186" i="39"/>
  <c r="G222" i="39"/>
  <c r="J222" i="39"/>
  <c r="F225" i="39"/>
  <c r="N161" i="39"/>
  <c r="AB247" i="39"/>
  <c r="AS247" i="39" s="1"/>
  <c r="J149" i="39"/>
  <c r="AA188" i="39"/>
  <c r="J164" i="39"/>
  <c r="AB171" i="39"/>
  <c r="AS171" i="39" s="1"/>
  <c r="Z243" i="39"/>
  <c r="X144" i="39"/>
  <c r="F199" i="39"/>
  <c r="AB129" i="39"/>
  <c r="AS129" i="39" s="1"/>
  <c r="M262" i="39"/>
  <c r="K148" i="39"/>
  <c r="Z165" i="39"/>
  <c r="K165" i="39"/>
  <c r="Z196" i="39"/>
  <c r="AB256" i="39"/>
  <c r="AS256" i="39" s="1"/>
  <c r="G229" i="39"/>
  <c r="AA141" i="39"/>
  <c r="M158" i="39"/>
  <c r="I141" i="39"/>
  <c r="F193" i="39"/>
  <c r="V188" i="39"/>
  <c r="M168" i="39"/>
  <c r="H194" i="39"/>
  <c r="F234" i="39"/>
  <c r="H248" i="39"/>
  <c r="F238" i="39"/>
  <c r="F158" i="39"/>
  <c r="Y201" i="39"/>
  <c r="L206" i="39"/>
  <c r="X147" i="39"/>
  <c r="F181" i="39"/>
  <c r="K184" i="39"/>
  <c r="M237" i="39"/>
  <c r="N141" i="39"/>
  <c r="AA263" i="39"/>
  <c r="Z162" i="39"/>
  <c r="AB206" i="39"/>
  <c r="AS206" i="39" s="1"/>
  <c r="AA177" i="39"/>
  <c r="H218" i="39"/>
  <c r="L197" i="39"/>
  <c r="V146" i="39"/>
  <c r="I238" i="39"/>
  <c r="G170" i="39"/>
  <c r="AA167" i="39"/>
  <c r="G181" i="39"/>
  <c r="AA233" i="39"/>
  <c r="V168" i="39"/>
  <c r="J171" i="39"/>
  <c r="AB211" i="39"/>
  <c r="AS211" i="39" s="1"/>
  <c r="Z187" i="39"/>
  <c r="AA139" i="39"/>
  <c r="X247" i="39"/>
  <c r="G223" i="39"/>
  <c r="M250" i="39"/>
  <c r="AB243" i="39"/>
  <c r="AS243" i="39" s="1"/>
  <c r="N199" i="39"/>
  <c r="M232" i="39"/>
  <c r="J137" i="39"/>
  <c r="H166" i="39"/>
  <c r="AA199" i="39"/>
  <c r="V234" i="39"/>
  <c r="I226" i="39"/>
  <c r="H200" i="39"/>
  <c r="L160" i="39"/>
  <c r="H175" i="39"/>
  <c r="X180" i="39"/>
  <c r="H240" i="39"/>
  <c r="I185" i="39"/>
  <c r="M243" i="39"/>
  <c r="N181" i="39"/>
  <c r="J189" i="39"/>
  <c r="M202" i="39"/>
  <c r="AA236" i="39"/>
  <c r="L180" i="39"/>
  <c r="Z254" i="39"/>
  <c r="Z201" i="39"/>
  <c r="F236" i="39"/>
  <c r="Y165" i="39"/>
  <c r="V192" i="39"/>
  <c r="K177" i="39"/>
  <c r="N243" i="39"/>
  <c r="V169" i="39"/>
  <c r="I152" i="39"/>
  <c r="K176" i="39"/>
  <c r="K242" i="39"/>
  <c r="Y247" i="39"/>
  <c r="F206" i="39"/>
  <c r="AA215" i="39"/>
  <c r="Y263" i="39"/>
  <c r="Y192" i="39"/>
  <c r="Y187" i="39"/>
  <c r="AA163" i="39"/>
  <c r="L224" i="39"/>
  <c r="Y219" i="39"/>
  <c r="G164" i="39"/>
  <c r="L220" i="39"/>
  <c r="J144" i="39"/>
  <c r="X141" i="39"/>
  <c r="M189" i="39"/>
  <c r="X143" i="39"/>
  <c r="AA262" i="39"/>
  <c r="K194" i="39"/>
  <c r="AA159" i="39"/>
  <c r="G244" i="39"/>
  <c r="Z232" i="39"/>
  <c r="H198" i="39"/>
  <c r="I229" i="39"/>
  <c r="I208" i="39"/>
  <c r="AB146" i="39"/>
  <c r="AS146" i="39" s="1"/>
  <c r="AA186" i="39"/>
  <c r="V167" i="39"/>
  <c r="I245" i="39"/>
  <c r="J225" i="39"/>
  <c r="I180" i="39"/>
  <c r="V211" i="39"/>
  <c r="I244" i="39"/>
  <c r="G141" i="39"/>
  <c r="Z139" i="39"/>
  <c r="N242" i="39"/>
  <c r="Y177" i="39"/>
  <c r="AB198" i="39"/>
  <c r="AS198" i="39" s="1"/>
  <c r="J206" i="39"/>
  <c r="AB150" i="39"/>
  <c r="AS150" i="39" s="1"/>
  <c r="J237" i="39"/>
  <c r="F207" i="39"/>
  <c r="Z204" i="39"/>
  <c r="L241" i="39"/>
  <c r="L169" i="39"/>
  <c r="M234" i="39"/>
  <c r="H153" i="39"/>
  <c r="V149" i="39"/>
  <c r="L247" i="39"/>
  <c r="K207" i="39"/>
  <c r="AA244" i="39"/>
  <c r="Y185" i="39"/>
  <c r="H176" i="39"/>
  <c r="G239" i="39"/>
  <c r="K213" i="39"/>
  <c r="J138" i="39"/>
  <c r="AB154" i="39"/>
  <c r="AS154" i="39" s="1"/>
  <c r="V243" i="39"/>
  <c r="AB182" i="39"/>
  <c r="AS182" i="39" s="1"/>
  <c r="L258" i="39"/>
  <c r="J248" i="39"/>
  <c r="I133" i="39"/>
  <c r="H187" i="39"/>
  <c r="K145" i="39"/>
  <c r="G213" i="39"/>
  <c r="I161" i="39"/>
  <c r="X163" i="39"/>
  <c r="X182" i="39"/>
  <c r="Z231" i="39"/>
  <c r="M156" i="39"/>
  <c r="J167" i="39"/>
  <c r="L208" i="39"/>
  <c r="N138" i="39"/>
  <c r="M135" i="39"/>
  <c r="J152" i="39"/>
  <c r="Z226" i="39"/>
  <c r="V207" i="39"/>
  <c r="AA242" i="39"/>
  <c r="I191" i="39"/>
  <c r="M244" i="39"/>
  <c r="K249" i="39"/>
  <c r="AA135" i="39"/>
  <c r="K263" i="39"/>
  <c r="H205" i="39"/>
  <c r="Z134" i="39"/>
  <c r="AA149" i="39"/>
  <c r="AA174" i="39"/>
  <c r="N177" i="39"/>
  <c r="H165" i="39"/>
  <c r="AA185" i="39"/>
  <c r="H208" i="39"/>
  <c r="V184" i="39"/>
  <c r="Z203" i="39"/>
  <c r="Z169" i="39"/>
  <c r="X204" i="39"/>
  <c r="K174" i="39"/>
  <c r="N135" i="39"/>
  <c r="K202" i="39"/>
  <c r="V135" i="39"/>
  <c r="AB217" i="39"/>
  <c r="AS217" i="39" s="1"/>
  <c r="X203" i="39"/>
  <c r="N247" i="39"/>
  <c r="L146" i="39"/>
  <c r="H154" i="39"/>
  <c r="F222" i="39"/>
  <c r="L191" i="39"/>
  <c r="AA178" i="39"/>
  <c r="K143" i="39"/>
  <c r="AA134" i="39"/>
  <c r="I155" i="39"/>
  <c r="H160" i="39"/>
  <c r="Z233" i="39"/>
  <c r="G146" i="39"/>
  <c r="K228" i="39"/>
  <c r="Y228" i="39"/>
  <c r="Z159" i="39"/>
  <c r="I147" i="39"/>
  <c r="L200" i="39"/>
  <c r="G185" i="39"/>
  <c r="F229" i="39"/>
  <c r="AB260" i="39"/>
  <c r="AS260" i="39" s="1"/>
  <c r="G214" i="39"/>
  <c r="Z182" i="39"/>
  <c r="X211" i="39"/>
  <c r="AA197" i="39"/>
  <c r="Y139" i="39"/>
  <c r="N213" i="39"/>
  <c r="H185" i="39"/>
  <c r="V233" i="39"/>
  <c r="AB177" i="39"/>
  <c r="AS177" i="39" s="1"/>
  <c r="AB188" i="39"/>
  <c r="AS188" i="39" s="1"/>
  <c r="G200" i="39"/>
  <c r="J148" i="39"/>
  <c r="AA207" i="39"/>
  <c r="AB239" i="39"/>
  <c r="AS239" i="39" s="1"/>
  <c r="Z244" i="39"/>
  <c r="J220" i="39"/>
  <c r="V153" i="39"/>
  <c r="K155" i="39"/>
  <c r="I195" i="39"/>
  <c r="X179" i="39"/>
  <c r="N196" i="39"/>
  <c r="F219" i="39"/>
  <c r="J147" i="39"/>
  <c r="V231" i="39"/>
  <c r="K204" i="39"/>
  <c r="J177" i="39"/>
  <c r="L184" i="39"/>
  <c r="V129" i="39"/>
  <c r="V230" i="39"/>
  <c r="X207" i="39"/>
  <c r="AB233" i="39"/>
  <c r="AS233" i="39" s="1"/>
  <c r="N151" i="39"/>
  <c r="K262" i="39"/>
  <c r="K225" i="39"/>
  <c r="I246" i="39"/>
  <c r="G194" i="39"/>
  <c r="L212" i="39"/>
  <c r="L179" i="39"/>
  <c r="I221" i="39"/>
  <c r="N211" i="39"/>
  <c r="V151" i="39"/>
  <c r="V248" i="39"/>
  <c r="F256" i="39"/>
  <c r="N223" i="39"/>
  <c r="V165" i="39"/>
  <c r="I176" i="39"/>
  <c r="AB235" i="39"/>
  <c r="AS235" i="39" s="1"/>
  <c r="J135" i="39"/>
  <c r="J184" i="39"/>
  <c r="I160" i="39"/>
  <c r="H243" i="39"/>
  <c r="H164" i="39"/>
  <c r="L189" i="39"/>
  <c r="AB165" i="39"/>
  <c r="AS165" i="39" s="1"/>
  <c r="Z237" i="39"/>
  <c r="X154" i="39"/>
  <c r="H252" i="39"/>
  <c r="L159" i="39"/>
  <c r="K205" i="39"/>
  <c r="K153" i="39"/>
  <c r="H161" i="39"/>
  <c r="AA194" i="39"/>
  <c r="AA158" i="39"/>
  <c r="AB225" i="39"/>
  <c r="AS225" i="39" s="1"/>
  <c r="K152" i="39"/>
  <c r="AB228" i="39"/>
  <c r="AS228" i="39" s="1"/>
  <c r="V245" i="39"/>
  <c r="K168" i="39"/>
  <c r="AB134" i="39"/>
  <c r="AS134" i="39" s="1"/>
  <c r="X234" i="39"/>
  <c r="Y186" i="39"/>
  <c r="Z171" i="39"/>
  <c r="AB164" i="39"/>
  <c r="AS164" i="39" s="1"/>
  <c r="G227" i="39"/>
  <c r="AA217" i="39"/>
  <c r="G196" i="39"/>
  <c r="X227" i="39"/>
  <c r="G177" i="39"/>
  <c r="M214" i="39"/>
  <c r="I146" i="39"/>
  <c r="G147" i="39"/>
  <c r="G160" i="39"/>
  <c r="V171" i="39"/>
  <c r="M195" i="39"/>
  <c r="M213" i="39"/>
  <c r="K130" i="39"/>
  <c r="AA152" i="39"/>
  <c r="Z213" i="39"/>
  <c r="V174" i="39"/>
  <c r="G129" i="39"/>
  <c r="I218" i="39"/>
  <c r="J205" i="39"/>
  <c r="L233" i="39"/>
  <c r="X218" i="39"/>
  <c r="AA168" i="39"/>
  <c r="N241" i="39"/>
  <c r="N188" i="39"/>
  <c r="G165" i="39"/>
  <c r="X212" i="39"/>
  <c r="J227" i="39"/>
  <c r="N183" i="39"/>
  <c r="M160" i="39"/>
  <c r="L177" i="39"/>
  <c r="Y224" i="39"/>
  <c r="H146" i="39"/>
  <c r="K159" i="39"/>
  <c r="I206" i="39"/>
  <c r="Y161" i="39"/>
  <c r="M130" i="39"/>
  <c r="M174" i="39"/>
  <c r="AB137" i="39"/>
  <c r="AS137" i="39" s="1"/>
  <c r="AA216" i="39"/>
  <c r="AB136" i="39"/>
  <c r="AS136" i="39" s="1"/>
  <c r="N189" i="39"/>
  <c r="Y197" i="39"/>
  <c r="AB232" i="39"/>
  <c r="AS232" i="39" s="1"/>
  <c r="AA260" i="39"/>
  <c r="K254" i="39"/>
  <c r="M220" i="39"/>
  <c r="Z140" i="39"/>
  <c r="L214" i="39"/>
  <c r="G166" i="39"/>
  <c r="J130" i="39"/>
  <c r="I205" i="39"/>
  <c r="I197" i="39"/>
  <c r="L217" i="39"/>
  <c r="X151" i="39"/>
  <c r="X189" i="39"/>
  <c r="M192" i="39"/>
  <c r="AB176" i="39"/>
  <c r="AS176" i="39" s="1"/>
  <c r="M181" i="39"/>
  <c r="H130" i="39"/>
  <c r="M236" i="39"/>
  <c r="M140" i="39"/>
  <c r="M129" i="39"/>
  <c r="G139" i="39"/>
  <c r="I207" i="39"/>
  <c r="L226" i="39"/>
  <c r="X232" i="39"/>
  <c r="Z137" i="39"/>
  <c r="K210" i="39"/>
  <c r="H213" i="39"/>
  <c r="M221" i="39"/>
  <c r="G201" i="39"/>
  <c r="L246" i="39"/>
  <c r="X197" i="39"/>
  <c r="H239" i="39"/>
  <c r="M193" i="39"/>
  <c r="F194" i="39"/>
  <c r="Y149" i="39"/>
  <c r="I187" i="39"/>
  <c r="K182" i="39"/>
  <c r="I179" i="39"/>
  <c r="L235" i="39"/>
  <c r="K234" i="39"/>
  <c r="L194" i="39"/>
  <c r="K214" i="39"/>
  <c r="N166" i="39"/>
  <c r="N250" i="39"/>
  <c r="Z214" i="39"/>
  <c r="AA258" i="39"/>
  <c r="X199" i="39"/>
  <c r="F216" i="39"/>
  <c r="J247" i="39"/>
  <c r="J258" i="39"/>
  <c r="V201" i="39"/>
  <c r="L166" i="39"/>
  <c r="Z209" i="39"/>
  <c r="AA189" i="39"/>
  <c r="G220" i="39"/>
  <c r="L133" i="39"/>
  <c r="K199" i="39"/>
  <c r="H129" i="39"/>
  <c r="V239" i="39"/>
  <c r="F164" i="39"/>
  <c r="L181" i="39"/>
  <c r="Y248" i="39"/>
  <c r="V170" i="39"/>
  <c r="X250" i="39"/>
  <c r="N147" i="39"/>
  <c r="Z221" i="39"/>
  <c r="AA246" i="39"/>
  <c r="I230" i="39"/>
  <c r="AA140" i="39"/>
  <c r="M139" i="39"/>
  <c r="N193" i="39"/>
  <c r="V241" i="39"/>
  <c r="I194" i="39"/>
  <c r="M183" i="39"/>
  <c r="J256" i="39"/>
  <c r="N262" i="39"/>
  <c r="Y230" i="39"/>
  <c r="N252" i="39"/>
  <c r="AB145" i="39"/>
  <c r="AS145" i="39" s="1"/>
  <c r="J183" i="39"/>
  <c r="Y133" i="39"/>
  <c r="M194" i="39"/>
  <c r="G209" i="39"/>
  <c r="J243" i="39"/>
  <c r="J181" i="39"/>
  <c r="H254" i="39"/>
  <c r="Y141" i="39"/>
  <c r="F162" i="39"/>
  <c r="X214" i="39"/>
  <c r="G210" i="39"/>
  <c r="Z208" i="39"/>
  <c r="AA234" i="39"/>
  <c r="V225" i="39"/>
  <c r="N145" i="39"/>
  <c r="G216" i="39"/>
  <c r="H216" i="39"/>
  <c r="V258" i="39"/>
  <c r="I234" i="39"/>
  <c r="AA224" i="39"/>
  <c r="Y199" i="39"/>
  <c r="N249" i="39"/>
  <c r="AB155" i="39"/>
  <c r="AS155" i="39" s="1"/>
  <c r="M169" i="39"/>
  <c r="N180" i="39"/>
  <c r="I165" i="39"/>
  <c r="L145" i="39"/>
  <c r="H139" i="39"/>
  <c r="J170" i="39"/>
  <c r="J217" i="39"/>
  <c r="F195" i="39"/>
  <c r="N236" i="39"/>
  <c r="N210" i="39"/>
  <c r="I177" i="39"/>
  <c r="F249" i="39"/>
  <c r="V212" i="39"/>
  <c r="J158" i="39"/>
  <c r="K147" i="39"/>
  <c r="J208" i="39"/>
  <c r="N202" i="39"/>
  <c r="H135" i="39"/>
  <c r="X191" i="39"/>
  <c r="G202" i="39"/>
  <c r="Y188" i="39"/>
  <c r="Z197" i="39"/>
  <c r="L156" i="39"/>
  <c r="I168" i="39"/>
  <c r="F173" i="39"/>
  <c r="H262" i="39"/>
  <c r="N216" i="39"/>
  <c r="N173" i="39"/>
  <c r="V247" i="39"/>
  <c r="H174" i="39"/>
  <c r="Y252" i="39"/>
  <c r="G263" i="39"/>
  <c r="F189" i="39"/>
  <c r="N203" i="39"/>
  <c r="F172" i="39"/>
  <c r="F231" i="39"/>
  <c r="AA248" i="39"/>
  <c r="AB147" i="39"/>
  <c r="AS147" i="39" s="1"/>
  <c r="AA230" i="39"/>
  <c r="M133" i="39"/>
  <c r="AB208" i="39"/>
  <c r="AS208" i="39" s="1"/>
  <c r="V133" i="39"/>
  <c r="L141" i="39"/>
  <c r="Y190" i="39"/>
  <c r="K200" i="39"/>
  <c r="AB249" i="39"/>
  <c r="AS249" i="39" s="1"/>
  <c r="K231" i="39"/>
  <c r="AA157" i="39"/>
  <c r="M199" i="39"/>
  <c r="N174" i="39"/>
  <c r="X208" i="39"/>
  <c r="X134" i="39"/>
  <c r="K189" i="39"/>
  <c r="L215" i="39"/>
  <c r="M166" i="39"/>
  <c r="Z228" i="39"/>
  <c r="N191" i="39"/>
  <c r="F191" i="39"/>
  <c r="Y212" i="39"/>
  <c r="V141" i="39"/>
  <c r="H169" i="39"/>
  <c r="N170" i="39"/>
  <c r="Z198" i="39"/>
  <c r="N263" i="39"/>
  <c r="Z184" i="39"/>
  <c r="N136" i="39"/>
  <c r="V185" i="39"/>
  <c r="I258" i="39"/>
  <c r="N149" i="39"/>
  <c r="F174" i="39"/>
  <c r="J190" i="39"/>
  <c r="X241" i="39"/>
  <c r="H235" i="39"/>
  <c r="F183" i="39"/>
  <c r="I200" i="39"/>
  <c r="Y245" i="39"/>
  <c r="L198" i="39"/>
  <c r="I209" i="39"/>
  <c r="G219" i="39"/>
  <c r="G230" i="39"/>
  <c r="Z256" i="39"/>
  <c r="AB141" i="39"/>
  <c r="AS141" i="39" s="1"/>
  <c r="K146" i="39"/>
  <c r="F233" i="39"/>
  <c r="Z189" i="39"/>
  <c r="H186" i="39"/>
  <c r="X186" i="39"/>
  <c r="G187" i="39"/>
  <c r="X132" i="39"/>
  <c r="J209" i="39"/>
  <c r="V195" i="39"/>
  <c r="Z132" i="39"/>
  <c r="F168" i="39"/>
  <c r="F132" i="39"/>
  <c r="AB133" i="39"/>
  <c r="AS133" i="39" s="1"/>
  <c r="AA175" i="39"/>
  <c r="Z223" i="39"/>
  <c r="M187" i="39"/>
  <c r="N218" i="39"/>
  <c r="V238" i="39"/>
  <c r="J172" i="39"/>
  <c r="L170" i="39"/>
  <c r="L237" i="39"/>
  <c r="AB172" i="39"/>
  <c r="AS172" i="39" s="1"/>
  <c r="H143" i="39"/>
  <c r="I198" i="39"/>
  <c r="J160" i="39"/>
  <c r="H231" i="39"/>
  <c r="F133" i="39"/>
  <c r="X226" i="39"/>
  <c r="J244" i="39"/>
  <c r="AA148" i="39"/>
  <c r="AA247" i="39"/>
  <c r="I142" i="39"/>
  <c r="AB192" i="39"/>
  <c r="AS192" i="39" s="1"/>
  <c r="J229" i="39"/>
  <c r="F176" i="39"/>
  <c r="N130" i="39"/>
  <c r="G142" i="39"/>
  <c r="Z211" i="39"/>
  <c r="J145" i="39"/>
  <c r="H247" i="39"/>
  <c r="N197" i="39"/>
  <c r="Y227" i="39"/>
  <c r="L136" i="39"/>
  <c r="J143" i="39"/>
  <c r="AB152" i="39"/>
  <c r="AS152" i="39" s="1"/>
  <c r="Y193" i="39"/>
  <c r="H177" i="39"/>
  <c r="Y240" i="39"/>
  <c r="K197" i="39"/>
  <c r="L188" i="39"/>
  <c r="G198" i="39"/>
  <c r="K133" i="39"/>
  <c r="G212" i="39"/>
  <c r="X183" i="39"/>
  <c r="X254" i="39"/>
  <c r="N225" i="39"/>
  <c r="Y131" i="39"/>
  <c r="X256" i="39"/>
  <c r="H190" i="39"/>
  <c r="J251" i="39"/>
  <c r="F148" i="39"/>
  <c r="G188" i="39"/>
  <c r="F179" i="39"/>
  <c r="L260" i="39"/>
  <c r="Z219" i="39"/>
  <c r="Y232" i="39"/>
  <c r="K158" i="39"/>
  <c r="K154" i="39"/>
  <c r="H183" i="39"/>
  <c r="Y236" i="39"/>
  <c r="K237" i="39"/>
  <c r="G134" i="39"/>
  <c r="G233" i="39"/>
  <c r="AB254" i="39"/>
  <c r="AS254" i="39" s="1"/>
  <c r="X216" i="39"/>
  <c r="J159" i="39"/>
  <c r="K229" i="39"/>
  <c r="M205" i="39"/>
  <c r="AB197" i="39"/>
  <c r="AS197" i="39" s="1"/>
  <c r="N157" i="39"/>
  <c r="Y217" i="39"/>
  <c r="K198" i="39"/>
  <c r="K149" i="39"/>
  <c r="L138" i="39"/>
  <c r="N207" i="39"/>
  <c r="J140" i="39"/>
  <c r="AB241" i="39"/>
  <c r="AS241" i="39" s="1"/>
  <c r="L242" i="39"/>
  <c r="M167" i="39"/>
  <c r="H142" i="39"/>
  <c r="G228" i="39"/>
  <c r="V142" i="39"/>
  <c r="N146" i="39"/>
  <c r="Z144" i="39"/>
  <c r="F178" i="39"/>
  <c r="F200" i="39"/>
  <c r="Y218" i="39"/>
  <c r="V200" i="39"/>
  <c r="X129" i="39"/>
  <c r="Y235" i="39"/>
  <c r="Y145" i="39"/>
  <c r="V176" i="39"/>
  <c r="I157" i="39"/>
  <c r="M201" i="39"/>
  <c r="M147" i="39"/>
  <c r="V145" i="39"/>
  <c r="K230" i="39"/>
  <c r="K161" i="39"/>
  <c r="I231" i="39"/>
  <c r="AA223" i="39"/>
  <c r="H201" i="39"/>
  <c r="J178" i="39"/>
  <c r="H260" i="39"/>
  <c r="J204" i="39"/>
  <c r="Y233" i="39"/>
  <c r="L129" i="39"/>
  <c r="M157" i="39"/>
  <c r="K160" i="39"/>
  <c r="AB252" i="39"/>
  <c r="AS252" i="39" s="1"/>
  <c r="N239" i="39"/>
  <c r="K188" i="39"/>
  <c r="H173" i="39"/>
  <c r="J242" i="39"/>
  <c r="X194" i="39"/>
  <c r="Y142" i="39"/>
  <c r="X205" i="39"/>
  <c r="Y258" i="39"/>
  <c r="V263" i="39"/>
  <c r="L248" i="39"/>
  <c r="F152" i="39"/>
  <c r="V246" i="39"/>
  <c r="J230" i="39"/>
  <c r="V179" i="39"/>
  <c r="H171" i="39"/>
  <c r="Y178" i="39"/>
  <c r="AB161" i="39"/>
  <c r="AS161" i="39" s="1"/>
  <c r="N133" i="39"/>
  <c r="H224" i="39"/>
  <c r="G207" i="39"/>
  <c r="Y239" i="39"/>
  <c r="K179" i="39"/>
  <c r="H233" i="39"/>
  <c r="H137" i="39"/>
  <c r="X166" i="39"/>
  <c r="I162" i="39"/>
  <c r="J263" i="39"/>
  <c r="N190" i="39"/>
  <c r="V156" i="39"/>
  <c r="F245" i="39"/>
  <c r="X237" i="39"/>
  <c r="H158" i="39"/>
  <c r="Z148" i="39"/>
  <c r="V260" i="39"/>
  <c r="K240" i="39"/>
  <c r="H223" i="39"/>
  <c r="Y244" i="39"/>
  <c r="H138" i="39"/>
  <c r="N162" i="39"/>
  <c r="F135" i="39"/>
  <c r="I213" i="39"/>
  <c r="Y184" i="39"/>
  <c r="I174" i="39"/>
  <c r="J161" i="39"/>
  <c r="L199" i="39"/>
  <c r="AA179" i="39"/>
  <c r="Z227" i="39"/>
  <c r="Z263" i="39"/>
  <c r="AB229" i="39"/>
  <c r="AS229" i="39" s="1"/>
  <c r="Y171" i="39"/>
  <c r="AA201" i="39"/>
  <c r="G242" i="39"/>
  <c r="AB218" i="39"/>
  <c r="AS218" i="39" s="1"/>
  <c r="L218" i="39"/>
  <c r="Y196" i="39"/>
  <c r="L164" i="39"/>
  <c r="Z157" i="39"/>
  <c r="Y158" i="39"/>
  <c r="N187" i="39"/>
  <c r="X196" i="39"/>
  <c r="Z212" i="39"/>
  <c r="L140" i="39"/>
  <c r="V131" i="39"/>
  <c r="Z154" i="39"/>
  <c r="V144" i="39"/>
  <c r="X150" i="39"/>
  <c r="Z136" i="39"/>
  <c r="K246" i="39"/>
  <c r="F232" i="39"/>
  <c r="Z164" i="39"/>
  <c r="G183" i="39"/>
  <c r="M171" i="39"/>
  <c r="AA155" i="39"/>
  <c r="AA172" i="39"/>
  <c r="H222" i="39"/>
  <c r="Y166" i="39"/>
  <c r="G252" i="39"/>
  <c r="V178" i="39"/>
  <c r="J179" i="39"/>
  <c r="H180" i="39"/>
  <c r="H162" i="39"/>
  <c r="AA240" i="39"/>
  <c r="G218" i="39"/>
  <c r="I178" i="39"/>
  <c r="X231" i="39"/>
  <c r="H249" i="39"/>
  <c r="L131" i="39"/>
  <c r="X175" i="39"/>
  <c r="AA193" i="39"/>
  <c r="AA182" i="39"/>
  <c r="Y156" i="39"/>
  <c r="V137" i="39"/>
  <c r="AA165" i="39"/>
  <c r="L213" i="39"/>
  <c r="H202" i="39"/>
  <c r="X145" i="39"/>
  <c r="M132" i="39"/>
  <c r="M252" i="39"/>
  <c r="Y256" i="39"/>
  <c r="L245" i="39"/>
  <c r="N194" i="39"/>
  <c r="G136" i="39"/>
  <c r="X164" i="39"/>
  <c r="X172" i="39"/>
  <c r="AA151" i="39"/>
  <c r="F214" i="39"/>
  <c r="F129" i="39"/>
  <c r="X239" i="39"/>
  <c r="AA222" i="39"/>
  <c r="F180" i="39"/>
  <c r="G151" i="39"/>
  <c r="X130" i="39"/>
  <c r="Y225" i="39"/>
  <c r="H168" i="39"/>
  <c r="V216" i="39"/>
  <c r="X223" i="39"/>
  <c r="J163" i="39"/>
  <c r="Y150" i="39"/>
  <c r="F244" i="39"/>
  <c r="N169" i="39"/>
  <c r="G131" i="39"/>
  <c r="H132" i="39"/>
  <c r="I210" i="39"/>
  <c r="I154" i="39"/>
  <c r="AA221" i="39"/>
  <c r="AA226" i="39"/>
  <c r="Y164" i="39"/>
  <c r="I167" i="39"/>
  <c r="J129" i="39"/>
  <c r="M208" i="39"/>
  <c r="Y260" i="39"/>
  <c r="H234" i="39"/>
  <c r="G260" i="39"/>
  <c r="AB248" i="39"/>
  <c r="AS248" i="39" s="1"/>
  <c r="G192" i="39"/>
  <c r="N227" i="39"/>
  <c r="Y146" i="39"/>
  <c r="M188" i="39"/>
  <c r="V199" i="39"/>
  <c r="AB142" i="39"/>
  <c r="AS142" i="39" s="1"/>
  <c r="Y136" i="39"/>
  <c r="M223" i="39"/>
  <c r="V206" i="39"/>
  <c r="V186" i="39"/>
  <c r="Z138" i="39"/>
  <c r="G144" i="39"/>
  <c r="I212" i="39"/>
  <c r="I216" i="39"/>
  <c r="L175" i="39"/>
  <c r="AA219" i="39"/>
  <c r="X235" i="39"/>
  <c r="F252" i="39"/>
  <c r="L152" i="39"/>
  <c r="Y175" i="39"/>
  <c r="H136" i="39"/>
  <c r="L230" i="39"/>
  <c r="AB156" i="39"/>
  <c r="AS156" i="39" s="1"/>
  <c r="K180" i="39"/>
  <c r="AA150" i="39"/>
  <c r="Y172" i="39"/>
  <c r="M165" i="39"/>
  <c r="N214" i="39"/>
  <c r="X138" i="39"/>
  <c r="M146" i="39"/>
  <c r="H236" i="39"/>
  <c r="G189" i="39"/>
  <c r="Z160" i="39"/>
  <c r="AA160" i="39"/>
  <c r="Y251" i="39"/>
  <c r="G135" i="39"/>
  <c r="F159" i="39"/>
  <c r="H192" i="39"/>
  <c r="L203" i="39"/>
  <c r="I166" i="39"/>
  <c r="F186" i="39"/>
  <c r="I224" i="39"/>
  <c r="V189" i="39"/>
  <c r="I145" i="39"/>
  <c r="L148" i="39"/>
  <c r="J154" i="39"/>
  <c r="H134" i="39"/>
  <c r="Z174" i="39"/>
  <c r="Y241" i="39"/>
  <c r="V222" i="39"/>
  <c r="Z175" i="39"/>
  <c r="I237" i="39"/>
  <c r="X245" i="39"/>
  <c r="AB130" i="39"/>
  <c r="AS130" i="39" s="1"/>
  <c r="K260" i="39"/>
  <c r="H207" i="39"/>
  <c r="V215" i="39"/>
  <c r="AA228" i="39"/>
  <c r="AA237" i="39"/>
  <c r="N144" i="39"/>
  <c r="Y134" i="39"/>
  <c r="H152" i="39"/>
  <c r="G234" i="39"/>
  <c r="I140" i="39"/>
  <c r="AA210" i="39"/>
  <c r="I204" i="39"/>
  <c r="AA252" i="39"/>
  <c r="K167" i="39"/>
  <c r="M162" i="39"/>
  <c r="K181" i="39"/>
  <c r="Z248" i="39"/>
  <c r="K252" i="39"/>
  <c r="F143" i="39"/>
  <c r="J153" i="39"/>
  <c r="AB138" i="39"/>
  <c r="AS138" i="39" s="1"/>
  <c r="G225" i="39"/>
  <c r="K248" i="39"/>
  <c r="H151" i="39"/>
  <c r="Z181" i="39"/>
  <c r="M247" i="39"/>
  <c r="V175" i="39"/>
  <c r="I181" i="39"/>
  <c r="L209" i="39"/>
  <c r="I151" i="39"/>
  <c r="AB174" i="39"/>
  <c r="AS174" i="39" s="1"/>
  <c r="J195" i="39"/>
  <c r="Z147" i="39"/>
  <c r="L153" i="39"/>
  <c r="I241" i="39"/>
  <c r="N155" i="39"/>
  <c r="H197" i="39"/>
  <c r="Z239" i="39"/>
  <c r="G203" i="39"/>
  <c r="N234" i="39"/>
  <c r="X209" i="39"/>
  <c r="K171" i="39"/>
  <c r="Z218" i="39"/>
  <c r="H189" i="39"/>
  <c r="AB212" i="39"/>
  <c r="AS212" i="39" s="1"/>
  <c r="J196" i="39"/>
  <c r="N160" i="39"/>
  <c r="Y160" i="39"/>
  <c r="G162" i="39"/>
  <c r="AA147" i="39"/>
  <c r="Z225" i="39"/>
  <c r="L187" i="39"/>
  <c r="AB199" i="39"/>
  <c r="AS199" i="39" s="1"/>
  <c r="K141" i="39"/>
  <c r="M131" i="39"/>
  <c r="V159" i="39"/>
  <c r="N209" i="39"/>
  <c r="AB258" i="39"/>
  <c r="AS258" i="39" s="1"/>
  <c r="X152" i="39"/>
  <c r="H211" i="39"/>
  <c r="F210" i="39"/>
  <c r="F142" i="39"/>
  <c r="AB205" i="39"/>
  <c r="AS205" i="39" s="1"/>
  <c r="M256" i="39"/>
  <c r="G204" i="39"/>
  <c r="M175" i="39"/>
  <c r="Z180" i="39"/>
  <c r="M228" i="39"/>
  <c r="H250" i="39"/>
  <c r="Y216" i="39"/>
  <c r="L193" i="39"/>
  <c r="AA173" i="39"/>
  <c r="L135" i="39"/>
  <c r="J185" i="39"/>
  <c r="V252" i="39"/>
  <c r="V254" i="39"/>
  <c r="H256" i="39"/>
  <c r="K243" i="39"/>
  <c r="H144" i="39"/>
  <c r="AB148" i="39"/>
  <c r="AS148" i="39" s="1"/>
  <c r="V163" i="39"/>
  <c r="H155" i="39"/>
  <c r="AA206" i="39"/>
  <c r="F243" i="39"/>
  <c r="L162" i="39"/>
  <c r="K211" i="39"/>
  <c r="AB209" i="39"/>
  <c r="AS209" i="39" s="1"/>
  <c r="AB226" i="39"/>
  <c r="AS226" i="39" s="1"/>
  <c r="Y191" i="39"/>
  <c r="X215" i="39"/>
  <c r="N164" i="39"/>
  <c r="L228" i="39"/>
  <c r="Z215" i="39"/>
  <c r="G226" i="39"/>
  <c r="V262" i="39"/>
  <c r="M178" i="39"/>
  <c r="L222" i="39"/>
  <c r="N176" i="39"/>
  <c r="G133" i="39"/>
  <c r="F147" i="39"/>
  <c r="AB162" i="39"/>
  <c r="AS162" i="39" s="1"/>
  <c r="AA250" i="39"/>
  <c r="N208" i="39"/>
  <c r="K222" i="39"/>
  <c r="M142" i="39"/>
  <c r="Z245" i="39"/>
  <c r="V210" i="39"/>
  <c r="N134" i="39"/>
  <c r="K203" i="39"/>
  <c r="X217" i="39"/>
  <c r="V217" i="39"/>
  <c r="AA218" i="39"/>
  <c r="AA249" i="39"/>
  <c r="F161" i="39"/>
  <c r="Y143" i="39"/>
  <c r="G231" i="39"/>
  <c r="AA211" i="39"/>
  <c r="K183" i="39"/>
  <c r="K216" i="39"/>
  <c r="AA187" i="39"/>
  <c r="Y148" i="39"/>
  <c r="X167" i="39"/>
  <c r="Z220" i="39"/>
  <c r="AB170" i="39"/>
  <c r="AS170" i="39" s="1"/>
  <c r="F224" i="39"/>
  <c r="M206" i="39"/>
  <c r="Z190" i="39"/>
  <c r="N230" i="39"/>
  <c r="Z146" i="39"/>
  <c r="AA208" i="39"/>
  <c r="H227" i="39"/>
  <c r="G193" i="39"/>
  <c r="AA180" i="39"/>
  <c r="N217" i="39"/>
  <c r="M216" i="39"/>
  <c r="J180" i="39"/>
  <c r="K212" i="39"/>
  <c r="Y254" i="39"/>
  <c r="J187" i="39"/>
  <c r="Y174" i="39"/>
  <c r="G186" i="39"/>
  <c r="N238" i="39"/>
  <c r="V208" i="39"/>
  <c r="V177" i="39"/>
  <c r="X137" i="39"/>
  <c r="F196" i="39"/>
  <c r="G205" i="39"/>
  <c r="Z250" i="39"/>
  <c r="K129" i="39"/>
  <c r="X181" i="39"/>
  <c r="V180" i="39"/>
  <c r="AB223" i="39"/>
  <c r="AS223" i="39" s="1"/>
  <c r="K195" i="39"/>
  <c r="V130" i="39"/>
  <c r="L192" i="39"/>
  <c r="M238" i="39"/>
  <c r="V203" i="39"/>
  <c r="L236" i="39"/>
  <c r="J234" i="39"/>
  <c r="AB140" i="39"/>
  <c r="AS140" i="39" s="1"/>
  <c r="N139" i="39"/>
  <c r="K140" i="39"/>
  <c r="X155" i="39"/>
  <c r="L158" i="39"/>
  <c r="J241" i="39"/>
  <c r="AA220" i="39"/>
  <c r="Z142" i="39"/>
  <c r="V190" i="39"/>
  <c r="K215" i="39"/>
  <c r="AA256" i="39"/>
  <c r="Y162" i="39"/>
  <c r="J182" i="39"/>
  <c r="F228" i="39"/>
  <c r="I129" i="39"/>
  <c r="AB227" i="39"/>
  <c r="AS227" i="39" s="1"/>
  <c r="K172" i="39"/>
  <c r="V181" i="39"/>
  <c r="V213" i="39"/>
  <c r="J236" i="39"/>
  <c r="N150" i="39"/>
  <c r="AA170" i="39"/>
  <c r="J223" i="39"/>
  <c r="L168" i="39"/>
  <c r="G208" i="39"/>
  <c r="K236" i="39"/>
  <c r="M248" i="39"/>
  <c r="AB190" i="39"/>
  <c r="AS190" i="39" s="1"/>
  <c r="F187" i="39"/>
  <c r="X219" i="39"/>
  <c r="M225" i="39"/>
  <c r="AB185" i="39"/>
  <c r="AS185" i="39" s="1"/>
  <c r="AB234" i="39"/>
  <c r="AS234" i="39" s="1"/>
  <c r="V204" i="39"/>
  <c r="AB168" i="39"/>
  <c r="AS168" i="39" s="1"/>
  <c r="AA130" i="39"/>
  <c r="K223" i="39"/>
  <c r="V191" i="39"/>
  <c r="Z172" i="39"/>
  <c r="Y130" i="39"/>
  <c r="F138" i="39"/>
  <c r="G191" i="39"/>
  <c r="M215" i="39"/>
  <c r="H182" i="39"/>
  <c r="X149" i="39"/>
  <c r="AA245" i="39"/>
  <c r="Z185" i="39"/>
  <c r="K193" i="39"/>
  <c r="Y195" i="39"/>
  <c r="K217" i="39"/>
  <c r="G179" i="39"/>
  <c r="H258" i="39"/>
  <c r="K245" i="39"/>
  <c r="AB196" i="39"/>
  <c r="AS196" i="39" s="1"/>
  <c r="X233" i="39"/>
  <c r="V138" i="39"/>
  <c r="N163" i="39"/>
  <c r="H212" i="39"/>
  <c r="G163" i="39"/>
  <c r="H195" i="39"/>
  <c r="V235" i="39"/>
  <c r="I222" i="39"/>
  <c r="AB244" i="39"/>
  <c r="AS244" i="39" s="1"/>
  <c r="N143" i="39"/>
  <c r="M163" i="39"/>
  <c r="I173" i="39"/>
  <c r="J132" i="39"/>
  <c r="K209" i="39"/>
  <c r="V196" i="39"/>
  <c r="K178" i="39"/>
  <c r="F209" i="39"/>
  <c r="Y170" i="39"/>
  <c r="F212" i="39"/>
  <c r="J250" i="39"/>
  <c r="L144" i="39"/>
  <c r="M209" i="39"/>
  <c r="N172" i="39"/>
  <c r="AB187" i="39"/>
  <c r="AS187" i="39" s="1"/>
  <c r="H238" i="39"/>
  <c r="V148" i="39"/>
  <c r="AB158" i="39"/>
  <c r="AS158" i="39" s="1"/>
  <c r="G138" i="39"/>
  <c r="V223" i="39"/>
  <c r="J188" i="39"/>
  <c r="I175" i="39"/>
  <c r="AA195" i="39"/>
  <c r="J232" i="39"/>
  <c r="L204" i="39"/>
  <c r="V229" i="39"/>
  <c r="Z131" i="39"/>
  <c r="AB160" i="39"/>
  <c r="AS160" i="39" s="1"/>
  <c r="L219" i="39"/>
  <c r="K156" i="39"/>
  <c r="V160" i="39"/>
  <c r="F154" i="39"/>
  <c r="F226" i="39"/>
  <c r="AB163" i="39"/>
  <c r="AS163" i="39" s="1"/>
  <c r="L173" i="39"/>
  <c r="G167" i="39"/>
  <c r="F211" i="39"/>
  <c r="Z141" i="39"/>
  <c r="I134" i="39"/>
  <c r="G154" i="39"/>
  <c r="Y154" i="39"/>
  <c r="G235" i="39"/>
  <c r="AB202" i="39"/>
  <c r="AS202" i="39" s="1"/>
  <c r="G176" i="39"/>
  <c r="G149" i="39"/>
  <c r="I144" i="39"/>
  <c r="N153" i="39"/>
  <c r="Y173" i="39"/>
  <c r="L211" i="39"/>
  <c r="X170" i="39"/>
  <c r="AA213" i="39"/>
  <c r="X246" i="39"/>
  <c r="Z143" i="39"/>
  <c r="N165" i="39"/>
  <c r="J142" i="39"/>
  <c r="AA183" i="39"/>
  <c r="F215" i="39"/>
  <c r="V219" i="39"/>
  <c r="X195" i="39"/>
  <c r="M217" i="39"/>
  <c r="Y140" i="39"/>
  <c r="L207" i="39"/>
  <c r="Y249" i="39"/>
  <c r="M149" i="39"/>
  <c r="I196" i="39"/>
  <c r="Z224" i="39"/>
  <c r="K134" i="39"/>
  <c r="N229" i="39"/>
  <c r="L132" i="39"/>
  <c r="I262" i="39"/>
  <c r="F185" i="39"/>
  <c r="H220" i="39"/>
  <c r="X193" i="39"/>
  <c r="Y246" i="39"/>
  <c r="N156" i="39"/>
  <c r="F170" i="39"/>
  <c r="X202" i="39"/>
  <c r="M182" i="39"/>
  <c r="J162" i="39"/>
  <c r="X159" i="39"/>
  <c r="F263" i="39"/>
  <c r="V139" i="39"/>
  <c r="J150" i="39"/>
  <c r="Z262" i="39"/>
  <c r="G195" i="39"/>
  <c r="F248" i="39"/>
  <c r="AA265" i="39"/>
  <c r="AB265" i="39"/>
  <c r="AS265" i="39" s="1"/>
  <c r="H265" i="39"/>
  <c r="F267" i="39"/>
  <c r="I265" i="39"/>
  <c r="V265" i="39"/>
  <c r="M264" i="39"/>
  <c r="H264" i="39"/>
  <c r="J265" i="39"/>
  <c r="N264" i="39"/>
  <c r="K264" i="39"/>
  <c r="V264" i="39"/>
  <c r="J264" i="39"/>
  <c r="AA264" i="39"/>
  <c r="I264" i="39"/>
  <c r="AB264" i="39"/>
  <c r="AS264" i="39" s="1"/>
  <c r="G264" i="39"/>
  <c r="Z264" i="39"/>
  <c r="X264" i="39"/>
  <c r="L264" i="39"/>
  <c r="K265" i="39"/>
  <c r="F265" i="39"/>
  <c r="F264" i="39"/>
  <c r="N265" i="39"/>
  <c r="Z265" i="39"/>
  <c r="Y264" i="39"/>
  <c r="X265" i="39"/>
  <c r="L265" i="39"/>
  <c r="Y265" i="39"/>
  <c r="M265" i="39"/>
  <c r="G265" i="39"/>
  <c r="L273" i="39"/>
  <c r="K271" i="39"/>
  <c r="F269" i="39"/>
  <c r="AB275" i="39"/>
  <c r="AS275" i="39" s="1"/>
  <c r="Y269" i="39"/>
  <c r="F273" i="39"/>
  <c r="G271" i="39"/>
  <c r="Y267" i="39"/>
  <c r="Y275" i="39"/>
  <c r="V275" i="39"/>
  <c r="J273" i="39"/>
  <c r="AB269" i="39"/>
  <c r="AS269" i="39" s="1"/>
  <c r="N271" i="39"/>
  <c r="Z275" i="39"/>
  <c r="Z273" i="39"/>
  <c r="X273" i="39"/>
  <c r="AA269" i="39"/>
  <c r="M271" i="39"/>
  <c r="F275" i="39"/>
  <c r="AA273" i="39"/>
  <c r="G273" i="39"/>
  <c r="V273" i="39"/>
  <c r="H275" i="39"/>
  <c r="AA275" i="39"/>
  <c r="H271" i="39"/>
  <c r="L271" i="39"/>
  <c r="J271" i="39"/>
  <c r="G275" i="39"/>
  <c r="X275" i="39"/>
  <c r="AA271" i="39"/>
  <c r="Z271" i="39"/>
  <c r="F271" i="39"/>
  <c r="K275" i="39"/>
  <c r="K273" i="39"/>
  <c r="N273" i="39"/>
  <c r="AB271" i="39"/>
  <c r="AS271" i="39" s="1"/>
  <c r="N275" i="39"/>
  <c r="I273" i="39"/>
  <c r="Y273" i="39"/>
  <c r="H273" i="39"/>
  <c r="AB273" i="39"/>
  <c r="AS273" i="39" s="1"/>
  <c r="J275" i="39"/>
  <c r="M273" i="39"/>
  <c r="I269" i="39"/>
  <c r="I271" i="39"/>
  <c r="X271" i="39"/>
  <c r="I275" i="39"/>
  <c r="M275" i="39"/>
  <c r="X269" i="39"/>
  <c r="L269" i="39"/>
  <c r="Y271" i="39"/>
  <c r="L275" i="39"/>
  <c r="W274" i="39"/>
  <c r="G277" i="39"/>
  <c r="M277" i="39"/>
  <c r="N277" i="39"/>
  <c r="H277" i="39"/>
  <c r="I277" i="39"/>
  <c r="K277" i="39"/>
  <c r="L277" i="39"/>
  <c r="J277" i="39"/>
  <c r="Q276" i="39"/>
  <c r="O276" i="39"/>
  <c r="AR276" i="39"/>
  <c r="AD276" i="39"/>
  <c r="R276" i="39"/>
  <c r="AF276" i="39"/>
  <c r="AE276" i="39"/>
  <c r="AH276" i="39"/>
  <c r="AG276" i="39"/>
  <c r="AC276" i="39"/>
  <c r="F277" i="39"/>
  <c r="V277" i="39"/>
  <c r="U276" i="39"/>
  <c r="AA277" i="39"/>
  <c r="AB277" i="39"/>
  <c r="Z277" i="39"/>
  <c r="Y277" i="39"/>
  <c r="X277" i="39"/>
  <c r="E277" i="39"/>
  <c r="A278" i="39"/>
  <c r="D277" i="39"/>
  <c r="C277" i="39"/>
  <c r="B277" i="39"/>
  <c r="K104" i="27" l="1"/>
  <c r="K108" i="27"/>
  <c r="K105" i="27"/>
  <c r="K107" i="27"/>
  <c r="K106" i="27"/>
  <c r="K111" i="27"/>
  <c r="K110" i="27"/>
  <c r="BD4" i="35"/>
  <c r="BM4" i="35"/>
  <c r="N5" i="35"/>
  <c r="U4" i="35"/>
  <c r="M6" i="35"/>
  <c r="AY5" i="35"/>
  <c r="AZ6" i="35"/>
  <c r="AN8" i="35"/>
  <c r="N7" i="35"/>
  <c r="AG6" i="35"/>
  <c r="AJ8" i="35"/>
  <c r="I6" i="35"/>
  <c r="AX7" i="35"/>
  <c r="Y8" i="35"/>
  <c r="BN9" i="35"/>
  <c r="H8" i="35"/>
  <c r="AF9" i="35"/>
  <c r="S9" i="35"/>
  <c r="C7" i="35"/>
  <c r="O8" i="35"/>
  <c r="AE7" i="35"/>
  <c r="BB8" i="35"/>
  <c r="AP9" i="35"/>
  <c r="P9" i="35"/>
  <c r="T9" i="35"/>
  <c r="F9" i="35"/>
  <c r="BN11" i="35"/>
  <c r="U9" i="35"/>
  <c r="AQ8" i="35"/>
  <c r="Q10" i="35"/>
  <c r="BF9" i="35"/>
  <c r="AH9" i="35"/>
  <c r="Q11" i="35"/>
  <c r="AU12" i="35"/>
  <c r="AA9" i="35"/>
  <c r="AT10" i="35"/>
  <c r="K11" i="35"/>
  <c r="AK10" i="35"/>
  <c r="AE11" i="35"/>
  <c r="BB11" i="35"/>
  <c r="BS10" i="35"/>
  <c r="O11" i="35"/>
  <c r="BT10" i="35"/>
  <c r="AS10" i="35"/>
  <c r="BG10" i="35"/>
  <c r="S10" i="35"/>
  <c r="BK11" i="35"/>
  <c r="AM10" i="35"/>
  <c r="G10" i="35"/>
  <c r="AS11" i="35"/>
  <c r="AQ12" i="35"/>
  <c r="AO11" i="35"/>
  <c r="W10" i="35"/>
  <c r="AW11" i="35"/>
  <c r="BF12" i="35"/>
  <c r="AI10" i="35"/>
  <c r="BM10" i="35"/>
  <c r="AD11" i="35"/>
  <c r="AH12" i="35"/>
  <c r="BI12" i="35"/>
  <c r="AK11" i="35"/>
  <c r="BQ10" i="35"/>
  <c r="BK10" i="35"/>
  <c r="J11" i="35"/>
  <c r="BO12" i="35"/>
  <c r="AU11" i="35"/>
  <c r="BJ11" i="35"/>
  <c r="BC12" i="35"/>
  <c r="AL12" i="35"/>
  <c r="AG12" i="35"/>
  <c r="AS12" i="35"/>
  <c r="AG13" i="35"/>
  <c r="I13" i="35"/>
  <c r="L13" i="35"/>
  <c r="AA30" i="35"/>
  <c r="AP31" i="35"/>
  <c r="AE31" i="35"/>
  <c r="BQ31" i="35"/>
  <c r="AK31" i="35"/>
  <c r="BN33" i="35"/>
  <c r="BD32" i="35"/>
  <c r="AG32" i="35"/>
  <c r="AF32" i="35"/>
  <c r="AV33" i="35"/>
  <c r="R32" i="35"/>
  <c r="O33" i="35"/>
  <c r="C31" i="35"/>
  <c r="AH33" i="35"/>
  <c r="AD32" i="35"/>
  <c r="D31" i="35"/>
  <c r="BJ32" i="35"/>
  <c r="J32" i="35"/>
  <c r="BB32" i="35"/>
  <c r="S31" i="35"/>
  <c r="BC32" i="35"/>
  <c r="BP32" i="35"/>
  <c r="J33" i="35"/>
  <c r="BT32" i="35"/>
  <c r="AI32" i="35"/>
  <c r="AG31" i="35"/>
  <c r="X32" i="35"/>
  <c r="AD31" i="35"/>
  <c r="E31" i="35"/>
  <c r="Y33" i="35"/>
  <c r="L33" i="35"/>
  <c r="Q32" i="35"/>
  <c r="AW32" i="35"/>
  <c r="X31" i="35"/>
  <c r="BM32" i="35"/>
  <c r="E32" i="35"/>
  <c r="C32" i="35"/>
  <c r="AM32" i="35"/>
  <c r="BK32" i="35"/>
  <c r="BD33" i="35"/>
  <c r="AS32" i="35"/>
  <c r="AU32" i="35"/>
  <c r="AL32" i="35"/>
  <c r="D32" i="35"/>
  <c r="BH31" i="35"/>
  <c r="AK32" i="35"/>
  <c r="AT32" i="35"/>
  <c r="Z32" i="35"/>
  <c r="BQ33" i="35"/>
  <c r="G33" i="35"/>
  <c r="U32" i="35"/>
  <c r="I32" i="35"/>
  <c r="V32" i="35"/>
  <c r="BS32" i="35"/>
  <c r="BR32" i="35"/>
  <c r="AB33" i="35"/>
  <c r="BB33" i="35"/>
  <c r="N32" i="35"/>
  <c r="BL34" i="35"/>
  <c r="O34" i="35"/>
  <c r="AN33" i="35"/>
  <c r="BO33" i="35"/>
  <c r="AA33" i="35"/>
  <c r="BA32" i="35"/>
  <c r="AN32" i="35"/>
  <c r="BV32" i="35"/>
  <c r="G34" i="35"/>
  <c r="L34" i="35"/>
  <c r="L32" i="35"/>
  <c r="BX34" i="35"/>
  <c r="BK33" i="35"/>
  <c r="D33" i="35"/>
  <c r="T33" i="35"/>
  <c r="BA34" i="35"/>
  <c r="J34" i="35"/>
  <c r="BH34" i="35"/>
  <c r="BJ34" i="35"/>
  <c r="BS34" i="35"/>
  <c r="AN34" i="35"/>
  <c r="Q34" i="35"/>
  <c r="AJ34" i="35"/>
  <c r="BP34" i="35"/>
  <c r="AC32" i="35"/>
  <c r="S33" i="35"/>
  <c r="BK34" i="35"/>
  <c r="N34" i="35"/>
  <c r="S34" i="35"/>
  <c r="AX34" i="35"/>
  <c r="H33" i="35"/>
  <c r="BW32" i="35"/>
  <c r="V33" i="35"/>
  <c r="BX32" i="35"/>
  <c r="BQ32" i="35"/>
  <c r="BL32" i="35"/>
  <c r="AW33" i="35"/>
  <c r="BO32" i="35"/>
  <c r="R33" i="35"/>
  <c r="AF34" i="35"/>
  <c r="E33" i="35"/>
  <c r="BB34" i="35"/>
  <c r="K34" i="35"/>
  <c r="U33" i="35"/>
  <c r="AK34" i="35"/>
  <c r="T34" i="35"/>
  <c r="BH32" i="35"/>
  <c r="AT33" i="35"/>
  <c r="C33" i="35"/>
  <c r="O32" i="35"/>
  <c r="J35" i="35"/>
  <c r="D34" i="35"/>
  <c r="AX32" i="35"/>
  <c r="AE33" i="35"/>
  <c r="W34" i="35"/>
  <c r="AY32" i="35"/>
  <c r="F32" i="35"/>
  <c r="AQ34" i="35"/>
  <c r="AI34" i="35"/>
  <c r="N33" i="35"/>
  <c r="H34" i="35"/>
  <c r="T32" i="35"/>
  <c r="X33" i="35"/>
  <c r="AV32" i="35"/>
  <c r="BE32" i="35"/>
  <c r="AZ34" i="35"/>
  <c r="AD33" i="35"/>
  <c r="H32" i="35"/>
  <c r="BU33" i="35"/>
  <c r="BT34" i="35"/>
  <c r="V34" i="35"/>
  <c r="BE33" i="35"/>
  <c r="AR33" i="35"/>
  <c r="AE32" i="35"/>
  <c r="P34" i="35"/>
  <c r="AR32" i="35"/>
  <c r="AZ33" i="35"/>
  <c r="BN34" i="35"/>
  <c r="W33" i="35"/>
  <c r="AC33" i="35"/>
  <c r="BC34" i="35"/>
  <c r="U34" i="35"/>
  <c r="BG34" i="35"/>
  <c r="AL33" i="35"/>
  <c r="AI33" i="35"/>
  <c r="BF33" i="35"/>
  <c r="X34" i="35"/>
  <c r="AB32" i="35"/>
  <c r="AP32" i="35"/>
  <c r="AZ32" i="35"/>
  <c r="E34" i="35"/>
  <c r="BF34" i="35"/>
  <c r="AR34" i="35"/>
  <c r="AG34" i="35"/>
  <c r="BI34" i="35"/>
  <c r="AS33" i="35"/>
  <c r="M34" i="35"/>
  <c r="BG33" i="35"/>
  <c r="AO32" i="35"/>
  <c r="AQ33" i="35"/>
  <c r="Z34" i="35"/>
  <c r="Y32" i="35"/>
  <c r="AP33" i="35"/>
  <c r="P32" i="35"/>
  <c r="BG32" i="35"/>
  <c r="Y34" i="35"/>
  <c r="M32" i="35"/>
  <c r="AA34" i="35"/>
  <c r="Q33" i="35"/>
  <c r="AD34" i="35"/>
  <c r="BN32" i="35"/>
  <c r="BV34" i="35"/>
  <c r="AB34" i="35"/>
  <c r="BH33" i="35"/>
  <c r="BA33" i="35"/>
  <c r="BR33" i="35"/>
  <c r="BW34" i="35"/>
  <c r="BF32" i="35"/>
  <c r="AX33" i="35"/>
  <c r="BT33" i="35"/>
  <c r="Z33" i="35"/>
  <c r="AO34" i="35"/>
  <c r="BM33" i="35"/>
  <c r="AH32" i="35"/>
  <c r="AJ33" i="35"/>
  <c r="AF33" i="35"/>
  <c r="AE34" i="35"/>
  <c r="M33" i="35"/>
  <c r="AA32" i="35"/>
  <c r="AG33" i="35"/>
  <c r="I33" i="35"/>
  <c r="W32" i="35"/>
  <c r="AJ32" i="35"/>
  <c r="P35" i="35"/>
  <c r="BW33" i="35"/>
  <c r="AY33" i="35"/>
  <c r="Y35" i="35"/>
  <c r="T35" i="35"/>
  <c r="BQ34" i="35"/>
  <c r="BP35" i="35"/>
  <c r="N35" i="35"/>
  <c r="K33" i="35"/>
  <c r="BL33" i="35"/>
  <c r="F35" i="35"/>
  <c r="BW35" i="35"/>
  <c r="BD34" i="35"/>
  <c r="AO33" i="35"/>
  <c r="BN35" i="35"/>
  <c r="BH35" i="35"/>
  <c r="AY34" i="35"/>
  <c r="AH34" i="35"/>
  <c r="BU34" i="35"/>
  <c r="O35" i="35"/>
  <c r="BS33" i="35"/>
  <c r="V35" i="35"/>
  <c r="AN35" i="35"/>
  <c r="AV35" i="35"/>
  <c r="BT35" i="35"/>
  <c r="C34" i="35"/>
  <c r="BL35" i="35"/>
  <c r="BB35" i="35"/>
  <c r="AC34" i="35"/>
  <c r="AK35" i="35"/>
  <c r="BP33" i="35"/>
  <c r="BM35" i="35"/>
  <c r="D35" i="35"/>
  <c r="Q35" i="35"/>
  <c r="AF35" i="35"/>
  <c r="AU35" i="35"/>
  <c r="BJ35" i="35"/>
  <c r="AX35" i="35"/>
  <c r="F34" i="35"/>
  <c r="BE34" i="35"/>
  <c r="BK35" i="35"/>
  <c r="AK33" i="35"/>
  <c r="AR35" i="35"/>
  <c r="BX33" i="35"/>
  <c r="Z35" i="35"/>
  <c r="BV35" i="35"/>
  <c r="AE35" i="35"/>
  <c r="BM34" i="35"/>
  <c r="R35" i="35"/>
  <c r="AJ35" i="35"/>
  <c r="AP34" i="35"/>
  <c r="L35" i="35"/>
  <c r="BR35" i="35"/>
  <c r="AO35" i="35"/>
  <c r="AT35" i="35"/>
  <c r="BC33" i="35"/>
  <c r="AW35" i="35"/>
  <c r="F33" i="35"/>
  <c r="AL35" i="35"/>
  <c r="AI35" i="35"/>
  <c r="X35" i="35"/>
  <c r="AC35" i="35"/>
  <c r="AU33" i="35"/>
  <c r="AS34" i="35"/>
  <c r="P33" i="35"/>
  <c r="BX35" i="35"/>
  <c r="S35" i="35"/>
  <c r="AP35" i="35"/>
  <c r="AM34" i="35"/>
  <c r="R34" i="35"/>
  <c r="AH35" i="35"/>
  <c r="BD35" i="35"/>
  <c r="BJ33" i="35"/>
  <c r="AQ35" i="35"/>
  <c r="AB35" i="35"/>
  <c r="AA35" i="35"/>
  <c r="AM35" i="35"/>
  <c r="AV34" i="35"/>
  <c r="AM33" i="35"/>
  <c r="W35" i="35"/>
  <c r="BC35" i="35"/>
  <c r="AZ35" i="35"/>
  <c r="C35" i="35"/>
  <c r="I34" i="35"/>
  <c r="AW34" i="35"/>
  <c r="BI33" i="35"/>
  <c r="BQ35" i="35"/>
  <c r="AU34" i="35"/>
  <c r="BS35" i="35"/>
  <c r="BR34" i="35"/>
  <c r="E35" i="35"/>
  <c r="I35" i="35"/>
  <c r="BU35" i="35"/>
  <c r="AL34" i="35"/>
  <c r="AS35" i="35"/>
  <c r="BF35" i="35"/>
  <c r="H35" i="35"/>
  <c r="K35" i="35"/>
  <c r="BG35" i="35"/>
  <c r="BO34" i="35"/>
  <c r="BO35" i="35"/>
  <c r="BE35" i="35"/>
  <c r="M35" i="35"/>
  <c r="AY35" i="35"/>
  <c r="BA35" i="35"/>
  <c r="AD35" i="35"/>
  <c r="AT34" i="35"/>
  <c r="AG35" i="35"/>
  <c r="BI35" i="35"/>
  <c r="K102" i="27"/>
  <c r="K101" i="27"/>
  <c r="K95" i="27"/>
  <c r="K92" i="27"/>
  <c r="K99" i="27"/>
  <c r="K98" i="27"/>
  <c r="K96" i="27"/>
  <c r="K100" i="27"/>
  <c r="K97" i="27"/>
  <c r="K93" i="27"/>
  <c r="K94" i="27"/>
  <c r="K103" i="27"/>
  <c r="D41" i="9"/>
  <c r="D44" i="9"/>
  <c r="D46" i="9"/>
  <c r="D43" i="9"/>
  <c r="D40" i="9"/>
  <c r="D45" i="9"/>
  <c r="D42" i="9"/>
  <c r="O195" i="39"/>
  <c r="U195" i="39"/>
  <c r="Q195" i="39"/>
  <c r="R195" i="39"/>
  <c r="W195" i="39"/>
  <c r="O249" i="39"/>
  <c r="Q249" i="39"/>
  <c r="R249" i="39"/>
  <c r="U249" i="39"/>
  <c r="W249" i="39"/>
  <c r="U237" i="39"/>
  <c r="W237" i="39"/>
  <c r="R237" i="39"/>
  <c r="O237" i="39"/>
  <c r="Q237" i="39"/>
  <c r="U222" i="39"/>
  <c r="W222" i="39"/>
  <c r="O222" i="39"/>
  <c r="Q222" i="39"/>
  <c r="R222" i="39"/>
  <c r="O155" i="39"/>
  <c r="W155" i="39"/>
  <c r="R155" i="39"/>
  <c r="Q155" i="39"/>
  <c r="U155" i="39"/>
  <c r="W168" i="39"/>
  <c r="U168" i="39"/>
  <c r="O168" i="39"/>
  <c r="Q168" i="39"/>
  <c r="R168" i="39"/>
  <c r="R263" i="39"/>
  <c r="U263" i="39"/>
  <c r="Q263" i="39"/>
  <c r="O263" i="39"/>
  <c r="W263" i="39"/>
  <c r="Q184" i="39"/>
  <c r="R184" i="39"/>
  <c r="U184" i="39"/>
  <c r="O184" i="39"/>
  <c r="W184" i="39"/>
  <c r="R146" i="39"/>
  <c r="W146" i="39"/>
  <c r="O146" i="39"/>
  <c r="U146" i="39"/>
  <c r="Q146" i="39"/>
  <c r="W251" i="39"/>
  <c r="O251" i="39"/>
  <c r="Q251" i="39"/>
  <c r="R251" i="39"/>
  <c r="U251" i="39"/>
  <c r="O218" i="39"/>
  <c r="U218" i="39"/>
  <c r="R218" i="39"/>
  <c r="Q218" i="39"/>
  <c r="W218" i="39"/>
  <c r="R228" i="39"/>
  <c r="Q228" i="39"/>
  <c r="U228" i="39"/>
  <c r="O228" i="39"/>
  <c r="W228" i="39"/>
  <c r="W160" i="39"/>
  <c r="U160" i="39"/>
  <c r="Q160" i="39"/>
  <c r="R160" i="39"/>
  <c r="O160" i="39"/>
  <c r="R224" i="39"/>
  <c r="U224" i="39"/>
  <c r="W224" i="39"/>
  <c r="O224" i="39"/>
  <c r="Q224" i="39"/>
  <c r="Q178" i="39"/>
  <c r="O178" i="39"/>
  <c r="W178" i="39"/>
  <c r="U178" i="39"/>
  <c r="R178" i="39"/>
  <c r="W233" i="39"/>
  <c r="Q233" i="39"/>
  <c r="O233" i="39"/>
  <c r="U233" i="39"/>
  <c r="R233" i="39"/>
  <c r="Q203" i="39"/>
  <c r="O203" i="39"/>
  <c r="R203" i="39"/>
  <c r="U203" i="39"/>
  <c r="W203" i="39"/>
  <c r="Q231" i="39"/>
  <c r="R231" i="39"/>
  <c r="O231" i="39"/>
  <c r="W231" i="39"/>
  <c r="U231" i="39"/>
  <c r="Q191" i="39"/>
  <c r="U191" i="39"/>
  <c r="R191" i="39"/>
  <c r="O191" i="39"/>
  <c r="W191" i="39"/>
  <c r="U209" i="39"/>
  <c r="Q209" i="39"/>
  <c r="R209" i="39"/>
  <c r="W209" i="39"/>
  <c r="O209" i="39"/>
  <c r="Q275" i="39"/>
  <c r="O275" i="39"/>
  <c r="R275" i="39"/>
  <c r="U275" i="39"/>
  <c r="R130" i="39"/>
  <c r="W130" i="39"/>
  <c r="Q130" i="39"/>
  <c r="O130" i="39"/>
  <c r="U130" i="39"/>
  <c r="W260" i="39"/>
  <c r="U260" i="39"/>
  <c r="O260" i="39"/>
  <c r="Q260" i="39"/>
  <c r="R260" i="39"/>
  <c r="R135" i="39"/>
  <c r="U135" i="39"/>
  <c r="O135" i="39"/>
  <c r="W135" i="39"/>
  <c r="Q135" i="39"/>
  <c r="U171" i="39"/>
  <c r="O171" i="39"/>
  <c r="R171" i="39"/>
  <c r="Q171" i="39"/>
  <c r="W171" i="39"/>
  <c r="R183" i="39"/>
  <c r="O183" i="39"/>
  <c r="Q183" i="39"/>
  <c r="U183" i="39"/>
  <c r="W183" i="39"/>
  <c r="R256" i="39"/>
  <c r="W256" i="39"/>
  <c r="O256" i="39"/>
  <c r="U256" i="39"/>
  <c r="Q256" i="39"/>
  <c r="R147" i="39"/>
  <c r="U147" i="39"/>
  <c r="O147" i="39"/>
  <c r="Q147" i="39"/>
  <c r="W147" i="39"/>
  <c r="U240" i="39"/>
  <c r="W240" i="39"/>
  <c r="R240" i="39"/>
  <c r="Q240" i="39"/>
  <c r="O240" i="39"/>
  <c r="R179" i="39"/>
  <c r="W179" i="39"/>
  <c r="U179" i="39"/>
  <c r="Q179" i="39"/>
  <c r="O179" i="39"/>
  <c r="Q163" i="39"/>
  <c r="O163" i="39"/>
  <c r="R163" i="39"/>
  <c r="W163" i="39"/>
  <c r="U163" i="39"/>
  <c r="W167" i="39"/>
  <c r="O167" i="39"/>
  <c r="R167" i="39"/>
  <c r="U167" i="39"/>
  <c r="Q167" i="39"/>
  <c r="O192" i="39"/>
  <c r="W192" i="39"/>
  <c r="R192" i="39"/>
  <c r="Q192" i="39"/>
  <c r="U192" i="39"/>
  <c r="R204" i="39"/>
  <c r="Q204" i="39"/>
  <c r="O204" i="39"/>
  <c r="U204" i="39"/>
  <c r="W204" i="39"/>
  <c r="O239" i="39"/>
  <c r="W239" i="39"/>
  <c r="U239" i="39"/>
  <c r="R239" i="39"/>
  <c r="Q239" i="39"/>
  <c r="R144" i="39"/>
  <c r="Q144" i="39"/>
  <c r="O144" i="39"/>
  <c r="U144" i="39"/>
  <c r="W144" i="39"/>
  <c r="W235" i="39"/>
  <c r="U235" i="39"/>
  <c r="R235" i="39"/>
  <c r="Q235" i="39"/>
  <c r="O235" i="39"/>
  <c r="R214" i="39"/>
  <c r="Q214" i="39"/>
  <c r="W214" i="39"/>
  <c r="O214" i="39"/>
  <c r="U214" i="39"/>
  <c r="R133" i="39"/>
  <c r="U133" i="39"/>
  <c r="W133" i="39"/>
  <c r="Q133" i="39"/>
  <c r="O133" i="39"/>
  <c r="Q245" i="39"/>
  <c r="O245" i="39"/>
  <c r="R245" i="39"/>
  <c r="U245" i="39"/>
  <c r="W245" i="39"/>
  <c r="W170" i="39"/>
  <c r="U170" i="39"/>
  <c r="Q170" i="39"/>
  <c r="R170" i="39"/>
  <c r="O170" i="39"/>
  <c r="O180" i="39"/>
  <c r="W180" i="39"/>
  <c r="Q180" i="39"/>
  <c r="R180" i="39"/>
  <c r="U180" i="39"/>
  <c r="U252" i="39"/>
  <c r="Q252" i="39"/>
  <c r="O252" i="39"/>
  <c r="R252" i="39"/>
  <c r="W252" i="39"/>
  <c r="O151" i="39"/>
  <c r="Q151" i="39"/>
  <c r="U151" i="39"/>
  <c r="W151" i="39"/>
  <c r="R151" i="39"/>
  <c r="R165" i="39"/>
  <c r="Q165" i="39"/>
  <c r="W165" i="39"/>
  <c r="U165" i="39"/>
  <c r="O165" i="39"/>
  <c r="R159" i="39"/>
  <c r="Q159" i="39"/>
  <c r="W159" i="39"/>
  <c r="O159" i="39"/>
  <c r="U159" i="39"/>
  <c r="Q132" i="39"/>
  <c r="R132" i="39"/>
  <c r="O132" i="39"/>
  <c r="U132" i="39"/>
  <c r="W132" i="39"/>
  <c r="O205" i="39"/>
  <c r="Q205" i="39"/>
  <c r="U205" i="39"/>
  <c r="R205" i="39"/>
  <c r="W205" i="39"/>
  <c r="Q187" i="39"/>
  <c r="U187" i="39"/>
  <c r="W187" i="39"/>
  <c r="R187" i="39"/>
  <c r="O187" i="39"/>
  <c r="R173" i="39"/>
  <c r="U173" i="39"/>
  <c r="Q173" i="39"/>
  <c r="W173" i="39"/>
  <c r="O173" i="39"/>
  <c r="W247" i="39"/>
  <c r="U247" i="39"/>
  <c r="Q247" i="39"/>
  <c r="O247" i="39"/>
  <c r="R247" i="39"/>
  <c r="W154" i="39"/>
  <c r="R154" i="39"/>
  <c r="U154" i="39"/>
  <c r="Q154" i="39"/>
  <c r="O154" i="39"/>
  <c r="R164" i="39"/>
  <c r="U164" i="39"/>
  <c r="O164" i="39"/>
  <c r="W164" i="39"/>
  <c r="Q164" i="39"/>
  <c r="R153" i="39"/>
  <c r="O153" i="39"/>
  <c r="U153" i="39"/>
  <c r="Q153" i="39"/>
  <c r="W153" i="39"/>
  <c r="O190" i="39"/>
  <c r="Q190" i="39"/>
  <c r="U190" i="39"/>
  <c r="R190" i="39"/>
  <c r="W190" i="39"/>
  <c r="U137" i="39"/>
  <c r="R137" i="39"/>
  <c r="W137" i="39"/>
  <c r="Q137" i="39"/>
  <c r="O137" i="39"/>
  <c r="U253" i="39"/>
  <c r="Q253" i="39"/>
  <c r="O253" i="39"/>
  <c r="R253" i="39"/>
  <c r="W253" i="39"/>
  <c r="U273" i="39"/>
  <c r="Q273" i="39"/>
  <c r="O273" i="39"/>
  <c r="R273" i="39"/>
  <c r="W273" i="39"/>
  <c r="O206" i="39"/>
  <c r="R206" i="39"/>
  <c r="U206" i="39"/>
  <c r="Q206" i="39"/>
  <c r="W206" i="39"/>
  <c r="U210" i="39"/>
  <c r="W210" i="39"/>
  <c r="R210" i="39"/>
  <c r="O210" i="39"/>
  <c r="Q210" i="39"/>
  <c r="Q148" i="39"/>
  <c r="O148" i="39"/>
  <c r="U148" i="39"/>
  <c r="R148" i="39"/>
  <c r="W148" i="39"/>
  <c r="U258" i="39"/>
  <c r="R258" i="39"/>
  <c r="Q258" i="39"/>
  <c r="O258" i="39"/>
  <c r="W258" i="39"/>
  <c r="W185" i="39"/>
  <c r="Q185" i="39"/>
  <c r="R185" i="39"/>
  <c r="O185" i="39"/>
  <c r="U185" i="39"/>
  <c r="W242" i="39"/>
  <c r="U242" i="39"/>
  <c r="Q242" i="39"/>
  <c r="R242" i="39"/>
  <c r="O242" i="39"/>
  <c r="U262" i="39"/>
  <c r="O262" i="39"/>
  <c r="R262" i="39"/>
  <c r="Q262" i="39"/>
  <c r="W262" i="39"/>
  <c r="W141" i="39"/>
  <c r="R141" i="39"/>
  <c r="O141" i="39"/>
  <c r="U141" i="39"/>
  <c r="Q141" i="39"/>
  <c r="Q196" i="39"/>
  <c r="O196" i="39"/>
  <c r="W196" i="39"/>
  <c r="U196" i="39"/>
  <c r="R196" i="39"/>
  <c r="W166" i="39"/>
  <c r="U166" i="39"/>
  <c r="O166" i="39"/>
  <c r="R166" i="39"/>
  <c r="Q166" i="39"/>
  <c r="U142" i="39"/>
  <c r="R142" i="39"/>
  <c r="W142" i="39"/>
  <c r="O142" i="39"/>
  <c r="Q142" i="39"/>
  <c r="Q136" i="39"/>
  <c r="U136" i="39"/>
  <c r="R136" i="39"/>
  <c r="W136" i="39"/>
  <c r="O136" i="39"/>
  <c r="O198" i="39"/>
  <c r="R198" i="39"/>
  <c r="Q198" i="39"/>
  <c r="U198" i="39"/>
  <c r="W198" i="39"/>
  <c r="U255" i="39"/>
  <c r="W255" i="39"/>
  <c r="Q255" i="39"/>
  <c r="O255" i="39"/>
  <c r="R255" i="39"/>
  <c r="W275" i="39"/>
  <c r="O264" i="39"/>
  <c r="R264" i="39"/>
  <c r="U264" i="39"/>
  <c r="Q264" i="39"/>
  <c r="W264" i="39"/>
  <c r="Q220" i="39"/>
  <c r="W220" i="39"/>
  <c r="O220" i="39"/>
  <c r="U220" i="39"/>
  <c r="R220" i="39"/>
  <c r="U208" i="39"/>
  <c r="O208" i="39"/>
  <c r="R208" i="39"/>
  <c r="Q208" i="39"/>
  <c r="W208" i="39"/>
  <c r="Q219" i="39"/>
  <c r="O219" i="39"/>
  <c r="R219" i="39"/>
  <c r="W219" i="39"/>
  <c r="U219" i="39"/>
  <c r="Q226" i="39"/>
  <c r="O226" i="39"/>
  <c r="U226" i="39"/>
  <c r="R226" i="39"/>
  <c r="W226" i="39"/>
  <c r="O182" i="39"/>
  <c r="R182" i="39"/>
  <c r="Q182" i="39"/>
  <c r="U182" i="39"/>
  <c r="W182" i="39"/>
  <c r="W230" i="39"/>
  <c r="R230" i="39"/>
  <c r="U230" i="39"/>
  <c r="Q230" i="39"/>
  <c r="O230" i="39"/>
  <c r="Q140" i="39"/>
  <c r="U140" i="39"/>
  <c r="O140" i="39"/>
  <c r="W140" i="39"/>
  <c r="R140" i="39"/>
  <c r="R216" i="39"/>
  <c r="U216" i="39"/>
  <c r="Q216" i="39"/>
  <c r="W216" i="39"/>
  <c r="O216" i="39"/>
  <c r="Q197" i="39"/>
  <c r="W197" i="39"/>
  <c r="O197" i="39"/>
  <c r="U197" i="39"/>
  <c r="R197" i="39"/>
  <c r="W215" i="39"/>
  <c r="Q215" i="39"/>
  <c r="U215" i="39"/>
  <c r="R215" i="39"/>
  <c r="O215" i="39"/>
  <c r="U162" i="39"/>
  <c r="O162" i="39"/>
  <c r="W162" i="39"/>
  <c r="Q162" i="39"/>
  <c r="R162" i="39"/>
  <c r="Q138" i="39"/>
  <c r="W138" i="39"/>
  <c r="R138" i="39"/>
  <c r="O138" i="39"/>
  <c r="U138" i="39"/>
  <c r="Q200" i="39"/>
  <c r="U200" i="39"/>
  <c r="W200" i="39"/>
  <c r="R200" i="39"/>
  <c r="O200" i="39"/>
  <c r="Q202" i="39"/>
  <c r="W202" i="39"/>
  <c r="O202" i="39"/>
  <c r="R202" i="39"/>
  <c r="U202" i="39"/>
  <c r="W156" i="39"/>
  <c r="R156" i="39"/>
  <c r="Q156" i="39"/>
  <c r="O156" i="39"/>
  <c r="U156" i="39"/>
  <c r="R238" i="39"/>
  <c r="Q238" i="39"/>
  <c r="O238" i="39"/>
  <c r="W238" i="39"/>
  <c r="U238" i="39"/>
  <c r="R271" i="39"/>
  <c r="Q271" i="39"/>
  <c r="U271" i="39"/>
  <c r="O271" i="39"/>
  <c r="W271" i="39"/>
  <c r="O265" i="39"/>
  <c r="Q265" i="39"/>
  <c r="U265" i="39"/>
  <c r="R265" i="39"/>
  <c r="W265" i="39"/>
  <c r="Q213" i="39"/>
  <c r="O213" i="39"/>
  <c r="R213" i="39"/>
  <c r="W213" i="39"/>
  <c r="U213" i="39"/>
  <c r="Q211" i="39"/>
  <c r="W211" i="39"/>
  <c r="R211" i="39"/>
  <c r="O211" i="39"/>
  <c r="U211" i="39"/>
  <c r="U221" i="39"/>
  <c r="W221" i="39"/>
  <c r="R221" i="39"/>
  <c r="O221" i="39"/>
  <c r="Q221" i="39"/>
  <c r="W193" i="39"/>
  <c r="O193" i="39"/>
  <c r="Q193" i="39"/>
  <c r="R193" i="39"/>
  <c r="U193" i="39"/>
  <c r="U234" i="39"/>
  <c r="W234" i="39"/>
  <c r="O234" i="39"/>
  <c r="R234" i="39"/>
  <c r="Q234" i="39"/>
  <c r="Q152" i="39"/>
  <c r="W152" i="39"/>
  <c r="O152" i="39"/>
  <c r="R152" i="39"/>
  <c r="U152" i="39"/>
  <c r="W217" i="39"/>
  <c r="R217" i="39"/>
  <c r="O217" i="39"/>
  <c r="U217" i="39"/>
  <c r="Q217" i="39"/>
  <c r="R158" i="39"/>
  <c r="U158" i="39"/>
  <c r="O158" i="39"/>
  <c r="W158" i="39"/>
  <c r="Q158" i="39"/>
  <c r="O139" i="39"/>
  <c r="Q139" i="39"/>
  <c r="W139" i="39"/>
  <c r="U139" i="39"/>
  <c r="R139" i="39"/>
  <c r="R188" i="39"/>
  <c r="U188" i="39"/>
  <c r="Q188" i="39"/>
  <c r="W188" i="39"/>
  <c r="O188" i="39"/>
  <c r="R225" i="39"/>
  <c r="O225" i="39"/>
  <c r="U225" i="39"/>
  <c r="Q225" i="39"/>
  <c r="W225" i="39"/>
  <c r="O145" i="39"/>
  <c r="Q145" i="39"/>
  <c r="W145" i="39"/>
  <c r="U145" i="39"/>
  <c r="R145" i="39"/>
  <c r="Q232" i="39"/>
  <c r="O232" i="39"/>
  <c r="R232" i="39"/>
  <c r="U232" i="39"/>
  <c r="W232" i="39"/>
  <c r="R181" i="39"/>
  <c r="W181" i="39"/>
  <c r="Q181" i="39"/>
  <c r="O181" i="39"/>
  <c r="U181" i="39"/>
  <c r="W227" i="39"/>
  <c r="Q227" i="39"/>
  <c r="U227" i="39"/>
  <c r="O227" i="39"/>
  <c r="R227" i="39"/>
  <c r="Q269" i="39"/>
  <c r="U269" i="39"/>
  <c r="O269" i="39"/>
  <c r="R269" i="39"/>
  <c r="W269" i="39"/>
  <c r="O248" i="39"/>
  <c r="U248" i="39"/>
  <c r="R248" i="39"/>
  <c r="Q248" i="39"/>
  <c r="W248" i="39"/>
  <c r="O246" i="39"/>
  <c r="R246" i="39"/>
  <c r="Q246" i="39"/>
  <c r="U246" i="39"/>
  <c r="W246" i="39"/>
  <c r="Q194" i="39"/>
  <c r="U194" i="39"/>
  <c r="R194" i="39"/>
  <c r="O194" i="39"/>
  <c r="W194" i="39"/>
  <c r="O174" i="39"/>
  <c r="W174" i="39"/>
  <c r="R174" i="39"/>
  <c r="Q174" i="39"/>
  <c r="U174" i="39"/>
  <c r="O244" i="39"/>
  <c r="Q244" i="39"/>
  <c r="R244" i="39"/>
  <c r="U244" i="39"/>
  <c r="W244" i="39"/>
  <c r="R186" i="39"/>
  <c r="Q186" i="39"/>
  <c r="U186" i="39"/>
  <c r="O186" i="39"/>
  <c r="W186" i="39"/>
  <c r="O177" i="39"/>
  <c r="U177" i="39"/>
  <c r="Q177" i="39"/>
  <c r="W177" i="39"/>
  <c r="R177" i="39"/>
  <c r="R229" i="39"/>
  <c r="W229" i="39"/>
  <c r="Q229" i="39"/>
  <c r="U229" i="39"/>
  <c r="O229" i="39"/>
  <c r="Q254" i="39"/>
  <c r="O254" i="39"/>
  <c r="R254" i="39"/>
  <c r="U254" i="39"/>
  <c r="W254" i="39"/>
  <c r="Q131" i="39"/>
  <c r="W131" i="39"/>
  <c r="O131" i="39"/>
  <c r="R131" i="39"/>
  <c r="U131" i="39"/>
  <c r="W169" i="39"/>
  <c r="O169" i="39"/>
  <c r="U169" i="39"/>
  <c r="Q169" i="39"/>
  <c r="R169" i="39"/>
  <c r="R212" i="39"/>
  <c r="U212" i="39"/>
  <c r="O212" i="39"/>
  <c r="W212" i="39"/>
  <c r="Q212" i="39"/>
  <c r="Q259" i="39"/>
  <c r="O259" i="39"/>
  <c r="R259" i="39"/>
  <c r="U259" i="39"/>
  <c r="W259" i="39"/>
  <c r="U150" i="39"/>
  <c r="R150" i="39"/>
  <c r="O150" i="39"/>
  <c r="Q150" i="39"/>
  <c r="W150" i="39"/>
  <c r="W201" i="39"/>
  <c r="O201" i="39"/>
  <c r="Q201" i="39"/>
  <c r="R201" i="39"/>
  <c r="U201" i="39"/>
  <c r="O223" i="39"/>
  <c r="U223" i="39"/>
  <c r="Q223" i="39"/>
  <c r="R223" i="39"/>
  <c r="W223" i="39"/>
  <c r="Q175" i="39"/>
  <c r="W175" i="39"/>
  <c r="R175" i="39"/>
  <c r="O175" i="39"/>
  <c r="U175" i="39"/>
  <c r="R157" i="39"/>
  <c r="O157" i="39"/>
  <c r="Q157" i="39"/>
  <c r="U157" i="39"/>
  <c r="W157" i="39"/>
  <c r="R189" i="39"/>
  <c r="Q189" i="39"/>
  <c r="W189" i="39"/>
  <c r="O189" i="39"/>
  <c r="U189" i="39"/>
  <c r="R207" i="39"/>
  <c r="O207" i="39"/>
  <c r="Q207" i="39"/>
  <c r="W207" i="39"/>
  <c r="U207" i="39"/>
  <c r="Q149" i="39"/>
  <c r="O149" i="39"/>
  <c r="R149" i="39"/>
  <c r="W149" i="39"/>
  <c r="U149" i="39"/>
  <c r="Q236" i="39"/>
  <c r="R236" i="39"/>
  <c r="O236" i="39"/>
  <c r="U236" i="39"/>
  <c r="W236" i="39"/>
  <c r="U241" i="39"/>
  <c r="O241" i="39"/>
  <c r="R241" i="39"/>
  <c r="Q241" i="39"/>
  <c r="W241" i="39"/>
  <c r="Q243" i="39"/>
  <c r="W243" i="39"/>
  <c r="R243" i="39"/>
  <c r="U243" i="39"/>
  <c r="O243" i="39"/>
  <c r="O129" i="39"/>
  <c r="R129" i="39"/>
  <c r="W129" i="39"/>
  <c r="Q129" i="39"/>
  <c r="U129" i="39"/>
  <c r="O261" i="39"/>
  <c r="Q261" i="39"/>
  <c r="R261" i="39"/>
  <c r="U261" i="39"/>
  <c r="W261" i="39"/>
  <c r="U250" i="39"/>
  <c r="O250" i="39"/>
  <c r="Q250" i="39"/>
  <c r="R250" i="39"/>
  <c r="W250" i="39"/>
  <c r="O172" i="39"/>
  <c r="R172" i="39"/>
  <c r="U172" i="39"/>
  <c r="W172" i="39"/>
  <c r="Q172" i="39"/>
  <c r="U134" i="39"/>
  <c r="W134" i="39"/>
  <c r="R134" i="39"/>
  <c r="O134" i="39"/>
  <c r="Q134" i="39"/>
  <c r="U199" i="39"/>
  <c r="O199" i="39"/>
  <c r="Q199" i="39"/>
  <c r="W199" i="39"/>
  <c r="R199" i="39"/>
  <c r="U161" i="39"/>
  <c r="R161" i="39"/>
  <c r="Q161" i="39"/>
  <c r="W161" i="39"/>
  <c r="O161" i="39"/>
  <c r="O143" i="39"/>
  <c r="W143" i="39"/>
  <c r="U143" i="39"/>
  <c r="Q143" i="39"/>
  <c r="R143" i="39"/>
  <c r="R176" i="39"/>
  <c r="O176" i="39"/>
  <c r="U176" i="39"/>
  <c r="W176" i="39"/>
  <c r="Q176" i="39"/>
  <c r="U257" i="39"/>
  <c r="Q257" i="39"/>
  <c r="R257" i="39"/>
  <c r="O257" i="39"/>
  <c r="W257" i="39"/>
  <c r="AS276" i="39"/>
  <c r="W276" i="39"/>
  <c r="H278" i="39"/>
  <c r="M278" i="39"/>
  <c r="G278" i="39"/>
  <c r="J278" i="39"/>
  <c r="N278" i="39"/>
  <c r="I278" i="39"/>
  <c r="K278" i="39"/>
  <c r="L278" i="39"/>
  <c r="AR277" i="39"/>
  <c r="W277" i="39" s="1"/>
  <c r="AD277" i="39"/>
  <c r="Q277" i="39"/>
  <c r="O277" i="39"/>
  <c r="R277" i="39"/>
  <c r="U277" i="39"/>
  <c r="AH277" i="39"/>
  <c r="AF277" i="39"/>
  <c r="AG277" i="39"/>
  <c r="AE277" i="39"/>
  <c r="AC277" i="39"/>
  <c r="F278" i="39"/>
  <c r="V278" i="39"/>
  <c r="AA278" i="39"/>
  <c r="AB278" i="39"/>
  <c r="X278" i="39"/>
  <c r="Y278" i="39"/>
  <c r="Z278" i="39"/>
  <c r="B278" i="39"/>
  <c r="E278" i="39"/>
  <c r="A279" i="39"/>
  <c r="D278" i="39"/>
  <c r="C278" i="39"/>
  <c r="BY6" i="35" l="1"/>
  <c r="I6" i="36" s="1"/>
  <c r="BY35" i="35"/>
  <c r="C35" i="36" s="1"/>
  <c r="BY12" i="35"/>
  <c r="BI12" i="36" s="1"/>
  <c r="BY7" i="35"/>
  <c r="AE7" i="36" s="1"/>
  <c r="BY11" i="35"/>
  <c r="J11" i="36" s="1"/>
  <c r="BY8" i="35"/>
  <c r="Y8" i="36" s="1"/>
  <c r="BY4" i="35"/>
  <c r="U4" i="36" s="1"/>
  <c r="BY34" i="35"/>
  <c r="BX34" i="36" s="1"/>
  <c r="BY32" i="35"/>
  <c r="BL32" i="36" s="1"/>
  <c r="BY31" i="35"/>
  <c r="X31" i="36" s="1"/>
  <c r="BY30" i="35"/>
  <c r="AA30" i="36" s="1"/>
  <c r="BY5" i="35"/>
  <c r="N5" i="36" s="1"/>
  <c r="BY9" i="35"/>
  <c r="U9" i="36" s="1"/>
  <c r="BY33" i="35"/>
  <c r="AL33" i="36" s="1"/>
  <c r="BY13" i="35"/>
  <c r="L13" i="36" s="1"/>
  <c r="BY10" i="35"/>
  <c r="AS10" i="36" s="1"/>
  <c r="AS277" i="39"/>
  <c r="L279" i="39"/>
  <c r="H279" i="39"/>
  <c r="N279" i="39"/>
  <c r="K279" i="39"/>
  <c r="J279" i="39"/>
  <c r="G279" i="39"/>
  <c r="M279" i="39"/>
  <c r="I279" i="39"/>
  <c r="AR278" i="39"/>
  <c r="W278" i="39" s="1"/>
  <c r="AD278" i="39"/>
  <c r="Q278" i="39"/>
  <c r="O278" i="39"/>
  <c r="R278" i="39"/>
  <c r="F279" i="39"/>
  <c r="V279" i="39"/>
  <c r="AH278" i="39"/>
  <c r="AG278" i="39"/>
  <c r="AE278" i="39"/>
  <c r="AF278" i="39"/>
  <c r="AC278" i="39"/>
  <c r="U278" i="39"/>
  <c r="AB279" i="39"/>
  <c r="AA279" i="39"/>
  <c r="Z279" i="39"/>
  <c r="Y279" i="39"/>
  <c r="X279" i="39"/>
  <c r="E279" i="39"/>
  <c r="A280" i="39"/>
  <c r="D279" i="39"/>
  <c r="C279" i="39"/>
  <c r="B279" i="39"/>
  <c r="BD35" i="36" l="1"/>
  <c r="BF35" i="36"/>
  <c r="AG35" i="36"/>
  <c r="T35" i="36"/>
  <c r="P35" i="36"/>
  <c r="BT35" i="36"/>
  <c r="R35" i="36"/>
  <c r="X35" i="36"/>
  <c r="AV35" i="36"/>
  <c r="H35" i="36"/>
  <c r="AU35" i="36"/>
  <c r="BI35" i="36"/>
  <c r="AI35" i="36"/>
  <c r="BS35" i="36"/>
  <c r="J35" i="36"/>
  <c r="BL35" i="36"/>
  <c r="BK35" i="36"/>
  <c r="BM35" i="36"/>
  <c r="AG6" i="36"/>
  <c r="K11" i="36"/>
  <c r="AS11" i="36"/>
  <c r="AJ33" i="36"/>
  <c r="AK33" i="36"/>
  <c r="AX35" i="36"/>
  <c r="BH35" i="36"/>
  <c r="AO35" i="36"/>
  <c r="AQ34" i="36"/>
  <c r="O32" i="36"/>
  <c r="AE11" i="36"/>
  <c r="AJ35" i="36"/>
  <c r="BB35" i="36"/>
  <c r="BX35" i="36"/>
  <c r="AM34" i="36"/>
  <c r="AJ32" i="36"/>
  <c r="D33" i="36"/>
  <c r="T32" i="36"/>
  <c r="AQ12" i="36"/>
  <c r="AC35" i="36"/>
  <c r="AA35" i="36"/>
  <c r="M35" i="36"/>
  <c r="AM35" i="36"/>
  <c r="M6" i="36"/>
  <c r="BC12" i="36"/>
  <c r="BC32" i="36"/>
  <c r="BO12" i="36"/>
  <c r="AY32" i="36"/>
  <c r="M32" i="36"/>
  <c r="BM34" i="36"/>
  <c r="AS34" i="36"/>
  <c r="AR35" i="36"/>
  <c r="V35" i="36"/>
  <c r="AD31" i="36"/>
  <c r="AN34" i="36"/>
  <c r="AA34" i="36"/>
  <c r="BL34" i="36"/>
  <c r="BJ33" i="36"/>
  <c r="T33" i="36"/>
  <c r="N34" i="36"/>
  <c r="AC32" i="36"/>
  <c r="BK34" i="36"/>
  <c r="W35" i="36"/>
  <c r="AW33" i="36"/>
  <c r="F34" i="36"/>
  <c r="H33" i="36"/>
  <c r="C33" i="36"/>
  <c r="AQ35" i="36"/>
  <c r="C34" i="36"/>
  <c r="BQ35" i="36"/>
  <c r="AK35" i="36"/>
  <c r="AD11" i="36"/>
  <c r="BE33" i="36"/>
  <c r="BQ9" i="36"/>
  <c r="BV9" i="36"/>
  <c r="BP9" i="36"/>
  <c r="N9" i="36"/>
  <c r="AT9" i="36"/>
  <c r="J9" i="36"/>
  <c r="BX9" i="36"/>
  <c r="BA9" i="36"/>
  <c r="AZ9" i="36"/>
  <c r="BJ9" i="36"/>
  <c r="Q9" i="36"/>
  <c r="AB9" i="36"/>
  <c r="BW9" i="36"/>
  <c r="BI9" i="36"/>
  <c r="AO9" i="36"/>
  <c r="BG9" i="36"/>
  <c r="BR9" i="36"/>
  <c r="BK9" i="36"/>
  <c r="BL9" i="36"/>
  <c r="W9" i="36"/>
  <c r="AI9" i="36"/>
  <c r="BS9" i="36"/>
  <c r="K9" i="36"/>
  <c r="BD9" i="36"/>
  <c r="BM9" i="36"/>
  <c r="I9" i="36"/>
  <c r="BO9" i="36"/>
  <c r="AX9" i="36"/>
  <c r="V9" i="36"/>
  <c r="Y9" i="36"/>
  <c r="AR9" i="36"/>
  <c r="G9" i="36"/>
  <c r="BB9" i="36"/>
  <c r="C9" i="36"/>
  <c r="E9" i="36"/>
  <c r="AM9" i="36"/>
  <c r="M9" i="36"/>
  <c r="AU9" i="36"/>
  <c r="AJ9" i="36"/>
  <c r="BC9" i="36"/>
  <c r="AE9" i="36"/>
  <c r="O9" i="36"/>
  <c r="AG9" i="36"/>
  <c r="X9" i="36"/>
  <c r="AV9" i="36"/>
  <c r="AC9" i="36"/>
  <c r="AN9" i="36"/>
  <c r="AL9" i="36"/>
  <c r="L9" i="36"/>
  <c r="AW9" i="36"/>
  <c r="Z9" i="36"/>
  <c r="BH9" i="36"/>
  <c r="BT9" i="36"/>
  <c r="AK9" i="36"/>
  <c r="R9" i="36"/>
  <c r="H9" i="36"/>
  <c r="BE9" i="36"/>
  <c r="AD9" i="36"/>
  <c r="AQ9" i="36"/>
  <c r="AS9" i="36"/>
  <c r="D9" i="36"/>
  <c r="AY9" i="36"/>
  <c r="BU9" i="36"/>
  <c r="BO32" i="36"/>
  <c r="BN11" i="36"/>
  <c r="AN33" i="36"/>
  <c r="AO33" i="36"/>
  <c r="AR8" i="36"/>
  <c r="BQ8" i="36"/>
  <c r="BH8" i="36"/>
  <c r="AB8" i="36"/>
  <c r="BF8" i="36"/>
  <c r="K8" i="36"/>
  <c r="AO8" i="36"/>
  <c r="AL8" i="36"/>
  <c r="X8" i="36"/>
  <c r="AV8" i="36"/>
  <c r="J8" i="36"/>
  <c r="BK8" i="36"/>
  <c r="BI8" i="36"/>
  <c r="AF8" i="36"/>
  <c r="AY8" i="36"/>
  <c r="BE8" i="36"/>
  <c r="BR8" i="36"/>
  <c r="W8" i="36"/>
  <c r="BG8" i="36"/>
  <c r="BT8" i="36"/>
  <c r="BA8" i="36"/>
  <c r="BP8" i="36"/>
  <c r="R8" i="36"/>
  <c r="AK8" i="36"/>
  <c r="BS8" i="36"/>
  <c r="G8" i="36"/>
  <c r="BO8" i="36"/>
  <c r="P8" i="36"/>
  <c r="C8" i="36"/>
  <c r="L8" i="36"/>
  <c r="BU8" i="36"/>
  <c r="AS8" i="36"/>
  <c r="AE8" i="36"/>
  <c r="BN8" i="36"/>
  <c r="I8" i="36"/>
  <c r="BM8" i="36"/>
  <c r="BV8" i="36"/>
  <c r="BW8" i="36"/>
  <c r="E8" i="36"/>
  <c r="U8" i="36"/>
  <c r="AW8" i="36"/>
  <c r="AU8" i="36"/>
  <c r="AA8" i="36"/>
  <c r="BX8" i="36"/>
  <c r="AD8" i="36"/>
  <c r="AM8" i="36"/>
  <c r="AZ8" i="36"/>
  <c r="V8" i="36"/>
  <c r="Q8" i="36"/>
  <c r="Z8" i="36"/>
  <c r="F8" i="36"/>
  <c r="T8" i="36"/>
  <c r="D8" i="36"/>
  <c r="AT8" i="36"/>
  <c r="M8" i="36"/>
  <c r="AG8" i="36"/>
  <c r="AI8" i="36"/>
  <c r="BJ8" i="36"/>
  <c r="AC8" i="36"/>
  <c r="BC8" i="36"/>
  <c r="BD8" i="36"/>
  <c r="AP8" i="36"/>
  <c r="AH8" i="36"/>
  <c r="BL8" i="36"/>
  <c r="AX8" i="36"/>
  <c r="S8" i="36"/>
  <c r="N8" i="36"/>
  <c r="BA34" i="36"/>
  <c r="Z34" i="36"/>
  <c r="W10" i="36"/>
  <c r="BE34" i="36"/>
  <c r="D31" i="36"/>
  <c r="C7" i="36"/>
  <c r="BJ34" i="36"/>
  <c r="AH9" i="36"/>
  <c r="U33" i="36"/>
  <c r="E35" i="36"/>
  <c r="G34" i="36"/>
  <c r="O35" i="36"/>
  <c r="S10" i="36"/>
  <c r="T34" i="36"/>
  <c r="AW35" i="36"/>
  <c r="AF32" i="36"/>
  <c r="BI34" i="36"/>
  <c r="AD35" i="36"/>
  <c r="AT10" i="36"/>
  <c r="N33" i="36"/>
  <c r="G10" i="36"/>
  <c r="N7" i="36"/>
  <c r="BB11" i="36"/>
  <c r="AF34" i="36"/>
  <c r="AP34" i="36"/>
  <c r="AE31" i="36"/>
  <c r="AU34" i="36"/>
  <c r="BD33" i="36"/>
  <c r="BF9" i="36"/>
  <c r="K34" i="36"/>
  <c r="AI10" i="36"/>
  <c r="H32" i="36"/>
  <c r="V33" i="36"/>
  <c r="BX33" i="36"/>
  <c r="AG12" i="36"/>
  <c r="BT34" i="36"/>
  <c r="BC35" i="36"/>
  <c r="AW32" i="36"/>
  <c r="AX33" i="36"/>
  <c r="AF35" i="36"/>
  <c r="BR33" i="36"/>
  <c r="BV33" i="36"/>
  <c r="BQ10" i="36"/>
  <c r="AE32" i="36"/>
  <c r="AW34" i="36"/>
  <c r="BK10" i="36"/>
  <c r="R33" i="36"/>
  <c r="AO11" i="36"/>
  <c r="D34" i="36"/>
  <c r="AU33" i="36"/>
  <c r="AD32" i="36"/>
  <c r="AY34" i="36"/>
  <c r="I32" i="36"/>
  <c r="BT10" i="36"/>
  <c r="W34" i="36"/>
  <c r="AC33" i="36"/>
  <c r="Q11" i="36"/>
  <c r="AK34" i="36"/>
  <c r="BC33" i="36"/>
  <c r="BQ12" i="36"/>
  <c r="AY12" i="36"/>
  <c r="I12" i="36"/>
  <c r="K12" i="36"/>
  <c r="J12" i="36"/>
  <c r="BB12" i="36"/>
  <c r="N12" i="36"/>
  <c r="Z12" i="36"/>
  <c r="AM12" i="36"/>
  <c r="X12" i="36"/>
  <c r="M12" i="36"/>
  <c r="BE12" i="36"/>
  <c r="BT12" i="36"/>
  <c r="C12" i="36"/>
  <c r="BL12" i="36"/>
  <c r="AI12" i="36"/>
  <c r="BU12" i="36"/>
  <c r="D12" i="36"/>
  <c r="AK12" i="36"/>
  <c r="L12" i="36"/>
  <c r="BJ12" i="36"/>
  <c r="P12" i="36"/>
  <c r="BV12" i="36"/>
  <c r="S12" i="36"/>
  <c r="BX12" i="36"/>
  <c r="BW12" i="36"/>
  <c r="AR12" i="36"/>
  <c r="BR12" i="36"/>
  <c r="F12" i="36"/>
  <c r="AW12" i="36"/>
  <c r="AD12" i="36"/>
  <c r="Q12" i="36"/>
  <c r="BS12" i="36"/>
  <c r="BD12" i="36"/>
  <c r="BP12" i="36"/>
  <c r="Y12" i="36"/>
  <c r="AX12" i="36"/>
  <c r="O12" i="36"/>
  <c r="BA12" i="36"/>
  <c r="BG12" i="36"/>
  <c r="AA12" i="36"/>
  <c r="AN12" i="36"/>
  <c r="E12" i="36"/>
  <c r="W12" i="36"/>
  <c r="G12" i="36"/>
  <c r="BK12" i="36"/>
  <c r="AJ12" i="36"/>
  <c r="AE12" i="36"/>
  <c r="AZ12" i="36"/>
  <c r="BN12" i="36"/>
  <c r="H12" i="36"/>
  <c r="AV12" i="36"/>
  <c r="AT12" i="36"/>
  <c r="V12" i="36"/>
  <c r="AB12" i="36"/>
  <c r="AF12" i="36"/>
  <c r="AP12" i="36"/>
  <c r="BH12" i="36"/>
  <c r="U12" i="36"/>
  <c r="R12" i="36"/>
  <c r="AO12" i="36"/>
  <c r="T12" i="36"/>
  <c r="BM12" i="36"/>
  <c r="AC12" i="36"/>
  <c r="U34" i="36"/>
  <c r="BA35" i="36"/>
  <c r="BH31" i="36"/>
  <c r="I33" i="36"/>
  <c r="AL35" i="36"/>
  <c r="AG13" i="36"/>
  <c r="AS33" i="36"/>
  <c r="I13" i="36"/>
  <c r="H34" i="36"/>
  <c r="BF33" i="36"/>
  <c r="BX30" i="36"/>
  <c r="BK30" i="36"/>
  <c r="BC30" i="36"/>
  <c r="AI30" i="36"/>
  <c r="V30" i="36"/>
  <c r="AT30" i="36"/>
  <c r="BD30" i="36"/>
  <c r="BU30" i="36"/>
  <c r="AX30" i="36"/>
  <c r="BR30" i="36"/>
  <c r="T30" i="36"/>
  <c r="BO30" i="36"/>
  <c r="AN30" i="36"/>
  <c r="BS30" i="36"/>
  <c r="E30" i="36"/>
  <c r="BL30" i="36"/>
  <c r="H30" i="36"/>
  <c r="Y30" i="36"/>
  <c r="AE30" i="36"/>
  <c r="C30" i="36"/>
  <c r="M30" i="36"/>
  <c r="AY30" i="36"/>
  <c r="BM30" i="36"/>
  <c r="AG30" i="36"/>
  <c r="AB30" i="36"/>
  <c r="AD30" i="36"/>
  <c r="BE30" i="36"/>
  <c r="AZ30" i="36"/>
  <c r="BQ30" i="36"/>
  <c r="BJ30" i="36"/>
  <c r="AJ30" i="36"/>
  <c r="AO30" i="36"/>
  <c r="BF30" i="36"/>
  <c r="BW30" i="36"/>
  <c r="Z30" i="36"/>
  <c r="F30" i="36"/>
  <c r="K30" i="36"/>
  <c r="U30" i="36"/>
  <c r="AU30" i="36"/>
  <c r="W30" i="36"/>
  <c r="AF30" i="36"/>
  <c r="BA30" i="36"/>
  <c r="AQ30" i="36"/>
  <c r="BH30" i="36"/>
  <c r="BN30" i="36"/>
  <c r="BP30" i="36"/>
  <c r="BB30" i="36"/>
  <c r="P30" i="36"/>
  <c r="S30" i="36"/>
  <c r="AS30" i="36"/>
  <c r="N30" i="36"/>
  <c r="AR30" i="36"/>
  <c r="G30" i="36"/>
  <c r="L30" i="36"/>
  <c r="Q30" i="36"/>
  <c r="AL30" i="36"/>
  <c r="X30" i="36"/>
  <c r="BI30" i="36"/>
  <c r="D30" i="36"/>
  <c r="R30" i="36"/>
  <c r="AH30" i="36"/>
  <c r="BV30" i="36"/>
  <c r="J30" i="36"/>
  <c r="AV30" i="36"/>
  <c r="AK30" i="36"/>
  <c r="BG30" i="36"/>
  <c r="I30" i="36"/>
  <c r="AP30" i="36"/>
  <c r="AM30" i="36"/>
  <c r="AW30" i="36"/>
  <c r="AC30" i="36"/>
  <c r="O30" i="36"/>
  <c r="BT30" i="36"/>
  <c r="AV32" i="36"/>
  <c r="AB35" i="36"/>
  <c r="L35" i="36"/>
  <c r="X32" i="36"/>
  <c r="P33" i="36"/>
  <c r="BA32" i="36"/>
  <c r="BF12" i="36"/>
  <c r="AD33" i="36"/>
  <c r="AV34" i="36"/>
  <c r="BN33" i="36"/>
  <c r="BF34" i="36"/>
  <c r="BG10" i="36"/>
  <c r="F32" i="36"/>
  <c r="AP35" i="36"/>
  <c r="AG32" i="36"/>
  <c r="AG34" i="36"/>
  <c r="Y32" i="36"/>
  <c r="BB33" i="36"/>
  <c r="BL33" i="36"/>
  <c r="AV33" i="36"/>
  <c r="BT33" i="36"/>
  <c r="BU11" i="36"/>
  <c r="AC11" i="36"/>
  <c r="M11" i="36"/>
  <c r="BV11" i="36"/>
  <c r="BW11" i="36"/>
  <c r="X11" i="36"/>
  <c r="BC11" i="36"/>
  <c r="BX11" i="36"/>
  <c r="BF11" i="36"/>
  <c r="BL11" i="36"/>
  <c r="AT11" i="36"/>
  <c r="U11" i="36"/>
  <c r="BH11" i="36"/>
  <c r="P11" i="36"/>
  <c r="L11" i="36"/>
  <c r="Z11" i="36"/>
  <c r="AN11" i="36"/>
  <c r="AI11" i="36"/>
  <c r="AX11" i="36"/>
  <c r="I11" i="36"/>
  <c r="E11" i="36"/>
  <c r="BR11" i="36"/>
  <c r="BA11" i="36"/>
  <c r="AF11" i="36"/>
  <c r="T11" i="36"/>
  <c r="D11" i="36"/>
  <c r="BS11" i="36"/>
  <c r="N11" i="36"/>
  <c r="V11" i="36"/>
  <c r="BI11" i="36"/>
  <c r="BO11" i="36"/>
  <c r="AL11" i="36"/>
  <c r="AP11" i="36"/>
  <c r="S11" i="36"/>
  <c r="AY11" i="36"/>
  <c r="C11" i="36"/>
  <c r="AZ11" i="36"/>
  <c r="AB11" i="36"/>
  <c r="AR11" i="36"/>
  <c r="BT11" i="36"/>
  <c r="AJ11" i="36"/>
  <c r="AA11" i="36"/>
  <c r="BM11" i="36"/>
  <c r="G11" i="36"/>
  <c r="AH11" i="36"/>
  <c r="BQ11" i="36"/>
  <c r="AQ11" i="36"/>
  <c r="BP11" i="36"/>
  <c r="BE11" i="36"/>
  <c r="AV11" i="36"/>
  <c r="W11" i="36"/>
  <c r="H11" i="36"/>
  <c r="BD11" i="36"/>
  <c r="AM11" i="36"/>
  <c r="AG11" i="36"/>
  <c r="Y11" i="36"/>
  <c r="R11" i="36"/>
  <c r="F11" i="36"/>
  <c r="BG11" i="36"/>
  <c r="AR32" i="36"/>
  <c r="BK32" i="36"/>
  <c r="AY5" i="36"/>
  <c r="BH34" i="36"/>
  <c r="BJ11" i="36"/>
  <c r="W33" i="36"/>
  <c r="BR34" i="36"/>
  <c r="J32" i="36"/>
  <c r="P32" i="36"/>
  <c r="BM10" i="36"/>
  <c r="BU33" i="36"/>
  <c r="S31" i="36"/>
  <c r="Y34" i="36"/>
  <c r="L32" i="36"/>
  <c r="BU35" i="36"/>
  <c r="U35" i="36"/>
  <c r="G35" i="36"/>
  <c r="BP32" i="36"/>
  <c r="W32" i="36"/>
  <c r="AK10" i="36"/>
  <c r="AM10" i="36"/>
  <c r="R32" i="36"/>
  <c r="AI33" i="36"/>
  <c r="BT32" i="36"/>
  <c r="AD34" i="36"/>
  <c r="C31" i="36"/>
  <c r="P34" i="36"/>
  <c r="BI33" i="36"/>
  <c r="AP31" i="36"/>
  <c r="AB32" i="36"/>
  <c r="BG35" i="36"/>
  <c r="BO34" i="36"/>
  <c r="AA33" i="36"/>
  <c r="S9" i="36"/>
  <c r="AX34" i="36"/>
  <c r="AK31" i="36"/>
  <c r="E34" i="36"/>
  <c r="BE35" i="36"/>
  <c r="Y33" i="36"/>
  <c r="M33" i="36"/>
  <c r="AL12" i="36"/>
  <c r="BC34" i="36"/>
  <c r="I35" i="36"/>
  <c r="Q32" i="36"/>
  <c r="BF32" i="36"/>
  <c r="AJ8" i="36"/>
  <c r="AJ34" i="36"/>
  <c r="Q35" i="36"/>
  <c r="AT34" i="36"/>
  <c r="F35" i="36"/>
  <c r="R7" i="36"/>
  <c r="D7" i="36"/>
  <c r="BL7" i="36"/>
  <c r="BC7" i="36"/>
  <c r="AU7" i="36"/>
  <c r="Y7" i="36"/>
  <c r="BX7" i="36"/>
  <c r="G7" i="36"/>
  <c r="X7" i="36"/>
  <c r="BF7" i="36"/>
  <c r="AC7" i="36"/>
  <c r="BR7" i="36"/>
  <c r="BQ7" i="36"/>
  <c r="BS7" i="36"/>
  <c r="BT7" i="36"/>
  <c r="AH7" i="36"/>
  <c r="BE7" i="36"/>
  <c r="M7" i="36"/>
  <c r="BA7" i="36"/>
  <c r="BU7" i="36"/>
  <c r="F7" i="36"/>
  <c r="T7" i="36"/>
  <c r="H7" i="36"/>
  <c r="L7" i="36"/>
  <c r="AN7" i="36"/>
  <c r="BV7" i="36"/>
  <c r="AA7" i="36"/>
  <c r="Q7" i="36"/>
  <c r="P7" i="36"/>
  <c r="O7" i="36"/>
  <c r="AD7" i="36"/>
  <c r="AK7" i="36"/>
  <c r="AG7" i="36"/>
  <c r="AZ7" i="36"/>
  <c r="BP7" i="36"/>
  <c r="I7" i="36"/>
  <c r="U7" i="36"/>
  <c r="W7" i="36"/>
  <c r="J7" i="36"/>
  <c r="BK7" i="36"/>
  <c r="AS7" i="36"/>
  <c r="V7" i="36"/>
  <c r="AJ7" i="36"/>
  <c r="BD7" i="36"/>
  <c r="AV7" i="36"/>
  <c r="BM7" i="36"/>
  <c r="BB7" i="36"/>
  <c r="K7" i="36"/>
  <c r="BH7" i="36"/>
  <c r="AM7" i="36"/>
  <c r="AO7" i="36"/>
  <c r="BN7" i="36"/>
  <c r="Z7" i="36"/>
  <c r="AI7" i="36"/>
  <c r="AL7" i="36"/>
  <c r="BO7" i="36"/>
  <c r="BG7" i="36"/>
  <c r="AF7" i="36"/>
  <c r="AP7" i="36"/>
  <c r="BW7" i="36"/>
  <c r="BJ7" i="36"/>
  <c r="AY7" i="36"/>
  <c r="AW7" i="36"/>
  <c r="E7" i="36"/>
  <c r="AQ7" i="36"/>
  <c r="AB7" i="36"/>
  <c r="BI7" i="36"/>
  <c r="S7" i="36"/>
  <c r="AR7" i="36"/>
  <c r="AT7" i="36"/>
  <c r="BQ13" i="36"/>
  <c r="X13" i="36"/>
  <c r="BV13" i="36"/>
  <c r="AJ13" i="36"/>
  <c r="W13" i="36"/>
  <c r="AI13" i="36"/>
  <c r="BF13" i="36"/>
  <c r="BU13" i="36"/>
  <c r="Z13" i="36"/>
  <c r="AK13" i="36"/>
  <c r="AB13" i="36"/>
  <c r="J13" i="36"/>
  <c r="P13" i="36"/>
  <c r="BC13" i="36"/>
  <c r="BR13" i="36"/>
  <c r="BS13" i="36"/>
  <c r="AM13" i="36"/>
  <c r="AA13" i="36"/>
  <c r="AH13" i="36"/>
  <c r="BB13" i="36"/>
  <c r="M13" i="36"/>
  <c r="AF13" i="36"/>
  <c r="AW13" i="36"/>
  <c r="E13" i="36"/>
  <c r="BA13" i="36"/>
  <c r="BJ13" i="36"/>
  <c r="BP13" i="36"/>
  <c r="T13" i="36"/>
  <c r="AY13" i="36"/>
  <c r="BX13" i="36"/>
  <c r="K13" i="36"/>
  <c r="AC13" i="36"/>
  <c r="AE13" i="36"/>
  <c r="BM13" i="36"/>
  <c r="F13" i="36"/>
  <c r="BG13" i="36"/>
  <c r="AV13" i="36"/>
  <c r="AL13" i="36"/>
  <c r="BE13" i="36"/>
  <c r="BN13" i="36"/>
  <c r="BD13" i="36"/>
  <c r="AQ13" i="36"/>
  <c r="AP13" i="36"/>
  <c r="R13" i="36"/>
  <c r="BI13" i="36"/>
  <c r="D13" i="36"/>
  <c r="BL13" i="36"/>
  <c r="G13" i="36"/>
  <c r="BK13" i="36"/>
  <c r="C13" i="36"/>
  <c r="AD13" i="36"/>
  <c r="Q13" i="36"/>
  <c r="V13" i="36"/>
  <c r="H13" i="36"/>
  <c r="AS13" i="36"/>
  <c r="N13" i="36"/>
  <c r="AU13" i="36"/>
  <c r="AO13" i="36"/>
  <c r="Y13" i="36"/>
  <c r="O13" i="36"/>
  <c r="BO13" i="36"/>
  <c r="AX13" i="36"/>
  <c r="S13" i="36"/>
  <c r="AZ13" i="36"/>
  <c r="BH13" i="36"/>
  <c r="AR13" i="36"/>
  <c r="U13" i="36"/>
  <c r="BT13" i="36"/>
  <c r="AT13" i="36"/>
  <c r="BW13" i="36"/>
  <c r="AN13" i="36"/>
  <c r="I34" i="36"/>
  <c r="BV31" i="36"/>
  <c r="BM31" i="36"/>
  <c r="BG31" i="36"/>
  <c r="G31" i="36"/>
  <c r="AS31" i="36"/>
  <c r="U31" i="36"/>
  <c r="AM31" i="36"/>
  <c r="T31" i="36"/>
  <c r="BU31" i="36"/>
  <c r="N31" i="36"/>
  <c r="AY31" i="36"/>
  <c r="BN31" i="36"/>
  <c r="AI31" i="36"/>
  <c r="BL31" i="36"/>
  <c r="I31" i="36"/>
  <c r="BT31" i="36"/>
  <c r="BP31" i="36"/>
  <c r="H31" i="36"/>
  <c r="AX31" i="36"/>
  <c r="AA31" i="36"/>
  <c r="BC31" i="36"/>
  <c r="AC31" i="36"/>
  <c r="BK31" i="36"/>
  <c r="BW31" i="36"/>
  <c r="AT31" i="36"/>
  <c r="BS31" i="36"/>
  <c r="AU31" i="36"/>
  <c r="BR31" i="36"/>
  <c r="BB31" i="36"/>
  <c r="AF31" i="36"/>
  <c r="AV31" i="36"/>
  <c r="BX31" i="36"/>
  <c r="BI31" i="36"/>
  <c r="Y31" i="36"/>
  <c r="O31" i="36"/>
  <c r="W31" i="36"/>
  <c r="AR31" i="36"/>
  <c r="AZ31" i="36"/>
  <c r="V31" i="36"/>
  <c r="AL31" i="36"/>
  <c r="AN31" i="36"/>
  <c r="BA31" i="36"/>
  <c r="BF31" i="36"/>
  <c r="BD31" i="36"/>
  <c r="Q31" i="36"/>
  <c r="AB31" i="36"/>
  <c r="J31" i="36"/>
  <c r="AJ31" i="36"/>
  <c r="AO31" i="36"/>
  <c r="Z31" i="36"/>
  <c r="F31" i="36"/>
  <c r="AW31" i="36"/>
  <c r="P31" i="36"/>
  <c r="BO31" i="36"/>
  <c r="BE31" i="36"/>
  <c r="K31" i="36"/>
  <c r="BJ31" i="36"/>
  <c r="L31" i="36"/>
  <c r="M31" i="36"/>
  <c r="AH31" i="36"/>
  <c r="R31" i="36"/>
  <c r="AQ31" i="36"/>
  <c r="X34" i="36"/>
  <c r="K35" i="36"/>
  <c r="AH33" i="36"/>
  <c r="AQ33" i="36"/>
  <c r="U32" i="36"/>
  <c r="AZ32" i="36"/>
  <c r="E33" i="36"/>
  <c r="Q10" i="36"/>
  <c r="BB34" i="36"/>
  <c r="BJ32" i="36"/>
  <c r="AP33" i="36"/>
  <c r="S35" i="36"/>
  <c r="AU32" i="36"/>
  <c r="BP35" i="36"/>
  <c r="BD32" i="36"/>
  <c r="AR34" i="36"/>
  <c r="AY35" i="36"/>
  <c r="D32" i="36"/>
  <c r="AG33" i="36"/>
  <c r="AP9" i="36"/>
  <c r="BQ32" i="36"/>
  <c r="BV35" i="36"/>
  <c r="BN34" i="36"/>
  <c r="AK32" i="36"/>
  <c r="AN35" i="36"/>
  <c r="AK11" i="36"/>
  <c r="J33" i="36"/>
  <c r="M34" i="36"/>
  <c r="E32" i="36"/>
  <c r="AO34" i="36"/>
  <c r="BH33" i="36"/>
  <c r="BM32" i="36"/>
  <c r="Q33" i="36"/>
  <c r="Z32" i="36"/>
  <c r="AI32" i="36"/>
  <c r="AO32" i="36"/>
  <c r="AC34" i="36"/>
  <c r="AG31" i="36"/>
  <c r="BV34" i="36"/>
  <c r="J34" i="36"/>
  <c r="BE32" i="36"/>
  <c r="O11" i="36"/>
  <c r="AE33" i="36"/>
  <c r="E31" i="36"/>
  <c r="BA33" i="36"/>
  <c r="AM33" i="36"/>
  <c r="BS32" i="36"/>
  <c r="BU34" i="36"/>
  <c r="BB32" i="36"/>
  <c r="BG32" i="36"/>
  <c r="BO35" i="36"/>
  <c r="AB33" i="36"/>
  <c r="K33" i="36"/>
  <c r="AA9" i="36"/>
  <c r="BH32" i="36"/>
  <c r="F33" i="36"/>
  <c r="BR35" i="36"/>
  <c r="N32" i="36"/>
  <c r="AE35" i="36"/>
  <c r="AR33" i="36"/>
  <c r="O33" i="36"/>
  <c r="BG33" i="36"/>
  <c r="X33" i="36"/>
  <c r="BD4" i="36"/>
  <c r="AT32" i="36"/>
  <c r="Z33" i="36"/>
  <c r="BM4" i="36"/>
  <c r="O34" i="36"/>
  <c r="BD34" i="36"/>
  <c r="C32" i="36"/>
  <c r="BN32" i="36"/>
  <c r="AM32" i="36"/>
  <c r="AH32" i="36"/>
  <c r="S34" i="36"/>
  <c r="AF9" i="36"/>
  <c r="AP32" i="36"/>
  <c r="AW11" i="36"/>
  <c r="AZ34" i="36"/>
  <c r="AS32" i="36"/>
  <c r="AE34" i="36"/>
  <c r="BV32" i="36"/>
  <c r="BP33" i="36"/>
  <c r="L33" i="36"/>
  <c r="BW34" i="36"/>
  <c r="L34" i="36"/>
  <c r="BS33" i="36"/>
  <c r="BK11" i="36"/>
  <c r="AI34" i="36"/>
  <c r="R34" i="36"/>
  <c r="BP34" i="36"/>
  <c r="AH35" i="36"/>
  <c r="BR10" i="36"/>
  <c r="BA10" i="36"/>
  <c r="BP10" i="36"/>
  <c r="AD10" i="36"/>
  <c r="BD10" i="36"/>
  <c r="BO10" i="36"/>
  <c r="BU10" i="36"/>
  <c r="I10" i="36"/>
  <c r="H10" i="36"/>
  <c r="AC10" i="36"/>
  <c r="E10" i="36"/>
  <c r="O10" i="36"/>
  <c r="BE10" i="36"/>
  <c r="R10" i="36"/>
  <c r="BF10" i="36"/>
  <c r="U10" i="36"/>
  <c r="AX10" i="36"/>
  <c r="AW10" i="36"/>
  <c r="K10" i="36"/>
  <c r="Z10" i="36"/>
  <c r="AL10" i="36"/>
  <c r="BJ10" i="36"/>
  <c r="AJ10" i="36"/>
  <c r="BL10" i="36"/>
  <c r="AZ10" i="36"/>
  <c r="AQ10" i="36"/>
  <c r="AP10" i="36"/>
  <c r="BX10" i="36"/>
  <c r="J10" i="36"/>
  <c r="AY10" i="36"/>
  <c r="BV10" i="36"/>
  <c r="F10" i="36"/>
  <c r="AH10" i="36"/>
  <c r="L10" i="36"/>
  <c r="AV10" i="36"/>
  <c r="N10" i="36"/>
  <c r="BC10" i="36"/>
  <c r="BW10" i="36"/>
  <c r="AB10" i="36"/>
  <c r="X10" i="36"/>
  <c r="T10" i="36"/>
  <c r="Y10" i="36"/>
  <c r="AF10" i="36"/>
  <c r="AE10" i="36"/>
  <c r="M10" i="36"/>
  <c r="AO10" i="36"/>
  <c r="AR10" i="36"/>
  <c r="V10" i="36"/>
  <c r="P10" i="36"/>
  <c r="AA10" i="36"/>
  <c r="BB10" i="36"/>
  <c r="BN10" i="36"/>
  <c r="AU10" i="36"/>
  <c r="AG10" i="36"/>
  <c r="C10" i="36"/>
  <c r="AN10" i="36"/>
  <c r="D10" i="36"/>
  <c r="BI10" i="36"/>
  <c r="BH10" i="36"/>
  <c r="AW5" i="36"/>
  <c r="BT5" i="36"/>
  <c r="BQ5" i="36"/>
  <c r="AM5" i="36"/>
  <c r="G5" i="36"/>
  <c r="AS5" i="36"/>
  <c r="AJ5" i="36"/>
  <c r="BV5" i="36"/>
  <c r="BE5" i="36"/>
  <c r="AL5" i="36"/>
  <c r="M5" i="36"/>
  <c r="BW5" i="36"/>
  <c r="AV5" i="36"/>
  <c r="AG5" i="36"/>
  <c r="BX5" i="36"/>
  <c r="AZ5" i="36"/>
  <c r="D5" i="36"/>
  <c r="BB5" i="36"/>
  <c r="BI5" i="36"/>
  <c r="AK5" i="36"/>
  <c r="F5" i="36"/>
  <c r="AD5" i="36"/>
  <c r="O5" i="36"/>
  <c r="AU5" i="36"/>
  <c r="H5" i="36"/>
  <c r="L5" i="36"/>
  <c r="Y5" i="36"/>
  <c r="BR5" i="36"/>
  <c r="Q5" i="36"/>
  <c r="BU5" i="36"/>
  <c r="X5" i="36"/>
  <c r="AT5" i="36"/>
  <c r="BG5" i="36"/>
  <c r="U5" i="36"/>
  <c r="AP5" i="36"/>
  <c r="AB5" i="36"/>
  <c r="AI5" i="36"/>
  <c r="C5" i="36"/>
  <c r="AH5" i="36"/>
  <c r="J5" i="36"/>
  <c r="P5" i="36"/>
  <c r="BM5" i="36"/>
  <c r="AE5" i="36"/>
  <c r="BO5" i="36"/>
  <c r="BN5" i="36"/>
  <c r="BD5" i="36"/>
  <c r="BC5" i="36"/>
  <c r="AR5" i="36"/>
  <c r="BK5" i="36"/>
  <c r="AN5" i="36"/>
  <c r="S5" i="36"/>
  <c r="W5" i="36"/>
  <c r="BJ5" i="36"/>
  <c r="V5" i="36"/>
  <c r="BA5" i="36"/>
  <c r="BH5" i="36"/>
  <c r="AO5" i="36"/>
  <c r="BS5" i="36"/>
  <c r="Z5" i="36"/>
  <c r="I5" i="36"/>
  <c r="AX5" i="36"/>
  <c r="AF5" i="36"/>
  <c r="BP5" i="36"/>
  <c r="E5" i="36"/>
  <c r="T5" i="36"/>
  <c r="BF5" i="36"/>
  <c r="K5" i="36"/>
  <c r="AA5" i="36"/>
  <c r="R5" i="36"/>
  <c r="AC5" i="36"/>
  <c r="AQ5" i="36"/>
  <c r="BL5" i="36"/>
  <c r="AJ4" i="36"/>
  <c r="BU4" i="36"/>
  <c r="BV4" i="36"/>
  <c r="BW4" i="36"/>
  <c r="BO4" i="36"/>
  <c r="AM4" i="36"/>
  <c r="AX4" i="36"/>
  <c r="AT4" i="36"/>
  <c r="M4" i="36"/>
  <c r="P4" i="36"/>
  <c r="S4" i="36"/>
  <c r="AQ4" i="36"/>
  <c r="L4" i="36"/>
  <c r="BQ4" i="36"/>
  <c r="R4" i="36"/>
  <c r="AL4" i="36"/>
  <c r="AS4" i="36"/>
  <c r="BB4" i="36"/>
  <c r="BL4" i="36"/>
  <c r="BX4" i="36"/>
  <c r="I4" i="36"/>
  <c r="V4" i="36"/>
  <c r="AC4" i="36"/>
  <c r="BR4" i="36"/>
  <c r="D4" i="36"/>
  <c r="X4" i="36"/>
  <c r="AU4" i="36"/>
  <c r="AN4" i="36"/>
  <c r="BS4" i="36"/>
  <c r="N4" i="36"/>
  <c r="H4" i="36"/>
  <c r="BF4" i="36"/>
  <c r="BG4" i="36"/>
  <c r="E4" i="36"/>
  <c r="AE4" i="36"/>
  <c r="Q4" i="36"/>
  <c r="BT4" i="36"/>
  <c r="AV4" i="36"/>
  <c r="AF4" i="36"/>
  <c r="AW4" i="36"/>
  <c r="AH4" i="36"/>
  <c r="BH4" i="36"/>
  <c r="AI4" i="36"/>
  <c r="AO4" i="36"/>
  <c r="J4" i="36"/>
  <c r="F4" i="36"/>
  <c r="AK4" i="36"/>
  <c r="O4" i="36"/>
  <c r="AP4" i="36"/>
  <c r="T4" i="36"/>
  <c r="C4" i="36"/>
  <c r="AB4" i="36"/>
  <c r="BA4" i="36"/>
  <c r="BE4" i="36"/>
  <c r="Z4" i="36"/>
  <c r="AA4" i="36"/>
  <c r="BJ4" i="36"/>
  <c r="BC4" i="36"/>
  <c r="Y4" i="36"/>
  <c r="BN4" i="36"/>
  <c r="AY4" i="36"/>
  <c r="BI4" i="36"/>
  <c r="K4" i="36"/>
  <c r="BP4" i="36"/>
  <c r="AR4" i="36"/>
  <c r="BK4" i="36"/>
  <c r="W4" i="36"/>
  <c r="AD4" i="36"/>
  <c r="AG4" i="36"/>
  <c r="G4" i="36"/>
  <c r="AZ4" i="36"/>
  <c r="G33" i="36"/>
  <c r="AY33" i="36"/>
  <c r="AQ8" i="36"/>
  <c r="AB34" i="36"/>
  <c r="AU11" i="36"/>
  <c r="V32" i="36"/>
  <c r="BQ34" i="36"/>
  <c r="AN8" i="36"/>
  <c r="BS34" i="36"/>
  <c r="AL32" i="36"/>
  <c r="AA32" i="36"/>
  <c r="BB8" i="36"/>
  <c r="Q34" i="36"/>
  <c r="D35" i="36"/>
  <c r="AH12" i="36"/>
  <c r="V34" i="36"/>
  <c r="AZ35" i="36"/>
  <c r="BQ6" i="36"/>
  <c r="BU6" i="36"/>
  <c r="BC6" i="36"/>
  <c r="BN6" i="36"/>
  <c r="BV6" i="36"/>
  <c r="AD6" i="36"/>
  <c r="C6" i="36"/>
  <c r="BW6" i="36"/>
  <c r="AY6" i="36"/>
  <c r="BM6" i="36"/>
  <c r="BX6" i="36"/>
  <c r="AI6" i="36"/>
  <c r="AJ6" i="36"/>
  <c r="L6" i="36"/>
  <c r="P6" i="36"/>
  <c r="BR6" i="36"/>
  <c r="AK6" i="36"/>
  <c r="AP6" i="36"/>
  <c r="BA6" i="36"/>
  <c r="AW6" i="36"/>
  <c r="BH6" i="36"/>
  <c r="R6" i="36"/>
  <c r="BS6" i="36"/>
  <c r="AV6" i="36"/>
  <c r="S6" i="36"/>
  <c r="AE6" i="36"/>
  <c r="BO6" i="36"/>
  <c r="T6" i="36"/>
  <c r="V6" i="36"/>
  <c r="O6" i="36"/>
  <c r="AF6" i="36"/>
  <c r="AQ6" i="36"/>
  <c r="N6" i="36"/>
  <c r="AH6" i="36"/>
  <c r="AN6" i="36"/>
  <c r="D6" i="36"/>
  <c r="Z6" i="36"/>
  <c r="BP6" i="36"/>
  <c r="X6" i="36"/>
  <c r="G6" i="36"/>
  <c r="BT6" i="36"/>
  <c r="AX6" i="36"/>
  <c r="E6" i="36"/>
  <c r="BJ6" i="36"/>
  <c r="BL6" i="36"/>
  <c r="AS6" i="36"/>
  <c r="BG6" i="36"/>
  <c r="AR6" i="36"/>
  <c r="BF6" i="36"/>
  <c r="AO6" i="36"/>
  <c r="F6" i="36"/>
  <c r="BI6" i="36"/>
  <c r="U6" i="36"/>
  <c r="AT6" i="36"/>
  <c r="BK6" i="36"/>
  <c r="H6" i="36"/>
  <c r="AC6" i="36"/>
  <c r="AL6" i="36"/>
  <c r="Q6" i="36"/>
  <c r="AB6" i="36"/>
  <c r="K6" i="36"/>
  <c r="AA6" i="36"/>
  <c r="BB6" i="36"/>
  <c r="AU6" i="36"/>
  <c r="Y6" i="36"/>
  <c r="AM6" i="36"/>
  <c r="W6" i="36"/>
  <c r="J6" i="36"/>
  <c r="BE6" i="36"/>
  <c r="BD6" i="36"/>
  <c r="AS35" i="36"/>
  <c r="AX7" i="36"/>
  <c r="BU32" i="36"/>
  <c r="K32" i="36"/>
  <c r="S32" i="36"/>
  <c r="G32" i="36"/>
  <c r="BI32" i="36"/>
  <c r="AQ32" i="36"/>
  <c r="BM33" i="36"/>
  <c r="AX32" i="36"/>
  <c r="T9" i="36"/>
  <c r="BK33" i="36"/>
  <c r="BW35" i="36"/>
  <c r="F9" i="36"/>
  <c r="S33" i="36"/>
  <c r="BJ35" i="36"/>
  <c r="BN9" i="36"/>
  <c r="BQ33" i="36"/>
  <c r="BW33" i="36"/>
  <c r="H8" i="36"/>
  <c r="BO33" i="36"/>
  <c r="BN35" i="36"/>
  <c r="AZ33" i="36"/>
  <c r="BS10" i="36"/>
  <c r="Y35" i="36"/>
  <c r="BQ31" i="36"/>
  <c r="AZ6" i="36"/>
  <c r="AN32" i="36"/>
  <c r="AH34" i="36"/>
  <c r="O8" i="36"/>
  <c r="BW32" i="36"/>
  <c r="AT35" i="36"/>
  <c r="BR32" i="36"/>
  <c r="N35" i="36"/>
  <c r="AU12" i="36"/>
  <c r="BX32" i="36"/>
  <c r="Z35" i="36"/>
  <c r="AS12" i="36"/>
  <c r="BG34" i="36"/>
  <c r="AL34" i="36"/>
  <c r="P9" i="36"/>
  <c r="AT33" i="36"/>
  <c r="AF33" i="36"/>
  <c r="AS278" i="39"/>
  <c r="N280" i="39"/>
  <c r="G280" i="39"/>
  <c r="H280" i="39"/>
  <c r="L280" i="39"/>
  <c r="K280" i="39"/>
  <c r="J280" i="39"/>
  <c r="I280" i="39"/>
  <c r="M280" i="39"/>
  <c r="Q279" i="39"/>
  <c r="O279" i="39"/>
  <c r="AR279" i="39"/>
  <c r="W279" i="39" s="1"/>
  <c r="AD279" i="39"/>
  <c r="R279" i="39"/>
  <c r="AH279" i="39"/>
  <c r="AF279" i="39"/>
  <c r="AG279" i="39"/>
  <c r="AE279" i="39"/>
  <c r="AC279" i="39"/>
  <c r="F280" i="39"/>
  <c r="V280" i="39"/>
  <c r="U279" i="39"/>
  <c r="AB280" i="39"/>
  <c r="AA280" i="39"/>
  <c r="Z280" i="39"/>
  <c r="Y280" i="39"/>
  <c r="X280" i="39"/>
  <c r="E280" i="39"/>
  <c r="A281" i="39"/>
  <c r="D280" i="39"/>
  <c r="C280" i="39"/>
  <c r="B280" i="39"/>
  <c r="L281" i="39" l="1"/>
  <c r="I281" i="39"/>
  <c r="H281" i="39"/>
  <c r="J281" i="39"/>
  <c r="K281" i="39"/>
  <c r="G281" i="39"/>
  <c r="N281" i="39"/>
  <c r="M281" i="39"/>
  <c r="AS279" i="39"/>
  <c r="AR280" i="39"/>
  <c r="W280" i="39" s="1"/>
  <c r="AD280" i="39"/>
  <c r="Q280" i="39"/>
  <c r="O280" i="39"/>
  <c r="R280" i="39"/>
  <c r="AH280" i="39"/>
  <c r="AG280" i="39"/>
  <c r="AC280" i="39"/>
  <c r="AE280" i="39"/>
  <c r="AF280" i="39"/>
  <c r="F281" i="39"/>
  <c r="V281" i="39"/>
  <c r="U280" i="39"/>
  <c r="AB281" i="39"/>
  <c r="AA281" i="39"/>
  <c r="Z281" i="39"/>
  <c r="X281" i="39"/>
  <c r="Y281" i="39"/>
  <c r="E281" i="39"/>
  <c r="A282" i="39"/>
  <c r="D281" i="39"/>
  <c r="C281" i="39"/>
  <c r="B281" i="39"/>
  <c r="AS280" i="39" l="1"/>
  <c r="L282" i="39"/>
  <c r="J282" i="39"/>
  <c r="I282" i="39"/>
  <c r="G282" i="39"/>
  <c r="N282" i="39"/>
  <c r="M282" i="39"/>
  <c r="K282" i="39"/>
  <c r="H282" i="39"/>
  <c r="AR281" i="39"/>
  <c r="W281" i="39" s="1"/>
  <c r="AD281" i="39"/>
  <c r="Q281" i="39"/>
  <c r="O281" i="39"/>
  <c r="R281" i="39"/>
  <c r="AH281" i="39"/>
  <c r="AG281" i="39"/>
  <c r="AF281" i="39"/>
  <c r="AC281" i="39"/>
  <c r="AE281" i="39"/>
  <c r="F282" i="39"/>
  <c r="V282" i="39"/>
  <c r="U281" i="39"/>
  <c r="AA282" i="39"/>
  <c r="Z282" i="39"/>
  <c r="AB282" i="39"/>
  <c r="Y282" i="39"/>
  <c r="X282" i="39"/>
  <c r="B282" i="39"/>
  <c r="E282" i="39"/>
  <c r="A283" i="39"/>
  <c r="D282" i="39"/>
  <c r="C282" i="39"/>
  <c r="AS281" i="39" l="1"/>
  <c r="M283" i="39"/>
  <c r="K283" i="39"/>
  <c r="H283" i="39"/>
  <c r="J283" i="39"/>
  <c r="I283" i="39"/>
  <c r="N283" i="39"/>
  <c r="G283" i="39"/>
  <c r="L283" i="39"/>
  <c r="AR282" i="39"/>
  <c r="W282" i="39" s="1"/>
  <c r="AD282" i="39"/>
  <c r="Q282" i="39"/>
  <c r="O282" i="39"/>
  <c r="R282" i="39"/>
  <c r="F283" i="39"/>
  <c r="V283" i="39"/>
  <c r="U282" i="39"/>
  <c r="AG282" i="39"/>
  <c r="AH282" i="39"/>
  <c r="AF282" i="39"/>
  <c r="AE282" i="39"/>
  <c r="AC282" i="39"/>
  <c r="AB283" i="39"/>
  <c r="AA283" i="39"/>
  <c r="Z283" i="39"/>
  <c r="X283" i="39"/>
  <c r="Y283" i="39"/>
  <c r="E283" i="39"/>
  <c r="A284" i="39"/>
  <c r="D283" i="39"/>
  <c r="C283" i="39"/>
  <c r="B283" i="39"/>
  <c r="AS282" i="39" l="1"/>
  <c r="L284" i="39"/>
  <c r="J284" i="39"/>
  <c r="M284" i="39"/>
  <c r="I284" i="39"/>
  <c r="N284" i="39"/>
  <c r="K284" i="39"/>
  <c r="G284" i="39"/>
  <c r="H284" i="39"/>
  <c r="AR283" i="39"/>
  <c r="W283" i="39" s="1"/>
  <c r="AD283" i="39"/>
  <c r="Q283" i="39"/>
  <c r="O283" i="39"/>
  <c r="R283" i="39"/>
  <c r="AH283" i="39"/>
  <c r="AF283" i="39"/>
  <c r="AE283" i="39"/>
  <c r="AG283" i="39"/>
  <c r="AC283" i="39"/>
  <c r="F284" i="39"/>
  <c r="V284" i="39"/>
  <c r="U283" i="39"/>
  <c r="AB284" i="39"/>
  <c r="Z284" i="39"/>
  <c r="Y284" i="39"/>
  <c r="AA284" i="39"/>
  <c r="X284" i="39"/>
  <c r="E284" i="39"/>
  <c r="A285" i="39"/>
  <c r="D284" i="39"/>
  <c r="C284" i="39"/>
  <c r="B284" i="39"/>
  <c r="AS283" i="39" l="1"/>
  <c r="K285" i="39"/>
  <c r="G285" i="39"/>
  <c r="H285" i="39"/>
  <c r="I285" i="39"/>
  <c r="N285" i="39"/>
  <c r="J285" i="39"/>
  <c r="M285" i="39"/>
  <c r="L285" i="39"/>
  <c r="AR284" i="39"/>
  <c r="W284" i="39" s="1"/>
  <c r="AD284" i="39"/>
  <c r="O284" i="39"/>
  <c r="Q284" i="39"/>
  <c r="R284" i="39"/>
  <c r="AH284" i="39"/>
  <c r="AG284" i="39"/>
  <c r="AF284" i="39"/>
  <c r="AE284" i="39"/>
  <c r="AC284" i="39"/>
  <c r="U284" i="39"/>
  <c r="F285" i="39"/>
  <c r="V285" i="39"/>
  <c r="AB285" i="39"/>
  <c r="AA285" i="39"/>
  <c r="Z285" i="39"/>
  <c r="X285" i="39"/>
  <c r="Y285" i="39"/>
  <c r="E285" i="39"/>
  <c r="A286" i="39"/>
  <c r="D285" i="39"/>
  <c r="C285" i="39"/>
  <c r="B285" i="39"/>
  <c r="AS284" i="39" l="1"/>
  <c r="I286" i="39"/>
  <c r="J286" i="39"/>
  <c r="G286" i="39"/>
  <c r="M286" i="39"/>
  <c r="N286" i="39"/>
  <c r="K286" i="39"/>
  <c r="H286" i="39"/>
  <c r="L286" i="39"/>
  <c r="AR285" i="39"/>
  <c r="W285" i="39" s="1"/>
  <c r="AD285" i="39"/>
  <c r="O285" i="39"/>
  <c r="Q285" i="39"/>
  <c r="R285" i="39"/>
  <c r="F286" i="39"/>
  <c r="V286" i="39"/>
  <c r="AH285" i="39"/>
  <c r="AF285" i="39"/>
  <c r="AE285" i="39"/>
  <c r="AG285" i="39"/>
  <c r="AC285" i="39"/>
  <c r="U285" i="39"/>
  <c r="AA286" i="39"/>
  <c r="AB286" i="39"/>
  <c r="Z286" i="39"/>
  <c r="Y286" i="39"/>
  <c r="X286" i="39"/>
  <c r="B286" i="39"/>
  <c r="E286" i="39"/>
  <c r="D286" i="39"/>
  <c r="C286" i="39"/>
  <c r="A287" i="39"/>
  <c r="AS285" i="39" l="1"/>
  <c r="N287" i="39"/>
  <c r="G287" i="39"/>
  <c r="H287" i="39"/>
  <c r="L287" i="39"/>
  <c r="K287" i="39"/>
  <c r="I287" i="39"/>
  <c r="M287" i="39"/>
  <c r="J287" i="39"/>
  <c r="AR286" i="39"/>
  <c r="W286" i="39" s="1"/>
  <c r="AD286" i="39"/>
  <c r="O286" i="39"/>
  <c r="Q286" i="39"/>
  <c r="R286" i="39"/>
  <c r="F287" i="39"/>
  <c r="V287" i="39"/>
  <c r="AH286" i="39"/>
  <c r="AF286" i="39"/>
  <c r="AE286" i="39"/>
  <c r="AG286" i="39"/>
  <c r="AC286" i="39"/>
  <c r="U286" i="39"/>
  <c r="AB287" i="39"/>
  <c r="Z287" i="39"/>
  <c r="AA287" i="39"/>
  <c r="Y287" i="39"/>
  <c r="X287" i="39"/>
  <c r="E287" i="39"/>
  <c r="D287" i="39"/>
  <c r="C287" i="39"/>
  <c r="A288" i="39"/>
  <c r="B287" i="39"/>
  <c r="AS286" i="39" l="1"/>
  <c r="L288" i="39"/>
  <c r="G288" i="39"/>
  <c r="H288" i="39"/>
  <c r="J288" i="39"/>
  <c r="K288" i="39"/>
  <c r="I288" i="39"/>
  <c r="M288" i="39"/>
  <c r="N288" i="39"/>
  <c r="AR287" i="39"/>
  <c r="W287" i="39" s="1"/>
  <c r="AD287" i="39"/>
  <c r="Q287" i="39"/>
  <c r="O287" i="39"/>
  <c r="R287" i="39"/>
  <c r="AH287" i="39"/>
  <c r="AE287" i="39"/>
  <c r="AG287" i="39"/>
  <c r="AF287" i="39"/>
  <c r="AC287" i="39"/>
  <c r="F288" i="39"/>
  <c r="V288" i="39"/>
  <c r="U287" i="39"/>
  <c r="AA288" i="39"/>
  <c r="Z288" i="39"/>
  <c r="AB288" i="39"/>
  <c r="Y288" i="39"/>
  <c r="X288" i="39"/>
  <c r="C288" i="39"/>
  <c r="E288" i="39"/>
  <c r="D288" i="39"/>
  <c r="B288" i="39"/>
  <c r="A289" i="39"/>
  <c r="AS287" i="39" l="1"/>
  <c r="J289" i="39"/>
  <c r="H289" i="39"/>
  <c r="G289" i="39"/>
  <c r="M289" i="39"/>
  <c r="I289" i="39"/>
  <c r="N289" i="39"/>
  <c r="K289" i="39"/>
  <c r="L289" i="39"/>
  <c r="Q288" i="39"/>
  <c r="O288" i="39"/>
  <c r="AR288" i="39"/>
  <c r="W288" i="39" s="1"/>
  <c r="AD288" i="39"/>
  <c r="R288" i="39"/>
  <c r="AF288" i="39"/>
  <c r="AE288" i="39"/>
  <c r="AH288" i="39"/>
  <c r="AG288" i="39"/>
  <c r="AC288" i="39"/>
  <c r="F289" i="39"/>
  <c r="V289" i="39"/>
  <c r="U288" i="39"/>
  <c r="AB289" i="39"/>
  <c r="Z289" i="39"/>
  <c r="AA289" i="39"/>
  <c r="Y289" i="39"/>
  <c r="X289" i="39"/>
  <c r="E289" i="39"/>
  <c r="D289" i="39"/>
  <c r="C289" i="39"/>
  <c r="A290" i="39"/>
  <c r="B289" i="39"/>
  <c r="AS288" i="39" l="1"/>
  <c r="K290" i="39"/>
  <c r="H290" i="39"/>
  <c r="G290" i="39"/>
  <c r="L290" i="39"/>
  <c r="J290" i="39"/>
  <c r="I290" i="39"/>
  <c r="M290" i="39"/>
  <c r="N290" i="39"/>
  <c r="AR289" i="39"/>
  <c r="W289" i="39" s="1"/>
  <c r="AD289" i="39"/>
  <c r="AS289" i="39" s="1"/>
  <c r="Q289" i="39"/>
  <c r="O289" i="39"/>
  <c r="R289" i="39"/>
  <c r="F290" i="39"/>
  <c r="V290" i="39"/>
  <c r="AH289" i="39"/>
  <c r="AF289" i="39"/>
  <c r="AE289" i="39"/>
  <c r="AG289" i="39"/>
  <c r="AC289" i="39"/>
  <c r="U289" i="39"/>
  <c r="AA290" i="39"/>
  <c r="Z290" i="39"/>
  <c r="X290" i="39"/>
  <c r="AB290" i="39"/>
  <c r="Y290" i="39"/>
  <c r="E290" i="39"/>
  <c r="D290" i="39"/>
  <c r="C290" i="39"/>
  <c r="A291" i="39"/>
  <c r="B290" i="39"/>
  <c r="K291" i="39" l="1"/>
  <c r="J291" i="39"/>
  <c r="H291" i="39"/>
  <c r="L291" i="39"/>
  <c r="I291" i="39"/>
  <c r="N291" i="39"/>
  <c r="G291" i="39"/>
  <c r="M291" i="39"/>
  <c r="AR290" i="39"/>
  <c r="W290" i="39" s="1"/>
  <c r="AD290" i="39"/>
  <c r="Q290" i="39"/>
  <c r="O290" i="39"/>
  <c r="R290" i="39"/>
  <c r="F291" i="39"/>
  <c r="V291" i="39"/>
  <c r="AH290" i="39"/>
  <c r="AG290" i="39"/>
  <c r="AF290" i="39"/>
  <c r="AE290" i="39"/>
  <c r="AC290" i="39"/>
  <c r="U290" i="39"/>
  <c r="AB291" i="39"/>
  <c r="Z291" i="39"/>
  <c r="AA291" i="39"/>
  <c r="Y291" i="39"/>
  <c r="X291" i="39"/>
  <c r="E291" i="39"/>
  <c r="D291" i="39"/>
  <c r="C291" i="39"/>
  <c r="A292" i="39"/>
  <c r="B291" i="39"/>
  <c r="AS290" i="39" l="1"/>
  <c r="K292" i="39"/>
  <c r="J292" i="39"/>
  <c r="N292" i="39"/>
  <c r="H292" i="39"/>
  <c r="M292" i="39"/>
  <c r="I292" i="39"/>
  <c r="L292" i="39"/>
  <c r="G292" i="39"/>
  <c r="AR291" i="39"/>
  <c r="W291" i="39" s="1"/>
  <c r="AD291" i="39"/>
  <c r="Q291" i="39"/>
  <c r="O291" i="39"/>
  <c r="R291" i="39"/>
  <c r="F292" i="39"/>
  <c r="V292" i="39"/>
  <c r="AH291" i="39"/>
  <c r="AF291" i="39"/>
  <c r="AG291" i="39"/>
  <c r="AE291" i="39"/>
  <c r="AC291" i="39"/>
  <c r="U291" i="39"/>
  <c r="AB292" i="39"/>
  <c r="Z292" i="39"/>
  <c r="AA292" i="39"/>
  <c r="Y292" i="39"/>
  <c r="X292" i="39"/>
  <c r="C292" i="39"/>
  <c r="E292" i="39"/>
  <c r="D292" i="39"/>
  <c r="B292" i="39"/>
  <c r="A293" i="39"/>
  <c r="AS291" i="39" l="1"/>
  <c r="K293" i="39"/>
  <c r="N293" i="39"/>
  <c r="J293" i="39"/>
  <c r="G293" i="39"/>
  <c r="M293" i="39"/>
  <c r="L293" i="39"/>
  <c r="H293" i="39"/>
  <c r="I293" i="39"/>
  <c r="AR292" i="39"/>
  <c r="W292" i="39" s="1"/>
  <c r="AD292" i="39"/>
  <c r="Q292" i="39"/>
  <c r="O292" i="39"/>
  <c r="R292" i="39"/>
  <c r="F293" i="39"/>
  <c r="V293" i="39"/>
  <c r="AH292" i="39"/>
  <c r="AG292" i="39"/>
  <c r="AE292" i="39"/>
  <c r="AC292" i="39"/>
  <c r="AF292" i="39"/>
  <c r="U292" i="39"/>
  <c r="AB293" i="39"/>
  <c r="AA293" i="39"/>
  <c r="Z293" i="39"/>
  <c r="X293" i="39"/>
  <c r="Y293" i="39"/>
  <c r="E293" i="39"/>
  <c r="D293" i="39"/>
  <c r="C293" i="39"/>
  <c r="A294" i="39"/>
  <c r="B293" i="39"/>
  <c r="AS292" i="39" l="1"/>
  <c r="G294" i="39"/>
  <c r="M294" i="39"/>
  <c r="K294" i="39"/>
  <c r="N294" i="39"/>
  <c r="L294" i="39"/>
  <c r="J294" i="39"/>
  <c r="H294" i="39"/>
  <c r="I294" i="39"/>
  <c r="Q293" i="39"/>
  <c r="O293" i="39"/>
  <c r="AR293" i="39"/>
  <c r="W293" i="39" s="1"/>
  <c r="AD293" i="39"/>
  <c r="R293" i="39"/>
  <c r="F294" i="39"/>
  <c r="V294" i="39"/>
  <c r="AH293" i="39"/>
  <c r="AG293" i="39"/>
  <c r="AE293" i="39"/>
  <c r="AC293" i="39"/>
  <c r="AF293" i="39"/>
  <c r="U293" i="39"/>
  <c r="AA294" i="39"/>
  <c r="AB294" i="39"/>
  <c r="Z294" i="39"/>
  <c r="X294" i="39"/>
  <c r="Y294" i="39"/>
  <c r="E294" i="39"/>
  <c r="D294" i="39"/>
  <c r="C294" i="39"/>
  <c r="A295" i="39"/>
  <c r="B294" i="39"/>
  <c r="M295" i="39" l="1"/>
  <c r="H295" i="39"/>
  <c r="L295" i="39"/>
  <c r="N295" i="39"/>
  <c r="I295" i="39"/>
  <c r="K295" i="39"/>
  <c r="J295" i="39"/>
  <c r="G295" i="39"/>
  <c r="AS293" i="39"/>
  <c r="Q294" i="39"/>
  <c r="O294" i="39"/>
  <c r="AR294" i="39"/>
  <c r="W294" i="39" s="1"/>
  <c r="AD294" i="39"/>
  <c r="R294" i="39"/>
  <c r="F295" i="39"/>
  <c r="V295" i="39"/>
  <c r="U294" i="39"/>
  <c r="AG294" i="39"/>
  <c r="AF294" i="39"/>
  <c r="AH294" i="39"/>
  <c r="AE294" i="39"/>
  <c r="AC294" i="39"/>
  <c r="AB295" i="39"/>
  <c r="AA295" i="39"/>
  <c r="Z295" i="39"/>
  <c r="X295" i="39"/>
  <c r="Y295" i="39"/>
  <c r="E295" i="39"/>
  <c r="D295" i="39"/>
  <c r="C295" i="39"/>
  <c r="A296" i="39"/>
  <c r="B295" i="39"/>
  <c r="AS294" i="39" l="1"/>
  <c r="H296" i="39"/>
  <c r="L296" i="39"/>
  <c r="N296" i="39"/>
  <c r="G296" i="39"/>
  <c r="J296" i="39"/>
  <c r="M296" i="39"/>
  <c r="K296" i="39"/>
  <c r="I296" i="39"/>
  <c r="AR295" i="39"/>
  <c r="W295" i="39" s="1"/>
  <c r="AD295" i="39"/>
  <c r="Q295" i="39"/>
  <c r="O295" i="39"/>
  <c r="R295" i="39"/>
  <c r="F296" i="39"/>
  <c r="V296" i="39"/>
  <c r="AH295" i="39"/>
  <c r="AF295" i="39"/>
  <c r="AE295" i="39"/>
  <c r="AG295" i="39"/>
  <c r="AC295" i="39"/>
  <c r="U295" i="39"/>
  <c r="AB296" i="39"/>
  <c r="AA296" i="39"/>
  <c r="Z296" i="39"/>
  <c r="Y296" i="39"/>
  <c r="X296" i="39"/>
  <c r="C296" i="39"/>
  <c r="E296" i="39"/>
  <c r="D296" i="39"/>
  <c r="B296" i="39"/>
  <c r="A297" i="39"/>
  <c r="AS295" i="39" l="1"/>
  <c r="H297" i="39"/>
  <c r="K297" i="39"/>
  <c r="L297" i="39"/>
  <c r="N297" i="39"/>
  <c r="G297" i="39"/>
  <c r="I297" i="39"/>
  <c r="M297" i="39"/>
  <c r="J297" i="39"/>
  <c r="O296" i="39"/>
  <c r="Q296" i="39"/>
  <c r="AR296" i="39"/>
  <c r="W296" i="39" s="1"/>
  <c r="AD296" i="39"/>
  <c r="R296" i="39"/>
  <c r="F297" i="39"/>
  <c r="V297" i="39"/>
  <c r="AH296" i="39"/>
  <c r="AG296" i="39"/>
  <c r="AE296" i="39"/>
  <c r="AF296" i="39"/>
  <c r="AC296" i="39"/>
  <c r="U296" i="39"/>
  <c r="AB297" i="39"/>
  <c r="AA297" i="39"/>
  <c r="Z297" i="39"/>
  <c r="Y297" i="39"/>
  <c r="X297" i="39"/>
  <c r="A298" i="39"/>
  <c r="E297" i="39"/>
  <c r="D297" i="39"/>
  <c r="C297" i="39"/>
  <c r="B297" i="39"/>
  <c r="L298" i="39" l="1"/>
  <c r="H298" i="39"/>
  <c r="N298" i="39"/>
  <c r="J298" i="39"/>
  <c r="M298" i="39"/>
  <c r="I298" i="39"/>
  <c r="G298" i="39"/>
  <c r="K298" i="39"/>
  <c r="AS296" i="39"/>
  <c r="O297" i="39"/>
  <c r="Q297" i="39"/>
  <c r="AR297" i="39"/>
  <c r="W297" i="39" s="1"/>
  <c r="AD297" i="39"/>
  <c r="R297" i="39"/>
  <c r="U297" i="39"/>
  <c r="AH297" i="39"/>
  <c r="AG297" i="39"/>
  <c r="AE297" i="39"/>
  <c r="AF297" i="39"/>
  <c r="AC297" i="39"/>
  <c r="F298" i="39"/>
  <c r="V298" i="39"/>
  <c r="AB298" i="39"/>
  <c r="AA298" i="39"/>
  <c r="Y298" i="39"/>
  <c r="X298" i="39"/>
  <c r="Z298" i="39"/>
  <c r="E298" i="39"/>
  <c r="D298" i="39"/>
  <c r="C298" i="39"/>
  <c r="B298" i="39"/>
  <c r="A299" i="39"/>
  <c r="AS297" i="39" l="1"/>
  <c r="J299" i="39"/>
  <c r="H299" i="39"/>
  <c r="M299" i="39"/>
  <c r="K299" i="39"/>
  <c r="N299" i="39"/>
  <c r="I299" i="39"/>
  <c r="G299" i="39"/>
  <c r="L299" i="39"/>
  <c r="O298" i="39"/>
  <c r="Q298" i="39"/>
  <c r="AR298" i="39"/>
  <c r="AS298" i="39" s="1"/>
  <c r="AD298" i="39"/>
  <c r="R298" i="39"/>
  <c r="F299" i="39"/>
  <c r="V299" i="39"/>
  <c r="AH298" i="39"/>
  <c r="AG298" i="39"/>
  <c r="AE298" i="39"/>
  <c r="AF298" i="39"/>
  <c r="AC298" i="39"/>
  <c r="U298" i="39"/>
  <c r="AB299" i="39"/>
  <c r="AA299" i="39"/>
  <c r="Z299" i="39"/>
  <c r="Y299" i="39"/>
  <c r="X299" i="39"/>
  <c r="E299" i="39"/>
  <c r="D299" i="39"/>
  <c r="C299" i="39"/>
  <c r="B299" i="39"/>
  <c r="A300" i="39"/>
  <c r="H300" i="39" l="1"/>
  <c r="N300" i="39"/>
  <c r="G300" i="39"/>
  <c r="L300" i="39"/>
  <c r="J300" i="39"/>
  <c r="I300" i="39"/>
  <c r="K300" i="39"/>
  <c r="M300" i="39"/>
  <c r="W298" i="39"/>
  <c r="AR299" i="39"/>
  <c r="W299" i="39" s="1"/>
  <c r="AD299" i="39"/>
  <c r="Q299" i="39"/>
  <c r="O299" i="39"/>
  <c r="R299" i="39"/>
  <c r="AH299" i="39"/>
  <c r="AE299" i="39"/>
  <c r="AG299" i="39"/>
  <c r="AF299" i="39"/>
  <c r="AC299" i="39"/>
  <c r="U299" i="39"/>
  <c r="F300" i="39"/>
  <c r="V300" i="39"/>
  <c r="AB300" i="39"/>
  <c r="Z300" i="39"/>
  <c r="AA300" i="39"/>
  <c r="Y300" i="39"/>
  <c r="X300" i="39"/>
  <c r="C300" i="39"/>
  <c r="E300" i="39"/>
  <c r="D300" i="39"/>
  <c r="B300" i="39"/>
  <c r="A301" i="39"/>
  <c r="AS299" i="39" l="1"/>
  <c r="K301" i="39"/>
  <c r="M301" i="39"/>
  <c r="L301" i="39"/>
  <c r="G301" i="39"/>
  <c r="I301" i="39"/>
  <c r="H301" i="39"/>
  <c r="J301" i="39"/>
  <c r="N301" i="39"/>
  <c r="Q300" i="39"/>
  <c r="O300" i="39"/>
  <c r="AR300" i="39"/>
  <c r="W300" i="39" s="1"/>
  <c r="AD300" i="39"/>
  <c r="R300" i="39"/>
  <c r="AF300" i="39"/>
  <c r="AE300" i="39"/>
  <c r="AG300" i="39"/>
  <c r="AH300" i="39"/>
  <c r="AC300" i="39"/>
  <c r="F301" i="39"/>
  <c r="V301" i="39"/>
  <c r="U300" i="39"/>
  <c r="AB301" i="39"/>
  <c r="AA301" i="39"/>
  <c r="Z301" i="39"/>
  <c r="Y301" i="39"/>
  <c r="X301" i="39"/>
  <c r="A302" i="39"/>
  <c r="D301" i="39"/>
  <c r="E301" i="39"/>
  <c r="C301" i="39"/>
  <c r="B301" i="39"/>
  <c r="AS300" i="39" l="1"/>
  <c r="G302" i="39"/>
  <c r="H302" i="39"/>
  <c r="K302" i="39"/>
  <c r="J302" i="39"/>
  <c r="N302" i="39"/>
  <c r="I302" i="39"/>
  <c r="L302" i="39"/>
  <c r="M302" i="39"/>
  <c r="W301" i="39"/>
  <c r="Q301" i="39"/>
  <c r="O301" i="39"/>
  <c r="AR301" i="39"/>
  <c r="AD301" i="39"/>
  <c r="R301" i="39"/>
  <c r="AH301" i="39"/>
  <c r="AF301" i="39"/>
  <c r="AG301" i="39"/>
  <c r="AS301" i="39"/>
  <c r="AE301" i="39"/>
  <c r="AC301" i="39"/>
  <c r="F302" i="39"/>
  <c r="V302" i="39"/>
  <c r="U301" i="39"/>
  <c r="AA302" i="39"/>
  <c r="AB302" i="39"/>
  <c r="Z302" i="39"/>
  <c r="X302" i="39"/>
  <c r="Y302" i="39"/>
  <c r="A303" i="39"/>
  <c r="E302" i="39"/>
  <c r="D302" i="39"/>
  <c r="C302" i="39"/>
  <c r="B302" i="39"/>
  <c r="K303" i="39" l="1"/>
  <c r="N303" i="39"/>
  <c r="J303" i="39"/>
  <c r="I303" i="39"/>
  <c r="M303" i="39"/>
  <c r="H303" i="39"/>
  <c r="L303" i="39"/>
  <c r="G303" i="39"/>
  <c r="Q302" i="39"/>
  <c r="O302" i="39"/>
  <c r="AR302" i="39"/>
  <c r="AD302" i="39"/>
  <c r="R302" i="39"/>
  <c r="AH302" i="39"/>
  <c r="AG302" i="39"/>
  <c r="AF302" i="39"/>
  <c r="AE302" i="39"/>
  <c r="AC302" i="39"/>
  <c r="F303" i="39"/>
  <c r="V303" i="39"/>
  <c r="U302" i="39"/>
  <c r="AB303" i="39"/>
  <c r="Z303" i="39"/>
  <c r="AA303" i="39"/>
  <c r="Y303" i="39"/>
  <c r="X303" i="39"/>
  <c r="A304" i="39"/>
  <c r="E303" i="39"/>
  <c r="D303" i="39"/>
  <c r="C303" i="39"/>
  <c r="B303" i="39"/>
  <c r="AS302" i="39" l="1"/>
  <c r="W302" i="39"/>
  <c r="H304" i="39"/>
  <c r="N304" i="39"/>
  <c r="I304" i="39"/>
  <c r="G304" i="39"/>
  <c r="M304" i="39"/>
  <c r="J304" i="39"/>
  <c r="K304" i="39"/>
  <c r="L304" i="39"/>
  <c r="AR303" i="39"/>
  <c r="W303" i="39" s="1"/>
  <c r="AD303" i="39"/>
  <c r="Q303" i="39"/>
  <c r="O303" i="39"/>
  <c r="R303" i="39"/>
  <c r="U303" i="39"/>
  <c r="AH303" i="39"/>
  <c r="AF303" i="39"/>
  <c r="AG303" i="39"/>
  <c r="AE303" i="39"/>
  <c r="AC303" i="39"/>
  <c r="F304" i="39"/>
  <c r="V304" i="39"/>
  <c r="AB304" i="39"/>
  <c r="Z304" i="39"/>
  <c r="AA304" i="39"/>
  <c r="Y304" i="39"/>
  <c r="X304" i="39"/>
  <c r="C304" i="39"/>
  <c r="B304" i="39"/>
  <c r="A305" i="39"/>
  <c r="E304" i="39"/>
  <c r="D304" i="39"/>
  <c r="AS303" i="39" l="1"/>
  <c r="G305" i="39"/>
  <c r="I305" i="39"/>
  <c r="K305" i="39"/>
  <c r="M305" i="39"/>
  <c r="N305" i="39"/>
  <c r="H305" i="39"/>
  <c r="L305" i="39"/>
  <c r="J305" i="39"/>
  <c r="Q304" i="39"/>
  <c r="O304" i="39"/>
  <c r="AR304" i="39"/>
  <c r="AS304" i="39" s="1"/>
  <c r="AD304" i="39"/>
  <c r="R304" i="39"/>
  <c r="AH304" i="39"/>
  <c r="AG304" i="39"/>
  <c r="AC304" i="39"/>
  <c r="AF304" i="39"/>
  <c r="AE304" i="39"/>
  <c r="F305" i="39"/>
  <c r="V305" i="39"/>
  <c r="U304" i="39"/>
  <c r="AB305" i="39"/>
  <c r="Z305" i="39"/>
  <c r="AA305" i="39"/>
  <c r="Y305" i="39"/>
  <c r="X305" i="39"/>
  <c r="A306" i="39"/>
  <c r="D305" i="39"/>
  <c r="E305" i="39"/>
  <c r="C305" i="39"/>
  <c r="B305" i="39"/>
  <c r="W304" i="39" l="1"/>
  <c r="K306" i="39"/>
  <c r="M306" i="39"/>
  <c r="H306" i="39"/>
  <c r="I306" i="39"/>
  <c r="L306" i="39"/>
  <c r="G306" i="39"/>
  <c r="N306" i="39"/>
  <c r="J306" i="39"/>
  <c r="AR305" i="39"/>
  <c r="W305" i="39" s="1"/>
  <c r="AD305" i="39"/>
  <c r="Q305" i="39"/>
  <c r="O305" i="39"/>
  <c r="R305" i="39"/>
  <c r="AH305" i="39"/>
  <c r="AG305" i="39"/>
  <c r="AC305" i="39"/>
  <c r="AF305" i="39"/>
  <c r="AE305" i="39"/>
  <c r="F306" i="39"/>
  <c r="V306" i="39"/>
  <c r="U305" i="39"/>
  <c r="AB306" i="39"/>
  <c r="AA306" i="39"/>
  <c r="Z306" i="39"/>
  <c r="X306" i="39"/>
  <c r="Y306" i="39"/>
  <c r="E306" i="39"/>
  <c r="D306" i="39"/>
  <c r="C306" i="39"/>
  <c r="B306" i="39"/>
  <c r="A307" i="39"/>
  <c r="AS305" i="39" l="1"/>
  <c r="J307" i="39"/>
  <c r="M307" i="39"/>
  <c r="N307" i="39"/>
  <c r="G307" i="39"/>
  <c r="I307" i="39"/>
  <c r="H307" i="39"/>
  <c r="K307" i="39"/>
  <c r="L307" i="39"/>
  <c r="AR306" i="39"/>
  <c r="W306" i="39" s="1"/>
  <c r="AD306" i="39"/>
  <c r="Q306" i="39"/>
  <c r="O306" i="39"/>
  <c r="R306" i="39"/>
  <c r="F307" i="39"/>
  <c r="V307" i="39"/>
  <c r="AG306" i="39"/>
  <c r="AF306" i="39"/>
  <c r="AH306" i="39"/>
  <c r="AE306" i="39"/>
  <c r="AC306" i="39"/>
  <c r="U306" i="39"/>
  <c r="AB307" i="39"/>
  <c r="AA307" i="39"/>
  <c r="Z307" i="39"/>
  <c r="Y307" i="39"/>
  <c r="X307" i="39"/>
  <c r="E307" i="39"/>
  <c r="D307" i="39"/>
  <c r="C307" i="39"/>
  <c r="B307" i="39"/>
  <c r="A308" i="39"/>
  <c r="AS306" i="39" l="1"/>
  <c r="K308" i="39"/>
  <c r="M308" i="39"/>
  <c r="I308" i="39"/>
  <c r="H308" i="39"/>
  <c r="G308" i="39"/>
  <c r="J308" i="39"/>
  <c r="L308" i="39"/>
  <c r="N308" i="39"/>
  <c r="Q307" i="39"/>
  <c r="O307" i="39"/>
  <c r="AR307" i="39"/>
  <c r="W307" i="39" s="1"/>
  <c r="AD307" i="39"/>
  <c r="R307" i="39"/>
  <c r="F308" i="39"/>
  <c r="V308" i="39"/>
  <c r="AH307" i="39"/>
  <c r="AF307" i="39"/>
  <c r="AE307" i="39"/>
  <c r="AG307" i="39"/>
  <c r="AC307" i="39"/>
  <c r="U307" i="39"/>
  <c r="AB308" i="39"/>
  <c r="AA308" i="39"/>
  <c r="Y308" i="39"/>
  <c r="X308" i="39"/>
  <c r="Z308" i="39"/>
  <c r="C308" i="39"/>
  <c r="E308" i="39"/>
  <c r="D308" i="39"/>
  <c r="B308" i="39"/>
  <c r="A309" i="39"/>
  <c r="H309" i="39" l="1"/>
  <c r="J309" i="39"/>
  <c r="M309" i="39"/>
  <c r="I309" i="39"/>
  <c r="N309" i="39"/>
  <c r="G309" i="39"/>
  <c r="L309" i="39"/>
  <c r="K309" i="39"/>
  <c r="AS307" i="39"/>
  <c r="AR308" i="39"/>
  <c r="W308" i="39" s="1"/>
  <c r="AD308" i="39"/>
  <c r="O308" i="39"/>
  <c r="Q308" i="39"/>
  <c r="R308" i="39"/>
  <c r="F309" i="39"/>
  <c r="V309" i="39"/>
  <c r="U308" i="39"/>
  <c r="AH308" i="39"/>
  <c r="AG308" i="39"/>
  <c r="AE308" i="39"/>
  <c r="AF308" i="39"/>
  <c r="AC308" i="39"/>
  <c r="AA309" i="39"/>
  <c r="AB309" i="39"/>
  <c r="Z309" i="39"/>
  <c r="Y309" i="39"/>
  <c r="X309" i="39"/>
  <c r="A310" i="39"/>
  <c r="D309" i="39"/>
  <c r="E309" i="39"/>
  <c r="C309" i="39"/>
  <c r="B309" i="39"/>
  <c r="AS308" i="39" l="1"/>
  <c r="N310" i="39"/>
  <c r="L310" i="39"/>
  <c r="K310" i="39"/>
  <c r="H310" i="39"/>
  <c r="G310" i="39"/>
  <c r="J310" i="39"/>
  <c r="M310" i="39"/>
  <c r="I310" i="39"/>
  <c r="AR309" i="39"/>
  <c r="W309" i="39" s="1"/>
  <c r="AD309" i="39"/>
  <c r="O309" i="39"/>
  <c r="Q309" i="39"/>
  <c r="R309" i="39"/>
  <c r="AH309" i="39"/>
  <c r="AE309" i="39"/>
  <c r="AG309" i="39"/>
  <c r="AF309" i="39"/>
  <c r="AC309" i="39"/>
  <c r="F310" i="39"/>
  <c r="V310" i="39"/>
  <c r="U309" i="39"/>
  <c r="AA310" i="39"/>
  <c r="Z310" i="39"/>
  <c r="Y310" i="39"/>
  <c r="X310" i="39"/>
  <c r="AB310" i="39"/>
  <c r="A311" i="39"/>
  <c r="E310" i="39"/>
  <c r="D310" i="39"/>
  <c r="C310" i="39"/>
  <c r="B310" i="39"/>
  <c r="AS309" i="39" l="1"/>
  <c r="N311" i="39"/>
  <c r="J311" i="39"/>
  <c r="G311" i="39"/>
  <c r="K311" i="39"/>
  <c r="M311" i="39"/>
  <c r="L311" i="39"/>
  <c r="I311" i="39"/>
  <c r="H311" i="39"/>
  <c r="AR310" i="39"/>
  <c r="W310" i="39" s="1"/>
  <c r="AD310" i="39"/>
  <c r="O310" i="39"/>
  <c r="Q310" i="39"/>
  <c r="R310" i="39"/>
  <c r="AH310" i="39"/>
  <c r="AE310" i="39"/>
  <c r="AG310" i="39"/>
  <c r="AF310" i="39"/>
  <c r="AC310" i="39"/>
  <c r="F311" i="39"/>
  <c r="V311" i="39"/>
  <c r="U310" i="39"/>
  <c r="AB311" i="39"/>
  <c r="Z311" i="39"/>
  <c r="AA311" i="39"/>
  <c r="Y311" i="39"/>
  <c r="X311" i="39"/>
  <c r="A312" i="39"/>
  <c r="E311" i="39"/>
  <c r="D311" i="39"/>
  <c r="C311" i="39"/>
  <c r="B311" i="39"/>
  <c r="AS310" i="39" l="1"/>
  <c r="I312" i="39"/>
  <c r="G312" i="39"/>
  <c r="M312" i="39"/>
  <c r="L312" i="39"/>
  <c r="N312" i="39"/>
  <c r="J312" i="39"/>
  <c r="K312" i="39"/>
  <c r="H312" i="39"/>
  <c r="AR311" i="39"/>
  <c r="W311" i="39" s="1"/>
  <c r="AD311" i="39"/>
  <c r="Q311" i="39"/>
  <c r="O311" i="39"/>
  <c r="R311" i="39"/>
  <c r="AH311" i="39"/>
  <c r="AE311" i="39"/>
  <c r="AG311" i="39"/>
  <c r="AF311" i="39"/>
  <c r="AC311" i="39"/>
  <c r="F312" i="39"/>
  <c r="V312" i="39"/>
  <c r="U311" i="39"/>
  <c r="AA312" i="39"/>
  <c r="AB312" i="39"/>
  <c r="Z312" i="39"/>
  <c r="Y312" i="39"/>
  <c r="X312" i="39"/>
  <c r="C312" i="39"/>
  <c r="B312" i="39"/>
  <c r="A313" i="39"/>
  <c r="E312" i="39"/>
  <c r="D312" i="39"/>
  <c r="AS311" i="39" l="1"/>
  <c r="L313" i="39"/>
  <c r="H313" i="39"/>
  <c r="G313" i="39"/>
  <c r="J313" i="39"/>
  <c r="M313" i="39"/>
  <c r="I313" i="39"/>
  <c r="N313" i="39"/>
  <c r="K313" i="39"/>
  <c r="AR312" i="39"/>
  <c r="W312" i="39" s="1"/>
  <c r="AD312" i="39"/>
  <c r="Q312" i="39"/>
  <c r="O312" i="39"/>
  <c r="R312" i="39"/>
  <c r="F313" i="39"/>
  <c r="V313" i="39"/>
  <c r="AF312" i="39"/>
  <c r="AH312" i="39"/>
  <c r="AE312" i="39"/>
  <c r="AG312" i="39"/>
  <c r="AC312" i="39"/>
  <c r="U312" i="39"/>
  <c r="AB313" i="39"/>
  <c r="AA313" i="39"/>
  <c r="Z313" i="39"/>
  <c r="Y313" i="39"/>
  <c r="X313" i="39"/>
  <c r="A314" i="39"/>
  <c r="D313" i="39"/>
  <c r="E313" i="39"/>
  <c r="C313" i="39"/>
  <c r="B313" i="39"/>
  <c r="AS312" i="39" l="1"/>
  <c r="L314" i="39"/>
  <c r="G314" i="39"/>
  <c r="J314" i="39"/>
  <c r="H314" i="39"/>
  <c r="K314" i="39"/>
  <c r="M314" i="39"/>
  <c r="I314" i="39"/>
  <c r="N314" i="39"/>
  <c r="Q313" i="39"/>
  <c r="O313" i="39"/>
  <c r="AR313" i="39"/>
  <c r="W313" i="39" s="1"/>
  <c r="AD313" i="39"/>
  <c r="R313" i="39"/>
  <c r="AH313" i="39"/>
  <c r="AF313" i="39"/>
  <c r="AE313" i="39"/>
  <c r="AG313" i="39"/>
  <c r="AC313" i="39"/>
  <c r="F314" i="39"/>
  <c r="V314" i="39"/>
  <c r="U313" i="39"/>
  <c r="AA314" i="39"/>
  <c r="AB314" i="39"/>
  <c r="Z314" i="39"/>
  <c r="X314" i="39"/>
  <c r="Y314" i="39"/>
  <c r="E314" i="39"/>
  <c r="D314" i="39"/>
  <c r="C314" i="39"/>
  <c r="B314" i="39"/>
  <c r="A315" i="39"/>
  <c r="AS313" i="39" l="1"/>
  <c r="K315" i="39"/>
  <c r="N315" i="39"/>
  <c r="I315" i="39"/>
  <c r="L315" i="39"/>
  <c r="M315" i="39"/>
  <c r="G315" i="39"/>
  <c r="H315" i="39"/>
  <c r="J315" i="39"/>
  <c r="AR314" i="39"/>
  <c r="W314" i="39" s="1"/>
  <c r="AD314" i="39"/>
  <c r="AS314" i="39" s="1"/>
  <c r="Q314" i="39"/>
  <c r="O314" i="39"/>
  <c r="R314" i="39"/>
  <c r="F315" i="39"/>
  <c r="V315" i="39"/>
  <c r="AH314" i="39"/>
  <c r="AG314" i="39"/>
  <c r="AE314" i="39"/>
  <c r="AF314" i="39"/>
  <c r="AC314" i="39"/>
  <c r="U314" i="39"/>
  <c r="AB315" i="39"/>
  <c r="AA315" i="39"/>
  <c r="Z315" i="39"/>
  <c r="Y315" i="39"/>
  <c r="X315" i="39"/>
  <c r="E315" i="39"/>
  <c r="D315" i="39"/>
  <c r="C315" i="39"/>
  <c r="B315" i="39"/>
  <c r="A316" i="39"/>
  <c r="I316" i="39" l="1"/>
  <c r="L316" i="39"/>
  <c r="J316" i="39"/>
  <c r="M316" i="39"/>
  <c r="H316" i="39"/>
  <c r="K316" i="39"/>
  <c r="N316" i="39"/>
  <c r="G316" i="39"/>
  <c r="AR315" i="39"/>
  <c r="W315" i="39" s="1"/>
  <c r="AD315" i="39"/>
  <c r="Q315" i="39"/>
  <c r="O315" i="39"/>
  <c r="R315" i="39"/>
  <c r="F316" i="39"/>
  <c r="V316" i="39"/>
  <c r="AH315" i="39"/>
  <c r="AF315" i="39"/>
  <c r="AG315" i="39"/>
  <c r="AE315" i="39"/>
  <c r="AC315" i="39"/>
  <c r="U315" i="39"/>
  <c r="AB316" i="39"/>
  <c r="Z316" i="39"/>
  <c r="AA316" i="39"/>
  <c r="Y316" i="39"/>
  <c r="X316" i="39"/>
  <c r="C316" i="39"/>
  <c r="E316" i="39"/>
  <c r="D316" i="39"/>
  <c r="B316" i="39"/>
  <c r="A317" i="39"/>
  <c r="AS315" i="39" l="1"/>
  <c r="N317" i="39"/>
  <c r="K317" i="39"/>
  <c r="L317" i="39"/>
  <c r="I317" i="39"/>
  <c r="J317" i="39"/>
  <c r="G317" i="39"/>
  <c r="M317" i="39"/>
  <c r="H317" i="39"/>
  <c r="AR316" i="39"/>
  <c r="W316" i="39" s="1"/>
  <c r="AD316" i="39"/>
  <c r="Q316" i="39"/>
  <c r="O316" i="39"/>
  <c r="R316" i="39"/>
  <c r="F317" i="39"/>
  <c r="V317" i="39"/>
  <c r="AH316" i="39"/>
  <c r="AG316" i="39"/>
  <c r="AC316" i="39"/>
  <c r="AF316" i="39"/>
  <c r="AE316" i="39"/>
  <c r="U316" i="39"/>
  <c r="AB317" i="39"/>
  <c r="AA317" i="39"/>
  <c r="Z317" i="39"/>
  <c r="X317" i="39"/>
  <c r="Y317" i="39"/>
  <c r="A318" i="39"/>
  <c r="D317" i="39"/>
  <c r="C317" i="39"/>
  <c r="E317" i="39"/>
  <c r="B317" i="39"/>
  <c r="AS316" i="39" l="1"/>
  <c r="K318" i="39"/>
  <c r="G318" i="39"/>
  <c r="L318" i="39"/>
  <c r="I318" i="39"/>
  <c r="H318" i="39"/>
  <c r="M318" i="39"/>
  <c r="N318" i="39"/>
  <c r="J318" i="39"/>
  <c r="AR317" i="39"/>
  <c r="W317" i="39" s="1"/>
  <c r="AD317" i="39"/>
  <c r="Q317" i="39"/>
  <c r="O317" i="39"/>
  <c r="R317" i="39"/>
  <c r="AH317" i="39"/>
  <c r="AG317" i="39"/>
  <c r="AC317" i="39"/>
  <c r="AF317" i="39"/>
  <c r="AE317" i="39"/>
  <c r="F318" i="39"/>
  <c r="V318" i="39"/>
  <c r="U317" i="39"/>
  <c r="AB318" i="39"/>
  <c r="AA318" i="39"/>
  <c r="Z318" i="39"/>
  <c r="Y318" i="39"/>
  <c r="X318" i="39"/>
  <c r="E318" i="39"/>
  <c r="D318" i="39"/>
  <c r="C318" i="39"/>
  <c r="B318" i="39"/>
  <c r="A319" i="39"/>
  <c r="AS317" i="39" l="1"/>
  <c r="K319" i="39"/>
  <c r="I319" i="39"/>
  <c r="G319" i="39"/>
  <c r="J319" i="39"/>
  <c r="L319" i="39"/>
  <c r="H319" i="39"/>
  <c r="N319" i="39"/>
  <c r="M319" i="39"/>
  <c r="AR318" i="39"/>
  <c r="W318" i="39" s="1"/>
  <c r="AD318" i="39"/>
  <c r="Q318" i="39"/>
  <c r="O318" i="39"/>
  <c r="R318" i="39"/>
  <c r="F319" i="39"/>
  <c r="V319" i="39"/>
  <c r="AG318" i="39"/>
  <c r="AH318" i="39"/>
  <c r="AF318" i="39"/>
  <c r="AE318" i="39"/>
  <c r="AC318" i="39"/>
  <c r="U318" i="39"/>
  <c r="AB319" i="39"/>
  <c r="AA319" i="39"/>
  <c r="Z319" i="39"/>
  <c r="X319" i="39"/>
  <c r="Y319" i="39"/>
  <c r="E319" i="39"/>
  <c r="D319" i="39"/>
  <c r="C319" i="39"/>
  <c r="B319" i="39"/>
  <c r="A320" i="39"/>
  <c r="AS318" i="39" l="1"/>
  <c r="G320" i="39"/>
  <c r="L320" i="39"/>
  <c r="I320" i="39"/>
  <c r="J320" i="39"/>
  <c r="K320" i="39"/>
  <c r="H320" i="39"/>
  <c r="N320" i="39"/>
  <c r="M320" i="39"/>
  <c r="Q319" i="39"/>
  <c r="O319" i="39"/>
  <c r="AR319" i="39"/>
  <c r="W319" i="39" s="1"/>
  <c r="AD319" i="39"/>
  <c r="R319" i="39"/>
  <c r="F320" i="39"/>
  <c r="V320" i="39"/>
  <c r="AH319" i="39"/>
  <c r="AF319" i="39"/>
  <c r="AG319" i="39"/>
  <c r="AE319" i="39"/>
  <c r="AC319" i="39"/>
  <c r="U319" i="39"/>
  <c r="AB320" i="39"/>
  <c r="AA320" i="39"/>
  <c r="Y320" i="39"/>
  <c r="X320" i="39"/>
  <c r="Z320" i="39"/>
  <c r="C320" i="39"/>
  <c r="A321" i="39"/>
  <c r="E320" i="39"/>
  <c r="D320" i="39"/>
  <c r="B320" i="39"/>
  <c r="AS319" i="39" l="1"/>
  <c r="M321" i="39"/>
  <c r="L321" i="39"/>
  <c r="N321" i="39"/>
  <c r="H321" i="39"/>
  <c r="I321" i="39"/>
  <c r="G321" i="39"/>
  <c r="J321" i="39"/>
  <c r="K321" i="39"/>
  <c r="AR320" i="39"/>
  <c r="W320" i="39" s="1"/>
  <c r="AD320" i="39"/>
  <c r="Q320" i="39"/>
  <c r="O320" i="39"/>
  <c r="R320" i="39"/>
  <c r="F321" i="39"/>
  <c r="V321" i="39"/>
  <c r="AH320" i="39"/>
  <c r="AG320" i="39"/>
  <c r="AE320" i="39"/>
  <c r="AF320" i="39"/>
  <c r="AC320" i="39"/>
  <c r="U320" i="39"/>
  <c r="AB321" i="39"/>
  <c r="AA321" i="39"/>
  <c r="Z321" i="39"/>
  <c r="Y321" i="39"/>
  <c r="X321" i="39"/>
  <c r="A322" i="39"/>
  <c r="D321" i="39"/>
  <c r="C321" i="39"/>
  <c r="E321" i="39"/>
  <c r="B321" i="39"/>
  <c r="AS320" i="39" l="1"/>
  <c r="L322" i="39"/>
  <c r="M322" i="39"/>
  <c r="I322" i="39"/>
  <c r="K322" i="39"/>
  <c r="J322" i="39"/>
  <c r="N322" i="39"/>
  <c r="G322" i="39"/>
  <c r="H322" i="39"/>
  <c r="W321" i="39"/>
  <c r="Q321" i="39"/>
  <c r="O321" i="39"/>
  <c r="AR321" i="39"/>
  <c r="AS321" i="39" s="1"/>
  <c r="AD321" i="39"/>
  <c r="R321" i="39"/>
  <c r="F322" i="39"/>
  <c r="V322" i="39"/>
  <c r="U321" i="39"/>
  <c r="AH321" i="39"/>
  <c r="AE321" i="39"/>
  <c r="AG321" i="39"/>
  <c r="AF321" i="39"/>
  <c r="AC321" i="39"/>
  <c r="AB322" i="39"/>
  <c r="Z322" i="39"/>
  <c r="AA322" i="39"/>
  <c r="Y322" i="39"/>
  <c r="X322" i="39"/>
  <c r="E322" i="39"/>
  <c r="A323" i="39"/>
  <c r="C322" i="39"/>
  <c r="D322" i="39"/>
  <c r="B322" i="39"/>
  <c r="M323" i="39" l="1"/>
  <c r="J323" i="39"/>
  <c r="K323" i="39"/>
  <c r="L323" i="39"/>
  <c r="N323" i="39"/>
  <c r="I323" i="39"/>
  <c r="G323" i="39"/>
  <c r="H323" i="39"/>
  <c r="AR322" i="39"/>
  <c r="W322" i="39" s="1"/>
  <c r="AD322" i="39"/>
  <c r="Q322" i="39"/>
  <c r="O322" i="39"/>
  <c r="R322" i="39"/>
  <c r="AH322" i="39"/>
  <c r="AF322" i="39"/>
  <c r="AE322" i="39"/>
  <c r="AG322" i="39"/>
  <c r="AC322" i="39"/>
  <c r="F323" i="39"/>
  <c r="V323" i="39"/>
  <c r="U322" i="39"/>
  <c r="AB323" i="39"/>
  <c r="AA323" i="39"/>
  <c r="Z323" i="39"/>
  <c r="Y323" i="39"/>
  <c r="X323" i="39"/>
  <c r="E323" i="39"/>
  <c r="A324" i="39"/>
  <c r="D323" i="39"/>
  <c r="C323" i="39"/>
  <c r="B323" i="39"/>
  <c r="AS322" i="39" l="1"/>
  <c r="L324" i="39"/>
  <c r="I324" i="39"/>
  <c r="G324" i="39"/>
  <c r="M324" i="39"/>
  <c r="H324" i="39"/>
  <c r="J324" i="39"/>
  <c r="N324" i="39"/>
  <c r="K324" i="39"/>
  <c r="AR323" i="39"/>
  <c r="W323" i="39" s="1"/>
  <c r="AD323" i="39"/>
  <c r="Q323" i="39"/>
  <c r="O323" i="39"/>
  <c r="R323" i="39"/>
  <c r="AH323" i="39"/>
  <c r="AE323" i="39"/>
  <c r="AG323" i="39"/>
  <c r="AF323" i="39"/>
  <c r="AC323" i="39"/>
  <c r="F324" i="39"/>
  <c r="V324" i="39"/>
  <c r="U323" i="39"/>
  <c r="AB324" i="39"/>
  <c r="Z324" i="39"/>
  <c r="AA324" i="39"/>
  <c r="X324" i="39"/>
  <c r="Y324" i="39"/>
  <c r="C324" i="39"/>
  <c r="B324" i="39"/>
  <c r="A325" i="39"/>
  <c r="E324" i="39"/>
  <c r="D324" i="39"/>
  <c r="AS323" i="39" l="1"/>
  <c r="G325" i="39"/>
  <c r="K325" i="39"/>
  <c r="M325" i="39"/>
  <c r="I325" i="39"/>
  <c r="H325" i="39"/>
  <c r="L325" i="39"/>
  <c r="J325" i="39"/>
  <c r="N325" i="39"/>
  <c r="AR324" i="39"/>
  <c r="W324" i="39" s="1"/>
  <c r="AD324" i="39"/>
  <c r="Q324" i="39"/>
  <c r="O324" i="39"/>
  <c r="R324" i="39"/>
  <c r="F325" i="39"/>
  <c r="V325" i="39"/>
  <c r="AF324" i="39"/>
  <c r="AE324" i="39"/>
  <c r="AH324" i="39"/>
  <c r="AG324" i="39"/>
  <c r="AC324" i="39"/>
  <c r="U324" i="39"/>
  <c r="AB325" i="39"/>
  <c r="AA325" i="39"/>
  <c r="Z325" i="39"/>
  <c r="Y325" i="39"/>
  <c r="X325" i="39"/>
  <c r="A326" i="39"/>
  <c r="D325" i="39"/>
  <c r="C325" i="39"/>
  <c r="E325" i="39"/>
  <c r="B325" i="39"/>
  <c r="AS324" i="39" l="1"/>
  <c r="I326" i="39"/>
  <c r="N326" i="39"/>
  <c r="G326" i="39"/>
  <c r="J326" i="39"/>
  <c r="K326" i="39"/>
  <c r="M326" i="39"/>
  <c r="H326" i="39"/>
  <c r="L326" i="39"/>
  <c r="AR325" i="39"/>
  <c r="W325" i="39" s="1"/>
  <c r="AD325" i="39"/>
  <c r="Q325" i="39"/>
  <c r="O325" i="39"/>
  <c r="R325" i="39"/>
  <c r="AH325" i="39"/>
  <c r="AF325" i="39"/>
  <c r="AE325" i="39"/>
  <c r="AG325" i="39"/>
  <c r="AC325" i="39"/>
  <c r="F326" i="39"/>
  <c r="V326" i="39"/>
  <c r="U325" i="39"/>
  <c r="AA326" i="39"/>
  <c r="AB326" i="39"/>
  <c r="X326" i="39"/>
  <c r="Z326" i="39"/>
  <c r="Y326" i="39"/>
  <c r="E326" i="39"/>
  <c r="A327" i="39"/>
  <c r="D326" i="39"/>
  <c r="C326" i="39"/>
  <c r="B326" i="39"/>
  <c r="AS325" i="39" l="1"/>
  <c r="G327" i="39"/>
  <c r="M327" i="39"/>
  <c r="H327" i="39"/>
  <c r="N327" i="39"/>
  <c r="J327" i="39"/>
  <c r="I327" i="39"/>
  <c r="K327" i="39"/>
  <c r="L327" i="39"/>
  <c r="AR326" i="39"/>
  <c r="W326" i="39" s="1"/>
  <c r="AD326" i="39"/>
  <c r="Q326" i="39"/>
  <c r="O326" i="39"/>
  <c r="R326" i="39"/>
  <c r="AH326" i="39"/>
  <c r="AG326" i="39"/>
  <c r="AF326" i="39"/>
  <c r="AE326" i="39"/>
  <c r="AC326" i="39"/>
  <c r="F327" i="39"/>
  <c r="V327" i="39"/>
  <c r="U326" i="39"/>
  <c r="AB327" i="39"/>
  <c r="Z327" i="39"/>
  <c r="Y327" i="39"/>
  <c r="X327" i="39"/>
  <c r="AA327" i="39"/>
  <c r="E327" i="39"/>
  <c r="A328" i="39"/>
  <c r="D327" i="39"/>
  <c r="C327" i="39"/>
  <c r="B327" i="39"/>
  <c r="AS326" i="39" l="1"/>
  <c r="J328" i="39"/>
  <c r="K328" i="39"/>
  <c r="L328" i="39"/>
  <c r="I328" i="39"/>
  <c r="H328" i="39"/>
  <c r="N328" i="39"/>
  <c r="G328" i="39"/>
  <c r="M328" i="39"/>
  <c r="AR327" i="39"/>
  <c r="W327" i="39" s="1"/>
  <c r="AD327" i="39"/>
  <c r="Q327" i="39"/>
  <c r="O327" i="39"/>
  <c r="R327" i="39"/>
  <c r="U327" i="39"/>
  <c r="AH327" i="39"/>
  <c r="AF327" i="39"/>
  <c r="AG327" i="39"/>
  <c r="AE327" i="39"/>
  <c r="AC327" i="39"/>
  <c r="F328" i="39"/>
  <c r="V328" i="39"/>
  <c r="AB328" i="39"/>
  <c r="AA328" i="39"/>
  <c r="Z328" i="39"/>
  <c r="Y328" i="39"/>
  <c r="X328" i="39"/>
  <c r="C328" i="39"/>
  <c r="B328" i="39"/>
  <c r="A329" i="39"/>
  <c r="E328" i="39"/>
  <c r="D328" i="39"/>
  <c r="AS327" i="39" l="1"/>
  <c r="L329" i="39"/>
  <c r="H329" i="39"/>
  <c r="K329" i="39"/>
  <c r="M329" i="39"/>
  <c r="G329" i="39"/>
  <c r="N329" i="39"/>
  <c r="I329" i="39"/>
  <c r="J329" i="39"/>
  <c r="Q328" i="39"/>
  <c r="O328" i="39"/>
  <c r="AR328" i="39"/>
  <c r="AD328" i="39"/>
  <c r="R328" i="39"/>
  <c r="AH328" i="39"/>
  <c r="AG328" i="39"/>
  <c r="AC328" i="39"/>
  <c r="AF328" i="39"/>
  <c r="AE328" i="39"/>
  <c r="F329" i="39"/>
  <c r="V329" i="39"/>
  <c r="U328" i="39"/>
  <c r="AB329" i="39"/>
  <c r="AA329" i="39"/>
  <c r="Z329" i="39"/>
  <c r="Y329" i="39"/>
  <c r="X329" i="39"/>
  <c r="E329" i="39"/>
  <c r="A330" i="39"/>
  <c r="D329" i="39"/>
  <c r="C329" i="39"/>
  <c r="B329" i="39"/>
  <c r="AS328" i="39" l="1"/>
  <c r="W328" i="39"/>
  <c r="H330" i="39"/>
  <c r="I330" i="39"/>
  <c r="K330" i="39"/>
  <c r="N330" i="39"/>
  <c r="J330" i="39"/>
  <c r="M330" i="39"/>
  <c r="L330" i="39"/>
  <c r="G330" i="39"/>
  <c r="AR329" i="39"/>
  <c r="W329" i="39" s="1"/>
  <c r="AD329" i="39"/>
  <c r="Q329" i="39"/>
  <c r="O329" i="39"/>
  <c r="R329" i="39"/>
  <c r="AH329" i="39"/>
  <c r="AG329" i="39"/>
  <c r="AC329" i="39"/>
  <c r="AF329" i="39"/>
  <c r="AE329" i="39"/>
  <c r="F330" i="39"/>
  <c r="V330" i="39"/>
  <c r="U329" i="39"/>
  <c r="AB330" i="39"/>
  <c r="AA330" i="39"/>
  <c r="X330" i="39"/>
  <c r="Z330" i="39"/>
  <c r="Y330" i="39"/>
  <c r="E330" i="39"/>
  <c r="A331" i="39"/>
  <c r="D330" i="39"/>
  <c r="C330" i="39"/>
  <c r="B330" i="39"/>
  <c r="AS329" i="39" l="1"/>
  <c r="M331" i="39"/>
  <c r="H331" i="39"/>
  <c r="G331" i="39"/>
  <c r="L331" i="39"/>
  <c r="I331" i="39"/>
  <c r="K331" i="39"/>
  <c r="J331" i="39"/>
  <c r="N331" i="39"/>
  <c r="AR330" i="39"/>
  <c r="W330" i="39" s="1"/>
  <c r="AD330" i="39"/>
  <c r="Q330" i="39"/>
  <c r="O330" i="39"/>
  <c r="R330" i="39"/>
  <c r="AG330" i="39"/>
  <c r="AH330" i="39"/>
  <c r="AF330" i="39"/>
  <c r="AE330" i="39"/>
  <c r="AC330" i="39"/>
  <c r="F331" i="39"/>
  <c r="V331" i="39"/>
  <c r="U330" i="39"/>
  <c r="AB331" i="39"/>
  <c r="Z331" i="39"/>
  <c r="Y331" i="39"/>
  <c r="AA331" i="39"/>
  <c r="X331" i="39"/>
  <c r="E331" i="39"/>
  <c r="A332" i="39"/>
  <c r="D331" i="39"/>
  <c r="C331" i="39"/>
  <c r="B331" i="39"/>
  <c r="AS330" i="39" l="1"/>
  <c r="N332" i="39"/>
  <c r="I332" i="39"/>
  <c r="G332" i="39"/>
  <c r="J332" i="39"/>
  <c r="K332" i="39"/>
  <c r="H332" i="39"/>
  <c r="L332" i="39"/>
  <c r="M332" i="39"/>
  <c r="Q331" i="39"/>
  <c r="O331" i="39"/>
  <c r="AR331" i="39"/>
  <c r="W331" i="39" s="1"/>
  <c r="AD331" i="39"/>
  <c r="R331" i="39"/>
  <c r="U331" i="39"/>
  <c r="AH331" i="39"/>
  <c r="AF331" i="39"/>
  <c r="AE331" i="39"/>
  <c r="AG331" i="39"/>
  <c r="AC331" i="39"/>
  <c r="F332" i="39"/>
  <c r="V332" i="39"/>
  <c r="AB332" i="39"/>
  <c r="AA332" i="39"/>
  <c r="Z332" i="39"/>
  <c r="Y332" i="39"/>
  <c r="X332" i="39"/>
  <c r="C332" i="39"/>
  <c r="B332" i="39"/>
  <c r="E332" i="39"/>
  <c r="D332" i="39"/>
  <c r="A333" i="39"/>
  <c r="K333" i="39" l="1"/>
  <c r="M333" i="39"/>
  <c r="H333" i="39"/>
  <c r="L333" i="39"/>
  <c r="N333" i="39"/>
  <c r="I333" i="39"/>
  <c r="G333" i="39"/>
  <c r="J333" i="39"/>
  <c r="AS331" i="39"/>
  <c r="AR332" i="39"/>
  <c r="W332" i="39" s="1"/>
  <c r="AD332" i="39"/>
  <c r="O332" i="39"/>
  <c r="Q332" i="39"/>
  <c r="R332" i="39"/>
  <c r="F333" i="39"/>
  <c r="V333" i="39"/>
  <c r="AH332" i="39"/>
  <c r="AG332" i="39"/>
  <c r="AF332" i="39"/>
  <c r="AE332" i="39"/>
  <c r="AC332" i="39"/>
  <c r="U332" i="39"/>
  <c r="AB333" i="39"/>
  <c r="AA333" i="39"/>
  <c r="Z333" i="39"/>
  <c r="Y333" i="39"/>
  <c r="X333" i="39"/>
  <c r="E333" i="39"/>
  <c r="A334" i="39"/>
  <c r="D333" i="39"/>
  <c r="C333" i="39"/>
  <c r="B333" i="39"/>
  <c r="AS332" i="39" l="1"/>
  <c r="N334" i="39"/>
  <c r="J334" i="39"/>
  <c r="G334" i="39"/>
  <c r="H334" i="39"/>
  <c r="K334" i="39"/>
  <c r="M334" i="39"/>
  <c r="L334" i="39"/>
  <c r="I334" i="39"/>
  <c r="AR333" i="39"/>
  <c r="W333" i="39" s="1"/>
  <c r="AD333" i="39"/>
  <c r="O333" i="39"/>
  <c r="Q333" i="39"/>
  <c r="R333" i="39"/>
  <c r="AH333" i="39"/>
  <c r="AG333" i="39"/>
  <c r="AF333" i="39"/>
  <c r="AE333" i="39"/>
  <c r="AC333" i="39"/>
  <c r="U333" i="39"/>
  <c r="F334" i="39"/>
  <c r="V334" i="39"/>
  <c r="AB334" i="39"/>
  <c r="AA334" i="39"/>
  <c r="Z334" i="39"/>
  <c r="X334" i="39"/>
  <c r="Y334" i="39"/>
  <c r="E334" i="39"/>
  <c r="A335" i="39"/>
  <c r="D334" i="39"/>
  <c r="C334" i="39"/>
  <c r="B334" i="39"/>
  <c r="AS333" i="39" l="1"/>
  <c r="L335" i="39"/>
  <c r="N335" i="39"/>
  <c r="G335" i="39"/>
  <c r="M335" i="39"/>
  <c r="J335" i="39"/>
  <c r="I335" i="39"/>
  <c r="K335" i="39"/>
  <c r="H335" i="39"/>
  <c r="AR334" i="39"/>
  <c r="W334" i="39" s="1"/>
  <c r="AD334" i="39"/>
  <c r="O334" i="39"/>
  <c r="Q334" i="39"/>
  <c r="R334" i="39"/>
  <c r="AH334" i="39"/>
  <c r="AE334" i="39"/>
  <c r="AG334" i="39"/>
  <c r="AF334" i="39"/>
  <c r="AC334" i="39"/>
  <c r="F335" i="39"/>
  <c r="V335" i="39"/>
  <c r="U334" i="39"/>
  <c r="AB335" i="39"/>
  <c r="AA335" i="39"/>
  <c r="Z335" i="39"/>
  <c r="Y335" i="39"/>
  <c r="X335" i="39"/>
  <c r="E335" i="39"/>
  <c r="A336" i="39"/>
  <c r="D335" i="39"/>
  <c r="C335" i="39"/>
  <c r="B335" i="39"/>
  <c r="AS334" i="39" l="1"/>
  <c r="G336" i="39"/>
  <c r="K336" i="39"/>
  <c r="N336" i="39"/>
  <c r="L336" i="39"/>
  <c r="I336" i="39"/>
  <c r="M336" i="39"/>
  <c r="J336" i="39"/>
  <c r="H336" i="39"/>
  <c r="Q335" i="39"/>
  <c r="O335" i="39"/>
  <c r="AR335" i="39"/>
  <c r="AD335" i="39"/>
  <c r="R335" i="39"/>
  <c r="F336" i="39"/>
  <c r="V336" i="39"/>
  <c r="AH335" i="39"/>
  <c r="AE335" i="39"/>
  <c r="AG335" i="39"/>
  <c r="AF335" i="39"/>
  <c r="AC335" i="39"/>
  <c r="U335" i="39"/>
  <c r="AA336" i="39"/>
  <c r="AB336" i="39"/>
  <c r="Z336" i="39"/>
  <c r="X336" i="39"/>
  <c r="Y336" i="39"/>
  <c r="C336" i="39"/>
  <c r="B336" i="39"/>
  <c r="A337" i="39"/>
  <c r="E336" i="39"/>
  <c r="D336" i="39"/>
  <c r="AS335" i="39" l="1"/>
  <c r="W335" i="39"/>
  <c r="N337" i="39"/>
  <c r="G337" i="39"/>
  <c r="M337" i="39"/>
  <c r="L337" i="39"/>
  <c r="J337" i="39"/>
  <c r="H337" i="39"/>
  <c r="K337" i="39"/>
  <c r="I337" i="39"/>
  <c r="AR336" i="39"/>
  <c r="W336" i="39" s="1"/>
  <c r="AD336" i="39"/>
  <c r="Q336" i="39"/>
  <c r="O336" i="39"/>
  <c r="R336" i="39"/>
  <c r="AF336" i="39"/>
  <c r="AE336" i="39"/>
  <c r="AH336" i="39"/>
  <c r="AG336" i="39"/>
  <c r="AC336" i="39"/>
  <c r="F337" i="39"/>
  <c r="V337" i="39"/>
  <c r="U336" i="39"/>
  <c r="AB337" i="39"/>
  <c r="Z337" i="39"/>
  <c r="AA337" i="39"/>
  <c r="Y337" i="39"/>
  <c r="X337" i="39"/>
  <c r="E337" i="39"/>
  <c r="A338" i="39"/>
  <c r="D337" i="39"/>
  <c r="C337" i="39"/>
  <c r="B337" i="39"/>
  <c r="AS336" i="39" l="1"/>
  <c r="M338" i="39"/>
  <c r="H338" i="39"/>
  <c r="K338" i="39"/>
  <c r="N338" i="39"/>
  <c r="J338" i="39"/>
  <c r="I338" i="39"/>
  <c r="L338" i="39"/>
  <c r="G338" i="39"/>
  <c r="AR337" i="39"/>
  <c r="W337" i="39" s="1"/>
  <c r="AD337" i="39"/>
  <c r="Q337" i="39"/>
  <c r="O337" i="39"/>
  <c r="R337" i="39"/>
  <c r="AH337" i="39"/>
  <c r="AF337" i="39"/>
  <c r="AE337" i="39"/>
  <c r="AG337" i="39"/>
  <c r="AC337" i="39"/>
  <c r="F338" i="39"/>
  <c r="V338" i="39"/>
  <c r="U337" i="39"/>
  <c r="AA338" i="39"/>
  <c r="AB338" i="39"/>
  <c r="X338" i="39"/>
  <c r="Z338" i="39"/>
  <c r="Y338" i="39"/>
  <c r="E338" i="39"/>
  <c r="A339" i="39"/>
  <c r="D338" i="39"/>
  <c r="C338" i="39"/>
  <c r="B338" i="39"/>
  <c r="AS337" i="39" l="1"/>
  <c r="M339" i="39"/>
  <c r="I339" i="39"/>
  <c r="L339" i="39"/>
  <c r="G339" i="39"/>
  <c r="J339" i="39"/>
  <c r="K339" i="39"/>
  <c r="H339" i="39"/>
  <c r="N339" i="39"/>
  <c r="AR338" i="39"/>
  <c r="W338" i="39" s="1"/>
  <c r="AD338" i="39"/>
  <c r="Q338" i="39"/>
  <c r="O338" i="39"/>
  <c r="R338" i="39"/>
  <c r="AH338" i="39"/>
  <c r="AG338" i="39"/>
  <c r="AE338" i="39"/>
  <c r="AF338" i="39"/>
  <c r="AC338" i="39"/>
  <c r="F339" i="39"/>
  <c r="V339" i="39"/>
  <c r="U338" i="39"/>
  <c r="AB339" i="39"/>
  <c r="AA339" i="39"/>
  <c r="Z339" i="39"/>
  <c r="Y339" i="39"/>
  <c r="X339" i="39"/>
  <c r="E339" i="39"/>
  <c r="A340" i="39"/>
  <c r="D339" i="39"/>
  <c r="C339" i="39"/>
  <c r="B339" i="39"/>
  <c r="AS338" i="39" l="1"/>
  <c r="H340" i="39"/>
  <c r="L340" i="39"/>
  <c r="M340" i="39"/>
  <c r="K340" i="39"/>
  <c r="J340" i="39"/>
  <c r="G340" i="39"/>
  <c r="N340" i="39"/>
  <c r="I340" i="39"/>
  <c r="Q339" i="39"/>
  <c r="O339" i="39"/>
  <c r="AR339" i="39"/>
  <c r="AD339" i="39"/>
  <c r="R339" i="39"/>
  <c r="AH339" i="39"/>
  <c r="AF339" i="39"/>
  <c r="AG339" i="39"/>
  <c r="AE339" i="39"/>
  <c r="AC339" i="39"/>
  <c r="F340" i="39"/>
  <c r="V340" i="39"/>
  <c r="U339" i="39"/>
  <c r="AB340" i="39"/>
  <c r="Z340" i="39"/>
  <c r="AA340" i="39"/>
  <c r="Y340" i="39"/>
  <c r="X340" i="39"/>
  <c r="C340" i="39"/>
  <c r="B340" i="39"/>
  <c r="E340" i="39"/>
  <c r="D340" i="39"/>
  <c r="A341" i="39"/>
  <c r="AS339" i="39" l="1"/>
  <c r="M341" i="39"/>
  <c r="J341" i="39"/>
  <c r="L341" i="39"/>
  <c r="N341" i="39"/>
  <c r="I341" i="39"/>
  <c r="K341" i="39"/>
  <c r="G341" i="39"/>
  <c r="H341" i="39"/>
  <c r="W339" i="39"/>
  <c r="AR340" i="39"/>
  <c r="W340" i="39" s="1"/>
  <c r="AD340" i="39"/>
  <c r="Q340" i="39"/>
  <c r="O340" i="39"/>
  <c r="R340" i="39"/>
  <c r="F341" i="39"/>
  <c r="V341" i="39"/>
  <c r="AH340" i="39"/>
  <c r="AG340" i="39"/>
  <c r="AC340" i="39"/>
  <c r="AE340" i="39"/>
  <c r="AF340" i="39"/>
  <c r="U340" i="39"/>
  <c r="AB341" i="39"/>
  <c r="AA341" i="39"/>
  <c r="Z341" i="39"/>
  <c r="Y341" i="39"/>
  <c r="X341" i="39"/>
  <c r="E341" i="39"/>
  <c r="A342" i="39"/>
  <c r="D341" i="39"/>
  <c r="C341" i="39"/>
  <c r="B341" i="39"/>
  <c r="H342" i="39" l="1"/>
  <c r="M342" i="39"/>
  <c r="N342" i="39"/>
  <c r="K342" i="39"/>
  <c r="J342" i="39"/>
  <c r="L342" i="39"/>
  <c r="I342" i="39"/>
  <c r="G342" i="39"/>
  <c r="AS340" i="39"/>
  <c r="W341" i="39"/>
  <c r="Q341" i="39"/>
  <c r="O341" i="39"/>
  <c r="AR341" i="39"/>
  <c r="AS341" i="39" s="1"/>
  <c r="AD341" i="39"/>
  <c r="R341" i="39"/>
  <c r="AH341" i="39"/>
  <c r="AG341" i="39"/>
  <c r="AC341" i="39"/>
  <c r="AE341" i="39"/>
  <c r="AF341" i="39"/>
  <c r="F342" i="39"/>
  <c r="V342" i="39"/>
  <c r="U341" i="39"/>
  <c r="AA342" i="39"/>
  <c r="AB342" i="39"/>
  <c r="Y342" i="39"/>
  <c r="Z342" i="39"/>
  <c r="X342" i="39"/>
  <c r="E342" i="39"/>
  <c r="A343" i="39"/>
  <c r="D342" i="39"/>
  <c r="C342" i="39"/>
  <c r="B342" i="39"/>
  <c r="J343" i="39" l="1"/>
  <c r="N343" i="39"/>
  <c r="H343" i="39"/>
  <c r="L343" i="39"/>
  <c r="M343" i="39"/>
  <c r="G343" i="39"/>
  <c r="K343" i="39"/>
  <c r="I343" i="39"/>
  <c r="AR342" i="39"/>
  <c r="W342" i="39" s="1"/>
  <c r="AD342" i="39"/>
  <c r="Q342" i="39"/>
  <c r="O342" i="39"/>
  <c r="R342" i="39"/>
  <c r="F343" i="39"/>
  <c r="V343" i="39"/>
  <c r="U342" i="39"/>
  <c r="AG342" i="39"/>
  <c r="AF342" i="39"/>
  <c r="AH342" i="39"/>
  <c r="AE342" i="39"/>
  <c r="AC342" i="39"/>
  <c r="AB343" i="39"/>
  <c r="AA343" i="39"/>
  <c r="Z343" i="39"/>
  <c r="X343" i="39"/>
  <c r="Y343" i="39"/>
  <c r="E343" i="39"/>
  <c r="A344" i="39"/>
  <c r="D343" i="39"/>
  <c r="C343" i="39"/>
  <c r="B343" i="39"/>
  <c r="AS342" i="39" l="1"/>
  <c r="N344" i="39"/>
  <c r="K344" i="39"/>
  <c r="M344" i="39"/>
  <c r="J344" i="39"/>
  <c r="G344" i="39"/>
  <c r="L344" i="39"/>
  <c r="I344" i="39"/>
  <c r="H344" i="39"/>
  <c r="Q343" i="39"/>
  <c r="O343" i="39"/>
  <c r="AR343" i="39"/>
  <c r="AD343" i="39"/>
  <c r="R343" i="39"/>
  <c r="AH343" i="39"/>
  <c r="AF343" i="39"/>
  <c r="AG343" i="39"/>
  <c r="AE343" i="39"/>
  <c r="AC343" i="39"/>
  <c r="F344" i="39"/>
  <c r="V344" i="39"/>
  <c r="U343" i="39"/>
  <c r="AB344" i="39"/>
  <c r="AA344" i="39"/>
  <c r="Z344" i="39"/>
  <c r="Y344" i="39"/>
  <c r="X344" i="39"/>
  <c r="C344" i="39"/>
  <c r="B344" i="39"/>
  <c r="A345" i="39"/>
  <c r="E344" i="39"/>
  <c r="D344" i="39"/>
  <c r="AS343" i="39" l="1"/>
  <c r="W343" i="39"/>
  <c r="H345" i="39"/>
  <c r="N345" i="39"/>
  <c r="J345" i="39"/>
  <c r="K345" i="39"/>
  <c r="I345" i="39"/>
  <c r="L345" i="39"/>
  <c r="G345" i="39"/>
  <c r="M345" i="39"/>
  <c r="AR344" i="39"/>
  <c r="W344" i="39" s="1"/>
  <c r="AD344" i="39"/>
  <c r="O344" i="39"/>
  <c r="Q344" i="39"/>
  <c r="R344" i="39"/>
  <c r="AH344" i="39"/>
  <c r="AG344" i="39"/>
  <c r="AF344" i="39"/>
  <c r="AE344" i="39"/>
  <c r="AC344" i="39"/>
  <c r="F345" i="39"/>
  <c r="V345" i="39"/>
  <c r="U344" i="39"/>
  <c r="AB345" i="39"/>
  <c r="AA345" i="39"/>
  <c r="Z345" i="39"/>
  <c r="X345" i="39"/>
  <c r="Y345" i="39"/>
  <c r="E345" i="39"/>
  <c r="A346" i="39"/>
  <c r="D345" i="39"/>
  <c r="C345" i="39"/>
  <c r="B345" i="39"/>
  <c r="AS344" i="39" l="1"/>
  <c r="N346" i="39"/>
  <c r="K346" i="39"/>
  <c r="J346" i="39"/>
  <c r="M346" i="39"/>
  <c r="L346" i="39"/>
  <c r="H346" i="39"/>
  <c r="I346" i="39"/>
  <c r="G346" i="39"/>
  <c r="O345" i="39"/>
  <c r="Q345" i="39"/>
  <c r="AR345" i="39"/>
  <c r="W345" i="39" s="1"/>
  <c r="AD345" i="39"/>
  <c r="R345" i="39"/>
  <c r="AH345" i="39"/>
  <c r="AF345" i="39"/>
  <c r="AG345" i="39"/>
  <c r="AE345" i="39"/>
  <c r="AC345" i="39"/>
  <c r="F346" i="39"/>
  <c r="V346" i="39"/>
  <c r="U345" i="39"/>
  <c r="AA346" i="39"/>
  <c r="AB346" i="39"/>
  <c r="X346" i="39"/>
  <c r="Z346" i="39"/>
  <c r="Y346" i="39"/>
  <c r="E346" i="39"/>
  <c r="A347" i="39"/>
  <c r="D346" i="39"/>
  <c r="C346" i="39"/>
  <c r="B346" i="39"/>
  <c r="J347" i="39" l="1"/>
  <c r="I347" i="39"/>
  <c r="N347" i="39"/>
  <c r="K347" i="39"/>
  <c r="H347" i="39"/>
  <c r="L347" i="39"/>
  <c r="G347" i="39"/>
  <c r="M347" i="39"/>
  <c r="AS345" i="39"/>
  <c r="O346" i="39"/>
  <c r="Q346" i="39"/>
  <c r="AR346" i="39"/>
  <c r="W346" i="39" s="1"/>
  <c r="AD346" i="39"/>
  <c r="R346" i="39"/>
  <c r="AH346" i="39"/>
  <c r="AF346" i="39"/>
  <c r="AG346" i="39"/>
  <c r="AE346" i="39"/>
  <c r="AC346" i="39"/>
  <c r="F347" i="39"/>
  <c r="V347" i="39"/>
  <c r="U346" i="39"/>
  <c r="AB347" i="39"/>
  <c r="Z347" i="39"/>
  <c r="AA347" i="39"/>
  <c r="Y347" i="39"/>
  <c r="X347" i="39"/>
  <c r="E347" i="39"/>
  <c r="A348" i="39"/>
  <c r="D347" i="39"/>
  <c r="C347" i="39"/>
  <c r="B347" i="39"/>
  <c r="AS346" i="39" l="1"/>
  <c r="M348" i="39"/>
  <c r="N348" i="39"/>
  <c r="K348" i="39"/>
  <c r="H348" i="39"/>
  <c r="G348" i="39"/>
  <c r="I348" i="39"/>
  <c r="L348" i="39"/>
  <c r="J348" i="39"/>
  <c r="AR347" i="39"/>
  <c r="W347" i="39" s="1"/>
  <c r="AD347" i="39"/>
  <c r="Q347" i="39"/>
  <c r="O347" i="39"/>
  <c r="R347" i="39"/>
  <c r="U347" i="39"/>
  <c r="AH347" i="39"/>
  <c r="AE347" i="39"/>
  <c r="AG347" i="39"/>
  <c r="AF347" i="39"/>
  <c r="AC347" i="39"/>
  <c r="F348" i="39"/>
  <c r="V348" i="39"/>
  <c r="AB348" i="39"/>
  <c r="AA348" i="39"/>
  <c r="Y348" i="39"/>
  <c r="Z348" i="39"/>
  <c r="X348" i="39"/>
  <c r="C348" i="39"/>
  <c r="B348" i="39"/>
  <c r="E348" i="39"/>
  <c r="D348" i="39"/>
  <c r="A349" i="39"/>
  <c r="AS347" i="39" l="1"/>
  <c r="M349" i="39"/>
  <c r="H349" i="39"/>
  <c r="K349" i="39"/>
  <c r="I349" i="39"/>
  <c r="N349" i="39"/>
  <c r="L349" i="39"/>
  <c r="G349" i="39"/>
  <c r="J349" i="39"/>
  <c r="AR348" i="39"/>
  <c r="W348" i="39" s="1"/>
  <c r="AD348" i="39"/>
  <c r="Q348" i="39"/>
  <c r="O348" i="39"/>
  <c r="R348" i="39"/>
  <c r="F349" i="39"/>
  <c r="V349" i="39"/>
  <c r="U348" i="39"/>
  <c r="AF348" i="39"/>
  <c r="AE348" i="39"/>
  <c r="AG348" i="39"/>
  <c r="AH348" i="39"/>
  <c r="AC348" i="39"/>
  <c r="AB349" i="39"/>
  <c r="AA349" i="39"/>
  <c r="Z349" i="39"/>
  <c r="Y349" i="39"/>
  <c r="X349" i="39"/>
  <c r="E349" i="39"/>
  <c r="A350" i="39"/>
  <c r="D349" i="39"/>
  <c r="C349" i="39"/>
  <c r="B349" i="39"/>
  <c r="AS348" i="39" l="1"/>
  <c r="K350" i="39"/>
  <c r="H350" i="39"/>
  <c r="J350" i="39"/>
  <c r="M350" i="39"/>
  <c r="I350" i="39"/>
  <c r="G350" i="39"/>
  <c r="N350" i="39"/>
  <c r="L350" i="39"/>
  <c r="Q349" i="39"/>
  <c r="O349" i="39"/>
  <c r="AR349" i="39"/>
  <c r="AD349" i="39"/>
  <c r="R349" i="39"/>
  <c r="F350" i="39"/>
  <c r="V350" i="39"/>
  <c r="AH349" i="39"/>
  <c r="AF349" i="39"/>
  <c r="AG349" i="39"/>
  <c r="AE349" i="39"/>
  <c r="AC349" i="39"/>
  <c r="U349" i="39"/>
  <c r="AA350" i="39"/>
  <c r="AB350" i="39"/>
  <c r="Z350" i="39"/>
  <c r="X350" i="39"/>
  <c r="Y350" i="39"/>
  <c r="E350" i="39"/>
  <c r="A351" i="39"/>
  <c r="D350" i="39"/>
  <c r="C350" i="39"/>
  <c r="B350" i="39"/>
  <c r="AS349" i="39" l="1"/>
  <c r="W349" i="39"/>
  <c r="H351" i="39"/>
  <c r="J351" i="39"/>
  <c r="G351" i="39"/>
  <c r="K351" i="39"/>
  <c r="M351" i="39"/>
  <c r="L351" i="39"/>
  <c r="N351" i="39"/>
  <c r="I351" i="39"/>
  <c r="Q350" i="39"/>
  <c r="O350" i="39"/>
  <c r="AR350" i="39"/>
  <c r="W350" i="39" s="1"/>
  <c r="AD350" i="39"/>
  <c r="R350" i="39"/>
  <c r="AH350" i="39"/>
  <c r="AG350" i="39"/>
  <c r="AE350" i="39"/>
  <c r="AF350" i="39"/>
  <c r="AC350" i="39"/>
  <c r="F351" i="39"/>
  <c r="V351" i="39"/>
  <c r="U350" i="39"/>
  <c r="AB351" i="39"/>
  <c r="Z351" i="39"/>
  <c r="AA351" i="39"/>
  <c r="Y351" i="39"/>
  <c r="X351" i="39"/>
  <c r="E351" i="39"/>
  <c r="A352" i="39"/>
  <c r="D351" i="39"/>
  <c r="C351" i="39"/>
  <c r="B351" i="39"/>
  <c r="AS350" i="39" l="1"/>
  <c r="J352" i="39"/>
  <c r="L352" i="39"/>
  <c r="N352" i="39"/>
  <c r="I352" i="39"/>
  <c r="K352" i="39"/>
  <c r="G352" i="39"/>
  <c r="M352" i="39"/>
  <c r="H352" i="39"/>
  <c r="AR351" i="39"/>
  <c r="W351" i="39" s="1"/>
  <c r="AD351" i="39"/>
  <c r="Q351" i="39"/>
  <c r="O351" i="39"/>
  <c r="R351" i="39"/>
  <c r="AH351" i="39"/>
  <c r="AF351" i="39"/>
  <c r="AG351" i="39"/>
  <c r="AE351" i="39"/>
  <c r="AC351" i="39"/>
  <c r="F352" i="39"/>
  <c r="V352" i="39"/>
  <c r="U351" i="39"/>
  <c r="AB352" i="39"/>
  <c r="Z352" i="39"/>
  <c r="AA352" i="39"/>
  <c r="Y352" i="39"/>
  <c r="X352" i="39"/>
  <c r="C352" i="39"/>
  <c r="B352" i="39"/>
  <c r="A353" i="39"/>
  <c r="E352" i="39"/>
  <c r="D352" i="39"/>
  <c r="AS351" i="39" l="1"/>
  <c r="N353" i="39"/>
  <c r="M353" i="39"/>
  <c r="K353" i="39"/>
  <c r="H353" i="39"/>
  <c r="I353" i="39"/>
  <c r="J353" i="39"/>
  <c r="L353" i="39"/>
  <c r="G353" i="39"/>
  <c r="AR352" i="39"/>
  <c r="W352" i="39" s="1"/>
  <c r="AD352" i="39"/>
  <c r="Q352" i="39"/>
  <c r="O352" i="39"/>
  <c r="R352" i="39"/>
  <c r="AH352" i="39"/>
  <c r="AG352" i="39"/>
  <c r="AC352" i="39"/>
  <c r="AE352" i="39"/>
  <c r="AF352" i="39"/>
  <c r="F353" i="39"/>
  <c r="V353" i="39"/>
  <c r="U352" i="39"/>
  <c r="AB353" i="39"/>
  <c r="Z353" i="39"/>
  <c r="Y353" i="39"/>
  <c r="AA353" i="39"/>
  <c r="X353" i="39"/>
  <c r="E353" i="39"/>
  <c r="A354" i="39"/>
  <c r="D353" i="39"/>
  <c r="C353" i="39"/>
  <c r="B353" i="39"/>
  <c r="AS352" i="39" l="1"/>
  <c r="M354" i="39"/>
  <c r="L354" i="39"/>
  <c r="J354" i="39"/>
  <c r="N354" i="39"/>
  <c r="K354" i="39"/>
  <c r="H354" i="39"/>
  <c r="I354" i="39"/>
  <c r="G354" i="39"/>
  <c r="Q353" i="39"/>
  <c r="O353" i="39"/>
  <c r="AR353" i="39"/>
  <c r="AS353" i="39" s="1"/>
  <c r="AD353" i="39"/>
  <c r="R353" i="39"/>
  <c r="AH353" i="39"/>
  <c r="AG353" i="39"/>
  <c r="AC353" i="39"/>
  <c r="AE353" i="39"/>
  <c r="AF353" i="39"/>
  <c r="F354" i="39"/>
  <c r="V354" i="39"/>
  <c r="U353" i="39"/>
  <c r="AB354" i="39"/>
  <c r="Z354" i="39"/>
  <c r="Y354" i="39"/>
  <c r="AA354" i="39"/>
  <c r="X354" i="39"/>
  <c r="E354" i="39"/>
  <c r="A355" i="39"/>
  <c r="D354" i="39"/>
  <c r="C354" i="39"/>
  <c r="B354" i="39"/>
  <c r="W353" i="39" l="1"/>
  <c r="N355" i="39"/>
  <c r="G355" i="39"/>
  <c r="K355" i="39"/>
  <c r="H355" i="39"/>
  <c r="J355" i="39"/>
  <c r="I355" i="39"/>
  <c r="L355" i="39"/>
  <c r="M355" i="39"/>
  <c r="Q354" i="39"/>
  <c r="O354" i="39"/>
  <c r="AR354" i="39"/>
  <c r="AS354" i="39" s="1"/>
  <c r="AD354" i="39"/>
  <c r="R354" i="39"/>
  <c r="AG354" i="39"/>
  <c r="AF354" i="39"/>
  <c r="AH354" i="39"/>
  <c r="AE354" i="39"/>
  <c r="AC354" i="39"/>
  <c r="F355" i="39"/>
  <c r="V355" i="39"/>
  <c r="U354" i="39"/>
  <c r="AB355" i="39"/>
  <c r="AA355" i="39"/>
  <c r="Z355" i="39"/>
  <c r="Y355" i="39"/>
  <c r="X355" i="39"/>
  <c r="E355" i="39"/>
  <c r="A356" i="39"/>
  <c r="D355" i="39"/>
  <c r="C355" i="39"/>
  <c r="B355" i="39"/>
  <c r="W354" i="39" l="1"/>
  <c r="I356" i="39"/>
  <c r="N356" i="39"/>
  <c r="H356" i="39"/>
  <c r="M356" i="39"/>
  <c r="G356" i="39"/>
  <c r="L356" i="39"/>
  <c r="J356" i="39"/>
  <c r="K356" i="39"/>
  <c r="AR355" i="39"/>
  <c r="W355" i="39" s="1"/>
  <c r="AD355" i="39"/>
  <c r="Q355" i="39"/>
  <c r="O355" i="39"/>
  <c r="R355" i="39"/>
  <c r="AH355" i="39"/>
  <c r="AE355" i="39"/>
  <c r="AG355" i="39"/>
  <c r="AF355" i="39"/>
  <c r="AC355" i="39"/>
  <c r="F356" i="39"/>
  <c r="V356" i="39"/>
  <c r="U355" i="39"/>
  <c r="AA356" i="39"/>
  <c r="AB356" i="39"/>
  <c r="Z356" i="39"/>
  <c r="Y356" i="39"/>
  <c r="X356" i="39"/>
  <c r="C356" i="39"/>
  <c r="B356" i="39"/>
  <c r="E356" i="39"/>
  <c r="D356" i="39"/>
  <c r="A357" i="39"/>
  <c r="AS355" i="39" l="1"/>
  <c r="M357" i="39"/>
  <c r="I357" i="39"/>
  <c r="L357" i="39"/>
  <c r="H357" i="39"/>
  <c r="K357" i="39"/>
  <c r="G357" i="39"/>
  <c r="J357" i="39"/>
  <c r="N357" i="39"/>
  <c r="AR356" i="39"/>
  <c r="W356" i="39" s="1"/>
  <c r="AD356" i="39"/>
  <c r="O356" i="39"/>
  <c r="Q356" i="39"/>
  <c r="R356" i="39"/>
  <c r="AH356" i="39"/>
  <c r="AG356" i="39"/>
  <c r="AE356" i="39"/>
  <c r="AF356" i="39"/>
  <c r="AC356" i="39"/>
  <c r="F357" i="39"/>
  <c r="V357" i="39"/>
  <c r="U356" i="39"/>
  <c r="AA357" i="39"/>
  <c r="AB357" i="39"/>
  <c r="Z357" i="39"/>
  <c r="Y357" i="39"/>
  <c r="X357" i="39"/>
  <c r="E357" i="39"/>
  <c r="A358" i="39"/>
  <c r="D357" i="39"/>
  <c r="C357" i="39"/>
  <c r="B357" i="39"/>
  <c r="AS356" i="39" l="1"/>
  <c r="K358" i="39"/>
  <c r="N358" i="39"/>
  <c r="I358" i="39"/>
  <c r="G358" i="39"/>
  <c r="J358" i="39"/>
  <c r="L358" i="39"/>
  <c r="H358" i="39"/>
  <c r="M358" i="39"/>
  <c r="AR357" i="39"/>
  <c r="W357" i="39" s="1"/>
  <c r="AD357" i="39"/>
  <c r="O357" i="39"/>
  <c r="Q357" i="39"/>
  <c r="R357" i="39"/>
  <c r="F358" i="39"/>
  <c r="V358" i="39"/>
  <c r="AH357" i="39"/>
  <c r="AE357" i="39"/>
  <c r="AG357" i="39"/>
  <c r="AF357" i="39"/>
  <c r="AC357" i="39"/>
  <c r="U357" i="39"/>
  <c r="AA358" i="39"/>
  <c r="AB358" i="39"/>
  <c r="X358" i="39"/>
  <c r="Y358" i="39"/>
  <c r="Z358" i="39"/>
  <c r="E358" i="39"/>
  <c r="A359" i="39"/>
  <c r="D358" i="39"/>
  <c r="C358" i="39"/>
  <c r="B358" i="39"/>
  <c r="AS357" i="39" l="1"/>
  <c r="K359" i="39"/>
  <c r="M359" i="39"/>
  <c r="I359" i="39"/>
  <c r="N359" i="39"/>
  <c r="J359" i="39"/>
  <c r="G359" i="39"/>
  <c r="L359" i="39"/>
  <c r="H359" i="39"/>
  <c r="AR358" i="39"/>
  <c r="W358" i="39" s="1"/>
  <c r="AD358" i="39"/>
  <c r="O358" i="39"/>
  <c r="Q358" i="39"/>
  <c r="R358" i="39"/>
  <c r="F359" i="39"/>
  <c r="V359" i="39"/>
  <c r="AH358" i="39"/>
  <c r="AE358" i="39"/>
  <c r="AG358" i="39"/>
  <c r="AF358" i="39"/>
  <c r="AC358" i="39"/>
  <c r="U358" i="39"/>
  <c r="AA359" i="39"/>
  <c r="Z359" i="39"/>
  <c r="AB359" i="39"/>
  <c r="Y359" i="39"/>
  <c r="X359" i="39"/>
  <c r="E359" i="39"/>
  <c r="A360" i="39"/>
  <c r="D359" i="39"/>
  <c r="C359" i="39"/>
  <c r="B359" i="39"/>
  <c r="AS358" i="39" l="1"/>
  <c r="K360" i="39"/>
  <c r="G360" i="39"/>
  <c r="H360" i="39"/>
  <c r="L360" i="39"/>
  <c r="M360" i="39"/>
  <c r="J360" i="39"/>
  <c r="N360" i="39"/>
  <c r="I360" i="39"/>
  <c r="Q359" i="39"/>
  <c r="O359" i="39"/>
  <c r="AR359" i="39"/>
  <c r="AD359" i="39"/>
  <c r="R359" i="39"/>
  <c r="AH359" i="39"/>
  <c r="AE359" i="39"/>
  <c r="AG359" i="39"/>
  <c r="AF359" i="39"/>
  <c r="AC359" i="39"/>
  <c r="F360" i="39"/>
  <c r="V360" i="39"/>
  <c r="U359" i="39"/>
  <c r="AB360" i="39"/>
  <c r="AA360" i="39"/>
  <c r="Z360" i="39"/>
  <c r="Y360" i="39"/>
  <c r="X360" i="39"/>
  <c r="C360" i="39"/>
  <c r="B360" i="39"/>
  <c r="A361" i="39"/>
  <c r="E360" i="39"/>
  <c r="D360" i="39"/>
  <c r="AS359" i="39" l="1"/>
  <c r="W359" i="39"/>
  <c r="K361" i="39"/>
  <c r="L361" i="39"/>
  <c r="M361" i="39"/>
  <c r="G361" i="39"/>
  <c r="I361" i="39"/>
  <c r="J361" i="39"/>
  <c r="N361" i="39"/>
  <c r="H361" i="39"/>
  <c r="AR360" i="39"/>
  <c r="AD360" i="39"/>
  <c r="Q360" i="39"/>
  <c r="O360" i="39"/>
  <c r="R360" i="39"/>
  <c r="F361" i="39"/>
  <c r="V361" i="39"/>
  <c r="U360" i="39"/>
  <c r="AF360" i="39"/>
  <c r="AH360" i="39"/>
  <c r="AE360" i="39"/>
  <c r="AG360" i="39"/>
  <c r="AC360" i="39"/>
  <c r="AA361" i="39"/>
  <c r="AB361" i="39"/>
  <c r="Z361" i="39"/>
  <c r="Y361" i="39"/>
  <c r="X361" i="39"/>
  <c r="E361" i="39"/>
  <c r="A362" i="39"/>
  <c r="D361" i="39"/>
  <c r="C361" i="39"/>
  <c r="B361" i="39"/>
  <c r="AS360" i="39" l="1"/>
  <c r="W360" i="39"/>
  <c r="L362" i="39"/>
  <c r="G362" i="39"/>
  <c r="M362" i="39"/>
  <c r="I362" i="39"/>
  <c r="J362" i="39"/>
  <c r="H362" i="39"/>
  <c r="N362" i="39"/>
  <c r="K362" i="39"/>
  <c r="Q361" i="39"/>
  <c r="O361" i="39"/>
  <c r="AR361" i="39"/>
  <c r="W361" i="39" s="1"/>
  <c r="AD361" i="39"/>
  <c r="R361" i="39"/>
  <c r="AH361" i="39"/>
  <c r="AF361" i="39"/>
  <c r="AS361" i="39"/>
  <c r="AE361" i="39"/>
  <c r="AG361" i="39"/>
  <c r="AC361" i="39"/>
  <c r="F362" i="39"/>
  <c r="V362" i="39"/>
  <c r="U361" i="39"/>
  <c r="AB362" i="39"/>
  <c r="AA362" i="39"/>
  <c r="Z362" i="39"/>
  <c r="X362" i="39"/>
  <c r="Y362" i="39"/>
  <c r="E362" i="39"/>
  <c r="A363" i="39"/>
  <c r="D362" i="39"/>
  <c r="C362" i="39"/>
  <c r="B362" i="39"/>
  <c r="K363" i="39" l="1"/>
  <c r="H363" i="39"/>
  <c r="I363" i="39"/>
  <c r="M363" i="39"/>
  <c r="N363" i="39"/>
  <c r="L363" i="39"/>
  <c r="G363" i="39"/>
  <c r="J363" i="39"/>
  <c r="Q362" i="39"/>
  <c r="O362" i="39"/>
  <c r="AR362" i="39"/>
  <c r="AD362" i="39"/>
  <c r="R362" i="39"/>
  <c r="AH362" i="39"/>
  <c r="AG362" i="39"/>
  <c r="AF362" i="39"/>
  <c r="AE362" i="39"/>
  <c r="AC362" i="39"/>
  <c r="F363" i="39"/>
  <c r="V363" i="39"/>
  <c r="U362" i="39"/>
  <c r="AB363" i="39"/>
  <c r="AA363" i="39"/>
  <c r="Z363" i="39"/>
  <c r="Y363" i="39"/>
  <c r="X363" i="39"/>
  <c r="E363" i="39"/>
  <c r="A364" i="39"/>
  <c r="D363" i="39"/>
  <c r="C363" i="39"/>
  <c r="B363" i="39"/>
  <c r="AS362" i="39" l="1"/>
  <c r="W362" i="39"/>
  <c r="L364" i="39"/>
  <c r="J364" i="39"/>
  <c r="G364" i="39"/>
  <c r="K364" i="39"/>
  <c r="H364" i="39"/>
  <c r="N364" i="39"/>
  <c r="M364" i="39"/>
  <c r="I364" i="39"/>
  <c r="AR363" i="39"/>
  <c r="W363" i="39" s="1"/>
  <c r="AD363" i="39"/>
  <c r="Q363" i="39"/>
  <c r="O363" i="39"/>
  <c r="R363" i="39"/>
  <c r="AH363" i="39"/>
  <c r="AF363" i="39"/>
  <c r="AG363" i="39"/>
  <c r="AE363" i="39"/>
  <c r="AC363" i="39"/>
  <c r="F364" i="39"/>
  <c r="V364" i="39"/>
  <c r="U363" i="39"/>
  <c r="AB364" i="39"/>
  <c r="AA364" i="39"/>
  <c r="Z364" i="39"/>
  <c r="Y364" i="39"/>
  <c r="X364" i="39"/>
  <c r="C364" i="39"/>
  <c r="B364" i="39"/>
  <c r="E364" i="39"/>
  <c r="D364" i="39"/>
  <c r="A365" i="39"/>
  <c r="AS363" i="39" l="1"/>
  <c r="J365" i="39"/>
  <c r="I365" i="39"/>
  <c r="K365" i="39"/>
  <c r="H365" i="39"/>
  <c r="M365" i="39"/>
  <c r="G365" i="39"/>
  <c r="L365" i="39"/>
  <c r="N365" i="39"/>
  <c r="AR364" i="39"/>
  <c r="W364" i="39" s="1"/>
  <c r="AD364" i="39"/>
  <c r="Q364" i="39"/>
  <c r="O364" i="39"/>
  <c r="R364" i="39"/>
  <c r="AH364" i="39"/>
  <c r="AG364" i="39"/>
  <c r="AE364" i="39"/>
  <c r="AC364" i="39"/>
  <c r="AF364" i="39"/>
  <c r="U364" i="39"/>
  <c r="F365" i="39"/>
  <c r="V365" i="39"/>
  <c r="AB365" i="39"/>
  <c r="AA365" i="39"/>
  <c r="Z365" i="39"/>
  <c r="X365" i="39"/>
  <c r="Y365" i="39"/>
  <c r="E365" i="39"/>
  <c r="A366" i="39"/>
  <c r="D365" i="39"/>
  <c r="C365" i="39"/>
  <c r="B365" i="39"/>
  <c r="AS364" i="39" l="1"/>
  <c r="N366" i="39"/>
  <c r="H366" i="39"/>
  <c r="L366" i="39"/>
  <c r="M366" i="39"/>
  <c r="K366" i="39"/>
  <c r="I366" i="39"/>
  <c r="G366" i="39"/>
  <c r="J366" i="39"/>
  <c r="AR365" i="39"/>
  <c r="W365" i="39" s="1"/>
  <c r="AD365" i="39"/>
  <c r="Q365" i="39"/>
  <c r="O365" i="39"/>
  <c r="R365" i="39"/>
  <c r="AH365" i="39"/>
  <c r="AG365" i="39"/>
  <c r="AE365" i="39"/>
  <c r="AC365" i="39"/>
  <c r="AF365" i="39"/>
  <c r="F366" i="39"/>
  <c r="V366" i="39"/>
  <c r="U365" i="39"/>
  <c r="AB366" i="39"/>
  <c r="Z366" i="39"/>
  <c r="AA366" i="39"/>
  <c r="X366" i="39"/>
  <c r="Y366" i="39"/>
  <c r="E366" i="39"/>
  <c r="A367" i="39"/>
  <c r="D366" i="39"/>
  <c r="C366" i="39"/>
  <c r="B366" i="39"/>
  <c r="AS365" i="39" l="1"/>
  <c r="N367" i="39"/>
  <c r="K367" i="39"/>
  <c r="J367" i="39"/>
  <c r="H367" i="39"/>
  <c r="L367" i="39"/>
  <c r="M367" i="39"/>
  <c r="G367" i="39"/>
  <c r="I367" i="39"/>
  <c r="Q366" i="39"/>
  <c r="O366" i="39"/>
  <c r="AR366" i="39"/>
  <c r="AD366" i="39"/>
  <c r="R366" i="39"/>
  <c r="AG366" i="39"/>
  <c r="AH366" i="39"/>
  <c r="AF366" i="39"/>
  <c r="AE366" i="39"/>
  <c r="AC366" i="39"/>
  <c r="F367" i="39"/>
  <c r="V367" i="39"/>
  <c r="U366" i="39"/>
  <c r="AB367" i="39"/>
  <c r="AA367" i="39"/>
  <c r="Z367" i="39"/>
  <c r="Y367" i="39"/>
  <c r="X367" i="39"/>
  <c r="E367" i="39"/>
  <c r="A368" i="39"/>
  <c r="D367" i="39"/>
  <c r="C367" i="39"/>
  <c r="B367" i="39"/>
  <c r="AS366" i="39" l="1"/>
  <c r="W366" i="39"/>
  <c r="H368" i="39"/>
  <c r="J368" i="39"/>
  <c r="I368" i="39"/>
  <c r="N368" i="39"/>
  <c r="G368" i="39"/>
  <c r="M368" i="39"/>
  <c r="K368" i="39"/>
  <c r="L368" i="39"/>
  <c r="AR367" i="39"/>
  <c r="W367" i="39" s="1"/>
  <c r="AD367" i="39"/>
  <c r="Q367" i="39"/>
  <c r="O367" i="39"/>
  <c r="R367" i="39"/>
  <c r="AH367" i="39"/>
  <c r="AE367" i="39"/>
  <c r="AF367" i="39"/>
  <c r="AG367" i="39"/>
  <c r="AC367" i="39"/>
  <c r="F368" i="39"/>
  <c r="V368" i="39"/>
  <c r="U367" i="39"/>
  <c r="AB368" i="39"/>
  <c r="AA368" i="39"/>
  <c r="Y368" i="39"/>
  <c r="Z368" i="39"/>
  <c r="X368" i="39"/>
  <c r="C368" i="39"/>
  <c r="B368" i="39"/>
  <c r="A369" i="39"/>
  <c r="E368" i="39"/>
  <c r="D368" i="39"/>
  <c r="AS367" i="39" l="1"/>
  <c r="C11" i="9"/>
  <c r="E11" i="9" s="1"/>
  <c r="K369" i="39"/>
  <c r="G369" i="39"/>
  <c r="M369" i="39"/>
  <c r="H369" i="39"/>
  <c r="J369" i="39"/>
  <c r="N369" i="39"/>
  <c r="L369" i="39"/>
  <c r="I369" i="39"/>
  <c r="AR368" i="39"/>
  <c r="W368" i="39" s="1"/>
  <c r="AD368" i="39"/>
  <c r="Q368" i="39"/>
  <c r="O368" i="39"/>
  <c r="R368" i="39"/>
  <c r="F369" i="39"/>
  <c r="L10" i="7"/>
  <c r="C10" i="7"/>
  <c r="C26" i="9"/>
  <c r="E26" i="9" s="1"/>
  <c r="C17" i="9"/>
  <c r="E17" i="9" s="1"/>
  <c r="C14" i="9"/>
  <c r="E14" i="9" s="1"/>
  <c r="V369" i="39"/>
  <c r="AH368" i="39"/>
  <c r="AG368" i="39"/>
  <c r="AE368" i="39"/>
  <c r="AF368" i="39"/>
  <c r="AC368" i="39"/>
  <c r="AS368" i="39"/>
  <c r="U368" i="39"/>
  <c r="AB369" i="39"/>
  <c r="Z2" i="40" s="1"/>
  <c r="AA369" i="39"/>
  <c r="Z369" i="39"/>
  <c r="Y369" i="39"/>
  <c r="X369" i="39"/>
  <c r="E369" i="39"/>
  <c r="D369" i="39"/>
  <c r="AD369" i="39" s="1"/>
  <c r="E10" i="7" s="1"/>
  <c r="C369" i="39"/>
  <c r="B369" i="39"/>
  <c r="Q89" i="39" l="1"/>
  <c r="R89" i="39"/>
  <c r="J4" i="8" s="1"/>
  <c r="R66" i="39"/>
  <c r="Q66" i="39"/>
  <c r="Q369" i="39"/>
  <c r="O369" i="39"/>
  <c r="R369" i="39"/>
  <c r="Z12" i="40"/>
  <c r="Z5" i="40"/>
  <c r="Z21" i="40"/>
  <c r="Z14" i="40"/>
  <c r="Z7" i="40"/>
  <c r="Z23" i="40"/>
  <c r="Z16" i="40"/>
  <c r="Z9" i="40"/>
  <c r="Z25" i="40"/>
  <c r="Z18" i="40"/>
  <c r="Z11" i="40"/>
  <c r="Z4" i="40"/>
  <c r="Z20" i="40"/>
  <c r="Z13" i="40"/>
  <c r="Z6" i="40"/>
  <c r="Z22" i="40"/>
  <c r="Z15" i="40"/>
  <c r="Z8" i="40"/>
  <c r="Z24" i="40"/>
  <c r="Z17" i="40"/>
  <c r="Z10" i="40"/>
  <c r="Z3" i="40"/>
  <c r="Z19" i="40"/>
  <c r="AR369" i="39"/>
  <c r="W369" i="39" s="1"/>
  <c r="AM12" i="40"/>
  <c r="AM8" i="40"/>
  <c r="AM9" i="40"/>
  <c r="AM3" i="40"/>
  <c r="AM6" i="40"/>
  <c r="AM4" i="40"/>
  <c r="AM13" i="40"/>
  <c r="AM7" i="40"/>
  <c r="AM5" i="40"/>
  <c r="AM11" i="40"/>
  <c r="AM10" i="40"/>
  <c r="AM17" i="40"/>
  <c r="AM16" i="40"/>
  <c r="AM15" i="40"/>
  <c r="AM2" i="40"/>
  <c r="AM18" i="40"/>
  <c r="AM19" i="40"/>
  <c r="AM20" i="40"/>
  <c r="AM21" i="40"/>
  <c r="AM22" i="40"/>
  <c r="AM23" i="40"/>
  <c r="AM24" i="40"/>
  <c r="AH369" i="39"/>
  <c r="AG369" i="39"/>
  <c r="AS369" i="39"/>
  <c r="AE369" i="39"/>
  <c r="AF369" i="39"/>
  <c r="AC369" i="39"/>
  <c r="O4" i="7"/>
  <c r="M10" i="7"/>
  <c r="G10" i="7"/>
  <c r="U369" i="39"/>
  <c r="D4" i="8"/>
  <c r="D16" i="9" s="1"/>
  <c r="D4" i="7"/>
  <c r="D15" i="9" s="1"/>
  <c r="D10" i="7"/>
  <c r="Q14" i="40"/>
  <c r="U14" i="40" s="1"/>
  <c r="V14" i="40" s="1"/>
  <c r="Q15" i="40"/>
  <c r="Q16" i="40"/>
  <c r="Q17" i="40"/>
  <c r="Q18" i="40"/>
  <c r="Q19" i="40"/>
  <c r="Q20" i="40"/>
  <c r="Q21" i="40"/>
  <c r="Q22" i="40"/>
  <c r="Q23" i="40"/>
  <c r="Q24" i="40"/>
  <c r="Q25" i="40"/>
  <c r="F4" i="8"/>
  <c r="H4" i="8" s="1"/>
  <c r="F4" i="7"/>
  <c r="H4" i="7" s="1"/>
  <c r="F10" i="7"/>
  <c r="H10" i="7" s="1"/>
  <c r="L4" i="8"/>
  <c r="D22" i="9" s="1"/>
  <c r="E22" i="9" s="1"/>
  <c r="L4" i="7"/>
  <c r="D21" i="9" s="1"/>
  <c r="E21" i="9" s="1"/>
  <c r="Q2" i="40"/>
  <c r="Q6" i="40"/>
  <c r="R6" i="40" s="1"/>
  <c r="Q12" i="40"/>
  <c r="R12" i="40" s="1"/>
  <c r="Q7" i="40"/>
  <c r="R7" i="40" s="1"/>
  <c r="Q10" i="40"/>
  <c r="R10" i="40" s="1"/>
  <c r="Q11" i="40"/>
  <c r="R11" i="40" s="1"/>
  <c r="Q9" i="40"/>
  <c r="R9" i="40" s="1"/>
  <c r="Q5" i="40"/>
  <c r="R5" i="40" s="1"/>
  <c r="Q3" i="40"/>
  <c r="R3" i="40" s="1"/>
  <c r="Q8" i="40"/>
  <c r="R8" i="40" s="1"/>
  <c r="Q4" i="40"/>
  <c r="R4" i="40" s="1"/>
  <c r="Q13" i="40"/>
  <c r="D23" i="9" l="1"/>
  <c r="E23" i="9" s="1"/>
  <c r="J10" i="7"/>
  <c r="AM14" i="40"/>
  <c r="AM25" i="40"/>
  <c r="AN10" i="40"/>
  <c r="AN11" i="40"/>
  <c r="AN12" i="40"/>
  <c r="AN4" i="40"/>
  <c r="AN5" i="40"/>
  <c r="AN6" i="40"/>
  <c r="AN3" i="40"/>
  <c r="AN7" i="40"/>
  <c r="AN2" i="40"/>
  <c r="AN8" i="40"/>
  <c r="AN13" i="40"/>
  <c r="AN9" i="40"/>
  <c r="R2" i="40"/>
  <c r="S4" i="40" s="1"/>
  <c r="AA14" i="40"/>
  <c r="R13" i="40"/>
  <c r="N4" i="8"/>
  <c r="D19" i="9" s="1"/>
  <c r="D28" i="9"/>
  <c r="D13" i="9"/>
  <c r="R18" i="40"/>
  <c r="U18" i="40"/>
  <c r="X18" i="40" s="1"/>
  <c r="R25" i="40"/>
  <c r="U25" i="40"/>
  <c r="X25" i="40" s="1"/>
  <c r="R17" i="40"/>
  <c r="U17" i="40"/>
  <c r="X17" i="40" s="1"/>
  <c r="R24" i="40"/>
  <c r="U24" i="40"/>
  <c r="X24" i="40" s="1"/>
  <c r="U16" i="40"/>
  <c r="X16" i="40" s="1"/>
  <c r="R16" i="40"/>
  <c r="AA16" i="40"/>
  <c r="R23" i="40"/>
  <c r="U23" i="40"/>
  <c r="X23" i="40" s="1"/>
  <c r="R15" i="40"/>
  <c r="U15" i="40"/>
  <c r="X15" i="40" s="1"/>
  <c r="X14" i="40"/>
  <c r="R14" i="40"/>
  <c r="R22" i="40"/>
  <c r="U22" i="40"/>
  <c r="X22" i="40" s="1"/>
  <c r="R21" i="40"/>
  <c r="U21" i="40"/>
  <c r="X21" i="40" s="1"/>
  <c r="N10" i="7"/>
  <c r="R20" i="40"/>
  <c r="U20" i="40"/>
  <c r="X20" i="40" s="1"/>
  <c r="N4" i="7"/>
  <c r="D18" i="9" s="1"/>
  <c r="E18" i="9" s="1"/>
  <c r="D12" i="9"/>
  <c r="R19" i="40"/>
  <c r="U19" i="40"/>
  <c r="X19" i="40" s="1"/>
  <c r="D25" i="9"/>
  <c r="E25" i="9" s="1"/>
  <c r="J4" i="7"/>
  <c r="D24" i="9" s="1"/>
  <c r="E24" i="9" s="1"/>
  <c r="U4" i="40"/>
  <c r="X4" i="40" s="1"/>
  <c r="U8" i="40"/>
  <c r="X8" i="40" s="1"/>
  <c r="U3" i="40"/>
  <c r="X3" i="40" s="1"/>
  <c r="U5" i="40"/>
  <c r="X5" i="40" s="1"/>
  <c r="U9" i="40"/>
  <c r="X9" i="40" s="1"/>
  <c r="U11" i="40"/>
  <c r="X11" i="40" s="1"/>
  <c r="U10" i="40"/>
  <c r="X10" i="40" s="1"/>
  <c r="U7" i="40"/>
  <c r="X7" i="40" s="1"/>
  <c r="U12" i="40"/>
  <c r="X12" i="40" s="1"/>
  <c r="U6" i="40"/>
  <c r="X6" i="40" s="1"/>
  <c r="U2" i="40"/>
  <c r="X2" i="40" s="1"/>
  <c r="D27" i="9"/>
  <c r="U13" i="40"/>
  <c r="X13" i="40" s="1"/>
  <c r="C4" i="7" l="1"/>
  <c r="C15" i="9" s="1"/>
  <c r="E15" i="9" s="1"/>
  <c r="AN21" i="40"/>
  <c r="H11" i="9"/>
  <c r="S10" i="40"/>
  <c r="AN20" i="40"/>
  <c r="AN19" i="40"/>
  <c r="AN18" i="40"/>
  <c r="AN24" i="40"/>
  <c r="AN23" i="40"/>
  <c r="AN25" i="40"/>
  <c r="S9" i="40"/>
  <c r="S2" i="40"/>
  <c r="AN22" i="40"/>
  <c r="S7" i="40"/>
  <c r="S5" i="40"/>
  <c r="S8" i="40"/>
  <c r="S13" i="40"/>
  <c r="S3" i="40"/>
  <c r="S11" i="40"/>
  <c r="AN17" i="40"/>
  <c r="AN16" i="40"/>
  <c r="AN14" i="40"/>
  <c r="AN15" i="40"/>
  <c r="S12" i="40"/>
  <c r="S6" i="40"/>
  <c r="AA21" i="40"/>
  <c r="AA20" i="40"/>
  <c r="AA19" i="40"/>
  <c r="AA18" i="40"/>
  <c r="AA17" i="40"/>
  <c r="AA15" i="40"/>
  <c r="AA25" i="40"/>
  <c r="AA23" i="40"/>
  <c r="AA24" i="40"/>
  <c r="AA22" i="40"/>
  <c r="AA4" i="40"/>
  <c r="AA11" i="40"/>
  <c r="AA12" i="40"/>
  <c r="AA13" i="40"/>
  <c r="AA2" i="40"/>
  <c r="AA3" i="40"/>
  <c r="AA5" i="40"/>
  <c r="AA6" i="40"/>
  <c r="AA7" i="40"/>
  <c r="AA8" i="40"/>
  <c r="AA9" i="40"/>
  <c r="AA10" i="40"/>
  <c r="S20" i="40"/>
  <c r="S14" i="40"/>
  <c r="S25" i="40"/>
  <c r="S18" i="40"/>
  <c r="S21" i="40"/>
  <c r="S15" i="40"/>
  <c r="S16" i="40"/>
  <c r="S22" i="40"/>
  <c r="S24" i="40"/>
  <c r="S19" i="40"/>
  <c r="S17" i="40"/>
  <c r="S23" i="40"/>
  <c r="V21" i="40"/>
  <c r="Y21" i="40" s="1"/>
  <c r="V19" i="40"/>
  <c r="Y19" i="40" s="1"/>
  <c r="V25" i="40"/>
  <c r="Y25" i="40" s="1"/>
  <c r="V16" i="40"/>
  <c r="Y16" i="40" s="1"/>
  <c r="V18" i="40"/>
  <c r="Y18" i="40" s="1"/>
  <c r="V15" i="40"/>
  <c r="Y15" i="40" s="1"/>
  <c r="V17" i="40"/>
  <c r="Y17" i="40" s="1"/>
  <c r="V22" i="40"/>
  <c r="Y22" i="40" s="1"/>
  <c r="V24" i="40"/>
  <c r="Y24" i="40" s="1"/>
  <c r="V23" i="40"/>
  <c r="Y23" i="40" s="1"/>
  <c r="V20" i="40"/>
  <c r="Y20" i="40" s="1"/>
  <c r="V12" i="40"/>
  <c r="Y12" i="40" s="1"/>
  <c r="V13" i="40"/>
  <c r="Y13" i="40" s="1"/>
  <c r="G4" i="7"/>
  <c r="C27" i="9" s="1"/>
  <c r="E27" i="9" s="1"/>
  <c r="E4" i="7"/>
  <c r="C12" i="9" s="1"/>
  <c r="V6" i="40"/>
  <c r="Y6" i="40" s="1"/>
  <c r="V4" i="40"/>
  <c r="Y4" i="40" s="1"/>
  <c r="V10" i="40"/>
  <c r="Y10" i="40" s="1"/>
  <c r="V3" i="40"/>
  <c r="Y3" i="40" s="1"/>
  <c r="V5" i="40"/>
  <c r="Y5" i="40" s="1"/>
  <c r="V2" i="40"/>
  <c r="Y2" i="40" s="1"/>
  <c r="V7" i="40"/>
  <c r="Y7" i="40" s="1"/>
  <c r="V11" i="40"/>
  <c r="Y11" i="40" s="1"/>
  <c r="V8" i="40"/>
  <c r="Y8" i="40" s="1"/>
  <c r="V9" i="40"/>
  <c r="Y9" i="40" s="1"/>
  <c r="C44" i="9" l="1"/>
  <c r="E44" i="9" s="1"/>
  <c r="C45" i="9"/>
  <c r="E45" i="9" s="1"/>
  <c r="C46" i="9"/>
  <c r="E46" i="9" s="1"/>
  <c r="C4" i="8"/>
  <c r="C16" i="9" s="1"/>
  <c r="E16" i="9" s="1"/>
  <c r="I11" i="9"/>
  <c r="Y14" i="40"/>
  <c r="G4" i="8" s="1"/>
  <c r="C28" i="9" s="1"/>
  <c r="E28" i="9" s="1"/>
  <c r="E4" i="8"/>
  <c r="C19" i="9"/>
  <c r="E19" i="9" s="1"/>
  <c r="C42" i="9"/>
  <c r="E42" i="9" s="1"/>
  <c r="C39" i="9"/>
  <c r="C41" i="9"/>
  <c r="E41" i="9" s="1"/>
  <c r="C43" i="9"/>
  <c r="E43" i="9" s="1"/>
  <c r="C40" i="9"/>
  <c r="E40" i="9" s="1"/>
  <c r="E12" i="9"/>
  <c r="C13" i="9" l="1"/>
  <c r="E13" i="9" s="1"/>
  <c r="D39" i="9" l="1"/>
  <c r="E39" i="9" s="1"/>
  <c r="X6" i="39"/>
  <c r="ES14" i="20" l="1"/>
  <c r="EZ14" i="20" s="1"/>
  <c r="EZ15" i="20"/>
  <c r="EY14" i="20" l="1"/>
  <c r="FB14" i="20" s="1"/>
  <c r="EY15" i="20"/>
  <c r="FB15" i="20" s="1"/>
</calcChain>
</file>

<file path=xl/sharedStrings.xml><?xml version="1.0" encoding="utf-8"?>
<sst xmlns="http://schemas.openxmlformats.org/spreadsheetml/2006/main" count="6449" uniqueCount="1324">
  <si>
    <t>CEPPL_MH_Solar Performance Summary Solar</t>
  </si>
  <si>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</si>
  <si>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</si>
  <si>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</si>
  <si>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</si>
  <si>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</si>
  <si>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</si>
  <si>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</si>
  <si>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</si>
  <si>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</si>
  <si>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</si>
  <si>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</si>
  <si>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</si>
  <si>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</si>
  <si>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</si>
  <si>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</si>
  <si>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</si>
  <si>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</si>
  <si>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</si>
  <si>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</si>
  <si>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</si>
  <si>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</si>
  <si>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</si>
  <si>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</si>
  <si>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</si>
  <si>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</si>
  <si>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</si>
  <si>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 xml:space="preserve"> </t>
  </si>
  <si>
    <t>GA Daily</t>
  </si>
  <si>
    <t>GA MTD</t>
  </si>
  <si>
    <t>GA YTD</t>
  </si>
  <si>
    <t>CUF Daily</t>
  </si>
  <si>
    <t>CUF MTD</t>
  </si>
  <si>
    <t>CUF YTD</t>
  </si>
  <si>
    <t>Performance Summary CEPPL Solar</t>
  </si>
  <si>
    <t>SPV</t>
  </si>
  <si>
    <t>O2R15</t>
  </si>
  <si>
    <t>O2R17</t>
  </si>
  <si>
    <t>O2R11</t>
  </si>
  <si>
    <t>O2R6</t>
  </si>
  <si>
    <t>O2R12</t>
  </si>
  <si>
    <t>O2R14</t>
  </si>
  <si>
    <t>O2R24</t>
  </si>
  <si>
    <t>O2R26</t>
  </si>
  <si>
    <t>Till Date</t>
  </si>
  <si>
    <t>CEPPL_MH_Solar Performance Summary-YTD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</si>
  <si>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</si>
  <si>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</si>
  <si>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</si>
  <si>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</si>
  <si>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</si>
  <si>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</si>
  <si>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</si>
  <si>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</si>
  <si>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</si>
  <si>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</si>
  <si>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</si>
  <si>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</si>
  <si>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</si>
  <si>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</si>
  <si>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</si>
  <si>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</si>
  <si>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</si>
  <si>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</si>
  <si>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</si>
  <si>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</si>
  <si>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</si>
  <si>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</si>
  <si>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</si>
  <si>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</si>
  <si>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</si>
  <si>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</si>
  <si>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</si>
  <si>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</si>
  <si>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</si>
  <si>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</si>
  <si>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</si>
  <si>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</si>
  <si>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</si>
  <si>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</si>
  <si>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</si>
  <si>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</si>
  <si>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</si>
  <si>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</si>
  <si>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</si>
  <si>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</si>
  <si>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</si>
  <si>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</si>
  <si>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</si>
  <si>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</si>
  <si>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</si>
  <si>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</si>
  <si>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</si>
  <si>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</si>
  <si>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</si>
  <si>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</si>
  <si>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</si>
  <si>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</si>
  <si>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</si>
  <si>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</si>
  <si>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</si>
  <si>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</si>
  <si>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</si>
  <si>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</si>
  <si>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</si>
  <si>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</si>
  <si>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</si>
  <si>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</si>
  <si>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</si>
  <si>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</si>
  <si>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</si>
  <si>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</si>
  <si>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Meter Readings</t>
  </si>
  <si>
    <t>Finacial Year</t>
  </si>
  <si>
    <t>Calendor Year</t>
  </si>
  <si>
    <t>Sunrise Time (POA&gt;20 W/m2)</t>
  </si>
  <si>
    <t>Sunset Time (POA&lt;20 W/m2)</t>
  </si>
  <si>
    <t>IS1Inv1M1</t>
  </si>
  <si>
    <t>IS1Inv1M2</t>
  </si>
  <si>
    <t>IS1Inv1M3</t>
  </si>
  <si>
    <t>IS1Inv1M4</t>
  </si>
  <si>
    <t>IS1Inv2M1</t>
  </si>
  <si>
    <t>IS1Inv2M2</t>
  </si>
  <si>
    <t>IS1Inv2M3</t>
  </si>
  <si>
    <t>IS1Inv2M4</t>
  </si>
  <si>
    <t>IS2Inv1M1</t>
  </si>
  <si>
    <t>IS2Inv1M2</t>
  </si>
  <si>
    <t>IS2Inv1M3</t>
  </si>
  <si>
    <t>IS2Inv1M4</t>
  </si>
  <si>
    <t>IS2Inv2M1</t>
  </si>
  <si>
    <t>IS2Inv2M2</t>
  </si>
  <si>
    <t>IS2Inv2M3</t>
  </si>
  <si>
    <t>IS2Inv2M4</t>
  </si>
  <si>
    <t>IS3Inv1M1</t>
  </si>
  <si>
    <t>IS3Inv1M2</t>
  </si>
  <si>
    <t>IS3Inv2M1</t>
  </si>
  <si>
    <t>IS3Inv2M2</t>
  </si>
  <si>
    <t>IS4Inv1M1</t>
  </si>
  <si>
    <t>IS4Inv1M2</t>
  </si>
  <si>
    <t>IS4Inv2M1</t>
  </si>
  <si>
    <t>IS4Inv2M2</t>
  </si>
  <si>
    <t>IS4Inv3M1</t>
  </si>
  <si>
    <t>IS4Inv3M2</t>
  </si>
  <si>
    <t>IS4Inv4M1</t>
  </si>
  <si>
    <t>IS4Inv4M2</t>
  </si>
  <si>
    <t>IS5Inv1M1</t>
  </si>
  <si>
    <t>IS5Inv1M2</t>
  </si>
  <si>
    <t>IS5Inv2M1</t>
  </si>
  <si>
    <t>IS5Inv2M2</t>
  </si>
  <si>
    <t>IS6Inv1M1</t>
  </si>
  <si>
    <t>IS6Inv1M2</t>
  </si>
  <si>
    <t>IS6Inv2M1</t>
  </si>
  <si>
    <t>IS6Inv2M2</t>
  </si>
  <si>
    <t>IS7Inv1M1</t>
  </si>
  <si>
    <t>IS7Inv2M1</t>
  </si>
  <si>
    <t>IS8Inv1M1</t>
  </si>
  <si>
    <t>IS8Inv1M2</t>
  </si>
  <si>
    <t>IS8Inv1M3</t>
  </si>
  <si>
    <t>IS8Inv1M4</t>
  </si>
  <si>
    <t>IS9Inv1M1</t>
  </si>
  <si>
    <t>IS9Inv1M2</t>
  </si>
  <si>
    <t>IS9Inv2M1</t>
  </si>
  <si>
    <t>IS9Inv2M2</t>
  </si>
  <si>
    <t>IS10Inv1M1</t>
  </si>
  <si>
    <t>IS10Inv1M2</t>
  </si>
  <si>
    <t>IS10Inv2M1</t>
  </si>
  <si>
    <t>IS10Inv2M2</t>
  </si>
  <si>
    <t>IS10Inv3M1</t>
  </si>
  <si>
    <t>IS10Inv3M2</t>
  </si>
  <si>
    <t>IS10Inv4M1</t>
  </si>
  <si>
    <t>IS10Inv4M2</t>
  </si>
  <si>
    <t>IS11Inv1M1</t>
  </si>
  <si>
    <t>IS11Inv1M2</t>
  </si>
  <si>
    <t>IS11Inv1M3</t>
  </si>
  <si>
    <t>IS11Inv1M4</t>
  </si>
  <si>
    <t>IS12Inv1M1</t>
  </si>
  <si>
    <t>IS12Inv1M2</t>
  </si>
  <si>
    <t>IS12Inv1M3</t>
  </si>
  <si>
    <t>IS12Inv1M4</t>
  </si>
  <si>
    <t>IS13Inv1M1</t>
  </si>
  <si>
    <t>IS13Inv1M2</t>
  </si>
  <si>
    <t>IS13Inv2M1</t>
  </si>
  <si>
    <t>IS13Inv2M2</t>
  </si>
  <si>
    <t>IS14Inv1M1</t>
  </si>
  <si>
    <t>IS14Inv1M2</t>
  </si>
  <si>
    <t>IS14Inv1M3</t>
  </si>
  <si>
    <t>IS14Inv1M4</t>
  </si>
  <si>
    <t>IS14Inv2M1</t>
  </si>
  <si>
    <t>IS14Inv2M2</t>
  </si>
  <si>
    <t>IS14Inv2M3</t>
  </si>
  <si>
    <t>IS14Inv2M4</t>
  </si>
  <si>
    <r>
      <t>IS1POA1 (KWh/m</t>
    </r>
    <r>
      <rPr>
        <b/>
        <vertAlign val="superscript"/>
        <sz val="12"/>
        <color theme="0"/>
        <rFont val="Calibri"/>
        <family val="2"/>
        <scheme val="minor"/>
      </rPr>
      <t>2)</t>
    </r>
  </si>
  <si>
    <t>IS7POA2 (KWh/m2)</t>
  </si>
  <si>
    <t>IS1GHI1 (KWh/m2)</t>
  </si>
  <si>
    <t>IS7GHI2 (KWh/m2)</t>
  </si>
  <si>
    <t>IS1POA_BS1 (KWh/m2)</t>
  </si>
  <si>
    <t>IS7POA_BS2 (KWh/m2)</t>
  </si>
  <si>
    <t>IS1GHI_BS1 (KWh/m2)</t>
  </si>
  <si>
    <t>IS1GHI_BS1 (KWh/m2)2</t>
  </si>
  <si>
    <t>IS1AT1 (°C)</t>
  </si>
  <si>
    <t>IS7AT2 (°C)</t>
  </si>
  <si>
    <t>IS1MT1 (°C)</t>
  </si>
  <si>
    <t>IS7MT2 (°C)</t>
  </si>
  <si>
    <t>IS1RH1 (%)</t>
  </si>
  <si>
    <t>IS7RH2 (%)</t>
  </si>
  <si>
    <t>IS1Rain1 (mm)</t>
  </si>
  <si>
    <t>IS7Rain2 (mm)</t>
  </si>
  <si>
    <t>WS_Solar1_Avg (m/s)</t>
  </si>
  <si>
    <t>IS7_WS_Solar1_Avg (m/s)</t>
  </si>
  <si>
    <t>WS_Solar1_Max (m/s)</t>
  </si>
  <si>
    <t>IS7_WS_Solar1_Max (m/s)</t>
  </si>
  <si>
    <t>Avg POA (KWh/m2)</t>
  </si>
  <si>
    <t>Avg GHI (KWh/m2)</t>
  </si>
  <si>
    <t>Avg POA_BS (KWh/m2)</t>
  </si>
  <si>
    <t>Avg GHI_BS (KWh/m2)</t>
  </si>
  <si>
    <t>Avg AT (°C)</t>
  </si>
  <si>
    <t>Avg MT (°C)</t>
  </si>
  <si>
    <t>Avg RH (%)</t>
  </si>
  <si>
    <t>Avg Rain (mm)</t>
  </si>
  <si>
    <t>WS_Solar Avg (m/s)</t>
  </si>
  <si>
    <t>WS_Solar_Max (m/s)</t>
  </si>
  <si>
    <t>Inv Total Gneration (MWh)</t>
  </si>
  <si>
    <t>33 kV_F3_Ex
Incomer1</t>
  </si>
  <si>
    <t>34 kV_F3_Im
Incomer1</t>
  </si>
  <si>
    <t>33 kV_F4_Ex
Incomer2</t>
  </si>
  <si>
    <t>34 kV_F4_Im
Incomer2</t>
  </si>
  <si>
    <t>33 kV_F5_Ex
Incomer3</t>
  </si>
  <si>
    <t>34 kV_F5_Im
Incomer3</t>
  </si>
  <si>
    <t>33 kV_F6_Ex
Incomer4</t>
  </si>
  <si>
    <t>33 kV_F6_Im
Incomer4</t>
  </si>
  <si>
    <t>33 kV_F7_Ex
Incomer5</t>
  </si>
  <si>
    <t>33 kV_F7_Im
Incomer5</t>
  </si>
  <si>
    <t>33 kV_Aux Trafo</t>
  </si>
  <si>
    <t>33kV_OG1_Ex_</t>
  </si>
  <si>
    <t>33kV_OG1_Im</t>
  </si>
  <si>
    <t>132kV_TX1_EX</t>
  </si>
  <si>
    <t>132 kV_Tx1_Im</t>
  </si>
  <si>
    <t>132kV_L1_Ex</t>
  </si>
  <si>
    <t>132kV_L1_Im</t>
  </si>
  <si>
    <t>33 kV_F3_Ex (kWh)</t>
  </si>
  <si>
    <t>33 kV_F3_Im (kWh)</t>
  </si>
  <si>
    <t>33 kV_F4_Ex (kWh)</t>
  </si>
  <si>
    <t>33 kV_F4_Im (kWh)</t>
  </si>
  <si>
    <t>33 kV_F5_Ex (kWh)</t>
  </si>
  <si>
    <t>33 kV_F5_Im (kWh)</t>
  </si>
  <si>
    <t>33 kV_F6_Ex (kWh)</t>
  </si>
  <si>
    <t>33 kV_F6_Im (kWh)</t>
  </si>
  <si>
    <t>33 kV_F7_Ex (kWh)</t>
  </si>
  <si>
    <t>33 kV_F7_Im (kWh)</t>
  </si>
  <si>
    <t>33 kV_Aux Trafo_Im (kWh)</t>
  </si>
  <si>
    <t>33kV_OG1_Ex (MWh)</t>
  </si>
  <si>
    <t>33kV_OG1_Im (MWh)</t>
  </si>
  <si>
    <t>132kV_TX1_Ex(MWh)</t>
  </si>
  <si>
    <t>132kV_TX1_Im(MWh)</t>
  </si>
  <si>
    <t>132kV_L1_Ex(MWh)</t>
  </si>
  <si>
    <t>132kV_L1_Im(MWh)</t>
  </si>
  <si>
    <t>33kV_Ex(MWh)</t>
  </si>
  <si>
    <t>33kV_Net_Ex (MWh)</t>
  </si>
  <si>
    <t>132kV_Net_Ex (MWh)\</t>
  </si>
  <si>
    <t>AC System Loss(%)</t>
  </si>
  <si>
    <t>Solar Operating Hours</t>
  </si>
  <si>
    <t>Connected DC Capcity (MWp)</t>
  </si>
  <si>
    <t>E_AC (WPR)</t>
  </si>
  <si>
    <t>E_DC (WPR)</t>
  </si>
  <si>
    <t>WPR (%)</t>
  </si>
  <si>
    <t>Moving cloudy weather.</t>
  </si>
  <si>
    <t>Fully cloudy weather.</t>
  </si>
  <si>
    <t xml:space="preserve">ICR 4 06:34 to 14:00 oil top up work  &amp; incomer 04 (phase 3)S/D 11:50 To 12:48 MSEDCL Work  </t>
  </si>
  <si>
    <t>Weather clear</t>
  </si>
  <si>
    <t>Weather clear Block 10 Inv01 GFDI Fault</t>
  </si>
  <si>
    <t>Moving cloudy weather.incomer 04 (phase-3) O/C &amp; E/F ICR-10 Inv1 GFDI-pro Internal fault.</t>
  </si>
  <si>
    <t>Moving cloudy weather. Power Trafo Tripped at 16:22 to 16:48 due to OV/UV &amp; ICR-10 Inv1 GFDI-pro Internal fault</t>
  </si>
  <si>
    <t>Moving cloudy weather .ICR-10 Inv1 GFDI-pro Internal fault</t>
  </si>
  <si>
    <t>Moving cloudy weather .ICR-10 Inv1 GFDI-pro Internal fault Incomer4 Hand Trip T L Line maintance work at 6:30 AM to 8:53AM</t>
  </si>
  <si>
    <t xml:space="preserve">Moving cloudy weather .ICR-10 Inv1 GFDI-pro Internal fault </t>
  </si>
  <si>
    <t>Moving cloudy weather.ICR-04 Inv1 DSP Internal Fault.at 09:03 AM to 09:51 AM</t>
  </si>
  <si>
    <t>Weather clear. ICR -10 Inv 01 GFDI -pro Internal Fault at 07:30 AM to 12:39 PM</t>
  </si>
  <si>
    <t>Weather clear. ICR -10 Inv 01 GFDI -pro Internal Fault at 08:03 AM to 09:39 PM &amp; ICR -04 Inv 04 DSP Internal Fault at 02:55 PM to 03:08 PM.</t>
  </si>
  <si>
    <t>Weather clear. ICR-10 Inv 03 Intarnal Breakdown at 06:30 AM to 09:07 AM.</t>
  </si>
  <si>
    <t>Cloudy weather</t>
  </si>
  <si>
    <t xml:space="preserve">Cloudy weather. Power Trafo Trip  09:59 AM To 10:18 AM </t>
  </si>
  <si>
    <t>fully cloudy weather &amp; rain slowly</t>
  </si>
  <si>
    <t>fully cloudy weather</t>
  </si>
  <si>
    <t xml:space="preserve">fully cloudy weather. Power Trafo Trip 16:37 to 16:52 </t>
  </si>
  <si>
    <t xml:space="preserve">fully cloudy weather </t>
  </si>
  <si>
    <t>Fully Cloudy Weather &amp; Heavy rain IDT 5 Tripped in Buchloz Relay operated 11:09 to 12:04</t>
  </si>
  <si>
    <t>Fully Cloudy Weather &amp; Heavy rain IDT 5 Tripped in Buchloz Relay operated 12:23 to 13:20</t>
  </si>
  <si>
    <t xml:space="preserve">Fully Cloudy Weather </t>
  </si>
  <si>
    <t>Fully Cloudy Weather &amp;ICR10 Inverter-3 &amp; inverter-4 tripped due to SCB cable heavy burned in DC side. IDT also tripped during smoke came in inverter down side</t>
  </si>
  <si>
    <t>Fully Cloudy Weather</t>
  </si>
  <si>
    <t>Fully Cloudy Weather &amp; Slowly rain</t>
  </si>
  <si>
    <t>Fully  Cloudy Weather Incomer 04  [Phase 03] Trip due To TL Line Earth Fault at 16:40 PM 18:21 PM</t>
  </si>
  <si>
    <t>Fully  Cloudy Weather &amp; Heavy Rain ICR 11 INV 01 Breakdown due to Internal Fault at 07:00 AM To 11:00 AM</t>
  </si>
  <si>
    <t>Cloudy Weather</t>
  </si>
  <si>
    <t xml:space="preserve"> Moving Cloudy Weather</t>
  </si>
  <si>
    <t>All Incomer Manual Trip Due To Zero load From GSS 132 KV Line Motala and  LDC Nagpur at 10:33 AM To 14:56 PM</t>
  </si>
  <si>
    <t>Cloudy Weather. IDT-13 Tripped in overcurrent from 10:45 to 12:37</t>
  </si>
  <si>
    <t xml:space="preserve">Fully Cloudly Weather </t>
  </si>
  <si>
    <t>fully cloudy weather. Power Trafo Trip due to  33 kV 2nd TL Line Over Current &amp; Earth Fault From   16:22 to 16:53</t>
  </si>
  <si>
    <t>ICR 12 trip Due to Over Current From 13:05 to 14:27  &amp;   Block 05 to 09 Communication error &amp; Moving Cloudy Weather</t>
  </si>
  <si>
    <t xml:space="preserve">Fully Cloudy Weather &amp; Heavy rain </t>
  </si>
  <si>
    <t>Avg_SY</t>
  </si>
  <si>
    <t>Block No.</t>
  </si>
  <si>
    <t>CEPL-MH-O2RE-XV_PH2_18.75MW</t>
  </si>
  <si>
    <t>CEPL-MH-O2RE-XV_PH1_17.60MW</t>
  </si>
  <si>
    <t>ICR3</t>
  </si>
  <si>
    <t>ICR1</t>
  </si>
  <si>
    <t>ICR4</t>
  </si>
  <si>
    <t>ICR2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</si>
  <si>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</si>
  <si>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</si>
  <si>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</si>
  <si>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</si>
  <si>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</si>
  <si>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</si>
  <si>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</si>
  <si>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</si>
  <si>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</si>
  <si>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</si>
  <si>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</si>
  <si>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</si>
  <si>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</si>
  <si>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</si>
  <si>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POA(kWh/m2)</t>
  </si>
  <si>
    <t>Estimated Energy Loss (kWh)</t>
  </si>
  <si>
    <t>Year_1</t>
  </si>
  <si>
    <t>Year_2</t>
  </si>
  <si>
    <t>Description</t>
  </si>
  <si>
    <t>Value</t>
  </si>
  <si>
    <t>Inverter Station</t>
  </si>
  <si>
    <t>Inverter</t>
  </si>
  <si>
    <t>Module</t>
  </si>
  <si>
    <t>SCB</t>
  </si>
  <si>
    <t>String Type</t>
  </si>
  <si>
    <t>Equipment</t>
  </si>
  <si>
    <t>Equpiment  No..</t>
  </si>
  <si>
    <t>Generator</t>
  </si>
  <si>
    <t>Capacity</t>
  </si>
  <si>
    <t>% Plant Equiva. Weightage</t>
  </si>
  <si>
    <t>USS YARD</t>
  </si>
  <si>
    <t>METERING YARD</t>
  </si>
  <si>
    <t>FEEDER</t>
  </si>
  <si>
    <t>OG</t>
  </si>
  <si>
    <t>TRANSFER</t>
  </si>
  <si>
    <t>Fault Category Plant BD sheet</t>
  </si>
  <si>
    <t>AC</t>
  </si>
  <si>
    <t>DC</t>
  </si>
  <si>
    <t>% of Total</t>
  </si>
  <si>
    <t>Total Solar Capacity</t>
  </si>
  <si>
    <t>IS1</t>
  </si>
  <si>
    <t>Inv1</t>
  </si>
  <si>
    <t>M1</t>
  </si>
  <si>
    <t>SCB1</t>
  </si>
  <si>
    <t>Str_Typ1(540*29)</t>
  </si>
  <si>
    <t>Tx</t>
  </si>
  <si>
    <t>Cosmos</t>
  </si>
  <si>
    <t>NA</t>
  </si>
  <si>
    <t>F3</t>
  </si>
  <si>
    <t>Line1</t>
  </si>
  <si>
    <t>TX1</t>
  </si>
  <si>
    <t>Open</t>
  </si>
  <si>
    <t>IS2</t>
  </si>
  <si>
    <t>Inv2</t>
  </si>
  <si>
    <t>M2</t>
  </si>
  <si>
    <t>SCB2</t>
  </si>
  <si>
    <t>Str_Typ2(545*29)</t>
  </si>
  <si>
    <t>MVP</t>
  </si>
  <si>
    <t>Cables</t>
  </si>
  <si>
    <t>Close</t>
  </si>
  <si>
    <t>IS3</t>
  </si>
  <si>
    <t>Inv3</t>
  </si>
  <si>
    <t>M3</t>
  </si>
  <si>
    <t>SCB3</t>
  </si>
  <si>
    <t>Str_Typ3(550*29)</t>
  </si>
  <si>
    <t>Aux_Tx</t>
  </si>
  <si>
    <t xml:space="preserve">String Fuses </t>
  </si>
  <si>
    <t>IS4</t>
  </si>
  <si>
    <t>Inv4</t>
  </si>
  <si>
    <t>M4</t>
  </si>
  <si>
    <t>SCB4</t>
  </si>
  <si>
    <t>Str_Typ4(540*58)</t>
  </si>
  <si>
    <t>MCR_MVP_SolarF3</t>
  </si>
  <si>
    <t>IS5</t>
  </si>
  <si>
    <t>Inv5</t>
  </si>
  <si>
    <t>SCB5</t>
  </si>
  <si>
    <t>Str_Typ5(545*58)</t>
  </si>
  <si>
    <t>MCR_MVP_SolarF4</t>
  </si>
  <si>
    <t>IS6</t>
  </si>
  <si>
    <t>Inv6</t>
  </si>
  <si>
    <t>SCB6</t>
  </si>
  <si>
    <t>Str_Typ6(550*58)</t>
  </si>
  <si>
    <t>MCR_MVP_SolarF5</t>
  </si>
  <si>
    <t>IDT</t>
  </si>
  <si>
    <t>IS7</t>
  </si>
  <si>
    <t>Inv7</t>
  </si>
  <si>
    <t>SCB7</t>
  </si>
  <si>
    <t>MCR_MVP_SolarF6</t>
  </si>
  <si>
    <t>PTR</t>
  </si>
  <si>
    <t>IS8</t>
  </si>
  <si>
    <t>Inv8</t>
  </si>
  <si>
    <t>SCB8</t>
  </si>
  <si>
    <t>Power_TX</t>
  </si>
  <si>
    <t>MV Panel</t>
  </si>
  <si>
    <t>IS9</t>
  </si>
  <si>
    <t>Inv9</t>
  </si>
  <si>
    <t>SCB9</t>
  </si>
  <si>
    <t>Power_Tx2</t>
  </si>
  <si>
    <t>Metering System Plant</t>
  </si>
  <si>
    <t>Total</t>
  </si>
  <si>
    <t>IS10</t>
  </si>
  <si>
    <t>Inv10</t>
  </si>
  <si>
    <t>SCB10</t>
  </si>
  <si>
    <t>Line_Bay1</t>
  </si>
  <si>
    <t>Grid System</t>
  </si>
  <si>
    <t>IS11</t>
  </si>
  <si>
    <t>Inv11</t>
  </si>
  <si>
    <t>SCB11</t>
  </si>
  <si>
    <t>Metering System Grid</t>
  </si>
  <si>
    <t>IS12</t>
  </si>
  <si>
    <t>Inv12</t>
  </si>
  <si>
    <t>WMS</t>
  </si>
  <si>
    <t>IS13</t>
  </si>
  <si>
    <t>Inv13</t>
  </si>
  <si>
    <t>MMS</t>
  </si>
  <si>
    <t>IS14</t>
  </si>
  <si>
    <t>Inv14</t>
  </si>
  <si>
    <t>Battery Charger_MCR</t>
  </si>
  <si>
    <t>IS15</t>
  </si>
  <si>
    <t>Inv15</t>
  </si>
  <si>
    <t>IC_UPS</t>
  </si>
  <si>
    <t>Inv16</t>
  </si>
  <si>
    <t>IC_Auxiliary Tranformer</t>
  </si>
  <si>
    <t>Inv17</t>
  </si>
  <si>
    <t>F4</t>
  </si>
  <si>
    <t>IC_Auxiliary DB</t>
  </si>
  <si>
    <t>Inv18</t>
  </si>
  <si>
    <t>IC_SCADA Panel</t>
  </si>
  <si>
    <t>Inv19</t>
  </si>
  <si>
    <t>Connectors</t>
  </si>
  <si>
    <t>Inv20</t>
  </si>
  <si>
    <t>Tranformer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</si>
  <si>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</si>
  <si>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</si>
  <si>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</si>
  <si>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</si>
  <si>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</si>
  <si>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</si>
  <si>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</si>
  <si>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</si>
  <si>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Inv29</t>
  </si>
  <si>
    <t>NSIGTPL</t>
  </si>
  <si>
    <t>F5</t>
  </si>
  <si>
    <t>Inv30</t>
  </si>
  <si>
    <t>NSICTPL</t>
  </si>
  <si>
    <t>BMCT</t>
  </si>
  <si>
    <t>GTIPL</t>
  </si>
  <si>
    <t>IS1Inv1</t>
  </si>
  <si>
    <t>IS1Inv2</t>
  </si>
  <si>
    <t>IS2Inv1</t>
  </si>
  <si>
    <t>IS2Inv2</t>
  </si>
  <si>
    <t>IS3Inv1</t>
  </si>
  <si>
    <t>IS3Inv2</t>
  </si>
  <si>
    <t>IS4Inv1</t>
  </si>
  <si>
    <t>IS4Inv2</t>
  </si>
  <si>
    <t>IS4Inv3</t>
  </si>
  <si>
    <t>IS4Inv4</t>
  </si>
  <si>
    <t>IS5Inv1</t>
  </si>
  <si>
    <t>IS5Inv2</t>
  </si>
  <si>
    <t>IS6Inv1</t>
  </si>
  <si>
    <t>IS6Inv2</t>
  </si>
  <si>
    <t>IS7Inv1</t>
  </si>
  <si>
    <t>IS7Inv2</t>
  </si>
  <si>
    <t>IS8Inv1</t>
  </si>
  <si>
    <t>IS9Inv1</t>
  </si>
  <si>
    <t>IS9Inv2</t>
  </si>
  <si>
    <t>IS1Inv1M1SCB1</t>
  </si>
  <si>
    <t>IS1Inv1M1SCB2</t>
  </si>
  <si>
    <t>IS1Inv1M1SCB3</t>
  </si>
  <si>
    <t>IS1Inv1M1SCB4</t>
  </si>
  <si>
    <t>IS1Inv1M1SCB5</t>
  </si>
  <si>
    <t>IS1Inv1M1SCB6</t>
  </si>
  <si>
    <t>IS1Inv1M2SCB1</t>
  </si>
  <si>
    <t>IS1Inv1M2SCB2</t>
  </si>
  <si>
    <t>IS1Inv1M2SCB3</t>
  </si>
  <si>
    <t>IS1Inv1M2SCB4</t>
  </si>
  <si>
    <t>IS1Inv1M2SCB5</t>
  </si>
  <si>
    <t>IS1Inv1M2SCB6</t>
  </si>
  <si>
    <t>IS1Inv1M3SCB1</t>
  </si>
  <si>
    <t>IS1Inv1M3SCB2</t>
  </si>
  <si>
    <t>IS1Inv1M3SCB3</t>
  </si>
  <si>
    <t>IS1Inv1M3SCB4</t>
  </si>
  <si>
    <t>IS1Inv1M3SCB5</t>
  </si>
  <si>
    <t>IS1Inv1M3SCB6</t>
  </si>
  <si>
    <t>IS1Inv1M4SCB1</t>
  </si>
  <si>
    <t>IS1Inv1M4SCB2</t>
  </si>
  <si>
    <t>IS1Inv1M4SCB3</t>
  </si>
  <si>
    <t>IS1Inv1M4SCB4</t>
  </si>
  <si>
    <t>IS1Inv1M4SCB5</t>
  </si>
  <si>
    <t>IS1Inv1M4SCB6</t>
  </si>
  <si>
    <t>IS1Inv2M1SCB1</t>
  </si>
  <si>
    <t>IS1Inv2M1SCB2</t>
  </si>
  <si>
    <t>IS1Inv2M1SCB3</t>
  </si>
  <si>
    <t>IS1Inv2M1SCB4</t>
  </si>
  <si>
    <t>IS1Inv2M1SCB5</t>
  </si>
  <si>
    <t>IS1Inv2M1SCB6</t>
  </si>
  <si>
    <t>IS1Inv2M2SCB1</t>
  </si>
  <si>
    <t>IS1Inv2M2SCB2</t>
  </si>
  <si>
    <t>IS1Inv2M2SCB3</t>
  </si>
  <si>
    <t>IS1Inv2M2SCB4</t>
  </si>
  <si>
    <t>IS1Inv2M2SCB5</t>
  </si>
  <si>
    <t>IS1Inv2M2SCB6</t>
  </si>
  <si>
    <t>IS1Inv2M3SCB1</t>
  </si>
  <si>
    <t>IS1Inv2M3SCB2</t>
  </si>
  <si>
    <t>IS1Inv2M3SCB3</t>
  </si>
  <si>
    <t>IS1Inv2M3SCB4</t>
  </si>
  <si>
    <t>IS1Inv2M3SCB5</t>
  </si>
  <si>
    <t>IS1Inv2M3SCB6</t>
  </si>
  <si>
    <t>IS1Inv2M4SCB1</t>
  </si>
  <si>
    <t>IS1Inv2M4SCB2</t>
  </si>
  <si>
    <t>IS1Inv2M4SCB3</t>
  </si>
  <si>
    <t>IS1Inv2M4SCB4</t>
  </si>
  <si>
    <t>IS1Inv2M4SCB5</t>
  </si>
  <si>
    <t>IS1Inv2M4SCB6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</si>
  <si>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</si>
  <si>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</si>
  <si>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</si>
  <si>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</si>
  <si>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</si>
  <si>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</si>
  <si>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</si>
  <si>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</si>
  <si>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</si>
  <si>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</si>
  <si>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</si>
  <si>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</si>
  <si>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</si>
  <si>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</si>
  <si>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</si>
  <si>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</si>
  <si>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</si>
  <si>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</si>
  <si>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IS2Inv1M4SCB1</t>
  </si>
  <si>
    <t>IS2Inv1M4SCB2</t>
  </si>
  <si>
    <t>IS2Inv1M4SCB3</t>
  </si>
  <si>
    <t>IS2Inv1M4SCB4</t>
  </si>
  <si>
    <t>IS2Inv1M4SCB5</t>
  </si>
  <si>
    <t>IS2Inv1M4SCB6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</si>
  <si>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</si>
  <si>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</si>
  <si>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</si>
  <si>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</si>
  <si>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</si>
  <si>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</si>
  <si>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</si>
  <si>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</si>
  <si>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</si>
  <si>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</si>
  <si>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</si>
  <si>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</si>
  <si>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</si>
  <si>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</si>
  <si>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</si>
  <si>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</si>
  <si>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</si>
  <si>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</si>
  <si>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IS2Inv2M4SCB1</t>
  </si>
  <si>
    <t>IS2Inv2M4SCB2</t>
  </si>
  <si>
    <t>IS2Inv2M4SCB3</t>
  </si>
  <si>
    <t>IS2Inv2M4SCB4</t>
  </si>
  <si>
    <t>IS2Inv2M4SCB5</t>
  </si>
  <si>
    <t>IS2Inv2M4SCB6</t>
  </si>
  <si>
    <t>IS3Inv1M1SCB1</t>
  </si>
  <si>
    <t>IS3Inv1M1SCB2</t>
  </si>
  <si>
    <t>IS3Inv1M1SCB3</t>
  </si>
  <si>
    <t>IS3Inv1M1SCB4</t>
  </si>
  <si>
    <t>IS3Inv1M1SCB5</t>
  </si>
  <si>
    <t>IS3Inv1M1SCB6</t>
  </si>
  <si>
    <t>IS3Inv1M1SCB7</t>
  </si>
  <si>
    <t>IS3Inv1M1SCB8</t>
  </si>
  <si>
    <t>IS3Inv1M1SCB9</t>
  </si>
  <si>
    <t>IS3Inv1M2SCB1</t>
  </si>
  <si>
    <t>IS3Inv1M2SCB2</t>
  </si>
  <si>
    <t>IS3Inv1M2SCB3</t>
  </si>
  <si>
    <t>IS3Inv1M2SCB4</t>
  </si>
  <si>
    <t>IS3Inv1M2SCB5</t>
  </si>
  <si>
    <t>IS3Inv1M2SCB6</t>
  </si>
  <si>
    <t>IS3Inv1M2SCB7</t>
  </si>
  <si>
    <t>IS3Inv1M2SCB8</t>
  </si>
  <si>
    <t>IS3Inv1M2SCB9</t>
  </si>
  <si>
    <t>IS3Inv2M1SCB1</t>
  </si>
  <si>
    <t>IS3Inv2M1SCB2</t>
  </si>
  <si>
    <t>IS3Inv2M1SCB3</t>
  </si>
  <si>
    <t>IS3Inv2M1SCB4</t>
  </si>
  <si>
    <t>IS3Inv2M1SCB5</t>
  </si>
  <si>
    <t>IS3Inv2M1SCB6</t>
  </si>
  <si>
    <t>IS3Inv2M1SCB7</t>
  </si>
  <si>
    <t>IS3Inv2M1SCB8</t>
  </si>
  <si>
    <t>IS3Inv2M1SCB9</t>
  </si>
  <si>
    <t>IS3Inv2M2SCB1</t>
  </si>
  <si>
    <t>IS3Inv2M2SCB2</t>
  </si>
  <si>
    <t>IS3Inv2M2SCB3</t>
  </si>
  <si>
    <t>IS3Inv2M2SCB4</t>
  </si>
  <si>
    <t>IS3Inv2M2SCB5</t>
  </si>
  <si>
    <t>IS3Inv2M2SCB6</t>
  </si>
  <si>
    <t>IS3Inv2M2SCB7</t>
  </si>
  <si>
    <t>IS3Inv2M2SCB8</t>
  </si>
  <si>
    <t>IS3Inv2M2SCB9</t>
  </si>
  <si>
    <t>IS4Inv1M1SCB1</t>
  </si>
  <si>
    <t>IS4Inv1M1SCB2</t>
  </si>
  <si>
    <t>IS4Inv1M1SCB3</t>
  </si>
  <si>
    <t>IS4Inv1M1SCB4</t>
  </si>
  <si>
    <t>IS4Inv1M1SCB5</t>
  </si>
  <si>
    <t>IS4Inv1M1SCB6</t>
  </si>
  <si>
    <t>IS4Inv1M1SCB7</t>
  </si>
  <si>
    <t>IS4Inv1M1SCB8</t>
  </si>
  <si>
    <t>IS4Inv1M1SCB9</t>
  </si>
  <si>
    <t>IS4Inv1M2SCB1</t>
  </si>
  <si>
    <t>IS4Inv1M2SCB2</t>
  </si>
  <si>
    <t>IS4Inv1M2SCB3</t>
  </si>
  <si>
    <t>IS4Inv1M2SCB4</t>
  </si>
  <si>
    <t>IS4Inv1M2SCB5</t>
  </si>
  <si>
    <t>IS4Inv1M2SCB6</t>
  </si>
  <si>
    <t>IS4Inv1M2SCB7</t>
  </si>
  <si>
    <t>IS4Inv1M2SCB8</t>
  </si>
  <si>
    <t>IS4Inv1M2SCB9</t>
  </si>
  <si>
    <t>IS4Inv2M1SCB1</t>
  </si>
  <si>
    <t>IS4Inv2M1SCB2</t>
  </si>
  <si>
    <t>IS4Inv2M1SCB3</t>
  </si>
  <si>
    <t>IS4Inv2M1SCB4</t>
  </si>
  <si>
    <t>IS4Inv2M1SCB5</t>
  </si>
  <si>
    <t>IS4Inv2M1SCB6</t>
  </si>
  <si>
    <t>IS4Inv2M1SCB7</t>
  </si>
  <si>
    <t>IS4Inv2M1SCB8</t>
  </si>
  <si>
    <t>IS4Inv2M1SCB9</t>
  </si>
  <si>
    <t>IS4Inv2M2SCB1</t>
  </si>
  <si>
    <t>IS4Inv2M2SCB2</t>
  </si>
  <si>
    <t>IS4Inv2M2SCB3</t>
  </si>
  <si>
    <t>IS4Inv2M2SCB4</t>
  </si>
  <si>
    <t>IS4Inv2M2SCB5</t>
  </si>
  <si>
    <t>IS4Inv2M2SCB6</t>
  </si>
  <si>
    <t>IS4Inv2M2SCB7</t>
  </si>
  <si>
    <t>IS4Inv2M2SCB8</t>
  </si>
  <si>
    <t>IS4Inv2M2SCB9</t>
  </si>
  <si>
    <t>IS4Inv3M1SCB1</t>
  </si>
  <si>
    <t>IS4Inv3M1SCB2</t>
  </si>
  <si>
    <t>IS4Inv3M1SCB3</t>
  </si>
  <si>
    <t>IS4Inv3M1SCB4</t>
  </si>
  <si>
    <t>IS4Inv3M1SCB5</t>
  </si>
  <si>
    <t>IS4Inv3M1SCB6</t>
  </si>
  <si>
    <t>IS4Inv3M1SCB7</t>
  </si>
  <si>
    <t>IS4Inv3M1SCB8</t>
  </si>
  <si>
    <t>IS4Inv3M1SCB9</t>
  </si>
  <si>
    <t>IS4Inv3M2SCB1</t>
  </si>
  <si>
    <t>IS4Inv3M2SCB2</t>
  </si>
  <si>
    <t>IS4Inv3M2SCB3</t>
  </si>
  <si>
    <t>IS4Inv3M2SCB4</t>
  </si>
  <si>
    <t>IS4Inv3M2SCB5</t>
  </si>
  <si>
    <t>IS4Inv3M2SCB6</t>
  </si>
  <si>
    <t>IS4Inv3M2SCB7</t>
  </si>
  <si>
    <t>IS4Inv3M2SCB8</t>
  </si>
  <si>
    <t>IS4Inv3M2SCB9</t>
  </si>
  <si>
    <t>IS4Inv4M1SCB1</t>
  </si>
  <si>
    <t>IS4Inv4M1SCB2</t>
  </si>
  <si>
    <t>IS4Inv4M1SCB3</t>
  </si>
  <si>
    <t>IS4Inv4M1SCB4</t>
  </si>
  <si>
    <t>IS4Inv4M1SCB5</t>
  </si>
  <si>
    <t>IS4Inv4M1SCB6</t>
  </si>
  <si>
    <t>IS4Inv4M1SCB7</t>
  </si>
  <si>
    <t>IS4Inv4M1SCB8</t>
  </si>
  <si>
    <t>IS4Inv4M1SCB9</t>
  </si>
  <si>
    <t>IS4Inv4M2SCB1</t>
  </si>
  <si>
    <t>IS4Inv4M2SCB2</t>
  </si>
  <si>
    <t>IS4Inv4M2SCB3</t>
  </si>
  <si>
    <t>IS4Inv4M2SCB4</t>
  </si>
  <si>
    <t>IS4Inv4M2SCB5</t>
  </si>
  <si>
    <t>IS4Inv4M2SCB6</t>
  </si>
  <si>
    <t>IS4Inv4M2SCB7</t>
  </si>
  <si>
    <t>IS4Inv4M2SCB8</t>
  </si>
  <si>
    <t>IS4Inv4M2SCB9</t>
  </si>
  <si>
    <t>IS5Inv1M1SCB1</t>
  </si>
  <si>
    <t>IS5Inv1M1SCB2</t>
  </si>
  <si>
    <t>IS5Inv1M1SCB3</t>
  </si>
  <si>
    <t>IS5Inv1M1SCB4</t>
  </si>
  <si>
    <t>IS5Inv1M1SCB5</t>
  </si>
  <si>
    <t>IS5Inv1M1SCB6</t>
  </si>
  <si>
    <t>IS5Inv1M1SCB7</t>
  </si>
  <si>
    <t>IS5Inv1M1SCB8</t>
  </si>
  <si>
    <t>IS5Inv1M2SCB1</t>
  </si>
  <si>
    <t>IS5Inv1M2SCB2</t>
  </si>
  <si>
    <t>IS5Inv1M2SCB3</t>
  </si>
  <si>
    <t>IS5Inv1M2SCB4</t>
  </si>
  <si>
    <t>IS5Inv1M2SCB5</t>
  </si>
  <si>
    <t>IS5Inv1M2SCB6</t>
  </si>
  <si>
    <t>IS5Inv1M2SCB7</t>
  </si>
  <si>
    <t>IS5Inv1M2SCB8</t>
  </si>
  <si>
    <t>IS5Inv2M1SCB1</t>
  </si>
  <si>
    <t>IS5Inv2M1SCB2</t>
  </si>
  <si>
    <t>IS5Inv2M1SCB3</t>
  </si>
  <si>
    <t>IS5Inv2M1SCB4</t>
  </si>
  <si>
    <t>IS5Inv2M1SCB5</t>
  </si>
  <si>
    <t>IS5Inv2M1SCB6</t>
  </si>
  <si>
    <t>IS5Inv2M1SCB7</t>
  </si>
  <si>
    <t>IS5Inv2M1SCB8</t>
  </si>
  <si>
    <t>IS5Inv2M2SCB1</t>
  </si>
  <si>
    <t>IS5Inv2M2SCB2</t>
  </si>
  <si>
    <t>IS5Inv2M2SCB3</t>
  </si>
  <si>
    <t>IS5Inv2M2SCB4</t>
  </si>
  <si>
    <t>IS5Inv2M2SCB5</t>
  </si>
  <si>
    <t>IS5Inv2M2SCB6</t>
  </si>
  <si>
    <t>IS5Inv2M2SCB7</t>
  </si>
  <si>
    <t>IS5Inv2M2SCB8</t>
  </si>
  <si>
    <t>IS6Inv1M1SCB1</t>
  </si>
  <si>
    <t>IS6Inv1M1SCB2</t>
  </si>
  <si>
    <t>IS6Inv1M1SCB3</t>
  </si>
  <si>
    <t>IS6Inv1M1SCB4</t>
  </si>
  <si>
    <t>IS6Inv1M1SCB5</t>
  </si>
  <si>
    <t>IS6Inv1M1SCB6</t>
  </si>
  <si>
    <t>IS6Inv1M1SCB7</t>
  </si>
  <si>
    <t>IS6Inv1M1SCB8</t>
  </si>
  <si>
    <t>IS6Inv1M2SCB1</t>
  </si>
  <si>
    <t>IS6Inv1M2SCB2</t>
  </si>
  <si>
    <t>IS6Inv1M2SCB3</t>
  </si>
  <si>
    <t>IS6Inv1M2SCB4</t>
  </si>
  <si>
    <t>IS6Inv1M2SCB5</t>
  </si>
  <si>
    <t>IS6Inv1M2SCB6</t>
  </si>
  <si>
    <t>IS6Inv1M2SCB7</t>
  </si>
  <si>
    <t>IS6Inv1M2SCB8</t>
  </si>
  <si>
    <t>IS6Inv2M1SCB1</t>
  </si>
  <si>
    <t>IS6Inv2M1SCB2</t>
  </si>
  <si>
    <t>IS6Inv2M1SCB3</t>
  </si>
  <si>
    <t>IS6Inv2M1SCB4</t>
  </si>
  <si>
    <t>IS6Inv2M1SCB5</t>
  </si>
  <si>
    <t>IS6Inv2M1SCB6</t>
  </si>
  <si>
    <t>IS6Inv2M1SCB7</t>
  </si>
  <si>
    <t>IS6Inv2M1SCB8</t>
  </si>
  <si>
    <t>IS6Inv2M2SCB1</t>
  </si>
  <si>
    <t>IS6Inv2M2SCB2</t>
  </si>
  <si>
    <t>IS6Inv2M2SCB3</t>
  </si>
  <si>
    <t>IS6Inv2M2SCB4</t>
  </si>
  <si>
    <t>IS6Inv2M2SCB5</t>
  </si>
  <si>
    <t>IS6Inv2M2SCB6</t>
  </si>
  <si>
    <t>IS6Inv2M2SCB7</t>
  </si>
  <si>
    <t>IS6Inv2M2SCB8</t>
  </si>
  <si>
    <t>IS7Inv1M1SCB1</t>
  </si>
  <si>
    <t>IS7Inv1M1SCB2</t>
  </si>
  <si>
    <t>IS7Inv1M1SCB3</t>
  </si>
  <si>
    <t>IS7Inv1M1SCB4</t>
  </si>
  <si>
    <t>IS7Inv1M1SCB5</t>
  </si>
  <si>
    <t>IS7Inv1M1SCB6</t>
  </si>
  <si>
    <t>IS7Inv2M1SCB1</t>
  </si>
  <si>
    <t>IS7Inv2M1SCB2</t>
  </si>
  <si>
    <t>IS7Inv2M1SCB3</t>
  </si>
  <si>
    <t>IS7Inv2M1SCB4</t>
  </si>
  <si>
    <t>IS7Inv2M1SCB5</t>
  </si>
  <si>
    <t>IS7Inv2M1SCB6</t>
  </si>
  <si>
    <t>IS8Inv1M1SCB1</t>
  </si>
  <si>
    <t>IS8Inv1M1SCB2</t>
  </si>
  <si>
    <t>IS8Inv1M1SCB3</t>
  </si>
  <si>
    <t>IS8Inv1M1SCB4</t>
  </si>
  <si>
    <t>IS8Inv1M1SCB5</t>
  </si>
  <si>
    <t>IS8Inv1M1SCB6</t>
  </si>
  <si>
    <t>IS8Inv1M2SCB1</t>
  </si>
  <si>
    <t>IS8Inv1M2SCB2</t>
  </si>
  <si>
    <t>IS8Inv1M2SCB3</t>
  </si>
  <si>
    <t>IS8Inv1M2SCB4</t>
  </si>
  <si>
    <t>IS8Inv1M2SCB5</t>
  </si>
  <si>
    <t>IS8Inv1M2SCB6</t>
  </si>
  <si>
    <t>IS8Inv1M3SCB1</t>
  </si>
  <si>
    <t>IS8Inv1M3SCB2</t>
  </si>
  <si>
    <t>IS8Inv1M3SCB3</t>
  </si>
  <si>
    <t>IS8Inv1M3SCB4</t>
  </si>
  <si>
    <t>IS8Inv1M3SCB5</t>
  </si>
  <si>
    <t>IS8Inv1M3SCB6</t>
  </si>
  <si>
    <t>IS8Inv1M4SCB1</t>
  </si>
  <si>
    <t>IS8Inv1M4SCB2</t>
  </si>
  <si>
    <t>IS8Inv1M4SCB3</t>
  </si>
  <si>
    <t>IS8Inv1M4SCB4</t>
  </si>
  <si>
    <t>IS8Inv1M4SCB5</t>
  </si>
  <si>
    <t>IS8Inv1M4SCB6</t>
  </si>
  <si>
    <t>IS9Inv1M1SCB1</t>
  </si>
  <si>
    <t>IS9Inv1M1SCB2</t>
  </si>
  <si>
    <t>IS9Inv1M1SCB3</t>
  </si>
  <si>
    <t>IS9Inv1M1SCB4</t>
  </si>
  <si>
    <t>IS9Inv1M1SCB5</t>
  </si>
  <si>
    <t>IS9Inv1M1SCB6</t>
  </si>
  <si>
    <t>IS9Inv1M1SCB7</t>
  </si>
  <si>
    <t>IS9Inv1M1SCB8</t>
  </si>
  <si>
    <t>IS9Inv1M1SCB9</t>
  </si>
  <si>
    <t>IS9Inv1M2SCB1</t>
  </si>
  <si>
    <t>IS9Inv1M2SCB2</t>
  </si>
  <si>
    <t>IS9Inv1M2SCB3</t>
  </si>
  <si>
    <t>IS9Inv1M2SCB4</t>
  </si>
  <si>
    <t>IS9Inv1M2SCB5</t>
  </si>
  <si>
    <t>IS9Inv1M2SCB6</t>
  </si>
  <si>
    <t>IS9Inv1M2SCB7</t>
  </si>
  <si>
    <t>IS9Inv1M2SCB8</t>
  </si>
  <si>
    <t>IS9Inv1M2SCB9</t>
  </si>
  <si>
    <t>IS9Inv2M1SCB1</t>
  </si>
  <si>
    <t>IS9Inv2M1SCB2</t>
  </si>
  <si>
    <t>IS9Inv2M1SCB3</t>
  </si>
  <si>
    <t>IS9Inv2M1SCB4</t>
  </si>
  <si>
    <t>IS9Inv2M1SCB5</t>
  </si>
  <si>
    <t>IS9Inv2M1SCB6</t>
  </si>
  <si>
    <t>IS9Inv2M1SCB7</t>
  </si>
  <si>
    <t>IS9Inv2M1SCB8</t>
  </si>
  <si>
    <t>IS9Inv2M1SCB9</t>
  </si>
  <si>
    <t>IS9Inv2M2SCB1</t>
  </si>
  <si>
    <t>IS9Inv2M2SCB2</t>
  </si>
  <si>
    <t>IS9Inv2M2SCB3</t>
  </si>
  <si>
    <t>IS9Inv2M2SCB4</t>
  </si>
  <si>
    <t>IS9Inv2M2SCB5</t>
  </si>
  <si>
    <t>IS9Inv2M2SCB6</t>
  </si>
  <si>
    <t>IS9Inv2M2SCB7</t>
  </si>
  <si>
    <t>IS9Inv2M2SCB8</t>
  </si>
  <si>
    <t>IS9Inv2M2SCB9</t>
  </si>
  <si>
    <t>IS1Tx</t>
  </si>
  <si>
    <t>IS2Tx</t>
  </si>
  <si>
    <t>IS3Tx</t>
  </si>
  <si>
    <t>IS4Tx</t>
  </si>
  <si>
    <t>IS5Tx</t>
  </si>
  <si>
    <t>IS6Tx</t>
  </si>
  <si>
    <t>IS7Tx</t>
  </si>
  <si>
    <t>IS8Tx</t>
  </si>
  <si>
    <t>IS9Tx</t>
  </si>
  <si>
    <t>IS1VCB</t>
  </si>
  <si>
    <t>IS2VCB</t>
  </si>
  <si>
    <t>IS3VCB</t>
  </si>
  <si>
    <t>IS4VCB</t>
  </si>
  <si>
    <t>IS5VCB</t>
  </si>
  <si>
    <t>IS6VCB</t>
  </si>
  <si>
    <t>IS7VCB</t>
  </si>
  <si>
    <t>IS8VCB</t>
  </si>
  <si>
    <t>IS9VCB</t>
  </si>
  <si>
    <t>SolarF3Iso</t>
  </si>
  <si>
    <t>SolarF4Iso</t>
  </si>
  <si>
    <t>SolarF5Iso</t>
  </si>
  <si>
    <t>Line2</t>
  </si>
  <si>
    <t>TX2</t>
  </si>
  <si>
    <t>Line3</t>
  </si>
  <si>
    <t>TX3</t>
  </si>
  <si>
    <t>IS10Inv1</t>
  </si>
  <si>
    <t>IS10Inv2</t>
  </si>
  <si>
    <t>IS10Inv3</t>
  </si>
  <si>
    <t>IS10Inv4</t>
  </si>
  <si>
    <t>IS11Inv1</t>
  </si>
  <si>
    <t>IS10Inv1M1SCB1</t>
  </si>
  <si>
    <t>IS10Inv1M1SCB2</t>
  </si>
  <si>
    <t>IS10Inv1M1SCB3</t>
  </si>
  <si>
    <t>IS10Inv1M1SCB4</t>
  </si>
  <si>
    <t>IS10Inv1M1SCB5</t>
  </si>
  <si>
    <t>IS10Inv1M1SCB6</t>
  </si>
  <si>
    <t>IS10Inv1M1SCB7</t>
  </si>
  <si>
    <t>IS10Inv1M1SCB8</t>
  </si>
  <si>
    <t>IS10Inv1M1SCB9</t>
  </si>
  <si>
    <t>IS10Inv1M2SCB1</t>
  </si>
  <si>
    <t>IS10Inv1M2SCB2</t>
  </si>
  <si>
    <t>IS10Inv1M2SCB3</t>
  </si>
  <si>
    <t>IS10Inv1M2SCB4</t>
  </si>
  <si>
    <t>IS10Inv1M2SCB5</t>
  </si>
  <si>
    <t>IS10Inv1M2SCB6</t>
  </si>
  <si>
    <t>IS10Inv1M2SCB7</t>
  </si>
  <si>
    <t>IS10Inv1M2SCB8</t>
  </si>
  <si>
    <t>IS10Inv1M2SCB9</t>
  </si>
  <si>
    <t>IS10Inv2M1SCB1</t>
  </si>
  <si>
    <t>IS10Inv2M1SCB2</t>
  </si>
  <si>
    <t>IS10Inv2M1SCB3</t>
  </si>
  <si>
    <t>IS10Inv2M1SCB4</t>
  </si>
  <si>
    <t>IS10Inv2M1SCB5</t>
  </si>
  <si>
    <t>IS10Inv2M1SCB6</t>
  </si>
  <si>
    <t>IS10Inv2M1SCB7</t>
  </si>
  <si>
    <t>IS10Inv2M1SCB8</t>
  </si>
  <si>
    <t>IS10Inv2M1SCB9</t>
  </si>
  <si>
    <t>IS10Inv2M2SCB1</t>
  </si>
  <si>
    <t>IS10Inv2M2SCB2</t>
  </si>
  <si>
    <t>IS10Inv2M2SCB3</t>
  </si>
  <si>
    <t>IS10Inv2M2SCB4</t>
  </si>
  <si>
    <t>IS10Inv2M2SCB5</t>
  </si>
  <si>
    <t>IS10Inv2M2SCB6</t>
  </si>
  <si>
    <t>IS10Inv2M2SCB7</t>
  </si>
  <si>
    <t>IS10Inv2M2SCB8</t>
  </si>
  <si>
    <t>IS10Inv2M2SCB9</t>
  </si>
  <si>
    <t>IS10Inv3M1SCB1</t>
  </si>
  <si>
    <t>IS10Inv3M1SCB2</t>
  </si>
  <si>
    <t>IS10Inv3M1SCB3</t>
  </si>
  <si>
    <t>IS10Inv3M1SCB4</t>
  </si>
  <si>
    <t>IS10Inv3M1SCB5</t>
  </si>
  <si>
    <t>IS10Inv3M1SCB6</t>
  </si>
  <si>
    <t>IS10Inv3M1SCB7</t>
  </si>
  <si>
    <t>IS10Inv3M1SCB8</t>
  </si>
  <si>
    <t>IS10Inv3M1SCB9</t>
  </si>
  <si>
    <t>IS10Inv3M2SCB1</t>
  </si>
  <si>
    <t>IS10Inv3M2SCB2</t>
  </si>
  <si>
    <t>IS10Inv3M2SCB3</t>
  </si>
  <si>
    <t>IS10Inv3M2SCB4</t>
  </si>
  <si>
    <t>IS10Inv3M2SCB5</t>
  </si>
  <si>
    <t>IS10Inv3M2SCB6</t>
  </si>
  <si>
    <t>IS10Inv3M2SCB7</t>
  </si>
  <si>
    <t>IS10Inv3M2SCB8</t>
  </si>
  <si>
    <t>IS10Inv3M2SCB9</t>
  </si>
  <si>
    <t>IS10Inv4M1SCB1</t>
  </si>
  <si>
    <t>IS10Inv4M1SCB2</t>
  </si>
  <si>
    <t>IS10Inv4M1SCB3</t>
  </si>
  <si>
    <t>IS10Inv4M1SCB4</t>
  </si>
  <si>
    <t>IS10Inv4M1SCB5</t>
  </si>
  <si>
    <t>IS10Inv4M1SCB6</t>
  </si>
  <si>
    <t>IS10Inv4M1SCB7</t>
  </si>
  <si>
    <t>IS10Inv4M1SCB8</t>
  </si>
  <si>
    <t>IS10Inv4M1SCB9</t>
  </si>
  <si>
    <t>IS10Inv4M2SCB1</t>
  </si>
  <si>
    <t>IS10Inv4M2SCB2</t>
  </si>
  <si>
    <t>IS10Inv4M2SCB3</t>
  </si>
  <si>
    <t>IS10Inv4M2SCB4</t>
  </si>
  <si>
    <t>IS10Inv4M2SCB5</t>
  </si>
  <si>
    <t>IS10Inv4M2SCB6</t>
  </si>
  <si>
    <t>IS10Inv4M2SCB7</t>
  </si>
  <si>
    <t>IS10Inv4M2SCB8</t>
  </si>
  <si>
    <t>IS10Inv4M2SCB9</t>
  </si>
  <si>
    <t>IS11Inv1M1SCB1</t>
  </si>
  <si>
    <t>IS11Inv1M1SCB2</t>
  </si>
  <si>
    <t>IS11Inv1M1SCB3</t>
  </si>
  <si>
    <t>IS11Inv1M1SCB4</t>
  </si>
  <si>
    <t>IS11Inv1M1SCB5</t>
  </si>
  <si>
    <t>IS11Inv1M1SCB6</t>
  </si>
  <si>
    <t>IS11Inv1M2SCB1</t>
  </si>
  <si>
    <t>IS11Inv1M2SCB2</t>
  </si>
  <si>
    <t>IS11Inv1M2SCB3</t>
  </si>
  <si>
    <t>IS11Inv1M2SCB4</t>
  </si>
  <si>
    <t>IS11Inv1M2SCB5</t>
  </si>
  <si>
    <t>IS11Inv1M2SCB6</t>
  </si>
  <si>
    <t>IS11Inv1M3SCB1</t>
  </si>
  <si>
    <t>IS11Inv1M3SCB2</t>
  </si>
  <si>
    <t>IS11Inv1M3SCB3</t>
  </si>
  <si>
    <t>IS11Inv1M3SCB4</t>
  </si>
  <si>
    <t>IS11Inv1M3SCB5</t>
  </si>
  <si>
    <t>IS11Inv1M3SCB6</t>
  </si>
  <si>
    <t>IS11Inv1M4SCB1</t>
  </si>
  <si>
    <t>IS11Inv1M4SCB2</t>
  </si>
  <si>
    <t>IS11Inv1M4SCB3</t>
  </si>
  <si>
    <t>IS11Inv1M4SCB4</t>
  </si>
  <si>
    <t>IS11Inv1M4SCB5</t>
  </si>
  <si>
    <t>IS11Inv1M4SCB6</t>
  </si>
  <si>
    <t>IS12Inv1</t>
  </si>
  <si>
    <t>IS13Inv1</t>
  </si>
  <si>
    <t>IS13Inv2</t>
  </si>
  <si>
    <t>IS14Inv1</t>
  </si>
  <si>
    <t>IS14Inv2</t>
  </si>
  <si>
    <t>IS12Inv1M1SCB1</t>
  </si>
  <si>
    <t>IS12Inv1M1SCB2</t>
  </si>
  <si>
    <t>IS12Inv1M1SCB3</t>
  </si>
  <si>
    <t>IS12Inv1M1SCB4</t>
  </si>
  <si>
    <t>IS12Inv1M1SCB5</t>
  </si>
  <si>
    <t>IS12Inv1M1SCB6</t>
  </si>
  <si>
    <t>IS12Inv1M2SCB1</t>
  </si>
  <si>
    <t>IS12Inv1M2SCB2</t>
  </si>
  <si>
    <t>IS12Inv1M2SCB3</t>
  </si>
  <si>
    <t>IS12Inv1M2SCB4</t>
  </si>
  <si>
    <t>IS12Inv1M2SCB5</t>
  </si>
  <si>
    <t>IS12Inv1M2SCB6</t>
  </si>
  <si>
    <t>IS12Inv1M3SCB1</t>
  </si>
  <si>
    <t>IS12Inv1M3SCB2</t>
  </si>
  <si>
    <t>IS12Inv1M3SCB3</t>
  </si>
  <si>
    <t>IS12Inv1M3SCB4</t>
  </si>
  <si>
    <t>IS12Inv1M3SCB5</t>
  </si>
  <si>
    <t>IS12Inv1M3SCB6</t>
  </si>
  <si>
    <t>IS12Inv1M4SCB1</t>
  </si>
  <si>
    <t>IS12Inv1M4SCB2</t>
  </si>
  <si>
    <t>IS12Inv1M4SCB3</t>
  </si>
  <si>
    <t>IS12Inv1M4SCB4</t>
  </si>
  <si>
    <t>IS12Inv1M4SCB5</t>
  </si>
  <si>
    <t>IS12Inv1M4SCB6</t>
  </si>
  <si>
    <t>IS13Inv1M1SCB1</t>
  </si>
  <si>
    <t>IS13Inv1M1SCB2</t>
  </si>
  <si>
    <t>IS13Inv1M1SCB3</t>
  </si>
  <si>
    <t>IS13Inv1M1SCB4</t>
  </si>
  <si>
    <t>IS13Inv1M1SCB5</t>
  </si>
  <si>
    <t>IS13Inv1M1SCB6</t>
  </si>
  <si>
    <t>IS13Inv1M1SCB7</t>
  </si>
  <si>
    <t>IS13Inv1M2SCB1</t>
  </si>
  <si>
    <t>IS13Inv1M2SCB2</t>
  </si>
  <si>
    <t>IS13Inv1M2SCB3</t>
  </si>
  <si>
    <t>IS13Inv1M2SCB4</t>
  </si>
  <si>
    <t>IS13Inv1M2SCB5</t>
  </si>
  <si>
    <t>IS13Inv1M2SCB6</t>
  </si>
  <si>
    <t>IS13Inv1M2SCB7</t>
  </si>
  <si>
    <t>IS13Inv2M1SCB1</t>
  </si>
  <si>
    <t>IS13Inv2M1SCB2</t>
  </si>
  <si>
    <t>IS13Inv2M1SCB3</t>
  </si>
  <si>
    <t>IS13Inv2M1SCB4</t>
  </si>
  <si>
    <t>IS13Inv2M1SCB5</t>
  </si>
  <si>
    <t>IS13Inv2M1SCB6</t>
  </si>
  <si>
    <t>IS13Inv2M1SCB7</t>
  </si>
  <si>
    <t>IS13Inv2M2SCB1</t>
  </si>
  <si>
    <t>IS13Inv2M2SCB2</t>
  </si>
  <si>
    <t>IS13Inv2M2SCB3</t>
  </si>
  <si>
    <t>IS13Inv2M2SCB4</t>
  </si>
  <si>
    <t>IS13Inv2M2SCB5</t>
  </si>
  <si>
    <t>IS13Inv2M2SCB6</t>
  </si>
  <si>
    <t>IS13Inv2M2SCB7</t>
  </si>
  <si>
    <t>IS14Inv2M1SCB1</t>
  </si>
  <si>
    <t>IS14Inv2M1SCB2</t>
  </si>
  <si>
    <t>IS14Inv2M1SCB3</t>
  </si>
  <si>
    <t>IS14Inv2M1SCB4</t>
  </si>
  <si>
    <t>IS14Inv2M1SCB5</t>
  </si>
  <si>
    <t>IS14Inv2M1SCB6</t>
  </si>
  <si>
    <t>IS14Inv2M2SCB1</t>
  </si>
  <si>
    <t>IS14Inv2M2SCB2</t>
  </si>
  <si>
    <t>IS14Inv2M2SCB3</t>
  </si>
  <si>
    <t>IS14Inv2M2SCB4</t>
  </si>
  <si>
    <t>IS14Inv2M2SCB5</t>
  </si>
  <si>
    <t>IS14Inv2M2SCB6</t>
  </si>
  <si>
    <t>IS14Inv2M3SCB1</t>
  </si>
  <si>
    <t>IS14Inv2M3SCB2</t>
  </si>
  <si>
    <t>IS14Inv2M3SCB3</t>
  </si>
  <si>
    <t>IS14Inv2M3SCB4</t>
  </si>
  <si>
    <t>IS14Inv2M3SCB5</t>
  </si>
  <si>
    <t>IS14Inv2M3SCB6</t>
  </si>
  <si>
    <t>IS14Inv2M4SCB1</t>
  </si>
  <si>
    <t>IS14Inv2M4SCB2</t>
  </si>
  <si>
    <t>IS14Inv2M4SCB3</t>
  </si>
  <si>
    <t>IS14Inv2M4SCB4</t>
  </si>
  <si>
    <t>IS14Inv2M4SCB5</t>
  </si>
  <si>
    <t>IS14Inv2M4SCB6</t>
  </si>
  <si>
    <t>MCR_MVP_SolarF7</t>
  </si>
  <si>
    <t>IS14Inv1M1SCB1</t>
  </si>
  <si>
    <t>IS14Inv1M1SCB2</t>
  </si>
  <si>
    <t>IS14Inv1M1SCB3</t>
  </si>
  <si>
    <t>IS14Inv1M1SCB4</t>
  </si>
  <si>
    <t>IS14Inv1M1SCB5</t>
  </si>
  <si>
    <t>IS14Inv1M1SCB6</t>
  </si>
  <si>
    <t>IS14Inv1M2SCB1</t>
  </si>
  <si>
    <t>IS14Inv1M2SCB2</t>
  </si>
  <si>
    <t>IS14Inv1M2SCB3</t>
  </si>
  <si>
    <t>IS14Inv1M2SCB4</t>
  </si>
  <si>
    <t>IS14Inv1M2SCB5</t>
  </si>
  <si>
    <t>IS14Inv1M2SCB6</t>
  </si>
  <si>
    <t>IS14Inv1M3SCB1</t>
  </si>
  <si>
    <t>IS14Inv1M3SCB2</t>
  </si>
  <si>
    <t>IS14Inv1M3SCB3</t>
  </si>
  <si>
    <t>IS14Inv1M3SCB4</t>
  </si>
  <si>
    <t>IS14Inv1M3SCB5</t>
  </si>
  <si>
    <t>IS14Inv1M3SCB6</t>
  </si>
  <si>
    <t>IS14Inv1M4SCB1</t>
  </si>
  <si>
    <t>IS14Inv1M4SCB2</t>
  </si>
  <si>
    <t>IS14Inv1M4SCB3</t>
  </si>
  <si>
    <t>IS14Inv1M4SCB4</t>
  </si>
  <si>
    <t>IS14Inv1M4SCB5</t>
  </si>
  <si>
    <t>IS14Inv1M4SCB6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</si>
  <si>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</si>
  <si>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</si>
  <si>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</si>
  <si>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</si>
  <si>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</si>
  <si>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</si>
  <si>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</si>
  <si>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</si>
  <si>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</si>
  <si>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</si>
  <si>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</si>
  <si>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</si>
  <si>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</si>
  <si>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</si>
  <si>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</si>
  <si>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</si>
  <si>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</si>
  <si>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</si>
  <si>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</si>
  <si>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PoA(Wh/m2)</t>
  </si>
  <si>
    <t>Approximate Energy Loss (KWh)</t>
  </si>
  <si>
    <t>Job Card Number</t>
  </si>
  <si>
    <t>Buchholz Relay trip</t>
  </si>
  <si>
    <t>IDT Tripped</t>
  </si>
  <si>
    <t>In visual inspection there is observed and oil top up work</t>
  </si>
  <si>
    <t>GFDI Fault</t>
  </si>
  <si>
    <t xml:space="preserve">All SCB visual inspection checked &amp; VOC found checked. </t>
  </si>
  <si>
    <t>IDT tripped due to Overcurrent and earth fault</t>
  </si>
  <si>
    <t>IDT tripped due to Overcurrent and earth fault due to Phase-3 TL Line Bird Electrocution</t>
  </si>
  <si>
    <t>TL Line visual inspectionn checked Bird removed from line and charged</t>
  </si>
  <si>
    <t>UV/OV</t>
  </si>
  <si>
    <t>UV/OV 33KV side</t>
  </si>
  <si>
    <t>In visual inspection Checked found Birds electrocution and charged IDT</t>
  </si>
  <si>
    <t>Inverter Tripped on GFDI Fualt</t>
  </si>
  <si>
    <t>Fault not rectified from Sungrow service engineer</t>
  </si>
  <si>
    <t>DSP Internal fault</t>
  </si>
  <si>
    <t xml:space="preserve">DSP Internal fault as per discussion with service engineer Inverter AC and DC </t>
  </si>
  <si>
    <t>DSP Internal fault as per discussion with service engineer Inverter AC and DC OFF and restart the inverter</t>
  </si>
  <si>
    <t xml:space="preserve">GFDI Fault due to Auxiliary Transformer PT broken </t>
  </si>
  <si>
    <t>GFDI Fault due to Auxiliary Transformer PT broken so Neutral leakage current came to Inverter. So we bypass R-Phase PT and start the inverter</t>
  </si>
  <si>
    <t>Internal Fault</t>
  </si>
  <si>
    <t>Inverter Internal fault</t>
  </si>
  <si>
    <t>Internal fault as per discussion with service engineer Inverter AC and DC OFF and restart the inverter</t>
  </si>
  <si>
    <t xml:space="preserve">IDT tripped </t>
  </si>
  <si>
    <t>IDT Tripped due to IDT Live thermography</t>
  </si>
  <si>
    <t>IDT Tripped due to IDT live thermography</t>
  </si>
  <si>
    <t>Inverter 4</t>
  </si>
  <si>
    <t>Dc String</t>
  </si>
  <si>
    <t xml:space="preserve">DC String </t>
  </si>
  <si>
    <t>Fuse Damage</t>
  </si>
  <si>
    <t>In SCB Fuse Damage</t>
  </si>
  <si>
    <t>OV/UV</t>
  </si>
  <si>
    <t>PTR charged after discussion with GSS end. 132KV Malkapur line Line insulator broken</t>
  </si>
  <si>
    <t>PTR charged after discussion with GSS end.</t>
  </si>
  <si>
    <t>IDT Tripped due to IDT Buchloz relay operated becaused AUM service engineer LV side busbar changed</t>
  </si>
  <si>
    <t>Air realased from Buchloz relay and transformer charged</t>
  </si>
  <si>
    <t>Inverter SCB Cable burned in cable trench</t>
  </si>
  <si>
    <t>SCB Cable jointing work is in progress</t>
  </si>
  <si>
    <t xml:space="preserve">String </t>
  </si>
  <si>
    <t>String No 01 &amp; 07 DC cable Cut and fuse Damage</t>
  </si>
  <si>
    <t>02 No's String Breakdown due to the 6 Sq mm DC Cable Cut &amp; Fuse Damge.</t>
  </si>
  <si>
    <t>Dc Cable Replace Work Done and Fuse Replace done &amp; after Generation &amp; String Charge.</t>
  </si>
  <si>
    <t xml:space="preserve">6 sq mm DC Cable Damage </t>
  </si>
  <si>
    <t xml:space="preserve">String Breakdown due to the 6 Sq mm DC Cable Damage </t>
  </si>
  <si>
    <t>DC Cable Replace Work Done after Generation &amp; String Charge.</t>
  </si>
  <si>
    <t>Curtailment</t>
  </si>
  <si>
    <t>As per GSS and LD instruction Plant tripped due to generation curtailment</t>
  </si>
  <si>
    <t>All incomer was charged after instruction from LD &amp; GSS</t>
  </si>
  <si>
    <t>String</t>
  </si>
  <si>
    <t xml:space="preserve">String Breakdown due to the Fuse Damage </t>
  </si>
  <si>
    <t>Fuse Replace Work done after generation  &amp; String Charge.</t>
  </si>
  <si>
    <t>Y Connector Damage</t>
  </si>
  <si>
    <t>Y Connector Replace work at after generation &amp; String Charge.</t>
  </si>
  <si>
    <t>MC4 Connector Not Proper Connect.</t>
  </si>
  <si>
    <t>MC4 Connector Proper Connect &amp; than String Charge.</t>
  </si>
  <si>
    <t xml:space="preserve">IDT tripped due to Overcurrent </t>
  </si>
  <si>
    <t>IDT tripped due to Overcurrent</t>
  </si>
  <si>
    <t>Overcurrent setting check by project team and change the setting</t>
  </si>
  <si>
    <t xml:space="preserve">PTR tripped due to over current and earth fault </t>
  </si>
  <si>
    <t>Phase3  During the heavy wind 33kv TL line conductor were touch each other phase R,Y</t>
  </si>
  <si>
    <t xml:space="preserve"> phase3 TL Line visual inspection done wind position normal then after gate trial and charge </t>
  </si>
  <si>
    <t>Series Connection Worng.</t>
  </si>
  <si>
    <t>String Breakdown due to the Module Interchange.</t>
  </si>
  <si>
    <t>After Series Conncection Proper Done Than String Done.</t>
  </si>
  <si>
    <t>MC4 Connector was Open</t>
  </si>
  <si>
    <t>String Breakdown due to the MC4 Connector was Open.</t>
  </si>
  <si>
    <t>After Connect  MC4 Connector &amp; than String Charge.</t>
  </si>
  <si>
    <t>String Breakdown due to Series Connection not Proper.</t>
  </si>
  <si>
    <t>Series Connection Correct and then Charge String.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</si>
  <si>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</si>
  <si>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</si>
  <si>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</si>
  <si>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</si>
  <si>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</si>
  <si>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</si>
  <si>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>Generation start(All incomer) after permission getting from LD nagpur</t>
  </si>
  <si>
    <t>b</t>
  </si>
  <si>
    <t>Contrcatual Year</t>
  </si>
  <si>
    <t>Cycle Number</t>
  </si>
  <si>
    <t>Resources</t>
  </si>
  <si>
    <t>IS2Inv3M1</t>
  </si>
  <si>
    <t>IS2Inv3M2</t>
  </si>
  <si>
    <t>IS2Inv3M3</t>
  </si>
  <si>
    <t>IS2Inv3M4</t>
  </si>
  <si>
    <t>IS2Inv4M1</t>
  </si>
  <si>
    <t>IS2Inv4M2</t>
  </si>
  <si>
    <t>IS2Inv4M3</t>
  </si>
  <si>
    <t>IS2Inv4M4</t>
  </si>
  <si>
    <t>IS3Inv5M1</t>
  </si>
  <si>
    <t>IS3Inv5M2</t>
  </si>
  <si>
    <t>IS3Inv6M1</t>
  </si>
  <si>
    <t>IS3Inv6M2</t>
  </si>
  <si>
    <t>IS4Inv7M1</t>
  </si>
  <si>
    <t>IS4Inv7M2</t>
  </si>
  <si>
    <t>IS4Inv8M1</t>
  </si>
  <si>
    <t>IS4Inv8M2</t>
  </si>
  <si>
    <t>IS4Inv9M1</t>
  </si>
  <si>
    <t>IS4Inv9M2</t>
  </si>
  <si>
    <t>IS4Inv10M1</t>
  </si>
  <si>
    <t>IS4Inv10M2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</si>
  <si>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</si>
  <si>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</si>
  <si>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</si>
  <si>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</si>
  <si>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</si>
  <si>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</si>
  <si>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</si>
  <si>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</si>
  <si>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Water Tanker</t>
  </si>
  <si>
    <t>MOP</t>
  </si>
  <si>
    <t>Cleaning Stop due to Fanbalt Broken</t>
  </si>
  <si>
    <t>Cleaning not done due to marriage in vendor's family</t>
  </si>
  <si>
    <t>Cleaning stop due to Tractor pulli Broken</t>
  </si>
  <si>
    <t>Cleaning Stop due to Tractor under breakdown</t>
  </si>
  <si>
    <t>IS5Inv11M1</t>
  </si>
  <si>
    <t>IS5Inv11M2</t>
  </si>
  <si>
    <t>IS5Inv12M1</t>
  </si>
  <si>
    <t>IS5Inv12M2</t>
  </si>
  <si>
    <t>IS6Inv13M1</t>
  </si>
  <si>
    <t>IS6Inv13M2</t>
  </si>
  <si>
    <t>IS6Inv14M1</t>
  </si>
  <si>
    <t>IS6Inv14M2</t>
  </si>
  <si>
    <t>IS7Inv15M1</t>
  </si>
  <si>
    <t>IS7Inv16M1</t>
  </si>
  <si>
    <t>IS8Inv17M1</t>
  </si>
  <si>
    <t>IS8Inv17M2</t>
  </si>
  <si>
    <t>IS8Inv17M3</t>
  </si>
  <si>
    <t>IS8Inv17M4</t>
  </si>
  <si>
    <t>IS9Inv18M1</t>
  </si>
  <si>
    <t>IS9Inv18M2</t>
  </si>
  <si>
    <t>IS9Inv19M1</t>
  </si>
  <si>
    <t>IS9Inv19M2</t>
  </si>
  <si>
    <t>Rin fall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</si>
  <si>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</si>
  <si>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No.Table GC done</t>
  </si>
  <si>
    <t>Mrthod of Cutting</t>
  </si>
  <si>
    <t>Rotavator</t>
  </si>
  <si>
    <t>Manually Grass Cutting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</si>
  <si>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</si>
  <si>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</si>
  <si>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</si>
  <si>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</si>
  <si>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</si>
  <si>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</si>
  <si>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</si>
  <si>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</si>
  <si>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</si>
  <si>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</si>
  <si>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</si>
  <si>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</si>
  <si>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</si>
  <si>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</si>
  <si>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</si>
  <si>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</si>
  <si>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</si>
  <si>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</si>
  <si>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</si>
  <si>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</si>
  <si>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</si>
  <si>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</si>
  <si>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</si>
  <si>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</si>
  <si>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</si>
  <si>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</si>
  <si>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</si>
  <si>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</si>
  <si>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</si>
  <si>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</si>
  <si>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</si>
  <si>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</si>
  <si>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</si>
  <si>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</si>
  <si>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</si>
  <si>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</si>
  <si>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</si>
  <si>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FY25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</si>
  <si>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</si>
  <si>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</si>
  <si>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</si>
  <si>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</si>
  <si>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</si>
  <si>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</si>
  <si>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</si>
  <si>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</si>
  <si>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</si>
  <si>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</si>
  <si>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</si>
  <si>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</si>
  <si>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132 kV TL line Manual Trip due to 
CT &amp; PT Oil Leakage Attend work From GSS Side.</t>
  </si>
  <si>
    <t>132 kV TL CT &amp; PT  Oil Leakage attend work Complete and then Charge Grid Line.</t>
  </si>
  <si>
    <t xml:space="preserve"> 132 KV Line Manual Trip Due To The GSS End Side PT&amp;CT Oil Lealage Attend Work At 11:16AM To 19:51PM</t>
  </si>
  <si>
    <t>ICR 14 INV 01 Unit 02 SCB Shifted to Unit 01 no anyone scb connected in unit 2 reading is zero &amp; Fully Cloudy Weather &amp; Heavy rain</t>
  </si>
  <si>
    <t>IDT Tripped due to Project work</t>
  </si>
  <si>
    <t xml:space="preserve">DC Capacity increase </t>
  </si>
  <si>
    <t>SCB Cable work completed</t>
  </si>
  <si>
    <t xml:space="preserve">Inv Trip By Project Team </t>
  </si>
  <si>
    <t xml:space="preserve">DC Capacity increase Durating Night Time </t>
  </si>
  <si>
    <t xml:space="preserve">Inv Start After Rain Over </t>
  </si>
  <si>
    <t xml:space="preserve">String No 04 Breakdown Due to Sreise Open </t>
  </si>
  <si>
    <t xml:space="preserve">String No 07 Breakdown Due to Sreise Open </t>
  </si>
  <si>
    <t xml:space="preserve">String No 02 Breakdown Due to Sreise Open </t>
  </si>
  <si>
    <t xml:space="preserve">String No 06 Breakdown Due to Sreise Open </t>
  </si>
  <si>
    <t>String No 06&amp;07 Breakdown Due to MC4 Connector Damage.</t>
  </si>
  <si>
    <t xml:space="preserve">String No 01&amp;09 Breakdown Due to Sreise Open </t>
  </si>
  <si>
    <t>String No 06 Breakdown Due to Y Connector Damage</t>
  </si>
  <si>
    <t>String No 05 Breakdown Due to MC4 Connector Damage.</t>
  </si>
  <si>
    <t xml:space="preserve">String No 08 Breakdown Due to Sreise Open </t>
  </si>
  <si>
    <t xml:space="preserve">After Generation String Rectification Done </t>
  </si>
  <si>
    <t xml:space="preserve">Internal Fault </t>
  </si>
  <si>
    <t xml:space="preserve">Check All SCB Cable is Healthey </t>
  </si>
  <si>
    <t xml:space="preserve">Unit Breakdown due to DC Component Fault </t>
  </si>
  <si>
    <t xml:space="preserve">Check Voc All SCB Cable is Healthey </t>
  </si>
  <si>
    <t>Line</t>
  </si>
  <si>
    <t>IS10Tx</t>
  </si>
  <si>
    <t>IS11Tx</t>
  </si>
  <si>
    <t>IS12Tx</t>
  </si>
  <si>
    <t>IS13Tx</t>
  </si>
  <si>
    <t>IS14Tx</t>
  </si>
  <si>
    <t>Emergency Shutdown</t>
  </si>
  <si>
    <t>Visual Check All Inverter &amp; IDT Found ok Then Inverter Charge.</t>
  </si>
  <si>
    <t>ICR 06 &amp; 08 Emergency Shutdown Due to Local Issue From 09:47 to 11:18 Fully Cloudly Weathere</t>
  </si>
  <si>
    <t>ICR-10 INV-2 Unit2 internal fault at 8:54 to 9:49  Fully Cloudly Weathere</t>
  </si>
  <si>
    <t>ICR-10 INV-2 Unit2 internal fault at 12:26 to 13:20  Fully Cloudly Weathere</t>
  </si>
  <si>
    <t>Unit Brakdown due the soft start foult of unit 02</t>
  </si>
  <si>
    <t>Check Voc of INV 02 Unit 02  DC Cable Found Floating Voltage Not Proper &amp; Damage Module has been Bypassed and then Unit 02 Charge.</t>
  </si>
  <si>
    <t>50 Amps Replace Work Donde After Generation &amp; Than String Charge.</t>
  </si>
  <si>
    <t xml:space="preserve">Unit </t>
  </si>
  <si>
    <t>ICR 10 Inv 02 Unit 02 Breakdown due to the soft strat fault at 10:56 AM to 12:46 PM Fully Cloudly Weathere</t>
  </si>
  <si>
    <t>ICR 03 Trip due to Master Relay Trip</t>
  </si>
  <si>
    <t xml:space="preserve">Incomer 04 shudown due to the Over Currrent Fault </t>
  </si>
  <si>
    <t>Unit Brakdown due the DC Injection Pro</t>
  </si>
  <si>
    <t>ICR 03 Trip due to the Over Current &amp; Earth Fault</t>
  </si>
  <si>
    <t xml:space="preserve">Check Visual all is Normal Candition and then Charge </t>
  </si>
  <si>
    <t xml:space="preserve">Restoration Work Is Underprogress </t>
  </si>
  <si>
    <t>ICR 10 INV 02 Unit 02 Breakdown due to the DC Injection pro Fault at 06:07 to Continue. Fully Cloudly Weathere &amp; rain</t>
  </si>
  <si>
    <t>ICR 10 INV 02 Unit 02 Breakdown due to the DC Injection pro Fault at 06:30 to Continue. Fully Cloudly Weathere &amp; rain</t>
  </si>
  <si>
    <t>Inverter Brakdown due to the GFDI Pro Fault</t>
  </si>
  <si>
    <t>Check all SCB Cable is Voltage Floating ok Then INV Charge.</t>
  </si>
  <si>
    <t>Inverter Brakdown due to the Stand by Fault</t>
  </si>
  <si>
    <t>Inverter Brakdown due to the Stand By Fault</t>
  </si>
  <si>
    <t>Inverter Restart &amp; then Charge.</t>
  </si>
  <si>
    <t>Unit Breakdown due to the GFDI pro Fault</t>
  </si>
  <si>
    <t>Check SCB 2-2-6 String Cable Found DC String Cable Graund Fault then Isolate Faulty Cable and the Unit Charge</t>
  </si>
  <si>
    <t>ICR 06 INV 02 Unit 01 &amp; 02 Brakdown due to the GFDI Fault at 15:53 to 16:46 Fully Cloudly Weathere &amp; Heavy Rain.</t>
  </si>
  <si>
    <t>Check SCB 2-1-4 String Cable Found DC String Cable Graund Fault then Isolate Faulty Cable and the Unit Charge</t>
  </si>
  <si>
    <t>ICR 10 INV 02 Unit 01  Brakdown due to the GFDI pro Fault at 13:42 to 15:55 Fully Cloudly Weathere &amp; Heavy Rain.</t>
  </si>
  <si>
    <t xml:space="preserve">Unit S/down to Unit 01 fault restoration </t>
  </si>
  <si>
    <t>Unit 01 Fault Restoration Work Compalete after then Unit 02 Charge.</t>
  </si>
  <si>
    <t>String Brakdown due to the PV 07 Graound Fault.</t>
  </si>
  <si>
    <t>Pv 07 of SCB 2-2-6 Replace the MC4 Connctor and then Pv 07 Charge.</t>
  </si>
  <si>
    <t>Fully Cloudly Weather &amp; rain</t>
  </si>
  <si>
    <t>String Brakdown due to the PV 04 Graound Fault.</t>
  </si>
  <si>
    <t>String Brakdown PV 04 Graound Fault due to cut by tractor rotavator</t>
  </si>
  <si>
    <t>Pv 04 of SCB 2-2-2 Replace the MC4 Connctor &amp; 06 Sq.mm dc cable then Pv 04 Charge.</t>
  </si>
  <si>
    <t>unit 01 Auto start</t>
  </si>
  <si>
    <t>Isolate the Faulty String Cable and Then Uint 02 Charge.</t>
  </si>
  <si>
    <t>ICR 01 INV 02  Brakdown due to the GFDI pro Fault at 11:29 to 11:40 Moving Cloudly Weathere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</si>
</sst>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 * #,##0.00_ ;_ * \-#,##0.00_ ;_ * &quot;-&quot;??_ ;_ @_ "/>
    <numFmt numFmtId="164" formatCode="0.0"/>
    <numFmt numFmtId="165" formatCode="0.0%"/>
    <numFmt numFmtId="166" formatCode="_ * #,##0_ ;_ * \-#,##0_ ;_ * &quot;-&quot;??_ ;_ @_ "/>
    <numFmt numFmtId="167" formatCode="[$-409]d/mmm/yy;@"/>
    <numFmt numFmtId="168" formatCode="h:mm;@"/>
    <numFmt numFmtId="169" formatCode="0.000"/>
    <numFmt numFmtId="170" formatCode="[$-409]mmm/yy;@"/>
    <numFmt numFmtId="171" formatCode="[$-409]d\-mmm\-yy;@"/>
    <numFmt numFmtId="172" formatCode="[$-14009]hh:mm;@"/>
    <numFmt numFmtId="173" formatCode="[$-14009]hh:mm"/>
    <numFmt numFmtId="174" formatCode="[$-F400]h:mm:ss\ AM/PM"/>
  </numFmts>
  <fonts count="10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Palatino Linotype"/>
      <family val="1"/>
      <charset val="134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E2EFD9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theme="5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dotted">
        <color theme="5" tint="0.59996337778862885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41623">
    <xf numFmtId="0" fontId="0" fillId="0" borderId="0"/>
    <xf numFmtId="43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43" fontId="72" fillId="0" borderId="0" applyFont="0" applyFill="0" applyBorder="0" applyAlignment="0" applyProtection="0"/>
    <xf numFmtId="0" fontId="72" fillId="0" borderId="0"/>
    <xf numFmtId="0" fontId="69" fillId="0" borderId="0"/>
    <xf numFmtId="0" fontId="72" fillId="0" borderId="0"/>
    <xf numFmtId="0" fontId="72" fillId="0" borderId="0"/>
    <xf numFmtId="0" fontId="72" fillId="0" borderId="0"/>
    <xf numFmtId="0" fontId="70" fillId="0" borderId="0">
      <alignment vertical="center"/>
    </xf>
    <xf numFmtId="0" fontId="59" fillId="0" borderId="0"/>
    <xf numFmtId="0" fontId="72" fillId="0" borderId="0"/>
    <xf numFmtId="9" fontId="70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0" fillId="0" borderId="0" applyFont="0" applyFill="0" applyBorder="0" applyAlignment="0" applyProtection="0">
      <alignment vertical="center"/>
    </xf>
    <xf numFmtId="0" fontId="54" fillId="0" borderId="0"/>
    <xf numFmtId="0" fontId="73" fillId="0" borderId="0">
      <alignment vertical="center"/>
    </xf>
    <xf numFmtId="9" fontId="73" fillId="0" borderId="0" applyFont="0" applyFill="0" applyBorder="0" applyAlignment="0" applyProtection="0">
      <alignment vertical="center"/>
    </xf>
    <xf numFmtId="0" fontId="54" fillId="0" borderId="0"/>
    <xf numFmtId="43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4" fillId="0" borderId="0"/>
    <xf numFmtId="0" fontId="53" fillId="0" borderId="0"/>
    <xf numFmtId="0" fontId="53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53" fillId="0" borderId="0"/>
    <xf numFmtId="0" fontId="53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53" fillId="0" borderId="0"/>
    <xf numFmtId="0" fontId="52" fillId="0" borderId="0"/>
    <xf numFmtId="0" fontId="52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52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51" fillId="0" borderId="0"/>
    <xf numFmtId="0" fontId="51" fillId="0" borderId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1" fillId="0" borderId="0"/>
    <xf numFmtId="0" fontId="51" fillId="0" borderId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1" fillId="0" borderId="0"/>
    <xf numFmtId="0" fontId="75" fillId="0" borderId="0" applyNumberFormat="0" applyFill="0" applyBorder="0" applyAlignment="0" applyProtection="0"/>
    <xf numFmtId="0" fontId="76" fillId="0" borderId="41" applyNumberFormat="0" applyFill="0" applyAlignment="0" applyProtection="0"/>
    <xf numFmtId="0" fontId="77" fillId="0" borderId="42" applyNumberFormat="0" applyFill="0" applyAlignment="0" applyProtection="0"/>
    <xf numFmtId="0" fontId="78" fillId="0" borderId="43" applyNumberFormat="0" applyFill="0" applyAlignment="0" applyProtection="0"/>
    <xf numFmtId="0" fontId="78" fillId="0" borderId="0" applyNumberFormat="0" applyFill="0" applyBorder="0" applyAlignment="0" applyProtection="0"/>
    <xf numFmtId="0" fontId="79" fillId="18" borderId="0" applyNumberFormat="0" applyBorder="0" applyAlignment="0" applyProtection="0"/>
    <xf numFmtId="0" fontId="80" fillId="19" borderId="0" applyNumberFormat="0" applyBorder="0" applyAlignment="0" applyProtection="0"/>
    <xf numFmtId="0" fontId="81" fillId="20" borderId="0" applyNumberFormat="0" applyBorder="0" applyAlignment="0" applyProtection="0"/>
    <xf numFmtId="0" fontId="82" fillId="21" borderId="44" applyNumberFormat="0" applyAlignment="0" applyProtection="0"/>
    <xf numFmtId="0" fontId="83" fillId="22" borderId="45" applyNumberFormat="0" applyAlignment="0" applyProtection="0"/>
    <xf numFmtId="0" fontId="84" fillId="22" borderId="44" applyNumberFormat="0" applyAlignment="0" applyProtection="0"/>
    <xf numFmtId="0" fontId="85" fillId="0" borderId="46" applyNumberFormat="0" applyFill="0" applyAlignment="0" applyProtection="0"/>
    <xf numFmtId="0" fontId="63" fillId="23" borderId="47" applyNumberFormat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49" applyNumberFormat="0" applyFill="0" applyAlignment="0" applyProtection="0"/>
    <xf numFmtId="0" fontId="6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6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61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61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61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61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0" borderId="0"/>
    <xf numFmtId="0" fontId="50" fillId="24" borderId="48" applyNumberFormat="0" applyFont="0" applyAlignment="0" applyProtection="0"/>
    <xf numFmtId="0" fontId="49" fillId="0" borderId="0"/>
    <xf numFmtId="0" fontId="49" fillId="24" borderId="48" applyNumberFormat="0" applyFont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49" fillId="44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8" borderId="0" applyNumberFormat="0" applyBorder="0" applyAlignment="0" applyProtection="0"/>
    <xf numFmtId="0" fontId="48" fillId="0" borderId="0"/>
    <xf numFmtId="0" fontId="48" fillId="24" borderId="48" applyNumberFormat="0" applyFont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8" borderId="0" applyNumberFormat="0" applyBorder="0" applyAlignment="0" applyProtection="0"/>
    <xf numFmtId="0" fontId="48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47" fillId="0" borderId="0"/>
    <xf numFmtId="0" fontId="47" fillId="24" borderId="48" applyNumberFormat="0" applyFont="0" applyAlignment="0" applyProtection="0"/>
    <xf numFmtId="0" fontId="47" fillId="0" borderId="0"/>
    <xf numFmtId="0" fontId="47" fillId="24" borderId="48" applyNumberFormat="0" applyFont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47" fillId="0" borderId="0"/>
    <xf numFmtId="0" fontId="47" fillId="24" borderId="48" applyNumberFormat="0" applyFont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0" borderId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0" borderId="0"/>
    <xf numFmtId="0" fontId="46" fillId="24" borderId="48" applyNumberFormat="0" applyFont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6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0" borderId="0"/>
    <xf numFmtId="0" fontId="45" fillId="24" borderId="48" applyNumberFormat="0" applyFont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24" borderId="48" applyNumberFormat="0" applyFont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0" borderId="0"/>
    <xf numFmtId="0" fontId="43" fillId="24" borderId="48" applyNumberFormat="0" applyFont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0" borderId="0"/>
    <xf numFmtId="0" fontId="42" fillId="24" borderId="48" applyNumberFormat="0" applyFont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0" borderId="0"/>
    <xf numFmtId="0" fontId="41" fillId="24" borderId="48" applyNumberFormat="0" applyFont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0" borderId="0"/>
    <xf numFmtId="0" fontId="40" fillId="24" borderId="48" applyNumberFormat="0" applyFont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0" borderId="0"/>
    <xf numFmtId="0" fontId="39" fillId="24" borderId="48" applyNumberFormat="0" applyFont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0" borderId="0"/>
    <xf numFmtId="0" fontId="38" fillId="24" borderId="48" applyNumberFormat="0" applyFont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0" borderId="0"/>
    <xf numFmtId="0" fontId="37" fillId="24" borderId="48" applyNumberFormat="0" applyFont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0" borderId="0"/>
    <xf numFmtId="0" fontId="36" fillId="24" borderId="48" applyNumberFormat="0" applyFont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0" borderId="0"/>
    <xf numFmtId="0" fontId="35" fillId="24" borderId="48" applyNumberFormat="0" applyFont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0" borderId="0"/>
    <xf numFmtId="0" fontId="34" fillId="24" borderId="48" applyNumberFormat="0" applyFont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0" borderId="0"/>
    <xf numFmtId="0" fontId="33" fillId="24" borderId="48" applyNumberFormat="0" applyFont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0" borderId="0"/>
    <xf numFmtId="0" fontId="32" fillId="24" borderId="48" applyNumberFormat="0" applyFont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0" borderId="0"/>
    <xf numFmtId="0" fontId="31" fillId="24" borderId="48" applyNumberFormat="0" applyFont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0" borderId="0"/>
    <xf numFmtId="0" fontId="30" fillId="24" borderId="48" applyNumberFormat="0" applyFont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24" borderId="48" applyNumberFormat="0" applyFont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0" borderId="0"/>
    <xf numFmtId="0" fontId="28" fillId="24" borderId="48" applyNumberFormat="0" applyFont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0" borderId="0"/>
    <xf numFmtId="0" fontId="27" fillId="24" borderId="48" applyNumberFormat="0" applyFont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0" borderId="0"/>
    <xf numFmtId="0" fontId="26" fillId="24" borderId="48" applyNumberFormat="0" applyFont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0" borderId="0"/>
    <xf numFmtId="0" fontId="25" fillId="24" borderId="48" applyNumberFormat="0" applyFont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0" borderId="0"/>
    <xf numFmtId="0" fontId="24" fillId="24" borderId="48" applyNumberFormat="0" applyFont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  <xf numFmtId="0" fontId="23" fillId="24" borderId="48" applyNumberFormat="0" applyFont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24" borderId="48" applyNumberFormat="0" applyFont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97" fillId="0" borderId="0"/>
    <xf numFmtId="0" fontId="56" fillId="0" borderId="0"/>
    <xf numFmtId="0" fontId="99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01" fillId="0" borderId="0"/>
  </cellStyleXfs>
  <cellXfs count="35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7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0" borderId="3" xfId="0" applyBorder="1"/>
    <xf numFmtId="43" fontId="0" fillId="0" borderId="0" xfId="1" applyFont="1"/>
    <xf numFmtId="0" fontId="55" fillId="2" borderId="0" xfId="8" applyFont="1" applyFill="1" applyAlignment="1">
      <alignment horizontal="center" vertical="center" wrapText="1"/>
    </xf>
    <xf numFmtId="167" fontId="55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58" fillId="0" borderId="0" xfId="0" applyNumberFormat="1" applyFont="1" applyAlignment="1">
      <alignment horizontal="center"/>
    </xf>
    <xf numFmtId="2" fontId="58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3" fontId="55" fillId="2" borderId="0" xfId="1" applyFont="1" applyFill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0" fontId="0" fillId="0" borderId="0" xfId="2" applyNumberFormat="1" applyFont="1"/>
    <xf numFmtId="169" fontId="5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/>
    </xf>
    <xf numFmtId="0" fontId="55" fillId="2" borderId="4" xfId="9" applyFont="1" applyFill="1" applyBorder="1" applyAlignment="1">
      <alignment horizontal="center" vertical="center" wrapText="1"/>
    </xf>
    <xf numFmtId="167" fontId="55" fillId="2" borderId="5" xfId="9" applyNumberFormat="1" applyFont="1" applyFill="1" applyBorder="1" applyAlignment="1">
      <alignment horizontal="center" vertical="center" wrapText="1"/>
    </xf>
    <xf numFmtId="0" fontId="55" fillId="2" borderId="5" xfId="9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5" borderId="7" xfId="0" applyFill="1" applyBorder="1"/>
    <xf numFmtId="168" fontId="0" fillId="5" borderId="7" xfId="0" applyNumberFormat="1" applyFill="1" applyBorder="1" applyAlignment="1">
      <alignment horizontal="center" vertical="center"/>
    </xf>
    <xf numFmtId="20" fontId="0" fillId="5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right" vertical="center"/>
    </xf>
    <xf numFmtId="0" fontId="55" fillId="2" borderId="9" xfId="9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0" xfId="0" applyFill="1"/>
    <xf numFmtId="0" fontId="55" fillId="2" borderId="11" xfId="8" applyFont="1" applyFill="1" applyBorder="1" applyAlignment="1">
      <alignment horizontal="center" vertical="center" wrapText="1"/>
    </xf>
    <xf numFmtId="0" fontId="55" fillId="2" borderId="12" xfId="8" applyFont="1" applyFill="1" applyBorder="1" applyAlignment="1">
      <alignment horizontal="center" vertical="center" wrapText="1"/>
    </xf>
    <xf numFmtId="167" fontId="55" fillId="2" borderId="12" xfId="8" applyNumberFormat="1" applyFont="1" applyFill="1" applyBorder="1" applyAlignment="1">
      <alignment horizontal="center" vertical="center" wrapText="1"/>
    </xf>
    <xf numFmtId="10" fontId="55" fillId="2" borderId="12" xfId="13" applyNumberFormat="1" applyFont="1" applyFill="1" applyBorder="1" applyAlignment="1">
      <alignment horizontal="center" vertical="center" wrapText="1"/>
    </xf>
    <xf numFmtId="169" fontId="56" fillId="9" borderId="13" xfId="13" applyNumberFormat="1" applyFont="1" applyFill="1" applyBorder="1" applyAlignment="1">
      <alignment horizontal="center"/>
    </xf>
    <xf numFmtId="166" fontId="56" fillId="8" borderId="13" xfId="1" applyNumberFormat="1" applyFont="1" applyFill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55" fillId="2" borderId="12" xfId="0" applyNumberFormat="1" applyFont="1" applyFill="1" applyBorder="1" applyAlignment="1">
      <alignment horizontal="center" vertical="center" wrapText="1"/>
    </xf>
    <xf numFmtId="10" fontId="56" fillId="0" borderId="12" xfId="2" applyNumberFormat="1" applyFont="1" applyFill="1" applyBorder="1" applyAlignment="1">
      <alignment horizontal="center"/>
    </xf>
    <xf numFmtId="2" fontId="56" fillId="0" borderId="0" xfId="0" applyNumberFormat="1" applyFont="1" applyAlignment="1">
      <alignment horizontal="center"/>
    </xf>
    <xf numFmtId="0" fontId="55" fillId="2" borderId="12" xfId="0" applyFont="1" applyFill="1" applyBorder="1" applyAlignment="1">
      <alignment horizontal="center" vertical="center" wrapText="1"/>
    </xf>
    <xf numFmtId="170" fontId="56" fillId="8" borderId="14" xfId="0" applyNumberFormat="1" applyFont="1" applyFill="1" applyBorder="1" applyAlignment="1">
      <alignment horizontal="center"/>
    </xf>
    <xf numFmtId="169" fontId="56" fillId="9" borderId="12" xfId="13" applyNumberFormat="1" applyFont="1" applyFill="1" applyBorder="1" applyAlignment="1">
      <alignment horizontal="center"/>
    </xf>
    <xf numFmtId="166" fontId="56" fillId="8" borderId="11" xfId="1" applyNumberFormat="1" applyFont="1" applyFill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166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61" fillId="0" borderId="0" xfId="0" applyFont="1"/>
    <xf numFmtId="0" fontId="63" fillId="15" borderId="1" xfId="0" applyFont="1" applyFill="1" applyBorder="1" applyAlignment="1">
      <alignment vertical="center"/>
    </xf>
    <xf numFmtId="0" fontId="63" fillId="15" borderId="1" xfId="0" applyFont="1" applyFill="1" applyBorder="1" applyAlignment="1">
      <alignment horizontal="center" vertical="center" wrapText="1"/>
    </xf>
    <xf numFmtId="17" fontId="61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63" fillId="15" borderId="1" xfId="0" applyFont="1" applyFill="1" applyBorder="1" applyAlignment="1">
      <alignment horizontal="center" vertical="center"/>
    </xf>
    <xf numFmtId="0" fontId="65" fillId="16" borderId="20" xfId="0" applyFont="1" applyFill="1" applyBorder="1"/>
    <xf numFmtId="170" fontId="66" fillId="8" borderId="21" xfId="6" applyNumberFormat="1" applyFont="1" applyFill="1" applyBorder="1" applyAlignment="1">
      <alignment horizontal="left" vertical="center"/>
    </xf>
    <xf numFmtId="170" fontId="66" fillId="8" borderId="21" xfId="6" applyNumberFormat="1" applyFont="1" applyFill="1" applyBorder="1" applyAlignment="1">
      <alignment vertical="center"/>
    </xf>
    <xf numFmtId="170" fontId="66" fillId="8" borderId="22" xfId="6" applyNumberFormat="1" applyFont="1" applyFill="1" applyBorder="1" applyAlignment="1">
      <alignment vertical="center"/>
    </xf>
    <xf numFmtId="167" fontId="66" fillId="8" borderId="21" xfId="6" applyNumberFormat="1" applyFont="1" applyFill="1" applyBorder="1" applyAlignment="1">
      <alignment horizontal="left" vertical="center"/>
    </xf>
    <xf numFmtId="0" fontId="65" fillId="16" borderId="23" xfId="0" applyFont="1" applyFill="1" applyBorder="1"/>
    <xf numFmtId="167" fontId="66" fillId="8" borderId="24" xfId="6" applyNumberFormat="1" applyFont="1" applyFill="1" applyBorder="1" applyAlignment="1">
      <alignment horizontal="left" vertical="center"/>
    </xf>
    <xf numFmtId="170" fontId="66" fillId="8" borderId="25" xfId="6" applyNumberFormat="1" applyFont="1" applyFill="1" applyBorder="1" applyAlignment="1">
      <alignment vertical="center"/>
    </xf>
    <xf numFmtId="170" fontId="66" fillId="8" borderId="26" xfId="6" applyNumberFormat="1" applyFont="1" applyFill="1" applyBorder="1" applyAlignment="1">
      <alignment vertical="center"/>
    </xf>
    <xf numFmtId="0" fontId="67" fillId="8" borderId="27" xfId="0" applyFont="1" applyFill="1" applyBorder="1"/>
    <xf numFmtId="167" fontId="68" fillId="8" borderId="27" xfId="6" applyNumberFormat="1" applyFont="1" applyFill="1" applyBorder="1" applyAlignment="1">
      <alignment horizontal="left" vertical="center"/>
    </xf>
    <xf numFmtId="0" fontId="65" fillId="16" borderId="28" xfId="0" applyFont="1" applyFill="1" applyBorder="1" applyAlignment="1">
      <alignment horizontal="center" vertical="center" wrapText="1"/>
    </xf>
    <xf numFmtId="0" fontId="65" fillId="16" borderId="29" xfId="0" applyFont="1" applyFill="1" applyBorder="1" applyAlignment="1">
      <alignment horizontal="center" vertical="center" wrapText="1"/>
    </xf>
    <xf numFmtId="0" fontId="65" fillId="16" borderId="30" xfId="0" applyFont="1" applyFill="1" applyBorder="1" applyAlignment="1">
      <alignment horizontal="center" vertical="center" wrapText="1"/>
    </xf>
    <xf numFmtId="0" fontId="67" fillId="8" borderId="32" xfId="0" applyFont="1" applyFill="1" applyBorder="1"/>
    <xf numFmtId="1" fontId="66" fillId="8" borderId="32" xfId="2" applyNumberFormat="1" applyFont="1" applyFill="1" applyBorder="1" applyAlignment="1">
      <alignment horizontal="center" vertical="center"/>
    </xf>
    <xf numFmtId="10" fontId="67" fillId="8" borderId="32" xfId="15" applyNumberFormat="1" applyFont="1" applyFill="1" applyBorder="1" applyAlignment="1">
      <alignment horizontal="center"/>
    </xf>
    <xf numFmtId="0" fontId="67" fillId="8" borderId="35" xfId="0" applyFont="1" applyFill="1" applyBorder="1"/>
    <xf numFmtId="1" fontId="66" fillId="8" borderId="35" xfId="2" applyNumberFormat="1" applyFont="1" applyFill="1" applyBorder="1" applyAlignment="1">
      <alignment horizontal="center" vertical="center"/>
    </xf>
    <xf numFmtId="1" fontId="67" fillId="8" borderId="35" xfId="2" applyNumberFormat="1" applyFont="1" applyFill="1" applyBorder="1" applyAlignment="1">
      <alignment horizontal="center"/>
    </xf>
    <xf numFmtId="10" fontId="67" fillId="8" borderId="35" xfId="15" applyNumberFormat="1" applyFont="1" applyFill="1" applyBorder="1" applyAlignment="1">
      <alignment horizontal="center"/>
    </xf>
    <xf numFmtId="0" fontId="67" fillId="8" borderId="36" xfId="0" applyFont="1" applyFill="1" applyBorder="1"/>
    <xf numFmtId="0" fontId="67" fillId="8" borderId="38" xfId="0" applyFont="1" applyFill="1" applyBorder="1"/>
    <xf numFmtId="1" fontId="66" fillId="8" borderId="38" xfId="2" applyNumberFormat="1" applyFont="1" applyFill="1" applyBorder="1" applyAlignment="1">
      <alignment horizontal="center" vertical="center"/>
    </xf>
    <xf numFmtId="1" fontId="67" fillId="8" borderId="38" xfId="2" applyNumberFormat="1" applyFont="1" applyFill="1" applyBorder="1" applyAlignment="1">
      <alignment horizontal="center"/>
    </xf>
    <xf numFmtId="10" fontId="67" fillId="8" borderId="38" xfId="15" applyNumberFormat="1" applyFont="1" applyFill="1" applyBorder="1" applyAlignment="1">
      <alignment horizontal="center"/>
    </xf>
    <xf numFmtId="165" fontId="66" fillId="8" borderId="32" xfId="2" applyNumberFormat="1" applyFont="1" applyFill="1" applyBorder="1" applyAlignment="1">
      <alignment horizontal="center" vertical="center"/>
    </xf>
    <xf numFmtId="165" fontId="67" fillId="8" borderId="32" xfId="2" applyNumberFormat="1" applyFont="1" applyFill="1" applyBorder="1" applyAlignment="1">
      <alignment horizontal="center"/>
    </xf>
    <xf numFmtId="165" fontId="66" fillId="8" borderId="35" xfId="2" applyNumberFormat="1" applyFont="1" applyFill="1" applyBorder="1" applyAlignment="1">
      <alignment horizontal="center" vertical="center"/>
    </xf>
    <xf numFmtId="165" fontId="67" fillId="8" borderId="35" xfId="2" applyNumberFormat="1" applyFont="1" applyFill="1" applyBorder="1" applyAlignment="1">
      <alignment horizontal="center"/>
    </xf>
    <xf numFmtId="165" fontId="66" fillId="8" borderId="38" xfId="2" applyNumberFormat="1" applyFont="1" applyFill="1" applyBorder="1" applyAlignment="1">
      <alignment horizontal="center" vertical="center"/>
    </xf>
    <xf numFmtId="165" fontId="67" fillId="8" borderId="38" xfId="2" applyNumberFormat="1" applyFont="1" applyFill="1" applyBorder="1" applyAlignment="1">
      <alignment horizontal="center"/>
    </xf>
    <xf numFmtId="0" fontId="89" fillId="2" borderId="7" xfId="8" applyFont="1" applyFill="1" applyBorder="1" applyAlignment="1">
      <alignment horizontal="center" vertical="center" wrapText="1"/>
    </xf>
    <xf numFmtId="167" fontId="89" fillId="2" borderId="7" xfId="8" applyNumberFormat="1" applyFont="1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/>
    </xf>
    <xf numFmtId="167" fontId="90" fillId="17" borderId="51" xfId="0" applyNumberFormat="1" applyFont="1" applyFill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20" fontId="0" fillId="17" borderId="50" xfId="0" applyNumberFormat="1" applyFill="1" applyBorder="1" applyAlignment="1">
      <alignment horizontal="center"/>
    </xf>
    <xf numFmtId="0" fontId="0" fillId="17" borderId="50" xfId="0" applyFill="1" applyBorder="1" applyAlignment="1">
      <alignment horizontal="left"/>
    </xf>
    <xf numFmtId="0" fontId="0" fillId="17" borderId="53" xfId="0" applyFill="1" applyBorder="1" applyAlignment="1">
      <alignment horizontal="center"/>
    </xf>
    <xf numFmtId="20" fontId="0" fillId="17" borderId="53" xfId="0" applyNumberFormat="1" applyFill="1" applyBorder="1" applyAlignment="1">
      <alignment horizontal="center"/>
    </xf>
    <xf numFmtId="0" fontId="0" fillId="17" borderId="53" xfId="0" applyFill="1" applyBorder="1" applyAlignment="1">
      <alignment horizontal="center" vertical="center"/>
    </xf>
    <xf numFmtId="0" fontId="0" fillId="17" borderId="53" xfId="0" applyFill="1" applyBorder="1" applyAlignment="1">
      <alignment horizontal="left" vertical="center"/>
    </xf>
    <xf numFmtId="0" fontId="0" fillId="17" borderId="53" xfId="0" applyFill="1" applyBorder="1" applyAlignment="1">
      <alignment horizontal="left"/>
    </xf>
    <xf numFmtId="1" fontId="56" fillId="7" borderId="15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5" fillId="2" borderId="0" xfId="8" applyFont="1" applyFill="1" applyAlignment="1">
      <alignment vertical="center" wrapText="1"/>
    </xf>
    <xf numFmtId="1" fontId="66" fillId="8" borderId="21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61" fillId="15" borderId="1" xfId="0" applyNumberFormat="1" applyFont="1" applyFill="1" applyBorder="1" applyAlignment="1">
      <alignment horizontal="center" vertical="center"/>
    </xf>
    <xf numFmtId="0" fontId="72" fillId="8" borderId="0" xfId="5" applyFill="1" applyAlignment="1">
      <alignment horizontal="center"/>
    </xf>
    <xf numFmtId="0" fontId="72" fillId="8" borderId="0" xfId="5" applyFill="1"/>
    <xf numFmtId="0" fontId="72" fillId="8" borderId="0" xfId="5" applyFill="1" applyAlignment="1">
      <alignment horizontal="right"/>
    </xf>
    <xf numFmtId="171" fontId="60" fillId="11" borderId="15" xfId="10" applyNumberFormat="1" applyFont="1" applyFill="1" applyBorder="1" applyAlignment="1">
      <alignment horizontal="center" vertical="center"/>
    </xf>
    <xf numFmtId="169" fontId="56" fillId="11" borderId="15" xfId="0" applyNumberFormat="1" applyFont="1" applyFill="1" applyBorder="1" applyAlignment="1">
      <alignment horizontal="center"/>
    </xf>
    <xf numFmtId="0" fontId="0" fillId="49" borderId="54" xfId="0" applyFill="1" applyBorder="1" applyAlignment="1">
      <alignment horizontal="center" vertical="center"/>
    </xf>
    <xf numFmtId="166" fontId="58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56" fillId="8" borderId="15" xfId="0" applyFont="1" applyFill="1" applyBorder="1" applyAlignment="1">
      <alignment horizontal="center"/>
    </xf>
    <xf numFmtId="170" fontId="56" fillId="8" borderId="15" xfId="0" applyNumberFormat="1" applyFont="1" applyFill="1" applyBorder="1" applyAlignment="1">
      <alignment horizontal="center"/>
    </xf>
    <xf numFmtId="2" fontId="56" fillId="11" borderId="15" xfId="0" applyNumberFormat="1" applyFont="1" applyFill="1" applyBorder="1" applyAlignment="1">
      <alignment horizontal="center"/>
    </xf>
    <xf numFmtId="0" fontId="55" fillId="2" borderId="0" xfId="9" applyFont="1" applyFill="1" applyAlignment="1">
      <alignment horizontal="center" vertical="center" wrapText="1"/>
    </xf>
    <xf numFmtId="1" fontId="56" fillId="7" borderId="12" xfId="13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vertical="center"/>
    </xf>
    <xf numFmtId="166" fontId="56" fillId="0" borderId="15" xfId="1" applyNumberFormat="1" applyFont="1" applyFill="1" applyBorder="1" applyAlignment="1">
      <alignment horizontal="center"/>
    </xf>
    <xf numFmtId="166" fontId="56" fillId="0" borderId="55" xfId="1" applyNumberFormat="1" applyFont="1" applyFill="1" applyBorder="1" applyAlignment="1">
      <alignment horizontal="center"/>
    </xf>
    <xf numFmtId="166" fontId="56" fillId="0" borderId="14" xfId="1" applyNumberFormat="1" applyFont="1" applyFill="1" applyBorder="1" applyAlignment="1">
      <alignment horizontal="center"/>
    </xf>
    <xf numFmtId="0" fontId="95" fillId="2" borderId="0" xfId="9" applyFont="1" applyFill="1" applyAlignment="1">
      <alignment horizontal="center" vertical="center" wrapText="1"/>
    </xf>
    <xf numFmtId="10" fontId="95" fillId="2" borderId="12" xfId="13" applyNumberFormat="1" applyFont="1" applyFill="1" applyBorder="1" applyAlignment="1">
      <alignment horizontal="center" vertical="center" wrapText="1"/>
    </xf>
    <xf numFmtId="10" fontId="95" fillId="2" borderId="13" xfId="13" applyNumberFormat="1" applyFont="1" applyFill="1" applyBorder="1" applyAlignment="1">
      <alignment horizontal="center" vertical="center" wrapText="1"/>
    </xf>
    <xf numFmtId="172" fontId="56" fillId="7" borderId="15" xfId="13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15" fontId="0" fillId="5" borderId="7" xfId="0" applyNumberForma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43" fontId="56" fillId="0" borderId="15" xfId="1" applyFont="1" applyFill="1" applyBorder="1" applyAlignment="1">
      <alignment horizontal="center"/>
    </xf>
    <xf numFmtId="43" fontId="0" fillId="0" borderId="0" xfId="0" applyNumberFormat="1"/>
    <xf numFmtId="43" fontId="55" fillId="2" borderId="12" xfId="13" applyNumberFormat="1" applyFont="1" applyFill="1" applyBorder="1" applyAlignment="1">
      <alignment horizontal="center" vertical="center" wrapText="1"/>
    </xf>
    <xf numFmtId="43" fontId="0" fillId="8" borderId="0" xfId="0" applyNumberFormat="1" applyFill="1"/>
    <xf numFmtId="173" fontId="98" fillId="50" borderId="40" xfId="41614" applyNumberFormat="1" applyFont="1" applyFill="1" applyBorder="1" applyAlignment="1">
      <alignment horizontal="center"/>
    </xf>
    <xf numFmtId="0" fontId="72" fillId="8" borderId="0" xfId="5" applyFill="1" applyAlignment="1">
      <alignment wrapText="1"/>
    </xf>
    <xf numFmtId="164" fontId="98" fillId="11" borderId="15" xfId="0" applyNumberFormat="1" applyFont="1" applyFill="1" applyBorder="1" applyAlignment="1">
      <alignment horizontal="center"/>
    </xf>
    <xf numFmtId="0" fontId="67" fillId="8" borderId="34" xfId="0" applyFont="1" applyFill="1" applyBorder="1" applyAlignment="1">
      <alignment horizontal="center" vertical="center"/>
    </xf>
    <xf numFmtId="167" fontId="66" fillId="8" borderId="56" xfId="6" applyNumberFormat="1" applyFont="1" applyFill="1" applyBorder="1" applyAlignment="1">
      <alignment horizontal="left" vertical="center"/>
    </xf>
    <xf numFmtId="1" fontId="56" fillId="0" borderId="0" xfId="0" applyNumberFormat="1" applyFont="1" applyAlignment="1">
      <alignment horizontal="center"/>
    </xf>
    <xf numFmtId="164" fontId="56" fillId="11" borderId="15" xfId="0" applyNumberFormat="1" applyFont="1" applyFill="1" applyBorder="1" applyAlignment="1">
      <alignment horizontal="center"/>
    </xf>
    <xf numFmtId="1" fontId="56" fillId="11" borderId="15" xfId="0" applyNumberFormat="1" applyFont="1" applyFill="1" applyBorder="1" applyAlignment="1">
      <alignment horizontal="center"/>
    </xf>
    <xf numFmtId="10" fontId="55" fillId="2" borderId="0" xfId="13" applyNumberFormat="1" applyFont="1" applyFill="1" applyBorder="1" applyAlignment="1">
      <alignment horizontal="center" vertical="center" wrapText="1"/>
    </xf>
    <xf numFmtId="2" fontId="56" fillId="11" borderId="14" xfId="0" applyNumberFormat="1" applyFont="1" applyFill="1" applyBorder="1" applyAlignment="1">
      <alignment horizontal="center"/>
    </xf>
    <xf numFmtId="164" fontId="56" fillId="11" borderId="14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0" borderId="7" xfId="0" applyNumberFormat="1" applyBorder="1" applyAlignment="1">
      <alignment horizontal="center"/>
    </xf>
    <xf numFmtId="17" fontId="0" fillId="8" borderId="7" xfId="0" applyNumberFormat="1" applyFill="1" applyBorder="1" applyAlignment="1">
      <alignment horizontal="center"/>
    </xf>
    <xf numFmtId="10" fontId="0" fillId="0" borderId="1" xfId="2" applyNumberFormat="1" applyFont="1" applyBorder="1"/>
    <xf numFmtId="167" fontId="55" fillId="2" borderId="4" xfId="8" applyNumberFormat="1" applyFont="1" applyFill="1" applyBorder="1" applyAlignment="1">
      <alignment horizontal="center" vertical="center" wrapText="1"/>
    </xf>
    <xf numFmtId="0" fontId="55" fillId="2" borderId="5" xfId="8" applyFont="1" applyFill="1" applyBorder="1" applyAlignment="1">
      <alignment horizontal="center" vertical="center" wrapText="1"/>
    </xf>
    <xf numFmtId="15" fontId="0" fillId="0" borderId="6" xfId="0" applyNumberFormat="1" applyBorder="1"/>
    <xf numFmtId="2" fontId="0" fillId="0" borderId="5" xfId="0" applyNumberFormat="1" applyBorder="1" applyAlignment="1">
      <alignment horizontal="center"/>
    </xf>
    <xf numFmtId="15" fontId="0" fillId="0" borderId="57" xfId="0" applyNumberFormat="1" applyBorder="1"/>
    <xf numFmtId="2" fontId="0" fillId="0" borderId="8" xfId="0" applyNumberFormat="1" applyBorder="1" applyAlignment="1">
      <alignment horizontal="center"/>
    </xf>
    <xf numFmtId="15" fontId="0" fillId="0" borderId="0" xfId="0" applyNumberFormat="1"/>
    <xf numFmtId="165" fontId="0" fillId="0" borderId="7" xfId="2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5" borderId="7" xfId="0" applyNumberFormat="1" applyFill="1" applyBorder="1" applyAlignment="1">
      <alignment horizontal="center"/>
    </xf>
    <xf numFmtId="2" fontId="66" fillId="8" borderId="32" xfId="2" applyNumberFormat="1" applyFont="1" applyFill="1" applyBorder="1" applyAlignment="1">
      <alignment horizontal="center" vertical="center"/>
    </xf>
    <xf numFmtId="2" fontId="67" fillId="8" borderId="32" xfId="8432" applyNumberFormat="1" applyFont="1" applyFill="1" applyBorder="1" applyAlignment="1">
      <alignment horizontal="center"/>
    </xf>
    <xf numFmtId="2" fontId="66" fillId="8" borderId="35" xfId="2" applyNumberFormat="1" applyFont="1" applyFill="1" applyBorder="1" applyAlignment="1">
      <alignment horizontal="center" vertical="center"/>
    </xf>
    <xf numFmtId="2" fontId="67" fillId="8" borderId="35" xfId="2" applyNumberFormat="1" applyFont="1" applyFill="1" applyBorder="1" applyAlignment="1">
      <alignment horizontal="center"/>
    </xf>
    <xf numFmtId="2" fontId="66" fillId="8" borderId="38" xfId="2" applyNumberFormat="1" applyFont="1" applyFill="1" applyBorder="1" applyAlignment="1">
      <alignment horizontal="center" vertical="center"/>
    </xf>
    <xf numFmtId="2" fontId="67" fillId="8" borderId="38" xfId="2" applyNumberFormat="1" applyFont="1" applyFill="1" applyBorder="1" applyAlignment="1">
      <alignment horizontal="center"/>
    </xf>
    <xf numFmtId="167" fontId="90" fillId="17" borderId="58" xfId="0" applyNumberFormat="1" applyFont="1" applyFill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0" fontId="0" fillId="17" borderId="52" xfId="0" applyFill="1" applyBorder="1" applyAlignment="1">
      <alignment horizontal="center"/>
    </xf>
    <xf numFmtId="0" fontId="0" fillId="17" borderId="0" xfId="0" applyFill="1" applyAlignment="1">
      <alignment horizontal="center"/>
    </xf>
    <xf numFmtId="1" fontId="72" fillId="8" borderId="0" xfId="5" applyNumberFormat="1" applyFill="1"/>
    <xf numFmtId="2" fontId="0" fillId="0" borderId="0" xfId="41620" applyNumberFormat="1" applyFont="1" applyFill="1" applyAlignment="1">
      <alignment horizontal="center" vertical="center"/>
    </xf>
    <xf numFmtId="164" fontId="0" fillId="0" borderId="0" xfId="41620" applyNumberFormat="1" applyFont="1" applyFill="1" applyBorder="1" applyAlignment="1">
      <alignment horizontal="center" vertical="center"/>
    </xf>
    <xf numFmtId="2" fontId="0" fillId="0" borderId="0" xfId="41620" applyNumberFormat="1" applyFont="1" applyFill="1" applyBorder="1" applyAlignment="1">
      <alignment horizontal="center" vertical="center"/>
    </xf>
    <xf numFmtId="9" fontId="0" fillId="0" borderId="0" xfId="41619" applyFont="1"/>
    <xf numFmtId="1" fontId="98" fillId="7" borderId="15" xfId="13" applyNumberFormat="1" applyFont="1" applyFill="1" applyBorder="1" applyAlignment="1">
      <alignment horizontal="center"/>
    </xf>
    <xf numFmtId="166" fontId="98" fillId="8" borderId="11" xfId="1" applyNumberFormat="1" applyFont="1" applyFill="1" applyBorder="1" applyAlignment="1">
      <alignment horizontal="center"/>
    </xf>
    <xf numFmtId="166" fontId="98" fillId="8" borderId="13" xfId="1" applyNumberFormat="1" applyFont="1" applyFill="1" applyBorder="1" applyAlignment="1">
      <alignment horizontal="center"/>
    </xf>
    <xf numFmtId="169" fontId="98" fillId="9" borderId="12" xfId="13" applyNumberFormat="1" applyFont="1" applyFill="1" applyBorder="1" applyAlignment="1">
      <alignment horizontal="center"/>
    </xf>
    <xf numFmtId="0" fontId="63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17" fontId="0" fillId="0" borderId="63" xfId="41621" applyNumberFormat="1" applyFont="1" applyFill="1" applyBorder="1" applyAlignment="1">
      <alignment horizontal="center" vertical="center"/>
    </xf>
    <xf numFmtId="0" fontId="0" fillId="0" borderId="63" xfId="41621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10" fontId="0" fillId="0" borderId="63" xfId="41620" applyNumberFormat="1" applyFont="1" applyFill="1" applyBorder="1" applyAlignment="1">
      <alignment horizontal="center" vertical="center"/>
    </xf>
    <xf numFmtId="17" fontId="0" fillId="0" borderId="65" xfId="41621" applyNumberFormat="1" applyFont="1" applyFill="1" applyBorder="1" applyAlignment="1">
      <alignment horizontal="center" vertical="center"/>
    </xf>
    <xf numFmtId="0" fontId="0" fillId="0" borderId="65" xfId="41621" applyNumberFormat="1" applyFont="1" applyFill="1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0" fontId="0" fillId="0" borderId="65" xfId="41620" applyNumberFormat="1" applyFont="1" applyFill="1" applyBorder="1" applyAlignment="1">
      <alignment horizontal="center" vertical="center"/>
    </xf>
    <xf numFmtId="17" fontId="0" fillId="0" borderId="65" xfId="0" applyNumberFormat="1" applyBorder="1" applyAlignment="1">
      <alignment horizontal="center" vertical="center"/>
    </xf>
    <xf numFmtId="10" fontId="0" fillId="0" borderId="65" xfId="0" applyNumberFormat="1" applyBorder="1" applyAlignment="1">
      <alignment horizontal="center" vertical="center"/>
    </xf>
    <xf numFmtId="0" fontId="63" fillId="0" borderId="62" xfId="41622" applyFont="1" applyBorder="1" applyAlignment="1">
      <alignment horizontal="center" vertical="center" wrapText="1"/>
    </xf>
    <xf numFmtId="167" fontId="55" fillId="0" borderId="62" xfId="41618" applyNumberFormat="1" applyFont="1" applyBorder="1" applyAlignment="1">
      <alignment horizontal="center" vertical="center" wrapText="1"/>
    </xf>
    <xf numFmtId="0" fontId="55" fillId="0" borderId="62" xfId="41618" applyFont="1" applyBorder="1" applyAlignment="1">
      <alignment horizontal="center" vertical="center" wrapText="1"/>
    </xf>
    <xf numFmtId="0" fontId="63" fillId="0" borderId="62" xfId="0" applyFont="1" applyBorder="1" applyAlignment="1">
      <alignment horizontal="center" vertical="center" wrapText="1"/>
    </xf>
    <xf numFmtId="9" fontId="63" fillId="0" borderId="62" xfId="41619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9" fontId="0" fillId="0" borderId="0" xfId="41620" applyFont="1" applyFill="1" applyAlignment="1">
      <alignment horizontal="center" vertical="center"/>
    </xf>
    <xf numFmtId="10" fontId="92" fillId="0" borderId="0" xfId="41620" applyNumberFormat="1" applyFont="1" applyFill="1" applyAlignment="1">
      <alignment horizontal="center" vertical="center"/>
    </xf>
    <xf numFmtId="165" fontId="0" fillId="0" borderId="0" xfId="41620" applyNumberFormat="1" applyFont="1" applyFill="1" applyAlignment="1">
      <alignment horizontal="center" vertical="center"/>
    </xf>
    <xf numFmtId="10" fontId="0" fillId="0" borderId="0" xfId="41620" applyNumberFormat="1" applyFont="1" applyFill="1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9" fontId="0" fillId="0" borderId="0" xfId="41619" applyFont="1" applyFill="1" applyAlignment="1">
      <alignment horizontal="center" vertical="center"/>
    </xf>
    <xf numFmtId="1" fontId="101" fillId="0" borderId="0" xfId="41622" applyNumberFormat="1" applyAlignment="1">
      <alignment horizontal="center" vertical="center"/>
    </xf>
    <xf numFmtId="0" fontId="101" fillId="0" borderId="0" xfId="41622"/>
    <xf numFmtId="0" fontId="56" fillId="0" borderId="64" xfId="2" applyNumberFormat="1" applyFont="1" applyFill="1" applyBorder="1" applyAlignment="1">
      <alignment horizontal="center" vertical="center"/>
    </xf>
    <xf numFmtId="1" fontId="56" fillId="0" borderId="64" xfId="2" applyNumberFormat="1" applyFont="1" applyFill="1" applyBorder="1" applyAlignment="1">
      <alignment horizontal="center" vertical="center"/>
    </xf>
    <xf numFmtId="164" fontId="56" fillId="0" borderId="64" xfId="2" applyNumberFormat="1" applyFont="1" applyFill="1" applyBorder="1" applyAlignment="1">
      <alignment horizontal="center" vertical="center"/>
    </xf>
    <xf numFmtId="0" fontId="101" fillId="0" borderId="0" xfId="41622" applyAlignment="1">
      <alignment horizontal="center" vertical="center"/>
    </xf>
    <xf numFmtId="169" fontId="98" fillId="11" borderId="15" xfId="0" applyNumberFormat="1" applyFont="1" applyFill="1" applyBorder="1" applyAlignment="1">
      <alignment horizontal="center"/>
    </xf>
    <xf numFmtId="1" fontId="98" fillId="11" borderId="15" xfId="0" applyNumberFormat="1" applyFont="1" applyFill="1" applyBorder="1" applyAlignment="1">
      <alignment horizontal="center"/>
    </xf>
    <xf numFmtId="166" fontId="98" fillId="0" borderId="15" xfId="1" applyNumberFormat="1" applyFont="1" applyFill="1" applyBorder="1" applyAlignment="1">
      <alignment horizontal="center"/>
    </xf>
    <xf numFmtId="2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center"/>
    </xf>
    <xf numFmtId="164" fontId="98" fillId="11" borderId="14" xfId="0" applyNumberFormat="1" applyFont="1" applyFill="1" applyBorder="1" applyAlignment="1">
      <alignment horizontal="center"/>
    </xf>
    <xf numFmtId="0" fontId="98" fillId="11" borderId="15" xfId="0" applyFont="1" applyFill="1" applyBorder="1" applyAlignment="1">
      <alignment horizontal="center"/>
    </xf>
    <xf numFmtId="0" fontId="63" fillId="51" borderId="60" xfId="0" applyFont="1" applyFill="1" applyBorder="1" applyAlignment="1">
      <alignment horizontal="center" vertical="center" wrapText="1"/>
    </xf>
    <xf numFmtId="0" fontId="63" fillId="51" borderId="61" xfId="0" applyFont="1" applyFill="1" applyBorder="1" applyAlignment="1">
      <alignment horizontal="center" vertical="center" wrapText="1"/>
    </xf>
    <xf numFmtId="166" fontId="98" fillId="0" borderId="14" xfId="1" applyNumberFormat="1" applyFont="1" applyFill="1" applyBorder="1" applyAlignment="1">
      <alignment horizontal="center"/>
    </xf>
    <xf numFmtId="170" fontId="66" fillId="8" borderId="21" xfId="6" applyNumberFormat="1" applyFont="1" applyFill="1" applyBorder="1" applyAlignment="1" applyProtection="1">
      <alignment horizontal="left" vertical="center"/>
      <protection locked="0"/>
    </xf>
    <xf numFmtId="167" fontId="66" fillId="8" borderId="21" xfId="6" applyNumberFormat="1" applyFont="1" applyFill="1" applyBorder="1" applyAlignment="1" applyProtection="1">
      <alignment horizontal="left" vertical="center"/>
      <protection locked="0"/>
    </xf>
    <xf numFmtId="1" fontId="67" fillId="8" borderId="33" xfId="0" applyNumberFormat="1" applyFont="1" applyFill="1" applyBorder="1" applyProtection="1">
      <protection locked="0"/>
    </xf>
    <xf numFmtId="0" fontId="67" fillId="8" borderId="36" xfId="0" applyFont="1" applyFill="1" applyBorder="1" applyProtection="1">
      <protection locked="0"/>
    </xf>
    <xf numFmtId="0" fontId="67" fillId="8" borderId="39" xfId="0" applyFont="1" applyFill="1" applyBorder="1" applyProtection="1">
      <protection locked="0"/>
    </xf>
    <xf numFmtId="0" fontId="63" fillId="0" borderId="6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9" fontId="98" fillId="9" borderId="11" xfId="13" applyNumberFormat="1" applyFont="1" applyFill="1" applyBorder="1" applyAlignment="1">
      <alignment horizontal="center"/>
    </xf>
    <xf numFmtId="164" fontId="56" fillId="0" borderId="64" xfId="0" applyNumberFormat="1" applyFont="1" applyBorder="1" applyAlignment="1">
      <alignment horizontal="center" vertical="center"/>
    </xf>
    <xf numFmtId="0" fontId="103" fillId="0" borderId="63" xfId="41621" applyNumberFormat="1" applyFont="1" applyFill="1" applyBorder="1" applyAlignment="1">
      <alignment horizontal="center" vertical="center"/>
    </xf>
    <xf numFmtId="169" fontId="98" fillId="53" borderId="15" xfId="13" applyNumberFormat="1" applyFont="1" applyFill="1" applyBorder="1" applyAlignment="1">
      <alignment horizontal="center"/>
    </xf>
    <xf numFmtId="1" fontId="98" fillId="52" borderId="15" xfId="13" applyNumberFormat="1" applyFont="1" applyFill="1" applyBorder="1" applyAlignment="1">
      <alignment horizontal="center" vertical="top"/>
    </xf>
    <xf numFmtId="1" fontId="98" fillId="7" borderId="66" xfId="13" applyNumberFormat="1" applyFont="1" applyFill="1" applyBorder="1" applyAlignment="1">
      <alignment horizontal="center"/>
    </xf>
    <xf numFmtId="0" fontId="0" fillId="52" borderId="13" xfId="0" applyFill="1" applyBorder="1" applyAlignment="1">
      <alignment horizontal="center" vertical="center"/>
    </xf>
    <xf numFmtId="0" fontId="0" fillId="52" borderId="67" xfId="0" applyFill="1" applyBorder="1" applyAlignment="1">
      <alignment horizontal="center" vertical="center"/>
    </xf>
    <xf numFmtId="1" fontId="0" fillId="52" borderId="67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/>
    </xf>
    <xf numFmtId="1" fontId="0" fillId="52" borderId="13" xfId="0" applyNumberFormat="1" applyFill="1" applyBorder="1" applyAlignment="1">
      <alignment horizontal="center" vertical="center"/>
    </xf>
    <xf numFmtId="1" fontId="98" fillId="7" borderId="68" xfId="13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8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2" fontId="0" fillId="5" borderId="7" xfId="0" applyNumberFormat="1" applyFill="1" applyBorder="1"/>
    <xf numFmtId="1" fontId="0" fillId="5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8" borderId="8" xfId="0" applyNumberFormat="1" applyFill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168" fontId="0" fillId="5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center"/>
    </xf>
    <xf numFmtId="2" fontId="0" fillId="5" borderId="8" xfId="0" applyNumberFormat="1" applyFill="1" applyBorder="1"/>
    <xf numFmtId="1" fontId="0" fillId="0" borderId="69" xfId="0" applyNumberFormat="1" applyBorder="1" applyAlignment="1">
      <alignment horizontal="center" vertical="center"/>
    </xf>
    <xf numFmtId="166" fontId="56" fillId="8" borderId="67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 vertical="center"/>
    </xf>
    <xf numFmtId="20" fontId="58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left" vertical="center" wrapText="1"/>
    </xf>
    <xf numFmtId="43" fontId="0" fillId="0" borderId="0" xfId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" fontId="98" fillId="7" borderId="15" xfId="0" applyNumberFormat="1" applyFont="1" applyFill="1" applyBorder="1" applyAlignment="1">
      <alignment horizontal="center" vertical="center"/>
    </xf>
    <xf numFmtId="1" fontId="98" fillId="9" borderId="12" xfId="13" applyNumberFormat="1" applyFont="1" applyFill="1" applyBorder="1" applyAlignment="1">
      <alignment horizontal="center"/>
    </xf>
    <xf numFmtId="1" fontId="56" fillId="9" borderId="12" xfId="13" applyNumberFormat="1" applyFont="1" applyFill="1" applyBorder="1" applyAlignment="1">
      <alignment horizontal="center"/>
    </xf>
    <xf numFmtId="10" fontId="98" fillId="0" borderId="15" xfId="2" applyNumberFormat="1" applyFont="1" applyFill="1" applyBorder="1" applyAlignment="1">
      <alignment horizontal="center"/>
    </xf>
    <xf numFmtId="0" fontId="16" fillId="0" borderId="0" xfId="0" applyFont="1"/>
    <xf numFmtId="0" fontId="16" fillId="8" borderId="0" xfId="5" applyFont="1" applyFill="1"/>
    <xf numFmtId="0" fontId="16" fillId="0" borderId="0" xfId="0" applyFont="1" applyAlignment="1">
      <alignment horizontal="center"/>
    </xf>
    <xf numFmtId="0" fontId="16" fillId="4" borderId="1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left"/>
    </xf>
    <xf numFmtId="0" fontId="16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left" vertical="center"/>
    </xf>
    <xf numFmtId="0" fontId="16" fillId="5" borderId="7" xfId="0" applyFont="1" applyFill="1" applyBorder="1"/>
    <xf numFmtId="0" fontId="16" fillId="5" borderId="7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/>
    </xf>
    <xf numFmtId="0" fontId="15" fillId="0" borderId="0" xfId="0" applyFont="1"/>
    <xf numFmtId="0" fontId="14" fillId="5" borderId="7" xfId="0" applyFont="1" applyFill="1" applyBorder="1" applyAlignment="1">
      <alignment horizontal="left" vertical="center"/>
    </xf>
    <xf numFmtId="0" fontId="14" fillId="5" borderId="7" xfId="0" applyFont="1" applyFill="1" applyBorder="1"/>
    <xf numFmtId="0" fontId="14" fillId="5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vertical="center"/>
    </xf>
    <xf numFmtId="0" fontId="13" fillId="0" borderId="0" xfId="0" applyFont="1"/>
    <xf numFmtId="0" fontId="12" fillId="5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0" fontId="11" fillId="4" borderId="1" xfId="0" applyFont="1" applyFill="1" applyBorder="1"/>
    <xf numFmtId="0" fontId="11" fillId="0" borderId="0" xfId="0" applyFont="1"/>
    <xf numFmtId="10" fontId="92" fillId="0" borderId="7" xfId="2" applyNumberFormat="1" applyFont="1" applyBorder="1" applyAlignment="1">
      <alignment horizontal="center"/>
    </xf>
    <xf numFmtId="0" fontId="10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left"/>
    </xf>
    <xf numFmtId="10" fontId="107" fillId="11" borderId="15" xfId="0" applyNumberFormat="1" applyFont="1" applyFill="1" applyBorder="1" applyAlignment="1">
      <alignment horizontal="center"/>
    </xf>
    <xf numFmtId="1" fontId="107" fillId="11" borderId="15" xfId="0" applyNumberFormat="1" applyFont="1" applyFill="1" applyBorder="1" applyAlignment="1">
      <alignment horizontal="center"/>
    </xf>
    <xf numFmtId="166" fontId="107" fillId="0" borderId="15" xfId="1" applyNumberFormat="1" applyFont="1" applyFill="1" applyBorder="1" applyAlignment="1">
      <alignment horizontal="center"/>
    </xf>
    <xf numFmtId="43" fontId="107" fillId="0" borderId="15" xfId="1" applyFont="1" applyFill="1" applyBorder="1" applyAlignment="1">
      <alignment horizontal="center"/>
    </xf>
    <xf numFmtId="10" fontId="107" fillId="0" borderId="15" xfId="2" applyNumberFormat="1" applyFont="1" applyFill="1" applyBorder="1" applyAlignment="1">
      <alignment horizontal="center"/>
    </xf>
    <xf numFmtId="2" fontId="107" fillId="0" borderId="0" xfId="0" applyNumberFormat="1" applyFont="1" applyAlignment="1">
      <alignment horizontal="center"/>
    </xf>
    <xf numFmtId="0" fontId="107" fillId="0" borderId="0" xfId="0" applyFont="1" applyAlignment="1">
      <alignment horizontal="center"/>
    </xf>
    <xf numFmtId="174" fontId="106" fillId="52" borderId="15" xfId="13" applyNumberFormat="1" applyFont="1" applyFill="1" applyBorder="1" applyAlignment="1">
      <alignment horizontal="center" vertical="center"/>
    </xf>
    <xf numFmtId="174" fontId="106" fillId="54" borderId="15" xfId="41614" applyNumberFormat="1" applyFont="1" applyFill="1" applyBorder="1" applyAlignment="1">
      <alignment horizontal="center" vertical="center"/>
    </xf>
    <xf numFmtId="174" fontId="106" fillId="52" borderId="15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0" fontId="7" fillId="0" borderId="0" xfId="0" applyFont="1"/>
    <xf numFmtId="0" fontId="6" fillId="0" borderId="0" xfId="0" applyFont="1"/>
    <xf numFmtId="0" fontId="5" fillId="5" borderId="7" xfId="0" applyFont="1" applyFill="1" applyBorder="1" applyAlignment="1">
      <alignment vertical="center"/>
    </xf>
    <xf numFmtId="0" fontId="4" fillId="0" borderId="0" xfId="0" applyFont="1"/>
    <xf numFmtId="0" fontId="3" fillId="0" borderId="0" xfId="0" applyFont="1"/>
    <xf numFmtId="0" fontId="2" fillId="5" borderId="7" xfId="0" applyFont="1" applyFill="1" applyBorder="1" applyAlignment="1">
      <alignment vertical="center"/>
    </xf>
    <xf numFmtId="0" fontId="1" fillId="0" borderId="0" xfId="0" applyFont="1"/>
    <xf numFmtId="0" fontId="64" fillId="16" borderId="17" xfId="0" applyFont="1" applyFill="1" applyBorder="1" applyAlignment="1">
      <alignment horizontal="center" vertical="center"/>
    </xf>
    <xf numFmtId="0" fontId="64" fillId="16" borderId="18" xfId="0" applyFont="1" applyFill="1" applyBorder="1" applyAlignment="1">
      <alignment horizontal="center" vertical="center"/>
    </xf>
    <xf numFmtId="0" fontId="64" fillId="16" borderId="19" xfId="0" applyFont="1" applyFill="1" applyBorder="1" applyAlignment="1">
      <alignment horizontal="center" vertical="center"/>
    </xf>
    <xf numFmtId="0" fontId="67" fillId="8" borderId="31" xfId="0" applyFont="1" applyFill="1" applyBorder="1" applyAlignment="1">
      <alignment horizontal="center" vertical="center"/>
    </xf>
    <xf numFmtId="0" fontId="67" fillId="8" borderId="34" xfId="0" applyFont="1" applyFill="1" applyBorder="1" applyAlignment="1">
      <alignment horizontal="center" vertical="center"/>
    </xf>
    <xf numFmtId="0" fontId="67" fillId="8" borderId="37" xfId="0" applyFont="1" applyFill="1" applyBorder="1" applyAlignment="1">
      <alignment horizontal="center" vertical="center"/>
    </xf>
    <xf numFmtId="0" fontId="62" fillId="14" borderId="2" xfId="0" applyFont="1" applyFill="1" applyBorder="1" applyAlignment="1">
      <alignment horizontal="center" vertical="center"/>
    </xf>
    <xf numFmtId="0" fontId="62" fillId="14" borderId="16" xfId="0" applyFont="1" applyFill="1" applyBorder="1" applyAlignment="1">
      <alignment horizontal="center" vertical="center"/>
    </xf>
    <xf numFmtId="0" fontId="0" fillId="10" borderId="0" xfId="0" applyFill="1" applyAlignment="1">
      <alignment horizontal="left"/>
    </xf>
  </cellXfs>
  <cellStyles count="41623">
    <cellStyle name="20% - Accent1" xfId="71" builtinId="30" customBuiltin="1"/>
    <cellStyle name="20% - Accent1 10" xfId="3856" xr:uid="{DB96E651-B18C-4FCD-8548-7AF1EF7AC750}"/>
    <cellStyle name="20% - Accent1 11" xfId="5746" xr:uid="{CAE98318-F084-4671-82C9-CCDB30266D04}"/>
    <cellStyle name="20% - Accent1 12" xfId="7636" xr:uid="{013B62CE-395A-4323-9B2C-FB5EAA245008}"/>
    <cellStyle name="20% - Accent1 13" xfId="9526" xr:uid="{87724222-CD8C-4231-8057-D65C62C00719}"/>
    <cellStyle name="20% - Accent1 14" xfId="11416" xr:uid="{36D5B28C-4494-48A2-931A-9A28727C1D4C}"/>
    <cellStyle name="20% - Accent1 15" xfId="13306" xr:uid="{219710B3-A544-480A-A7D9-A81DDB321E99}"/>
    <cellStyle name="20% - Accent1 16" xfId="15196" xr:uid="{98272C34-E2E8-4383-9336-E875D06D57DC}"/>
    <cellStyle name="20% - Accent1 17" xfId="17086" xr:uid="{EF4477CD-7B2E-403F-AF0D-C39DD8EC69BA}"/>
    <cellStyle name="20% - Accent1 18" xfId="18976" xr:uid="{633D9DAE-CE89-4D17-AF57-F08DFB548AAB}"/>
    <cellStyle name="20% - Accent1 19" xfId="20866" xr:uid="{20D0F887-0542-49A7-9CA4-65E518167E33}"/>
    <cellStyle name="20% - Accent1 2" xfId="98" xr:uid="{4B951081-3D03-4AAC-9134-7D5291EAD247}"/>
    <cellStyle name="20% - Accent1 2 10" xfId="7658" xr:uid="{C95EB098-2FE5-40E2-ABFA-19BC4A05F7B5}"/>
    <cellStyle name="20% - Accent1 2 11" xfId="9548" xr:uid="{5060F439-802B-440D-B793-27A5DCD2DBFE}"/>
    <cellStyle name="20% - Accent1 2 12" xfId="11438" xr:uid="{48D0B24F-E6A5-4616-AA80-18985F14F2FC}"/>
    <cellStyle name="20% - Accent1 2 13" xfId="13328" xr:uid="{CCAD1FC7-B9EE-4C04-9379-DFDAE34DD218}"/>
    <cellStyle name="20% - Accent1 2 14" xfId="15218" xr:uid="{D9B68B58-0110-4D82-A13D-6E5C102D0DC2}"/>
    <cellStyle name="20% - Accent1 2 15" xfId="17108" xr:uid="{D0E1A699-370E-4B3F-9D9B-55E0576CFB52}"/>
    <cellStyle name="20% - Accent1 2 16" xfId="18998" xr:uid="{ECBC7268-7DB7-41F2-A26A-074693F5E72C}"/>
    <cellStyle name="20% - Accent1 2 17" xfId="20888" xr:uid="{54273EF1-3742-4B7E-A1B0-DB42FB22F55D}"/>
    <cellStyle name="20% - Accent1 2 18" xfId="22778" xr:uid="{65EDDB32-A724-4D08-97D5-6EF91DDD7E0D}"/>
    <cellStyle name="20% - Accent1 2 19" xfId="24668" xr:uid="{39C3F745-60BD-464D-A456-699A9F9B3E42}"/>
    <cellStyle name="20% - Accent1 2 2" xfId="203" xr:uid="{77B0A82F-8D2A-4AFE-B056-C43B1739E892}"/>
    <cellStyle name="20% - Accent1 2 2 10" xfId="9653" xr:uid="{A6F153AE-3C04-4AB5-864D-0E627BCC8B3C}"/>
    <cellStyle name="20% - Accent1 2 2 11" xfId="11543" xr:uid="{626C5FD2-3706-44CD-83B7-95827EEAE734}"/>
    <cellStyle name="20% - Accent1 2 2 12" xfId="13433" xr:uid="{59C1AE99-D5DA-4303-9286-F167FB1465D6}"/>
    <cellStyle name="20% - Accent1 2 2 13" xfId="15323" xr:uid="{A4E7FCA0-76AD-48B4-877D-C14E90C734A9}"/>
    <cellStyle name="20% - Accent1 2 2 14" xfId="17213" xr:uid="{05DF9CB2-79E8-44EA-AE11-3E78C4F8AECE}"/>
    <cellStyle name="20% - Accent1 2 2 15" xfId="19103" xr:uid="{A3187C83-5700-41EB-A4A3-AE5DC1BB82DA}"/>
    <cellStyle name="20% - Accent1 2 2 16" xfId="20993" xr:uid="{33D1B8E3-F0C9-41F8-8292-3CAEC3F9AA44}"/>
    <cellStyle name="20% - Accent1 2 2 17" xfId="22883" xr:uid="{DA79BB66-7DD3-4998-8C79-1218773A9910}"/>
    <cellStyle name="20% - Accent1 2 2 18" xfId="24773" xr:uid="{C6688DF2-9352-4901-9657-784646430C21}"/>
    <cellStyle name="20% - Accent1 2 2 19" xfId="26663" xr:uid="{E6B600EA-5D65-42A8-AC50-37386B596F20}"/>
    <cellStyle name="20% - Accent1 2 2 2" xfId="413" xr:uid="{C5F1E75B-0055-4042-97BD-BFCF91D54699}"/>
    <cellStyle name="20% - Accent1 2 2 2 10" xfId="13643" xr:uid="{9199E2E1-7D8C-46F0-AF4B-417673CE1EB0}"/>
    <cellStyle name="20% - Accent1 2 2 2 11" xfId="15533" xr:uid="{FE2621E0-1B8C-4584-94F3-34EEDED55684}"/>
    <cellStyle name="20% - Accent1 2 2 2 12" xfId="17423" xr:uid="{FAC135D4-EA4D-47E1-8CDB-11A8F698DC4E}"/>
    <cellStyle name="20% - Accent1 2 2 2 13" xfId="19313" xr:uid="{15A742B9-24C4-4F38-AC79-F01C02066615}"/>
    <cellStyle name="20% - Accent1 2 2 2 14" xfId="21203" xr:uid="{D7695E94-6EFB-4898-8FB5-48DEA18395A2}"/>
    <cellStyle name="20% - Accent1 2 2 2 15" xfId="23093" xr:uid="{653C48F6-8505-4256-87C7-19345A928C09}"/>
    <cellStyle name="20% - Accent1 2 2 2 16" xfId="24983" xr:uid="{16BF4EE9-EA2A-4A59-9B16-34EBE5D9B43A}"/>
    <cellStyle name="20% - Accent1 2 2 2 17" xfId="26873" xr:uid="{ECF6EDED-AC0C-441D-B15F-73B4307F9892}"/>
    <cellStyle name="20% - Accent1 2 2 2 18" xfId="28763" xr:uid="{EF197489-28A6-4528-9EAE-EF954CFAFEFE}"/>
    <cellStyle name="20% - Accent1 2 2 2 19" xfId="30653" xr:uid="{05BCA561-913D-498F-A226-B45D27CA6D10}"/>
    <cellStyle name="20% - Accent1 2 2 2 2" xfId="1043" xr:uid="{E42AB339-2271-4B89-A322-4D7AF92FF49D}"/>
    <cellStyle name="20% - Accent1 2 2 2 2 10" xfId="18053" xr:uid="{02C60429-5DE1-418E-8348-B4726CA95943}"/>
    <cellStyle name="20% - Accent1 2 2 2 2 11" xfId="19943" xr:uid="{E9E84964-05BA-4990-B5A6-BF06C8EB0B54}"/>
    <cellStyle name="20% - Accent1 2 2 2 2 12" xfId="21833" xr:uid="{EC309D9D-C789-40E2-BF72-F8C5EC59EF4E}"/>
    <cellStyle name="20% - Accent1 2 2 2 2 13" xfId="23723" xr:uid="{64213864-6A18-42DB-9C76-3C12833FCE30}"/>
    <cellStyle name="20% - Accent1 2 2 2 2 14" xfId="25613" xr:uid="{FEC6EEB0-4AEA-4782-9B60-650354F96994}"/>
    <cellStyle name="20% - Accent1 2 2 2 2 15" xfId="27503" xr:uid="{BE2ABAD0-D1B5-4BA6-A5BE-93894EE6DC8A}"/>
    <cellStyle name="20% - Accent1 2 2 2 2 16" xfId="29393" xr:uid="{124EF4BC-4500-4BC6-92F3-BC8D684D91DE}"/>
    <cellStyle name="20% - Accent1 2 2 2 2 17" xfId="31283" xr:uid="{974BFF71-258F-4089-BB3E-24D7687D0C1E}"/>
    <cellStyle name="20% - Accent1 2 2 2 2 18" xfId="33173" xr:uid="{E6C87562-6523-4C98-869F-26245CB24D36}"/>
    <cellStyle name="20% - Accent1 2 2 2 2 19" xfId="35063" xr:uid="{9F1AB1AA-64CA-4DB0-93EB-7E4E729852ED}"/>
    <cellStyle name="20% - Accent1 2 2 2 2 2" xfId="2933" xr:uid="{90B1579D-DFCF-4B07-B93A-869BBF3F2F47}"/>
    <cellStyle name="20% - Accent1 2 2 2 2 20" xfId="36953" xr:uid="{3126F409-1028-4193-8F81-448D066C9E99}"/>
    <cellStyle name="20% - Accent1 2 2 2 2 21" xfId="38843" xr:uid="{17812F65-87B9-4ABA-A961-821196C580BB}"/>
    <cellStyle name="20% - Accent1 2 2 2 2 22" xfId="40734" xr:uid="{77F57118-DC00-4CE0-BC44-624392EC2FC7}"/>
    <cellStyle name="20% - Accent1 2 2 2 2 3" xfId="4823" xr:uid="{6D661AEA-08EB-4A0A-9E40-63FF42093A3E}"/>
    <cellStyle name="20% - Accent1 2 2 2 2 4" xfId="6713" xr:uid="{3984CD35-A6F3-4F79-AD1B-94D973F24E33}"/>
    <cellStyle name="20% - Accent1 2 2 2 2 5" xfId="8603" xr:uid="{8A7D5D75-BF1E-4C35-89E6-942002D15BF3}"/>
    <cellStyle name="20% - Accent1 2 2 2 2 6" xfId="10493" xr:uid="{3F46EAEC-518B-4B9F-B459-BF04721C3695}"/>
    <cellStyle name="20% - Accent1 2 2 2 2 7" xfId="12383" xr:uid="{7029AE7D-B782-49C1-A683-1D8FA0728DE0}"/>
    <cellStyle name="20% - Accent1 2 2 2 2 8" xfId="14273" xr:uid="{5E112A88-BD80-4E7E-BE93-3D6A1C0B59FF}"/>
    <cellStyle name="20% - Accent1 2 2 2 2 9" xfId="16163" xr:uid="{64B69F0F-1E14-4B54-B908-FFEDBFCCF672}"/>
    <cellStyle name="20% - Accent1 2 2 2 20" xfId="32543" xr:uid="{252D3C5E-3456-4292-8574-D82DDEA32592}"/>
    <cellStyle name="20% - Accent1 2 2 2 21" xfId="34433" xr:uid="{A6697F5C-F707-46FD-ACBE-738688CE2D90}"/>
    <cellStyle name="20% - Accent1 2 2 2 22" xfId="36323" xr:uid="{523B863B-B723-47A1-AB16-F0B20568238A}"/>
    <cellStyle name="20% - Accent1 2 2 2 23" xfId="38213" xr:uid="{58F2F8AD-7D05-43B7-9B2E-37786AA5FF68}"/>
    <cellStyle name="20% - Accent1 2 2 2 24" xfId="40104" xr:uid="{CE095384-FBCF-4980-BF90-3873334F73D5}"/>
    <cellStyle name="20% - Accent1 2 2 2 3" xfId="1673" xr:uid="{851BB2A2-866C-4DC1-9709-E588F304C174}"/>
    <cellStyle name="20% - Accent1 2 2 2 3 10" xfId="18683" xr:uid="{19826275-0C7A-4591-8CDB-913ED5D6D351}"/>
    <cellStyle name="20% - Accent1 2 2 2 3 11" xfId="20573" xr:uid="{98076EFC-99B6-44C9-800C-B6909F479C5F}"/>
    <cellStyle name="20% - Accent1 2 2 2 3 12" xfId="22463" xr:uid="{4EE563A7-550B-4E03-92AF-245444591B0D}"/>
    <cellStyle name="20% - Accent1 2 2 2 3 13" xfId="24353" xr:uid="{718445E3-44E9-4585-B6EF-504D9234F266}"/>
    <cellStyle name="20% - Accent1 2 2 2 3 14" xfId="26243" xr:uid="{83550C96-63FB-471D-8FFA-C499FDD9FFC2}"/>
    <cellStyle name="20% - Accent1 2 2 2 3 15" xfId="28133" xr:uid="{AB51F25A-A691-4CDA-AD7E-AC5501031350}"/>
    <cellStyle name="20% - Accent1 2 2 2 3 16" xfId="30023" xr:uid="{DB489557-F978-4F3B-A426-DC7AC60322B0}"/>
    <cellStyle name="20% - Accent1 2 2 2 3 17" xfId="31913" xr:uid="{702B5FEB-692E-4C5E-8081-F1D6F86548C5}"/>
    <cellStyle name="20% - Accent1 2 2 2 3 18" xfId="33803" xr:uid="{60E83DC6-4410-4DD5-A1D1-6D369096D36F}"/>
    <cellStyle name="20% - Accent1 2 2 2 3 19" xfId="35693" xr:uid="{0787DA42-DD7F-4963-A6A2-6004ED478370}"/>
    <cellStyle name="20% - Accent1 2 2 2 3 2" xfId="3563" xr:uid="{6AC21482-3B37-46BA-BC4E-7DEDA6A434F7}"/>
    <cellStyle name="20% - Accent1 2 2 2 3 20" xfId="37583" xr:uid="{8D5A51FB-B50B-44FE-8283-3D380134CE99}"/>
    <cellStyle name="20% - Accent1 2 2 2 3 21" xfId="39473" xr:uid="{D8AC23C2-A05E-4489-8B5A-2F7E162CC24E}"/>
    <cellStyle name="20% - Accent1 2 2 2 3 22" xfId="41364" xr:uid="{70806E30-775D-49DC-AA5D-1A12F9C754DC}"/>
    <cellStyle name="20% - Accent1 2 2 2 3 3" xfId="5453" xr:uid="{111E4EB6-1FE1-4F67-81C6-C486781EE4C9}"/>
    <cellStyle name="20% - Accent1 2 2 2 3 4" xfId="7343" xr:uid="{737C2D76-BDBB-4805-BD92-F8DC823E52C6}"/>
    <cellStyle name="20% - Accent1 2 2 2 3 5" xfId="9233" xr:uid="{D6922A90-3022-4CC0-972B-B3B026D15D1E}"/>
    <cellStyle name="20% - Accent1 2 2 2 3 6" xfId="11123" xr:uid="{CE1D60F3-DE64-4DCD-89FA-57E44746987F}"/>
    <cellStyle name="20% - Accent1 2 2 2 3 7" xfId="13013" xr:uid="{CC3866BC-245D-4E4B-A2C9-CE28765A20DE}"/>
    <cellStyle name="20% - Accent1 2 2 2 3 8" xfId="14903" xr:uid="{25297B89-D53B-4C43-B76D-B670D70E5D23}"/>
    <cellStyle name="20% - Accent1 2 2 2 3 9" xfId="16793" xr:uid="{DD8BE281-12C6-4D77-BDA7-2A084F0337E9}"/>
    <cellStyle name="20% - Accent1 2 2 2 4" xfId="2303" xr:uid="{4DCB94CB-2750-46AA-8BD4-E99511001149}"/>
    <cellStyle name="20% - Accent1 2 2 2 5" xfId="4193" xr:uid="{A8BF18AA-F7F4-4336-8238-B18C05EACF66}"/>
    <cellStyle name="20% - Accent1 2 2 2 6" xfId="6083" xr:uid="{3AF4A269-ACCE-4CF7-A212-28382BDE698E}"/>
    <cellStyle name="20% - Accent1 2 2 2 7" xfId="7973" xr:uid="{EB3E2BBD-04A7-41F2-ACB0-792C693CD7E1}"/>
    <cellStyle name="20% - Accent1 2 2 2 8" xfId="9863" xr:uid="{A2BA6773-72CD-4ACD-BF66-7E95E95B93E1}"/>
    <cellStyle name="20% - Accent1 2 2 2 9" xfId="11753" xr:uid="{C0CEDC5D-F509-41FD-8848-8ED03C8B2F3A}"/>
    <cellStyle name="20% - Accent1 2 2 20" xfId="28553" xr:uid="{60F5520D-4DC9-43F3-952F-D4A7764D21A7}"/>
    <cellStyle name="20% - Accent1 2 2 21" xfId="30443" xr:uid="{842313C2-0E38-49BF-9DF9-E022F974890C}"/>
    <cellStyle name="20% - Accent1 2 2 22" xfId="32333" xr:uid="{2BBBE9ED-911F-4ADD-9A24-8E83758819C9}"/>
    <cellStyle name="20% - Accent1 2 2 23" xfId="34223" xr:uid="{C13FD6BC-C8AA-4AA6-968D-83AD6B47F54D}"/>
    <cellStyle name="20% - Accent1 2 2 24" xfId="36113" xr:uid="{229D5B3C-2FE7-4C99-9066-F35E06C31A91}"/>
    <cellStyle name="20% - Accent1 2 2 25" xfId="38003" xr:uid="{5CDCE2AA-3E6B-49BA-B905-00904D60A086}"/>
    <cellStyle name="20% - Accent1 2 2 26" xfId="39894" xr:uid="{7C12F7A2-DBD1-4882-9DB8-51376D0057E7}"/>
    <cellStyle name="20% - Accent1 2 2 3" xfId="623" xr:uid="{2019447B-7AA4-45F5-852C-D557AB1F7169}"/>
    <cellStyle name="20% - Accent1 2 2 3 10" xfId="13853" xr:uid="{F0F6C8F6-BC0D-4B58-954F-DCDC15478D9B}"/>
    <cellStyle name="20% - Accent1 2 2 3 11" xfId="15743" xr:uid="{EA5A58D2-AB5D-410B-947A-0D37E8E4204F}"/>
    <cellStyle name="20% - Accent1 2 2 3 12" xfId="17633" xr:uid="{BB092465-0E43-4900-9840-27403AC13330}"/>
    <cellStyle name="20% - Accent1 2 2 3 13" xfId="19523" xr:uid="{ADF67FCC-7ACE-47BD-83A5-167EFF518BEA}"/>
    <cellStyle name="20% - Accent1 2 2 3 14" xfId="21413" xr:uid="{8A765429-038E-4805-97A6-ADE9E98D74B8}"/>
    <cellStyle name="20% - Accent1 2 2 3 15" xfId="23303" xr:uid="{77D50253-9C2E-45F7-98B1-029374078A64}"/>
    <cellStyle name="20% - Accent1 2 2 3 16" xfId="25193" xr:uid="{3DEEB2D3-E2EA-460C-8B56-0A22AA14A1E9}"/>
    <cellStyle name="20% - Accent1 2 2 3 17" xfId="27083" xr:uid="{7460A63C-0A69-4239-836E-0BC4839B47EE}"/>
    <cellStyle name="20% - Accent1 2 2 3 18" xfId="28973" xr:uid="{5B61BF45-F33D-4DC4-883B-E20FF4429CC0}"/>
    <cellStyle name="20% - Accent1 2 2 3 19" xfId="30863" xr:uid="{4C17C266-19B6-40E6-81EE-44B8E8784339}"/>
    <cellStyle name="20% - Accent1 2 2 3 2" xfId="1253" xr:uid="{8A9B5291-E2B5-4D7F-BA03-980E2B1B99C5}"/>
    <cellStyle name="20% - Accent1 2 2 3 2 10" xfId="18263" xr:uid="{BC86E2FC-0BB9-4818-922F-03AD57150180}"/>
    <cellStyle name="20% - Accent1 2 2 3 2 11" xfId="20153" xr:uid="{A1E7B026-441E-45B1-9A6A-92EF713DCA32}"/>
    <cellStyle name="20% - Accent1 2 2 3 2 12" xfId="22043" xr:uid="{BF967805-D786-4521-A0AE-75280DA96B8B}"/>
    <cellStyle name="20% - Accent1 2 2 3 2 13" xfId="23933" xr:uid="{086024EC-D222-43D6-B83B-216DEFC00AF3}"/>
    <cellStyle name="20% - Accent1 2 2 3 2 14" xfId="25823" xr:uid="{3A5CC8C9-D0D7-4124-9702-9377A5201E06}"/>
    <cellStyle name="20% - Accent1 2 2 3 2 15" xfId="27713" xr:uid="{148C50FF-C491-426E-9D81-E9E7960EA14C}"/>
    <cellStyle name="20% - Accent1 2 2 3 2 16" xfId="29603" xr:uid="{15C76163-CF94-489C-A4F1-DEDBAA8B60E8}"/>
    <cellStyle name="20% - Accent1 2 2 3 2 17" xfId="31493" xr:uid="{14A7629A-7C3E-4010-BDBA-D16EFFCAE3AA}"/>
    <cellStyle name="20% - Accent1 2 2 3 2 18" xfId="33383" xr:uid="{E97374C5-D168-439E-BF46-4DE2F8DC260C}"/>
    <cellStyle name="20% - Accent1 2 2 3 2 19" xfId="35273" xr:uid="{14EA6E68-4EB4-4B4E-A1C2-1F5A67DBE54B}"/>
    <cellStyle name="20% - Accent1 2 2 3 2 2" xfId="3143" xr:uid="{0130730F-12FC-4EF4-B8BC-E3630727C5AC}"/>
    <cellStyle name="20% - Accent1 2 2 3 2 20" xfId="37163" xr:uid="{454C50B2-0C89-44F1-B8F7-A259696344EA}"/>
    <cellStyle name="20% - Accent1 2 2 3 2 21" xfId="39053" xr:uid="{E889158B-242D-47B3-92B9-CB40D6375807}"/>
    <cellStyle name="20% - Accent1 2 2 3 2 22" xfId="40944" xr:uid="{8FAC2A2D-579C-4A4F-AEC8-7567B0B3B3C1}"/>
    <cellStyle name="20% - Accent1 2 2 3 2 3" xfId="5033" xr:uid="{67206821-971D-4D91-A0E9-8DC6D5E6F229}"/>
    <cellStyle name="20% - Accent1 2 2 3 2 4" xfId="6923" xr:uid="{9C72149E-03A0-44B2-85FA-5BADB5D6FAB6}"/>
    <cellStyle name="20% - Accent1 2 2 3 2 5" xfId="8813" xr:uid="{4130CE3C-2B74-4447-804C-72B4BFDB0F8D}"/>
    <cellStyle name="20% - Accent1 2 2 3 2 6" xfId="10703" xr:uid="{403D61D4-AE9B-4A0C-9CE9-04BA9C0019EA}"/>
    <cellStyle name="20% - Accent1 2 2 3 2 7" xfId="12593" xr:uid="{A7DDD2A6-8738-494B-AC00-AD0B01DA3C8D}"/>
    <cellStyle name="20% - Accent1 2 2 3 2 8" xfId="14483" xr:uid="{5FC9B15D-0915-4596-9CAD-54CBD20034C2}"/>
    <cellStyle name="20% - Accent1 2 2 3 2 9" xfId="16373" xr:uid="{34480647-9C61-43CA-AE20-64B2B0B1BC58}"/>
    <cellStyle name="20% - Accent1 2 2 3 20" xfId="32753" xr:uid="{49C05845-F044-4A3A-906C-0064AEF84052}"/>
    <cellStyle name="20% - Accent1 2 2 3 21" xfId="34643" xr:uid="{EF2631E8-E3DD-497C-938F-5C333BB0EDDF}"/>
    <cellStyle name="20% - Accent1 2 2 3 22" xfId="36533" xr:uid="{0BFB7BA0-8952-402E-B74A-C4202086CB54}"/>
    <cellStyle name="20% - Accent1 2 2 3 23" xfId="38423" xr:uid="{F1581D49-D5C0-4CEF-8065-CB0E7FBE8C43}"/>
    <cellStyle name="20% - Accent1 2 2 3 24" xfId="40314" xr:uid="{240EFF85-A628-4D82-973A-8E63FDADE4B7}"/>
    <cellStyle name="20% - Accent1 2 2 3 3" xfId="1883" xr:uid="{6EC9AD16-815C-4B27-81B4-2C8E04A980B6}"/>
    <cellStyle name="20% - Accent1 2 2 3 3 10" xfId="18893" xr:uid="{6721A6E0-0E16-4762-B079-E7B1F6349F3A}"/>
    <cellStyle name="20% - Accent1 2 2 3 3 11" xfId="20783" xr:uid="{11F9E3D8-C945-4BFA-96D3-8CB9B083A715}"/>
    <cellStyle name="20% - Accent1 2 2 3 3 12" xfId="22673" xr:uid="{7730BA23-D5B9-4B8A-AF0A-36BF6C177A2E}"/>
    <cellStyle name="20% - Accent1 2 2 3 3 13" xfId="24563" xr:uid="{D0AAE0EA-003B-4A3C-965D-9454EEDC00B0}"/>
    <cellStyle name="20% - Accent1 2 2 3 3 14" xfId="26453" xr:uid="{58F4C702-D463-4035-9547-C709AB7EC83F}"/>
    <cellStyle name="20% - Accent1 2 2 3 3 15" xfId="28343" xr:uid="{8CE69991-798B-44A3-B3F1-631AA604C938}"/>
    <cellStyle name="20% - Accent1 2 2 3 3 16" xfId="30233" xr:uid="{D4BA4228-0B6D-4643-AC01-5D4425E66716}"/>
    <cellStyle name="20% - Accent1 2 2 3 3 17" xfId="32123" xr:uid="{C6C0099B-E341-4EB2-B081-ED6E98619D24}"/>
    <cellStyle name="20% - Accent1 2 2 3 3 18" xfId="34013" xr:uid="{F5E22C07-0345-41D6-91B0-4C7DDCAE2FD3}"/>
    <cellStyle name="20% - Accent1 2 2 3 3 19" xfId="35903" xr:uid="{D330DB9B-58AE-4242-ADE4-DF2882348136}"/>
    <cellStyle name="20% - Accent1 2 2 3 3 2" xfId="3773" xr:uid="{DEB06598-8772-473E-9764-1ED84D5533CA}"/>
    <cellStyle name="20% - Accent1 2 2 3 3 20" xfId="37793" xr:uid="{96EC7AC3-C721-4724-B597-5A6D30A942A8}"/>
    <cellStyle name="20% - Accent1 2 2 3 3 21" xfId="39683" xr:uid="{2EAD3B49-85A4-4E89-913C-DCCA862D0A5D}"/>
    <cellStyle name="20% - Accent1 2 2 3 3 22" xfId="41574" xr:uid="{55C94E02-169A-45A6-A464-98DA7DA2F046}"/>
    <cellStyle name="20% - Accent1 2 2 3 3 3" xfId="5663" xr:uid="{6BFC74E0-14AE-4750-A390-6065E95C0B31}"/>
    <cellStyle name="20% - Accent1 2 2 3 3 4" xfId="7553" xr:uid="{CB56F030-F6F4-40A3-8CC3-93C013E8A21F}"/>
    <cellStyle name="20% - Accent1 2 2 3 3 5" xfId="9443" xr:uid="{BA6F2D61-1D20-4FAA-A1CA-341AE6D1416C}"/>
    <cellStyle name="20% - Accent1 2 2 3 3 6" xfId="11333" xr:uid="{882049BD-A0C0-4AC3-BA0B-F1FB03E296FB}"/>
    <cellStyle name="20% - Accent1 2 2 3 3 7" xfId="13223" xr:uid="{A2E54D7D-7475-4986-8000-490FAC02BCF7}"/>
    <cellStyle name="20% - Accent1 2 2 3 3 8" xfId="15113" xr:uid="{ADE00FE3-F277-4CF4-81DF-3D30041D47E1}"/>
    <cellStyle name="20% - Accent1 2 2 3 3 9" xfId="17003" xr:uid="{1815BCE2-C9E3-438C-AE88-2A1E13590822}"/>
    <cellStyle name="20% - Accent1 2 2 3 4" xfId="2513" xr:uid="{CF0CBF5A-068E-40A6-9476-5DCA7295B56E}"/>
    <cellStyle name="20% - Accent1 2 2 3 5" xfId="4403" xr:uid="{29C9F1B7-0A04-4A38-AA91-DBF8EFFDCD9B}"/>
    <cellStyle name="20% - Accent1 2 2 3 6" xfId="6293" xr:uid="{2AB65D98-16EE-46B3-A0A3-CC14153484CC}"/>
    <cellStyle name="20% - Accent1 2 2 3 7" xfId="8183" xr:uid="{693918A2-AFFB-4052-9CE1-C819E98FD563}"/>
    <cellStyle name="20% - Accent1 2 2 3 8" xfId="10073" xr:uid="{C96DA910-8DCF-4B82-AE30-93B9D0862B3D}"/>
    <cellStyle name="20% - Accent1 2 2 3 9" xfId="11963" xr:uid="{655591B6-FAC2-47FA-8888-905B02F43BFB}"/>
    <cellStyle name="20% - Accent1 2 2 4" xfId="833" xr:uid="{294E22C0-FD54-4E6D-AA56-C61C752F23A5}"/>
    <cellStyle name="20% - Accent1 2 2 4 10" xfId="17843" xr:uid="{395A1F62-FA2E-47EA-BBA6-A7FC0BA27E19}"/>
    <cellStyle name="20% - Accent1 2 2 4 11" xfId="19733" xr:uid="{E27F3054-93B1-4D57-BB01-110B8571B0E1}"/>
    <cellStyle name="20% - Accent1 2 2 4 12" xfId="21623" xr:uid="{8B92BEE6-F426-459F-AD6C-3C16F748D56C}"/>
    <cellStyle name="20% - Accent1 2 2 4 13" xfId="23513" xr:uid="{8F308208-2A02-4625-909A-ED4216EC56B1}"/>
    <cellStyle name="20% - Accent1 2 2 4 14" xfId="25403" xr:uid="{CDAB3BF7-1883-4BC8-80F0-62B95D2FA071}"/>
    <cellStyle name="20% - Accent1 2 2 4 15" xfId="27293" xr:uid="{8D8E2E45-8157-4597-BB5F-2BCF7A32FC97}"/>
    <cellStyle name="20% - Accent1 2 2 4 16" xfId="29183" xr:uid="{164608CF-5EFB-4A74-B7CE-23BD316DE44B}"/>
    <cellStyle name="20% - Accent1 2 2 4 17" xfId="31073" xr:uid="{559007A0-059F-4B4F-9F9A-F5778FFBB24A}"/>
    <cellStyle name="20% - Accent1 2 2 4 18" xfId="32963" xr:uid="{4A51FF3C-5A5D-43A9-99F8-120DC5B80DE5}"/>
    <cellStyle name="20% - Accent1 2 2 4 19" xfId="34853" xr:uid="{52F59B23-0341-4C29-94B3-AD8904DB5D69}"/>
    <cellStyle name="20% - Accent1 2 2 4 2" xfId="2723" xr:uid="{E7E168F4-A847-4338-9244-D85196161213}"/>
    <cellStyle name="20% - Accent1 2 2 4 20" xfId="36743" xr:uid="{B4FAF312-A2D4-469D-B8BD-C4FE0515578A}"/>
    <cellStyle name="20% - Accent1 2 2 4 21" xfId="38633" xr:uid="{355DC4FD-62A7-4911-A4BF-520E332520F8}"/>
    <cellStyle name="20% - Accent1 2 2 4 22" xfId="40524" xr:uid="{B69960F3-18CD-48FA-BBA9-1439F1771B65}"/>
    <cellStyle name="20% - Accent1 2 2 4 3" xfId="4613" xr:uid="{9203C610-5121-4B54-942F-C33C0D8ED1C8}"/>
    <cellStyle name="20% - Accent1 2 2 4 4" xfId="6503" xr:uid="{0F57BC9B-45B9-4A1A-914B-9917E81054C1}"/>
    <cellStyle name="20% - Accent1 2 2 4 5" xfId="8393" xr:uid="{CC0D3C26-1792-4124-8ADD-458687FDD448}"/>
    <cellStyle name="20% - Accent1 2 2 4 6" xfId="10283" xr:uid="{81DB0D06-5AFD-409C-BC6B-A936B3C9B439}"/>
    <cellStyle name="20% - Accent1 2 2 4 7" xfId="12173" xr:uid="{857BD683-9255-49A2-AFDB-7A606426CC16}"/>
    <cellStyle name="20% - Accent1 2 2 4 8" xfId="14063" xr:uid="{0CAA901D-AC7B-4E96-83B1-0BF3CE4D57DF}"/>
    <cellStyle name="20% - Accent1 2 2 4 9" xfId="15953" xr:uid="{50451DB6-E03C-4F73-9037-ADD187A32027}"/>
    <cellStyle name="20% - Accent1 2 2 5" xfId="1463" xr:uid="{CCA565EC-6318-49AF-8DFD-8EE70CC6551E}"/>
    <cellStyle name="20% - Accent1 2 2 5 10" xfId="18473" xr:uid="{9E2E887F-7473-412D-A6F0-CE43A2BAEF36}"/>
    <cellStyle name="20% - Accent1 2 2 5 11" xfId="20363" xr:uid="{B2001107-8640-46EB-B682-9FAFB4A42B06}"/>
    <cellStyle name="20% - Accent1 2 2 5 12" xfId="22253" xr:uid="{B85F0428-B712-4C61-B95C-631071EABAAF}"/>
    <cellStyle name="20% - Accent1 2 2 5 13" xfId="24143" xr:uid="{9813C1A3-0C18-40CF-8177-73084717B24B}"/>
    <cellStyle name="20% - Accent1 2 2 5 14" xfId="26033" xr:uid="{33B3D47D-4D5D-4CB7-972D-1EDCE3A625F0}"/>
    <cellStyle name="20% - Accent1 2 2 5 15" xfId="27923" xr:uid="{6D7ED82C-17C7-4973-87E7-03D52D9CC6F3}"/>
    <cellStyle name="20% - Accent1 2 2 5 16" xfId="29813" xr:uid="{74FE42A4-211E-4BF7-80D4-4BB764A3BCE4}"/>
    <cellStyle name="20% - Accent1 2 2 5 17" xfId="31703" xr:uid="{38A1FAD7-3F7C-4CF1-859D-EACB245F6D53}"/>
    <cellStyle name="20% - Accent1 2 2 5 18" xfId="33593" xr:uid="{5B2B3D63-13B7-44C3-9A88-D19A0CD46574}"/>
    <cellStyle name="20% - Accent1 2 2 5 19" xfId="35483" xr:uid="{B477F1CB-1275-4237-B1FB-7FDA76D816DF}"/>
    <cellStyle name="20% - Accent1 2 2 5 2" xfId="3353" xr:uid="{D31A1A5E-CF7C-41F8-87B3-266E6AA15DD8}"/>
    <cellStyle name="20% - Accent1 2 2 5 20" xfId="37373" xr:uid="{1CD2DF7F-ADFA-4C09-B906-1881CA3E2F9A}"/>
    <cellStyle name="20% - Accent1 2 2 5 21" xfId="39263" xr:uid="{0AC03613-0420-4FE0-B7B4-B50CE487D778}"/>
    <cellStyle name="20% - Accent1 2 2 5 22" xfId="41154" xr:uid="{0260C6DE-D806-4AA0-9AB2-CE724A335B24}"/>
    <cellStyle name="20% - Accent1 2 2 5 3" xfId="5243" xr:uid="{3537F4E3-0F49-42AA-9020-21DB9C15E204}"/>
    <cellStyle name="20% - Accent1 2 2 5 4" xfId="7133" xr:uid="{A5340E62-CA70-46EF-9EF9-49B5658DE811}"/>
    <cellStyle name="20% - Accent1 2 2 5 5" xfId="9023" xr:uid="{07291F25-4537-43BD-B7A2-ABA7CD0DD3D8}"/>
    <cellStyle name="20% - Accent1 2 2 5 6" xfId="10913" xr:uid="{F5C88674-FF22-42F8-A031-0C3118A4246D}"/>
    <cellStyle name="20% - Accent1 2 2 5 7" xfId="12803" xr:uid="{804BBD1A-8DF6-4A19-BEFC-32953B4C1D42}"/>
    <cellStyle name="20% - Accent1 2 2 5 8" xfId="14693" xr:uid="{832D88F2-B6D8-4832-B244-0261FAFA0FE8}"/>
    <cellStyle name="20% - Accent1 2 2 5 9" xfId="16583" xr:uid="{A0BB7BC2-2CC2-40C0-BD7D-E8228796CD45}"/>
    <cellStyle name="20% - Accent1 2 2 6" xfId="2093" xr:uid="{3C36BBE7-B131-4D28-BEC8-4D5F8816A1DD}"/>
    <cellStyle name="20% - Accent1 2 2 7" xfId="3983" xr:uid="{5810F686-7A8D-41DE-8B3E-F000F3AED764}"/>
    <cellStyle name="20% - Accent1 2 2 8" xfId="5873" xr:uid="{0FB49606-9CA6-42F2-B039-E65AB5D51BBB}"/>
    <cellStyle name="20% - Accent1 2 2 9" xfId="7763" xr:uid="{B59A565A-B498-4A28-857D-3194EABE14BE}"/>
    <cellStyle name="20% - Accent1 2 20" xfId="26558" xr:uid="{6D68F644-5B6F-448F-ACCE-01310A2A9002}"/>
    <cellStyle name="20% - Accent1 2 21" xfId="28448" xr:uid="{FD6FB35D-6587-4C72-A18E-11967D52E451}"/>
    <cellStyle name="20% - Accent1 2 22" xfId="30338" xr:uid="{AF20C04B-43CD-442D-9BC5-4F7CA62E4B68}"/>
    <cellStyle name="20% - Accent1 2 23" xfId="32228" xr:uid="{9FC9FFC6-1985-43B2-BEAE-9F62E091E811}"/>
    <cellStyle name="20% - Accent1 2 24" xfId="34118" xr:uid="{A8BEF685-2263-4099-BC2B-8A265180BBF3}"/>
    <cellStyle name="20% - Accent1 2 25" xfId="36008" xr:uid="{3406EB91-EAB0-4FF2-8B57-628CD4461CAB}"/>
    <cellStyle name="20% - Accent1 2 26" xfId="37898" xr:uid="{9B12872A-2F13-4675-8147-87CD197A47E3}"/>
    <cellStyle name="20% - Accent1 2 27" xfId="39789" xr:uid="{198CC1E2-87D6-48A4-94C4-57EA99B6F06B}"/>
    <cellStyle name="20% - Accent1 2 3" xfId="308" xr:uid="{58F8B759-4709-41E3-B6B3-041B40710013}"/>
    <cellStyle name="20% - Accent1 2 3 10" xfId="13538" xr:uid="{40607D26-B960-4991-9CDE-9163DC4349DC}"/>
    <cellStyle name="20% - Accent1 2 3 11" xfId="15428" xr:uid="{F09F001B-BE08-4BA5-89E4-5545C2FDDC6A}"/>
    <cellStyle name="20% - Accent1 2 3 12" xfId="17318" xr:uid="{008F9F95-AF8A-414D-ADB2-7496BF57DF21}"/>
    <cellStyle name="20% - Accent1 2 3 13" xfId="19208" xr:uid="{5A0EAABF-45F4-478C-83AB-5A21F3C693EF}"/>
    <cellStyle name="20% - Accent1 2 3 14" xfId="21098" xr:uid="{69ABD468-71E3-432B-B5FA-B5B2AE0597CF}"/>
    <cellStyle name="20% - Accent1 2 3 15" xfId="22988" xr:uid="{3656884A-87DD-4498-8677-C4A75D0DEC79}"/>
    <cellStyle name="20% - Accent1 2 3 16" xfId="24878" xr:uid="{558250BC-4469-4569-9F74-EBE846C73577}"/>
    <cellStyle name="20% - Accent1 2 3 17" xfId="26768" xr:uid="{479822FE-59BE-483E-AA0A-E466F7261058}"/>
    <cellStyle name="20% - Accent1 2 3 18" xfId="28658" xr:uid="{FDF382EF-0320-46C0-8DD9-A52B83A88224}"/>
    <cellStyle name="20% - Accent1 2 3 19" xfId="30548" xr:uid="{4355A4E2-F302-4A65-B13C-D0A2B4053010}"/>
    <cellStyle name="20% - Accent1 2 3 2" xfId="938" xr:uid="{72D5EBEB-49E2-441E-90FE-433B443D5551}"/>
    <cellStyle name="20% - Accent1 2 3 2 10" xfId="17948" xr:uid="{FF4565CE-19B8-4451-98E4-570B4D0A373F}"/>
    <cellStyle name="20% - Accent1 2 3 2 11" xfId="19838" xr:uid="{5A9D5B71-BA4B-471C-ADC7-7656E2EC8E1F}"/>
    <cellStyle name="20% - Accent1 2 3 2 12" xfId="21728" xr:uid="{C00863E9-35FB-43D9-A7D9-825C0361D0BB}"/>
    <cellStyle name="20% - Accent1 2 3 2 13" xfId="23618" xr:uid="{BFB46DC2-2113-4C26-8F44-525AE6E2C480}"/>
    <cellStyle name="20% - Accent1 2 3 2 14" xfId="25508" xr:uid="{80670EBD-8BC5-4F70-A675-8718F9D0648E}"/>
    <cellStyle name="20% - Accent1 2 3 2 15" xfId="27398" xr:uid="{4E8F610A-F93F-46E8-8B15-B6101C2DA4FE}"/>
    <cellStyle name="20% - Accent1 2 3 2 16" xfId="29288" xr:uid="{E055EBE5-E428-4317-A01B-E21A47381B2F}"/>
    <cellStyle name="20% - Accent1 2 3 2 17" xfId="31178" xr:uid="{39E06505-2B51-4F1F-ACA7-0A8317B32BAF}"/>
    <cellStyle name="20% - Accent1 2 3 2 18" xfId="33068" xr:uid="{D7240084-F9EA-4D98-B618-F8506EB86A2C}"/>
    <cellStyle name="20% - Accent1 2 3 2 19" xfId="34958" xr:uid="{27E1B0EE-64C3-44A1-BA9B-F4AC15BB8359}"/>
    <cellStyle name="20% - Accent1 2 3 2 2" xfId="2828" xr:uid="{A7D60865-F307-487D-B662-9B3A1B044EDF}"/>
    <cellStyle name="20% - Accent1 2 3 2 20" xfId="36848" xr:uid="{A6D82526-E301-45DB-9ED4-42D246A246CA}"/>
    <cellStyle name="20% - Accent1 2 3 2 21" xfId="38738" xr:uid="{389EB7DC-74C4-47E3-9D35-7194D350647F}"/>
    <cellStyle name="20% - Accent1 2 3 2 22" xfId="40629" xr:uid="{1D5C82F7-A997-49BF-AF25-81CF2D745D13}"/>
    <cellStyle name="20% - Accent1 2 3 2 3" xfId="4718" xr:uid="{DD2A2470-6002-4684-A6B5-FAB29842F080}"/>
    <cellStyle name="20% - Accent1 2 3 2 4" xfId="6608" xr:uid="{C1D6541E-731D-45C0-9AF5-2C89809E2DD8}"/>
    <cellStyle name="20% - Accent1 2 3 2 5" xfId="8498" xr:uid="{6820AD3F-1F2F-417D-98F1-E647F66B6AC3}"/>
    <cellStyle name="20% - Accent1 2 3 2 6" xfId="10388" xr:uid="{E4903731-4ADA-43E8-8DD8-5AFA0068D99A}"/>
    <cellStyle name="20% - Accent1 2 3 2 7" xfId="12278" xr:uid="{4752ABAB-4770-476F-B5F3-46E9CC91496B}"/>
    <cellStyle name="20% - Accent1 2 3 2 8" xfId="14168" xr:uid="{22589452-5761-4393-A0F9-335B06AC3909}"/>
    <cellStyle name="20% - Accent1 2 3 2 9" xfId="16058" xr:uid="{21F0C10B-81F4-45EB-A0D9-4461F782C5F4}"/>
    <cellStyle name="20% - Accent1 2 3 20" xfId="32438" xr:uid="{5A736C50-C9D8-499F-ACB8-A544231B07DA}"/>
    <cellStyle name="20% - Accent1 2 3 21" xfId="34328" xr:uid="{D42C2DF6-2707-4B02-AE2C-E4591775AA90}"/>
    <cellStyle name="20% - Accent1 2 3 22" xfId="36218" xr:uid="{CFFDB585-20B6-4CAE-884C-6D183A923528}"/>
    <cellStyle name="20% - Accent1 2 3 23" xfId="38108" xr:uid="{BD4F2889-391A-42C1-A62F-D11A4AD55AC1}"/>
    <cellStyle name="20% - Accent1 2 3 24" xfId="39999" xr:uid="{B973ECAA-5A7B-4E35-A348-3B2C537FF92D}"/>
    <cellStyle name="20% - Accent1 2 3 3" xfId="1568" xr:uid="{84CE5577-D1EF-42D5-A8FF-BF95D4A2D975}"/>
    <cellStyle name="20% - Accent1 2 3 3 10" xfId="18578" xr:uid="{E1B75979-62D6-40D0-8C33-6B4D3C72965E}"/>
    <cellStyle name="20% - Accent1 2 3 3 11" xfId="20468" xr:uid="{473F9D13-7B57-4137-A917-C3FB0C075821}"/>
    <cellStyle name="20% - Accent1 2 3 3 12" xfId="22358" xr:uid="{AF7D88FA-DC5B-455D-8021-870FDC4EA7E3}"/>
    <cellStyle name="20% - Accent1 2 3 3 13" xfId="24248" xr:uid="{2FB80B76-E619-45B7-9E34-DC3ADD165F31}"/>
    <cellStyle name="20% - Accent1 2 3 3 14" xfId="26138" xr:uid="{DD953339-EDB6-488A-9DDE-E2C2263AA3BA}"/>
    <cellStyle name="20% - Accent1 2 3 3 15" xfId="28028" xr:uid="{2F014035-6F1A-44C1-B422-EAD59EB0A50C}"/>
    <cellStyle name="20% - Accent1 2 3 3 16" xfId="29918" xr:uid="{322F8948-B49E-4905-99C6-8E536059FAE3}"/>
    <cellStyle name="20% - Accent1 2 3 3 17" xfId="31808" xr:uid="{216DE5D4-2835-41E8-90EC-A6E9D57F4B45}"/>
    <cellStyle name="20% - Accent1 2 3 3 18" xfId="33698" xr:uid="{1379D1A7-C528-42D9-873C-23A9181E8304}"/>
    <cellStyle name="20% - Accent1 2 3 3 19" xfId="35588" xr:uid="{068D25C4-BAFB-4D13-8B0C-DE3033E4F722}"/>
    <cellStyle name="20% - Accent1 2 3 3 2" xfId="3458" xr:uid="{AF76370F-9C4D-4A65-B3FB-3524FC7D0C1A}"/>
    <cellStyle name="20% - Accent1 2 3 3 20" xfId="37478" xr:uid="{8DE4D8D6-16D5-443D-908F-BEC0F47228BF}"/>
    <cellStyle name="20% - Accent1 2 3 3 21" xfId="39368" xr:uid="{203D9F5B-EAB7-4C73-A18F-00CE5A5E8691}"/>
    <cellStyle name="20% - Accent1 2 3 3 22" xfId="41259" xr:uid="{7F126780-6D37-43E9-972A-9D667C4B6E7E}"/>
    <cellStyle name="20% - Accent1 2 3 3 3" xfId="5348" xr:uid="{372FEFC4-D09E-419E-B4CE-DB25F9FA4575}"/>
    <cellStyle name="20% - Accent1 2 3 3 4" xfId="7238" xr:uid="{DC913666-310F-49FF-8176-EAD273075876}"/>
    <cellStyle name="20% - Accent1 2 3 3 5" xfId="9128" xr:uid="{E5CDEE1B-9699-4252-8575-697F23334774}"/>
    <cellStyle name="20% - Accent1 2 3 3 6" xfId="11018" xr:uid="{EFF4A753-01BD-473A-9E0B-70F68958BE53}"/>
    <cellStyle name="20% - Accent1 2 3 3 7" xfId="12908" xr:uid="{59019494-B37A-41C6-B264-59F801529333}"/>
    <cellStyle name="20% - Accent1 2 3 3 8" xfId="14798" xr:uid="{FE96C47B-2C44-4563-8EC3-3351F3AD25D4}"/>
    <cellStyle name="20% - Accent1 2 3 3 9" xfId="16688" xr:uid="{29A9693D-766D-4BD8-BB15-2B59E03B9F12}"/>
    <cellStyle name="20% - Accent1 2 3 4" xfId="2198" xr:uid="{EE1A4C89-971E-4FA5-AA83-965E24587FF8}"/>
    <cellStyle name="20% - Accent1 2 3 5" xfId="4088" xr:uid="{76C9298C-6F39-4A1D-9061-1AB92300308C}"/>
    <cellStyle name="20% - Accent1 2 3 6" xfId="5978" xr:uid="{3D07C2A9-8037-4A9C-8748-BB86AAABF702}"/>
    <cellStyle name="20% - Accent1 2 3 7" xfId="7868" xr:uid="{0526F0A2-6CB1-4A12-84E0-A2945E5D9EE6}"/>
    <cellStyle name="20% - Accent1 2 3 8" xfId="9758" xr:uid="{DB6FBE7D-A9DC-4679-807C-240F7AC70092}"/>
    <cellStyle name="20% - Accent1 2 3 9" xfId="11648" xr:uid="{B37BEC1B-27D2-4D9B-9DB9-DC4D7D0C08DE}"/>
    <cellStyle name="20% - Accent1 2 4" xfId="518" xr:uid="{03BAD075-8CA3-4928-8410-935DE358104F}"/>
    <cellStyle name="20% - Accent1 2 4 10" xfId="13748" xr:uid="{71745DA9-46E0-46E6-A42F-E9597FB9BFEF}"/>
    <cellStyle name="20% - Accent1 2 4 11" xfId="15638" xr:uid="{A9021210-B8C4-452B-A270-B77B2C4E174D}"/>
    <cellStyle name="20% - Accent1 2 4 12" xfId="17528" xr:uid="{C9D5DC9E-180B-46B2-8D8B-2D2D85D44B21}"/>
    <cellStyle name="20% - Accent1 2 4 13" xfId="19418" xr:uid="{5D006236-CC13-4654-BC73-2A98DFD08631}"/>
    <cellStyle name="20% - Accent1 2 4 14" xfId="21308" xr:uid="{AC289A6F-527B-4ACF-97F3-00624A6B1029}"/>
    <cellStyle name="20% - Accent1 2 4 15" xfId="23198" xr:uid="{D902A0F3-3353-4066-A153-4376C7E584ED}"/>
    <cellStyle name="20% - Accent1 2 4 16" xfId="25088" xr:uid="{A24E2E64-165C-4815-90A7-3EF14571DDED}"/>
    <cellStyle name="20% - Accent1 2 4 17" xfId="26978" xr:uid="{EAEB9DDF-6FB6-4755-A20B-A18CA154FA6C}"/>
    <cellStyle name="20% - Accent1 2 4 18" xfId="28868" xr:uid="{5770F98B-74BA-4820-BC22-B30352D19A70}"/>
    <cellStyle name="20% - Accent1 2 4 19" xfId="30758" xr:uid="{60750314-2E19-438D-A934-937E8DB96E33}"/>
    <cellStyle name="20% - Accent1 2 4 2" xfId="1148" xr:uid="{2619B24B-FDCA-4EED-8F0D-496F5E12DEA2}"/>
    <cellStyle name="20% - Accent1 2 4 2 10" xfId="18158" xr:uid="{0AFE022F-E415-433C-B13D-703EA730F92D}"/>
    <cellStyle name="20% - Accent1 2 4 2 11" xfId="20048" xr:uid="{55DCB316-A703-4869-9BD7-4EAE78791CE0}"/>
    <cellStyle name="20% - Accent1 2 4 2 12" xfId="21938" xr:uid="{D6AF09D9-78E2-4D17-9059-3331C2ECB707}"/>
    <cellStyle name="20% - Accent1 2 4 2 13" xfId="23828" xr:uid="{0041C9AC-85EA-4991-A177-20BF258AACB4}"/>
    <cellStyle name="20% - Accent1 2 4 2 14" xfId="25718" xr:uid="{16FA79CB-756D-4867-9B13-A18A4EE2BE76}"/>
    <cellStyle name="20% - Accent1 2 4 2 15" xfId="27608" xr:uid="{947ACD5D-6242-4E18-AAB6-308DE65AD3F2}"/>
    <cellStyle name="20% - Accent1 2 4 2 16" xfId="29498" xr:uid="{4518A5F2-7E44-4885-9DA7-7A2D903583ED}"/>
    <cellStyle name="20% - Accent1 2 4 2 17" xfId="31388" xr:uid="{7443801D-A113-4943-BE46-FFCB83C033F3}"/>
    <cellStyle name="20% - Accent1 2 4 2 18" xfId="33278" xr:uid="{55FDD7B8-83A5-48D8-BC4B-5E7B2686E844}"/>
    <cellStyle name="20% - Accent1 2 4 2 19" xfId="35168" xr:uid="{1AA6D2D0-C60B-4431-843D-529D794A4DE9}"/>
    <cellStyle name="20% - Accent1 2 4 2 2" xfId="3038" xr:uid="{860852FB-AACE-4C67-952A-38EBB5E4CAA7}"/>
    <cellStyle name="20% - Accent1 2 4 2 20" xfId="37058" xr:uid="{E6D82CEC-668C-42C2-8B60-02161737F520}"/>
    <cellStyle name="20% - Accent1 2 4 2 21" xfId="38948" xr:uid="{2B3BB15B-6936-4D75-B011-00EF4ACF3422}"/>
    <cellStyle name="20% - Accent1 2 4 2 22" xfId="40839" xr:uid="{6CD3900A-B93B-419E-8DB9-9E03AB16E648}"/>
    <cellStyle name="20% - Accent1 2 4 2 3" xfId="4928" xr:uid="{9FD5EDF0-C41A-425B-A976-9495F8FB450E}"/>
    <cellStyle name="20% - Accent1 2 4 2 4" xfId="6818" xr:uid="{386194F4-2D63-41DA-8C46-065A4E08F4AA}"/>
    <cellStyle name="20% - Accent1 2 4 2 5" xfId="8708" xr:uid="{F78669DF-86E7-44BE-B23F-75B4C4B8E561}"/>
    <cellStyle name="20% - Accent1 2 4 2 6" xfId="10598" xr:uid="{29AD2560-4E45-44F3-8C18-F8C4E203A537}"/>
    <cellStyle name="20% - Accent1 2 4 2 7" xfId="12488" xr:uid="{5C739F56-62D1-41EF-9BF2-3EED6A78052F}"/>
    <cellStyle name="20% - Accent1 2 4 2 8" xfId="14378" xr:uid="{1D3AC8EC-ADFD-4784-A424-804FFB1C9CCD}"/>
    <cellStyle name="20% - Accent1 2 4 2 9" xfId="16268" xr:uid="{E24086A0-4031-4AE0-863A-30535CE31326}"/>
    <cellStyle name="20% - Accent1 2 4 20" xfId="32648" xr:uid="{3F3B3B89-B70E-44F2-9385-921CC5094364}"/>
    <cellStyle name="20% - Accent1 2 4 21" xfId="34538" xr:uid="{664528F9-C3CB-4EF8-88DA-ECC67442D035}"/>
    <cellStyle name="20% - Accent1 2 4 22" xfId="36428" xr:uid="{9220C42B-2117-40AF-8B52-7E1289D906E4}"/>
    <cellStyle name="20% - Accent1 2 4 23" xfId="38318" xr:uid="{94043F50-598E-42B9-BF97-96ECB37A4778}"/>
    <cellStyle name="20% - Accent1 2 4 24" xfId="40209" xr:uid="{8EB2EFEC-3F2F-447A-825F-B60FD55F74C4}"/>
    <cellStyle name="20% - Accent1 2 4 3" xfId="1778" xr:uid="{4DAFCEFC-B2D3-431F-8803-BA439B45E5F0}"/>
    <cellStyle name="20% - Accent1 2 4 3 10" xfId="18788" xr:uid="{F40E567A-53DD-4E19-B9C1-FE26783C5B34}"/>
    <cellStyle name="20% - Accent1 2 4 3 11" xfId="20678" xr:uid="{0A406A4B-1AC0-416F-8629-A88F4A215409}"/>
    <cellStyle name="20% - Accent1 2 4 3 12" xfId="22568" xr:uid="{D87A7ACC-A7D6-4055-8478-CF67D09E4570}"/>
    <cellStyle name="20% - Accent1 2 4 3 13" xfId="24458" xr:uid="{15B337AA-18EC-4EDA-97CB-A9E597E5F908}"/>
    <cellStyle name="20% - Accent1 2 4 3 14" xfId="26348" xr:uid="{66A1CFEC-03CE-4E16-990F-F28E35E05970}"/>
    <cellStyle name="20% - Accent1 2 4 3 15" xfId="28238" xr:uid="{6A7AD713-5A84-476D-BC27-E7A7088365E1}"/>
    <cellStyle name="20% - Accent1 2 4 3 16" xfId="30128" xr:uid="{406F1C1A-4F4D-4C89-B964-E17E2C0163EE}"/>
    <cellStyle name="20% - Accent1 2 4 3 17" xfId="32018" xr:uid="{DBF4F910-6E96-4A22-8061-4593252D1DB8}"/>
    <cellStyle name="20% - Accent1 2 4 3 18" xfId="33908" xr:uid="{99BF274D-C460-433E-95E8-8B157E33FA74}"/>
    <cellStyle name="20% - Accent1 2 4 3 19" xfId="35798" xr:uid="{A92BD190-D279-48F5-914E-194A83C0BB7F}"/>
    <cellStyle name="20% - Accent1 2 4 3 2" xfId="3668" xr:uid="{C6507527-5338-4CA8-87D7-9BF50823190A}"/>
    <cellStyle name="20% - Accent1 2 4 3 20" xfId="37688" xr:uid="{B0354A78-A9B4-45FA-BD42-D4EB3C8E5BA5}"/>
    <cellStyle name="20% - Accent1 2 4 3 21" xfId="39578" xr:uid="{E0C9BD9A-C6E5-42AA-BD34-EB469633ABB9}"/>
    <cellStyle name="20% - Accent1 2 4 3 22" xfId="41469" xr:uid="{9E3985C7-4B0E-4CB2-97F9-936BF6C924E6}"/>
    <cellStyle name="20% - Accent1 2 4 3 3" xfId="5558" xr:uid="{E5C25C7B-62B0-4A95-8B51-2F9337B3E9CB}"/>
    <cellStyle name="20% - Accent1 2 4 3 4" xfId="7448" xr:uid="{C76D2B28-B629-46E5-A26B-38E82E834494}"/>
    <cellStyle name="20% - Accent1 2 4 3 5" xfId="9338" xr:uid="{236B0642-A757-40D5-9F19-BABD0AB25B00}"/>
    <cellStyle name="20% - Accent1 2 4 3 6" xfId="11228" xr:uid="{49FA8F08-645B-48CB-8EF2-4E8BD6764086}"/>
    <cellStyle name="20% - Accent1 2 4 3 7" xfId="13118" xr:uid="{AA50F56A-D927-43D3-9982-85360037A095}"/>
    <cellStyle name="20% - Accent1 2 4 3 8" xfId="15008" xr:uid="{71E8C815-467C-4FB4-BD35-12931E41920C}"/>
    <cellStyle name="20% - Accent1 2 4 3 9" xfId="16898" xr:uid="{D2D1D2E1-2B88-4497-AC9F-BDEF3ABE771A}"/>
    <cellStyle name="20% - Accent1 2 4 4" xfId="2408" xr:uid="{A6663AF1-696C-43F3-8F5D-B03EFFCA4844}"/>
    <cellStyle name="20% - Accent1 2 4 5" xfId="4298" xr:uid="{9D100085-9C4B-410C-BBA4-6653AB611D73}"/>
    <cellStyle name="20% - Accent1 2 4 6" xfId="6188" xr:uid="{AF7ECF2D-D08B-4A7D-AEFA-387CF5469214}"/>
    <cellStyle name="20% - Accent1 2 4 7" xfId="8078" xr:uid="{6CB1C954-2C12-416B-BE5F-5D3EE0A2CF1B}"/>
    <cellStyle name="20% - Accent1 2 4 8" xfId="9968" xr:uid="{BFC3BF3C-219E-4B66-8EA2-A1637BB759FB}"/>
    <cellStyle name="20% - Accent1 2 4 9" xfId="11858" xr:uid="{E3FE7DDA-EFDA-488F-8D33-3726D71AB84C}"/>
    <cellStyle name="20% - Accent1 2 5" xfId="728" xr:uid="{172A8E5F-E175-43AB-9E2E-94B738D75202}"/>
    <cellStyle name="20% - Accent1 2 5 10" xfId="17738" xr:uid="{08A2B33C-1A18-4CCB-B5FE-CDBFC8D70F8C}"/>
    <cellStyle name="20% - Accent1 2 5 11" xfId="19628" xr:uid="{9FD0C409-EBD9-4F08-ABE9-A5898497ABEE}"/>
    <cellStyle name="20% - Accent1 2 5 12" xfId="21518" xr:uid="{E4FAF9E9-6EF0-42E4-84E5-0A7650D3F9AD}"/>
    <cellStyle name="20% - Accent1 2 5 13" xfId="23408" xr:uid="{4552CED8-D946-49DD-A1C2-CAA559AAA629}"/>
    <cellStyle name="20% - Accent1 2 5 14" xfId="25298" xr:uid="{BC1647C6-A26A-429D-A332-43D8509896E8}"/>
    <cellStyle name="20% - Accent1 2 5 15" xfId="27188" xr:uid="{2713265E-CD9A-4FCC-903B-A231B5893038}"/>
    <cellStyle name="20% - Accent1 2 5 16" xfId="29078" xr:uid="{281C6A4C-C251-408B-938A-C7B8F8FF1351}"/>
    <cellStyle name="20% - Accent1 2 5 17" xfId="30968" xr:uid="{CB0EC87F-5352-4D65-ACEF-74AB657ABD3C}"/>
    <cellStyle name="20% - Accent1 2 5 18" xfId="32858" xr:uid="{AD22F962-716E-4354-B8BB-5A43DD7E7788}"/>
    <cellStyle name="20% - Accent1 2 5 19" xfId="34748" xr:uid="{FAB567A6-1A75-471A-B375-318EDDFE9433}"/>
    <cellStyle name="20% - Accent1 2 5 2" xfId="2618" xr:uid="{59EBF588-26C6-4CDA-AE7C-984B80DB0B0A}"/>
    <cellStyle name="20% - Accent1 2 5 20" xfId="36638" xr:uid="{2140BF11-E224-49AE-9773-20BC702DC764}"/>
    <cellStyle name="20% - Accent1 2 5 21" xfId="38528" xr:uid="{7FD12C0D-B739-4455-A7FA-0C40B161B58E}"/>
    <cellStyle name="20% - Accent1 2 5 22" xfId="40419" xr:uid="{4C6361E0-4238-413B-897F-70D915C49466}"/>
    <cellStyle name="20% - Accent1 2 5 3" xfId="4508" xr:uid="{3B824AC7-475F-4FDF-BAB8-E0D6405F9C6A}"/>
    <cellStyle name="20% - Accent1 2 5 4" xfId="6398" xr:uid="{D70D81FD-A55E-48AF-8BCB-A11C3C80EC37}"/>
    <cellStyle name="20% - Accent1 2 5 5" xfId="8288" xr:uid="{B045A6D7-03C8-4D85-B645-433F8E9595C3}"/>
    <cellStyle name="20% - Accent1 2 5 6" xfId="10178" xr:uid="{065FA23F-B0BC-4D8E-894D-CE4BDF5DB827}"/>
    <cellStyle name="20% - Accent1 2 5 7" xfId="12068" xr:uid="{623187FC-59E4-4E36-92A6-37CBFB5CABAA}"/>
    <cellStyle name="20% - Accent1 2 5 8" xfId="13958" xr:uid="{EDF6F4AB-43D6-48FB-9C91-36B9788A532A}"/>
    <cellStyle name="20% - Accent1 2 5 9" xfId="15848" xr:uid="{585B3348-2EAF-4BC8-81F1-F988DA058F32}"/>
    <cellStyle name="20% - Accent1 2 6" xfId="1358" xr:uid="{6D0EA332-BAB0-48B8-A0D4-5FF2A25F8DBA}"/>
    <cellStyle name="20% - Accent1 2 6 10" xfId="18368" xr:uid="{329E27DD-6BA3-4797-B2FD-CB0277D21A7C}"/>
    <cellStyle name="20% - Accent1 2 6 11" xfId="20258" xr:uid="{4AA1CBA6-D84B-4D13-9673-F98C33A6CF9F}"/>
    <cellStyle name="20% - Accent1 2 6 12" xfId="22148" xr:uid="{D43E6B8E-312C-47B2-A527-1031CBC2A2C0}"/>
    <cellStyle name="20% - Accent1 2 6 13" xfId="24038" xr:uid="{8B60B284-FE6C-47CF-92E6-C93F05534988}"/>
    <cellStyle name="20% - Accent1 2 6 14" xfId="25928" xr:uid="{DD98DB20-33C5-4543-8674-52E6450F4775}"/>
    <cellStyle name="20% - Accent1 2 6 15" xfId="27818" xr:uid="{048838BB-C741-4A23-BCCF-5BB609D399DB}"/>
    <cellStyle name="20% - Accent1 2 6 16" xfId="29708" xr:uid="{8D21752A-A2D8-41F0-A232-22D2FBA86A8F}"/>
    <cellStyle name="20% - Accent1 2 6 17" xfId="31598" xr:uid="{E01AAF6F-9011-4FFD-BAD8-B0307888F298}"/>
    <cellStyle name="20% - Accent1 2 6 18" xfId="33488" xr:uid="{E8D2F11C-881D-424F-83C5-A44A6D19D85A}"/>
    <cellStyle name="20% - Accent1 2 6 19" xfId="35378" xr:uid="{6D1019A5-C891-4E86-8062-3BC955EA0722}"/>
    <cellStyle name="20% - Accent1 2 6 2" xfId="3248" xr:uid="{D8766973-1295-4AB1-A332-D1F818334526}"/>
    <cellStyle name="20% - Accent1 2 6 20" xfId="37268" xr:uid="{88BABCF8-89B4-48D4-BF5C-47FF005C9907}"/>
    <cellStyle name="20% - Accent1 2 6 21" xfId="39158" xr:uid="{3FBD6D93-8037-4E1D-B833-4C80FF08E589}"/>
    <cellStyle name="20% - Accent1 2 6 22" xfId="41049" xr:uid="{BD75F536-13FA-4965-9D24-8C4FD603933B}"/>
    <cellStyle name="20% - Accent1 2 6 3" xfId="5138" xr:uid="{A9F41BC5-E292-4978-BDE7-49EE716B1250}"/>
    <cellStyle name="20% - Accent1 2 6 4" xfId="7028" xr:uid="{B985CDA9-6830-40FA-AFC6-3EFDFB97045D}"/>
    <cellStyle name="20% - Accent1 2 6 5" xfId="8918" xr:uid="{DD008624-C1AB-406A-8EBA-6157ABA550B1}"/>
    <cellStyle name="20% - Accent1 2 6 6" xfId="10808" xr:uid="{527A644D-2805-44BC-BFC0-473AC835B7EF}"/>
    <cellStyle name="20% - Accent1 2 6 7" xfId="12698" xr:uid="{1356CF32-A413-4E0E-8609-FB103883D2E5}"/>
    <cellStyle name="20% - Accent1 2 6 8" xfId="14588" xr:uid="{D9A508F1-92AF-42AA-A432-E8B1BA1955CD}"/>
    <cellStyle name="20% - Accent1 2 6 9" xfId="16478" xr:uid="{C0FFF561-B239-48C3-A9C3-DA9EEB9F1086}"/>
    <cellStyle name="20% - Accent1 2 7" xfId="1988" xr:uid="{3D2B6D8C-060B-4AFB-8B30-E48236E47FBF}"/>
    <cellStyle name="20% - Accent1 2 8" xfId="3878" xr:uid="{CB4CC74F-B187-4010-878C-B8CD5E191F8D}"/>
    <cellStyle name="20% - Accent1 2 9" xfId="5768" xr:uid="{940435F3-F9C9-4C0B-A684-0FA76D06C024}"/>
    <cellStyle name="20% - Accent1 20" xfId="22756" xr:uid="{61F167B7-F522-4029-8D79-B7B14EB66B92}"/>
    <cellStyle name="20% - Accent1 21" xfId="24646" xr:uid="{A7D59DE2-CCB0-498F-BF60-1EF9E6378957}"/>
    <cellStyle name="20% - Accent1 22" xfId="26536" xr:uid="{276B788C-115D-42B7-A044-0B7DA4B2A64B}"/>
    <cellStyle name="20% - Accent1 23" xfId="28426" xr:uid="{693D6550-7BA9-4348-AB8B-97F9B3305A92}"/>
    <cellStyle name="20% - Accent1 24" xfId="30316" xr:uid="{C4FDD2DB-F496-4738-8D66-6B389284B424}"/>
    <cellStyle name="20% - Accent1 25" xfId="32206" xr:uid="{7FF4C0F5-DBAD-4D39-872D-60EC89B7FC5A}"/>
    <cellStyle name="20% - Accent1 26" xfId="34096" xr:uid="{A527F1A8-6979-48B5-8BFA-F357C5F37654}"/>
    <cellStyle name="20% - Accent1 27" xfId="35986" xr:uid="{48682657-8B57-4378-BC10-9FDF71FCFC3F}"/>
    <cellStyle name="20% - Accent1 28" xfId="37876" xr:uid="{71618E29-0EBB-4AB1-B480-7BD841182F07}"/>
    <cellStyle name="20% - Accent1 29" xfId="39767" xr:uid="{55288D21-7D76-49B6-9D26-C21B6578A2C3}"/>
    <cellStyle name="20% - Accent1 3" xfId="118" xr:uid="{8C025305-B4E5-4491-BBF6-9AC389AEFA1D}"/>
    <cellStyle name="20% - Accent1 3 10" xfId="7678" xr:uid="{F8FBB349-AF06-45BB-94B0-C4FD78A60DB4}"/>
    <cellStyle name="20% - Accent1 3 11" xfId="9568" xr:uid="{6C1A8334-AC6B-4BA4-8BF0-32BBF6C800E8}"/>
    <cellStyle name="20% - Accent1 3 12" xfId="11458" xr:uid="{3D48E29B-E6F4-44EB-B7A2-53919339D745}"/>
    <cellStyle name="20% - Accent1 3 13" xfId="13348" xr:uid="{B1FC0350-F04A-4AF8-8CAC-F942C7F59705}"/>
    <cellStyle name="20% - Accent1 3 14" xfId="15238" xr:uid="{2E8F3CFC-67D8-4E3F-B1A8-E7D938FA74FA}"/>
    <cellStyle name="20% - Accent1 3 15" xfId="17128" xr:uid="{0AE7060F-3947-4E7C-A370-562053E7274B}"/>
    <cellStyle name="20% - Accent1 3 16" xfId="19018" xr:uid="{97434D85-E0A5-4AD4-99E2-671701E561DF}"/>
    <cellStyle name="20% - Accent1 3 17" xfId="20908" xr:uid="{F62E5B7C-A028-4027-BDEE-1C8689EA690D}"/>
    <cellStyle name="20% - Accent1 3 18" xfId="22798" xr:uid="{A4E7E4E7-DBEC-40A0-9158-097C3B8CCD74}"/>
    <cellStyle name="20% - Accent1 3 19" xfId="24688" xr:uid="{EAC50BB0-216E-4281-83F4-2490477B3E49}"/>
    <cellStyle name="20% - Accent1 3 2" xfId="223" xr:uid="{F7B04846-A642-4248-A1D7-FA0706276672}"/>
    <cellStyle name="20% - Accent1 3 2 10" xfId="9673" xr:uid="{112FDBC6-513E-4F97-B31D-DC0A40FBEAE1}"/>
    <cellStyle name="20% - Accent1 3 2 11" xfId="11563" xr:uid="{A9E5DCD3-74D2-4797-B92E-9F44281BEAEC}"/>
    <cellStyle name="20% - Accent1 3 2 12" xfId="13453" xr:uid="{494D0E9A-AEF4-4503-8AD8-83C1CBAD41A2}"/>
    <cellStyle name="20% - Accent1 3 2 13" xfId="15343" xr:uid="{41CE7D67-621D-4686-8947-1CBFCC913345}"/>
    <cellStyle name="20% - Accent1 3 2 14" xfId="17233" xr:uid="{C55168C4-EC82-4261-BAF2-ADE8B37941DF}"/>
    <cellStyle name="20% - Accent1 3 2 15" xfId="19123" xr:uid="{B663B73A-785B-47BF-A6B2-CD155A6D1E93}"/>
    <cellStyle name="20% - Accent1 3 2 16" xfId="21013" xr:uid="{3B550DD8-4C04-4600-A2C7-4705BE7F0158}"/>
    <cellStyle name="20% - Accent1 3 2 17" xfId="22903" xr:uid="{8840FCDD-FE07-4ED8-95AD-FA2855B9AD93}"/>
    <cellStyle name="20% - Accent1 3 2 18" xfId="24793" xr:uid="{2DB4CB95-29A5-4FD1-99DF-3F1EC4BDC39D}"/>
    <cellStyle name="20% - Accent1 3 2 19" xfId="26683" xr:uid="{7617B26A-71B2-488D-90C0-BC03A6C54305}"/>
    <cellStyle name="20% - Accent1 3 2 2" xfId="433" xr:uid="{BA5E681B-55CF-4693-87FC-F970F0D2741C}"/>
    <cellStyle name="20% - Accent1 3 2 2 10" xfId="13663" xr:uid="{9CEED01B-ADD9-4BD1-B284-5912127976EA}"/>
    <cellStyle name="20% - Accent1 3 2 2 11" xfId="15553" xr:uid="{1B2B0C23-58FB-4574-A7F7-8AAD7AD7F562}"/>
    <cellStyle name="20% - Accent1 3 2 2 12" xfId="17443" xr:uid="{9D2D95DF-FE83-49B1-B7B7-1F905196F485}"/>
    <cellStyle name="20% - Accent1 3 2 2 13" xfId="19333" xr:uid="{5589A3FB-9703-4CBA-ABFF-E668049FF2C6}"/>
    <cellStyle name="20% - Accent1 3 2 2 14" xfId="21223" xr:uid="{EC1D7FBF-1B71-4466-B1F0-3BA3A57660C7}"/>
    <cellStyle name="20% - Accent1 3 2 2 15" xfId="23113" xr:uid="{FB07CC76-5644-42A0-8E90-BCF9666572B1}"/>
    <cellStyle name="20% - Accent1 3 2 2 16" xfId="25003" xr:uid="{8D9F1A40-ED36-41F5-8B44-DEA502FAF90B}"/>
    <cellStyle name="20% - Accent1 3 2 2 17" xfId="26893" xr:uid="{EAEB12A6-563D-4F28-B07A-B2B79E1D74B2}"/>
    <cellStyle name="20% - Accent1 3 2 2 18" xfId="28783" xr:uid="{C25818AE-3E6D-4564-9EE9-C319158D815D}"/>
    <cellStyle name="20% - Accent1 3 2 2 19" xfId="30673" xr:uid="{87E84203-69E1-461F-87AE-8D9824864BB2}"/>
    <cellStyle name="20% - Accent1 3 2 2 2" xfId="1063" xr:uid="{CA840271-90D0-494E-9470-4BC10884FCAF}"/>
    <cellStyle name="20% - Accent1 3 2 2 2 10" xfId="18073" xr:uid="{D78F41AA-3728-40BF-956D-CD8DC8DE5AAB}"/>
    <cellStyle name="20% - Accent1 3 2 2 2 11" xfId="19963" xr:uid="{75BD3D09-FA55-4D7D-B3A4-49F332824317}"/>
    <cellStyle name="20% - Accent1 3 2 2 2 12" xfId="21853" xr:uid="{583FD039-BC5C-403E-996D-79BC1D634C65}"/>
    <cellStyle name="20% - Accent1 3 2 2 2 13" xfId="23743" xr:uid="{CF1669D6-3753-463D-BC6B-B169A697D18A}"/>
    <cellStyle name="20% - Accent1 3 2 2 2 14" xfId="25633" xr:uid="{8AB96C16-19EE-4802-937C-36426D5E55B7}"/>
    <cellStyle name="20% - Accent1 3 2 2 2 15" xfId="27523" xr:uid="{E8E7BD8A-A162-417B-982C-90AF0FF9A450}"/>
    <cellStyle name="20% - Accent1 3 2 2 2 16" xfId="29413" xr:uid="{A5751599-E2B5-4479-9F6C-7BE720A38438}"/>
    <cellStyle name="20% - Accent1 3 2 2 2 17" xfId="31303" xr:uid="{D1B42CAD-65E2-42B6-BB22-288CD4E20565}"/>
    <cellStyle name="20% - Accent1 3 2 2 2 18" xfId="33193" xr:uid="{0D026904-9202-4260-8538-C4924AEF76DA}"/>
    <cellStyle name="20% - Accent1 3 2 2 2 19" xfId="35083" xr:uid="{45F237B5-8F09-440D-A1D6-BCD71BAF0018}"/>
    <cellStyle name="20% - Accent1 3 2 2 2 2" xfId="2953" xr:uid="{88512450-46D5-4FF9-8019-A3C485B3E0BB}"/>
    <cellStyle name="20% - Accent1 3 2 2 2 20" xfId="36973" xr:uid="{022426A9-D7D2-41B8-90CC-F8448B65817C}"/>
    <cellStyle name="20% - Accent1 3 2 2 2 21" xfId="38863" xr:uid="{8639E2C5-7475-4261-812A-F6D5B4EAFECF}"/>
    <cellStyle name="20% - Accent1 3 2 2 2 22" xfId="40754" xr:uid="{38D1519F-80EE-4E50-9CAC-CAA000CA623B}"/>
    <cellStyle name="20% - Accent1 3 2 2 2 3" xfId="4843" xr:uid="{3DFF43BB-6C22-4479-9889-CEC2275D9AB6}"/>
    <cellStyle name="20% - Accent1 3 2 2 2 4" xfId="6733" xr:uid="{675A300A-B611-46A1-82D1-0CB88B0D373B}"/>
    <cellStyle name="20% - Accent1 3 2 2 2 5" xfId="8623" xr:uid="{68393884-9AF2-4692-8C03-D7A245A0696B}"/>
    <cellStyle name="20% - Accent1 3 2 2 2 6" xfId="10513" xr:uid="{D817675C-28E5-4B94-BA14-B5F0B86BA086}"/>
    <cellStyle name="20% - Accent1 3 2 2 2 7" xfId="12403" xr:uid="{1F2BDE5D-3E82-47DB-9ACA-36A2664ED367}"/>
    <cellStyle name="20% - Accent1 3 2 2 2 8" xfId="14293" xr:uid="{5F61CA1B-C85B-45C8-B2B6-16618C5D4E5F}"/>
    <cellStyle name="20% - Accent1 3 2 2 2 9" xfId="16183" xr:uid="{F88BCDAA-E84B-46AD-97E7-ACED9F777B8A}"/>
    <cellStyle name="20% - Accent1 3 2 2 20" xfId="32563" xr:uid="{39C3DDA9-EA6D-426D-9194-25FBD25EA6D6}"/>
    <cellStyle name="20% - Accent1 3 2 2 21" xfId="34453" xr:uid="{4C399646-92C9-4AA0-9402-BBB609567C1E}"/>
    <cellStyle name="20% - Accent1 3 2 2 22" xfId="36343" xr:uid="{F18642FD-A9D6-443A-9BB7-6D8B19438304}"/>
    <cellStyle name="20% - Accent1 3 2 2 23" xfId="38233" xr:uid="{A9FC3546-BE7C-474D-8B48-C157CB523BA4}"/>
    <cellStyle name="20% - Accent1 3 2 2 24" xfId="40124" xr:uid="{9F21122F-78F2-4B11-B770-30923C188173}"/>
    <cellStyle name="20% - Accent1 3 2 2 3" xfId="1693" xr:uid="{168FC0AF-1A56-418F-8E7D-2F8822763DDA}"/>
    <cellStyle name="20% - Accent1 3 2 2 3 10" xfId="18703" xr:uid="{9335EFD6-9E31-484D-8993-FE4360177235}"/>
    <cellStyle name="20% - Accent1 3 2 2 3 11" xfId="20593" xr:uid="{71A8F9B8-E62E-4CCE-9073-120E99981B8C}"/>
    <cellStyle name="20% - Accent1 3 2 2 3 12" xfId="22483" xr:uid="{3AC641BB-5579-4A16-94D2-0A7379DDB3F4}"/>
    <cellStyle name="20% - Accent1 3 2 2 3 13" xfId="24373" xr:uid="{7E9055AF-BE09-4D96-9798-08D1BCC609CB}"/>
    <cellStyle name="20% - Accent1 3 2 2 3 14" xfId="26263" xr:uid="{92F18A6A-BBEC-475F-8F4A-76E05AC6DFCF}"/>
    <cellStyle name="20% - Accent1 3 2 2 3 15" xfId="28153" xr:uid="{844E5690-CB4A-47D5-B681-542431D8B5F9}"/>
    <cellStyle name="20% - Accent1 3 2 2 3 16" xfId="30043" xr:uid="{76168747-8D87-40D8-9B05-E02CF3EC728F}"/>
    <cellStyle name="20% - Accent1 3 2 2 3 17" xfId="31933" xr:uid="{9E359E66-3D05-4258-B925-6DC2627A3ECA}"/>
    <cellStyle name="20% - Accent1 3 2 2 3 18" xfId="33823" xr:uid="{219AD3B3-DE0F-4614-9A51-157C6F953FB3}"/>
    <cellStyle name="20% - Accent1 3 2 2 3 19" xfId="35713" xr:uid="{5AAC767A-C7FE-4BAA-8B05-A9C66F53193E}"/>
    <cellStyle name="20% - Accent1 3 2 2 3 2" xfId="3583" xr:uid="{D794D649-9A5D-45FF-BA55-F957E8F79BFE}"/>
    <cellStyle name="20% - Accent1 3 2 2 3 20" xfId="37603" xr:uid="{CBB1B39D-1205-4068-8FD9-C3F2F08BF841}"/>
    <cellStyle name="20% - Accent1 3 2 2 3 21" xfId="39493" xr:uid="{6593DA00-3D0E-4744-A1AE-0222A2519888}"/>
    <cellStyle name="20% - Accent1 3 2 2 3 22" xfId="41384" xr:uid="{7FFD3ABB-408C-42CE-8C95-F1C51C55732E}"/>
    <cellStyle name="20% - Accent1 3 2 2 3 3" xfId="5473" xr:uid="{7E720313-77DC-4E5E-A401-A4F8733A6965}"/>
    <cellStyle name="20% - Accent1 3 2 2 3 4" xfId="7363" xr:uid="{E05F90A1-7298-45C0-BF8B-9FAF74CD1861}"/>
    <cellStyle name="20% - Accent1 3 2 2 3 5" xfId="9253" xr:uid="{892137A0-E5F9-4221-895C-71F39620FC16}"/>
    <cellStyle name="20% - Accent1 3 2 2 3 6" xfId="11143" xr:uid="{E9B1B5E9-4001-4223-A535-41CB84563471}"/>
    <cellStyle name="20% - Accent1 3 2 2 3 7" xfId="13033" xr:uid="{AEA94DEB-877F-45A0-8DEC-70D7E142FE83}"/>
    <cellStyle name="20% - Accent1 3 2 2 3 8" xfId="14923" xr:uid="{B490ED50-0915-4475-BD66-CC6183DAE292}"/>
    <cellStyle name="20% - Accent1 3 2 2 3 9" xfId="16813" xr:uid="{A9827D3B-B8A0-4B30-A306-F507A822BEE1}"/>
    <cellStyle name="20% - Accent1 3 2 2 4" xfId="2323" xr:uid="{F62A1749-D210-45FD-975E-C842E923730A}"/>
    <cellStyle name="20% - Accent1 3 2 2 5" xfId="4213" xr:uid="{80F47C35-26B6-4A33-B1F2-53F93045A13B}"/>
    <cellStyle name="20% - Accent1 3 2 2 6" xfId="6103" xr:uid="{642D90A9-E2E9-485F-9CCE-773E9EEA01A4}"/>
    <cellStyle name="20% - Accent1 3 2 2 7" xfId="7993" xr:uid="{EEEF35F9-FB51-41FC-869E-DBCF20ED0931}"/>
    <cellStyle name="20% - Accent1 3 2 2 8" xfId="9883" xr:uid="{8E85C293-1531-4DA3-9A19-77CA6E622E6E}"/>
    <cellStyle name="20% - Accent1 3 2 2 9" xfId="11773" xr:uid="{5DC393FB-6281-4C85-ABA3-90E60ABAB961}"/>
    <cellStyle name="20% - Accent1 3 2 20" xfId="28573" xr:uid="{34DDBCE3-F6BC-4CD5-A2D3-6001EAB1EC55}"/>
    <cellStyle name="20% - Accent1 3 2 21" xfId="30463" xr:uid="{9854F33F-7068-439E-B114-91A3BD37405F}"/>
    <cellStyle name="20% - Accent1 3 2 22" xfId="32353" xr:uid="{28B6EB5E-53A3-4244-B19B-2064B70D7774}"/>
    <cellStyle name="20% - Accent1 3 2 23" xfId="34243" xr:uid="{FD3F5C25-C1BD-45D8-8889-000C6FABF722}"/>
    <cellStyle name="20% - Accent1 3 2 24" xfId="36133" xr:uid="{FEFBA1EB-1892-4710-9D9E-721F2732EF2C}"/>
    <cellStyle name="20% - Accent1 3 2 25" xfId="38023" xr:uid="{2F4DA58C-CBE7-4F30-AB9F-B6A35FCCD35A}"/>
    <cellStyle name="20% - Accent1 3 2 26" xfId="39914" xr:uid="{26A9FA20-BF3E-4F75-9B39-4F48140C663E}"/>
    <cellStyle name="20% - Accent1 3 2 3" xfId="643" xr:uid="{A194CBAD-2EE7-4794-A865-82586F6B7BA6}"/>
    <cellStyle name="20% - Accent1 3 2 3 10" xfId="13873" xr:uid="{A49CF5D5-8040-445D-AF76-67257D6524E8}"/>
    <cellStyle name="20% - Accent1 3 2 3 11" xfId="15763" xr:uid="{6117EE77-2C5B-489E-BD38-453E410A1371}"/>
    <cellStyle name="20% - Accent1 3 2 3 12" xfId="17653" xr:uid="{C7CB8228-B3EE-40BD-9B99-A9349FC30386}"/>
    <cellStyle name="20% - Accent1 3 2 3 13" xfId="19543" xr:uid="{1E49DF22-5517-41CB-921D-70BEFCDA6C90}"/>
    <cellStyle name="20% - Accent1 3 2 3 14" xfId="21433" xr:uid="{7E413CAE-8C0B-47F7-BD3C-632E32BFA755}"/>
    <cellStyle name="20% - Accent1 3 2 3 15" xfId="23323" xr:uid="{AAC0699B-A79C-4870-9E27-F4B90A15320E}"/>
    <cellStyle name="20% - Accent1 3 2 3 16" xfId="25213" xr:uid="{C590D038-E7F1-4698-B10C-B1935B21E34C}"/>
    <cellStyle name="20% - Accent1 3 2 3 17" xfId="27103" xr:uid="{F6F52AC1-8D0A-4E32-82F0-B678042D65BC}"/>
    <cellStyle name="20% - Accent1 3 2 3 18" xfId="28993" xr:uid="{6843B022-F7D1-40DF-BF5C-37A61A15F8D7}"/>
    <cellStyle name="20% - Accent1 3 2 3 19" xfId="30883" xr:uid="{6F7BFFA1-AA85-4C54-9B43-C85E09C9AC70}"/>
    <cellStyle name="20% - Accent1 3 2 3 2" xfId="1273" xr:uid="{A55E4643-50B0-4E2F-9A2B-EDD301AC9967}"/>
    <cellStyle name="20% - Accent1 3 2 3 2 10" xfId="18283" xr:uid="{9BB8EA0E-A4C2-4767-835B-E3FB3D57CF6D}"/>
    <cellStyle name="20% - Accent1 3 2 3 2 11" xfId="20173" xr:uid="{2283BB96-ACBC-404A-9D3A-0448CE292F33}"/>
    <cellStyle name="20% - Accent1 3 2 3 2 12" xfId="22063" xr:uid="{3490CE1F-78E7-429C-B57B-184A21959163}"/>
    <cellStyle name="20% - Accent1 3 2 3 2 13" xfId="23953" xr:uid="{157137EA-E2DD-4F13-8C28-557AC89FCBB4}"/>
    <cellStyle name="20% - Accent1 3 2 3 2 14" xfId="25843" xr:uid="{A688D5A4-0515-4BDD-B078-9570540FFF64}"/>
    <cellStyle name="20% - Accent1 3 2 3 2 15" xfId="27733" xr:uid="{416504FE-8816-43DC-B6E5-98B47B3C4BEF}"/>
    <cellStyle name="20% - Accent1 3 2 3 2 16" xfId="29623" xr:uid="{980C9C36-47CD-4B9C-944B-71137E8E39F6}"/>
    <cellStyle name="20% - Accent1 3 2 3 2 17" xfId="31513" xr:uid="{E8CE2E1E-66D0-4F44-B57A-A85015DB5603}"/>
    <cellStyle name="20% - Accent1 3 2 3 2 18" xfId="33403" xr:uid="{28501ED2-4A19-4450-8F5E-8748D849F701}"/>
    <cellStyle name="20% - Accent1 3 2 3 2 19" xfId="35293" xr:uid="{CCC09C07-83B3-4E25-9E35-C573F5F48CDF}"/>
    <cellStyle name="20% - Accent1 3 2 3 2 2" xfId="3163" xr:uid="{8C27AC09-832A-46E8-88FD-81D39B4CD661}"/>
    <cellStyle name="20% - Accent1 3 2 3 2 20" xfId="37183" xr:uid="{53296219-7F94-45B9-AB6D-37A89FC55826}"/>
    <cellStyle name="20% - Accent1 3 2 3 2 21" xfId="39073" xr:uid="{A4DD9628-5E5B-4490-87EE-C425E6965ADF}"/>
    <cellStyle name="20% - Accent1 3 2 3 2 22" xfId="40964" xr:uid="{24A49AC8-2D2C-4150-BF1F-CCD32E373A72}"/>
    <cellStyle name="20% - Accent1 3 2 3 2 3" xfId="5053" xr:uid="{A3DB200D-5ADB-4E0A-9E4D-5F4DB50CD194}"/>
    <cellStyle name="20% - Accent1 3 2 3 2 4" xfId="6943" xr:uid="{08E36377-9178-4EB5-BD4E-3DCB267198D6}"/>
    <cellStyle name="20% - Accent1 3 2 3 2 5" xfId="8833" xr:uid="{E31D44F9-89C9-4A4C-A013-B78A15C1ED68}"/>
    <cellStyle name="20% - Accent1 3 2 3 2 6" xfId="10723" xr:uid="{45C69DE9-B89F-4101-AFF2-2440939538EB}"/>
    <cellStyle name="20% - Accent1 3 2 3 2 7" xfId="12613" xr:uid="{1E5DDCCB-0B8A-4A21-BEDE-12E836FA0F57}"/>
    <cellStyle name="20% - Accent1 3 2 3 2 8" xfId="14503" xr:uid="{FCC08DD2-D1CB-4680-AB85-4937D837F565}"/>
    <cellStyle name="20% - Accent1 3 2 3 2 9" xfId="16393" xr:uid="{9D8FE775-2CD8-456E-9991-A403AAE9D786}"/>
    <cellStyle name="20% - Accent1 3 2 3 20" xfId="32773" xr:uid="{8DEB2A13-2994-45B9-B83E-164A2D11873D}"/>
    <cellStyle name="20% - Accent1 3 2 3 21" xfId="34663" xr:uid="{A04EE2B4-D71D-4465-83A7-76F9A055DB0C}"/>
    <cellStyle name="20% - Accent1 3 2 3 22" xfId="36553" xr:uid="{BED7840E-3906-4DD0-A61A-B32890691BC2}"/>
    <cellStyle name="20% - Accent1 3 2 3 23" xfId="38443" xr:uid="{1003EE4C-CCE0-48B6-85BE-D7C8653A8E8C}"/>
    <cellStyle name="20% - Accent1 3 2 3 24" xfId="40334" xr:uid="{A0586BB9-28A9-42BE-BF51-D967740694BE}"/>
    <cellStyle name="20% - Accent1 3 2 3 3" xfId="1903" xr:uid="{6516E82B-4D5A-4D67-8310-45DAEB711E2E}"/>
    <cellStyle name="20% - Accent1 3 2 3 3 10" xfId="18913" xr:uid="{03520771-061D-4798-81C4-D8E9F503110D}"/>
    <cellStyle name="20% - Accent1 3 2 3 3 11" xfId="20803" xr:uid="{D584122C-BE54-473D-913E-4913109A28A9}"/>
    <cellStyle name="20% - Accent1 3 2 3 3 12" xfId="22693" xr:uid="{D4E90A36-1BFF-4825-9A41-E6C1516705A6}"/>
    <cellStyle name="20% - Accent1 3 2 3 3 13" xfId="24583" xr:uid="{5E1E8C32-15FD-4601-B773-12825D888560}"/>
    <cellStyle name="20% - Accent1 3 2 3 3 14" xfId="26473" xr:uid="{71ECAD58-662B-4CDD-911A-C4FA743280C2}"/>
    <cellStyle name="20% - Accent1 3 2 3 3 15" xfId="28363" xr:uid="{EA77CC85-9DEA-47E5-AEA9-97DE9D85338B}"/>
    <cellStyle name="20% - Accent1 3 2 3 3 16" xfId="30253" xr:uid="{04A72A05-4FC6-4951-9277-F0302C4911FB}"/>
    <cellStyle name="20% - Accent1 3 2 3 3 17" xfId="32143" xr:uid="{954BAAC1-5D1A-4494-98D7-CED1DA7723F3}"/>
    <cellStyle name="20% - Accent1 3 2 3 3 18" xfId="34033" xr:uid="{1FDE5583-26B9-4330-8C65-2C63812BDC43}"/>
    <cellStyle name="20% - Accent1 3 2 3 3 19" xfId="35923" xr:uid="{3056C402-4DB5-4606-AA8C-B749128CE13E}"/>
    <cellStyle name="20% - Accent1 3 2 3 3 2" xfId="3793" xr:uid="{A1A200F7-FBC9-4251-AD6A-5B2B943E315D}"/>
    <cellStyle name="20% - Accent1 3 2 3 3 20" xfId="37813" xr:uid="{55493BA8-3FB7-4370-B44C-7B2A63EECD8E}"/>
    <cellStyle name="20% - Accent1 3 2 3 3 21" xfId="39703" xr:uid="{7293C098-7BF6-41AE-B225-664EFEB4A72E}"/>
    <cellStyle name="20% - Accent1 3 2 3 3 22" xfId="41594" xr:uid="{FB7C0CA4-5D25-47AE-A7AF-6E03DC2D5A71}"/>
    <cellStyle name="20% - Accent1 3 2 3 3 3" xfId="5683" xr:uid="{A1781C89-E88D-474C-BEDA-EF18B1BCFE6F}"/>
    <cellStyle name="20% - Accent1 3 2 3 3 4" xfId="7573" xr:uid="{49C3F4B9-4821-41FD-A798-88E367EBDCBD}"/>
    <cellStyle name="20% - Accent1 3 2 3 3 5" xfId="9463" xr:uid="{C94C4A5F-DB8B-4B6D-9200-8114F39B2814}"/>
    <cellStyle name="20% - Accent1 3 2 3 3 6" xfId="11353" xr:uid="{FE49762B-8134-43EB-A921-FFCEB36D6769}"/>
    <cellStyle name="20% - Accent1 3 2 3 3 7" xfId="13243" xr:uid="{0FA36694-D83E-43CC-A051-01C9280D5939}"/>
    <cellStyle name="20% - Accent1 3 2 3 3 8" xfId="15133" xr:uid="{A88874F2-FE8E-4DD6-A123-A686A03FD9E4}"/>
    <cellStyle name="20% - Accent1 3 2 3 3 9" xfId="17023" xr:uid="{4FC99FEE-84BD-4820-AC35-BA2ED020DDF4}"/>
    <cellStyle name="20% - Accent1 3 2 3 4" xfId="2533" xr:uid="{5803D27D-66E3-462A-9653-4B38A520B164}"/>
    <cellStyle name="20% - Accent1 3 2 3 5" xfId="4423" xr:uid="{B17E7773-258A-4AD2-968C-B93DDAA3D96C}"/>
    <cellStyle name="20% - Accent1 3 2 3 6" xfId="6313" xr:uid="{6C6A4BD5-344D-4EF4-BF08-E5356AC201E9}"/>
    <cellStyle name="20% - Accent1 3 2 3 7" xfId="8203" xr:uid="{B46C1723-0C30-44B8-AC3E-DDA84F015C62}"/>
    <cellStyle name="20% - Accent1 3 2 3 8" xfId="10093" xr:uid="{25C58CD4-6339-4AF1-9F11-6E6F5AF500EF}"/>
    <cellStyle name="20% - Accent1 3 2 3 9" xfId="11983" xr:uid="{0ED271AA-A7A4-41FA-A3FB-BF6AB2D42C34}"/>
    <cellStyle name="20% - Accent1 3 2 4" xfId="853" xr:uid="{230B9FB5-45AA-4A16-884B-DE0991CB660D}"/>
    <cellStyle name="20% - Accent1 3 2 4 10" xfId="17863" xr:uid="{E0A5E118-BBC2-43BE-BAD6-15ED3F8D5D8D}"/>
    <cellStyle name="20% - Accent1 3 2 4 11" xfId="19753" xr:uid="{26FBDB14-DA58-44F8-AD0E-E331BB249781}"/>
    <cellStyle name="20% - Accent1 3 2 4 12" xfId="21643" xr:uid="{320D0065-BCBA-44FD-A7C0-2657A75B1CCF}"/>
    <cellStyle name="20% - Accent1 3 2 4 13" xfId="23533" xr:uid="{DE30BBD2-C14B-4A1F-94D5-0BB32D96DB71}"/>
    <cellStyle name="20% - Accent1 3 2 4 14" xfId="25423" xr:uid="{D6DA61A3-E17E-4575-B4C8-1A032BC87299}"/>
    <cellStyle name="20% - Accent1 3 2 4 15" xfId="27313" xr:uid="{DF402C28-B700-4A8F-AD70-F7528E4A0A93}"/>
    <cellStyle name="20% - Accent1 3 2 4 16" xfId="29203" xr:uid="{92ACEECF-4F2F-49FC-B172-098686ADFB49}"/>
    <cellStyle name="20% - Accent1 3 2 4 17" xfId="31093" xr:uid="{38FC037A-81AA-49FF-BA0D-8B3706359A7A}"/>
    <cellStyle name="20% - Accent1 3 2 4 18" xfId="32983" xr:uid="{AAE2BAF3-EA9F-4952-BF45-8C5A9B05CF11}"/>
    <cellStyle name="20% - Accent1 3 2 4 19" xfId="34873" xr:uid="{3C50A743-9138-473B-B749-1DAC17B210EF}"/>
    <cellStyle name="20% - Accent1 3 2 4 2" xfId="2743" xr:uid="{0E92360E-9220-45B2-BE50-B8EC61ED60C9}"/>
    <cellStyle name="20% - Accent1 3 2 4 20" xfId="36763" xr:uid="{C99C4788-71F9-4EF6-82B7-22E57DFEA5A2}"/>
    <cellStyle name="20% - Accent1 3 2 4 21" xfId="38653" xr:uid="{9C4A0FE2-2034-4250-A280-7F1AAD80911C}"/>
    <cellStyle name="20% - Accent1 3 2 4 22" xfId="40544" xr:uid="{82192EA2-E1D1-44AD-9BD9-B3DC9AD6CB85}"/>
    <cellStyle name="20% - Accent1 3 2 4 3" xfId="4633" xr:uid="{51B2FC6C-F8C1-46A8-A075-BAEC66AB1A8B}"/>
    <cellStyle name="20% - Accent1 3 2 4 4" xfId="6523" xr:uid="{6791FF3A-674E-4C4B-9AAA-F57097CC4DC1}"/>
    <cellStyle name="20% - Accent1 3 2 4 5" xfId="8413" xr:uid="{54B05ADF-A0B5-4A22-885A-2A1C6C304603}"/>
    <cellStyle name="20% - Accent1 3 2 4 6" xfId="10303" xr:uid="{44E83609-3BE9-4921-9172-9A054B219884}"/>
    <cellStyle name="20% - Accent1 3 2 4 7" xfId="12193" xr:uid="{62CE072C-1BFD-408C-B059-4D6321AFDE5C}"/>
    <cellStyle name="20% - Accent1 3 2 4 8" xfId="14083" xr:uid="{612A4666-E8F3-40C5-A38B-1DEE172666F9}"/>
    <cellStyle name="20% - Accent1 3 2 4 9" xfId="15973" xr:uid="{C2CECE9B-519F-4915-8CB2-1EF4FA61F1AB}"/>
    <cellStyle name="20% - Accent1 3 2 5" xfId="1483" xr:uid="{286865F6-7DE4-4F96-A86E-6A30E1587549}"/>
    <cellStyle name="20% - Accent1 3 2 5 10" xfId="18493" xr:uid="{0DF38ABC-243E-4092-8CF1-DC391440D2FB}"/>
    <cellStyle name="20% - Accent1 3 2 5 11" xfId="20383" xr:uid="{956BA5EA-B38A-4CEF-B16C-093CC97F77FC}"/>
    <cellStyle name="20% - Accent1 3 2 5 12" xfId="22273" xr:uid="{FB43E001-589F-4B84-A8AB-D0C663C7346B}"/>
    <cellStyle name="20% - Accent1 3 2 5 13" xfId="24163" xr:uid="{F20B2790-2798-468B-A47B-8F054075ACDB}"/>
    <cellStyle name="20% - Accent1 3 2 5 14" xfId="26053" xr:uid="{9F241AD0-A3E1-4970-B02D-419879C93DC4}"/>
    <cellStyle name="20% - Accent1 3 2 5 15" xfId="27943" xr:uid="{D537CA6A-EDB3-4E5A-A6BE-259765F99371}"/>
    <cellStyle name="20% - Accent1 3 2 5 16" xfId="29833" xr:uid="{08A1D908-D1C2-4225-9DF2-315B92E98970}"/>
    <cellStyle name="20% - Accent1 3 2 5 17" xfId="31723" xr:uid="{A18649A2-824C-4FDC-AC0D-F1B4B54F704D}"/>
    <cellStyle name="20% - Accent1 3 2 5 18" xfId="33613" xr:uid="{5464F9C1-34CF-4198-9FC0-7E0C85459A4C}"/>
    <cellStyle name="20% - Accent1 3 2 5 19" xfId="35503" xr:uid="{7DAD2701-0C0A-48BE-9709-B970C464BE32}"/>
    <cellStyle name="20% - Accent1 3 2 5 2" xfId="3373" xr:uid="{E0C4E7C6-F4C2-4962-934E-B14D0ADD717F}"/>
    <cellStyle name="20% - Accent1 3 2 5 20" xfId="37393" xr:uid="{7DCEE2E2-B752-4648-94F8-2A5D709F27A1}"/>
    <cellStyle name="20% - Accent1 3 2 5 21" xfId="39283" xr:uid="{35CA8CE5-1E0F-487C-836C-598F3C46B0FC}"/>
    <cellStyle name="20% - Accent1 3 2 5 22" xfId="41174" xr:uid="{DF2163B8-BCFB-4FFD-ADD2-0F401177098A}"/>
    <cellStyle name="20% - Accent1 3 2 5 3" xfId="5263" xr:uid="{C40FB734-FA15-419A-A937-24A7E4B61034}"/>
    <cellStyle name="20% - Accent1 3 2 5 4" xfId="7153" xr:uid="{BD238C72-20AE-40BE-ADDE-E032184E6C74}"/>
    <cellStyle name="20% - Accent1 3 2 5 5" xfId="9043" xr:uid="{5F9CA7D0-09B5-4725-BF1A-5750BE8DB6A2}"/>
    <cellStyle name="20% - Accent1 3 2 5 6" xfId="10933" xr:uid="{E065B64D-4091-4379-A817-6718DAF3F669}"/>
    <cellStyle name="20% - Accent1 3 2 5 7" xfId="12823" xr:uid="{4D321391-3C25-4154-A214-FDE67AE9D6D3}"/>
    <cellStyle name="20% - Accent1 3 2 5 8" xfId="14713" xr:uid="{F307AB9D-7144-48DF-A37B-C7CF17822FFF}"/>
    <cellStyle name="20% - Accent1 3 2 5 9" xfId="16603" xr:uid="{73DE815E-FD82-44D7-808E-1F95C458B9D3}"/>
    <cellStyle name="20% - Accent1 3 2 6" xfId="2113" xr:uid="{2CCC3186-21AE-4450-BA41-CE6FFEE94C63}"/>
    <cellStyle name="20% - Accent1 3 2 7" xfId="4003" xr:uid="{E9AA5007-C4C7-4A0F-8978-246B9BDA4056}"/>
    <cellStyle name="20% - Accent1 3 2 8" xfId="5893" xr:uid="{687AE31E-ED46-4884-B602-B1F224CE192D}"/>
    <cellStyle name="20% - Accent1 3 2 9" xfId="7783" xr:uid="{8691E6C8-AFEA-4BDF-85DD-B588145F2F05}"/>
    <cellStyle name="20% - Accent1 3 20" xfId="26578" xr:uid="{3E480DD9-1C02-4C80-BC95-FF86A6D1C643}"/>
    <cellStyle name="20% - Accent1 3 21" xfId="28468" xr:uid="{78E0C370-0DE6-44F0-9C76-AB2C0FE3487C}"/>
    <cellStyle name="20% - Accent1 3 22" xfId="30358" xr:uid="{D55E4061-E34F-4887-A95B-8485198796DF}"/>
    <cellStyle name="20% - Accent1 3 23" xfId="32248" xr:uid="{7935B932-AAB6-4ABD-9F27-53CC886B0E57}"/>
    <cellStyle name="20% - Accent1 3 24" xfId="34138" xr:uid="{8F4D81FF-BEAD-44BD-ADB5-7FC300E24FCD}"/>
    <cellStyle name="20% - Accent1 3 25" xfId="36028" xr:uid="{506CEF35-1F1F-42C2-9099-9B491F1C487D}"/>
    <cellStyle name="20% - Accent1 3 26" xfId="37918" xr:uid="{4C789153-0791-49F1-BB99-E41D7B528FA2}"/>
    <cellStyle name="20% - Accent1 3 27" xfId="39809" xr:uid="{E0549A08-55B2-4ABB-A043-EDE78322C8FC}"/>
    <cellStyle name="20% - Accent1 3 3" xfId="328" xr:uid="{2BDA3AFA-19A4-446E-A1DB-D84666942469}"/>
    <cellStyle name="20% - Accent1 3 3 10" xfId="13558" xr:uid="{A54495C2-47B4-41C2-97C2-96F935764E77}"/>
    <cellStyle name="20% - Accent1 3 3 11" xfId="15448" xr:uid="{15CC0B06-D269-4350-B79A-9BBC09A4F642}"/>
    <cellStyle name="20% - Accent1 3 3 12" xfId="17338" xr:uid="{CC8B4DCB-6C96-4B31-A099-23FE36DC04B8}"/>
    <cellStyle name="20% - Accent1 3 3 13" xfId="19228" xr:uid="{B2E3BFB6-FD79-4EC3-B80B-D01FF31C3071}"/>
    <cellStyle name="20% - Accent1 3 3 14" xfId="21118" xr:uid="{FC7A5C63-18EC-466C-961C-4CC584A525B2}"/>
    <cellStyle name="20% - Accent1 3 3 15" xfId="23008" xr:uid="{4C26140F-7531-4297-B67A-291874291352}"/>
    <cellStyle name="20% - Accent1 3 3 16" xfId="24898" xr:uid="{AFDEDC2D-27AD-43B4-80EA-5E35C64B6585}"/>
    <cellStyle name="20% - Accent1 3 3 17" xfId="26788" xr:uid="{2853E8B4-7858-459D-9C73-34533A1869B9}"/>
    <cellStyle name="20% - Accent1 3 3 18" xfId="28678" xr:uid="{4A75752B-B4C4-43C8-9E33-C7223D6261FA}"/>
    <cellStyle name="20% - Accent1 3 3 19" xfId="30568" xr:uid="{5EF15FF8-D498-4DC9-8026-A1DE48CB389F}"/>
    <cellStyle name="20% - Accent1 3 3 2" xfId="958" xr:uid="{A090B7A5-3C00-4E42-80A7-3B246554021B}"/>
    <cellStyle name="20% - Accent1 3 3 2 10" xfId="17968" xr:uid="{E5076A99-E4EC-4E00-8383-E08DCDD3B3C4}"/>
    <cellStyle name="20% - Accent1 3 3 2 11" xfId="19858" xr:uid="{2700E613-E097-4E44-AA89-E4A596EF0483}"/>
    <cellStyle name="20% - Accent1 3 3 2 12" xfId="21748" xr:uid="{CBE202E0-4519-4DB0-B77D-D0D4DCF83FC0}"/>
    <cellStyle name="20% - Accent1 3 3 2 13" xfId="23638" xr:uid="{86A23117-D1D2-4A4D-A5AC-344D88F73323}"/>
    <cellStyle name="20% - Accent1 3 3 2 14" xfId="25528" xr:uid="{892BAF88-F462-484D-B713-759CB1BE7721}"/>
    <cellStyle name="20% - Accent1 3 3 2 15" xfId="27418" xr:uid="{C3D1AFF0-F6C5-499A-B052-CC49289BA2EC}"/>
    <cellStyle name="20% - Accent1 3 3 2 16" xfId="29308" xr:uid="{7102E132-73FE-4EB7-A018-191D7A89A00E}"/>
    <cellStyle name="20% - Accent1 3 3 2 17" xfId="31198" xr:uid="{87A86863-66D5-43B7-9132-A35111014D68}"/>
    <cellStyle name="20% - Accent1 3 3 2 18" xfId="33088" xr:uid="{4DAC08C4-A5CB-43B4-9816-B37EAA90480C}"/>
    <cellStyle name="20% - Accent1 3 3 2 19" xfId="34978" xr:uid="{C444E3CE-AB7B-4ED5-B452-4464E31521EC}"/>
    <cellStyle name="20% - Accent1 3 3 2 2" xfId="2848" xr:uid="{567E4D0E-ECD7-4E46-BCBB-D05E786F4A34}"/>
    <cellStyle name="20% - Accent1 3 3 2 20" xfId="36868" xr:uid="{42CEE8A0-E51F-444F-ACD6-34AC954D6B6D}"/>
    <cellStyle name="20% - Accent1 3 3 2 21" xfId="38758" xr:uid="{E336E4A0-95E3-46B4-98DC-8472EA4AD587}"/>
    <cellStyle name="20% - Accent1 3 3 2 22" xfId="40649" xr:uid="{21C48F57-1393-4C07-BFB4-9081A595030C}"/>
    <cellStyle name="20% - Accent1 3 3 2 3" xfId="4738" xr:uid="{BFA5C4F8-1D7D-4B88-B6F5-AEEB4B11811D}"/>
    <cellStyle name="20% - Accent1 3 3 2 4" xfId="6628" xr:uid="{753D571F-AC53-443E-8C86-EBE6349D2554}"/>
    <cellStyle name="20% - Accent1 3 3 2 5" xfId="8518" xr:uid="{09054B13-FB40-42B5-A892-83FA5F7BBC42}"/>
    <cellStyle name="20% - Accent1 3 3 2 6" xfId="10408" xr:uid="{2CAEAC8A-4F0C-4534-9FA5-14E235FBBC4F}"/>
    <cellStyle name="20% - Accent1 3 3 2 7" xfId="12298" xr:uid="{96C5DB27-D4B2-44BE-8F8D-BBC023995763}"/>
    <cellStyle name="20% - Accent1 3 3 2 8" xfId="14188" xr:uid="{25FE6B0D-70AF-4992-B88B-78F31AC97105}"/>
    <cellStyle name="20% - Accent1 3 3 2 9" xfId="16078" xr:uid="{7F42CCAA-FC8A-4D33-98B4-B0EE301E07C9}"/>
    <cellStyle name="20% - Accent1 3 3 20" xfId="32458" xr:uid="{73F44CCC-68AD-4A05-86B3-B68410BB3B53}"/>
    <cellStyle name="20% - Accent1 3 3 21" xfId="34348" xr:uid="{65F267BE-AA5B-49CF-BFFA-036A813702D4}"/>
    <cellStyle name="20% - Accent1 3 3 22" xfId="36238" xr:uid="{3AA0AB16-32B0-46D5-BD49-7081557AC03B}"/>
    <cellStyle name="20% - Accent1 3 3 23" xfId="38128" xr:uid="{59DC10AD-F98C-4FFF-8615-26EB15A15733}"/>
    <cellStyle name="20% - Accent1 3 3 24" xfId="40019" xr:uid="{7AF47234-2611-4975-A0C8-75A33FEE348F}"/>
    <cellStyle name="20% - Accent1 3 3 3" xfId="1588" xr:uid="{30856095-48B1-435C-8417-5B4D41E116C6}"/>
    <cellStyle name="20% - Accent1 3 3 3 10" xfId="18598" xr:uid="{CF4F0CFD-86F0-4E0B-B1EC-9EFF0F28716C}"/>
    <cellStyle name="20% - Accent1 3 3 3 11" xfId="20488" xr:uid="{4B5CE163-AEEB-4532-BE5D-E51585B580D3}"/>
    <cellStyle name="20% - Accent1 3 3 3 12" xfId="22378" xr:uid="{2B8651F3-C0FB-4C5D-A09B-99BE50625087}"/>
    <cellStyle name="20% - Accent1 3 3 3 13" xfId="24268" xr:uid="{AD06CBFD-61D1-4CAB-A55E-5EF61886188A}"/>
    <cellStyle name="20% - Accent1 3 3 3 14" xfId="26158" xr:uid="{D619E6AA-D50B-4F37-91A1-94373473FC67}"/>
    <cellStyle name="20% - Accent1 3 3 3 15" xfId="28048" xr:uid="{ABBC33A8-9794-4970-8058-3C59D893A753}"/>
    <cellStyle name="20% - Accent1 3 3 3 16" xfId="29938" xr:uid="{33C11A74-A338-437E-80C2-5B617B11702A}"/>
    <cellStyle name="20% - Accent1 3 3 3 17" xfId="31828" xr:uid="{871407B1-13C1-4FB8-883E-7A8195A6950E}"/>
    <cellStyle name="20% - Accent1 3 3 3 18" xfId="33718" xr:uid="{AD04AE4D-C289-4D0D-B803-B8896F63D5D9}"/>
    <cellStyle name="20% - Accent1 3 3 3 19" xfId="35608" xr:uid="{8F68DA4E-6410-4A54-BB4F-B7910376B350}"/>
    <cellStyle name="20% - Accent1 3 3 3 2" xfId="3478" xr:uid="{6DDFC950-FB30-4D5F-93BA-EFF4CE9AE665}"/>
    <cellStyle name="20% - Accent1 3 3 3 20" xfId="37498" xr:uid="{543CCC29-0702-4B43-AF60-DCCA074F9956}"/>
    <cellStyle name="20% - Accent1 3 3 3 21" xfId="39388" xr:uid="{0ECD1CB1-3439-4D23-BF27-F329E8E13F24}"/>
    <cellStyle name="20% - Accent1 3 3 3 22" xfId="41279" xr:uid="{8ECBCD6D-AD13-4170-A7E7-645A527546EC}"/>
    <cellStyle name="20% - Accent1 3 3 3 3" xfId="5368" xr:uid="{9FD15372-4BA7-4B05-87CF-938249D7BBB1}"/>
    <cellStyle name="20% - Accent1 3 3 3 4" xfId="7258" xr:uid="{7AE539A0-FBDF-4D40-8269-646FC21F4059}"/>
    <cellStyle name="20% - Accent1 3 3 3 5" xfId="9148" xr:uid="{4DD3816D-ED53-4992-9F26-507A4F7F1FBD}"/>
    <cellStyle name="20% - Accent1 3 3 3 6" xfId="11038" xr:uid="{83856F44-1A19-4C50-9CDD-E4D9CAE6FAB7}"/>
    <cellStyle name="20% - Accent1 3 3 3 7" xfId="12928" xr:uid="{A3E3AA01-F17B-4F83-B1BB-296DB1D2F4B4}"/>
    <cellStyle name="20% - Accent1 3 3 3 8" xfId="14818" xr:uid="{CC6DBAC4-7061-4850-9BBD-7D963E96BB48}"/>
    <cellStyle name="20% - Accent1 3 3 3 9" xfId="16708" xr:uid="{6F6136D1-529B-43B6-A955-DEE5F424848E}"/>
    <cellStyle name="20% - Accent1 3 3 4" xfId="2218" xr:uid="{38075229-26EB-4E1B-AC4A-E1B81F033C5E}"/>
    <cellStyle name="20% - Accent1 3 3 5" xfId="4108" xr:uid="{68E67E4F-6560-41EE-9B30-657F18EE940A}"/>
    <cellStyle name="20% - Accent1 3 3 6" xfId="5998" xr:uid="{FE5FCED7-0DD8-457A-9F1C-C74D193EEB18}"/>
    <cellStyle name="20% - Accent1 3 3 7" xfId="7888" xr:uid="{4B9A64DC-A4F6-4EE8-99B6-89334E1DFE94}"/>
    <cellStyle name="20% - Accent1 3 3 8" xfId="9778" xr:uid="{EBA2E174-0531-45D1-A6DC-2415E572335D}"/>
    <cellStyle name="20% - Accent1 3 3 9" xfId="11668" xr:uid="{91B501EF-A40D-4C40-9152-DAC9B8431747}"/>
    <cellStyle name="20% - Accent1 3 4" xfId="538" xr:uid="{00327C6F-FA32-40B4-9CC3-D16F123BDD69}"/>
    <cellStyle name="20% - Accent1 3 4 10" xfId="13768" xr:uid="{7CEE7B34-8930-4C30-97A2-D72CF4D5A947}"/>
    <cellStyle name="20% - Accent1 3 4 11" xfId="15658" xr:uid="{15AC7EDA-E8D3-440A-A8F0-75C51439CAAF}"/>
    <cellStyle name="20% - Accent1 3 4 12" xfId="17548" xr:uid="{B1D06719-82ED-4FF0-8EEA-575602CDA604}"/>
    <cellStyle name="20% - Accent1 3 4 13" xfId="19438" xr:uid="{D66F29D8-549E-413D-92AE-3D53E77DCADA}"/>
    <cellStyle name="20% - Accent1 3 4 14" xfId="21328" xr:uid="{159FD87E-B92D-41FC-9727-D2221D096DFC}"/>
    <cellStyle name="20% - Accent1 3 4 15" xfId="23218" xr:uid="{C99D4BFF-4533-4BE3-B5FC-B97294F308D2}"/>
    <cellStyle name="20% - Accent1 3 4 16" xfId="25108" xr:uid="{EA258FFE-D7A2-4457-A764-6D15BB88AC95}"/>
    <cellStyle name="20% - Accent1 3 4 17" xfId="26998" xr:uid="{D628D1E8-67F8-408C-A9D5-97968929F30E}"/>
    <cellStyle name="20% - Accent1 3 4 18" xfId="28888" xr:uid="{E16E264D-C0C8-4FE1-896B-A04496742597}"/>
    <cellStyle name="20% - Accent1 3 4 19" xfId="30778" xr:uid="{63322C53-CB18-4796-8AC5-2291B4838158}"/>
    <cellStyle name="20% - Accent1 3 4 2" xfId="1168" xr:uid="{FFDF2444-CC1E-4186-B2D1-4017968D4093}"/>
    <cellStyle name="20% - Accent1 3 4 2 10" xfId="18178" xr:uid="{271C974A-BF30-473A-8BD5-1AAE7B0F6358}"/>
    <cellStyle name="20% - Accent1 3 4 2 11" xfId="20068" xr:uid="{420F0CE4-DA66-4688-8FBC-85B25FD5E6ED}"/>
    <cellStyle name="20% - Accent1 3 4 2 12" xfId="21958" xr:uid="{1E6A5B3A-6872-4F1E-BB9D-19977CA6D914}"/>
    <cellStyle name="20% - Accent1 3 4 2 13" xfId="23848" xr:uid="{71CF2E12-CEDD-4ADB-91AE-8F40BB616C37}"/>
    <cellStyle name="20% - Accent1 3 4 2 14" xfId="25738" xr:uid="{611BC010-4D7A-4BE5-9DBE-A3A8E32DE29A}"/>
    <cellStyle name="20% - Accent1 3 4 2 15" xfId="27628" xr:uid="{47925A4A-4E81-4D20-8D92-66C8DB7FCF23}"/>
    <cellStyle name="20% - Accent1 3 4 2 16" xfId="29518" xr:uid="{F05FA82A-DF17-47C9-97C6-7255C2AA6EEC}"/>
    <cellStyle name="20% - Accent1 3 4 2 17" xfId="31408" xr:uid="{5E1FD369-3B60-41C8-A581-AC7EE0730FC8}"/>
    <cellStyle name="20% - Accent1 3 4 2 18" xfId="33298" xr:uid="{FE7A01FF-4243-4A8F-A992-F9FD597D537A}"/>
    <cellStyle name="20% - Accent1 3 4 2 19" xfId="35188" xr:uid="{32A2EDAE-EB2E-4AB0-8E4C-549CAC52F897}"/>
    <cellStyle name="20% - Accent1 3 4 2 2" xfId="3058" xr:uid="{D3FEDE73-BB29-48AA-B153-218630073290}"/>
    <cellStyle name="20% - Accent1 3 4 2 20" xfId="37078" xr:uid="{7FBA7F6F-E8F8-4B1A-9C8E-76DF657438C8}"/>
    <cellStyle name="20% - Accent1 3 4 2 21" xfId="38968" xr:uid="{6E248EC4-EFCD-4A01-8391-C22781859F0B}"/>
    <cellStyle name="20% - Accent1 3 4 2 22" xfId="40859" xr:uid="{802DB8D1-EFFD-4633-863E-A69BE230ABB0}"/>
    <cellStyle name="20% - Accent1 3 4 2 3" xfId="4948" xr:uid="{8AF0EA52-EB8C-4790-9923-E0FDABF9EBCA}"/>
    <cellStyle name="20% - Accent1 3 4 2 4" xfId="6838" xr:uid="{C436A97D-DD3D-4327-85A1-D4E4D8A04B90}"/>
    <cellStyle name="20% - Accent1 3 4 2 5" xfId="8728" xr:uid="{0C5F2CFF-5272-464E-9DB4-6BE3FF96211E}"/>
    <cellStyle name="20% - Accent1 3 4 2 6" xfId="10618" xr:uid="{8383F1CB-9763-41D5-8AB6-5277E27F14C9}"/>
    <cellStyle name="20% - Accent1 3 4 2 7" xfId="12508" xr:uid="{E9765095-93D1-444C-A040-0DD311DB89BA}"/>
    <cellStyle name="20% - Accent1 3 4 2 8" xfId="14398" xr:uid="{0784E492-A6B1-4DF6-8ECC-BDCB0769ECED}"/>
    <cellStyle name="20% - Accent1 3 4 2 9" xfId="16288" xr:uid="{395073BD-BEB8-4BC5-B822-08C75E19DADF}"/>
    <cellStyle name="20% - Accent1 3 4 20" xfId="32668" xr:uid="{6A0FBCB4-DA28-4DAE-A3A7-472664E9CA1B}"/>
    <cellStyle name="20% - Accent1 3 4 21" xfId="34558" xr:uid="{BC79F80F-DB53-4A9D-8791-436B003C8F2D}"/>
    <cellStyle name="20% - Accent1 3 4 22" xfId="36448" xr:uid="{FC030C43-73B6-47F1-8CCD-035EE4FBCDBA}"/>
    <cellStyle name="20% - Accent1 3 4 23" xfId="38338" xr:uid="{CD883AF3-5900-4BDC-A136-7A24ACF58BA3}"/>
    <cellStyle name="20% - Accent1 3 4 24" xfId="40229" xr:uid="{0D2C5A4A-88C7-42AB-AFCB-36A008DEF1B9}"/>
    <cellStyle name="20% - Accent1 3 4 3" xfId="1798" xr:uid="{CB3B8EAF-5041-4AFA-886C-82CA70D31D85}"/>
    <cellStyle name="20% - Accent1 3 4 3 10" xfId="18808" xr:uid="{690DDB82-EA3D-4981-96F3-DB9FB5402D09}"/>
    <cellStyle name="20% - Accent1 3 4 3 11" xfId="20698" xr:uid="{CCF5590C-540F-48F9-A602-9A0A1F593914}"/>
    <cellStyle name="20% - Accent1 3 4 3 12" xfId="22588" xr:uid="{B1F946D8-AEE7-43DA-952C-317E9793B0B1}"/>
    <cellStyle name="20% - Accent1 3 4 3 13" xfId="24478" xr:uid="{78ABC931-F42A-40B3-BCCA-E8944817D641}"/>
    <cellStyle name="20% - Accent1 3 4 3 14" xfId="26368" xr:uid="{B13CFE56-3EB2-497D-B600-0E1813107267}"/>
    <cellStyle name="20% - Accent1 3 4 3 15" xfId="28258" xr:uid="{433531AC-C610-463F-8F8B-4F868C6BEF54}"/>
    <cellStyle name="20% - Accent1 3 4 3 16" xfId="30148" xr:uid="{EEFFC53D-377D-4C1D-8DD7-193722DA9DE5}"/>
    <cellStyle name="20% - Accent1 3 4 3 17" xfId="32038" xr:uid="{5C7BFA36-A539-4C68-A630-0819EEDEB7A2}"/>
    <cellStyle name="20% - Accent1 3 4 3 18" xfId="33928" xr:uid="{F49F63A1-6701-4BB3-B046-DE539292C951}"/>
    <cellStyle name="20% - Accent1 3 4 3 19" xfId="35818" xr:uid="{EC5852A3-E42B-4607-89A1-97BFF57ACB6B}"/>
    <cellStyle name="20% - Accent1 3 4 3 2" xfId="3688" xr:uid="{4CA4F65A-F570-469C-A2E9-5DEBD22BB352}"/>
    <cellStyle name="20% - Accent1 3 4 3 20" xfId="37708" xr:uid="{62D2F29F-4C06-4501-AE1A-B5A9CB87D505}"/>
    <cellStyle name="20% - Accent1 3 4 3 21" xfId="39598" xr:uid="{4AEE2CE9-6276-447B-9BB1-DBBA6B17AA63}"/>
    <cellStyle name="20% - Accent1 3 4 3 22" xfId="41489" xr:uid="{84AFE121-4A74-46D1-8B9C-79D7AF42A7A7}"/>
    <cellStyle name="20% - Accent1 3 4 3 3" xfId="5578" xr:uid="{57B3671F-F622-474A-82FF-10D1D0345FFE}"/>
    <cellStyle name="20% - Accent1 3 4 3 4" xfId="7468" xr:uid="{75102EE5-505F-478A-BBE5-F4CD839D4CC9}"/>
    <cellStyle name="20% - Accent1 3 4 3 5" xfId="9358" xr:uid="{ED280089-F1E4-4A91-89FD-169EC633BA28}"/>
    <cellStyle name="20% - Accent1 3 4 3 6" xfId="11248" xr:uid="{E77F8B82-9D27-4B07-8A51-1A6414F21000}"/>
    <cellStyle name="20% - Accent1 3 4 3 7" xfId="13138" xr:uid="{D5FDCB2C-4FB4-4DC0-AD9A-1A55FC161B92}"/>
    <cellStyle name="20% - Accent1 3 4 3 8" xfId="15028" xr:uid="{C591E76E-225B-4179-ABA7-F0D87C23489E}"/>
    <cellStyle name="20% - Accent1 3 4 3 9" xfId="16918" xr:uid="{D9CE9123-11F2-4F68-8BA0-D5CF64261BF1}"/>
    <cellStyle name="20% - Accent1 3 4 4" xfId="2428" xr:uid="{9BA159D3-91D0-4D2E-812C-C48FA27EBF24}"/>
    <cellStyle name="20% - Accent1 3 4 5" xfId="4318" xr:uid="{361DC6E1-37DE-463A-A77B-35BFA8047191}"/>
    <cellStyle name="20% - Accent1 3 4 6" xfId="6208" xr:uid="{D9580B61-7BDE-4359-AEC6-ABBB4CE4359B}"/>
    <cellStyle name="20% - Accent1 3 4 7" xfId="8098" xr:uid="{97B34665-3BAB-4E1A-80AF-CB90FC797055}"/>
    <cellStyle name="20% - Accent1 3 4 8" xfId="9988" xr:uid="{C7A4EFAA-370D-4A02-A7B4-0B48D68FE71D}"/>
    <cellStyle name="20% - Accent1 3 4 9" xfId="11878" xr:uid="{C4620375-9238-46B9-9D33-67E80AF5CA44}"/>
    <cellStyle name="20% - Accent1 3 5" xfId="748" xr:uid="{E48572A9-BFFB-49A1-A8D4-B66566550595}"/>
    <cellStyle name="20% - Accent1 3 5 10" xfId="17758" xr:uid="{695EDFF7-44FC-4F91-8520-EA54133AFC0C}"/>
    <cellStyle name="20% - Accent1 3 5 11" xfId="19648" xr:uid="{771B3944-9D29-4747-8242-980508FCE41B}"/>
    <cellStyle name="20% - Accent1 3 5 12" xfId="21538" xr:uid="{8A44A683-7642-428A-937F-7646B837CC0F}"/>
    <cellStyle name="20% - Accent1 3 5 13" xfId="23428" xr:uid="{09F815B9-9A97-4E5C-817D-6ECB0764B7ED}"/>
    <cellStyle name="20% - Accent1 3 5 14" xfId="25318" xr:uid="{68765C30-257B-4DCE-B302-745B8ED8C15D}"/>
    <cellStyle name="20% - Accent1 3 5 15" xfId="27208" xr:uid="{0DA2216F-7536-44E7-9B8C-BA4BBA392DD6}"/>
    <cellStyle name="20% - Accent1 3 5 16" xfId="29098" xr:uid="{B73E46B3-3C4E-4CD9-B859-D3C19D152A86}"/>
    <cellStyle name="20% - Accent1 3 5 17" xfId="30988" xr:uid="{9C150C4B-D380-4241-AC2B-83BF5238E302}"/>
    <cellStyle name="20% - Accent1 3 5 18" xfId="32878" xr:uid="{B4F9176B-17A4-4460-A847-423ACCA566A8}"/>
    <cellStyle name="20% - Accent1 3 5 19" xfId="34768" xr:uid="{E5ECDD86-1501-4F1E-913B-38AA8D8C3ECD}"/>
    <cellStyle name="20% - Accent1 3 5 2" xfId="2638" xr:uid="{25CF6B0F-AD1F-4653-AD7A-D873AFF685C3}"/>
    <cellStyle name="20% - Accent1 3 5 20" xfId="36658" xr:uid="{91364F04-F1A6-4A36-A2E3-264867BCB35A}"/>
    <cellStyle name="20% - Accent1 3 5 21" xfId="38548" xr:uid="{83B0DD21-5285-48DB-A5C0-BFA140671C59}"/>
    <cellStyle name="20% - Accent1 3 5 22" xfId="40439" xr:uid="{4E90E309-0D64-4867-A016-3C0B273643FD}"/>
    <cellStyle name="20% - Accent1 3 5 3" xfId="4528" xr:uid="{882582A4-74AD-4B08-9A10-FFC29DC83CA4}"/>
    <cellStyle name="20% - Accent1 3 5 4" xfId="6418" xr:uid="{B63D19FA-C9DC-4C3E-B8FC-FD81BC44821B}"/>
    <cellStyle name="20% - Accent1 3 5 5" xfId="8308" xr:uid="{14501B6A-32E6-4012-8AA2-19DD107AFAA3}"/>
    <cellStyle name="20% - Accent1 3 5 6" xfId="10198" xr:uid="{93647944-1EFE-4AF3-A328-A886786CF59D}"/>
    <cellStyle name="20% - Accent1 3 5 7" xfId="12088" xr:uid="{E0B29012-47E4-4227-A3F1-D7B4414315E6}"/>
    <cellStyle name="20% - Accent1 3 5 8" xfId="13978" xr:uid="{541912B8-2E83-4109-AC24-06714FFF75F8}"/>
    <cellStyle name="20% - Accent1 3 5 9" xfId="15868" xr:uid="{185BB4D7-AE5A-47A9-966C-B61182EAE20F}"/>
    <cellStyle name="20% - Accent1 3 6" xfId="1378" xr:uid="{FACD577E-5543-4FC7-A552-C005FCF0D266}"/>
    <cellStyle name="20% - Accent1 3 6 10" xfId="18388" xr:uid="{46DFC8D1-511A-4474-996F-F3FC78413643}"/>
    <cellStyle name="20% - Accent1 3 6 11" xfId="20278" xr:uid="{60B1CDD4-41FF-4551-BD33-9BFBF66C6BC4}"/>
    <cellStyle name="20% - Accent1 3 6 12" xfId="22168" xr:uid="{9EBCE665-3658-4BCC-90DD-B8BB5E00D025}"/>
    <cellStyle name="20% - Accent1 3 6 13" xfId="24058" xr:uid="{516FFC9A-2752-401D-BAF5-1B376817AC84}"/>
    <cellStyle name="20% - Accent1 3 6 14" xfId="25948" xr:uid="{07918352-8917-4A76-94FF-2222A90C9DE3}"/>
    <cellStyle name="20% - Accent1 3 6 15" xfId="27838" xr:uid="{F0180D6B-DE67-48B4-B738-E45123F7686C}"/>
    <cellStyle name="20% - Accent1 3 6 16" xfId="29728" xr:uid="{39A08189-25DF-4C48-91FB-331C1EE6E4BF}"/>
    <cellStyle name="20% - Accent1 3 6 17" xfId="31618" xr:uid="{3F387F35-A69E-4894-A3F3-4A6F79A46DE4}"/>
    <cellStyle name="20% - Accent1 3 6 18" xfId="33508" xr:uid="{E057278A-23B8-4E6B-96C8-2DEC0413B293}"/>
    <cellStyle name="20% - Accent1 3 6 19" xfId="35398" xr:uid="{78CBECF5-A3F1-4C92-B993-D1F9D1F0FB53}"/>
    <cellStyle name="20% - Accent1 3 6 2" xfId="3268" xr:uid="{E933D337-EE26-425F-B756-D19C608AA4C8}"/>
    <cellStyle name="20% - Accent1 3 6 20" xfId="37288" xr:uid="{6C28FFA3-80CF-4C2C-A038-324CE8158B6B}"/>
    <cellStyle name="20% - Accent1 3 6 21" xfId="39178" xr:uid="{3108BD64-AA42-466A-B71A-44A386B1FFDF}"/>
    <cellStyle name="20% - Accent1 3 6 22" xfId="41069" xr:uid="{CCAD2EEC-7542-40B7-831C-DDBC47F6EC75}"/>
    <cellStyle name="20% - Accent1 3 6 3" xfId="5158" xr:uid="{44773961-7B79-469E-B81F-FF37BA132A7E}"/>
    <cellStyle name="20% - Accent1 3 6 4" xfId="7048" xr:uid="{B42761FE-E90F-439F-8279-E42161CA5F14}"/>
    <cellStyle name="20% - Accent1 3 6 5" xfId="8938" xr:uid="{B0CFA575-A535-4120-A389-A0AD2D009966}"/>
    <cellStyle name="20% - Accent1 3 6 6" xfId="10828" xr:uid="{D570DC98-50E2-4159-A8A1-0D305EF360CD}"/>
    <cellStyle name="20% - Accent1 3 6 7" xfId="12718" xr:uid="{87D750FD-3E8B-4F41-8A53-D231F8339DA1}"/>
    <cellStyle name="20% - Accent1 3 6 8" xfId="14608" xr:uid="{540809D5-B5CE-4E0C-83AF-014241DEAF65}"/>
    <cellStyle name="20% - Accent1 3 6 9" xfId="16498" xr:uid="{64168F4D-242C-436F-93F0-1EF4FDE34908}"/>
    <cellStyle name="20% - Accent1 3 7" xfId="2008" xr:uid="{DD75A55B-DD81-45EF-8A69-318F27669434}"/>
    <cellStyle name="20% - Accent1 3 8" xfId="3898" xr:uid="{35FB33D2-3FA4-4457-BF26-3F52A0BE6894}"/>
    <cellStyle name="20% - Accent1 3 9" xfId="5788" xr:uid="{2728A862-F6BF-49C0-B342-7758A6ADB4FE}"/>
    <cellStyle name="20% - Accent1 4" xfId="181" xr:uid="{D4B709E6-A99C-4F8F-A7B6-FBFCC79FA600}"/>
    <cellStyle name="20% - Accent1 4 10" xfId="9631" xr:uid="{62F7CC4B-221B-4EC5-B78C-7C01B60A272C}"/>
    <cellStyle name="20% - Accent1 4 11" xfId="11521" xr:uid="{AC2D7EF6-A774-4117-B6E0-BA2809CA7BD7}"/>
    <cellStyle name="20% - Accent1 4 12" xfId="13411" xr:uid="{DA40A65B-42C0-4AE0-84D7-1FE73FB59BE0}"/>
    <cellStyle name="20% - Accent1 4 13" xfId="15301" xr:uid="{EEB4C4A5-49E6-4AA9-89A0-8A52B775F306}"/>
    <cellStyle name="20% - Accent1 4 14" xfId="17191" xr:uid="{EC7DB2A0-CC70-4E13-B096-992DFA52F581}"/>
    <cellStyle name="20% - Accent1 4 15" xfId="19081" xr:uid="{8FC75384-CA37-4211-BA31-A2429354C4F7}"/>
    <cellStyle name="20% - Accent1 4 16" xfId="20971" xr:uid="{40E8251B-E28F-439B-9640-B84D46497AB6}"/>
    <cellStyle name="20% - Accent1 4 17" xfId="22861" xr:uid="{7665F7A3-F341-45F0-BA64-F9E7B9D78D65}"/>
    <cellStyle name="20% - Accent1 4 18" xfId="24751" xr:uid="{B676D5B7-1176-4D1F-A8AB-97B0435FAF7A}"/>
    <cellStyle name="20% - Accent1 4 19" xfId="26641" xr:uid="{B17E217D-8F07-4463-A4C5-2DBAF5D8AE9E}"/>
    <cellStyle name="20% - Accent1 4 2" xfId="391" xr:uid="{D20CBEFE-F8B2-4E2A-BCC9-DDF099F4798E}"/>
    <cellStyle name="20% - Accent1 4 2 10" xfId="13621" xr:uid="{7D4BA53E-898C-42B6-B53C-471859FB2022}"/>
    <cellStyle name="20% - Accent1 4 2 11" xfId="15511" xr:uid="{C0656085-B649-46B4-86CA-E50CAF7F2202}"/>
    <cellStyle name="20% - Accent1 4 2 12" xfId="17401" xr:uid="{07F47816-EEA3-4511-B141-BFBC09BA98C3}"/>
    <cellStyle name="20% - Accent1 4 2 13" xfId="19291" xr:uid="{B10EE4A6-1FEA-4A25-9077-85CB9A349BF5}"/>
    <cellStyle name="20% - Accent1 4 2 14" xfId="21181" xr:uid="{C5EFD7E0-793C-4811-AE09-AFB3515A5A95}"/>
    <cellStyle name="20% - Accent1 4 2 15" xfId="23071" xr:uid="{C53EF140-8640-42B9-A768-03CB2E258A7B}"/>
    <cellStyle name="20% - Accent1 4 2 16" xfId="24961" xr:uid="{AF203045-CA42-4DB5-9B29-D8406D5196DB}"/>
    <cellStyle name="20% - Accent1 4 2 17" xfId="26851" xr:uid="{59B5D6E5-E481-4073-83AD-5048CDDE834F}"/>
    <cellStyle name="20% - Accent1 4 2 18" xfId="28741" xr:uid="{E974AC76-2817-4ADC-AA39-9C2217792A84}"/>
    <cellStyle name="20% - Accent1 4 2 19" xfId="30631" xr:uid="{EA697B34-797A-47EE-8054-636DC0E28CEA}"/>
    <cellStyle name="20% - Accent1 4 2 2" xfId="1021" xr:uid="{51D32F7C-4BDD-4E14-A136-80CF3A85E057}"/>
    <cellStyle name="20% - Accent1 4 2 2 10" xfId="18031" xr:uid="{93B388E2-18C5-41B5-9B33-84E10A0BC2D9}"/>
    <cellStyle name="20% - Accent1 4 2 2 11" xfId="19921" xr:uid="{05333673-A5BD-4C8D-8423-E24801FE7A60}"/>
    <cellStyle name="20% - Accent1 4 2 2 12" xfId="21811" xr:uid="{E1EE3CF0-A7F8-46A9-ABAB-A83A5C1609A2}"/>
    <cellStyle name="20% - Accent1 4 2 2 13" xfId="23701" xr:uid="{9782C427-6E95-4556-A748-4C3FF98D0638}"/>
    <cellStyle name="20% - Accent1 4 2 2 14" xfId="25591" xr:uid="{35EFB43F-495D-434B-89DD-966D4F6C5135}"/>
    <cellStyle name="20% - Accent1 4 2 2 15" xfId="27481" xr:uid="{29E92EBE-EB85-44CC-8F48-32BA9D647F85}"/>
    <cellStyle name="20% - Accent1 4 2 2 16" xfId="29371" xr:uid="{28CBAC66-770E-481B-BC56-0C2C6A9D5CB2}"/>
    <cellStyle name="20% - Accent1 4 2 2 17" xfId="31261" xr:uid="{B3D679E4-5F77-4ED7-827F-E3DC917158ED}"/>
    <cellStyle name="20% - Accent1 4 2 2 18" xfId="33151" xr:uid="{11C910F4-7DE8-452B-BD58-4F6A0650C276}"/>
    <cellStyle name="20% - Accent1 4 2 2 19" xfId="35041" xr:uid="{705BE766-7358-419B-A7D3-58F02785C793}"/>
    <cellStyle name="20% - Accent1 4 2 2 2" xfId="2911" xr:uid="{EA521F5B-778B-4807-A0B1-25308E6A0DC4}"/>
    <cellStyle name="20% - Accent1 4 2 2 20" xfId="36931" xr:uid="{4D025ACA-AA0E-4B9B-B016-140B92617A38}"/>
    <cellStyle name="20% - Accent1 4 2 2 21" xfId="38821" xr:uid="{9E7F9899-9CFD-4104-B880-E45F1C35BF68}"/>
    <cellStyle name="20% - Accent1 4 2 2 22" xfId="40712" xr:uid="{1D3F8BEF-C60D-4857-A739-35E582ADB034}"/>
    <cellStyle name="20% - Accent1 4 2 2 3" xfId="4801" xr:uid="{7BD74C76-00B3-476C-8A5F-1D0FD4E49773}"/>
    <cellStyle name="20% - Accent1 4 2 2 4" xfId="6691" xr:uid="{92493E4B-5809-4FF0-B922-5C29BA76BDD2}"/>
    <cellStyle name="20% - Accent1 4 2 2 5" xfId="8581" xr:uid="{10FD391E-BBDA-444A-A5C6-EAAB75E0C5A5}"/>
    <cellStyle name="20% - Accent1 4 2 2 6" xfId="10471" xr:uid="{C3F70C06-F1FB-4BD3-AA55-F2503A614C3E}"/>
    <cellStyle name="20% - Accent1 4 2 2 7" xfId="12361" xr:uid="{F4131B7F-3559-4DEC-A072-EBDF7A4D2B78}"/>
    <cellStyle name="20% - Accent1 4 2 2 8" xfId="14251" xr:uid="{459BC450-8939-4942-8180-11E5993996E4}"/>
    <cellStyle name="20% - Accent1 4 2 2 9" xfId="16141" xr:uid="{5F8CB1FC-DD5C-464F-9324-0B071E1493BF}"/>
    <cellStyle name="20% - Accent1 4 2 20" xfId="32521" xr:uid="{76EB7893-EF39-4C18-BE2B-3F7C5AE02E72}"/>
    <cellStyle name="20% - Accent1 4 2 21" xfId="34411" xr:uid="{C2158A8C-EC71-45ED-A01D-0A4ED0A5BFD3}"/>
    <cellStyle name="20% - Accent1 4 2 22" xfId="36301" xr:uid="{D9D9A2BF-660A-42C0-89E3-B7F36107F403}"/>
    <cellStyle name="20% - Accent1 4 2 23" xfId="38191" xr:uid="{60992EC8-82E6-4443-ACBB-4453DDB08DE8}"/>
    <cellStyle name="20% - Accent1 4 2 24" xfId="40082" xr:uid="{95FBBD8F-BF40-4B98-B2EB-0F06C8037BEC}"/>
    <cellStyle name="20% - Accent1 4 2 3" xfId="1651" xr:uid="{263E19CD-3DA9-407D-AEC4-FE54A5F98E19}"/>
    <cellStyle name="20% - Accent1 4 2 3 10" xfId="18661" xr:uid="{29E8CFC0-6DA3-4703-ACE3-9B2B953FBC31}"/>
    <cellStyle name="20% - Accent1 4 2 3 11" xfId="20551" xr:uid="{902487AE-52BE-4B92-8587-E1F9EF19F2EB}"/>
    <cellStyle name="20% - Accent1 4 2 3 12" xfId="22441" xr:uid="{22335B56-EAAB-4E84-B2FB-C885DAF24FEB}"/>
    <cellStyle name="20% - Accent1 4 2 3 13" xfId="24331" xr:uid="{4CD31973-AAC1-456A-AC9A-B8D30F7D2710}"/>
    <cellStyle name="20% - Accent1 4 2 3 14" xfId="26221" xr:uid="{3C30630C-B4B4-4E77-B179-D22CB5964197}"/>
    <cellStyle name="20% - Accent1 4 2 3 15" xfId="28111" xr:uid="{82A6AAF9-05A9-4F20-9A02-16182B6BFA75}"/>
    <cellStyle name="20% - Accent1 4 2 3 16" xfId="30001" xr:uid="{5B488897-0F2B-4ACE-95DA-04FF5DA7E7CB}"/>
    <cellStyle name="20% - Accent1 4 2 3 17" xfId="31891" xr:uid="{03623F29-988C-4A3E-835A-9E8509FE2F55}"/>
    <cellStyle name="20% - Accent1 4 2 3 18" xfId="33781" xr:uid="{BE9F23B7-1C4C-4A4B-AF33-477FEAFC2A61}"/>
    <cellStyle name="20% - Accent1 4 2 3 19" xfId="35671" xr:uid="{187CE164-EB57-4713-B1C5-937A642B8650}"/>
    <cellStyle name="20% - Accent1 4 2 3 2" xfId="3541" xr:uid="{EF73836F-8B57-47D2-B10F-3343C0B54854}"/>
    <cellStyle name="20% - Accent1 4 2 3 20" xfId="37561" xr:uid="{CD60AE43-B13A-4796-BD96-84464BED143C}"/>
    <cellStyle name="20% - Accent1 4 2 3 21" xfId="39451" xr:uid="{B2657C68-86DF-4B9A-9AD3-BA65B486573D}"/>
    <cellStyle name="20% - Accent1 4 2 3 22" xfId="41342" xr:uid="{E55F440E-1E70-414B-9FBF-B6324369B126}"/>
    <cellStyle name="20% - Accent1 4 2 3 3" xfId="5431" xr:uid="{564ED2D6-9F06-4EC3-A4C6-05044EAFCDCE}"/>
    <cellStyle name="20% - Accent1 4 2 3 4" xfId="7321" xr:uid="{CCE9AB44-C6EA-413E-824B-0A0632CD4A8B}"/>
    <cellStyle name="20% - Accent1 4 2 3 5" xfId="9211" xr:uid="{F5F21500-246A-4C1A-A53E-DA9588288FCD}"/>
    <cellStyle name="20% - Accent1 4 2 3 6" xfId="11101" xr:uid="{B64F6595-FCAB-4CD8-BAED-14A2E7351FCE}"/>
    <cellStyle name="20% - Accent1 4 2 3 7" xfId="12991" xr:uid="{3B7FB8B3-ED8A-4B36-B6EA-E3B05916CD4E}"/>
    <cellStyle name="20% - Accent1 4 2 3 8" xfId="14881" xr:uid="{625B4D39-68CA-4289-9E2F-FCE9D532C5A7}"/>
    <cellStyle name="20% - Accent1 4 2 3 9" xfId="16771" xr:uid="{16DB63EA-78E0-418D-AF37-27B31C53C853}"/>
    <cellStyle name="20% - Accent1 4 2 4" xfId="2281" xr:uid="{602242F4-71A8-49D5-BAD1-EF6E0CBEBFBD}"/>
    <cellStyle name="20% - Accent1 4 2 5" xfId="4171" xr:uid="{B2FD7090-F715-4D66-9923-298AE58E19A0}"/>
    <cellStyle name="20% - Accent1 4 2 6" xfId="6061" xr:uid="{3FE3B482-C852-4006-8E91-BD33400F99B7}"/>
    <cellStyle name="20% - Accent1 4 2 7" xfId="7951" xr:uid="{C1DE4CA3-D291-4727-9131-886631998FBF}"/>
    <cellStyle name="20% - Accent1 4 2 8" xfId="9841" xr:uid="{34D308E9-5D1D-4F42-B886-DCCA6C9D661F}"/>
    <cellStyle name="20% - Accent1 4 2 9" xfId="11731" xr:uid="{5C37C688-F41F-4FF3-800D-6AB1B38BF655}"/>
    <cellStyle name="20% - Accent1 4 20" xfId="28531" xr:uid="{5D667366-5081-457E-9C4A-29906A0260C8}"/>
    <cellStyle name="20% - Accent1 4 21" xfId="30421" xr:uid="{2895D0C9-0742-43CB-B228-196131D01E06}"/>
    <cellStyle name="20% - Accent1 4 22" xfId="32311" xr:uid="{83348751-CDEF-4DE1-9C93-06E9106FFDF5}"/>
    <cellStyle name="20% - Accent1 4 23" xfId="34201" xr:uid="{68919223-0F7C-4FC5-AFA0-4C712779B784}"/>
    <cellStyle name="20% - Accent1 4 24" xfId="36091" xr:uid="{FB8A4F29-FF75-4AA1-8F8A-FC2F62E55981}"/>
    <cellStyle name="20% - Accent1 4 25" xfId="37981" xr:uid="{6D05F98D-3E13-4628-B9ED-C93CB1D0F088}"/>
    <cellStyle name="20% - Accent1 4 26" xfId="39872" xr:uid="{640E7DDF-65DF-449F-8EE3-03C19D7903D5}"/>
    <cellStyle name="20% - Accent1 4 3" xfId="601" xr:uid="{86CB2029-5519-4EE4-BE54-530060809A01}"/>
    <cellStyle name="20% - Accent1 4 3 10" xfId="13831" xr:uid="{C2AE0218-0E31-4716-8465-FCF3A2CD9B6E}"/>
    <cellStyle name="20% - Accent1 4 3 11" xfId="15721" xr:uid="{CF419FF2-1D12-472B-9656-7C905E338D2B}"/>
    <cellStyle name="20% - Accent1 4 3 12" xfId="17611" xr:uid="{1D37B558-2006-46BB-B90D-04DF9E5C5181}"/>
    <cellStyle name="20% - Accent1 4 3 13" xfId="19501" xr:uid="{10368B89-C652-463C-9CC5-9BD9FED6D6A2}"/>
    <cellStyle name="20% - Accent1 4 3 14" xfId="21391" xr:uid="{F97EF2E4-58DA-493C-BDD9-E0EED675E325}"/>
    <cellStyle name="20% - Accent1 4 3 15" xfId="23281" xr:uid="{3446C254-6188-4F33-B7D1-D27257A0AFA4}"/>
    <cellStyle name="20% - Accent1 4 3 16" xfId="25171" xr:uid="{5D31F9EE-9A2A-473B-A628-C40EFD82A17B}"/>
    <cellStyle name="20% - Accent1 4 3 17" xfId="27061" xr:uid="{54801AC9-D6D2-4322-B90C-5B28CDB8B32E}"/>
    <cellStyle name="20% - Accent1 4 3 18" xfId="28951" xr:uid="{3AC54174-4BDD-4ED1-BFCA-CB573041F8BD}"/>
    <cellStyle name="20% - Accent1 4 3 19" xfId="30841" xr:uid="{3AD5B70E-C590-4180-A68E-4AA9BC26E208}"/>
    <cellStyle name="20% - Accent1 4 3 2" xfId="1231" xr:uid="{DBF9BA84-38F4-46E7-8ADD-7C1FA497008A}"/>
    <cellStyle name="20% - Accent1 4 3 2 10" xfId="18241" xr:uid="{7C46166A-7FCC-4ABA-AA84-2CE8C7F03B36}"/>
    <cellStyle name="20% - Accent1 4 3 2 11" xfId="20131" xr:uid="{A38FFBBE-33BD-4346-BE6A-EBC5E5622EAF}"/>
    <cellStyle name="20% - Accent1 4 3 2 12" xfId="22021" xr:uid="{586198FC-02F8-4720-8D87-D25257F1DEB2}"/>
    <cellStyle name="20% - Accent1 4 3 2 13" xfId="23911" xr:uid="{199552EF-C2DF-43A0-A4A2-6B4FE13126E0}"/>
    <cellStyle name="20% - Accent1 4 3 2 14" xfId="25801" xr:uid="{CDCB54FE-3C59-4381-B378-5D78DC238C0C}"/>
    <cellStyle name="20% - Accent1 4 3 2 15" xfId="27691" xr:uid="{76D26AF8-7EA6-4E5F-BE04-5222B96F8C5E}"/>
    <cellStyle name="20% - Accent1 4 3 2 16" xfId="29581" xr:uid="{3522AAF0-E0D4-4C9D-B473-42B30179225F}"/>
    <cellStyle name="20% - Accent1 4 3 2 17" xfId="31471" xr:uid="{9BAE8A1B-5BDE-4C22-9285-CDBC6C7CF50F}"/>
    <cellStyle name="20% - Accent1 4 3 2 18" xfId="33361" xr:uid="{0AC13EA4-F7FC-4B67-B586-F3CC837F75CE}"/>
    <cellStyle name="20% - Accent1 4 3 2 19" xfId="35251" xr:uid="{A6DEFF4E-159B-4B2C-88DB-CB0272B9C9FC}"/>
    <cellStyle name="20% - Accent1 4 3 2 2" xfId="3121" xr:uid="{C494C228-FB26-4C2E-BCE2-EDCBF18686CF}"/>
    <cellStyle name="20% - Accent1 4 3 2 20" xfId="37141" xr:uid="{257D2115-0B78-4A66-AE6F-C6EF98C4201A}"/>
    <cellStyle name="20% - Accent1 4 3 2 21" xfId="39031" xr:uid="{F7E3B8A0-10E8-4C5A-83D1-459C29CB81F2}"/>
    <cellStyle name="20% - Accent1 4 3 2 22" xfId="40922" xr:uid="{14283365-CDB3-4616-8ABA-2A90360494FF}"/>
    <cellStyle name="20% - Accent1 4 3 2 3" xfId="5011" xr:uid="{BC28B445-9378-4D4A-8F2E-054B987ED14B}"/>
    <cellStyle name="20% - Accent1 4 3 2 4" xfId="6901" xr:uid="{1EDECC34-FA7C-4102-B935-54692B528579}"/>
    <cellStyle name="20% - Accent1 4 3 2 5" xfId="8791" xr:uid="{6A1E3CA6-1D69-4E8F-9DE2-3C7525AA724F}"/>
    <cellStyle name="20% - Accent1 4 3 2 6" xfId="10681" xr:uid="{8B3C3B00-D898-44AD-A029-8963EE60CA8C}"/>
    <cellStyle name="20% - Accent1 4 3 2 7" xfId="12571" xr:uid="{CD39EDC1-504C-41DC-B77E-6A9984FAB130}"/>
    <cellStyle name="20% - Accent1 4 3 2 8" xfId="14461" xr:uid="{3ADC4E57-5D7B-4DAC-9246-9F83EDB24DBD}"/>
    <cellStyle name="20% - Accent1 4 3 2 9" xfId="16351" xr:uid="{797178AD-C609-42F1-ABD4-E6EAEAC25BF4}"/>
    <cellStyle name="20% - Accent1 4 3 20" xfId="32731" xr:uid="{423032D1-9F62-4AC6-9937-F9D15A0B2A6C}"/>
    <cellStyle name="20% - Accent1 4 3 21" xfId="34621" xr:uid="{81D730A9-FDF4-452D-9689-4E4FF8F8A494}"/>
    <cellStyle name="20% - Accent1 4 3 22" xfId="36511" xr:uid="{FCF2EE69-C68D-4997-8DEC-DEE292C58026}"/>
    <cellStyle name="20% - Accent1 4 3 23" xfId="38401" xr:uid="{CB6205B1-8FFB-48E1-9131-706719D5E037}"/>
    <cellStyle name="20% - Accent1 4 3 24" xfId="40292" xr:uid="{65AA9813-BE8B-47B1-AD67-76033B56037C}"/>
    <cellStyle name="20% - Accent1 4 3 3" xfId="1861" xr:uid="{B4FCB35B-97DE-4B6D-A380-98302F77620F}"/>
    <cellStyle name="20% - Accent1 4 3 3 10" xfId="18871" xr:uid="{6DF8BBC3-1861-42EA-A670-7B1194C1FEA9}"/>
    <cellStyle name="20% - Accent1 4 3 3 11" xfId="20761" xr:uid="{9E0FF3CF-9360-4072-94C8-4C436C1D45A4}"/>
    <cellStyle name="20% - Accent1 4 3 3 12" xfId="22651" xr:uid="{62055096-FEBE-4846-B913-CCEE73BF5A53}"/>
    <cellStyle name="20% - Accent1 4 3 3 13" xfId="24541" xr:uid="{75F9F989-056B-4361-BDAD-924290F62775}"/>
    <cellStyle name="20% - Accent1 4 3 3 14" xfId="26431" xr:uid="{2B414A4E-B719-4451-B96A-576046DE9DBA}"/>
    <cellStyle name="20% - Accent1 4 3 3 15" xfId="28321" xr:uid="{CE157E16-DFBE-49F2-B887-67A57E86485B}"/>
    <cellStyle name="20% - Accent1 4 3 3 16" xfId="30211" xr:uid="{3214268F-F887-43D4-8D7F-9650143F0951}"/>
    <cellStyle name="20% - Accent1 4 3 3 17" xfId="32101" xr:uid="{7CB18E5B-F0C0-4AC9-9DD7-C3CCC9A87C76}"/>
    <cellStyle name="20% - Accent1 4 3 3 18" xfId="33991" xr:uid="{B9515EC4-F355-4376-AD1B-7B09948571B5}"/>
    <cellStyle name="20% - Accent1 4 3 3 19" xfId="35881" xr:uid="{F93ECDD4-4FB3-4CA4-851E-32093EA7658C}"/>
    <cellStyle name="20% - Accent1 4 3 3 2" xfId="3751" xr:uid="{2C219D81-395D-4909-A051-F936438CE23B}"/>
    <cellStyle name="20% - Accent1 4 3 3 20" xfId="37771" xr:uid="{4C387887-E8B6-4192-84AB-75E2135D3DC0}"/>
    <cellStyle name="20% - Accent1 4 3 3 21" xfId="39661" xr:uid="{6338F774-F43E-4452-A585-3F7BEB819034}"/>
    <cellStyle name="20% - Accent1 4 3 3 22" xfId="41552" xr:uid="{499D264B-8BC2-4634-8EC9-5C51731F6DD5}"/>
    <cellStyle name="20% - Accent1 4 3 3 3" xfId="5641" xr:uid="{09AD1886-BDBB-405D-AC4F-E4FF7510D4A3}"/>
    <cellStyle name="20% - Accent1 4 3 3 4" xfId="7531" xr:uid="{6CA1D6FD-8E54-4682-B1CF-3D910FADEA5E}"/>
    <cellStyle name="20% - Accent1 4 3 3 5" xfId="9421" xr:uid="{B0832147-EE6C-4F17-B9B1-685EA012FAFD}"/>
    <cellStyle name="20% - Accent1 4 3 3 6" xfId="11311" xr:uid="{9D55458A-A23A-4472-8B22-584E89D262DA}"/>
    <cellStyle name="20% - Accent1 4 3 3 7" xfId="13201" xr:uid="{43EAD8B5-6D1E-4ED9-A006-937F60A497F0}"/>
    <cellStyle name="20% - Accent1 4 3 3 8" xfId="15091" xr:uid="{2D04C3EE-632E-488F-9F38-52CEB7774F8E}"/>
    <cellStyle name="20% - Accent1 4 3 3 9" xfId="16981" xr:uid="{B7758CF0-3526-47FE-915C-40A151CD3B47}"/>
    <cellStyle name="20% - Accent1 4 3 4" xfId="2491" xr:uid="{341145AA-67A6-4E34-917F-84EB6F179CDA}"/>
    <cellStyle name="20% - Accent1 4 3 5" xfId="4381" xr:uid="{F30969FF-BEAF-416C-8EA7-0D4C5CB2E9D9}"/>
    <cellStyle name="20% - Accent1 4 3 6" xfId="6271" xr:uid="{691DD1D0-B713-463C-9688-835D3223DA8A}"/>
    <cellStyle name="20% - Accent1 4 3 7" xfId="8161" xr:uid="{694C24CC-3DF3-473F-8ECA-36E9D5923FD4}"/>
    <cellStyle name="20% - Accent1 4 3 8" xfId="10051" xr:uid="{40A4946B-8D1E-4D23-8891-C8C8DCAA8DE1}"/>
    <cellStyle name="20% - Accent1 4 3 9" xfId="11941" xr:uid="{FFE10ABE-E10D-4A34-8549-50BDADA6C800}"/>
    <cellStyle name="20% - Accent1 4 4" xfId="811" xr:uid="{8ACF37F7-7C8E-4B57-8007-1142EF1C147F}"/>
    <cellStyle name="20% - Accent1 4 4 10" xfId="17821" xr:uid="{4339E131-8029-4CD9-8630-68888EAFAD4E}"/>
    <cellStyle name="20% - Accent1 4 4 11" xfId="19711" xr:uid="{E71CAE34-3FD7-46F4-A7BE-DCA2AD70DB3D}"/>
    <cellStyle name="20% - Accent1 4 4 12" xfId="21601" xr:uid="{5B23D46F-1AA6-4404-BE44-A942BC944938}"/>
    <cellStyle name="20% - Accent1 4 4 13" xfId="23491" xr:uid="{9C1E7609-707E-4EB3-A872-45DCAD24F954}"/>
    <cellStyle name="20% - Accent1 4 4 14" xfId="25381" xr:uid="{1D18A524-D58B-4EC4-A1BB-5C2E417465DE}"/>
    <cellStyle name="20% - Accent1 4 4 15" xfId="27271" xr:uid="{A0704458-63C4-4AFC-BD17-7F348704C0B3}"/>
    <cellStyle name="20% - Accent1 4 4 16" xfId="29161" xr:uid="{07F04CDF-EC76-419E-BDFC-3B396CB0DE1B}"/>
    <cellStyle name="20% - Accent1 4 4 17" xfId="31051" xr:uid="{DB5DD6FE-77C4-454A-8A96-B2B1C02B5A53}"/>
    <cellStyle name="20% - Accent1 4 4 18" xfId="32941" xr:uid="{995C2554-D1F0-4B75-B820-F44500D0489B}"/>
    <cellStyle name="20% - Accent1 4 4 19" xfId="34831" xr:uid="{442A69B9-4937-4BBB-AABD-84485B8D2027}"/>
    <cellStyle name="20% - Accent1 4 4 2" xfId="2701" xr:uid="{B98485C6-DD9A-436E-97A6-25BB526FEDB5}"/>
    <cellStyle name="20% - Accent1 4 4 20" xfId="36721" xr:uid="{782CB3F3-9D87-4651-8FA8-8E172EEA87E2}"/>
    <cellStyle name="20% - Accent1 4 4 21" xfId="38611" xr:uid="{68B296DE-05DF-47B2-9AFE-C06DDE12160D}"/>
    <cellStyle name="20% - Accent1 4 4 22" xfId="40502" xr:uid="{BA8F46EF-3F6C-4EC9-B2ED-8788036F1D05}"/>
    <cellStyle name="20% - Accent1 4 4 3" xfId="4591" xr:uid="{9E3D04E3-0577-41FB-A0DD-31146CCA6FD5}"/>
    <cellStyle name="20% - Accent1 4 4 4" xfId="6481" xr:uid="{A98C882D-0C43-467E-9447-69EEA1DE8909}"/>
    <cellStyle name="20% - Accent1 4 4 5" xfId="8371" xr:uid="{E0AFF3B8-7F40-43A4-8C18-0ABD313FD946}"/>
    <cellStyle name="20% - Accent1 4 4 6" xfId="10261" xr:uid="{CA5D574C-3408-4058-8599-AB28A5DD5ADE}"/>
    <cellStyle name="20% - Accent1 4 4 7" xfId="12151" xr:uid="{553FD437-9FED-436D-A8B8-B4C3B8A45A04}"/>
    <cellStyle name="20% - Accent1 4 4 8" xfId="14041" xr:uid="{0270BFE2-0D19-4F62-8C29-D52E75F5EFCA}"/>
    <cellStyle name="20% - Accent1 4 4 9" xfId="15931" xr:uid="{D4579F12-4C46-4CB9-A566-83B7E1784331}"/>
    <cellStyle name="20% - Accent1 4 5" xfId="1441" xr:uid="{DE39CE3F-9559-4C7D-A87F-05804A3DDAB1}"/>
    <cellStyle name="20% - Accent1 4 5 10" xfId="18451" xr:uid="{6E59557A-FC08-4571-B570-C2D4753E1BB9}"/>
    <cellStyle name="20% - Accent1 4 5 11" xfId="20341" xr:uid="{C039AA8E-7D0C-4364-BF66-62B8322D6338}"/>
    <cellStyle name="20% - Accent1 4 5 12" xfId="22231" xr:uid="{D633D9E4-6AA0-4715-ADD9-ED7CD325C645}"/>
    <cellStyle name="20% - Accent1 4 5 13" xfId="24121" xr:uid="{7FEDDFD3-0333-4D3C-AD2F-8E25B1CEA41A}"/>
    <cellStyle name="20% - Accent1 4 5 14" xfId="26011" xr:uid="{41B95486-811C-4BAF-877C-014ACDAA4B79}"/>
    <cellStyle name="20% - Accent1 4 5 15" xfId="27901" xr:uid="{1202BE86-13D0-42A8-B84E-D10CEC2EBBDC}"/>
    <cellStyle name="20% - Accent1 4 5 16" xfId="29791" xr:uid="{59831AB0-5566-4010-9552-EE82F1146C66}"/>
    <cellStyle name="20% - Accent1 4 5 17" xfId="31681" xr:uid="{AA50F022-2973-4E5C-B2CE-E399CD192544}"/>
    <cellStyle name="20% - Accent1 4 5 18" xfId="33571" xr:uid="{AEBAAF7C-A54E-48BA-91E8-78691CD244B4}"/>
    <cellStyle name="20% - Accent1 4 5 19" xfId="35461" xr:uid="{17BC15BB-C03A-4A81-88DD-C9AB944B922D}"/>
    <cellStyle name="20% - Accent1 4 5 2" xfId="3331" xr:uid="{DC034711-D3AB-4436-8B66-355F1FCD48D2}"/>
    <cellStyle name="20% - Accent1 4 5 20" xfId="37351" xr:uid="{2FF8369A-1431-4865-ABD5-6F528D071454}"/>
    <cellStyle name="20% - Accent1 4 5 21" xfId="39241" xr:uid="{F5665B8E-AEF8-47D0-954A-EECCC149DE4D}"/>
    <cellStyle name="20% - Accent1 4 5 22" xfId="41132" xr:uid="{DEF01CBB-7E41-4496-9396-ED6188B7CB36}"/>
    <cellStyle name="20% - Accent1 4 5 3" xfId="5221" xr:uid="{45AC8F27-F2E2-403F-9749-D93BED9AE912}"/>
    <cellStyle name="20% - Accent1 4 5 4" xfId="7111" xr:uid="{B246C1B6-2132-47FB-9325-640669D527D3}"/>
    <cellStyle name="20% - Accent1 4 5 5" xfId="9001" xr:uid="{B269EFEF-DB4A-4311-8BE6-D77D01D3BB16}"/>
    <cellStyle name="20% - Accent1 4 5 6" xfId="10891" xr:uid="{BBE325C0-2B53-4CF8-9BA0-4E20A98866B7}"/>
    <cellStyle name="20% - Accent1 4 5 7" xfId="12781" xr:uid="{C9DAE356-4A86-4A11-B6C2-AF795D120736}"/>
    <cellStyle name="20% - Accent1 4 5 8" xfId="14671" xr:uid="{0AD9E137-AD16-478A-8655-2AABB95B5673}"/>
    <cellStyle name="20% - Accent1 4 5 9" xfId="16561" xr:uid="{80A35700-DDE0-4828-AF11-301150F3EFBC}"/>
    <cellStyle name="20% - Accent1 4 6" xfId="2071" xr:uid="{0216DFC4-AA78-4EC5-A420-0A71F7C81C42}"/>
    <cellStyle name="20% - Accent1 4 7" xfId="3961" xr:uid="{8C480A55-88AF-44A3-838B-DBC080C6800F}"/>
    <cellStyle name="20% - Accent1 4 8" xfId="5851" xr:uid="{94502512-331A-4FD7-B4AB-D0171E822A2D}"/>
    <cellStyle name="20% - Accent1 4 9" xfId="7741" xr:uid="{4B529589-FEFF-42C5-803A-6D2CA8F19F25}"/>
    <cellStyle name="20% - Accent1 5" xfId="286" xr:uid="{E8AD356C-BDF0-4B6E-9ABF-81896406BD3A}"/>
    <cellStyle name="20% - Accent1 5 10" xfId="13516" xr:uid="{2DB43F96-7FCD-449F-B090-3BADF2907B7D}"/>
    <cellStyle name="20% - Accent1 5 11" xfId="15406" xr:uid="{B9474F63-6791-4822-BD96-B8BAC230156A}"/>
    <cellStyle name="20% - Accent1 5 12" xfId="17296" xr:uid="{2B76D989-493A-4103-A2F9-75682FC76E77}"/>
    <cellStyle name="20% - Accent1 5 13" xfId="19186" xr:uid="{F01AFB42-993E-4F30-93A3-D800C466736D}"/>
    <cellStyle name="20% - Accent1 5 14" xfId="21076" xr:uid="{DEDA9B49-D93E-4F49-8FDB-45A817221D40}"/>
    <cellStyle name="20% - Accent1 5 15" xfId="22966" xr:uid="{E395D9D2-A696-448B-8EF1-D7301003DC29}"/>
    <cellStyle name="20% - Accent1 5 16" xfId="24856" xr:uid="{8F71E43F-D9C3-42E0-A300-CAAF5616FB0C}"/>
    <cellStyle name="20% - Accent1 5 17" xfId="26746" xr:uid="{784AD930-8FA6-4DAF-BFBD-8D7716D8E7B0}"/>
    <cellStyle name="20% - Accent1 5 18" xfId="28636" xr:uid="{A911BA0C-A748-47D4-ADF4-7A16F6156186}"/>
    <cellStyle name="20% - Accent1 5 19" xfId="30526" xr:uid="{E9804B4E-4452-4A22-939F-9FB3ADA73823}"/>
    <cellStyle name="20% - Accent1 5 2" xfId="916" xr:uid="{A2965618-548E-4688-87F5-36130F811153}"/>
    <cellStyle name="20% - Accent1 5 2 10" xfId="17926" xr:uid="{10EFAF77-E1F5-4012-A612-8E17804A5456}"/>
    <cellStyle name="20% - Accent1 5 2 11" xfId="19816" xr:uid="{18EE3CAD-CBA9-4E91-AE8B-B03B1C8838FB}"/>
    <cellStyle name="20% - Accent1 5 2 12" xfId="21706" xr:uid="{D975E389-7912-460A-81BB-1939DA7A7A3F}"/>
    <cellStyle name="20% - Accent1 5 2 13" xfId="23596" xr:uid="{07BE6F82-DBBD-4549-9AF6-304349424319}"/>
    <cellStyle name="20% - Accent1 5 2 14" xfId="25486" xr:uid="{4F2EA6B5-9BA9-4778-A7A3-C002030681AB}"/>
    <cellStyle name="20% - Accent1 5 2 15" xfId="27376" xr:uid="{51B3B6F6-FC56-400E-972B-07F050A180C0}"/>
    <cellStyle name="20% - Accent1 5 2 16" xfId="29266" xr:uid="{2E0DF3BA-2E45-44CF-A877-63B501C46920}"/>
    <cellStyle name="20% - Accent1 5 2 17" xfId="31156" xr:uid="{B942A141-BAB7-4385-B874-1F1F6EB217F0}"/>
    <cellStyle name="20% - Accent1 5 2 18" xfId="33046" xr:uid="{AA755EBB-5E75-4CD0-82ED-6201F4C26616}"/>
    <cellStyle name="20% - Accent1 5 2 19" xfId="34936" xr:uid="{8ECC8FCF-6457-40A8-B8D0-49531FC45FCF}"/>
    <cellStyle name="20% - Accent1 5 2 2" xfId="2806" xr:uid="{A1F6F88F-A3CE-4CC7-B033-ADE39D724CD1}"/>
    <cellStyle name="20% - Accent1 5 2 20" xfId="36826" xr:uid="{5655AA2D-0906-49ED-B013-AB89D63B9C64}"/>
    <cellStyle name="20% - Accent1 5 2 21" xfId="38716" xr:uid="{7F47D3DC-E0A2-4A9F-A35C-42DF8C0EA987}"/>
    <cellStyle name="20% - Accent1 5 2 22" xfId="40607" xr:uid="{ADE825FC-4B02-4E55-8C08-4B3B3D5D2D4B}"/>
    <cellStyle name="20% - Accent1 5 2 3" xfId="4696" xr:uid="{96A03E62-C3A1-4015-B6B1-CA67E44E4626}"/>
    <cellStyle name="20% - Accent1 5 2 4" xfId="6586" xr:uid="{3E2EEE9E-5558-4664-8110-7675E8F478CC}"/>
    <cellStyle name="20% - Accent1 5 2 5" xfId="8476" xr:uid="{B99EA223-EB28-414D-861C-46E484823EE7}"/>
    <cellStyle name="20% - Accent1 5 2 6" xfId="10366" xr:uid="{4A967B3D-77BC-47F0-A8ED-087B7EFD91C3}"/>
    <cellStyle name="20% - Accent1 5 2 7" xfId="12256" xr:uid="{BCD37DB7-9843-47CA-905F-6B5602955593}"/>
    <cellStyle name="20% - Accent1 5 2 8" xfId="14146" xr:uid="{94BDAA79-1D31-4502-9D36-0B6CDC1CB002}"/>
    <cellStyle name="20% - Accent1 5 2 9" xfId="16036" xr:uid="{8DC29CEE-0AD3-4AE2-8C7C-50990FA14DC4}"/>
    <cellStyle name="20% - Accent1 5 20" xfId="32416" xr:uid="{B429E350-F02A-4B87-87C9-583625E77273}"/>
    <cellStyle name="20% - Accent1 5 21" xfId="34306" xr:uid="{9CB2D8EE-B2EF-4391-840D-891FEA255E4C}"/>
    <cellStyle name="20% - Accent1 5 22" xfId="36196" xr:uid="{0EB7D947-0658-4E9A-9B42-7CEB7A3748F6}"/>
    <cellStyle name="20% - Accent1 5 23" xfId="38086" xr:uid="{D2ED2F02-2589-48CC-8123-D8248B26471E}"/>
    <cellStyle name="20% - Accent1 5 24" xfId="39977" xr:uid="{102832FC-8170-4530-BD07-8FE793C538DA}"/>
    <cellStyle name="20% - Accent1 5 3" xfId="1546" xr:uid="{A919DF16-48B0-49EA-9F3E-38E941A3EA4C}"/>
    <cellStyle name="20% - Accent1 5 3 10" xfId="18556" xr:uid="{3E52EE59-58D7-4649-BA7D-75CA51D0B30C}"/>
    <cellStyle name="20% - Accent1 5 3 11" xfId="20446" xr:uid="{AEC3ECED-A610-4ED5-B858-D2589FE3AF19}"/>
    <cellStyle name="20% - Accent1 5 3 12" xfId="22336" xr:uid="{8F209BE2-C3D0-4DA7-9138-E8E48FD0056C}"/>
    <cellStyle name="20% - Accent1 5 3 13" xfId="24226" xr:uid="{B0CF045F-138E-4E13-8E39-EDAA2FBC7C2B}"/>
    <cellStyle name="20% - Accent1 5 3 14" xfId="26116" xr:uid="{D26970DC-4581-464F-B953-9C9C9602A6E5}"/>
    <cellStyle name="20% - Accent1 5 3 15" xfId="28006" xr:uid="{2D1B697B-B9C3-43ED-BBDC-8F89F52C04BA}"/>
    <cellStyle name="20% - Accent1 5 3 16" xfId="29896" xr:uid="{A1F99E30-751D-4E50-8F5B-D6D03587911E}"/>
    <cellStyle name="20% - Accent1 5 3 17" xfId="31786" xr:uid="{DF129AF5-6DEC-458D-A13C-A1A452E0616B}"/>
    <cellStyle name="20% - Accent1 5 3 18" xfId="33676" xr:uid="{C3651A1F-60F0-4FAF-B0F3-F41CF32FD3BF}"/>
    <cellStyle name="20% - Accent1 5 3 19" xfId="35566" xr:uid="{836FB33E-DFF4-457D-83C8-343467D52B05}"/>
    <cellStyle name="20% - Accent1 5 3 2" xfId="3436" xr:uid="{366EA22A-EA43-4702-BC5A-30654301F598}"/>
    <cellStyle name="20% - Accent1 5 3 20" xfId="37456" xr:uid="{F4B9FC03-726E-400D-BF65-F609581C6724}"/>
    <cellStyle name="20% - Accent1 5 3 21" xfId="39346" xr:uid="{A31041BE-40CB-4C36-AD22-64CD224A24A9}"/>
    <cellStyle name="20% - Accent1 5 3 22" xfId="41237" xr:uid="{B3BFD224-EDEB-4FB5-B7AC-B8CA24F9D549}"/>
    <cellStyle name="20% - Accent1 5 3 3" xfId="5326" xr:uid="{82AAFD88-B4B0-49CB-9F30-9DEBA26C4CB3}"/>
    <cellStyle name="20% - Accent1 5 3 4" xfId="7216" xr:uid="{25FCE8A8-CCC1-4DE5-934C-45916F9C2401}"/>
    <cellStyle name="20% - Accent1 5 3 5" xfId="9106" xr:uid="{E934DDD8-2E9A-4F31-B9C2-1DCD0349DD3F}"/>
    <cellStyle name="20% - Accent1 5 3 6" xfId="10996" xr:uid="{B86CA100-CE39-4AB5-877F-3A009670F354}"/>
    <cellStyle name="20% - Accent1 5 3 7" xfId="12886" xr:uid="{8BA1C2A9-F084-4106-854D-1305EA3266F2}"/>
    <cellStyle name="20% - Accent1 5 3 8" xfId="14776" xr:uid="{E322B056-6250-4221-9481-4783F834522F}"/>
    <cellStyle name="20% - Accent1 5 3 9" xfId="16666" xr:uid="{4F340B7E-2BF7-403E-86BF-6D1FEE935920}"/>
    <cellStyle name="20% - Accent1 5 4" xfId="2176" xr:uid="{7DBB94D0-DF6B-46B6-A2DC-15490777B40B}"/>
    <cellStyle name="20% - Accent1 5 5" xfId="4066" xr:uid="{20773787-9BE8-43A6-97DB-2CE2E0F364D4}"/>
    <cellStyle name="20% - Accent1 5 6" xfId="5956" xr:uid="{B3AA147E-32D8-4881-8A58-B36C0E16227F}"/>
    <cellStyle name="20% - Accent1 5 7" xfId="7846" xr:uid="{28E4B153-DA71-43A1-9EA2-799ED659342D}"/>
    <cellStyle name="20% - Accent1 5 8" xfId="9736" xr:uid="{58E9BAF8-46D5-43B8-A223-EB44C2C44F8F}"/>
    <cellStyle name="20% - Accent1 5 9" xfId="11626" xr:uid="{EA24169F-56AC-4A51-B238-AAFFF0F88A2C}"/>
    <cellStyle name="20% - Accent1 6" xfId="496" xr:uid="{69F8189E-04BB-46C3-9219-533D92121AFB}"/>
    <cellStyle name="20% - Accent1 6 10" xfId="13726" xr:uid="{79D6087D-E67A-4179-88A8-D0BD606222A4}"/>
    <cellStyle name="20% - Accent1 6 11" xfId="15616" xr:uid="{68EE44C6-8A2E-47C5-B068-681775644AE5}"/>
    <cellStyle name="20% - Accent1 6 12" xfId="17506" xr:uid="{2DB5C5AA-3AC6-433D-B84E-46E2B8A263C7}"/>
    <cellStyle name="20% - Accent1 6 13" xfId="19396" xr:uid="{8CE971CF-DEBD-4C44-A3D6-B8E882EDA083}"/>
    <cellStyle name="20% - Accent1 6 14" xfId="21286" xr:uid="{F5CFCBE1-BD9C-4D82-93D8-A0F4EF57E779}"/>
    <cellStyle name="20% - Accent1 6 15" xfId="23176" xr:uid="{C43E6544-F08C-4B74-825F-9A29E1E8FB2F}"/>
    <cellStyle name="20% - Accent1 6 16" xfId="25066" xr:uid="{5F965108-249B-4727-9B3D-808B5D8DAF03}"/>
    <cellStyle name="20% - Accent1 6 17" xfId="26956" xr:uid="{1DB3DF21-760D-461C-9F12-C1C0CF325035}"/>
    <cellStyle name="20% - Accent1 6 18" xfId="28846" xr:uid="{C7181334-DAF6-4DBD-8D95-A25DCB9D8FE4}"/>
    <cellStyle name="20% - Accent1 6 19" xfId="30736" xr:uid="{A0C5C586-0B5F-4DAC-A990-A7583C5D8A2F}"/>
    <cellStyle name="20% - Accent1 6 2" xfId="1126" xr:uid="{4CC212A5-A5D9-4FBA-B4A8-386EC94826AA}"/>
    <cellStyle name="20% - Accent1 6 2 10" xfId="18136" xr:uid="{7C631FB0-A32D-4FA6-B73A-E177FBEB3895}"/>
    <cellStyle name="20% - Accent1 6 2 11" xfId="20026" xr:uid="{F4629192-F2D7-4291-AF45-1284311BA952}"/>
    <cellStyle name="20% - Accent1 6 2 12" xfId="21916" xr:uid="{64030D97-89F6-49E0-B668-1593D00A71FA}"/>
    <cellStyle name="20% - Accent1 6 2 13" xfId="23806" xr:uid="{CDAB2EAD-0645-47E0-9A3B-94C4A87D3BEC}"/>
    <cellStyle name="20% - Accent1 6 2 14" xfId="25696" xr:uid="{7383DF97-A950-46C6-8886-9B856200FB18}"/>
    <cellStyle name="20% - Accent1 6 2 15" xfId="27586" xr:uid="{7C6842E3-8C17-4588-8FAF-8EA45115AE7A}"/>
    <cellStyle name="20% - Accent1 6 2 16" xfId="29476" xr:uid="{A074E7EB-4C75-492A-B0F9-EC8F21848D30}"/>
    <cellStyle name="20% - Accent1 6 2 17" xfId="31366" xr:uid="{AB643AA0-525A-4D34-9F3D-DF8C2B65AB81}"/>
    <cellStyle name="20% - Accent1 6 2 18" xfId="33256" xr:uid="{14A616F1-82E3-43F0-BD87-3E6229CEBB04}"/>
    <cellStyle name="20% - Accent1 6 2 19" xfId="35146" xr:uid="{D56ACADA-1192-4CAE-8159-92D0E09EA888}"/>
    <cellStyle name="20% - Accent1 6 2 2" xfId="3016" xr:uid="{084806CF-51C1-4E8E-B61F-7FC6208F92CA}"/>
    <cellStyle name="20% - Accent1 6 2 20" xfId="37036" xr:uid="{115F5586-D340-4572-8F51-6CFB6986DFC1}"/>
    <cellStyle name="20% - Accent1 6 2 21" xfId="38926" xr:uid="{C98DCFBA-28E5-4588-8283-B7FE793DF3B7}"/>
    <cellStyle name="20% - Accent1 6 2 22" xfId="40817" xr:uid="{4B749911-1C19-4BFE-87E2-AC21A9535144}"/>
    <cellStyle name="20% - Accent1 6 2 3" xfId="4906" xr:uid="{7C68D0FD-A869-4769-A5B0-AC074AEE244F}"/>
    <cellStyle name="20% - Accent1 6 2 4" xfId="6796" xr:uid="{AD5BDD36-E692-4CA1-9F70-4381B9766AD3}"/>
    <cellStyle name="20% - Accent1 6 2 5" xfId="8686" xr:uid="{4AE12564-2D28-4AB2-92EC-8C64EB42EA9D}"/>
    <cellStyle name="20% - Accent1 6 2 6" xfId="10576" xr:uid="{C4954270-8839-42F8-8550-A218600A005E}"/>
    <cellStyle name="20% - Accent1 6 2 7" xfId="12466" xr:uid="{38054824-C356-4025-8015-7F3308041477}"/>
    <cellStyle name="20% - Accent1 6 2 8" xfId="14356" xr:uid="{6CDCBF04-C5F9-4A2C-A98F-FFA9F25A78FE}"/>
    <cellStyle name="20% - Accent1 6 2 9" xfId="16246" xr:uid="{71934C11-4120-4AE4-A50D-1AFB19992D40}"/>
    <cellStyle name="20% - Accent1 6 20" xfId="32626" xr:uid="{229DDBD7-EFB3-4938-BE87-4C0C1034A440}"/>
    <cellStyle name="20% - Accent1 6 21" xfId="34516" xr:uid="{526E81E7-CBC9-4FA5-B02A-6CA6059F652B}"/>
    <cellStyle name="20% - Accent1 6 22" xfId="36406" xr:uid="{1FA7867D-1E1C-4E1A-805F-7BAF0E763066}"/>
    <cellStyle name="20% - Accent1 6 23" xfId="38296" xr:uid="{7ECBBC5F-19BA-450E-AEDD-EE3D32D24BFE}"/>
    <cellStyle name="20% - Accent1 6 24" xfId="40187" xr:uid="{A91992E0-6A16-4D3D-9494-7664F1E4A0EC}"/>
    <cellStyle name="20% - Accent1 6 3" xfId="1756" xr:uid="{7D402D57-C40C-4C7C-8BE6-03BB8CAE34CF}"/>
    <cellStyle name="20% - Accent1 6 3 10" xfId="18766" xr:uid="{735BFF57-61FD-4F63-B864-C12D1E2F4799}"/>
    <cellStyle name="20% - Accent1 6 3 11" xfId="20656" xr:uid="{ACC70165-0F73-4972-8F97-49D121EAE7CF}"/>
    <cellStyle name="20% - Accent1 6 3 12" xfId="22546" xr:uid="{A91BEDA7-4420-40BD-B44B-35C13A2A3E5A}"/>
    <cellStyle name="20% - Accent1 6 3 13" xfId="24436" xr:uid="{5C2826D4-D7BD-4BBD-B1A1-7FBA7D4FB2D3}"/>
    <cellStyle name="20% - Accent1 6 3 14" xfId="26326" xr:uid="{E2B65257-EE6A-492A-BD25-C17DA55E8A1A}"/>
    <cellStyle name="20% - Accent1 6 3 15" xfId="28216" xr:uid="{C8096258-D247-4E46-8DB1-8D933245A343}"/>
    <cellStyle name="20% - Accent1 6 3 16" xfId="30106" xr:uid="{0FB70EC3-54C6-4C17-BBFC-8A41CDA0FC5D}"/>
    <cellStyle name="20% - Accent1 6 3 17" xfId="31996" xr:uid="{030D1318-08C0-433D-A385-48E6DA22C8B9}"/>
    <cellStyle name="20% - Accent1 6 3 18" xfId="33886" xr:uid="{BB7799D2-F642-4A6D-9167-86AC36EAC4C1}"/>
    <cellStyle name="20% - Accent1 6 3 19" xfId="35776" xr:uid="{127A1E92-01B0-4FD3-8FC0-B2B713A1FE4C}"/>
    <cellStyle name="20% - Accent1 6 3 2" xfId="3646" xr:uid="{6932B56F-2E60-47BA-819C-F28FFE271E2E}"/>
    <cellStyle name="20% - Accent1 6 3 20" xfId="37666" xr:uid="{8F900D93-AA7F-40CF-89EC-9BA2DA15F572}"/>
    <cellStyle name="20% - Accent1 6 3 21" xfId="39556" xr:uid="{A78B5B38-A5A0-44EB-81BB-73BA95875A97}"/>
    <cellStyle name="20% - Accent1 6 3 22" xfId="41447" xr:uid="{ACE06E4D-5D95-4B60-AF20-2AACDDB3D32D}"/>
    <cellStyle name="20% - Accent1 6 3 3" xfId="5536" xr:uid="{21DCC7CB-8C9E-4EE4-A199-DE59658BCF92}"/>
    <cellStyle name="20% - Accent1 6 3 4" xfId="7426" xr:uid="{71685B90-939B-409F-A6DF-79451A6596BF}"/>
    <cellStyle name="20% - Accent1 6 3 5" xfId="9316" xr:uid="{648855DA-B9EA-4391-88FE-EF0CDA5D1364}"/>
    <cellStyle name="20% - Accent1 6 3 6" xfId="11206" xr:uid="{8E4643E9-D2F5-4FC0-86BE-9B9196A14801}"/>
    <cellStyle name="20% - Accent1 6 3 7" xfId="13096" xr:uid="{F95BF5FC-E6C2-4C80-9F16-3EEF329BEA1B}"/>
    <cellStyle name="20% - Accent1 6 3 8" xfId="14986" xr:uid="{496B754E-CCCC-4D4D-9E48-E6172BC62080}"/>
    <cellStyle name="20% - Accent1 6 3 9" xfId="16876" xr:uid="{5263A665-558F-4169-A3E0-2AC3E5C7B016}"/>
    <cellStyle name="20% - Accent1 6 4" xfId="2386" xr:uid="{FF618294-4001-464A-8366-017AD315C5E0}"/>
    <cellStyle name="20% - Accent1 6 5" xfId="4276" xr:uid="{1EBD7CD8-4E08-496C-8117-DD913FD860F9}"/>
    <cellStyle name="20% - Accent1 6 6" xfId="6166" xr:uid="{A09B2A73-8565-4F76-99C4-477BEFB153C6}"/>
    <cellStyle name="20% - Accent1 6 7" xfId="8056" xr:uid="{82D951CC-BBA8-46C1-909E-154AEAC3A1C0}"/>
    <cellStyle name="20% - Accent1 6 8" xfId="9946" xr:uid="{E4FF9ACD-1847-48BC-9141-F0E1A396765E}"/>
    <cellStyle name="20% - Accent1 6 9" xfId="11836" xr:uid="{9084274D-08F2-479A-AAB7-B54E82251661}"/>
    <cellStyle name="20% - Accent1 7" xfId="706" xr:uid="{52655E45-D95F-4DD5-9A37-0955AEA0916C}"/>
    <cellStyle name="20% - Accent1 7 10" xfId="17716" xr:uid="{3646A48E-62AC-4DFA-85A2-7F6D9948C1A2}"/>
    <cellStyle name="20% - Accent1 7 11" xfId="19606" xr:uid="{5EADE4BA-E774-4BAC-AB6E-A3A5A316C2C7}"/>
    <cellStyle name="20% - Accent1 7 12" xfId="21496" xr:uid="{AC2A7FDE-D883-405C-9B1E-9A01DA482A85}"/>
    <cellStyle name="20% - Accent1 7 13" xfId="23386" xr:uid="{07E8A8DE-13BB-449D-959E-9A607E2DB7E0}"/>
    <cellStyle name="20% - Accent1 7 14" xfId="25276" xr:uid="{E2A4BE47-452E-4977-89DD-BC1153587B68}"/>
    <cellStyle name="20% - Accent1 7 15" xfId="27166" xr:uid="{9A887DC4-C527-48A5-92C8-390D5F253433}"/>
    <cellStyle name="20% - Accent1 7 16" xfId="29056" xr:uid="{17CE293D-3912-4789-86DC-FB43EC900187}"/>
    <cellStyle name="20% - Accent1 7 17" xfId="30946" xr:uid="{3AAB29FD-2B8F-4E5F-B786-A9FF2F00A45F}"/>
    <cellStyle name="20% - Accent1 7 18" xfId="32836" xr:uid="{F917AFA4-ABB4-4656-AC41-D753A615C2D3}"/>
    <cellStyle name="20% - Accent1 7 19" xfId="34726" xr:uid="{7AE58F63-4FA4-413C-85B0-25B00AC847AA}"/>
    <cellStyle name="20% - Accent1 7 2" xfId="2596" xr:uid="{419D0B80-B749-4512-99C5-65B450C1488F}"/>
    <cellStyle name="20% - Accent1 7 20" xfId="36616" xr:uid="{ABB58F41-E6F9-4898-950A-B920348166ED}"/>
    <cellStyle name="20% - Accent1 7 21" xfId="38506" xr:uid="{8C55CBB3-4ABB-45AE-930E-F655449B84A2}"/>
    <cellStyle name="20% - Accent1 7 22" xfId="40397" xr:uid="{3BC034F0-02CE-471B-AC09-1521BA4D0610}"/>
    <cellStyle name="20% - Accent1 7 3" xfId="4486" xr:uid="{B01C0900-DFAF-418A-B074-E3F49EA2FC85}"/>
    <cellStyle name="20% - Accent1 7 4" xfId="6376" xr:uid="{90B2DB61-DF44-4C54-91AF-0EFA4E7F671A}"/>
    <cellStyle name="20% - Accent1 7 5" xfId="8266" xr:uid="{531049D2-0923-4917-8729-379C05DF1416}"/>
    <cellStyle name="20% - Accent1 7 6" xfId="10156" xr:uid="{A0FF1404-38F2-4B14-A90F-A63671FDFFBE}"/>
    <cellStyle name="20% - Accent1 7 7" xfId="12046" xr:uid="{956490BB-5E36-4018-818B-DCBB4C87DA06}"/>
    <cellStyle name="20% - Accent1 7 8" xfId="13936" xr:uid="{A09D8C49-9DAB-48B2-8315-DC168101E99F}"/>
    <cellStyle name="20% - Accent1 7 9" xfId="15826" xr:uid="{26A3D4C9-CBB8-444A-A432-1062A585C182}"/>
    <cellStyle name="20% - Accent1 8" xfId="1336" xr:uid="{58DD24DF-D9AC-40D4-BB4A-5FC19BFFF03F}"/>
    <cellStyle name="20% - Accent1 8 10" xfId="18346" xr:uid="{25D33983-838A-4B95-83B5-437B345584EA}"/>
    <cellStyle name="20% - Accent1 8 11" xfId="20236" xr:uid="{D8619452-08E8-4AB2-A92C-D7D9A11A8B52}"/>
    <cellStyle name="20% - Accent1 8 12" xfId="22126" xr:uid="{B014BEBE-0254-4895-B5DA-64FB4A80C075}"/>
    <cellStyle name="20% - Accent1 8 13" xfId="24016" xr:uid="{03C48810-99A8-4ED6-B728-0B474AA8EB80}"/>
    <cellStyle name="20% - Accent1 8 14" xfId="25906" xr:uid="{D5CEEDFE-30BE-48D1-B76E-B9A22CFE5B71}"/>
    <cellStyle name="20% - Accent1 8 15" xfId="27796" xr:uid="{1B4F59CB-2754-4B28-9DE1-2E2AA383F07F}"/>
    <cellStyle name="20% - Accent1 8 16" xfId="29686" xr:uid="{84C97B93-BE9E-47E9-B960-D481C31D2FAB}"/>
    <cellStyle name="20% - Accent1 8 17" xfId="31576" xr:uid="{8D5B8766-C228-41BD-A528-7E79CEA45FE3}"/>
    <cellStyle name="20% - Accent1 8 18" xfId="33466" xr:uid="{5D2DBB84-379D-47B0-BFED-021C33AE2F83}"/>
    <cellStyle name="20% - Accent1 8 19" xfId="35356" xr:uid="{D8157E47-B2A2-4E1B-8DCF-47748BED15CC}"/>
    <cellStyle name="20% - Accent1 8 2" xfId="3226" xr:uid="{B1866CED-413B-4BC3-BA9E-1702C0909F11}"/>
    <cellStyle name="20% - Accent1 8 20" xfId="37246" xr:uid="{3F087FC4-7F13-44BD-8D96-BD63B33C2BB6}"/>
    <cellStyle name="20% - Accent1 8 21" xfId="39136" xr:uid="{614AEF29-20A6-4F93-9BE7-3A81C2FA2A29}"/>
    <cellStyle name="20% - Accent1 8 22" xfId="41027" xr:uid="{F425C426-6116-4D42-A0C4-B938E12FC6D7}"/>
    <cellStyle name="20% - Accent1 8 3" xfId="5116" xr:uid="{D3E4B363-3050-4207-A8E6-744BD51B92D2}"/>
    <cellStyle name="20% - Accent1 8 4" xfId="7006" xr:uid="{80E86067-E4D4-44AA-8249-C1E10BD3049E}"/>
    <cellStyle name="20% - Accent1 8 5" xfId="8896" xr:uid="{C66D6B67-F4AD-4FCC-9FB5-4DB670A0EF19}"/>
    <cellStyle name="20% - Accent1 8 6" xfId="10786" xr:uid="{E67587D7-7905-4CB9-8981-DC051EBE0A15}"/>
    <cellStyle name="20% - Accent1 8 7" xfId="12676" xr:uid="{3F9E4FBB-407B-4A06-8C27-FE1E52AEB5E6}"/>
    <cellStyle name="20% - Accent1 8 8" xfId="14566" xr:uid="{31461D8B-68E7-444A-808B-2376DE62DD0E}"/>
    <cellStyle name="20% - Accent1 8 9" xfId="16456" xr:uid="{594C94F1-E888-461B-8033-BACB9086695F}"/>
    <cellStyle name="20% - Accent1 9" xfId="1966" xr:uid="{A7AB9052-960F-40BC-B425-03BFA0A9B77D}"/>
    <cellStyle name="20% - Accent2" xfId="75" builtinId="34" customBuiltin="1"/>
    <cellStyle name="20% - Accent2 10" xfId="3859" xr:uid="{B98CBF4D-390C-412A-90BB-F3F887B32FA7}"/>
    <cellStyle name="20% - Accent2 11" xfId="5749" xr:uid="{7BDB5D53-99FD-4886-906C-DF0B4A08C68A}"/>
    <cellStyle name="20% - Accent2 12" xfId="7639" xr:uid="{1DA435D0-71DD-4702-92F1-19DB83E0F3C4}"/>
    <cellStyle name="20% - Accent2 13" xfId="9529" xr:uid="{DA8DEC6E-5C24-4DD9-ABF3-73D5D7FD1DC2}"/>
    <cellStyle name="20% - Accent2 14" xfId="11419" xr:uid="{8507C0A3-4FB7-41E8-90B0-A0C642700427}"/>
    <cellStyle name="20% - Accent2 15" xfId="13309" xr:uid="{19C0CCBC-A647-4E28-AFBA-B515744190E2}"/>
    <cellStyle name="20% - Accent2 16" xfId="15199" xr:uid="{17469203-CBAA-45B9-B6F8-06647E273F96}"/>
    <cellStyle name="20% - Accent2 17" xfId="17089" xr:uid="{0006D247-B4BA-4526-89AC-21D1D53D0073}"/>
    <cellStyle name="20% - Accent2 18" xfId="18979" xr:uid="{49A5B081-337D-4E45-84A4-D6AE228D04A7}"/>
    <cellStyle name="20% - Accent2 19" xfId="20869" xr:uid="{9C853CB0-27F5-447C-8A6C-30BA18F30173}"/>
    <cellStyle name="20% - Accent2 2" xfId="101" xr:uid="{7E2AC4D4-91AC-4218-83C6-7354DC42FE01}"/>
    <cellStyle name="20% - Accent2 2 10" xfId="7661" xr:uid="{8C6557DB-FE82-4BE0-A8BD-B7B9AC133339}"/>
    <cellStyle name="20% - Accent2 2 11" xfId="9551" xr:uid="{D5A83AA1-3B41-45A2-B158-547D0A8DD9A3}"/>
    <cellStyle name="20% - Accent2 2 12" xfId="11441" xr:uid="{80744D6E-ED1A-427A-96D0-96DB29549090}"/>
    <cellStyle name="20% - Accent2 2 13" xfId="13331" xr:uid="{5738EF87-69C8-40B7-AB1D-008B660B22B7}"/>
    <cellStyle name="20% - Accent2 2 14" xfId="15221" xr:uid="{6774F73E-759A-4EA9-8958-DEBAE7DCEA33}"/>
    <cellStyle name="20% - Accent2 2 15" xfId="17111" xr:uid="{0B36D384-FCAB-46E0-B8DD-C37071B89AA7}"/>
    <cellStyle name="20% - Accent2 2 16" xfId="19001" xr:uid="{579F3DA5-0BBB-4CB3-B655-07B3691FC10C}"/>
    <cellStyle name="20% - Accent2 2 17" xfId="20891" xr:uid="{244E8776-14AF-4344-897A-42D20A6622A9}"/>
    <cellStyle name="20% - Accent2 2 18" xfId="22781" xr:uid="{20F0767B-D854-4563-9A04-409EDAFD9419}"/>
    <cellStyle name="20% - Accent2 2 19" xfId="24671" xr:uid="{BB6A0A27-163C-4FE3-89ED-E75B4D96A0BF}"/>
    <cellStyle name="20% - Accent2 2 2" xfId="206" xr:uid="{602B76CB-4EE3-450F-8BD5-B99012AD1C90}"/>
    <cellStyle name="20% - Accent2 2 2 10" xfId="9656" xr:uid="{C8A427C9-62E7-4246-97D1-E330676B3635}"/>
    <cellStyle name="20% - Accent2 2 2 11" xfId="11546" xr:uid="{5E00BDEC-CD5F-4694-8672-8D894932E8AC}"/>
    <cellStyle name="20% - Accent2 2 2 12" xfId="13436" xr:uid="{880E7613-ED7B-4F61-A5CC-EFBF36B72142}"/>
    <cellStyle name="20% - Accent2 2 2 13" xfId="15326" xr:uid="{610A8593-78FE-406C-876A-7442DA84787A}"/>
    <cellStyle name="20% - Accent2 2 2 14" xfId="17216" xr:uid="{02364E33-DFAE-41D3-B116-B453E932E894}"/>
    <cellStyle name="20% - Accent2 2 2 15" xfId="19106" xr:uid="{8A356B84-DDFD-4416-A295-2D7A3A884942}"/>
    <cellStyle name="20% - Accent2 2 2 16" xfId="20996" xr:uid="{7CD99DD0-BA96-4673-8406-EA76161201F6}"/>
    <cellStyle name="20% - Accent2 2 2 17" xfId="22886" xr:uid="{73844D65-BD38-4A36-971A-C92A7287BFC3}"/>
    <cellStyle name="20% - Accent2 2 2 18" xfId="24776" xr:uid="{8249D7DC-D71E-4277-B7FC-ED6F235BC622}"/>
    <cellStyle name="20% - Accent2 2 2 19" xfId="26666" xr:uid="{72851A79-6EC6-45D7-9EFA-1BE034D7CCC4}"/>
    <cellStyle name="20% - Accent2 2 2 2" xfId="416" xr:uid="{366D209B-C915-44E8-82E6-A947FD7FD79B}"/>
    <cellStyle name="20% - Accent2 2 2 2 10" xfId="13646" xr:uid="{C6C7BA75-4187-4EC0-90C6-080267482EA3}"/>
    <cellStyle name="20% - Accent2 2 2 2 11" xfId="15536" xr:uid="{FF80DF16-BED8-4F86-98B7-72CB8D23E90F}"/>
    <cellStyle name="20% - Accent2 2 2 2 12" xfId="17426" xr:uid="{AAAC0C49-763B-44E5-AB6F-032F002B784C}"/>
    <cellStyle name="20% - Accent2 2 2 2 13" xfId="19316" xr:uid="{C2328867-9BBF-4213-BABF-E0BC170AA57E}"/>
    <cellStyle name="20% - Accent2 2 2 2 14" xfId="21206" xr:uid="{90F9042F-2654-4532-9E26-E5A0680FBBE9}"/>
    <cellStyle name="20% - Accent2 2 2 2 15" xfId="23096" xr:uid="{4A5FEBBE-9259-4265-9D08-A27596D9A5BC}"/>
    <cellStyle name="20% - Accent2 2 2 2 16" xfId="24986" xr:uid="{51942396-5608-4CB2-91E7-163EBCEAD1A7}"/>
    <cellStyle name="20% - Accent2 2 2 2 17" xfId="26876" xr:uid="{4DD9AD10-E9A1-487A-ACDA-F37DA966FD80}"/>
    <cellStyle name="20% - Accent2 2 2 2 18" xfId="28766" xr:uid="{239C1561-435F-47D7-9BA1-98C864469D05}"/>
    <cellStyle name="20% - Accent2 2 2 2 19" xfId="30656" xr:uid="{908F0F26-9A21-4859-B35D-821252FA44C2}"/>
    <cellStyle name="20% - Accent2 2 2 2 2" xfId="1046" xr:uid="{BAC20718-A4B9-43C3-AC22-01B415452203}"/>
    <cellStyle name="20% - Accent2 2 2 2 2 10" xfId="18056" xr:uid="{CD67D7D0-1601-45C2-ACB5-C2B63EF136D4}"/>
    <cellStyle name="20% - Accent2 2 2 2 2 11" xfId="19946" xr:uid="{E83B6D5B-652D-44D0-948E-73D845A4AD8D}"/>
    <cellStyle name="20% - Accent2 2 2 2 2 12" xfId="21836" xr:uid="{C0F7C83F-6CF0-455F-A180-785F25EF4D85}"/>
    <cellStyle name="20% - Accent2 2 2 2 2 13" xfId="23726" xr:uid="{1FBE9C52-5893-420B-9E09-068DC64D57D5}"/>
    <cellStyle name="20% - Accent2 2 2 2 2 14" xfId="25616" xr:uid="{62249E75-326C-4881-9135-301CFD9F5A2A}"/>
    <cellStyle name="20% - Accent2 2 2 2 2 15" xfId="27506" xr:uid="{54BD8D24-329D-42B2-8FAF-FA2C7C81675A}"/>
    <cellStyle name="20% - Accent2 2 2 2 2 16" xfId="29396" xr:uid="{5DE3E180-A5C9-41D9-9722-B670E1CBA4F2}"/>
    <cellStyle name="20% - Accent2 2 2 2 2 17" xfId="31286" xr:uid="{D904F270-B13C-48DA-9073-5C6A73A61D12}"/>
    <cellStyle name="20% - Accent2 2 2 2 2 18" xfId="33176" xr:uid="{30A4445E-CB41-47AB-BE66-8A7532185FD6}"/>
    <cellStyle name="20% - Accent2 2 2 2 2 19" xfId="35066" xr:uid="{311CCF69-45AC-4194-BA09-B9AF88691032}"/>
    <cellStyle name="20% - Accent2 2 2 2 2 2" xfId="2936" xr:uid="{32849D31-3579-402D-BC52-6D55FCB6ED6C}"/>
    <cellStyle name="20% - Accent2 2 2 2 2 20" xfId="36956" xr:uid="{95FF60A7-8802-478B-B96A-1B8009FE03F2}"/>
    <cellStyle name="20% - Accent2 2 2 2 2 21" xfId="38846" xr:uid="{B70634EE-4463-41CC-9432-0D483E423F2E}"/>
    <cellStyle name="20% - Accent2 2 2 2 2 22" xfId="40737" xr:uid="{915900C9-907D-47C4-B08D-3E5E9A10F51B}"/>
    <cellStyle name="20% - Accent2 2 2 2 2 3" xfId="4826" xr:uid="{292AE919-E6F9-42A5-87AA-26554270E3EF}"/>
    <cellStyle name="20% - Accent2 2 2 2 2 4" xfId="6716" xr:uid="{84ADCA4B-48D7-458F-B737-3ABDD57CA41E}"/>
    <cellStyle name="20% - Accent2 2 2 2 2 5" xfId="8606" xr:uid="{6522F1C8-7B73-4356-8A46-FDCB26895502}"/>
    <cellStyle name="20% - Accent2 2 2 2 2 6" xfId="10496" xr:uid="{420BC44E-B4DB-42F8-9537-5EC30E3482D4}"/>
    <cellStyle name="20% - Accent2 2 2 2 2 7" xfId="12386" xr:uid="{BAD78743-8709-4BAE-9250-7C69BE0EDAA7}"/>
    <cellStyle name="20% - Accent2 2 2 2 2 8" xfId="14276" xr:uid="{40C48FBF-EFA8-404B-88E7-7516D41F3119}"/>
    <cellStyle name="20% - Accent2 2 2 2 2 9" xfId="16166" xr:uid="{1E5382DB-4385-4643-8BBE-185F7A9DC2B6}"/>
    <cellStyle name="20% - Accent2 2 2 2 20" xfId="32546" xr:uid="{57DA765A-F56C-43FA-B867-90FB7F0AD6EA}"/>
    <cellStyle name="20% - Accent2 2 2 2 21" xfId="34436" xr:uid="{163EAE6F-0F6B-4795-ADDA-4803134FCB40}"/>
    <cellStyle name="20% - Accent2 2 2 2 22" xfId="36326" xr:uid="{D705096B-2851-47C5-BDA4-00102FAC5047}"/>
    <cellStyle name="20% - Accent2 2 2 2 23" xfId="38216" xr:uid="{E809DF12-4E51-46BF-A94A-F9B1EF7C0637}"/>
    <cellStyle name="20% - Accent2 2 2 2 24" xfId="40107" xr:uid="{5A828F24-282C-47C1-84A6-B03F6CE14404}"/>
    <cellStyle name="20% - Accent2 2 2 2 3" xfId="1676" xr:uid="{E0C417C3-9FE9-41CE-99A7-6BE2EA1D055C}"/>
    <cellStyle name="20% - Accent2 2 2 2 3 10" xfId="18686" xr:uid="{A4A6F94B-4ADF-4E11-90D7-6048CD7DBD0E}"/>
    <cellStyle name="20% - Accent2 2 2 2 3 11" xfId="20576" xr:uid="{29598AA3-CE1C-48C7-9402-BF842C5DAF41}"/>
    <cellStyle name="20% - Accent2 2 2 2 3 12" xfId="22466" xr:uid="{62771D31-82CF-47BC-BD91-BCB3F58391FC}"/>
    <cellStyle name="20% - Accent2 2 2 2 3 13" xfId="24356" xr:uid="{75AE4D16-D784-443D-BAA0-404918D5243C}"/>
    <cellStyle name="20% - Accent2 2 2 2 3 14" xfId="26246" xr:uid="{2FF5618D-ED63-4658-9B97-F560A5AA0698}"/>
    <cellStyle name="20% - Accent2 2 2 2 3 15" xfId="28136" xr:uid="{86164ABB-3C2B-4888-8D77-2BB86565A565}"/>
    <cellStyle name="20% - Accent2 2 2 2 3 16" xfId="30026" xr:uid="{B5BF70CB-C5E5-4E4D-BA2B-80796409DE39}"/>
    <cellStyle name="20% - Accent2 2 2 2 3 17" xfId="31916" xr:uid="{9E8FE24D-BE9B-459B-A09A-11D5B29ADB18}"/>
    <cellStyle name="20% - Accent2 2 2 2 3 18" xfId="33806" xr:uid="{26458132-A75A-4D3A-904A-D24ACC997957}"/>
    <cellStyle name="20% - Accent2 2 2 2 3 19" xfId="35696" xr:uid="{B1C60421-D09D-485F-8627-EBC1A9D90216}"/>
    <cellStyle name="20% - Accent2 2 2 2 3 2" xfId="3566" xr:uid="{06333023-26DF-4843-90CF-46757E5D9D45}"/>
    <cellStyle name="20% - Accent2 2 2 2 3 20" xfId="37586" xr:uid="{7BBBD858-C41D-4486-B6AA-CF938FFBDB95}"/>
    <cellStyle name="20% - Accent2 2 2 2 3 21" xfId="39476" xr:uid="{9FD25BB5-02D6-4EA4-BE70-B4D509F96EB2}"/>
    <cellStyle name="20% - Accent2 2 2 2 3 22" xfId="41367" xr:uid="{70F78F44-BE2B-4EF6-A170-2B2CDD6E543D}"/>
    <cellStyle name="20% - Accent2 2 2 2 3 3" xfId="5456" xr:uid="{F66EB631-7052-4ECB-80E8-6A30D9BC3F8D}"/>
    <cellStyle name="20% - Accent2 2 2 2 3 4" xfId="7346" xr:uid="{CC0C515C-DEE0-4857-B511-ACCC4610D1EE}"/>
    <cellStyle name="20% - Accent2 2 2 2 3 5" xfId="9236" xr:uid="{12003BE0-818A-4DB7-80D9-015D7EC4B83D}"/>
    <cellStyle name="20% - Accent2 2 2 2 3 6" xfId="11126" xr:uid="{6A9236E4-01B6-458B-A824-B4F67BDAF29E}"/>
    <cellStyle name="20% - Accent2 2 2 2 3 7" xfId="13016" xr:uid="{D21FEADF-E68F-4FF9-BB5A-A839C92B5251}"/>
    <cellStyle name="20% - Accent2 2 2 2 3 8" xfId="14906" xr:uid="{98B72D1B-24C6-4A60-ACFA-C6A2958A65A9}"/>
    <cellStyle name="20% - Accent2 2 2 2 3 9" xfId="16796" xr:uid="{A1DD70B1-FBF1-4186-AC52-B192DBFA9572}"/>
    <cellStyle name="20% - Accent2 2 2 2 4" xfId="2306" xr:uid="{2B1686D5-A276-4D7B-A9F0-0801E8696A32}"/>
    <cellStyle name="20% - Accent2 2 2 2 5" xfId="4196" xr:uid="{DB436B0B-9729-4D09-A570-61FCA138318F}"/>
    <cellStyle name="20% - Accent2 2 2 2 6" xfId="6086" xr:uid="{D3308196-950B-451A-9C23-778411A0CFAC}"/>
    <cellStyle name="20% - Accent2 2 2 2 7" xfId="7976" xr:uid="{FF3448C4-B339-4645-BF60-B789EFC82453}"/>
    <cellStyle name="20% - Accent2 2 2 2 8" xfId="9866" xr:uid="{6899D316-DC73-4C1C-B9A0-B991769D779C}"/>
    <cellStyle name="20% - Accent2 2 2 2 9" xfId="11756" xr:uid="{9CD7ED57-9276-4124-B989-D0988EE62A7B}"/>
    <cellStyle name="20% - Accent2 2 2 20" xfId="28556" xr:uid="{94874E6B-D207-42EC-9323-5681D831A2D9}"/>
    <cellStyle name="20% - Accent2 2 2 21" xfId="30446" xr:uid="{B40FE8EA-00E0-4D3B-BFD7-119D358D7667}"/>
    <cellStyle name="20% - Accent2 2 2 22" xfId="32336" xr:uid="{2C1399F4-0D03-4353-9C0D-7FA87301963A}"/>
    <cellStyle name="20% - Accent2 2 2 23" xfId="34226" xr:uid="{E1C6C0B3-928D-4DFB-903C-BECB5D4EC946}"/>
    <cellStyle name="20% - Accent2 2 2 24" xfId="36116" xr:uid="{17B50651-A647-4F34-A110-2F2AAD1E7E3E}"/>
    <cellStyle name="20% - Accent2 2 2 25" xfId="38006" xr:uid="{43C83E0F-DE5E-46FD-81D7-267420473B6A}"/>
    <cellStyle name="20% - Accent2 2 2 26" xfId="39897" xr:uid="{0669A855-C9B9-44CF-AB14-8800E7FE4BF5}"/>
    <cellStyle name="20% - Accent2 2 2 3" xfId="626" xr:uid="{576DE447-17C7-418A-B81F-376910AEFA8D}"/>
    <cellStyle name="20% - Accent2 2 2 3 10" xfId="13856" xr:uid="{4DC3587C-C526-43DF-BE67-3AF1ED4FB531}"/>
    <cellStyle name="20% - Accent2 2 2 3 11" xfId="15746" xr:uid="{289617BB-7A5D-412B-BA0D-CDA0D129EF76}"/>
    <cellStyle name="20% - Accent2 2 2 3 12" xfId="17636" xr:uid="{D48568F2-5A45-4305-9DB0-E31288677FD2}"/>
    <cellStyle name="20% - Accent2 2 2 3 13" xfId="19526" xr:uid="{43B5D4AA-7FCD-4B6B-8C79-610483268DB8}"/>
    <cellStyle name="20% - Accent2 2 2 3 14" xfId="21416" xr:uid="{C50AC967-52DF-4B54-BEE7-0BDC2E5A891F}"/>
    <cellStyle name="20% - Accent2 2 2 3 15" xfId="23306" xr:uid="{03659A03-1742-4D48-88A7-770A4C0455FF}"/>
    <cellStyle name="20% - Accent2 2 2 3 16" xfId="25196" xr:uid="{1BAF5E96-A18B-461A-9D76-D4E7D725E41D}"/>
    <cellStyle name="20% - Accent2 2 2 3 17" xfId="27086" xr:uid="{217126B9-61D1-434A-9938-4363B4386AC2}"/>
    <cellStyle name="20% - Accent2 2 2 3 18" xfId="28976" xr:uid="{DB1D5A3E-3D98-483C-932B-8186A8679894}"/>
    <cellStyle name="20% - Accent2 2 2 3 19" xfId="30866" xr:uid="{8BCBE2A5-DFD4-41EF-A37C-C9B297D590BB}"/>
    <cellStyle name="20% - Accent2 2 2 3 2" xfId="1256" xr:uid="{919388BA-1152-4D7C-8F34-E5CA1A17A083}"/>
    <cellStyle name="20% - Accent2 2 2 3 2 10" xfId="18266" xr:uid="{FD61E129-9933-4A3E-BA1D-1E2F615F02F0}"/>
    <cellStyle name="20% - Accent2 2 2 3 2 11" xfId="20156" xr:uid="{BE428362-87A4-4A85-B4C9-053CF449B9E3}"/>
    <cellStyle name="20% - Accent2 2 2 3 2 12" xfId="22046" xr:uid="{123B7CF8-4B3C-4B0F-8F4D-81D8D9C490AE}"/>
    <cellStyle name="20% - Accent2 2 2 3 2 13" xfId="23936" xr:uid="{58261E55-D560-4FAC-86CA-4C323C56AF95}"/>
    <cellStyle name="20% - Accent2 2 2 3 2 14" xfId="25826" xr:uid="{39C6F274-165C-4F51-9CC7-42EF4E9EA78B}"/>
    <cellStyle name="20% - Accent2 2 2 3 2 15" xfId="27716" xr:uid="{2907FA69-E616-4428-AB55-04478381C9D4}"/>
    <cellStyle name="20% - Accent2 2 2 3 2 16" xfId="29606" xr:uid="{671D7342-1228-4685-A3FD-2E0E193AE9DB}"/>
    <cellStyle name="20% - Accent2 2 2 3 2 17" xfId="31496" xr:uid="{86D036CC-9D7F-4553-888C-E284498E160A}"/>
    <cellStyle name="20% - Accent2 2 2 3 2 18" xfId="33386" xr:uid="{C4092CD5-E2F1-438D-99DB-538454448702}"/>
    <cellStyle name="20% - Accent2 2 2 3 2 19" xfId="35276" xr:uid="{00CDC094-8B2A-47A4-BB88-B8AE25AED9E8}"/>
    <cellStyle name="20% - Accent2 2 2 3 2 2" xfId="3146" xr:uid="{3C86487F-33A7-4EBD-878E-43B710043AAD}"/>
    <cellStyle name="20% - Accent2 2 2 3 2 20" xfId="37166" xr:uid="{0808E41E-48EE-4DE3-B11A-7DB92FFB0CC3}"/>
    <cellStyle name="20% - Accent2 2 2 3 2 21" xfId="39056" xr:uid="{D1FDDC09-048E-4206-996A-18A84482AFC0}"/>
    <cellStyle name="20% - Accent2 2 2 3 2 22" xfId="40947" xr:uid="{C7F43F93-52EC-4ED0-8C7D-FF4562FFB57D}"/>
    <cellStyle name="20% - Accent2 2 2 3 2 3" xfId="5036" xr:uid="{8AE0AC2C-6E71-4F1C-89C2-DAA0BB95B164}"/>
    <cellStyle name="20% - Accent2 2 2 3 2 4" xfId="6926" xr:uid="{3B9D51AB-B54C-4BE1-826B-F8663116195B}"/>
    <cellStyle name="20% - Accent2 2 2 3 2 5" xfId="8816" xr:uid="{E989CCCB-3653-492D-876C-48CDD830CD4C}"/>
    <cellStyle name="20% - Accent2 2 2 3 2 6" xfId="10706" xr:uid="{1220A55E-B89B-4C5B-879C-2F1AD13E54F7}"/>
    <cellStyle name="20% - Accent2 2 2 3 2 7" xfId="12596" xr:uid="{15A85A8D-CA8A-4FA9-AF7C-9BB4933386D0}"/>
    <cellStyle name="20% - Accent2 2 2 3 2 8" xfId="14486" xr:uid="{E4533480-FDEA-447B-BC15-F344BF8337A1}"/>
    <cellStyle name="20% - Accent2 2 2 3 2 9" xfId="16376" xr:uid="{390488CC-8CAE-420B-98D3-E1C51A993612}"/>
    <cellStyle name="20% - Accent2 2 2 3 20" xfId="32756" xr:uid="{1CE9B39B-07E8-4FFF-9502-9076C6783E2F}"/>
    <cellStyle name="20% - Accent2 2 2 3 21" xfId="34646" xr:uid="{EB3ECC6B-B041-4DEF-96F7-A669E37456A2}"/>
    <cellStyle name="20% - Accent2 2 2 3 22" xfId="36536" xr:uid="{BC503D8D-9EE1-463E-96A5-B8FC48243BD0}"/>
    <cellStyle name="20% - Accent2 2 2 3 23" xfId="38426" xr:uid="{C1457EF0-5110-4902-9403-1227AAF628B0}"/>
    <cellStyle name="20% - Accent2 2 2 3 24" xfId="40317" xr:uid="{D0459D2B-8C07-458B-9B56-F324FA4C3F9F}"/>
    <cellStyle name="20% - Accent2 2 2 3 3" xfId="1886" xr:uid="{DD3C27F0-9309-47D6-A0D8-0E8A4E695ADE}"/>
    <cellStyle name="20% - Accent2 2 2 3 3 10" xfId="18896" xr:uid="{C3563215-20CF-4784-B850-E882BCED876A}"/>
    <cellStyle name="20% - Accent2 2 2 3 3 11" xfId="20786" xr:uid="{E3A3B1B3-296F-47C9-86D2-872F5EAFAB39}"/>
    <cellStyle name="20% - Accent2 2 2 3 3 12" xfId="22676" xr:uid="{4DAD451E-D771-472F-A57E-661C5E829A5E}"/>
    <cellStyle name="20% - Accent2 2 2 3 3 13" xfId="24566" xr:uid="{0FB30441-7407-4705-AAA4-761771BBF0EC}"/>
    <cellStyle name="20% - Accent2 2 2 3 3 14" xfId="26456" xr:uid="{843EAC3D-434C-44A1-A92E-F8C45AA69469}"/>
    <cellStyle name="20% - Accent2 2 2 3 3 15" xfId="28346" xr:uid="{C582B43F-4B8E-4F93-9402-1323937DED96}"/>
    <cellStyle name="20% - Accent2 2 2 3 3 16" xfId="30236" xr:uid="{B0A7D5E9-5BEF-4C4C-A503-8966D701EC50}"/>
    <cellStyle name="20% - Accent2 2 2 3 3 17" xfId="32126" xr:uid="{299268DF-1896-4A33-B32E-C0F7708E6CBC}"/>
    <cellStyle name="20% - Accent2 2 2 3 3 18" xfId="34016" xr:uid="{9FDA214E-39E9-4492-B8B9-C6D2FA72AAEC}"/>
    <cellStyle name="20% - Accent2 2 2 3 3 19" xfId="35906" xr:uid="{BC646BEA-245C-4AC1-B420-6061C4FC39E8}"/>
    <cellStyle name="20% - Accent2 2 2 3 3 2" xfId="3776" xr:uid="{C5995C04-0685-4C4A-BF73-4443A0D28679}"/>
    <cellStyle name="20% - Accent2 2 2 3 3 20" xfId="37796" xr:uid="{218400DE-E2E6-40BC-B9EF-2430F01505EA}"/>
    <cellStyle name="20% - Accent2 2 2 3 3 21" xfId="39686" xr:uid="{F38B9002-C57E-4C13-805F-847040A44D53}"/>
    <cellStyle name="20% - Accent2 2 2 3 3 22" xfId="41577" xr:uid="{3359417C-1E1D-4277-9433-90D4EE6F9B9F}"/>
    <cellStyle name="20% - Accent2 2 2 3 3 3" xfId="5666" xr:uid="{AA916922-8FD9-40E7-83E5-C0DEEB28F832}"/>
    <cellStyle name="20% - Accent2 2 2 3 3 4" xfId="7556" xr:uid="{8C05534C-AB90-4C2D-9409-A449C9DF02CF}"/>
    <cellStyle name="20% - Accent2 2 2 3 3 5" xfId="9446" xr:uid="{072C88D3-97DC-4252-9D74-7A1A2B12B187}"/>
    <cellStyle name="20% - Accent2 2 2 3 3 6" xfId="11336" xr:uid="{E5E7C6C9-68A7-4EAF-BDEC-B2F8A4014EA3}"/>
    <cellStyle name="20% - Accent2 2 2 3 3 7" xfId="13226" xr:uid="{84A6B40A-F68E-4FA6-8E5B-FD85C2AC7D48}"/>
    <cellStyle name="20% - Accent2 2 2 3 3 8" xfId="15116" xr:uid="{0915B793-1805-4EC0-BE8A-E0492CB0E922}"/>
    <cellStyle name="20% - Accent2 2 2 3 3 9" xfId="17006" xr:uid="{906C3A4D-C8C1-4A22-A985-7AF6E8D9DC13}"/>
    <cellStyle name="20% - Accent2 2 2 3 4" xfId="2516" xr:uid="{8BD8E8B8-4524-4C28-85A0-C0278CA046BA}"/>
    <cellStyle name="20% - Accent2 2 2 3 5" xfId="4406" xr:uid="{1EFA6029-6EC6-4F0A-9B27-7872D5E9EB5C}"/>
    <cellStyle name="20% - Accent2 2 2 3 6" xfId="6296" xr:uid="{7229BAF9-8A35-46CE-BDF6-86C6083D4664}"/>
    <cellStyle name="20% - Accent2 2 2 3 7" xfId="8186" xr:uid="{DE193A3F-3BB6-4F35-83ED-2966FAFACF4A}"/>
    <cellStyle name="20% - Accent2 2 2 3 8" xfId="10076" xr:uid="{85E926FB-3B79-4E81-81C3-C2D65489D2D8}"/>
    <cellStyle name="20% - Accent2 2 2 3 9" xfId="11966" xr:uid="{40FB2CFD-16A0-47E0-A56A-0D89C4F3947B}"/>
    <cellStyle name="20% - Accent2 2 2 4" xfId="836" xr:uid="{C6515690-F178-4B88-832A-BEE7B52986BE}"/>
    <cellStyle name="20% - Accent2 2 2 4 10" xfId="17846" xr:uid="{DEA42185-9ECC-44E3-86FE-57DB2ACB740F}"/>
    <cellStyle name="20% - Accent2 2 2 4 11" xfId="19736" xr:uid="{5FD860CF-C92B-4400-968C-85030CC0261A}"/>
    <cellStyle name="20% - Accent2 2 2 4 12" xfId="21626" xr:uid="{7074749E-F7B9-40DC-9DDE-D4B94939DF89}"/>
    <cellStyle name="20% - Accent2 2 2 4 13" xfId="23516" xr:uid="{93486F29-8201-46FC-BAFA-CA68BE476286}"/>
    <cellStyle name="20% - Accent2 2 2 4 14" xfId="25406" xr:uid="{38C8235F-7833-4962-83D3-29CBDD854A94}"/>
    <cellStyle name="20% - Accent2 2 2 4 15" xfId="27296" xr:uid="{D9DE7F84-C219-44B9-9FAC-DA7AE30212C4}"/>
    <cellStyle name="20% - Accent2 2 2 4 16" xfId="29186" xr:uid="{639EA2B2-810D-44FF-872A-AFF49B5DC207}"/>
    <cellStyle name="20% - Accent2 2 2 4 17" xfId="31076" xr:uid="{33240E25-186C-4603-BDDB-1D179C9BF2A5}"/>
    <cellStyle name="20% - Accent2 2 2 4 18" xfId="32966" xr:uid="{D141B874-24CA-458A-88D2-9AC0B4172738}"/>
    <cellStyle name="20% - Accent2 2 2 4 19" xfId="34856" xr:uid="{CA5DA3A0-6FA3-4E95-91E7-0966E8F4AD4E}"/>
    <cellStyle name="20% - Accent2 2 2 4 2" xfId="2726" xr:uid="{BC9AD71F-53B2-4ED5-9515-201B0F6A336A}"/>
    <cellStyle name="20% - Accent2 2 2 4 20" xfId="36746" xr:uid="{39FA5612-BBAE-4B42-8BB9-64FEC1BCD41F}"/>
    <cellStyle name="20% - Accent2 2 2 4 21" xfId="38636" xr:uid="{654EDCFF-CB26-446D-A9EB-6C1129E035F9}"/>
    <cellStyle name="20% - Accent2 2 2 4 22" xfId="40527" xr:uid="{D7155B0F-86C3-47D3-90A5-86DA4C47430D}"/>
    <cellStyle name="20% - Accent2 2 2 4 3" xfId="4616" xr:uid="{DE47C98A-FD91-469F-95F9-908A4920CD22}"/>
    <cellStyle name="20% - Accent2 2 2 4 4" xfId="6506" xr:uid="{A497D99B-CB36-4ABD-94B2-55307A2F457F}"/>
    <cellStyle name="20% - Accent2 2 2 4 5" xfId="8396" xr:uid="{CD83AED2-6052-477E-BE26-CEDD74780CFE}"/>
    <cellStyle name="20% - Accent2 2 2 4 6" xfId="10286" xr:uid="{5C092BDE-FE7D-47AF-9539-E8514714492D}"/>
    <cellStyle name="20% - Accent2 2 2 4 7" xfId="12176" xr:uid="{1F41D245-1E98-4F85-8E3A-EB50125A2FC4}"/>
    <cellStyle name="20% - Accent2 2 2 4 8" xfId="14066" xr:uid="{ADFAD986-5F29-4B64-B19C-2C876211D579}"/>
    <cellStyle name="20% - Accent2 2 2 4 9" xfId="15956" xr:uid="{C444B919-B514-4067-A76B-A97FC1AE9783}"/>
    <cellStyle name="20% - Accent2 2 2 5" xfId="1466" xr:uid="{0E3D6B9A-6B69-4784-A4BC-D2BC90086923}"/>
    <cellStyle name="20% - Accent2 2 2 5 10" xfId="18476" xr:uid="{B8064667-5425-436A-A65A-70207A4E8610}"/>
    <cellStyle name="20% - Accent2 2 2 5 11" xfId="20366" xr:uid="{7FDA9974-6D3B-4D4E-BA52-62DE2E5C4733}"/>
    <cellStyle name="20% - Accent2 2 2 5 12" xfId="22256" xr:uid="{9FB28F8C-D376-4D62-99EB-14C15B723401}"/>
    <cellStyle name="20% - Accent2 2 2 5 13" xfId="24146" xr:uid="{E515532C-B833-4F32-9527-26CF1B23FF56}"/>
    <cellStyle name="20% - Accent2 2 2 5 14" xfId="26036" xr:uid="{68227DAD-D524-4B73-B36E-16EBC44B023E}"/>
    <cellStyle name="20% - Accent2 2 2 5 15" xfId="27926" xr:uid="{6280D534-18C3-48E8-8623-0C08AF36DDDD}"/>
    <cellStyle name="20% - Accent2 2 2 5 16" xfId="29816" xr:uid="{9990CACD-5C5C-4EB5-90B3-68045E5240B8}"/>
    <cellStyle name="20% - Accent2 2 2 5 17" xfId="31706" xr:uid="{A739D6A6-706A-4F5B-A920-90C71C72097A}"/>
    <cellStyle name="20% - Accent2 2 2 5 18" xfId="33596" xr:uid="{C784418D-36F3-4184-B10F-E4F716BCD71C}"/>
    <cellStyle name="20% - Accent2 2 2 5 19" xfId="35486" xr:uid="{65FB79AA-B7A5-4075-ADF0-275C5EB2C432}"/>
    <cellStyle name="20% - Accent2 2 2 5 2" xfId="3356" xr:uid="{D3365CD8-5273-4C32-BB3E-760B1A40F6EF}"/>
    <cellStyle name="20% - Accent2 2 2 5 20" xfId="37376" xr:uid="{DA556D7E-633A-432E-96ED-6B88FC323596}"/>
    <cellStyle name="20% - Accent2 2 2 5 21" xfId="39266" xr:uid="{DD017FCD-B2AB-4B8B-8FEA-41F7ABDBF87F}"/>
    <cellStyle name="20% - Accent2 2 2 5 22" xfId="41157" xr:uid="{9839996C-96C1-4475-8532-EC1ED96582CC}"/>
    <cellStyle name="20% - Accent2 2 2 5 3" xfId="5246" xr:uid="{5585A10B-8503-40E4-823C-2CE62121DE13}"/>
    <cellStyle name="20% - Accent2 2 2 5 4" xfId="7136" xr:uid="{111ABBBA-B4F9-42B2-95E1-DCD9AF795FC8}"/>
    <cellStyle name="20% - Accent2 2 2 5 5" xfId="9026" xr:uid="{39290A60-F172-49C4-8582-21C23869FE9A}"/>
    <cellStyle name="20% - Accent2 2 2 5 6" xfId="10916" xr:uid="{B5F6DF3B-B1D9-4B99-B635-AEA85C0FB567}"/>
    <cellStyle name="20% - Accent2 2 2 5 7" xfId="12806" xr:uid="{9DA4D2A7-54F7-4460-986F-6478EF5316C9}"/>
    <cellStyle name="20% - Accent2 2 2 5 8" xfId="14696" xr:uid="{81633A9C-C343-4706-B0AE-B1493F71506D}"/>
    <cellStyle name="20% - Accent2 2 2 5 9" xfId="16586" xr:uid="{02D86832-0968-4C14-BD84-2B60F3B1BB72}"/>
    <cellStyle name="20% - Accent2 2 2 6" xfId="2096" xr:uid="{4EE2D71A-A126-41AB-8941-2B1C30875BA1}"/>
    <cellStyle name="20% - Accent2 2 2 7" xfId="3986" xr:uid="{B8820561-F250-44C9-9482-DB6884A394F8}"/>
    <cellStyle name="20% - Accent2 2 2 8" xfId="5876" xr:uid="{42BF7614-C534-438E-B4FC-AB8840B55121}"/>
    <cellStyle name="20% - Accent2 2 2 9" xfId="7766" xr:uid="{3842F6D3-2381-44C8-B4EE-B5925EA44C34}"/>
    <cellStyle name="20% - Accent2 2 20" xfId="26561" xr:uid="{361DDE21-AAE2-4813-8EFF-219F0689D010}"/>
    <cellStyle name="20% - Accent2 2 21" xfId="28451" xr:uid="{63CB520B-E96D-4F1C-8C33-26F9478C05DD}"/>
    <cellStyle name="20% - Accent2 2 22" xfId="30341" xr:uid="{C5667A85-2DD0-4463-B925-53AFD7282A67}"/>
    <cellStyle name="20% - Accent2 2 23" xfId="32231" xr:uid="{9433D9A9-31C3-41A3-99FC-2C8522E43274}"/>
    <cellStyle name="20% - Accent2 2 24" xfId="34121" xr:uid="{FA83AF8A-CDF4-4C30-893A-BB78F0DCE137}"/>
    <cellStyle name="20% - Accent2 2 25" xfId="36011" xr:uid="{B471595D-E6FF-4BBE-8ADC-B0310EE49441}"/>
    <cellStyle name="20% - Accent2 2 26" xfId="37901" xr:uid="{2DA5129D-6796-4BFD-95E6-D180127BA405}"/>
    <cellStyle name="20% - Accent2 2 27" xfId="39792" xr:uid="{2C090150-C396-4ECF-941D-1978FB76CEB3}"/>
    <cellStyle name="20% - Accent2 2 3" xfId="311" xr:uid="{EAC08731-4479-436A-94E3-0E4AF7CEEEB4}"/>
    <cellStyle name="20% - Accent2 2 3 10" xfId="13541" xr:uid="{9C6D31B8-042B-45C2-BD76-17F445B32E52}"/>
    <cellStyle name="20% - Accent2 2 3 11" xfId="15431" xr:uid="{8C7C5CAD-4F74-47D5-8C85-13DCD348F9C4}"/>
    <cellStyle name="20% - Accent2 2 3 12" xfId="17321" xr:uid="{89D29ACB-0D88-4DC6-872C-F964EECB1F96}"/>
    <cellStyle name="20% - Accent2 2 3 13" xfId="19211" xr:uid="{9663151F-EA64-436E-97A8-8CE7E1D68FD3}"/>
    <cellStyle name="20% - Accent2 2 3 14" xfId="21101" xr:uid="{2A891945-CD91-4C81-9832-6886312F3A03}"/>
    <cellStyle name="20% - Accent2 2 3 15" xfId="22991" xr:uid="{0D9719E2-8315-41A4-BBF7-DD31E5FF336B}"/>
    <cellStyle name="20% - Accent2 2 3 16" xfId="24881" xr:uid="{27A0A605-9470-4A93-836A-0E198E1C580F}"/>
    <cellStyle name="20% - Accent2 2 3 17" xfId="26771" xr:uid="{A3F9D93F-EF6C-4412-B293-9DFB83294F53}"/>
    <cellStyle name="20% - Accent2 2 3 18" xfId="28661" xr:uid="{8FBEEE8E-E983-4DE5-9AC2-03FB9F78FA85}"/>
    <cellStyle name="20% - Accent2 2 3 19" xfId="30551" xr:uid="{1757E36B-BA80-4C4B-ABCD-F571B5491796}"/>
    <cellStyle name="20% - Accent2 2 3 2" xfId="941" xr:uid="{73E4E378-4973-4A43-8D95-A82C40AE60D4}"/>
    <cellStyle name="20% - Accent2 2 3 2 10" xfId="17951" xr:uid="{5C58CE35-3D86-409D-B945-54551DD5CD70}"/>
    <cellStyle name="20% - Accent2 2 3 2 11" xfId="19841" xr:uid="{D81B7F5B-A2FF-4B28-AE03-578EA4F59D68}"/>
    <cellStyle name="20% - Accent2 2 3 2 12" xfId="21731" xr:uid="{82AB0227-AC72-4F06-9144-23763CB125BA}"/>
    <cellStyle name="20% - Accent2 2 3 2 13" xfId="23621" xr:uid="{A7CE0B8F-B477-498F-8F3D-4985A14F185E}"/>
    <cellStyle name="20% - Accent2 2 3 2 14" xfId="25511" xr:uid="{01F3581D-B042-4479-8C04-3AEE800EDF5A}"/>
    <cellStyle name="20% - Accent2 2 3 2 15" xfId="27401" xr:uid="{45EA278F-1F5E-4A12-9E8E-09F24B585260}"/>
    <cellStyle name="20% - Accent2 2 3 2 16" xfId="29291" xr:uid="{F89EBFF6-E1D2-482C-A741-54E96E4AEA54}"/>
    <cellStyle name="20% - Accent2 2 3 2 17" xfId="31181" xr:uid="{07C58B9D-7609-49AC-8D1C-5CCF456DCEAF}"/>
    <cellStyle name="20% - Accent2 2 3 2 18" xfId="33071" xr:uid="{02BBDC82-451F-4E2E-B3DF-54A02639F3A2}"/>
    <cellStyle name="20% - Accent2 2 3 2 19" xfId="34961" xr:uid="{7B045E71-373D-4BE3-B8BE-89AE731C44B0}"/>
    <cellStyle name="20% - Accent2 2 3 2 2" xfId="2831" xr:uid="{A91EC737-520E-4640-9AB6-9CE8F7FB24EE}"/>
    <cellStyle name="20% - Accent2 2 3 2 20" xfId="36851" xr:uid="{563AA17A-F2DB-42C2-971E-6782247580D7}"/>
    <cellStyle name="20% - Accent2 2 3 2 21" xfId="38741" xr:uid="{4559CFB1-3EF9-449E-A460-F18DAE7C4D01}"/>
    <cellStyle name="20% - Accent2 2 3 2 22" xfId="40632" xr:uid="{B1A1F501-E4F1-4FEE-AC37-6B524F185CD7}"/>
    <cellStyle name="20% - Accent2 2 3 2 3" xfId="4721" xr:uid="{08EC78EC-6CCF-49DA-91DD-6031ECA01717}"/>
    <cellStyle name="20% - Accent2 2 3 2 4" xfId="6611" xr:uid="{B349E1DA-39D3-4816-AEE9-6B7CC6F0F3D2}"/>
    <cellStyle name="20% - Accent2 2 3 2 5" xfId="8501" xr:uid="{48B5A5B0-4817-49F0-A571-A2721015DB72}"/>
    <cellStyle name="20% - Accent2 2 3 2 6" xfId="10391" xr:uid="{DDB39898-A6BD-4BE1-BF29-58308F00FBC1}"/>
    <cellStyle name="20% - Accent2 2 3 2 7" xfId="12281" xr:uid="{2850388D-E859-4325-9046-80AFC61BB28A}"/>
    <cellStyle name="20% - Accent2 2 3 2 8" xfId="14171" xr:uid="{8E252D78-4B32-4CF4-B79A-859C283FFE0F}"/>
    <cellStyle name="20% - Accent2 2 3 2 9" xfId="16061" xr:uid="{C480694B-31A8-4021-A46E-71BD36C7EF5D}"/>
    <cellStyle name="20% - Accent2 2 3 20" xfId="32441" xr:uid="{08E1AD7B-81CD-4E3F-83F9-FAF173691BD7}"/>
    <cellStyle name="20% - Accent2 2 3 21" xfId="34331" xr:uid="{BD5599E5-9393-4DDE-A708-BF5F1738073D}"/>
    <cellStyle name="20% - Accent2 2 3 22" xfId="36221" xr:uid="{123D7176-0FC8-4817-A295-A2D01CA95750}"/>
    <cellStyle name="20% - Accent2 2 3 23" xfId="38111" xr:uid="{470D5D67-4C7C-42C2-833A-CCE7EEAE1B06}"/>
    <cellStyle name="20% - Accent2 2 3 24" xfId="40002" xr:uid="{EFE34A96-D541-48FE-AD5D-87AD45958087}"/>
    <cellStyle name="20% - Accent2 2 3 3" xfId="1571" xr:uid="{AEF2867C-C9C1-4217-8C16-9694BC7D5E24}"/>
    <cellStyle name="20% - Accent2 2 3 3 10" xfId="18581" xr:uid="{8B4C3051-FCC9-4DE6-ADE7-88F86EBE7DEE}"/>
    <cellStyle name="20% - Accent2 2 3 3 11" xfId="20471" xr:uid="{6B0A7F94-4EBB-4EAB-812B-C4218461D21A}"/>
    <cellStyle name="20% - Accent2 2 3 3 12" xfId="22361" xr:uid="{E6634E42-B75C-4252-B9D4-5A1C4F7EE690}"/>
    <cellStyle name="20% - Accent2 2 3 3 13" xfId="24251" xr:uid="{540D573C-E407-469E-857E-5F97F323F136}"/>
    <cellStyle name="20% - Accent2 2 3 3 14" xfId="26141" xr:uid="{02B7DD22-97B1-4082-BD89-D1134F8E726B}"/>
    <cellStyle name="20% - Accent2 2 3 3 15" xfId="28031" xr:uid="{57822B24-5A4B-4E13-95B0-709703FDA471}"/>
    <cellStyle name="20% - Accent2 2 3 3 16" xfId="29921" xr:uid="{16AA4E05-AE60-44A6-B526-B796F5B2785B}"/>
    <cellStyle name="20% - Accent2 2 3 3 17" xfId="31811" xr:uid="{531B3008-F453-45DB-8F01-29894ED7789F}"/>
    <cellStyle name="20% - Accent2 2 3 3 18" xfId="33701" xr:uid="{4AFEEE82-52B1-4DB8-8CFB-E7D128C00E6C}"/>
    <cellStyle name="20% - Accent2 2 3 3 19" xfId="35591" xr:uid="{474F0E3A-AF05-4367-928A-8635AE10CB6C}"/>
    <cellStyle name="20% - Accent2 2 3 3 2" xfId="3461" xr:uid="{EBEE2ACE-F0A7-4F06-857C-55277854AD6E}"/>
    <cellStyle name="20% - Accent2 2 3 3 20" xfId="37481" xr:uid="{D5CC40F2-B664-4798-9299-F92BEF2B5744}"/>
    <cellStyle name="20% - Accent2 2 3 3 21" xfId="39371" xr:uid="{8E094109-14A6-40D4-90B7-E92E9D3453ED}"/>
    <cellStyle name="20% - Accent2 2 3 3 22" xfId="41262" xr:uid="{9F8B4B65-B844-44C3-9629-E4B43A23938E}"/>
    <cellStyle name="20% - Accent2 2 3 3 3" xfId="5351" xr:uid="{9918ED99-5E03-4F5F-AA48-3709B6DCCD08}"/>
    <cellStyle name="20% - Accent2 2 3 3 4" xfId="7241" xr:uid="{AA0E7BF5-E10F-4B7B-AE83-138864D0A6EE}"/>
    <cellStyle name="20% - Accent2 2 3 3 5" xfId="9131" xr:uid="{443F2183-CE67-4031-A6C5-D1C1D58046AF}"/>
    <cellStyle name="20% - Accent2 2 3 3 6" xfId="11021" xr:uid="{934675A3-B95E-40D2-8AFF-F86CC18A5A36}"/>
    <cellStyle name="20% - Accent2 2 3 3 7" xfId="12911" xr:uid="{0785B09D-1F86-47AA-B90F-FC43F19D6D73}"/>
    <cellStyle name="20% - Accent2 2 3 3 8" xfId="14801" xr:uid="{94E95DD7-DD22-4443-AF23-C8EF6453279E}"/>
    <cellStyle name="20% - Accent2 2 3 3 9" xfId="16691" xr:uid="{D0F378FD-426B-4893-A1E5-AEB5D55EB72F}"/>
    <cellStyle name="20% - Accent2 2 3 4" xfId="2201" xr:uid="{386770BF-56A5-4228-BC45-D6311747835A}"/>
    <cellStyle name="20% - Accent2 2 3 5" xfId="4091" xr:uid="{1F2233F0-58F7-40EF-8DA8-BF6C3352574A}"/>
    <cellStyle name="20% - Accent2 2 3 6" xfId="5981" xr:uid="{B11D1958-5756-450D-87FA-6A5DCFFACE18}"/>
    <cellStyle name="20% - Accent2 2 3 7" xfId="7871" xr:uid="{9102BC4F-6D57-4628-B33A-1EF35A3D8D5C}"/>
    <cellStyle name="20% - Accent2 2 3 8" xfId="9761" xr:uid="{C11A4059-CA3B-4F2D-BD4C-CD9F084C126A}"/>
    <cellStyle name="20% - Accent2 2 3 9" xfId="11651" xr:uid="{DCA6DDDA-45F5-47B6-A584-CA4BA2B63D28}"/>
    <cellStyle name="20% - Accent2 2 4" xfId="521" xr:uid="{9F908AC4-0617-4857-91B3-C74CA27D8595}"/>
    <cellStyle name="20% - Accent2 2 4 10" xfId="13751" xr:uid="{0F7E571A-0778-4EE1-BB8A-FD8F67858496}"/>
    <cellStyle name="20% - Accent2 2 4 11" xfId="15641" xr:uid="{D8F5A380-E345-47FD-B2C4-2F1B4C1B470B}"/>
    <cellStyle name="20% - Accent2 2 4 12" xfId="17531" xr:uid="{014722F0-733F-4FD0-B4EC-65F30CF606B9}"/>
    <cellStyle name="20% - Accent2 2 4 13" xfId="19421" xr:uid="{A9579531-BFA5-4FD8-9705-9E1300739E1E}"/>
    <cellStyle name="20% - Accent2 2 4 14" xfId="21311" xr:uid="{28144A45-3456-48EC-9ECD-944AC44968A3}"/>
    <cellStyle name="20% - Accent2 2 4 15" xfId="23201" xr:uid="{A714023A-BFD0-4A85-8E48-F8C8BB77A819}"/>
    <cellStyle name="20% - Accent2 2 4 16" xfId="25091" xr:uid="{6078B613-72D6-45EB-8F46-BCD5BF46BBE7}"/>
    <cellStyle name="20% - Accent2 2 4 17" xfId="26981" xr:uid="{769BFB3E-B432-449F-826C-A2A6F29E409D}"/>
    <cellStyle name="20% - Accent2 2 4 18" xfId="28871" xr:uid="{2E3BD24A-A75A-49C5-B7FC-4C34EBC35570}"/>
    <cellStyle name="20% - Accent2 2 4 19" xfId="30761" xr:uid="{333EBC2F-843F-4B96-93F7-3D597CDAA701}"/>
    <cellStyle name="20% - Accent2 2 4 2" xfId="1151" xr:uid="{8275AA46-C92B-4CB5-8E46-9E15BC73F9C9}"/>
    <cellStyle name="20% - Accent2 2 4 2 10" xfId="18161" xr:uid="{D88EBB4F-1854-473A-A382-1CAA295222A2}"/>
    <cellStyle name="20% - Accent2 2 4 2 11" xfId="20051" xr:uid="{10EE23D8-82EB-4DE8-BAB5-B4CC651A2092}"/>
    <cellStyle name="20% - Accent2 2 4 2 12" xfId="21941" xr:uid="{D2CE7A13-2F03-4F8D-AE2F-B8B41C68BB44}"/>
    <cellStyle name="20% - Accent2 2 4 2 13" xfId="23831" xr:uid="{6E90C4EB-5E66-41D8-849B-61890BE510D9}"/>
    <cellStyle name="20% - Accent2 2 4 2 14" xfId="25721" xr:uid="{20BB2C72-8FAF-4BAF-B495-0E4F9D5A6381}"/>
    <cellStyle name="20% - Accent2 2 4 2 15" xfId="27611" xr:uid="{0C69EB20-3B4B-4C78-9ACC-4DCC0D14EE08}"/>
    <cellStyle name="20% - Accent2 2 4 2 16" xfId="29501" xr:uid="{C57D6947-6FFB-4F5F-B7DD-0E3CE5D1F036}"/>
    <cellStyle name="20% - Accent2 2 4 2 17" xfId="31391" xr:uid="{4B539C40-A947-4984-8C00-F30684CF64FE}"/>
    <cellStyle name="20% - Accent2 2 4 2 18" xfId="33281" xr:uid="{9983A3E1-2E69-4129-AFDB-F90D7FF991C4}"/>
    <cellStyle name="20% - Accent2 2 4 2 19" xfId="35171" xr:uid="{0D93217F-117B-4074-87CF-03CA2E363D9E}"/>
    <cellStyle name="20% - Accent2 2 4 2 2" xfId="3041" xr:uid="{54AC8D0E-673E-454D-A9A7-13D4A1EBEE98}"/>
    <cellStyle name="20% - Accent2 2 4 2 20" xfId="37061" xr:uid="{66AAF819-1CBA-4B3A-9B32-D22093F6525A}"/>
    <cellStyle name="20% - Accent2 2 4 2 21" xfId="38951" xr:uid="{AF51978B-483D-4EDF-86E7-02C022D629D2}"/>
    <cellStyle name="20% - Accent2 2 4 2 22" xfId="40842" xr:uid="{C258F583-C8F2-4B8A-A688-D7D1CB4C273A}"/>
    <cellStyle name="20% - Accent2 2 4 2 3" xfId="4931" xr:uid="{C2F8C7CF-0244-4A39-AEDA-C67A27625D84}"/>
    <cellStyle name="20% - Accent2 2 4 2 4" xfId="6821" xr:uid="{3F120298-696A-4297-8044-547E375426E5}"/>
    <cellStyle name="20% - Accent2 2 4 2 5" xfId="8711" xr:uid="{BDBEE335-1DA4-40E9-B044-1F90EDEB9207}"/>
    <cellStyle name="20% - Accent2 2 4 2 6" xfId="10601" xr:uid="{FD0A26A9-3B7B-42EC-9D15-667B8B4E9DAD}"/>
    <cellStyle name="20% - Accent2 2 4 2 7" xfId="12491" xr:uid="{772320D1-ED4C-48A3-A9C3-5A1280290440}"/>
    <cellStyle name="20% - Accent2 2 4 2 8" xfId="14381" xr:uid="{8AD383DE-A0F6-4CF7-8F33-02C8F2BCA6D0}"/>
    <cellStyle name="20% - Accent2 2 4 2 9" xfId="16271" xr:uid="{A36FCD2C-9F74-427B-9D5A-56BF05B1E7E2}"/>
    <cellStyle name="20% - Accent2 2 4 20" xfId="32651" xr:uid="{263EF22D-C740-4BA5-A683-2A6089F3AA05}"/>
    <cellStyle name="20% - Accent2 2 4 21" xfId="34541" xr:uid="{B8C9D403-8F1F-4795-963C-36D1D033D827}"/>
    <cellStyle name="20% - Accent2 2 4 22" xfId="36431" xr:uid="{D7C84942-3192-4DCF-BC12-1E1121080589}"/>
    <cellStyle name="20% - Accent2 2 4 23" xfId="38321" xr:uid="{6E69964D-0F8B-47C6-9862-C3CBDAE23CE2}"/>
    <cellStyle name="20% - Accent2 2 4 24" xfId="40212" xr:uid="{AB96F6DD-73F4-49B9-978F-E72F23E58B6D}"/>
    <cellStyle name="20% - Accent2 2 4 3" xfId="1781" xr:uid="{4C8C027B-3A38-4DFC-A960-4898E87F47AF}"/>
    <cellStyle name="20% - Accent2 2 4 3 10" xfId="18791" xr:uid="{A35188D8-1182-47F5-835C-C5057E3358A9}"/>
    <cellStyle name="20% - Accent2 2 4 3 11" xfId="20681" xr:uid="{FBBE41D3-360F-426F-A9C7-74C5544FA285}"/>
    <cellStyle name="20% - Accent2 2 4 3 12" xfId="22571" xr:uid="{F2C12D25-EF4F-4C24-A42D-9FD974D8A69F}"/>
    <cellStyle name="20% - Accent2 2 4 3 13" xfId="24461" xr:uid="{4779E21A-1E98-4786-AE9A-D54B7ACF49B3}"/>
    <cellStyle name="20% - Accent2 2 4 3 14" xfId="26351" xr:uid="{2E4830D9-BACC-4475-9B6E-D2FF7288978D}"/>
    <cellStyle name="20% - Accent2 2 4 3 15" xfId="28241" xr:uid="{C8E9B4A0-2D75-42D1-9BD3-70754910DD28}"/>
    <cellStyle name="20% - Accent2 2 4 3 16" xfId="30131" xr:uid="{61EECD67-658F-4BE8-AB5D-D5A005C76E32}"/>
    <cellStyle name="20% - Accent2 2 4 3 17" xfId="32021" xr:uid="{07A51E28-3AEB-4148-A48B-AD22B0D29EB4}"/>
    <cellStyle name="20% - Accent2 2 4 3 18" xfId="33911" xr:uid="{8C93C0B7-6F69-467A-8513-24FDD7418ED5}"/>
    <cellStyle name="20% - Accent2 2 4 3 19" xfId="35801" xr:uid="{15E9866C-7583-451A-891A-18C50FC5D62E}"/>
    <cellStyle name="20% - Accent2 2 4 3 2" xfId="3671" xr:uid="{2C36CD96-DF0E-41D6-A45A-E48A96972FEC}"/>
    <cellStyle name="20% - Accent2 2 4 3 20" xfId="37691" xr:uid="{7A3D22F7-3BC4-409D-8CBB-404957132953}"/>
    <cellStyle name="20% - Accent2 2 4 3 21" xfId="39581" xr:uid="{AB7B1419-8B08-4150-B281-963E27936B09}"/>
    <cellStyle name="20% - Accent2 2 4 3 22" xfId="41472" xr:uid="{58E5519A-29CC-4540-A5FA-417A9734EC50}"/>
    <cellStyle name="20% - Accent2 2 4 3 3" xfId="5561" xr:uid="{B219F5E0-8032-4407-B3D6-A4C46915C776}"/>
    <cellStyle name="20% - Accent2 2 4 3 4" xfId="7451" xr:uid="{ECD45BE9-8653-439F-AE19-AF1401D2CCAA}"/>
    <cellStyle name="20% - Accent2 2 4 3 5" xfId="9341" xr:uid="{7A7CAF98-EB62-48E7-9138-D3C3FEBEA2BD}"/>
    <cellStyle name="20% - Accent2 2 4 3 6" xfId="11231" xr:uid="{8E4BBF17-8656-4A4E-A74C-3693DF4EBC8C}"/>
    <cellStyle name="20% - Accent2 2 4 3 7" xfId="13121" xr:uid="{3F46AA71-EA68-44F9-83E2-CAB5E153416B}"/>
    <cellStyle name="20% - Accent2 2 4 3 8" xfId="15011" xr:uid="{54C3BD1E-B2D4-44EA-8150-41499B4F3E75}"/>
    <cellStyle name="20% - Accent2 2 4 3 9" xfId="16901" xr:uid="{C593E140-BE9E-439E-A725-A2DE7CC324FA}"/>
    <cellStyle name="20% - Accent2 2 4 4" xfId="2411" xr:uid="{0B929EB0-9EDC-4F47-BB4C-C5D1FFB5EBC0}"/>
    <cellStyle name="20% - Accent2 2 4 5" xfId="4301" xr:uid="{A8007639-43D4-466F-8220-52D2F261ACF2}"/>
    <cellStyle name="20% - Accent2 2 4 6" xfId="6191" xr:uid="{B47F4E55-ECDD-4275-9CF9-A491AC38C394}"/>
    <cellStyle name="20% - Accent2 2 4 7" xfId="8081" xr:uid="{EBE7E5AB-E709-4785-8AB3-7665A56FE65D}"/>
    <cellStyle name="20% - Accent2 2 4 8" xfId="9971" xr:uid="{CA6B0468-EC72-4B46-ADB6-3C399216A2F0}"/>
    <cellStyle name="20% - Accent2 2 4 9" xfId="11861" xr:uid="{D9D8D4BA-45F6-4B3C-AB60-06C632903B31}"/>
    <cellStyle name="20% - Accent2 2 5" xfId="731" xr:uid="{174E9794-4734-481B-A919-6D935C2654F0}"/>
    <cellStyle name="20% - Accent2 2 5 10" xfId="17741" xr:uid="{75CBC3D0-D829-4172-A8AF-A7C9C653A63A}"/>
    <cellStyle name="20% - Accent2 2 5 11" xfId="19631" xr:uid="{9D3C2B91-E6E4-4E6A-8C24-BB90FE1593F8}"/>
    <cellStyle name="20% - Accent2 2 5 12" xfId="21521" xr:uid="{4D9E8C0A-DD7F-465F-86C4-9B08ADF7C0D3}"/>
    <cellStyle name="20% - Accent2 2 5 13" xfId="23411" xr:uid="{CA3B0AAE-5896-4DA6-AB0E-C45FB9B24FEF}"/>
    <cellStyle name="20% - Accent2 2 5 14" xfId="25301" xr:uid="{B366FBD8-4162-4D2C-8B80-884E95298FFF}"/>
    <cellStyle name="20% - Accent2 2 5 15" xfId="27191" xr:uid="{489C82F0-68FD-45D7-9611-7A32DC30FF60}"/>
    <cellStyle name="20% - Accent2 2 5 16" xfId="29081" xr:uid="{075E37B7-478B-4941-971E-9C06809415DC}"/>
    <cellStyle name="20% - Accent2 2 5 17" xfId="30971" xr:uid="{2DC764F3-E2E3-4CC1-8C59-70576C945206}"/>
    <cellStyle name="20% - Accent2 2 5 18" xfId="32861" xr:uid="{7494115C-E4D3-446C-9898-4DA776D0066B}"/>
    <cellStyle name="20% - Accent2 2 5 19" xfId="34751" xr:uid="{8138B931-B6B4-47CF-97A2-4C49FA74EF35}"/>
    <cellStyle name="20% - Accent2 2 5 2" xfId="2621" xr:uid="{5225FA39-6E64-47C0-A2FA-2DE7713C8679}"/>
    <cellStyle name="20% - Accent2 2 5 20" xfId="36641" xr:uid="{A1C0149E-6B85-4692-9EF0-848BEA84E0A0}"/>
    <cellStyle name="20% - Accent2 2 5 21" xfId="38531" xr:uid="{79301509-08F5-46A9-B6D7-81D5A90D7195}"/>
    <cellStyle name="20% - Accent2 2 5 22" xfId="40422" xr:uid="{703C87E3-FB2A-4E0C-97B8-1B450EF057B1}"/>
    <cellStyle name="20% - Accent2 2 5 3" xfId="4511" xr:uid="{CFE57F46-8B2F-410E-BC21-2915D239D612}"/>
    <cellStyle name="20% - Accent2 2 5 4" xfId="6401" xr:uid="{86B84718-E483-4488-B13D-A90EC6C81B04}"/>
    <cellStyle name="20% - Accent2 2 5 5" xfId="8291" xr:uid="{85AE6C4D-5CE1-45DE-8F2A-A0881BA97CB2}"/>
    <cellStyle name="20% - Accent2 2 5 6" xfId="10181" xr:uid="{85F87DFB-F5BC-427B-A53B-8C2EB0FBD8EB}"/>
    <cellStyle name="20% - Accent2 2 5 7" xfId="12071" xr:uid="{EC648AB8-ED8A-43C3-96B8-BE8EC7C365C0}"/>
    <cellStyle name="20% - Accent2 2 5 8" xfId="13961" xr:uid="{5A569C27-5115-4E71-87EF-64E29A57707D}"/>
    <cellStyle name="20% - Accent2 2 5 9" xfId="15851" xr:uid="{E851DFBF-3C0E-417C-9BA6-A2C553288FCF}"/>
    <cellStyle name="20% - Accent2 2 6" xfId="1361" xr:uid="{2E6C9CC1-328B-465F-959C-865BB3EC42D0}"/>
    <cellStyle name="20% - Accent2 2 6 10" xfId="18371" xr:uid="{865B914E-4FC0-43DC-80F3-111EEC35E7A3}"/>
    <cellStyle name="20% - Accent2 2 6 11" xfId="20261" xr:uid="{1F7FA733-340A-404B-B151-555EB3C08650}"/>
    <cellStyle name="20% - Accent2 2 6 12" xfId="22151" xr:uid="{E0A7817E-D3DF-480B-8329-D33C759DBAD5}"/>
    <cellStyle name="20% - Accent2 2 6 13" xfId="24041" xr:uid="{82789B30-2127-416C-B478-86BB02789D66}"/>
    <cellStyle name="20% - Accent2 2 6 14" xfId="25931" xr:uid="{C54853EB-C0C4-4707-A9EB-C46BB34A6B8C}"/>
    <cellStyle name="20% - Accent2 2 6 15" xfId="27821" xr:uid="{A869AC1E-8E98-4634-9CD4-DFDCA0BAD3DE}"/>
    <cellStyle name="20% - Accent2 2 6 16" xfId="29711" xr:uid="{17F5FCF6-767A-4676-8AFF-B81263E6F523}"/>
    <cellStyle name="20% - Accent2 2 6 17" xfId="31601" xr:uid="{314CE4B0-C5A8-4331-8D4C-D158851ADA42}"/>
    <cellStyle name="20% - Accent2 2 6 18" xfId="33491" xr:uid="{197E8372-C8FF-47DD-ADE4-7E94BEE5ABDA}"/>
    <cellStyle name="20% - Accent2 2 6 19" xfId="35381" xr:uid="{F331DDBD-7E5F-441D-8C0E-050E268124E2}"/>
    <cellStyle name="20% - Accent2 2 6 2" xfId="3251" xr:uid="{051FF096-8069-4615-99D7-325092B658A7}"/>
    <cellStyle name="20% - Accent2 2 6 20" xfId="37271" xr:uid="{8ECA9236-E2D0-4648-9298-9A2F53FAF193}"/>
    <cellStyle name="20% - Accent2 2 6 21" xfId="39161" xr:uid="{5CF9152A-4243-42D2-A9FA-F6296179B22D}"/>
    <cellStyle name="20% - Accent2 2 6 22" xfId="41052" xr:uid="{01EF7522-EE93-405B-BDEC-28EA96FF501F}"/>
    <cellStyle name="20% - Accent2 2 6 3" xfId="5141" xr:uid="{ED63CD47-E296-4103-A089-FA1483CA79C9}"/>
    <cellStyle name="20% - Accent2 2 6 4" xfId="7031" xr:uid="{2B6C1553-6803-4712-A408-3E694C3736A1}"/>
    <cellStyle name="20% - Accent2 2 6 5" xfId="8921" xr:uid="{20269601-A5AA-4902-88B4-4FCF39145F24}"/>
    <cellStyle name="20% - Accent2 2 6 6" xfId="10811" xr:uid="{7220D598-4090-40C2-866F-7381E42EAB0A}"/>
    <cellStyle name="20% - Accent2 2 6 7" xfId="12701" xr:uid="{99282B71-766E-4EE6-A9C1-DEE9AD1CB572}"/>
    <cellStyle name="20% - Accent2 2 6 8" xfId="14591" xr:uid="{88BB29DB-AE07-4050-82F0-A4FCF5F2FAE7}"/>
    <cellStyle name="20% - Accent2 2 6 9" xfId="16481" xr:uid="{B05C1947-65DC-4A50-A08B-85D3D4088B44}"/>
    <cellStyle name="20% - Accent2 2 7" xfId="1991" xr:uid="{1E1C9DFD-81DA-407E-BE2F-90954877EB35}"/>
    <cellStyle name="20% - Accent2 2 8" xfId="3881" xr:uid="{C95A6C51-C0BE-43D0-86F2-9E3C2B885ACA}"/>
    <cellStyle name="20% - Accent2 2 9" xfId="5771" xr:uid="{CB9D39BE-45C0-41A3-B01B-D8131D4D8F79}"/>
    <cellStyle name="20% - Accent2 20" xfId="22759" xr:uid="{030BEA1B-FA78-4D64-ADBB-5E5D5184E9C1}"/>
    <cellStyle name="20% - Accent2 21" xfId="24649" xr:uid="{50C156B5-01C9-4E07-B1C9-684F70E9D783}"/>
    <cellStyle name="20% - Accent2 22" xfId="26539" xr:uid="{754E9E7D-C2A8-44CD-9587-0DBA4173E94F}"/>
    <cellStyle name="20% - Accent2 23" xfId="28429" xr:uid="{0A7F04E8-38E3-428D-AD8A-03DCB58A46E1}"/>
    <cellStyle name="20% - Accent2 24" xfId="30319" xr:uid="{7D04BF47-8AA3-4D5C-B26C-AC6ECD8E6A3A}"/>
    <cellStyle name="20% - Accent2 25" xfId="32209" xr:uid="{CD1D56BE-B20B-4FFF-919B-833C510B685C}"/>
    <cellStyle name="20% - Accent2 26" xfId="34099" xr:uid="{4F4220AB-3511-437B-B96B-3E711248EBAF}"/>
    <cellStyle name="20% - Accent2 27" xfId="35989" xr:uid="{075D3846-27CB-4A72-8D77-EB836FF15ED2}"/>
    <cellStyle name="20% - Accent2 28" xfId="37879" xr:uid="{781BA908-9ECB-4D7D-9419-0C208267B687}"/>
    <cellStyle name="20% - Accent2 29" xfId="39770" xr:uid="{C1FDB901-5446-4849-98D5-367475FFE361}"/>
    <cellStyle name="20% - Accent2 3" xfId="121" xr:uid="{9729E7E2-873A-459C-B150-3B91EB00241D}"/>
    <cellStyle name="20% - Accent2 3 10" xfId="7681" xr:uid="{1E04A37B-885B-4CD7-9886-B3F520D282DA}"/>
    <cellStyle name="20% - Accent2 3 11" xfId="9571" xr:uid="{D3A13ABF-BB76-4FAA-871B-21F8341B25B3}"/>
    <cellStyle name="20% - Accent2 3 12" xfId="11461" xr:uid="{E88ABA9E-F7F4-4018-BC62-90927327AA38}"/>
    <cellStyle name="20% - Accent2 3 13" xfId="13351" xr:uid="{1E712FAB-6F10-4D86-8D59-C8C554589632}"/>
    <cellStyle name="20% - Accent2 3 14" xfId="15241" xr:uid="{8A098161-3B31-4D7A-A119-DA424E5A7528}"/>
    <cellStyle name="20% - Accent2 3 15" xfId="17131" xr:uid="{F6EDB957-9226-40B3-A340-2A1596D538FD}"/>
    <cellStyle name="20% - Accent2 3 16" xfId="19021" xr:uid="{C9D934AE-7F4A-479F-867F-BE7B4E201C5C}"/>
    <cellStyle name="20% - Accent2 3 17" xfId="20911" xr:uid="{08D503A3-A734-4300-A267-8653E547929B}"/>
    <cellStyle name="20% - Accent2 3 18" xfId="22801" xr:uid="{C1EA3FEC-E342-4315-8D8A-835F03ABDCAA}"/>
    <cellStyle name="20% - Accent2 3 19" xfId="24691" xr:uid="{E5D0E2E7-ED81-414A-A3EE-F9F0094D83C8}"/>
    <cellStyle name="20% - Accent2 3 2" xfId="226" xr:uid="{85BD1A43-7E55-4BA6-9BE8-9681023E9AD9}"/>
    <cellStyle name="20% - Accent2 3 2 10" xfId="9676" xr:uid="{894D8D64-7A8A-4D05-86B0-228C0BFB904E}"/>
    <cellStyle name="20% - Accent2 3 2 11" xfId="11566" xr:uid="{F631FEC3-7AF4-4557-B385-6005BE449DC8}"/>
    <cellStyle name="20% - Accent2 3 2 12" xfId="13456" xr:uid="{EA09342E-CD7B-453C-899B-E6D5B8885EE9}"/>
    <cellStyle name="20% - Accent2 3 2 13" xfId="15346" xr:uid="{EC964C7A-F65D-4129-9FF2-BD6E9D4BD84D}"/>
    <cellStyle name="20% - Accent2 3 2 14" xfId="17236" xr:uid="{3EBB033F-B279-447C-9DA4-A352E417B9A8}"/>
    <cellStyle name="20% - Accent2 3 2 15" xfId="19126" xr:uid="{8910587C-F9FD-44A3-AF66-54D1EFB5986C}"/>
    <cellStyle name="20% - Accent2 3 2 16" xfId="21016" xr:uid="{CE8FE20D-FB20-45B0-AF22-E6EECF3742DD}"/>
    <cellStyle name="20% - Accent2 3 2 17" xfId="22906" xr:uid="{571F2A33-D1E6-4D49-B533-37454E91FD14}"/>
    <cellStyle name="20% - Accent2 3 2 18" xfId="24796" xr:uid="{3F9CC176-2299-4BA8-9868-7070AA78879A}"/>
    <cellStyle name="20% - Accent2 3 2 19" xfId="26686" xr:uid="{65B482F6-5B56-4AC2-8A88-79E7D2B09215}"/>
    <cellStyle name="20% - Accent2 3 2 2" xfId="436" xr:uid="{F3D0A9BB-8DA1-4D31-A88F-42B01D418278}"/>
    <cellStyle name="20% - Accent2 3 2 2 10" xfId="13666" xr:uid="{59AEE2C3-01C8-465C-8159-8AA9D1633204}"/>
    <cellStyle name="20% - Accent2 3 2 2 11" xfId="15556" xr:uid="{B993E47B-AD24-41F4-8E13-FABDCA4534D8}"/>
    <cellStyle name="20% - Accent2 3 2 2 12" xfId="17446" xr:uid="{42C5EAA3-997B-4205-99B7-1B76546D97B7}"/>
    <cellStyle name="20% - Accent2 3 2 2 13" xfId="19336" xr:uid="{02C422B0-A57B-4A18-A7BE-B25B9DBC7756}"/>
    <cellStyle name="20% - Accent2 3 2 2 14" xfId="21226" xr:uid="{2B820635-EC29-4F2D-86A6-389E11AFF922}"/>
    <cellStyle name="20% - Accent2 3 2 2 15" xfId="23116" xr:uid="{F932A718-D4C0-4643-8CFA-6148DFC186A2}"/>
    <cellStyle name="20% - Accent2 3 2 2 16" xfId="25006" xr:uid="{F8ACFFCE-C88C-4F5D-8E77-1674554825C7}"/>
    <cellStyle name="20% - Accent2 3 2 2 17" xfId="26896" xr:uid="{A5482DB6-3FA6-431F-BAEB-FD805D05A3FB}"/>
    <cellStyle name="20% - Accent2 3 2 2 18" xfId="28786" xr:uid="{907C68A5-323D-425F-8207-619985A6DE68}"/>
    <cellStyle name="20% - Accent2 3 2 2 19" xfId="30676" xr:uid="{3FE764D7-AAB4-4486-8F27-3B938CACC44F}"/>
    <cellStyle name="20% - Accent2 3 2 2 2" xfId="1066" xr:uid="{B232EBAD-5E62-40D2-966E-6E3BE4891C55}"/>
    <cellStyle name="20% - Accent2 3 2 2 2 10" xfId="18076" xr:uid="{65A3B63A-FB53-4AA5-8B4C-9E9D918C8FC7}"/>
    <cellStyle name="20% - Accent2 3 2 2 2 11" xfId="19966" xr:uid="{490AE177-BD15-4EDE-A5CC-EA7FD0696866}"/>
    <cellStyle name="20% - Accent2 3 2 2 2 12" xfId="21856" xr:uid="{2C2EF295-AD25-4079-B0FC-26C05FCB9479}"/>
    <cellStyle name="20% - Accent2 3 2 2 2 13" xfId="23746" xr:uid="{BEB4A0F3-FBB1-4DEF-B7EC-74AA90304710}"/>
    <cellStyle name="20% - Accent2 3 2 2 2 14" xfId="25636" xr:uid="{24DC20B8-B1EC-43C1-98EB-B53E5FD36696}"/>
    <cellStyle name="20% - Accent2 3 2 2 2 15" xfId="27526" xr:uid="{42CCB41B-3DCA-44D3-A55E-0A45A27839BE}"/>
    <cellStyle name="20% - Accent2 3 2 2 2 16" xfId="29416" xr:uid="{25EBE70C-9621-417B-942B-5FBB97D43B02}"/>
    <cellStyle name="20% - Accent2 3 2 2 2 17" xfId="31306" xr:uid="{64FC8303-A109-445D-832C-E43A9F640418}"/>
    <cellStyle name="20% - Accent2 3 2 2 2 18" xfId="33196" xr:uid="{251C2898-025C-48D6-8F36-2F5B2D7404EB}"/>
    <cellStyle name="20% - Accent2 3 2 2 2 19" xfId="35086" xr:uid="{07972D2D-66E4-4B69-9E99-FA7CDD8D5D7F}"/>
    <cellStyle name="20% - Accent2 3 2 2 2 2" xfId="2956" xr:uid="{6C95168C-26D2-47B5-89ED-99AA6504B77B}"/>
    <cellStyle name="20% - Accent2 3 2 2 2 20" xfId="36976" xr:uid="{618C3AED-5CE8-4BCB-A444-AC6F96676720}"/>
    <cellStyle name="20% - Accent2 3 2 2 2 21" xfId="38866" xr:uid="{96C849D6-95DA-47BC-98FD-A8451F392EC2}"/>
    <cellStyle name="20% - Accent2 3 2 2 2 22" xfId="40757" xr:uid="{5A9276CE-629B-466D-A04D-B1435D4D11E8}"/>
    <cellStyle name="20% - Accent2 3 2 2 2 3" xfId="4846" xr:uid="{B006900F-C1A6-434D-AE1A-4C197D7F5EFE}"/>
    <cellStyle name="20% - Accent2 3 2 2 2 4" xfId="6736" xr:uid="{2ED3989F-81D2-4CC5-B2D1-94FFDDEBDC1B}"/>
    <cellStyle name="20% - Accent2 3 2 2 2 5" xfId="8626" xr:uid="{130DA64C-92C2-4D3C-802B-3094C17F2184}"/>
    <cellStyle name="20% - Accent2 3 2 2 2 6" xfId="10516" xr:uid="{F0C270CF-5BEF-4CD5-88D4-5B4E85F3F878}"/>
    <cellStyle name="20% - Accent2 3 2 2 2 7" xfId="12406" xr:uid="{A26C8CBE-3E3B-40D3-AA43-BD9FE06BC8BD}"/>
    <cellStyle name="20% - Accent2 3 2 2 2 8" xfId="14296" xr:uid="{64699774-1530-4431-9E31-F9F849038933}"/>
    <cellStyle name="20% - Accent2 3 2 2 2 9" xfId="16186" xr:uid="{72EE18EB-943F-4958-B69E-F553E72835EB}"/>
    <cellStyle name="20% - Accent2 3 2 2 20" xfId="32566" xr:uid="{AD9C1CC1-87FB-4752-A316-D5A494236A9E}"/>
    <cellStyle name="20% - Accent2 3 2 2 21" xfId="34456" xr:uid="{DADA05F0-79AD-477F-931B-6EDD0E9318AA}"/>
    <cellStyle name="20% - Accent2 3 2 2 22" xfId="36346" xr:uid="{247CF3C9-28A3-4EB8-950C-75E85BA490FB}"/>
    <cellStyle name="20% - Accent2 3 2 2 23" xfId="38236" xr:uid="{3C6326CA-667B-41FA-B512-01A767880562}"/>
    <cellStyle name="20% - Accent2 3 2 2 24" xfId="40127" xr:uid="{3C257FE6-1F5F-4316-BFF0-60F1340652B6}"/>
    <cellStyle name="20% - Accent2 3 2 2 3" xfId="1696" xr:uid="{EF616EE1-268A-47A2-8B82-CBD93B441083}"/>
    <cellStyle name="20% - Accent2 3 2 2 3 10" xfId="18706" xr:uid="{2F87784D-D6B4-4573-8C0E-CB5B4033F16F}"/>
    <cellStyle name="20% - Accent2 3 2 2 3 11" xfId="20596" xr:uid="{5A4E1B72-7814-4F60-9DE7-5DA9677949F6}"/>
    <cellStyle name="20% - Accent2 3 2 2 3 12" xfId="22486" xr:uid="{E20734BA-0A90-4157-B8DD-4C353CF4714C}"/>
    <cellStyle name="20% - Accent2 3 2 2 3 13" xfId="24376" xr:uid="{388E6015-3F86-4BD7-8EC7-7EA7AC341D81}"/>
    <cellStyle name="20% - Accent2 3 2 2 3 14" xfId="26266" xr:uid="{4381E84B-3A2A-4108-96D5-60A541D6604E}"/>
    <cellStyle name="20% - Accent2 3 2 2 3 15" xfId="28156" xr:uid="{71AA7C42-338C-44C5-AEEB-B3CA766AD1E8}"/>
    <cellStyle name="20% - Accent2 3 2 2 3 16" xfId="30046" xr:uid="{846B0E3E-DD74-4CB8-97F9-3C8699C8A792}"/>
    <cellStyle name="20% - Accent2 3 2 2 3 17" xfId="31936" xr:uid="{9299D55F-1B56-405B-97D4-D974EFECF098}"/>
    <cellStyle name="20% - Accent2 3 2 2 3 18" xfId="33826" xr:uid="{36EFC966-0E0C-4495-B4A5-C9DE85959EB8}"/>
    <cellStyle name="20% - Accent2 3 2 2 3 19" xfId="35716" xr:uid="{95C1D58C-714D-4BBC-9A96-7CF0A24E0839}"/>
    <cellStyle name="20% - Accent2 3 2 2 3 2" xfId="3586" xr:uid="{C9527BE9-57EC-48D3-B8AB-0402652B6557}"/>
    <cellStyle name="20% - Accent2 3 2 2 3 20" xfId="37606" xr:uid="{EC74581A-D55E-4B62-B611-25CFD9648DA3}"/>
    <cellStyle name="20% - Accent2 3 2 2 3 21" xfId="39496" xr:uid="{27F28A6F-A0E7-41B6-8CF8-A81ED8D28D30}"/>
    <cellStyle name="20% - Accent2 3 2 2 3 22" xfId="41387" xr:uid="{418B0426-B9EC-4B1A-929A-06FFEC95BF1F}"/>
    <cellStyle name="20% - Accent2 3 2 2 3 3" xfId="5476" xr:uid="{5768600E-493C-4A90-93B1-44E196ED99FF}"/>
    <cellStyle name="20% - Accent2 3 2 2 3 4" xfId="7366" xr:uid="{001145DF-A64D-4E00-9B8B-5820C2DA8598}"/>
    <cellStyle name="20% - Accent2 3 2 2 3 5" xfId="9256" xr:uid="{A37FAD70-0C9D-4AD8-BFC0-66187245173C}"/>
    <cellStyle name="20% - Accent2 3 2 2 3 6" xfId="11146" xr:uid="{368639F4-D3F4-4DD7-AD68-FCD78264CD7A}"/>
    <cellStyle name="20% - Accent2 3 2 2 3 7" xfId="13036" xr:uid="{91984754-6B57-436B-95EB-526BA83ED353}"/>
    <cellStyle name="20% - Accent2 3 2 2 3 8" xfId="14926" xr:uid="{01CC5602-8DD8-45CD-A9D6-2FDDAC7DA9B9}"/>
    <cellStyle name="20% - Accent2 3 2 2 3 9" xfId="16816" xr:uid="{6AD8D41F-C3BD-4898-8F3D-235A8204AEE1}"/>
    <cellStyle name="20% - Accent2 3 2 2 4" xfId="2326" xr:uid="{629B91E6-75C3-4739-A713-CDE0A96AA7D8}"/>
    <cellStyle name="20% - Accent2 3 2 2 5" xfId="4216" xr:uid="{0D70FCA3-EA20-40FE-A085-F1300773648F}"/>
    <cellStyle name="20% - Accent2 3 2 2 6" xfId="6106" xr:uid="{155BCF3A-4144-4FB8-A21F-71287F123BC9}"/>
    <cellStyle name="20% - Accent2 3 2 2 7" xfId="7996" xr:uid="{8E8A189C-077E-4D00-975E-4115F67F6F7C}"/>
    <cellStyle name="20% - Accent2 3 2 2 8" xfId="9886" xr:uid="{4BF0CC95-4853-4BA2-A306-ECE1F36F3931}"/>
    <cellStyle name="20% - Accent2 3 2 2 9" xfId="11776" xr:uid="{BE63769E-45C9-402A-BB04-0FC9C034685E}"/>
    <cellStyle name="20% - Accent2 3 2 20" xfId="28576" xr:uid="{0A2A3120-F551-4CF9-B9F3-CAB189ECF9DA}"/>
    <cellStyle name="20% - Accent2 3 2 21" xfId="30466" xr:uid="{8DBC0C4E-3FF5-4473-9E20-B13EFAE6D6AF}"/>
    <cellStyle name="20% - Accent2 3 2 22" xfId="32356" xr:uid="{03B33AEA-4BBE-44F9-944A-0D9753694C4B}"/>
    <cellStyle name="20% - Accent2 3 2 23" xfId="34246" xr:uid="{DF17145B-15EC-4C10-8B04-3BD365F40D8C}"/>
    <cellStyle name="20% - Accent2 3 2 24" xfId="36136" xr:uid="{BE0224E3-FF08-405E-BDA9-13D3B4B86AD0}"/>
    <cellStyle name="20% - Accent2 3 2 25" xfId="38026" xr:uid="{FD9CF247-D05A-4C0B-8CBD-D5AB9CCC58F0}"/>
    <cellStyle name="20% - Accent2 3 2 26" xfId="39917" xr:uid="{8DDA8BCB-B58D-4679-B7A5-96D2C4FF8CB2}"/>
    <cellStyle name="20% - Accent2 3 2 3" xfId="646" xr:uid="{925877EB-9614-42C6-9ACC-E8CD603E7D98}"/>
    <cellStyle name="20% - Accent2 3 2 3 10" xfId="13876" xr:uid="{E2B92AE6-8790-4C78-88DB-EFE9A5A8D5E0}"/>
    <cellStyle name="20% - Accent2 3 2 3 11" xfId="15766" xr:uid="{992735E7-EF0B-4CA5-B69F-8417FA900A5A}"/>
    <cellStyle name="20% - Accent2 3 2 3 12" xfId="17656" xr:uid="{3B38ED73-A58E-4BB6-B198-A3D800715D34}"/>
    <cellStyle name="20% - Accent2 3 2 3 13" xfId="19546" xr:uid="{B728E600-7277-48B2-9375-2D41EC9CCFE6}"/>
    <cellStyle name="20% - Accent2 3 2 3 14" xfId="21436" xr:uid="{5A29F4D6-4F8A-4887-9DA2-41706D2F944A}"/>
    <cellStyle name="20% - Accent2 3 2 3 15" xfId="23326" xr:uid="{D4EAF9D1-9F07-46FE-89A7-2683C9ED6A56}"/>
    <cellStyle name="20% - Accent2 3 2 3 16" xfId="25216" xr:uid="{7824FF8E-79CE-472A-BB17-B5C06E9C8872}"/>
    <cellStyle name="20% - Accent2 3 2 3 17" xfId="27106" xr:uid="{6CF32E69-859E-4CD5-8969-66463DA069DA}"/>
    <cellStyle name="20% - Accent2 3 2 3 18" xfId="28996" xr:uid="{55788200-346C-43F2-BD6F-1AF0D3EA5843}"/>
    <cellStyle name="20% - Accent2 3 2 3 19" xfId="30886" xr:uid="{5FCFAC6D-CAE7-4D70-918D-F9120139BD12}"/>
    <cellStyle name="20% - Accent2 3 2 3 2" xfId="1276" xr:uid="{5EBB5349-10F1-4AEE-91C7-AD4EE7FB6BB5}"/>
    <cellStyle name="20% - Accent2 3 2 3 2 10" xfId="18286" xr:uid="{71C2EA7E-1A4F-4549-B45D-77812B161B52}"/>
    <cellStyle name="20% - Accent2 3 2 3 2 11" xfId="20176" xr:uid="{BBF01DAD-B19A-4222-9441-6EE406E1BB6A}"/>
    <cellStyle name="20% - Accent2 3 2 3 2 12" xfId="22066" xr:uid="{47D3046F-62E7-492B-9356-646781B4D828}"/>
    <cellStyle name="20% - Accent2 3 2 3 2 13" xfId="23956" xr:uid="{3511F256-46D7-403A-BF46-7913482D43DF}"/>
    <cellStyle name="20% - Accent2 3 2 3 2 14" xfId="25846" xr:uid="{E40E89B9-E4B2-4D35-A325-ABC7918EB0FF}"/>
    <cellStyle name="20% - Accent2 3 2 3 2 15" xfId="27736" xr:uid="{748F2436-73E8-4519-B1B5-4DCAA89D7DC1}"/>
    <cellStyle name="20% - Accent2 3 2 3 2 16" xfId="29626" xr:uid="{56A5BABD-4490-442B-AC46-65D354F4AE9B}"/>
    <cellStyle name="20% - Accent2 3 2 3 2 17" xfId="31516" xr:uid="{C0A35685-3568-4A58-8D29-4A6B2DAE3045}"/>
    <cellStyle name="20% - Accent2 3 2 3 2 18" xfId="33406" xr:uid="{9C715AC1-7128-4F40-9073-52000FB3C8C7}"/>
    <cellStyle name="20% - Accent2 3 2 3 2 19" xfId="35296" xr:uid="{4BD9680D-DF96-4792-99AB-EB42CCFB8BAD}"/>
    <cellStyle name="20% - Accent2 3 2 3 2 2" xfId="3166" xr:uid="{549F37BE-3DC1-4190-A95D-01A5A9AA96A6}"/>
    <cellStyle name="20% - Accent2 3 2 3 2 20" xfId="37186" xr:uid="{277476E6-F4BE-4D62-8AB8-C6969CD60402}"/>
    <cellStyle name="20% - Accent2 3 2 3 2 21" xfId="39076" xr:uid="{646490CF-1CD8-4209-B014-1AA6155CB5A4}"/>
    <cellStyle name="20% - Accent2 3 2 3 2 22" xfId="40967" xr:uid="{680EE1B8-26E1-4713-9237-5815D4319CB1}"/>
    <cellStyle name="20% - Accent2 3 2 3 2 3" xfId="5056" xr:uid="{BC1A7DF6-D2B7-40E5-9BA5-CA0790DFD487}"/>
    <cellStyle name="20% - Accent2 3 2 3 2 4" xfId="6946" xr:uid="{46C2E896-1B02-41CC-90B5-975AFB5612A3}"/>
    <cellStyle name="20% - Accent2 3 2 3 2 5" xfId="8836" xr:uid="{306E8F65-C971-4EA3-A7CD-920C75DA3FF0}"/>
    <cellStyle name="20% - Accent2 3 2 3 2 6" xfId="10726" xr:uid="{94DA9BE9-E974-48BC-8C7B-4762316CF364}"/>
    <cellStyle name="20% - Accent2 3 2 3 2 7" xfId="12616" xr:uid="{162FB78E-9F71-4139-94D7-92C45346AAB1}"/>
    <cellStyle name="20% - Accent2 3 2 3 2 8" xfId="14506" xr:uid="{E760158F-841D-43AD-BD21-79B32007BF65}"/>
    <cellStyle name="20% - Accent2 3 2 3 2 9" xfId="16396" xr:uid="{22DDE762-4535-4058-BB36-B1A8A079FF00}"/>
    <cellStyle name="20% - Accent2 3 2 3 20" xfId="32776" xr:uid="{EEB5E830-7BD7-478B-B19C-66FFE4BF519F}"/>
    <cellStyle name="20% - Accent2 3 2 3 21" xfId="34666" xr:uid="{3AE13830-362B-47A2-A545-B6517DCCC5C1}"/>
    <cellStyle name="20% - Accent2 3 2 3 22" xfId="36556" xr:uid="{EF6A0CEB-B528-4EBE-AFD8-A2BE9ACE7D5D}"/>
    <cellStyle name="20% - Accent2 3 2 3 23" xfId="38446" xr:uid="{8A52F962-F128-4115-9784-B369FF71A2FC}"/>
    <cellStyle name="20% - Accent2 3 2 3 24" xfId="40337" xr:uid="{D09389F5-7BC8-4BCB-8FB6-4EAC04A7321D}"/>
    <cellStyle name="20% - Accent2 3 2 3 3" xfId="1906" xr:uid="{46C747D9-CC59-4AD3-835D-88B823F4CB56}"/>
    <cellStyle name="20% - Accent2 3 2 3 3 10" xfId="18916" xr:uid="{936CD8F5-565F-422B-A6D1-B07FD2F919B5}"/>
    <cellStyle name="20% - Accent2 3 2 3 3 11" xfId="20806" xr:uid="{CBCD42DE-F8D9-4034-8C7E-DD33FF7021D7}"/>
    <cellStyle name="20% - Accent2 3 2 3 3 12" xfId="22696" xr:uid="{0B29C42C-BA8A-4C05-A25F-56DD777E2A37}"/>
    <cellStyle name="20% - Accent2 3 2 3 3 13" xfId="24586" xr:uid="{0F62459E-4E3B-46A2-B98C-01864F1AB426}"/>
    <cellStyle name="20% - Accent2 3 2 3 3 14" xfId="26476" xr:uid="{FBD249A8-702E-4038-BDCB-F8A76A1A5E7B}"/>
    <cellStyle name="20% - Accent2 3 2 3 3 15" xfId="28366" xr:uid="{588903FC-CB32-4DE6-BE84-EB70826879D9}"/>
    <cellStyle name="20% - Accent2 3 2 3 3 16" xfId="30256" xr:uid="{6652BDE1-7FC9-49F0-BA87-DD50C50F997D}"/>
    <cellStyle name="20% - Accent2 3 2 3 3 17" xfId="32146" xr:uid="{6D67E695-03D3-44C8-A660-376A3AFA7104}"/>
    <cellStyle name="20% - Accent2 3 2 3 3 18" xfId="34036" xr:uid="{462AF84C-DE87-4329-8905-2D479B3E07A8}"/>
    <cellStyle name="20% - Accent2 3 2 3 3 19" xfId="35926" xr:uid="{842B83B8-5843-4EAA-A87D-2E98832B3C0C}"/>
    <cellStyle name="20% - Accent2 3 2 3 3 2" xfId="3796" xr:uid="{9AFD773A-80CB-40EB-BEB2-1932BF7D2A7D}"/>
    <cellStyle name="20% - Accent2 3 2 3 3 20" xfId="37816" xr:uid="{308E77A7-3E60-4899-802A-CADB60D72814}"/>
    <cellStyle name="20% - Accent2 3 2 3 3 21" xfId="39706" xr:uid="{0B68B9D9-106C-4779-87B7-02B8A58DC402}"/>
    <cellStyle name="20% - Accent2 3 2 3 3 22" xfId="41597" xr:uid="{389F7B44-E836-4160-9D04-A6F8BDD19DE9}"/>
    <cellStyle name="20% - Accent2 3 2 3 3 3" xfId="5686" xr:uid="{B9DF6086-52AC-4878-B6F7-548892C74604}"/>
    <cellStyle name="20% - Accent2 3 2 3 3 4" xfId="7576" xr:uid="{3358E535-CE44-41CD-A6A1-DE651816B005}"/>
    <cellStyle name="20% - Accent2 3 2 3 3 5" xfId="9466" xr:uid="{473139FE-A6F9-4E48-A90D-322D1F7CBCC7}"/>
    <cellStyle name="20% - Accent2 3 2 3 3 6" xfId="11356" xr:uid="{AE25146F-BFC8-4A42-A1A2-CEAA9546FDE3}"/>
    <cellStyle name="20% - Accent2 3 2 3 3 7" xfId="13246" xr:uid="{D4F8D819-EE10-4297-9378-E071C4D1C6D4}"/>
    <cellStyle name="20% - Accent2 3 2 3 3 8" xfId="15136" xr:uid="{1237B6E8-C3B5-48A8-85DA-058470F614FD}"/>
    <cellStyle name="20% - Accent2 3 2 3 3 9" xfId="17026" xr:uid="{4587C4DB-9518-4536-911D-877C567DBD7D}"/>
    <cellStyle name="20% - Accent2 3 2 3 4" xfId="2536" xr:uid="{DB66DD25-8420-4B21-B834-90D974EC901C}"/>
    <cellStyle name="20% - Accent2 3 2 3 5" xfId="4426" xr:uid="{FF122040-9088-4086-890D-D116BA0BC354}"/>
    <cellStyle name="20% - Accent2 3 2 3 6" xfId="6316" xr:uid="{97491881-C7B8-4EFC-8A8B-84A243402FAB}"/>
    <cellStyle name="20% - Accent2 3 2 3 7" xfId="8206" xr:uid="{FF80F243-0E01-4450-85E2-F0469E80B31A}"/>
    <cellStyle name="20% - Accent2 3 2 3 8" xfId="10096" xr:uid="{7A073C6E-ECB2-4199-9091-CD17CF86F62C}"/>
    <cellStyle name="20% - Accent2 3 2 3 9" xfId="11986" xr:uid="{8F32C254-09EE-4C6B-ABAE-F6CB0A6CBEE1}"/>
    <cellStyle name="20% - Accent2 3 2 4" xfId="856" xr:uid="{DA67C953-72C2-40F8-8B04-FC710FDCAE3D}"/>
    <cellStyle name="20% - Accent2 3 2 4 10" xfId="17866" xr:uid="{F57682BF-9571-4BD0-B744-41FDF31A18DB}"/>
    <cellStyle name="20% - Accent2 3 2 4 11" xfId="19756" xr:uid="{4F90AFF3-A2D3-46DE-AFDB-5C07F28CE983}"/>
    <cellStyle name="20% - Accent2 3 2 4 12" xfId="21646" xr:uid="{B58BC67B-E14D-4A24-9458-FB3A2920F241}"/>
    <cellStyle name="20% - Accent2 3 2 4 13" xfId="23536" xr:uid="{B7C138F7-BD0B-44AA-81F9-B221E8B09F3B}"/>
    <cellStyle name="20% - Accent2 3 2 4 14" xfId="25426" xr:uid="{0870F7BE-9631-46B4-B21D-DFBF44FC6F96}"/>
    <cellStyle name="20% - Accent2 3 2 4 15" xfId="27316" xr:uid="{378D6541-2EF4-44A1-A366-3783818BED9F}"/>
    <cellStyle name="20% - Accent2 3 2 4 16" xfId="29206" xr:uid="{C48EEFA7-4381-4D97-A337-CD11259DBA04}"/>
    <cellStyle name="20% - Accent2 3 2 4 17" xfId="31096" xr:uid="{ED63E336-8807-48DC-84CE-57F5ADF02754}"/>
    <cellStyle name="20% - Accent2 3 2 4 18" xfId="32986" xr:uid="{97F0A8B8-4D5F-4E97-988C-B81C73A9FB53}"/>
    <cellStyle name="20% - Accent2 3 2 4 19" xfId="34876" xr:uid="{7A76259B-CFF2-4E29-9956-D8906977875A}"/>
    <cellStyle name="20% - Accent2 3 2 4 2" xfId="2746" xr:uid="{041C483F-4735-444B-BE6D-74DDAB39C444}"/>
    <cellStyle name="20% - Accent2 3 2 4 20" xfId="36766" xr:uid="{07BB57D4-66D1-46B9-9C28-74A5AED251EE}"/>
    <cellStyle name="20% - Accent2 3 2 4 21" xfId="38656" xr:uid="{8171F5E6-48FA-4456-8DF1-5E5CE268FE35}"/>
    <cellStyle name="20% - Accent2 3 2 4 22" xfId="40547" xr:uid="{6642306C-88AA-45E2-A54F-40CC99FF2C75}"/>
    <cellStyle name="20% - Accent2 3 2 4 3" xfId="4636" xr:uid="{B6B20290-719E-435B-941D-872C46623709}"/>
    <cellStyle name="20% - Accent2 3 2 4 4" xfId="6526" xr:uid="{A5B72592-CA07-4ADF-8BF7-229CC4090408}"/>
    <cellStyle name="20% - Accent2 3 2 4 5" xfId="8416" xr:uid="{1661388F-6D05-4822-9DFC-BB5408A1588A}"/>
    <cellStyle name="20% - Accent2 3 2 4 6" xfId="10306" xr:uid="{2B13D86F-8B24-4810-B2C1-B3D48017CEF3}"/>
    <cellStyle name="20% - Accent2 3 2 4 7" xfId="12196" xr:uid="{DD466260-8845-490B-AFB2-A1A3CADBC97A}"/>
    <cellStyle name="20% - Accent2 3 2 4 8" xfId="14086" xr:uid="{B613A603-3B37-42B5-B3F8-0B7A48FAC569}"/>
    <cellStyle name="20% - Accent2 3 2 4 9" xfId="15976" xr:uid="{99A18759-BF0C-42C2-A89F-24708FC5D551}"/>
    <cellStyle name="20% - Accent2 3 2 5" xfId="1486" xr:uid="{9F1479E8-C135-486C-B7FB-5E8F1FBA4980}"/>
    <cellStyle name="20% - Accent2 3 2 5 10" xfId="18496" xr:uid="{9A0FE435-BF83-4688-A47F-C13FD0F0DB4B}"/>
    <cellStyle name="20% - Accent2 3 2 5 11" xfId="20386" xr:uid="{8F87A511-99C0-41F2-803E-74B8B5325364}"/>
    <cellStyle name="20% - Accent2 3 2 5 12" xfId="22276" xr:uid="{4742F8D7-279B-4EA1-9C8C-0D0C17409AEC}"/>
    <cellStyle name="20% - Accent2 3 2 5 13" xfId="24166" xr:uid="{88D75057-A24A-421C-B148-0C399095CEAB}"/>
    <cellStyle name="20% - Accent2 3 2 5 14" xfId="26056" xr:uid="{C999E0F9-0EC4-4A2E-BDA7-48BD4313141A}"/>
    <cellStyle name="20% - Accent2 3 2 5 15" xfId="27946" xr:uid="{611F0F64-40B2-49BD-9550-5D8643B12A05}"/>
    <cellStyle name="20% - Accent2 3 2 5 16" xfId="29836" xr:uid="{E6EF6650-BF94-416C-AE74-38577ACDBADE}"/>
    <cellStyle name="20% - Accent2 3 2 5 17" xfId="31726" xr:uid="{D80BBBD9-EF3D-4BF3-B8FF-64A21BD0B10C}"/>
    <cellStyle name="20% - Accent2 3 2 5 18" xfId="33616" xr:uid="{17EFD608-3A14-4ABB-B651-651DC4F8CA53}"/>
    <cellStyle name="20% - Accent2 3 2 5 19" xfId="35506" xr:uid="{423A6169-7A95-441F-B1A2-BFC58B59D585}"/>
    <cellStyle name="20% - Accent2 3 2 5 2" xfId="3376" xr:uid="{6096EFCE-A17C-463E-B3BB-9C33B0196C6F}"/>
    <cellStyle name="20% - Accent2 3 2 5 20" xfId="37396" xr:uid="{C08D6331-DDE3-4675-A0E1-94EF70C979D9}"/>
    <cellStyle name="20% - Accent2 3 2 5 21" xfId="39286" xr:uid="{56ACC1D5-F603-4B6A-B436-5B189401C8FC}"/>
    <cellStyle name="20% - Accent2 3 2 5 22" xfId="41177" xr:uid="{5DF1CF2C-16C3-48F6-85C2-B52EE56E0753}"/>
    <cellStyle name="20% - Accent2 3 2 5 3" xfId="5266" xr:uid="{3CB0E342-4162-44DD-9D3D-5DC54DFC49B2}"/>
    <cellStyle name="20% - Accent2 3 2 5 4" xfId="7156" xr:uid="{86DB3CEC-CFFB-4A4C-A079-A9BEDB1E6D1C}"/>
    <cellStyle name="20% - Accent2 3 2 5 5" xfId="9046" xr:uid="{41788742-6F23-4A9F-AE4A-771903B790E2}"/>
    <cellStyle name="20% - Accent2 3 2 5 6" xfId="10936" xr:uid="{8F4BEC59-63BF-412E-9CA6-63C699640A3A}"/>
    <cellStyle name="20% - Accent2 3 2 5 7" xfId="12826" xr:uid="{56C5E42E-699D-4A6B-8CF8-27C7D499C245}"/>
    <cellStyle name="20% - Accent2 3 2 5 8" xfId="14716" xr:uid="{9A55935C-ED59-411D-AAC7-46187066D0AC}"/>
    <cellStyle name="20% - Accent2 3 2 5 9" xfId="16606" xr:uid="{DD571DD1-3001-4AD2-A64C-10ED55086EA4}"/>
    <cellStyle name="20% - Accent2 3 2 6" xfId="2116" xr:uid="{E0D08DAE-EE02-4FF1-976C-C192B014B57F}"/>
    <cellStyle name="20% - Accent2 3 2 7" xfId="4006" xr:uid="{9D24BA8D-D16C-457D-99C0-48D4DCC04D22}"/>
    <cellStyle name="20% - Accent2 3 2 8" xfId="5896" xr:uid="{032B489B-F14F-4AAC-9515-B4584950E01E}"/>
    <cellStyle name="20% - Accent2 3 2 9" xfId="7786" xr:uid="{B982D352-04C4-4634-846F-5F95796FECD3}"/>
    <cellStyle name="20% - Accent2 3 20" xfId="26581" xr:uid="{A2838E33-138E-400D-9DCA-E16B75CB5C81}"/>
    <cellStyle name="20% - Accent2 3 21" xfId="28471" xr:uid="{721BFA94-0E58-4AAE-AA3A-0BD719243B1D}"/>
    <cellStyle name="20% - Accent2 3 22" xfId="30361" xr:uid="{C2E59FCC-D9C2-4AF5-8FCA-CB49379D4D1D}"/>
    <cellStyle name="20% - Accent2 3 23" xfId="32251" xr:uid="{D9323D5D-4795-4D01-94F5-031AF7E8381F}"/>
    <cellStyle name="20% - Accent2 3 24" xfId="34141" xr:uid="{35C9BE62-AE02-40C1-84B9-28C41F2D0376}"/>
    <cellStyle name="20% - Accent2 3 25" xfId="36031" xr:uid="{D6246F66-3FFF-4459-BFE1-B516F85C69AD}"/>
    <cellStyle name="20% - Accent2 3 26" xfId="37921" xr:uid="{2D179CE0-0D11-4BB2-8CF4-6F68F6C40661}"/>
    <cellStyle name="20% - Accent2 3 27" xfId="39812" xr:uid="{D2E58F4C-2E86-4700-8BDA-02C61475210E}"/>
    <cellStyle name="20% - Accent2 3 3" xfId="331" xr:uid="{5CEE22A3-D5A6-4427-9C05-36673B16C341}"/>
    <cellStyle name="20% - Accent2 3 3 10" xfId="13561" xr:uid="{36214B7D-3A84-40D9-8A83-82C7BB0242C7}"/>
    <cellStyle name="20% - Accent2 3 3 11" xfId="15451" xr:uid="{2B600859-DC31-4E62-80EA-1CD20D4E2346}"/>
    <cellStyle name="20% - Accent2 3 3 12" xfId="17341" xr:uid="{A1D594FE-F9E5-490F-8B35-30D3C4C5CFF8}"/>
    <cellStyle name="20% - Accent2 3 3 13" xfId="19231" xr:uid="{4A7D487B-F98A-4696-AE88-6534BD882068}"/>
    <cellStyle name="20% - Accent2 3 3 14" xfId="21121" xr:uid="{789042FE-61B0-41F4-B85C-A36F19086C3F}"/>
    <cellStyle name="20% - Accent2 3 3 15" xfId="23011" xr:uid="{C13D7138-111B-4513-A3FE-E2FC5567BBB6}"/>
    <cellStyle name="20% - Accent2 3 3 16" xfId="24901" xr:uid="{77E27E5F-4A56-4C25-92A5-421524C41C52}"/>
    <cellStyle name="20% - Accent2 3 3 17" xfId="26791" xr:uid="{0D9BC061-FE8A-4062-8C86-D08CA9772364}"/>
    <cellStyle name="20% - Accent2 3 3 18" xfId="28681" xr:uid="{C209F454-3CCE-409F-857A-3DEF69D4A044}"/>
    <cellStyle name="20% - Accent2 3 3 19" xfId="30571" xr:uid="{2F3BB30F-8E40-444A-8141-035A5AC5E9D4}"/>
    <cellStyle name="20% - Accent2 3 3 2" xfId="961" xr:uid="{06F6CA10-7AEB-408C-8C45-0BB563018D45}"/>
    <cellStyle name="20% - Accent2 3 3 2 10" xfId="17971" xr:uid="{E989683A-0D05-473F-9F15-340C22FC5994}"/>
    <cellStyle name="20% - Accent2 3 3 2 11" xfId="19861" xr:uid="{7D551318-427F-45B5-82DC-60158E452D63}"/>
    <cellStyle name="20% - Accent2 3 3 2 12" xfId="21751" xr:uid="{5BA2DF63-EBA3-4160-8DD4-F5F26179298D}"/>
    <cellStyle name="20% - Accent2 3 3 2 13" xfId="23641" xr:uid="{016156B1-F9AE-4A63-91EE-C3DD4D19D74A}"/>
    <cellStyle name="20% - Accent2 3 3 2 14" xfId="25531" xr:uid="{1B4B8381-82BC-4B13-AF95-1B0D5CF97088}"/>
    <cellStyle name="20% - Accent2 3 3 2 15" xfId="27421" xr:uid="{FD448BC2-307D-4CD4-B47D-385406E8BD9A}"/>
    <cellStyle name="20% - Accent2 3 3 2 16" xfId="29311" xr:uid="{F5E86E2E-E9F7-4B8E-AFE4-C41D781CD1DA}"/>
    <cellStyle name="20% - Accent2 3 3 2 17" xfId="31201" xr:uid="{7BFB02C5-C02E-439F-B3AF-630639E9426C}"/>
    <cellStyle name="20% - Accent2 3 3 2 18" xfId="33091" xr:uid="{AB6F29CA-A9B2-4EA6-81F9-F57BDC333057}"/>
    <cellStyle name="20% - Accent2 3 3 2 19" xfId="34981" xr:uid="{A3CCFEE6-6EB5-4420-9478-C34022494AAC}"/>
    <cellStyle name="20% - Accent2 3 3 2 2" xfId="2851" xr:uid="{A1219D5A-CDBF-4AE1-8EB7-D681DD545076}"/>
    <cellStyle name="20% - Accent2 3 3 2 20" xfId="36871" xr:uid="{72DDFAF6-0192-48A3-96DD-83F5D2392C0D}"/>
    <cellStyle name="20% - Accent2 3 3 2 21" xfId="38761" xr:uid="{8984387F-87E0-4213-8053-400AE51DA35E}"/>
    <cellStyle name="20% - Accent2 3 3 2 22" xfId="40652" xr:uid="{4FDA9421-51C2-4BFE-A61D-7D8E3FBDB6C0}"/>
    <cellStyle name="20% - Accent2 3 3 2 3" xfId="4741" xr:uid="{97FE69A3-C15C-4488-AB42-5C07EE662067}"/>
    <cellStyle name="20% - Accent2 3 3 2 4" xfId="6631" xr:uid="{11BEE4C7-5701-469F-84A9-43AC450F5E23}"/>
    <cellStyle name="20% - Accent2 3 3 2 5" xfId="8521" xr:uid="{E9F40DC9-5877-4957-A466-B79F6CAC7CB2}"/>
    <cellStyle name="20% - Accent2 3 3 2 6" xfId="10411" xr:uid="{F19A3AC6-1FD2-4810-A3DF-F72C16E42FD2}"/>
    <cellStyle name="20% - Accent2 3 3 2 7" xfId="12301" xr:uid="{1B7250A7-C698-478E-B14A-74D92C1E2740}"/>
    <cellStyle name="20% - Accent2 3 3 2 8" xfId="14191" xr:uid="{582F61AE-D3E6-44A5-8775-3CB8F80E8CBB}"/>
    <cellStyle name="20% - Accent2 3 3 2 9" xfId="16081" xr:uid="{5C75EA68-D818-4B96-8092-82D32C105C5F}"/>
    <cellStyle name="20% - Accent2 3 3 20" xfId="32461" xr:uid="{49202F63-7C08-425D-84C2-6A72543B9B14}"/>
    <cellStyle name="20% - Accent2 3 3 21" xfId="34351" xr:uid="{1B69AA2D-3A58-44B0-BEE7-AA994076ADCF}"/>
    <cellStyle name="20% - Accent2 3 3 22" xfId="36241" xr:uid="{F90D10BD-0EEF-4ECB-A89A-40520ECD8DC4}"/>
    <cellStyle name="20% - Accent2 3 3 23" xfId="38131" xr:uid="{05173107-38D6-435E-9B8A-C31611139F15}"/>
    <cellStyle name="20% - Accent2 3 3 24" xfId="40022" xr:uid="{451D5489-3CCF-462C-B32B-8AA5BA25430F}"/>
    <cellStyle name="20% - Accent2 3 3 3" xfId="1591" xr:uid="{616F6B0C-5086-407A-9C60-660E60D0CA36}"/>
    <cellStyle name="20% - Accent2 3 3 3 10" xfId="18601" xr:uid="{59A14608-983D-43D4-9A19-0B76E3E4CDBE}"/>
    <cellStyle name="20% - Accent2 3 3 3 11" xfId="20491" xr:uid="{B3DE9BD9-5150-45D2-8498-B3BD87AD40E3}"/>
    <cellStyle name="20% - Accent2 3 3 3 12" xfId="22381" xr:uid="{C15EA160-B1D1-4EF0-8721-A48D3D4DF6C5}"/>
    <cellStyle name="20% - Accent2 3 3 3 13" xfId="24271" xr:uid="{A204ED44-6F2B-4D9E-9BF2-ECA3099A8A17}"/>
    <cellStyle name="20% - Accent2 3 3 3 14" xfId="26161" xr:uid="{4A1848B2-A35B-4D36-A91C-AEB2AC9E055F}"/>
    <cellStyle name="20% - Accent2 3 3 3 15" xfId="28051" xr:uid="{1FC6825A-3A5A-423F-9C5D-877DFB79A74E}"/>
    <cellStyle name="20% - Accent2 3 3 3 16" xfId="29941" xr:uid="{BD778C56-1751-45EC-A50E-D865A9D46D03}"/>
    <cellStyle name="20% - Accent2 3 3 3 17" xfId="31831" xr:uid="{14A9575C-1CED-4E88-8725-C775704EAC8B}"/>
    <cellStyle name="20% - Accent2 3 3 3 18" xfId="33721" xr:uid="{47A82F1F-EEB4-42EC-9F49-6A5EBF90BCA8}"/>
    <cellStyle name="20% - Accent2 3 3 3 19" xfId="35611" xr:uid="{DEAE0280-AE9E-4C69-9B5B-E1EDB0288CE0}"/>
    <cellStyle name="20% - Accent2 3 3 3 2" xfId="3481" xr:uid="{7AE3BC2D-3466-4B9F-A0C9-CA2B81B64563}"/>
    <cellStyle name="20% - Accent2 3 3 3 20" xfId="37501" xr:uid="{1AFBD7DD-B825-4B44-BB12-F22E0061C41E}"/>
    <cellStyle name="20% - Accent2 3 3 3 21" xfId="39391" xr:uid="{BC3E2B8A-FDE7-4A3A-BFC1-814C0258FF8C}"/>
    <cellStyle name="20% - Accent2 3 3 3 22" xfId="41282" xr:uid="{8717F475-1549-4DDE-ADD7-FE8A69B8D8C8}"/>
    <cellStyle name="20% - Accent2 3 3 3 3" xfId="5371" xr:uid="{9269600F-110C-412B-B09B-5FB8B2CFBAD8}"/>
    <cellStyle name="20% - Accent2 3 3 3 4" xfId="7261" xr:uid="{FECD9345-B890-4EBC-BFAB-616A42FB2465}"/>
    <cellStyle name="20% - Accent2 3 3 3 5" xfId="9151" xr:uid="{47304F15-B8B0-4DE8-879A-D0F0AEB52256}"/>
    <cellStyle name="20% - Accent2 3 3 3 6" xfId="11041" xr:uid="{AF7954E2-9E3B-4F8F-98BA-FD0B737B1147}"/>
    <cellStyle name="20% - Accent2 3 3 3 7" xfId="12931" xr:uid="{4D4A90AD-7377-49BA-88D0-1B21487A721B}"/>
    <cellStyle name="20% - Accent2 3 3 3 8" xfId="14821" xr:uid="{FAEE53D5-3EAA-467A-B887-5F1169A68D5E}"/>
    <cellStyle name="20% - Accent2 3 3 3 9" xfId="16711" xr:uid="{02EB3638-4AAE-4903-8783-D2394310EDF4}"/>
    <cellStyle name="20% - Accent2 3 3 4" xfId="2221" xr:uid="{763128E8-17E3-4C61-BAD7-A4E6C0B274E6}"/>
    <cellStyle name="20% - Accent2 3 3 5" xfId="4111" xr:uid="{2A41F72A-AAB6-4527-9B14-DFD9BA2E30CF}"/>
    <cellStyle name="20% - Accent2 3 3 6" xfId="6001" xr:uid="{B5C5FAE9-91D7-4BDA-ABA3-BD03458DB60D}"/>
    <cellStyle name="20% - Accent2 3 3 7" xfId="7891" xr:uid="{C962E47E-2BF9-4E9B-8484-D8F14819CC87}"/>
    <cellStyle name="20% - Accent2 3 3 8" xfId="9781" xr:uid="{77F9D0F6-A3CB-4CCF-8BE5-7EFDFEA3BC54}"/>
    <cellStyle name="20% - Accent2 3 3 9" xfId="11671" xr:uid="{BBBE94DE-7982-4004-8F3A-67F9E002BDF9}"/>
    <cellStyle name="20% - Accent2 3 4" xfId="541" xr:uid="{E72061CC-72F8-4D40-B176-952CDB10A664}"/>
    <cellStyle name="20% - Accent2 3 4 10" xfId="13771" xr:uid="{E71FE5E9-7A8D-4FF7-8895-553CAAC40415}"/>
    <cellStyle name="20% - Accent2 3 4 11" xfId="15661" xr:uid="{70E8329B-0925-4450-9951-E6966A289967}"/>
    <cellStyle name="20% - Accent2 3 4 12" xfId="17551" xr:uid="{521FE8B8-2DA0-4D00-B156-EAD80E5E96ED}"/>
    <cellStyle name="20% - Accent2 3 4 13" xfId="19441" xr:uid="{BA81D81B-5CF1-43D2-9E32-45F469E59837}"/>
    <cellStyle name="20% - Accent2 3 4 14" xfId="21331" xr:uid="{5311C9E5-77A3-4273-B386-9EC09E912140}"/>
    <cellStyle name="20% - Accent2 3 4 15" xfId="23221" xr:uid="{F3BAF53C-8C03-498E-A8E5-31353AFFA841}"/>
    <cellStyle name="20% - Accent2 3 4 16" xfId="25111" xr:uid="{02A4424D-5651-42B7-A90A-8C08E6D7651F}"/>
    <cellStyle name="20% - Accent2 3 4 17" xfId="27001" xr:uid="{DC0F9C68-79EA-42E8-B9B9-4AF483B66DB3}"/>
    <cellStyle name="20% - Accent2 3 4 18" xfId="28891" xr:uid="{9E094F00-17CC-4E2B-BAB7-FFCF18F040A8}"/>
    <cellStyle name="20% - Accent2 3 4 19" xfId="30781" xr:uid="{31297776-963B-469A-B719-61293D865E2B}"/>
    <cellStyle name="20% - Accent2 3 4 2" xfId="1171" xr:uid="{317BF591-9A79-4E69-87BC-FE4A01B56B74}"/>
    <cellStyle name="20% - Accent2 3 4 2 10" xfId="18181" xr:uid="{0049E9D4-004D-4BF7-9B38-62B49CD14444}"/>
    <cellStyle name="20% - Accent2 3 4 2 11" xfId="20071" xr:uid="{562318D6-EC2C-47EA-BBB4-27C269D29C72}"/>
    <cellStyle name="20% - Accent2 3 4 2 12" xfId="21961" xr:uid="{CA491D8D-28D7-4428-8562-748EA63CB29A}"/>
    <cellStyle name="20% - Accent2 3 4 2 13" xfId="23851" xr:uid="{1789E23E-FD43-4937-AF75-5ECDFFF3CC58}"/>
    <cellStyle name="20% - Accent2 3 4 2 14" xfId="25741" xr:uid="{E5CDB000-B226-4806-8BE0-BE1359788EC1}"/>
    <cellStyle name="20% - Accent2 3 4 2 15" xfId="27631" xr:uid="{BF9D1BED-5CCA-47A3-A07C-F6D0A38EE111}"/>
    <cellStyle name="20% - Accent2 3 4 2 16" xfId="29521" xr:uid="{F7E7DFEA-3DB9-4D7D-B3ED-4D64AA90AB23}"/>
    <cellStyle name="20% - Accent2 3 4 2 17" xfId="31411" xr:uid="{8250C0DB-48F8-4D1F-9CF5-84CD0FD2E7F4}"/>
    <cellStyle name="20% - Accent2 3 4 2 18" xfId="33301" xr:uid="{A5C66DFB-A820-449B-ABD3-0FA461971B77}"/>
    <cellStyle name="20% - Accent2 3 4 2 19" xfId="35191" xr:uid="{B3C60729-BF1A-4506-8BF3-AE1277AADB9B}"/>
    <cellStyle name="20% - Accent2 3 4 2 2" xfId="3061" xr:uid="{157FD859-9900-4B07-8C8C-2A8F0BA3A77F}"/>
    <cellStyle name="20% - Accent2 3 4 2 20" xfId="37081" xr:uid="{2218DA72-EF1D-48A3-83AF-4653A7A1BB39}"/>
    <cellStyle name="20% - Accent2 3 4 2 21" xfId="38971" xr:uid="{080E2323-860C-4E8C-BE67-6E2D35AF07CE}"/>
    <cellStyle name="20% - Accent2 3 4 2 22" xfId="40862" xr:uid="{280DFEB6-74E1-436C-8617-A215BF83E3D7}"/>
    <cellStyle name="20% - Accent2 3 4 2 3" xfId="4951" xr:uid="{CBCDD751-B5D9-4F22-8D66-316A0F2B4E5B}"/>
    <cellStyle name="20% - Accent2 3 4 2 4" xfId="6841" xr:uid="{3990978D-C166-4D17-ADEB-99221A19E8B3}"/>
    <cellStyle name="20% - Accent2 3 4 2 5" xfId="8731" xr:uid="{F6CD7E40-288C-43D4-A335-4B69D97266FE}"/>
    <cellStyle name="20% - Accent2 3 4 2 6" xfId="10621" xr:uid="{D5664291-E7E7-40BD-8921-B0B13AB4B695}"/>
    <cellStyle name="20% - Accent2 3 4 2 7" xfId="12511" xr:uid="{B36A9707-2609-45F0-8035-606B66BFC02F}"/>
    <cellStyle name="20% - Accent2 3 4 2 8" xfId="14401" xr:uid="{DC9B4C21-C289-4563-817F-6827DCF1C197}"/>
    <cellStyle name="20% - Accent2 3 4 2 9" xfId="16291" xr:uid="{38E9AA0B-8B2B-482B-95E0-1E7201FC29B6}"/>
    <cellStyle name="20% - Accent2 3 4 20" xfId="32671" xr:uid="{DDA01D86-4D69-4B70-ADDE-019A88690FA3}"/>
    <cellStyle name="20% - Accent2 3 4 21" xfId="34561" xr:uid="{1E2268B1-8A32-4223-9306-725DBABACDF0}"/>
    <cellStyle name="20% - Accent2 3 4 22" xfId="36451" xr:uid="{C14592CB-3E39-4F42-8A5C-40BD9C92D4E4}"/>
    <cellStyle name="20% - Accent2 3 4 23" xfId="38341" xr:uid="{F405F2DF-9AA2-451C-B886-36792906A568}"/>
    <cellStyle name="20% - Accent2 3 4 24" xfId="40232" xr:uid="{7201F0E2-ACA2-4C51-AF10-17A2B2C673C5}"/>
    <cellStyle name="20% - Accent2 3 4 3" xfId="1801" xr:uid="{212A5BB1-84E5-4F1C-B023-1FDBF8BAE60E}"/>
    <cellStyle name="20% - Accent2 3 4 3 10" xfId="18811" xr:uid="{2542478A-5FE0-46E5-B8C6-012DAA214486}"/>
    <cellStyle name="20% - Accent2 3 4 3 11" xfId="20701" xr:uid="{29C4876B-529B-49DA-9A39-C8B85553F7AB}"/>
    <cellStyle name="20% - Accent2 3 4 3 12" xfId="22591" xr:uid="{9DD931CB-1B3A-4F63-8BA4-C59DDEC99C32}"/>
    <cellStyle name="20% - Accent2 3 4 3 13" xfId="24481" xr:uid="{C18C6E2C-F565-44E2-8A99-24A18B27DF01}"/>
    <cellStyle name="20% - Accent2 3 4 3 14" xfId="26371" xr:uid="{4A11B8FC-9AF5-4D6C-AE76-0607E307401E}"/>
    <cellStyle name="20% - Accent2 3 4 3 15" xfId="28261" xr:uid="{E819C27A-03A1-46D2-A566-74BCB1AC95DD}"/>
    <cellStyle name="20% - Accent2 3 4 3 16" xfId="30151" xr:uid="{B53B435E-8525-499D-B259-FF265706CD5B}"/>
    <cellStyle name="20% - Accent2 3 4 3 17" xfId="32041" xr:uid="{310F2C21-0038-4F29-A23B-C842CF762969}"/>
    <cellStyle name="20% - Accent2 3 4 3 18" xfId="33931" xr:uid="{269E8BF8-6CCB-4591-9E6D-A39FA75CA4A8}"/>
    <cellStyle name="20% - Accent2 3 4 3 19" xfId="35821" xr:uid="{5275F60C-F53F-4DE9-972D-A9FDF17601E0}"/>
    <cellStyle name="20% - Accent2 3 4 3 2" xfId="3691" xr:uid="{9FE250E3-ACE4-4702-92BB-F70B50A0C3B6}"/>
    <cellStyle name="20% - Accent2 3 4 3 20" xfId="37711" xr:uid="{B50876DB-2B31-48E6-8563-0C0B1497D930}"/>
    <cellStyle name="20% - Accent2 3 4 3 21" xfId="39601" xr:uid="{CF28502D-B2F7-4D79-83BD-558B825756E3}"/>
    <cellStyle name="20% - Accent2 3 4 3 22" xfId="41492" xr:uid="{D497C1AD-60A9-44F3-BC54-3C5A1867A665}"/>
    <cellStyle name="20% - Accent2 3 4 3 3" xfId="5581" xr:uid="{1D112BAC-F96C-4CCF-9C44-FCD6A3A07964}"/>
    <cellStyle name="20% - Accent2 3 4 3 4" xfId="7471" xr:uid="{CBF5F2AE-1C7C-4148-A258-68035C1AF01B}"/>
    <cellStyle name="20% - Accent2 3 4 3 5" xfId="9361" xr:uid="{2354ABBD-CD6A-425D-8E0E-7F50E10BFAB3}"/>
    <cellStyle name="20% - Accent2 3 4 3 6" xfId="11251" xr:uid="{95C2E2B3-4676-44A1-A635-EF3C445630E6}"/>
    <cellStyle name="20% - Accent2 3 4 3 7" xfId="13141" xr:uid="{099E8238-8468-492D-A3ED-70A6DD95F310}"/>
    <cellStyle name="20% - Accent2 3 4 3 8" xfId="15031" xr:uid="{FAA412DF-F23B-4838-BE09-3048BE7A5BE2}"/>
    <cellStyle name="20% - Accent2 3 4 3 9" xfId="16921" xr:uid="{4562F5B4-148C-44E4-9855-BB3EE971C27B}"/>
    <cellStyle name="20% - Accent2 3 4 4" xfId="2431" xr:uid="{BB84F884-FCCA-4BBA-A06D-BC64F4F25550}"/>
    <cellStyle name="20% - Accent2 3 4 5" xfId="4321" xr:uid="{9281337C-68A9-4FC0-9A55-A95DBE105B82}"/>
    <cellStyle name="20% - Accent2 3 4 6" xfId="6211" xr:uid="{9745876E-8A21-48EA-8429-2AF12A97DF28}"/>
    <cellStyle name="20% - Accent2 3 4 7" xfId="8101" xr:uid="{F39EAAAD-C77B-44EB-8011-996A6EF3568C}"/>
    <cellStyle name="20% - Accent2 3 4 8" xfId="9991" xr:uid="{6783C81D-F717-4823-964D-FBDA3E9A367F}"/>
    <cellStyle name="20% - Accent2 3 4 9" xfId="11881" xr:uid="{878F5655-A9AC-485D-9BA4-FA54711A63A0}"/>
    <cellStyle name="20% - Accent2 3 5" xfId="751" xr:uid="{AE8C45B6-4B70-4721-9964-0CF1882A250E}"/>
    <cellStyle name="20% - Accent2 3 5 10" xfId="17761" xr:uid="{A88C3BF9-AFC0-4231-AD1E-43E08EFFD663}"/>
    <cellStyle name="20% - Accent2 3 5 11" xfId="19651" xr:uid="{34D6EB17-8C32-41D9-9CCF-23677EE9F45C}"/>
    <cellStyle name="20% - Accent2 3 5 12" xfId="21541" xr:uid="{46AE1A55-AD63-47DE-86A6-1B5240C5D866}"/>
    <cellStyle name="20% - Accent2 3 5 13" xfId="23431" xr:uid="{3C126F7E-32B0-46D6-BE3D-91C0A43E2452}"/>
    <cellStyle name="20% - Accent2 3 5 14" xfId="25321" xr:uid="{AD1720E4-63BC-47DE-A835-32B867F7723E}"/>
    <cellStyle name="20% - Accent2 3 5 15" xfId="27211" xr:uid="{07ACEDDC-242E-4917-80A1-DDE91F5CD08B}"/>
    <cellStyle name="20% - Accent2 3 5 16" xfId="29101" xr:uid="{12D73D51-3084-49A8-8A59-9B9381888A27}"/>
    <cellStyle name="20% - Accent2 3 5 17" xfId="30991" xr:uid="{3D11E229-D706-439A-80F8-0A873702684C}"/>
    <cellStyle name="20% - Accent2 3 5 18" xfId="32881" xr:uid="{4325527D-6B5C-47B4-B6CE-E3EE33DBF7C6}"/>
    <cellStyle name="20% - Accent2 3 5 19" xfId="34771" xr:uid="{6F6670F7-C95F-4CEA-86CB-2D863799DBC4}"/>
    <cellStyle name="20% - Accent2 3 5 2" xfId="2641" xr:uid="{92A83EE6-DD28-489A-81DB-1884A032BBD6}"/>
    <cellStyle name="20% - Accent2 3 5 20" xfId="36661" xr:uid="{E1657771-59A3-43EE-8E97-060D34558338}"/>
    <cellStyle name="20% - Accent2 3 5 21" xfId="38551" xr:uid="{6CC6C376-790F-44C2-AD6C-9EE5D508FB8B}"/>
    <cellStyle name="20% - Accent2 3 5 22" xfId="40442" xr:uid="{D2A0DB54-A57C-4D30-B84B-38152683EFD3}"/>
    <cellStyle name="20% - Accent2 3 5 3" xfId="4531" xr:uid="{C7703F5A-AE05-42CA-8F07-901617D350D4}"/>
    <cellStyle name="20% - Accent2 3 5 4" xfId="6421" xr:uid="{BADD5651-C931-432E-B593-961EB209CD4B}"/>
    <cellStyle name="20% - Accent2 3 5 5" xfId="8311" xr:uid="{CF15527A-85EE-4565-AFEB-9EE31268C055}"/>
    <cellStyle name="20% - Accent2 3 5 6" xfId="10201" xr:uid="{511747B1-3440-4ED4-8CC1-786BBE73F016}"/>
    <cellStyle name="20% - Accent2 3 5 7" xfId="12091" xr:uid="{F896ABB5-2B10-4B48-A8F1-502054B3FFC3}"/>
    <cellStyle name="20% - Accent2 3 5 8" xfId="13981" xr:uid="{3A053B9C-2625-4CAF-B4B0-ACD2ABDEB08C}"/>
    <cellStyle name="20% - Accent2 3 5 9" xfId="15871" xr:uid="{16EDA21B-DD7E-48C4-B55F-D312EBEFD7B4}"/>
    <cellStyle name="20% - Accent2 3 6" xfId="1381" xr:uid="{4FDA6E4B-333F-494C-B92C-05C089D9FC32}"/>
    <cellStyle name="20% - Accent2 3 6 10" xfId="18391" xr:uid="{7A281199-EEC5-4F16-A07B-770CF7362AC8}"/>
    <cellStyle name="20% - Accent2 3 6 11" xfId="20281" xr:uid="{9D0212C9-1956-45CC-B4D4-1C0B202D6A7C}"/>
    <cellStyle name="20% - Accent2 3 6 12" xfId="22171" xr:uid="{187D2FF9-B2C4-4CBE-8E62-6184206C3437}"/>
    <cellStyle name="20% - Accent2 3 6 13" xfId="24061" xr:uid="{B86B85EF-8B81-4D89-BA4A-64928FD7EF15}"/>
    <cellStyle name="20% - Accent2 3 6 14" xfId="25951" xr:uid="{D4A70448-D8F7-4DA6-978C-BD6BC2470E14}"/>
    <cellStyle name="20% - Accent2 3 6 15" xfId="27841" xr:uid="{850173D8-D876-4E87-88C1-FFC48CC1C057}"/>
    <cellStyle name="20% - Accent2 3 6 16" xfId="29731" xr:uid="{6FA70C61-326A-43D4-8B20-574DE6AAF7EB}"/>
    <cellStyle name="20% - Accent2 3 6 17" xfId="31621" xr:uid="{CF6E057B-0CB6-4FCC-B92B-E2DC0A892970}"/>
    <cellStyle name="20% - Accent2 3 6 18" xfId="33511" xr:uid="{437FFFEE-901D-4991-B7B1-5897A323E972}"/>
    <cellStyle name="20% - Accent2 3 6 19" xfId="35401" xr:uid="{ECB70B9F-7303-4F68-90C3-01702641E905}"/>
    <cellStyle name="20% - Accent2 3 6 2" xfId="3271" xr:uid="{4D2C7160-3910-4055-8EEB-E38420D0B001}"/>
    <cellStyle name="20% - Accent2 3 6 20" xfId="37291" xr:uid="{49FC26E9-61C7-466C-B219-AAE42E0607E5}"/>
    <cellStyle name="20% - Accent2 3 6 21" xfId="39181" xr:uid="{DABF96C0-9948-42C5-8D45-37FC0344F991}"/>
    <cellStyle name="20% - Accent2 3 6 22" xfId="41072" xr:uid="{C272FDB9-513F-4184-A7D1-904B8DB5BEC7}"/>
    <cellStyle name="20% - Accent2 3 6 3" xfId="5161" xr:uid="{AE74D9F2-C27E-4C65-A27E-BA3610B54165}"/>
    <cellStyle name="20% - Accent2 3 6 4" xfId="7051" xr:uid="{DCFD1968-EA9C-4498-92B6-BDAE122D535E}"/>
    <cellStyle name="20% - Accent2 3 6 5" xfId="8941" xr:uid="{56213D68-C19A-4A28-A22C-1022A5E397AF}"/>
    <cellStyle name="20% - Accent2 3 6 6" xfId="10831" xr:uid="{05D42BBF-A91C-4EC6-A98D-EF804269B974}"/>
    <cellStyle name="20% - Accent2 3 6 7" xfId="12721" xr:uid="{890AC751-B8D8-4823-8D84-B081DF7D310D}"/>
    <cellStyle name="20% - Accent2 3 6 8" xfId="14611" xr:uid="{51F27393-4CD9-4200-864D-9682951F577A}"/>
    <cellStyle name="20% - Accent2 3 6 9" xfId="16501" xr:uid="{86864E8D-6CA0-4A68-90BA-E2039C926A46}"/>
    <cellStyle name="20% - Accent2 3 7" xfId="2011" xr:uid="{A239F517-594E-404F-A1EE-946F4C4468EE}"/>
    <cellStyle name="20% - Accent2 3 8" xfId="3901" xr:uid="{6A588F04-3420-4A70-AE9C-D8FA36234682}"/>
    <cellStyle name="20% - Accent2 3 9" xfId="5791" xr:uid="{365BA79B-2905-4618-982B-7B1B7875FECB}"/>
    <cellStyle name="20% - Accent2 4" xfId="184" xr:uid="{C183F4E1-5A69-4D15-AD7E-43554D45B1C6}"/>
    <cellStyle name="20% - Accent2 4 10" xfId="9634" xr:uid="{E9FC475D-CB19-4AF8-A71B-9363C6D284C6}"/>
    <cellStyle name="20% - Accent2 4 11" xfId="11524" xr:uid="{854DC7A8-5567-48D5-9AA5-53F50738DC7A}"/>
    <cellStyle name="20% - Accent2 4 12" xfId="13414" xr:uid="{EDBB597E-A00E-4665-8FC2-818090AD1E03}"/>
    <cellStyle name="20% - Accent2 4 13" xfId="15304" xr:uid="{D2BE4BB1-A47D-499E-8192-B42ED7E22515}"/>
    <cellStyle name="20% - Accent2 4 14" xfId="17194" xr:uid="{D6E3BCB2-3B7D-4D82-AADF-45BC06BB85E6}"/>
    <cellStyle name="20% - Accent2 4 15" xfId="19084" xr:uid="{9E5373CC-6F04-436C-8D9B-C0FA005EDA08}"/>
    <cellStyle name="20% - Accent2 4 16" xfId="20974" xr:uid="{BC060A4D-BED0-4FD5-B59D-5B43D4BBBA3C}"/>
    <cellStyle name="20% - Accent2 4 17" xfId="22864" xr:uid="{B9AFB451-09BD-4441-A44C-B78364705E5B}"/>
    <cellStyle name="20% - Accent2 4 18" xfId="24754" xr:uid="{243F53F2-85D0-4112-8B28-22D40AC276B0}"/>
    <cellStyle name="20% - Accent2 4 19" xfId="26644" xr:uid="{DB899CC8-721F-4861-92AA-4C4C64C44448}"/>
    <cellStyle name="20% - Accent2 4 2" xfId="394" xr:uid="{09EB3AEE-BFF3-486B-82DB-FDF8D56AB9B4}"/>
    <cellStyle name="20% - Accent2 4 2 10" xfId="13624" xr:uid="{522C144C-886F-4CDB-8ACC-511E96604442}"/>
    <cellStyle name="20% - Accent2 4 2 11" xfId="15514" xr:uid="{B11BD223-D081-45F2-9D93-5A282B36CCF8}"/>
    <cellStyle name="20% - Accent2 4 2 12" xfId="17404" xr:uid="{EF2B56DA-9549-4DA5-B222-7047E99D8B05}"/>
    <cellStyle name="20% - Accent2 4 2 13" xfId="19294" xr:uid="{895718CF-CEF9-45A7-8E68-1402C1DD7C8C}"/>
    <cellStyle name="20% - Accent2 4 2 14" xfId="21184" xr:uid="{0F75401B-334E-4186-8353-B073746AC13A}"/>
    <cellStyle name="20% - Accent2 4 2 15" xfId="23074" xr:uid="{4B4E2F93-46ED-47C3-9287-B55C8C04091C}"/>
    <cellStyle name="20% - Accent2 4 2 16" xfId="24964" xr:uid="{7978DD57-7552-4470-93D4-5DA030A18AE7}"/>
    <cellStyle name="20% - Accent2 4 2 17" xfId="26854" xr:uid="{0342BF33-489C-4987-B885-D0DDE14A2E30}"/>
    <cellStyle name="20% - Accent2 4 2 18" xfId="28744" xr:uid="{A3CF6D71-DC43-43A6-B8D9-93850BFBC734}"/>
    <cellStyle name="20% - Accent2 4 2 19" xfId="30634" xr:uid="{E6D78CBA-AE10-4A5E-9A64-719F71EDB9FC}"/>
    <cellStyle name="20% - Accent2 4 2 2" xfId="1024" xr:uid="{61B3049B-3AB4-41AC-AF7D-E350B60F2537}"/>
    <cellStyle name="20% - Accent2 4 2 2 10" xfId="18034" xr:uid="{26EBB7B5-101D-4600-8D4C-5225BF168FC9}"/>
    <cellStyle name="20% - Accent2 4 2 2 11" xfId="19924" xr:uid="{8A7D19D2-D2ED-46F2-BAD6-5C99DCAD2FAD}"/>
    <cellStyle name="20% - Accent2 4 2 2 12" xfId="21814" xr:uid="{9F52BF7F-AE2A-474A-9FAB-FBFB2C6FE07C}"/>
    <cellStyle name="20% - Accent2 4 2 2 13" xfId="23704" xr:uid="{E5917FEE-223D-4D0D-988E-333603D73A3B}"/>
    <cellStyle name="20% - Accent2 4 2 2 14" xfId="25594" xr:uid="{1FD2BDAD-5EAD-499D-8B48-6E003532E0FC}"/>
    <cellStyle name="20% - Accent2 4 2 2 15" xfId="27484" xr:uid="{EF794872-2802-4AD6-8EA3-68BD5EE78E54}"/>
    <cellStyle name="20% - Accent2 4 2 2 16" xfId="29374" xr:uid="{1640F701-7701-4D94-9A09-4A12E2D388F0}"/>
    <cellStyle name="20% - Accent2 4 2 2 17" xfId="31264" xr:uid="{BB6177FD-0DDB-40A0-84E6-ED0799608498}"/>
    <cellStyle name="20% - Accent2 4 2 2 18" xfId="33154" xr:uid="{F0DD9272-4C3C-415C-BB0B-32064722B74B}"/>
    <cellStyle name="20% - Accent2 4 2 2 19" xfId="35044" xr:uid="{5B3B1725-27A0-47A9-8665-B8ECBCCC3F6E}"/>
    <cellStyle name="20% - Accent2 4 2 2 2" xfId="2914" xr:uid="{17AA96A4-1A5E-4D66-953F-F4BA064F82B9}"/>
    <cellStyle name="20% - Accent2 4 2 2 20" xfId="36934" xr:uid="{29FC34F7-5591-4103-9565-0ACCA8653FB2}"/>
    <cellStyle name="20% - Accent2 4 2 2 21" xfId="38824" xr:uid="{1E9DF7E2-3964-4981-AED2-11583F3ED217}"/>
    <cellStyle name="20% - Accent2 4 2 2 22" xfId="40715" xr:uid="{E991420E-4F3C-47EA-9E43-3EC1F7046669}"/>
    <cellStyle name="20% - Accent2 4 2 2 3" xfId="4804" xr:uid="{5FA6BA70-4A85-4312-A81F-8795D7E41C2A}"/>
    <cellStyle name="20% - Accent2 4 2 2 4" xfId="6694" xr:uid="{9A04F5D9-CCFA-4BCA-81D1-954F65B4302F}"/>
    <cellStyle name="20% - Accent2 4 2 2 5" xfId="8584" xr:uid="{2C510236-15DB-4B81-BA5B-A4E3CE14D45C}"/>
    <cellStyle name="20% - Accent2 4 2 2 6" xfId="10474" xr:uid="{74B39B1A-DCF6-4DA2-AC7C-2419C23DF2D7}"/>
    <cellStyle name="20% - Accent2 4 2 2 7" xfId="12364" xr:uid="{08AD611F-E216-454B-BF9E-C2734D75871C}"/>
    <cellStyle name="20% - Accent2 4 2 2 8" xfId="14254" xr:uid="{51D8A866-B3D4-40A3-A0C8-A1FBD57D7522}"/>
    <cellStyle name="20% - Accent2 4 2 2 9" xfId="16144" xr:uid="{AC754B75-CD5D-4714-8221-CA525EC02EAD}"/>
    <cellStyle name="20% - Accent2 4 2 20" xfId="32524" xr:uid="{74AAD1C2-C7E6-48C0-9031-5B5447BB04EB}"/>
    <cellStyle name="20% - Accent2 4 2 21" xfId="34414" xr:uid="{E578DE17-3D13-4F7A-8A77-7D8E0E98EC86}"/>
    <cellStyle name="20% - Accent2 4 2 22" xfId="36304" xr:uid="{CC50A075-10D3-4A52-B155-D06544BFB377}"/>
    <cellStyle name="20% - Accent2 4 2 23" xfId="38194" xr:uid="{95A59D96-6B6D-416B-849D-5985C463A6FE}"/>
    <cellStyle name="20% - Accent2 4 2 24" xfId="40085" xr:uid="{50027E39-4E60-4B46-8B2A-C77118E0FC0B}"/>
    <cellStyle name="20% - Accent2 4 2 3" xfId="1654" xr:uid="{F8239AA9-5327-45D1-8F98-220F53E9939F}"/>
    <cellStyle name="20% - Accent2 4 2 3 10" xfId="18664" xr:uid="{52F10AF1-28C0-453D-9CBA-5BA3192CB768}"/>
    <cellStyle name="20% - Accent2 4 2 3 11" xfId="20554" xr:uid="{446D049D-D753-48DE-B812-26647DBA30C0}"/>
    <cellStyle name="20% - Accent2 4 2 3 12" xfId="22444" xr:uid="{98CBAAFC-B3C9-4799-9A75-585DF015EB4E}"/>
    <cellStyle name="20% - Accent2 4 2 3 13" xfId="24334" xr:uid="{45B8F756-46CE-487C-B309-DA2CC83C3AAC}"/>
    <cellStyle name="20% - Accent2 4 2 3 14" xfId="26224" xr:uid="{1BC31894-4AD0-4A36-80DF-EFDBA8BF969C}"/>
    <cellStyle name="20% - Accent2 4 2 3 15" xfId="28114" xr:uid="{73A6725F-5568-4A35-A5A5-77035EA502D3}"/>
    <cellStyle name="20% - Accent2 4 2 3 16" xfId="30004" xr:uid="{A96A9B8E-50A7-4619-AB1F-1243C65EC2F1}"/>
    <cellStyle name="20% - Accent2 4 2 3 17" xfId="31894" xr:uid="{D4942C32-3E3E-4278-8005-5C7681F2F36D}"/>
    <cellStyle name="20% - Accent2 4 2 3 18" xfId="33784" xr:uid="{59AB1188-983A-4204-A5F7-E3A09CD375AC}"/>
    <cellStyle name="20% - Accent2 4 2 3 19" xfId="35674" xr:uid="{76BE6DD4-9FDD-4BDD-80B8-3E2F65833B80}"/>
    <cellStyle name="20% - Accent2 4 2 3 2" xfId="3544" xr:uid="{CF9872C1-CF4D-40C9-987E-C07643663D93}"/>
    <cellStyle name="20% - Accent2 4 2 3 20" xfId="37564" xr:uid="{A7BB1B3C-40C4-47C7-9BB7-849D0A2B0022}"/>
    <cellStyle name="20% - Accent2 4 2 3 21" xfId="39454" xr:uid="{319D0A51-396E-4B42-810A-FEC5AA6B5D29}"/>
    <cellStyle name="20% - Accent2 4 2 3 22" xfId="41345" xr:uid="{49C5674F-656E-4D55-A695-CC941847833F}"/>
    <cellStyle name="20% - Accent2 4 2 3 3" xfId="5434" xr:uid="{CA67F500-ABD2-427D-9326-F4A368EEF3D8}"/>
    <cellStyle name="20% - Accent2 4 2 3 4" xfId="7324" xr:uid="{F92D4FE1-5F6C-4A14-A17B-88BA9B0506B6}"/>
    <cellStyle name="20% - Accent2 4 2 3 5" xfId="9214" xr:uid="{4AC5BA0E-0FBC-47C8-B740-2B5EF7DFFBF2}"/>
    <cellStyle name="20% - Accent2 4 2 3 6" xfId="11104" xr:uid="{B2BB84F5-5332-4FED-8848-6D471A981146}"/>
    <cellStyle name="20% - Accent2 4 2 3 7" xfId="12994" xr:uid="{99054CC8-E422-40D8-9ABE-BE73757AD880}"/>
    <cellStyle name="20% - Accent2 4 2 3 8" xfId="14884" xr:uid="{63698061-031A-4125-81F9-5942D25DB5A0}"/>
    <cellStyle name="20% - Accent2 4 2 3 9" xfId="16774" xr:uid="{5E3C517E-DD60-438C-BED9-F8581259B641}"/>
    <cellStyle name="20% - Accent2 4 2 4" xfId="2284" xr:uid="{8B647C89-DEFF-4C16-BD62-D86ABFCB1D6B}"/>
    <cellStyle name="20% - Accent2 4 2 5" xfId="4174" xr:uid="{D805F8E8-6620-449A-99E3-F56A4BCFF30B}"/>
    <cellStyle name="20% - Accent2 4 2 6" xfId="6064" xr:uid="{FE7CD270-CBE4-499F-A3EA-A752E2E1BDFD}"/>
    <cellStyle name="20% - Accent2 4 2 7" xfId="7954" xr:uid="{E1746FFB-AAEB-41D7-B5A8-BCD1E0A2BC24}"/>
    <cellStyle name="20% - Accent2 4 2 8" xfId="9844" xr:uid="{607224B7-A207-45C3-98FA-B29447B3EF39}"/>
    <cellStyle name="20% - Accent2 4 2 9" xfId="11734" xr:uid="{BBE5A690-9C30-4442-A7E0-E3431AD94FE0}"/>
    <cellStyle name="20% - Accent2 4 20" xfId="28534" xr:uid="{3EB5E829-B65C-4746-B2DD-6FAF5C78DFB7}"/>
    <cellStyle name="20% - Accent2 4 21" xfId="30424" xr:uid="{F4997DBA-6541-442A-B7BE-5488854A5F4C}"/>
    <cellStyle name="20% - Accent2 4 22" xfId="32314" xr:uid="{B583D152-0C45-4D2C-931C-DF0203AEB60B}"/>
    <cellStyle name="20% - Accent2 4 23" xfId="34204" xr:uid="{5B329121-DE2C-4C57-8C9F-8DA417A3D4F1}"/>
    <cellStyle name="20% - Accent2 4 24" xfId="36094" xr:uid="{8371C8D8-014D-480C-A320-ABC46A529F67}"/>
    <cellStyle name="20% - Accent2 4 25" xfId="37984" xr:uid="{FF977A81-FC7A-4098-9431-12BDCAB82D3F}"/>
    <cellStyle name="20% - Accent2 4 26" xfId="39875" xr:uid="{B3DE070F-D502-41B3-928F-82AE47A7FDDE}"/>
    <cellStyle name="20% - Accent2 4 3" xfId="604" xr:uid="{31F58913-078D-44CD-89DB-E63AE3D8BF2D}"/>
    <cellStyle name="20% - Accent2 4 3 10" xfId="13834" xr:uid="{48E1B811-7DE3-4F75-BA45-66992A667BCF}"/>
    <cellStyle name="20% - Accent2 4 3 11" xfId="15724" xr:uid="{E2147177-0EA8-44C4-B8CA-1D40D409DF32}"/>
    <cellStyle name="20% - Accent2 4 3 12" xfId="17614" xr:uid="{25CF102F-C39A-420B-9195-61AEF4738AF2}"/>
    <cellStyle name="20% - Accent2 4 3 13" xfId="19504" xr:uid="{DF7D6959-F020-4364-9E85-E338B2E455C8}"/>
    <cellStyle name="20% - Accent2 4 3 14" xfId="21394" xr:uid="{4ECAC3C7-A86E-47D7-A4BB-1EB8464E5B86}"/>
    <cellStyle name="20% - Accent2 4 3 15" xfId="23284" xr:uid="{C5130504-0DFE-405B-889E-6458257916B4}"/>
    <cellStyle name="20% - Accent2 4 3 16" xfId="25174" xr:uid="{D576A29C-066A-4A35-934D-F49A5B69C9F4}"/>
    <cellStyle name="20% - Accent2 4 3 17" xfId="27064" xr:uid="{DDDABFAD-6D46-43EC-A339-178BAA7E0CF3}"/>
    <cellStyle name="20% - Accent2 4 3 18" xfId="28954" xr:uid="{142F28A8-A300-4459-91B1-C6A21B0E4573}"/>
    <cellStyle name="20% - Accent2 4 3 19" xfId="30844" xr:uid="{3A03B033-0F9D-488F-8820-47B33C08A31E}"/>
    <cellStyle name="20% - Accent2 4 3 2" xfId="1234" xr:uid="{F31A1B51-5D0D-4742-B63F-4C16FF3B046F}"/>
    <cellStyle name="20% - Accent2 4 3 2 10" xfId="18244" xr:uid="{94088874-6237-492F-BCEB-8D3DD95F7D42}"/>
    <cellStyle name="20% - Accent2 4 3 2 11" xfId="20134" xr:uid="{19CE43EF-C68F-41ED-B880-0E6B6D5D29F2}"/>
    <cellStyle name="20% - Accent2 4 3 2 12" xfId="22024" xr:uid="{4DA2E8B7-7A95-4A36-9EC6-022A523A6906}"/>
    <cellStyle name="20% - Accent2 4 3 2 13" xfId="23914" xr:uid="{33D87A6B-4544-4E78-B0F1-5F497C652EB3}"/>
    <cellStyle name="20% - Accent2 4 3 2 14" xfId="25804" xr:uid="{08BE0D99-B49F-4605-B154-DC1DD7537B85}"/>
    <cellStyle name="20% - Accent2 4 3 2 15" xfId="27694" xr:uid="{EF3C2045-EDE7-4DFC-90D8-0CE5AECB0008}"/>
    <cellStyle name="20% - Accent2 4 3 2 16" xfId="29584" xr:uid="{AE0B0C1C-0A67-4044-9E0C-24BD2AD06BFC}"/>
    <cellStyle name="20% - Accent2 4 3 2 17" xfId="31474" xr:uid="{11D07079-F5A4-4641-8D7D-890044ADE3AE}"/>
    <cellStyle name="20% - Accent2 4 3 2 18" xfId="33364" xr:uid="{BEFA234D-1A34-41E3-B502-7B7647AF8EB1}"/>
    <cellStyle name="20% - Accent2 4 3 2 19" xfId="35254" xr:uid="{985D90A0-CD7A-4643-8B95-4D4CD7C342EF}"/>
    <cellStyle name="20% - Accent2 4 3 2 2" xfId="3124" xr:uid="{413F7E70-958E-472B-8E4B-57FD818E3CD2}"/>
    <cellStyle name="20% - Accent2 4 3 2 20" xfId="37144" xr:uid="{45BE8CD6-EBBA-4902-A86D-A51478BEB5A8}"/>
    <cellStyle name="20% - Accent2 4 3 2 21" xfId="39034" xr:uid="{A6261964-A9AC-4087-BD8D-D999B8547D20}"/>
    <cellStyle name="20% - Accent2 4 3 2 22" xfId="40925" xr:uid="{6035644F-B585-42CB-8277-DD78B729D3A4}"/>
    <cellStyle name="20% - Accent2 4 3 2 3" xfId="5014" xr:uid="{83558533-55CA-40E1-899B-78F8C2FD4962}"/>
    <cellStyle name="20% - Accent2 4 3 2 4" xfId="6904" xr:uid="{0CCCB7D0-1415-4F24-862A-1190366A3AFB}"/>
    <cellStyle name="20% - Accent2 4 3 2 5" xfId="8794" xr:uid="{7E330B3E-DAA5-4153-AC6C-B5050D939AE3}"/>
    <cellStyle name="20% - Accent2 4 3 2 6" xfId="10684" xr:uid="{EF07CB8E-67E2-4369-93F1-975399BD9254}"/>
    <cellStyle name="20% - Accent2 4 3 2 7" xfId="12574" xr:uid="{23B7AB30-E2BD-4FFE-9732-6A3A732B1AA3}"/>
    <cellStyle name="20% - Accent2 4 3 2 8" xfId="14464" xr:uid="{99E028F3-B7A6-4AD1-8099-40D00DBD3208}"/>
    <cellStyle name="20% - Accent2 4 3 2 9" xfId="16354" xr:uid="{C49F6B5F-5B46-4E7C-A106-2F576F10E1EC}"/>
    <cellStyle name="20% - Accent2 4 3 20" xfId="32734" xr:uid="{72796E30-D6E7-4DA7-8DEC-85188EBF8AB0}"/>
    <cellStyle name="20% - Accent2 4 3 21" xfId="34624" xr:uid="{69087E0E-45DD-4A1B-8B55-D1AC62901736}"/>
    <cellStyle name="20% - Accent2 4 3 22" xfId="36514" xr:uid="{D2AA4914-F678-416D-9ECD-C5F3B2A2A5F2}"/>
    <cellStyle name="20% - Accent2 4 3 23" xfId="38404" xr:uid="{72DAAA4D-7B22-4C2C-A936-BCA55FB31621}"/>
    <cellStyle name="20% - Accent2 4 3 24" xfId="40295" xr:uid="{74310ACD-8CCF-444F-BB9B-5BE351631719}"/>
    <cellStyle name="20% - Accent2 4 3 3" xfId="1864" xr:uid="{EADECFFE-D27E-4636-94B5-C1AB6280294D}"/>
    <cellStyle name="20% - Accent2 4 3 3 10" xfId="18874" xr:uid="{39350715-E30B-4764-AC9F-C96C059CA9D8}"/>
    <cellStyle name="20% - Accent2 4 3 3 11" xfId="20764" xr:uid="{E6E5A6A2-9C65-4ACD-A1F9-ACE5D743DB20}"/>
    <cellStyle name="20% - Accent2 4 3 3 12" xfId="22654" xr:uid="{C6F4022E-C3E6-4141-ADB8-A7543A762BAB}"/>
    <cellStyle name="20% - Accent2 4 3 3 13" xfId="24544" xr:uid="{8FC15910-57E9-4034-A862-7029CE6B0961}"/>
    <cellStyle name="20% - Accent2 4 3 3 14" xfId="26434" xr:uid="{5812BA2F-978B-470F-A349-1794A3E4425B}"/>
    <cellStyle name="20% - Accent2 4 3 3 15" xfId="28324" xr:uid="{F7329857-3E97-4567-9EAE-D0CF1F0903E4}"/>
    <cellStyle name="20% - Accent2 4 3 3 16" xfId="30214" xr:uid="{D90BBBAD-C0F5-42D0-8F73-F0A898B7F7C5}"/>
    <cellStyle name="20% - Accent2 4 3 3 17" xfId="32104" xr:uid="{5B88FB57-519F-4771-8765-2AEDF5D6A3A2}"/>
    <cellStyle name="20% - Accent2 4 3 3 18" xfId="33994" xr:uid="{E666B92A-4C34-4842-8CC8-56EC2228C83A}"/>
    <cellStyle name="20% - Accent2 4 3 3 19" xfId="35884" xr:uid="{E975D02B-0076-4258-887F-4E5888428B33}"/>
    <cellStyle name="20% - Accent2 4 3 3 2" xfId="3754" xr:uid="{06EF3ACC-DBBE-47EE-9196-D2DB280D5FFF}"/>
    <cellStyle name="20% - Accent2 4 3 3 20" xfId="37774" xr:uid="{93D30D6A-C5A4-4C6F-A5B8-F525149BFECF}"/>
    <cellStyle name="20% - Accent2 4 3 3 21" xfId="39664" xr:uid="{4F0EEA2E-4DC4-4AD2-BC34-92E9356CEFB7}"/>
    <cellStyle name="20% - Accent2 4 3 3 22" xfId="41555" xr:uid="{9DCE2654-F6CA-487C-88AC-E2B7F468F14E}"/>
    <cellStyle name="20% - Accent2 4 3 3 3" xfId="5644" xr:uid="{89178C3A-C39F-488B-BC74-52678C3EA5F5}"/>
    <cellStyle name="20% - Accent2 4 3 3 4" xfId="7534" xr:uid="{B9464F10-E410-4821-8FEB-5219BD14C747}"/>
    <cellStyle name="20% - Accent2 4 3 3 5" xfId="9424" xr:uid="{728B7EBE-E714-430D-BEE1-79398F0D5129}"/>
    <cellStyle name="20% - Accent2 4 3 3 6" xfId="11314" xr:uid="{F746BB5B-2FE1-42D5-8CBC-DB3EC4B84216}"/>
    <cellStyle name="20% - Accent2 4 3 3 7" xfId="13204" xr:uid="{BCD8A76A-5B01-4381-BE5E-3A68C3E69C75}"/>
    <cellStyle name="20% - Accent2 4 3 3 8" xfId="15094" xr:uid="{A9775683-823B-4047-9682-B022746E81BC}"/>
    <cellStyle name="20% - Accent2 4 3 3 9" xfId="16984" xr:uid="{C8E1029A-6475-4721-BA26-6E865EE9D718}"/>
    <cellStyle name="20% - Accent2 4 3 4" xfId="2494" xr:uid="{736EF8CE-5A78-45D9-8D99-70163C565A2C}"/>
    <cellStyle name="20% - Accent2 4 3 5" xfId="4384" xr:uid="{A1CE0120-E4E4-4A06-82CA-487E6D04861C}"/>
    <cellStyle name="20% - Accent2 4 3 6" xfId="6274" xr:uid="{38F278E0-67EE-46F3-BB51-AF7C2A51B7E1}"/>
    <cellStyle name="20% - Accent2 4 3 7" xfId="8164" xr:uid="{75F04AF8-3D9C-4FE5-B00A-2702262610F5}"/>
    <cellStyle name="20% - Accent2 4 3 8" xfId="10054" xr:uid="{B3063276-3D79-4B8D-8F0D-9C09A0BA7004}"/>
    <cellStyle name="20% - Accent2 4 3 9" xfId="11944" xr:uid="{654E64CA-F56C-4AA8-A2F5-55E30998E265}"/>
    <cellStyle name="20% - Accent2 4 4" xfId="814" xr:uid="{1788AEDC-A76C-41A8-BA12-C7F4FB31330C}"/>
    <cellStyle name="20% - Accent2 4 4 10" xfId="17824" xr:uid="{B638D16D-F412-4B0B-AE2D-0A5FAA78EE2B}"/>
    <cellStyle name="20% - Accent2 4 4 11" xfId="19714" xr:uid="{DEF5DC7C-6540-4996-9005-2E0A6D81D333}"/>
    <cellStyle name="20% - Accent2 4 4 12" xfId="21604" xr:uid="{F5B73B6D-09D1-4B69-A546-8834A103EAA5}"/>
    <cellStyle name="20% - Accent2 4 4 13" xfId="23494" xr:uid="{B48AC119-1A41-4EDF-9876-65CE56BE2987}"/>
    <cellStyle name="20% - Accent2 4 4 14" xfId="25384" xr:uid="{E0E0E226-0E8A-4B0E-8D53-DBFEF4C2909E}"/>
    <cellStyle name="20% - Accent2 4 4 15" xfId="27274" xr:uid="{F0BE246D-CF34-4DFE-9F38-E495AC7F82EC}"/>
    <cellStyle name="20% - Accent2 4 4 16" xfId="29164" xr:uid="{46AEB0F0-B61F-4EFA-A109-E3EEB09FC158}"/>
    <cellStyle name="20% - Accent2 4 4 17" xfId="31054" xr:uid="{A26B5BB4-EC2F-4209-8FF5-CF13456769D0}"/>
    <cellStyle name="20% - Accent2 4 4 18" xfId="32944" xr:uid="{EF090B8B-B63E-490F-9007-E8BB1E5C60EC}"/>
    <cellStyle name="20% - Accent2 4 4 19" xfId="34834" xr:uid="{01869526-9873-4333-AD7C-B0057E4DEE78}"/>
    <cellStyle name="20% - Accent2 4 4 2" xfId="2704" xr:uid="{5B76D8C6-546B-4074-80A6-A00BB8D574A8}"/>
    <cellStyle name="20% - Accent2 4 4 20" xfId="36724" xr:uid="{70C340F8-24E7-4E3B-80ED-214C46AA194B}"/>
    <cellStyle name="20% - Accent2 4 4 21" xfId="38614" xr:uid="{C27BFE35-3E1E-4CE5-88CD-922D1AA43266}"/>
    <cellStyle name="20% - Accent2 4 4 22" xfId="40505" xr:uid="{106E8A0A-5C2B-4737-968A-F6BE3A4B1BC3}"/>
    <cellStyle name="20% - Accent2 4 4 3" xfId="4594" xr:uid="{96E395D9-953C-494F-8E68-907A5F30559B}"/>
    <cellStyle name="20% - Accent2 4 4 4" xfId="6484" xr:uid="{5038CDB8-A02D-4418-9137-929248968EA7}"/>
    <cellStyle name="20% - Accent2 4 4 5" xfId="8374" xr:uid="{B7F9D961-8EA4-43AC-9BCF-14F76D293CF9}"/>
    <cellStyle name="20% - Accent2 4 4 6" xfId="10264" xr:uid="{1FE79E1A-DEDF-429B-863C-D099B7462E90}"/>
    <cellStyle name="20% - Accent2 4 4 7" xfId="12154" xr:uid="{656C4FA3-9B97-43DE-9314-A1A475AE6222}"/>
    <cellStyle name="20% - Accent2 4 4 8" xfId="14044" xr:uid="{DDA97B41-5771-49D0-8A4C-C72CE6876BE9}"/>
    <cellStyle name="20% - Accent2 4 4 9" xfId="15934" xr:uid="{C946738F-3171-4185-8C54-229B1DA4B448}"/>
    <cellStyle name="20% - Accent2 4 5" xfId="1444" xr:uid="{566FD296-8610-4F48-B6FF-0A450AEA1E91}"/>
    <cellStyle name="20% - Accent2 4 5 10" xfId="18454" xr:uid="{9750C27C-A44D-4D3F-A73B-6B5FD63E78CC}"/>
    <cellStyle name="20% - Accent2 4 5 11" xfId="20344" xr:uid="{1628B94B-8D93-4A69-9AD9-FC85B9DDCB74}"/>
    <cellStyle name="20% - Accent2 4 5 12" xfId="22234" xr:uid="{655BF975-62FD-41C1-9589-89057768AA94}"/>
    <cellStyle name="20% - Accent2 4 5 13" xfId="24124" xr:uid="{9932BE9F-0259-4D7B-A0A0-72ABB61B74F8}"/>
    <cellStyle name="20% - Accent2 4 5 14" xfId="26014" xr:uid="{F49D987F-C719-4F7D-86B9-E6122F955DD4}"/>
    <cellStyle name="20% - Accent2 4 5 15" xfId="27904" xr:uid="{F3E1AB8A-8B54-4F61-8602-F98E0371D418}"/>
    <cellStyle name="20% - Accent2 4 5 16" xfId="29794" xr:uid="{9E3F8633-5893-4847-AD61-7E2077A62E8F}"/>
    <cellStyle name="20% - Accent2 4 5 17" xfId="31684" xr:uid="{ACEFDFBC-7E05-4303-9F4D-820B03E1D94D}"/>
    <cellStyle name="20% - Accent2 4 5 18" xfId="33574" xr:uid="{542190ED-6455-40D3-B76C-EAFF82FD151D}"/>
    <cellStyle name="20% - Accent2 4 5 19" xfId="35464" xr:uid="{36EEC6A9-4D3A-49E5-800E-E374D9B23B8A}"/>
    <cellStyle name="20% - Accent2 4 5 2" xfId="3334" xr:uid="{569E0955-DA85-4ABF-9DE8-5596990AB49C}"/>
    <cellStyle name="20% - Accent2 4 5 20" xfId="37354" xr:uid="{C591F490-AA56-4AED-8D99-AE920DD17740}"/>
    <cellStyle name="20% - Accent2 4 5 21" xfId="39244" xr:uid="{8B75FABB-3FF9-4B3F-85E4-880A9CFB09B2}"/>
    <cellStyle name="20% - Accent2 4 5 22" xfId="41135" xr:uid="{F7B1C910-761C-409B-B374-B5C1A01D8BB9}"/>
    <cellStyle name="20% - Accent2 4 5 3" xfId="5224" xr:uid="{75BEBDAC-CE47-47D8-91F2-49AD6E314469}"/>
    <cellStyle name="20% - Accent2 4 5 4" xfId="7114" xr:uid="{591BABC1-4722-47A3-867E-1CB639B415F1}"/>
    <cellStyle name="20% - Accent2 4 5 5" xfId="9004" xr:uid="{92F0E049-73AD-4EE0-B2EE-BCDAAA1CEACE}"/>
    <cellStyle name="20% - Accent2 4 5 6" xfId="10894" xr:uid="{ECB30264-B9C3-4C01-8D8C-78E73477A906}"/>
    <cellStyle name="20% - Accent2 4 5 7" xfId="12784" xr:uid="{83BF3BA7-55EE-436C-AE1D-8D71028DE6C5}"/>
    <cellStyle name="20% - Accent2 4 5 8" xfId="14674" xr:uid="{7A35CFE1-27D1-4087-8C70-2E34DD82954C}"/>
    <cellStyle name="20% - Accent2 4 5 9" xfId="16564" xr:uid="{DBD76D8D-9EC2-4B2A-810D-5EF97A36B191}"/>
    <cellStyle name="20% - Accent2 4 6" xfId="2074" xr:uid="{B59DA67E-E350-472D-BF6E-B278C267C48A}"/>
    <cellStyle name="20% - Accent2 4 7" xfId="3964" xr:uid="{B9A3341A-A808-43FC-A21C-3538B99B77BB}"/>
    <cellStyle name="20% - Accent2 4 8" xfId="5854" xr:uid="{2DDAB78A-731E-4809-BC90-15DDD15FC5C0}"/>
    <cellStyle name="20% - Accent2 4 9" xfId="7744" xr:uid="{E6D4AEB8-2BCD-42AA-A53D-6B570766283C}"/>
    <cellStyle name="20% - Accent2 5" xfId="289" xr:uid="{1CDA1CA3-BBE3-48CF-AEB0-6979E1E1F4C0}"/>
    <cellStyle name="20% - Accent2 5 10" xfId="13519" xr:uid="{11FB69E7-2BED-426E-906B-88AE8C958AEA}"/>
    <cellStyle name="20% - Accent2 5 11" xfId="15409" xr:uid="{F8134719-DE93-4259-8D24-71EE5187A688}"/>
    <cellStyle name="20% - Accent2 5 12" xfId="17299" xr:uid="{762D43FA-5B92-4671-9AB4-3BB833AE9DC2}"/>
    <cellStyle name="20% - Accent2 5 13" xfId="19189" xr:uid="{35D3DB48-8EF9-47F1-BC8F-26A04DA9F212}"/>
    <cellStyle name="20% - Accent2 5 14" xfId="21079" xr:uid="{40F6B97C-18E1-40E3-9B07-DFF5FAA89C92}"/>
    <cellStyle name="20% - Accent2 5 15" xfId="22969" xr:uid="{9235D426-B4E0-499B-AD8E-A92CE28CE9ED}"/>
    <cellStyle name="20% - Accent2 5 16" xfId="24859" xr:uid="{8CCFD9A6-4723-4D38-9252-8CA51BB31424}"/>
    <cellStyle name="20% - Accent2 5 17" xfId="26749" xr:uid="{285D2CA5-E943-4723-B2E2-DF55D2DCCBC8}"/>
    <cellStyle name="20% - Accent2 5 18" xfId="28639" xr:uid="{EDEEA11A-0574-4D71-8064-83ECC2543E43}"/>
    <cellStyle name="20% - Accent2 5 19" xfId="30529" xr:uid="{75F52CC7-D3DF-4D8E-88B5-1441E6D39F63}"/>
    <cellStyle name="20% - Accent2 5 2" xfId="919" xr:uid="{9FF10D23-72FD-44FA-AEF5-59076AAEA402}"/>
    <cellStyle name="20% - Accent2 5 2 10" xfId="17929" xr:uid="{DC212354-E725-4A4E-B1C2-7C4DAEE74C41}"/>
    <cellStyle name="20% - Accent2 5 2 11" xfId="19819" xr:uid="{EDB26912-DC87-4227-ABD2-4DF7EB7ED6C6}"/>
    <cellStyle name="20% - Accent2 5 2 12" xfId="21709" xr:uid="{67E4136C-410E-49EA-BB7E-206F200F0E22}"/>
    <cellStyle name="20% - Accent2 5 2 13" xfId="23599" xr:uid="{936BD840-D315-43E3-AAA9-4B0A8A83EAE7}"/>
    <cellStyle name="20% - Accent2 5 2 14" xfId="25489" xr:uid="{1D23142A-A628-48C6-8130-445D4E39D615}"/>
    <cellStyle name="20% - Accent2 5 2 15" xfId="27379" xr:uid="{57E94FCA-44CE-4A42-8873-03E9338EBEE0}"/>
    <cellStyle name="20% - Accent2 5 2 16" xfId="29269" xr:uid="{EB2D9198-C03F-425A-9372-74AE092C6D37}"/>
    <cellStyle name="20% - Accent2 5 2 17" xfId="31159" xr:uid="{8EA2562F-CDD9-4555-9458-8105C7D464D2}"/>
    <cellStyle name="20% - Accent2 5 2 18" xfId="33049" xr:uid="{8524A53B-9652-4EFC-8199-DC6F83B98A99}"/>
    <cellStyle name="20% - Accent2 5 2 19" xfId="34939" xr:uid="{20B91EC4-349D-4B9D-91C1-A1F7B29D9DD9}"/>
    <cellStyle name="20% - Accent2 5 2 2" xfId="2809" xr:uid="{0E70BC34-7806-4DE4-B59C-C4A3C7932469}"/>
    <cellStyle name="20% - Accent2 5 2 20" xfId="36829" xr:uid="{5CD1E52A-F065-4E82-840D-DE9BE54C557B}"/>
    <cellStyle name="20% - Accent2 5 2 21" xfId="38719" xr:uid="{8A823994-C230-49BE-9E2E-95DF3A521E3E}"/>
    <cellStyle name="20% - Accent2 5 2 22" xfId="40610" xr:uid="{93C4B399-4548-4888-B7E2-2D32E57B60FB}"/>
    <cellStyle name="20% - Accent2 5 2 3" xfId="4699" xr:uid="{5DE92EE1-052B-4817-A841-10AB0BD118B0}"/>
    <cellStyle name="20% - Accent2 5 2 4" xfId="6589" xr:uid="{514F58E3-05EE-4CE9-89CD-57D8A8FD6F5C}"/>
    <cellStyle name="20% - Accent2 5 2 5" xfId="8479" xr:uid="{BC8F31DA-7E25-416D-973B-BBCB9ED1FB06}"/>
    <cellStyle name="20% - Accent2 5 2 6" xfId="10369" xr:uid="{D31F1CB6-DCE3-409A-A059-7343F78CBF25}"/>
    <cellStyle name="20% - Accent2 5 2 7" xfId="12259" xr:uid="{CE1A85FC-00E4-45C5-9E40-3E9D38F8E0D2}"/>
    <cellStyle name="20% - Accent2 5 2 8" xfId="14149" xr:uid="{84B45B32-D55F-4886-ACA3-825F09B48FB9}"/>
    <cellStyle name="20% - Accent2 5 2 9" xfId="16039" xr:uid="{321EC3F5-0363-4B50-B495-1900BD025872}"/>
    <cellStyle name="20% - Accent2 5 20" xfId="32419" xr:uid="{5E061E14-E3D9-4DB1-B8AF-B1B5247391F7}"/>
    <cellStyle name="20% - Accent2 5 21" xfId="34309" xr:uid="{FD92215D-A4DB-4A48-B47F-77A944AC632A}"/>
    <cellStyle name="20% - Accent2 5 22" xfId="36199" xr:uid="{1A1074F3-9A8D-4C7E-AB49-EF23A9190E89}"/>
    <cellStyle name="20% - Accent2 5 23" xfId="38089" xr:uid="{A4A0D6DC-918B-49AA-97A9-A777170789E6}"/>
    <cellStyle name="20% - Accent2 5 24" xfId="39980" xr:uid="{5D0696D6-7D99-46CE-8B37-065DE2372452}"/>
    <cellStyle name="20% - Accent2 5 3" xfId="1549" xr:uid="{189E6716-E39B-44FE-A560-CEC861865D1A}"/>
    <cellStyle name="20% - Accent2 5 3 10" xfId="18559" xr:uid="{0397B75E-7C95-4C9A-A74B-D3A677D80F39}"/>
    <cellStyle name="20% - Accent2 5 3 11" xfId="20449" xr:uid="{2D28DA19-32AC-483D-9FC7-8AA534E0CC92}"/>
    <cellStyle name="20% - Accent2 5 3 12" xfId="22339" xr:uid="{8105BA50-4F3E-472B-9818-2B828D88A2F1}"/>
    <cellStyle name="20% - Accent2 5 3 13" xfId="24229" xr:uid="{381A4A1B-75F2-4763-A2CD-9BC148528C90}"/>
    <cellStyle name="20% - Accent2 5 3 14" xfId="26119" xr:uid="{3AE0E46B-49C2-4930-B3DA-0E91C29686DC}"/>
    <cellStyle name="20% - Accent2 5 3 15" xfId="28009" xr:uid="{5F92260D-9B3C-4400-84D0-229F27F95BC2}"/>
    <cellStyle name="20% - Accent2 5 3 16" xfId="29899" xr:uid="{5228BD83-7584-4275-8964-1DAEB25F94B8}"/>
    <cellStyle name="20% - Accent2 5 3 17" xfId="31789" xr:uid="{F8F1CCB4-9858-4888-A942-0C2D2690ECBD}"/>
    <cellStyle name="20% - Accent2 5 3 18" xfId="33679" xr:uid="{A06F183B-B059-4F2D-847C-810144D42F8D}"/>
    <cellStyle name="20% - Accent2 5 3 19" xfId="35569" xr:uid="{5972604D-3F30-46D6-A040-2E099DDBCA18}"/>
    <cellStyle name="20% - Accent2 5 3 2" xfId="3439" xr:uid="{2E51A9F3-958F-40FB-8758-75C606A53112}"/>
    <cellStyle name="20% - Accent2 5 3 20" xfId="37459" xr:uid="{48DF59C0-FFD5-47F3-976C-4D38D1E32970}"/>
    <cellStyle name="20% - Accent2 5 3 21" xfId="39349" xr:uid="{3CC24051-6FD1-44E0-B9E8-BBDFCEF3E1D3}"/>
    <cellStyle name="20% - Accent2 5 3 22" xfId="41240" xr:uid="{1E81667A-8545-4BB4-A269-833DB6F41795}"/>
    <cellStyle name="20% - Accent2 5 3 3" xfId="5329" xr:uid="{4AE12492-1B7A-443A-8173-5CEA22D922B5}"/>
    <cellStyle name="20% - Accent2 5 3 4" xfId="7219" xr:uid="{E1356BA3-F693-4726-9F9F-56E8FB6C04A2}"/>
    <cellStyle name="20% - Accent2 5 3 5" xfId="9109" xr:uid="{875AA22D-B9E7-4884-A7BC-AEF094442059}"/>
    <cellStyle name="20% - Accent2 5 3 6" xfId="10999" xr:uid="{6CE38F54-B129-449A-855E-50EE26D2B611}"/>
    <cellStyle name="20% - Accent2 5 3 7" xfId="12889" xr:uid="{5D34C3FE-D44D-44FB-BC4F-D6C05548DFEC}"/>
    <cellStyle name="20% - Accent2 5 3 8" xfId="14779" xr:uid="{B0046A46-5DC3-4FDB-8517-30C41FA6C5F6}"/>
    <cellStyle name="20% - Accent2 5 3 9" xfId="16669" xr:uid="{C5CD766A-0D55-47BA-9892-F79A8EE10228}"/>
    <cellStyle name="20% - Accent2 5 4" xfId="2179" xr:uid="{A0BAF34A-9E7B-4420-8A20-E058893B906D}"/>
    <cellStyle name="20% - Accent2 5 5" xfId="4069" xr:uid="{959BB566-210B-4CA6-9DF6-F18C094D8032}"/>
    <cellStyle name="20% - Accent2 5 6" xfId="5959" xr:uid="{DDFD4E2A-ECE9-4798-8D11-8F0C1FC4971E}"/>
    <cellStyle name="20% - Accent2 5 7" xfId="7849" xr:uid="{F8073CC2-1B5F-44F7-BF11-D84A7CA32E6A}"/>
    <cellStyle name="20% - Accent2 5 8" xfId="9739" xr:uid="{CAA64CD7-E2B4-4E81-AFFE-2976EC4C864C}"/>
    <cellStyle name="20% - Accent2 5 9" xfId="11629" xr:uid="{C845CE35-C833-4A3A-A8CB-4332E7D1ADC1}"/>
    <cellStyle name="20% - Accent2 6" xfId="499" xr:uid="{3843AE05-5482-4455-B430-177F8F55563D}"/>
    <cellStyle name="20% - Accent2 6 10" xfId="13729" xr:uid="{7F291925-1475-402A-A14F-34A0939D3342}"/>
    <cellStyle name="20% - Accent2 6 11" xfId="15619" xr:uid="{2F530C1D-210D-4C8A-8C54-346192A7E218}"/>
    <cellStyle name="20% - Accent2 6 12" xfId="17509" xr:uid="{EBAA732E-591A-40E3-AA35-895C3FDAD2E3}"/>
    <cellStyle name="20% - Accent2 6 13" xfId="19399" xr:uid="{6B91D462-5197-4F70-9E73-9C47711FA35F}"/>
    <cellStyle name="20% - Accent2 6 14" xfId="21289" xr:uid="{6B8D5984-5986-41DA-9D3D-CDCB78FB96AA}"/>
    <cellStyle name="20% - Accent2 6 15" xfId="23179" xr:uid="{3B45DB1D-0972-43F4-8DA3-6629636B0E27}"/>
    <cellStyle name="20% - Accent2 6 16" xfId="25069" xr:uid="{F5918BD3-8A27-4906-9D5C-EFC618A01E03}"/>
    <cellStyle name="20% - Accent2 6 17" xfId="26959" xr:uid="{FCE4A527-57FF-40EB-A84A-A4EB976187B9}"/>
    <cellStyle name="20% - Accent2 6 18" xfId="28849" xr:uid="{A87DBF6C-E079-4454-B900-75E3CFCB7ADB}"/>
    <cellStyle name="20% - Accent2 6 19" xfId="30739" xr:uid="{37BCD05B-7A83-4D39-BC64-EF0AF4CD5D3B}"/>
    <cellStyle name="20% - Accent2 6 2" xfId="1129" xr:uid="{3A424AA7-5443-46F1-B21F-C2DC68E82602}"/>
    <cellStyle name="20% - Accent2 6 2 10" xfId="18139" xr:uid="{991495EB-53B3-49F8-B736-2369A01BFE06}"/>
    <cellStyle name="20% - Accent2 6 2 11" xfId="20029" xr:uid="{DFC566F6-FB38-44BA-819C-1E05104A7B61}"/>
    <cellStyle name="20% - Accent2 6 2 12" xfId="21919" xr:uid="{BEC7BAF0-C55D-402B-8EF4-DDA8B053E0C9}"/>
    <cellStyle name="20% - Accent2 6 2 13" xfId="23809" xr:uid="{8EAB3214-2BA7-4154-A1E5-3E87744D8A66}"/>
    <cellStyle name="20% - Accent2 6 2 14" xfId="25699" xr:uid="{AC8F77A5-697D-4F86-BE48-05FB8BA94873}"/>
    <cellStyle name="20% - Accent2 6 2 15" xfId="27589" xr:uid="{73E28B72-2A1F-423C-8DF1-B2B9629FEE5C}"/>
    <cellStyle name="20% - Accent2 6 2 16" xfId="29479" xr:uid="{B5183FA9-FD52-4F50-B8DA-1B96AA65C5FC}"/>
    <cellStyle name="20% - Accent2 6 2 17" xfId="31369" xr:uid="{BD59656F-9032-45B0-86CA-4639B8935E87}"/>
    <cellStyle name="20% - Accent2 6 2 18" xfId="33259" xr:uid="{E3F1F716-113C-4955-9919-C0BDFA1EE15F}"/>
    <cellStyle name="20% - Accent2 6 2 19" xfId="35149" xr:uid="{9E3716BC-C606-45AD-B871-72EE3015E621}"/>
    <cellStyle name="20% - Accent2 6 2 2" xfId="3019" xr:uid="{2EB9C388-380C-4A1C-9D17-5F2EACF3F539}"/>
    <cellStyle name="20% - Accent2 6 2 20" xfId="37039" xr:uid="{FF1836C8-9F1B-4786-A645-6E1C7DE36ABD}"/>
    <cellStyle name="20% - Accent2 6 2 21" xfId="38929" xr:uid="{AEE041AB-E411-4AEB-BC03-1CD77B430A0B}"/>
    <cellStyle name="20% - Accent2 6 2 22" xfId="40820" xr:uid="{D071A5B3-3E9B-4951-ADDE-AD4A589197DB}"/>
    <cellStyle name="20% - Accent2 6 2 3" xfId="4909" xr:uid="{2DA88686-E678-4565-8503-DB9480D6C58E}"/>
    <cellStyle name="20% - Accent2 6 2 4" xfId="6799" xr:uid="{78B99F6B-286C-4FA1-AAC6-9C62875D1BBF}"/>
    <cellStyle name="20% - Accent2 6 2 5" xfId="8689" xr:uid="{196049DF-399B-466A-BE19-CEF46E2C8C7B}"/>
    <cellStyle name="20% - Accent2 6 2 6" xfId="10579" xr:uid="{DF892A00-AD26-44AB-AF38-03EA45675F94}"/>
    <cellStyle name="20% - Accent2 6 2 7" xfId="12469" xr:uid="{973D74DE-8E60-40DD-A394-759A79AAE738}"/>
    <cellStyle name="20% - Accent2 6 2 8" xfId="14359" xr:uid="{EB76D08F-9397-4AF8-A9E9-A5849F360DA7}"/>
    <cellStyle name="20% - Accent2 6 2 9" xfId="16249" xr:uid="{854626BD-FAF9-4ACD-9422-427DAD1BC3DE}"/>
    <cellStyle name="20% - Accent2 6 20" xfId="32629" xr:uid="{C0B911F8-C5F8-4E03-8C1F-A94242F8EF79}"/>
    <cellStyle name="20% - Accent2 6 21" xfId="34519" xr:uid="{D24140AC-14BA-46F9-B8E5-0DE3D6E41EAF}"/>
    <cellStyle name="20% - Accent2 6 22" xfId="36409" xr:uid="{067D45B9-C77A-4E9E-8777-C45D890C3210}"/>
    <cellStyle name="20% - Accent2 6 23" xfId="38299" xr:uid="{19AE043E-2CFF-4E6C-B85C-07ED34594E37}"/>
    <cellStyle name="20% - Accent2 6 24" xfId="40190" xr:uid="{E8D5BB1A-A0A2-44B3-973E-9DEF30EEC8CE}"/>
    <cellStyle name="20% - Accent2 6 3" xfId="1759" xr:uid="{5117DC18-A178-4E93-A49C-73677287822C}"/>
    <cellStyle name="20% - Accent2 6 3 10" xfId="18769" xr:uid="{2B0A540C-47BC-4640-BC99-A66C6CC66CF7}"/>
    <cellStyle name="20% - Accent2 6 3 11" xfId="20659" xr:uid="{DE658F7A-4BB2-4D5B-9626-1727E20195C4}"/>
    <cellStyle name="20% - Accent2 6 3 12" xfId="22549" xr:uid="{F4AAEBC7-7C16-436E-8C23-0A1CC7D29993}"/>
    <cellStyle name="20% - Accent2 6 3 13" xfId="24439" xr:uid="{6AFF7545-935C-48FB-8ED0-08AE79DB06B0}"/>
    <cellStyle name="20% - Accent2 6 3 14" xfId="26329" xr:uid="{0EC717BF-4D97-475F-9BEC-CD03AC53656D}"/>
    <cellStyle name="20% - Accent2 6 3 15" xfId="28219" xr:uid="{4CAB050F-4E43-4D0F-AFDC-1DC67300EA67}"/>
    <cellStyle name="20% - Accent2 6 3 16" xfId="30109" xr:uid="{3F10C886-7D68-4F97-942B-B989BD4E88B8}"/>
    <cellStyle name="20% - Accent2 6 3 17" xfId="31999" xr:uid="{A641BC02-67E4-47E7-8733-C8AC86FF9EE2}"/>
    <cellStyle name="20% - Accent2 6 3 18" xfId="33889" xr:uid="{97B8C53B-005C-473A-8794-AE430FB3D4F8}"/>
    <cellStyle name="20% - Accent2 6 3 19" xfId="35779" xr:uid="{9D2AAD94-9F76-4B0B-8F99-4311B80F6B8F}"/>
    <cellStyle name="20% - Accent2 6 3 2" xfId="3649" xr:uid="{DC34EF85-F899-449A-89ED-BE1BD60B5995}"/>
    <cellStyle name="20% - Accent2 6 3 20" xfId="37669" xr:uid="{E2E9194D-FCB2-417A-B6CB-E9285F8BD43A}"/>
    <cellStyle name="20% - Accent2 6 3 21" xfId="39559" xr:uid="{2E0899B0-00B3-4357-8A61-D235AB50A6E2}"/>
    <cellStyle name="20% - Accent2 6 3 22" xfId="41450" xr:uid="{60778FF1-F43B-41E3-838F-5E1CF1FBA02E}"/>
    <cellStyle name="20% - Accent2 6 3 3" xfId="5539" xr:uid="{B6C21C97-4411-4BCF-897C-525754705A66}"/>
    <cellStyle name="20% - Accent2 6 3 4" xfId="7429" xr:uid="{6F2803B4-4FC4-49CD-90CA-90E53C14DF47}"/>
    <cellStyle name="20% - Accent2 6 3 5" xfId="9319" xr:uid="{A586E5D4-BDFC-448F-8057-26C3DA02E43D}"/>
    <cellStyle name="20% - Accent2 6 3 6" xfId="11209" xr:uid="{DC693FD7-A304-4204-94A2-F1A3C7A2223D}"/>
    <cellStyle name="20% - Accent2 6 3 7" xfId="13099" xr:uid="{D38B95EB-6EF5-4F0D-BF3C-744594461118}"/>
    <cellStyle name="20% - Accent2 6 3 8" xfId="14989" xr:uid="{25499746-B413-4A0E-B3A5-AF94864B0B1C}"/>
    <cellStyle name="20% - Accent2 6 3 9" xfId="16879" xr:uid="{0E08B7F4-5476-4BE9-965A-459FE3581AEC}"/>
    <cellStyle name="20% - Accent2 6 4" xfId="2389" xr:uid="{AF1ADDA7-CF45-4B93-AFE6-ED05FF548507}"/>
    <cellStyle name="20% - Accent2 6 5" xfId="4279" xr:uid="{7903C184-0C59-4706-9132-718A6EDA8A40}"/>
    <cellStyle name="20% - Accent2 6 6" xfId="6169" xr:uid="{C8F97EDD-A3EE-4A49-BE48-11440C31C668}"/>
    <cellStyle name="20% - Accent2 6 7" xfId="8059" xr:uid="{83900EB2-D8EE-4FC3-B8A4-6357B9328B54}"/>
    <cellStyle name="20% - Accent2 6 8" xfId="9949" xr:uid="{4EDBA912-C878-42A7-AA3D-0639FC1ABD12}"/>
    <cellStyle name="20% - Accent2 6 9" xfId="11839" xr:uid="{C29693F7-C01A-41EC-B8C8-5C998B84041B}"/>
    <cellStyle name="20% - Accent2 7" xfId="709" xr:uid="{5AE25A96-E18F-4BDA-99ED-7E5AB79A790F}"/>
    <cellStyle name="20% - Accent2 7 10" xfId="17719" xr:uid="{DA6A41C5-A125-4970-A5AB-054B57C7194B}"/>
    <cellStyle name="20% - Accent2 7 11" xfId="19609" xr:uid="{D39F37D6-17BC-4134-B3E5-B0FE950CDC83}"/>
    <cellStyle name="20% - Accent2 7 12" xfId="21499" xr:uid="{9F067BD1-7E18-4203-B46C-31346309831F}"/>
    <cellStyle name="20% - Accent2 7 13" xfId="23389" xr:uid="{D4991E08-048D-4CA3-8DB1-90FC35A0803F}"/>
    <cellStyle name="20% - Accent2 7 14" xfId="25279" xr:uid="{9CD929E0-A91C-4E2E-8BDF-15A46E970351}"/>
    <cellStyle name="20% - Accent2 7 15" xfId="27169" xr:uid="{4FE61A74-E0C2-48A3-960B-998E3B22BBE1}"/>
    <cellStyle name="20% - Accent2 7 16" xfId="29059" xr:uid="{60E77F74-455F-4E38-9B11-164FA189B1FB}"/>
    <cellStyle name="20% - Accent2 7 17" xfId="30949" xr:uid="{84E59C32-E74F-4077-A501-93949FE08E56}"/>
    <cellStyle name="20% - Accent2 7 18" xfId="32839" xr:uid="{D406AA99-D669-421D-BF02-D2D506F876AE}"/>
    <cellStyle name="20% - Accent2 7 19" xfId="34729" xr:uid="{CF4B71C1-2584-4C17-840F-606056CFBE59}"/>
    <cellStyle name="20% - Accent2 7 2" xfId="2599" xr:uid="{6E1B7DE9-AB64-4D26-AEA7-6C94E7BB28B8}"/>
    <cellStyle name="20% - Accent2 7 20" xfId="36619" xr:uid="{EA6DCC66-51F1-4962-A1D5-2BF67122966A}"/>
    <cellStyle name="20% - Accent2 7 21" xfId="38509" xr:uid="{96DC83D4-E0E0-48A1-827A-D3DB8A4F419B}"/>
    <cellStyle name="20% - Accent2 7 22" xfId="40400" xr:uid="{7278D3DB-F19A-4D1D-AC4E-B6FCA483C16E}"/>
    <cellStyle name="20% - Accent2 7 3" xfId="4489" xr:uid="{C5EFC8A4-EFFF-4429-A3D8-6CAB8C460327}"/>
    <cellStyle name="20% - Accent2 7 4" xfId="6379" xr:uid="{505706C2-A08E-40F8-8EFE-A22B5E0CE4EE}"/>
    <cellStyle name="20% - Accent2 7 5" xfId="8269" xr:uid="{59889DE0-5694-40BC-9881-C1541D83182C}"/>
    <cellStyle name="20% - Accent2 7 6" xfId="10159" xr:uid="{77CF0773-47D6-4EB7-89B3-4272CA3EBB39}"/>
    <cellStyle name="20% - Accent2 7 7" xfId="12049" xr:uid="{63ABD07D-D6D9-4405-9818-744B663D4A6A}"/>
    <cellStyle name="20% - Accent2 7 8" xfId="13939" xr:uid="{2C4BED89-9434-488D-9C45-2CCF53111280}"/>
    <cellStyle name="20% - Accent2 7 9" xfId="15829" xr:uid="{BC650364-76BB-4E75-A190-33C252FAE90D}"/>
    <cellStyle name="20% - Accent2 8" xfId="1339" xr:uid="{BA07997D-9883-4BC7-8706-DA024240FC84}"/>
    <cellStyle name="20% - Accent2 8 10" xfId="18349" xr:uid="{274120EB-F5A2-456E-A67C-C481AD41F9A5}"/>
    <cellStyle name="20% - Accent2 8 11" xfId="20239" xr:uid="{8D2B05F6-E654-411C-AAFE-3875CF8E9064}"/>
    <cellStyle name="20% - Accent2 8 12" xfId="22129" xr:uid="{A9091AD6-D808-4F64-BCBC-46C4C3ACBFD5}"/>
    <cellStyle name="20% - Accent2 8 13" xfId="24019" xr:uid="{D9DA4FB4-989B-4961-BD5D-D982004A5CA7}"/>
    <cellStyle name="20% - Accent2 8 14" xfId="25909" xr:uid="{A99A42C6-7077-4BB7-9C7E-15D77B734747}"/>
    <cellStyle name="20% - Accent2 8 15" xfId="27799" xr:uid="{DF9533BC-A780-44DE-A8DC-210C9C37AA32}"/>
    <cellStyle name="20% - Accent2 8 16" xfId="29689" xr:uid="{8FB70513-0BDA-4D25-9A65-7F088157BBE4}"/>
    <cellStyle name="20% - Accent2 8 17" xfId="31579" xr:uid="{B36B8985-3729-46B0-B9CD-2F1586611D98}"/>
    <cellStyle name="20% - Accent2 8 18" xfId="33469" xr:uid="{45D4DB98-4080-461C-B330-C46B0B3F1122}"/>
    <cellStyle name="20% - Accent2 8 19" xfId="35359" xr:uid="{F310A209-7E24-4C5D-9784-7CAE4A017137}"/>
    <cellStyle name="20% - Accent2 8 2" xfId="3229" xr:uid="{1DC6E139-46C4-40F7-A1C1-2CC96D7E0CD9}"/>
    <cellStyle name="20% - Accent2 8 20" xfId="37249" xr:uid="{5F51A953-1218-483C-B878-247B8291ADC7}"/>
    <cellStyle name="20% - Accent2 8 21" xfId="39139" xr:uid="{4EFF37A2-CE68-421D-9715-5EAF17DB0548}"/>
    <cellStyle name="20% - Accent2 8 22" xfId="41030" xr:uid="{E561605C-4BCA-46FD-B3E3-965BA342283A}"/>
    <cellStyle name="20% - Accent2 8 3" xfId="5119" xr:uid="{871C6301-EC26-4C5C-8653-83526BBBA655}"/>
    <cellStyle name="20% - Accent2 8 4" xfId="7009" xr:uid="{35238B8A-CD2F-420B-AD13-CFE3EFB8D957}"/>
    <cellStyle name="20% - Accent2 8 5" xfId="8899" xr:uid="{1827BF7A-9479-4D35-B39F-DF6C8FB08303}"/>
    <cellStyle name="20% - Accent2 8 6" xfId="10789" xr:uid="{580202C2-6A26-4A5C-AEA5-A828F05A62AF}"/>
    <cellStyle name="20% - Accent2 8 7" xfId="12679" xr:uid="{692FF612-0F04-4E5B-B0FD-494215559CA5}"/>
    <cellStyle name="20% - Accent2 8 8" xfId="14569" xr:uid="{66088567-7770-4707-81BA-57CCDF7C5AAE}"/>
    <cellStyle name="20% - Accent2 8 9" xfId="16459" xr:uid="{56F6DE3D-0D5F-4857-92A5-032543B9D5DC}"/>
    <cellStyle name="20% - Accent2 9" xfId="1969" xr:uid="{3DBFDF60-6017-4590-A8B6-B450A603909D}"/>
    <cellStyle name="20% - Accent3" xfId="79" builtinId="38" customBuiltin="1"/>
    <cellStyle name="20% - Accent3 10" xfId="3862" xr:uid="{A9701FEB-F5FA-405C-99AF-F222FF3AF12F}"/>
    <cellStyle name="20% - Accent3 11" xfId="5752" xr:uid="{3B67C5F0-FAE3-4D3D-95CB-A58F38732537}"/>
    <cellStyle name="20% - Accent3 12" xfId="7642" xr:uid="{BABB0E9C-8F28-4260-A1CA-4DAAD3FF2009}"/>
    <cellStyle name="20% - Accent3 13" xfId="9532" xr:uid="{B25E902B-7C31-4190-90DF-1030464CCEA1}"/>
    <cellStyle name="20% - Accent3 14" xfId="11422" xr:uid="{1A2E2C4B-116A-4081-8420-1494F56D7E0F}"/>
    <cellStyle name="20% - Accent3 15" xfId="13312" xr:uid="{4571851F-B5F3-4EFE-8AB9-DB5A41924924}"/>
    <cellStyle name="20% - Accent3 16" xfId="15202" xr:uid="{9E1C6250-3A18-4AF3-9091-E8BF3BDEA21E}"/>
    <cellStyle name="20% - Accent3 17" xfId="17092" xr:uid="{41F49E7F-36A9-4E16-950F-ADC661D642D2}"/>
    <cellStyle name="20% - Accent3 18" xfId="18982" xr:uid="{26F5C7A2-49A5-48E7-A46A-D91E6F6DA8E7}"/>
    <cellStyle name="20% - Accent3 19" xfId="20872" xr:uid="{1BD14BFA-2E0B-4619-BE89-8A76D673A959}"/>
    <cellStyle name="20% - Accent3 2" xfId="104" xr:uid="{44E0F359-756E-489D-B27F-CA969D4B16A7}"/>
    <cellStyle name="20% - Accent3 2 10" xfId="7664" xr:uid="{9C7EDA3B-C34A-4905-8899-ACDF307FBC3A}"/>
    <cellStyle name="20% - Accent3 2 11" xfId="9554" xr:uid="{3B7A28C9-7D81-4850-8093-AFA86507F64C}"/>
    <cellStyle name="20% - Accent3 2 12" xfId="11444" xr:uid="{5F84CB94-D927-4FD8-BC47-723C65E502E3}"/>
    <cellStyle name="20% - Accent3 2 13" xfId="13334" xr:uid="{FB813C73-CC60-4AF7-B9B8-A861FA0E11A4}"/>
    <cellStyle name="20% - Accent3 2 14" xfId="15224" xr:uid="{F00842B9-3FC6-4703-864B-9AFAE3CFC81D}"/>
    <cellStyle name="20% - Accent3 2 15" xfId="17114" xr:uid="{A92A4040-2380-4DB5-8233-D7C5084EF906}"/>
    <cellStyle name="20% - Accent3 2 16" xfId="19004" xr:uid="{20260640-1A03-46B1-8281-DE73D20962A2}"/>
    <cellStyle name="20% - Accent3 2 17" xfId="20894" xr:uid="{131ED69A-5D1C-465E-9BDE-F5101157EB22}"/>
    <cellStyle name="20% - Accent3 2 18" xfId="22784" xr:uid="{AC8A242A-6052-4109-9854-BBB32DAC844D}"/>
    <cellStyle name="20% - Accent3 2 19" xfId="24674" xr:uid="{3C1A2073-EA73-45B6-BDFE-201575E0BFE7}"/>
    <cellStyle name="20% - Accent3 2 2" xfId="209" xr:uid="{4D365F2A-CAA8-4CF7-BA12-7E5951402FA8}"/>
    <cellStyle name="20% - Accent3 2 2 10" xfId="9659" xr:uid="{6EACD677-04E8-4320-B782-E58912802D64}"/>
    <cellStyle name="20% - Accent3 2 2 11" xfId="11549" xr:uid="{7C39616A-92C2-4679-BE2C-F4A2E8A24B0D}"/>
    <cellStyle name="20% - Accent3 2 2 12" xfId="13439" xr:uid="{58D7B0ED-8D10-4343-883A-28F81CFACA8A}"/>
    <cellStyle name="20% - Accent3 2 2 13" xfId="15329" xr:uid="{8A5380FB-A811-4706-835A-4F7F81954BEC}"/>
    <cellStyle name="20% - Accent3 2 2 14" xfId="17219" xr:uid="{3E90ADFA-83BA-4586-9453-0764158A5E5A}"/>
    <cellStyle name="20% - Accent3 2 2 15" xfId="19109" xr:uid="{D79BDA9E-E245-4B24-9323-8569F181BB41}"/>
    <cellStyle name="20% - Accent3 2 2 16" xfId="20999" xr:uid="{B72E8F5F-09FF-44CE-B111-D814685581E6}"/>
    <cellStyle name="20% - Accent3 2 2 17" xfId="22889" xr:uid="{34CC5D99-12E3-42E6-AF6D-CF038E2363A6}"/>
    <cellStyle name="20% - Accent3 2 2 18" xfId="24779" xr:uid="{0D9BCBEC-781A-4A98-81C6-7E3F3CECC226}"/>
    <cellStyle name="20% - Accent3 2 2 19" xfId="26669" xr:uid="{865CF504-0398-47E9-A7C0-0189B20BCC21}"/>
    <cellStyle name="20% - Accent3 2 2 2" xfId="419" xr:uid="{1DCF105E-3774-4909-BA6B-64E2F7FDC10C}"/>
    <cellStyle name="20% - Accent3 2 2 2 10" xfId="13649" xr:uid="{869F9C74-1C37-4745-8C7B-62C800DDA02E}"/>
    <cellStyle name="20% - Accent3 2 2 2 11" xfId="15539" xr:uid="{E4A8E9D4-79A4-4CB0-A9AA-2BB14A4F2010}"/>
    <cellStyle name="20% - Accent3 2 2 2 12" xfId="17429" xr:uid="{72CD9F5C-C60B-42BD-8ABE-796BDDD715A1}"/>
    <cellStyle name="20% - Accent3 2 2 2 13" xfId="19319" xr:uid="{064EE677-E890-4E72-AFC2-DDDDF5945476}"/>
    <cellStyle name="20% - Accent3 2 2 2 14" xfId="21209" xr:uid="{3E8A426B-9C80-4459-BC91-4634A4628387}"/>
    <cellStyle name="20% - Accent3 2 2 2 15" xfId="23099" xr:uid="{6C90F9CF-3514-4838-81CC-3CFAC54F5F3A}"/>
    <cellStyle name="20% - Accent3 2 2 2 16" xfId="24989" xr:uid="{C70F88D2-FF8C-4625-9AD0-83B1FDCF6802}"/>
    <cellStyle name="20% - Accent3 2 2 2 17" xfId="26879" xr:uid="{57D7DDCC-E2FB-441F-A25C-1AB45A14BA14}"/>
    <cellStyle name="20% - Accent3 2 2 2 18" xfId="28769" xr:uid="{C084F5BE-47ED-4C36-B141-ADE92A6DDC8B}"/>
    <cellStyle name="20% - Accent3 2 2 2 19" xfId="30659" xr:uid="{BDB8B76F-F3A7-4EDB-95C1-F3770EF38D4E}"/>
    <cellStyle name="20% - Accent3 2 2 2 2" xfId="1049" xr:uid="{6B7A9CDE-8CF7-4D3D-924C-DA40058D4FE4}"/>
    <cellStyle name="20% - Accent3 2 2 2 2 10" xfId="18059" xr:uid="{5F1EEF39-BD0F-48B7-A928-A42722DCB2F6}"/>
    <cellStyle name="20% - Accent3 2 2 2 2 11" xfId="19949" xr:uid="{DFC5A7CF-1DEE-47F8-B984-F1910D0BAD54}"/>
    <cellStyle name="20% - Accent3 2 2 2 2 12" xfId="21839" xr:uid="{CDC0B346-1A58-492C-ABEE-51A2B0E43278}"/>
    <cellStyle name="20% - Accent3 2 2 2 2 13" xfId="23729" xr:uid="{6551AC63-FCFC-416C-912C-BF6320FBB43A}"/>
    <cellStyle name="20% - Accent3 2 2 2 2 14" xfId="25619" xr:uid="{F398BA62-4C74-4560-8805-2A467C77C806}"/>
    <cellStyle name="20% - Accent3 2 2 2 2 15" xfId="27509" xr:uid="{B9089F03-39AE-40E4-8A2B-A54620F9FB74}"/>
    <cellStyle name="20% - Accent3 2 2 2 2 16" xfId="29399" xr:uid="{4A1B660B-EC80-4A30-9939-AB4CB5E07895}"/>
    <cellStyle name="20% - Accent3 2 2 2 2 17" xfId="31289" xr:uid="{BE468339-C4FA-4BAA-9AB3-8D2DFB799AB4}"/>
    <cellStyle name="20% - Accent3 2 2 2 2 18" xfId="33179" xr:uid="{6C1E2D48-C0F2-40CA-B692-7D52F07F4E67}"/>
    <cellStyle name="20% - Accent3 2 2 2 2 19" xfId="35069" xr:uid="{50394C1E-49A0-41B2-92EB-954BF97D5309}"/>
    <cellStyle name="20% - Accent3 2 2 2 2 2" xfId="2939" xr:uid="{DA8E5077-8B40-48D9-9ABD-8B4A4F512E13}"/>
    <cellStyle name="20% - Accent3 2 2 2 2 20" xfId="36959" xr:uid="{50B96A28-85EC-48E8-B769-3EDBCB265D9C}"/>
    <cellStyle name="20% - Accent3 2 2 2 2 21" xfId="38849" xr:uid="{42A1D313-C195-4E22-87AE-7F00873897A7}"/>
    <cellStyle name="20% - Accent3 2 2 2 2 22" xfId="40740" xr:uid="{D39A194B-D673-46BF-B1F8-8E73FA7EEB38}"/>
    <cellStyle name="20% - Accent3 2 2 2 2 3" xfId="4829" xr:uid="{1E6EA8EC-EC70-48C8-AEEF-9D2C2E5A6974}"/>
    <cellStyle name="20% - Accent3 2 2 2 2 4" xfId="6719" xr:uid="{6A5E0302-5113-49B6-93F8-5776172458CD}"/>
    <cellStyle name="20% - Accent3 2 2 2 2 5" xfId="8609" xr:uid="{4BB8D743-3120-4A67-BC9C-95ACA11B4FBA}"/>
    <cellStyle name="20% - Accent3 2 2 2 2 6" xfId="10499" xr:uid="{2DD51B38-0362-42A6-915E-C230B77A1CD4}"/>
    <cellStyle name="20% - Accent3 2 2 2 2 7" xfId="12389" xr:uid="{ED53EB12-DE3E-4667-B338-99431D36C12E}"/>
    <cellStyle name="20% - Accent3 2 2 2 2 8" xfId="14279" xr:uid="{F14050F0-C721-486F-883A-486A5F2D112C}"/>
    <cellStyle name="20% - Accent3 2 2 2 2 9" xfId="16169" xr:uid="{5BEC9235-3A76-4F44-9710-72120CCFF54E}"/>
    <cellStyle name="20% - Accent3 2 2 2 20" xfId="32549" xr:uid="{F5005B47-2498-4593-BC05-6E0F87BC09BC}"/>
    <cellStyle name="20% - Accent3 2 2 2 21" xfId="34439" xr:uid="{23E79397-1825-4014-B7D3-858E5F2A602A}"/>
    <cellStyle name="20% - Accent3 2 2 2 22" xfId="36329" xr:uid="{34877935-E60A-4DF3-9175-46CA76292431}"/>
    <cellStyle name="20% - Accent3 2 2 2 23" xfId="38219" xr:uid="{EFFA5B84-933E-4E09-A95C-66CB012787F3}"/>
    <cellStyle name="20% - Accent3 2 2 2 24" xfId="40110" xr:uid="{FC9D30F0-11E8-4EE7-ADE2-94BA8A17FAAE}"/>
    <cellStyle name="20% - Accent3 2 2 2 3" xfId="1679" xr:uid="{ED9A8374-CB19-479D-A1EB-B2EE7CF9A281}"/>
    <cellStyle name="20% - Accent3 2 2 2 3 10" xfId="18689" xr:uid="{188E18DB-A46A-466C-B4A4-9D592C6C2FED}"/>
    <cellStyle name="20% - Accent3 2 2 2 3 11" xfId="20579" xr:uid="{E06CC9B9-8677-4D68-80D2-06D47F2EDA6A}"/>
    <cellStyle name="20% - Accent3 2 2 2 3 12" xfId="22469" xr:uid="{482EE6F4-613A-4751-ADFB-87085C854885}"/>
    <cellStyle name="20% - Accent3 2 2 2 3 13" xfId="24359" xr:uid="{50BB8215-330D-4C7A-8442-FC3BE273601D}"/>
    <cellStyle name="20% - Accent3 2 2 2 3 14" xfId="26249" xr:uid="{E42E560F-A980-4F60-9B41-5125304D3E0E}"/>
    <cellStyle name="20% - Accent3 2 2 2 3 15" xfId="28139" xr:uid="{63F730F9-1C87-4EEF-B807-A7A9DEAD8978}"/>
    <cellStyle name="20% - Accent3 2 2 2 3 16" xfId="30029" xr:uid="{360DB627-66AC-4A98-8C09-37C753E65F52}"/>
    <cellStyle name="20% - Accent3 2 2 2 3 17" xfId="31919" xr:uid="{89F5BC4C-3110-4FDE-B852-833F868C6F68}"/>
    <cellStyle name="20% - Accent3 2 2 2 3 18" xfId="33809" xr:uid="{FD6ED21E-3335-4754-814A-BD750BE9297B}"/>
    <cellStyle name="20% - Accent3 2 2 2 3 19" xfId="35699" xr:uid="{F84891E5-ED09-4276-B17D-A3CA4E8428B1}"/>
    <cellStyle name="20% - Accent3 2 2 2 3 2" xfId="3569" xr:uid="{35B5AFDD-B526-4DC4-ADA2-57823EDE302A}"/>
    <cellStyle name="20% - Accent3 2 2 2 3 20" xfId="37589" xr:uid="{A66A683E-3BA2-41ED-8F00-C1F06BB8306D}"/>
    <cellStyle name="20% - Accent3 2 2 2 3 21" xfId="39479" xr:uid="{D3744467-4B2F-40B8-A7E2-5A04373FE10B}"/>
    <cellStyle name="20% - Accent3 2 2 2 3 22" xfId="41370" xr:uid="{659F037D-51D9-4F5F-A75C-DC1A454DCBE9}"/>
    <cellStyle name="20% - Accent3 2 2 2 3 3" xfId="5459" xr:uid="{BD341077-945F-4164-A502-871EBC410B00}"/>
    <cellStyle name="20% - Accent3 2 2 2 3 4" xfId="7349" xr:uid="{25046903-DF8F-48F2-9951-15D7BF2E0747}"/>
    <cellStyle name="20% - Accent3 2 2 2 3 5" xfId="9239" xr:uid="{15BD0B1B-FD91-463A-9585-498F208274C1}"/>
    <cellStyle name="20% - Accent3 2 2 2 3 6" xfId="11129" xr:uid="{D19A0EAB-65FC-4AE5-8003-F4511D45C939}"/>
    <cellStyle name="20% - Accent3 2 2 2 3 7" xfId="13019" xr:uid="{D914633E-35A0-4496-B2BC-6418C96F4038}"/>
    <cellStyle name="20% - Accent3 2 2 2 3 8" xfId="14909" xr:uid="{35D9A795-F031-433A-8CBE-E9DDBBC3024C}"/>
    <cellStyle name="20% - Accent3 2 2 2 3 9" xfId="16799" xr:uid="{3A4531CE-5058-443C-BA97-66360473CE84}"/>
    <cellStyle name="20% - Accent3 2 2 2 4" xfId="2309" xr:uid="{7BC95E94-3D8B-424F-BD63-82A46122D5BB}"/>
    <cellStyle name="20% - Accent3 2 2 2 5" xfId="4199" xr:uid="{B1A838A5-BF7F-4D0C-94F3-684149EF9EF9}"/>
    <cellStyle name="20% - Accent3 2 2 2 6" xfId="6089" xr:uid="{1832C637-3F2A-45D1-8D4F-A1EDDBC55701}"/>
    <cellStyle name="20% - Accent3 2 2 2 7" xfId="7979" xr:uid="{6263C032-F1B7-4916-AA32-FDF9AD2D3445}"/>
    <cellStyle name="20% - Accent3 2 2 2 8" xfId="9869" xr:uid="{210C2408-DD4F-4A58-998E-BB456E0F323F}"/>
    <cellStyle name="20% - Accent3 2 2 2 9" xfId="11759" xr:uid="{4E0FA8BC-EDAA-404E-960E-3749CDB40017}"/>
    <cellStyle name="20% - Accent3 2 2 20" xfId="28559" xr:uid="{16731268-B53D-4F45-B0F3-079C3D11EB4C}"/>
    <cellStyle name="20% - Accent3 2 2 21" xfId="30449" xr:uid="{98A8056C-C11F-47BF-A877-202C6C5A3ED7}"/>
    <cellStyle name="20% - Accent3 2 2 22" xfId="32339" xr:uid="{AD18963A-94D4-4934-8E30-B05485BB3E59}"/>
    <cellStyle name="20% - Accent3 2 2 23" xfId="34229" xr:uid="{7E5F0137-9433-44EC-A211-14256977F4FB}"/>
    <cellStyle name="20% - Accent3 2 2 24" xfId="36119" xr:uid="{53111375-1CA6-4CE4-8BA2-C0EEF631138D}"/>
    <cellStyle name="20% - Accent3 2 2 25" xfId="38009" xr:uid="{F81BBDD4-9315-4571-89E2-671E396A9D0D}"/>
    <cellStyle name="20% - Accent3 2 2 26" xfId="39900" xr:uid="{A582E900-211A-41AD-BAA2-A48A2708519C}"/>
    <cellStyle name="20% - Accent3 2 2 3" xfId="629" xr:uid="{42E5BFAC-6CBB-45EE-AFEB-BB95B16B5637}"/>
    <cellStyle name="20% - Accent3 2 2 3 10" xfId="13859" xr:uid="{5C63CDA2-62AE-4EC5-82D1-B665A521306E}"/>
    <cellStyle name="20% - Accent3 2 2 3 11" xfId="15749" xr:uid="{1A69E113-3D3D-4CD9-BF92-2775A8E6E721}"/>
    <cellStyle name="20% - Accent3 2 2 3 12" xfId="17639" xr:uid="{F53C01E8-EBE0-4B1D-B123-87724CCE705B}"/>
    <cellStyle name="20% - Accent3 2 2 3 13" xfId="19529" xr:uid="{2F01ECD3-AE39-42AF-80AA-5E91D295A69F}"/>
    <cellStyle name="20% - Accent3 2 2 3 14" xfId="21419" xr:uid="{13989C9B-6527-4501-98B9-95D338135B50}"/>
    <cellStyle name="20% - Accent3 2 2 3 15" xfId="23309" xr:uid="{CD2AB811-3531-4FFE-8350-1C30CB3AD39A}"/>
    <cellStyle name="20% - Accent3 2 2 3 16" xfId="25199" xr:uid="{ACF1BC13-AAF7-496F-A4D1-021B1290D70F}"/>
    <cellStyle name="20% - Accent3 2 2 3 17" xfId="27089" xr:uid="{776D1B8F-A005-41D6-B01F-D585AA1B193F}"/>
    <cellStyle name="20% - Accent3 2 2 3 18" xfId="28979" xr:uid="{3A23B1BA-950A-4D11-878B-86D6C7F3C461}"/>
    <cellStyle name="20% - Accent3 2 2 3 19" xfId="30869" xr:uid="{486C7AD1-5AE9-440A-AFB3-5500DC840522}"/>
    <cellStyle name="20% - Accent3 2 2 3 2" xfId="1259" xr:uid="{6FB424D5-30DC-42FD-B573-EB36F908956E}"/>
    <cellStyle name="20% - Accent3 2 2 3 2 10" xfId="18269" xr:uid="{56F4253F-5DEE-4FE3-BACF-C8E08135FBA1}"/>
    <cellStyle name="20% - Accent3 2 2 3 2 11" xfId="20159" xr:uid="{AF4A4C38-9492-4DAB-B413-13752395F627}"/>
    <cellStyle name="20% - Accent3 2 2 3 2 12" xfId="22049" xr:uid="{FC644209-A32C-4063-9859-F0D1CB9C8CF0}"/>
    <cellStyle name="20% - Accent3 2 2 3 2 13" xfId="23939" xr:uid="{9D077326-346E-4241-913F-5E5276730FA1}"/>
    <cellStyle name="20% - Accent3 2 2 3 2 14" xfId="25829" xr:uid="{AA115A5B-5E6A-4B4B-BE3A-798EF4D32D08}"/>
    <cellStyle name="20% - Accent3 2 2 3 2 15" xfId="27719" xr:uid="{7F8E39B2-9B06-4ED0-B2BC-A090CAB88680}"/>
    <cellStyle name="20% - Accent3 2 2 3 2 16" xfId="29609" xr:uid="{41E34635-E8C7-45D0-9349-1E4B3FE9031A}"/>
    <cellStyle name="20% - Accent3 2 2 3 2 17" xfId="31499" xr:uid="{B55BA61D-0277-4262-BF59-13A6ED7CADF1}"/>
    <cellStyle name="20% - Accent3 2 2 3 2 18" xfId="33389" xr:uid="{C9A972B3-62D7-4942-9AFA-FB50BCD18EFA}"/>
    <cellStyle name="20% - Accent3 2 2 3 2 19" xfId="35279" xr:uid="{0E253451-A8A4-41C3-A8FC-590AE0C63ACC}"/>
    <cellStyle name="20% - Accent3 2 2 3 2 2" xfId="3149" xr:uid="{7D0648C9-DEA0-4089-95A6-F21439F773E0}"/>
    <cellStyle name="20% - Accent3 2 2 3 2 20" xfId="37169" xr:uid="{565E594A-B228-4E19-81B1-AB0BADC880E4}"/>
    <cellStyle name="20% - Accent3 2 2 3 2 21" xfId="39059" xr:uid="{5BA9816A-B95F-4625-AFC4-4DC8A1040077}"/>
    <cellStyle name="20% - Accent3 2 2 3 2 22" xfId="40950" xr:uid="{81C5F45F-29C7-4A36-9C8A-FF03962CF411}"/>
    <cellStyle name="20% - Accent3 2 2 3 2 3" xfId="5039" xr:uid="{259ADF7D-8FD7-46E3-8A1E-E9C93B3CF192}"/>
    <cellStyle name="20% - Accent3 2 2 3 2 4" xfId="6929" xr:uid="{4C309AA7-6D12-4060-B563-1F09E928D3DD}"/>
    <cellStyle name="20% - Accent3 2 2 3 2 5" xfId="8819" xr:uid="{EAB5CBC5-D6A8-498C-9B43-59DCF9C01685}"/>
    <cellStyle name="20% - Accent3 2 2 3 2 6" xfId="10709" xr:uid="{8ADDE074-901B-4568-A679-B287C3004DB0}"/>
    <cellStyle name="20% - Accent3 2 2 3 2 7" xfId="12599" xr:uid="{519EE413-4CA8-4437-BCB2-B5B449CA3C3E}"/>
    <cellStyle name="20% - Accent3 2 2 3 2 8" xfId="14489" xr:uid="{97D8560C-15EC-464F-8B87-CFB091DD2653}"/>
    <cellStyle name="20% - Accent3 2 2 3 2 9" xfId="16379" xr:uid="{27C4F473-8E6C-404E-A335-CC024838205B}"/>
    <cellStyle name="20% - Accent3 2 2 3 20" xfId="32759" xr:uid="{81F26BB6-B61D-44B0-BA9D-B6B12B8B2935}"/>
    <cellStyle name="20% - Accent3 2 2 3 21" xfId="34649" xr:uid="{DD3886B8-437E-482B-B882-A0B04C2CF6FF}"/>
    <cellStyle name="20% - Accent3 2 2 3 22" xfId="36539" xr:uid="{CC799E0D-169F-4F2E-AE99-318420DE2C00}"/>
    <cellStyle name="20% - Accent3 2 2 3 23" xfId="38429" xr:uid="{0A1D8C1E-292E-4F47-9DA2-4E2174EAAE73}"/>
    <cellStyle name="20% - Accent3 2 2 3 24" xfId="40320" xr:uid="{D40FF4E0-E1F5-4CE5-8758-03E3172EC1BE}"/>
    <cellStyle name="20% - Accent3 2 2 3 3" xfId="1889" xr:uid="{9FD85EDE-58B2-44CA-A4F0-0CF7782CFC02}"/>
    <cellStyle name="20% - Accent3 2 2 3 3 10" xfId="18899" xr:uid="{AA3A68B3-C088-4054-8A0D-FAE619D4F735}"/>
    <cellStyle name="20% - Accent3 2 2 3 3 11" xfId="20789" xr:uid="{787E3317-58AB-425F-8680-91310C8B29B3}"/>
    <cellStyle name="20% - Accent3 2 2 3 3 12" xfId="22679" xr:uid="{A16101A8-DA2B-41B0-9AC1-8DC70B2B0E13}"/>
    <cellStyle name="20% - Accent3 2 2 3 3 13" xfId="24569" xr:uid="{7A9B1F6F-BEF0-4D5E-9549-25EAB4C0BB0D}"/>
    <cellStyle name="20% - Accent3 2 2 3 3 14" xfId="26459" xr:uid="{F2A997FC-7983-4CB2-990B-3BB3540F8027}"/>
    <cellStyle name="20% - Accent3 2 2 3 3 15" xfId="28349" xr:uid="{78AAE853-26D5-4CA7-9D0D-AD92E55EEC85}"/>
    <cellStyle name="20% - Accent3 2 2 3 3 16" xfId="30239" xr:uid="{F4719657-19F3-4B1F-9ADE-34C0C26AB0C9}"/>
    <cellStyle name="20% - Accent3 2 2 3 3 17" xfId="32129" xr:uid="{9DABAAAD-AEC9-45F9-A29F-82880A2593F5}"/>
    <cellStyle name="20% - Accent3 2 2 3 3 18" xfId="34019" xr:uid="{E334A77E-AAF8-4EF4-8DD7-03F10160BA2C}"/>
    <cellStyle name="20% - Accent3 2 2 3 3 19" xfId="35909" xr:uid="{28D70B30-9910-42FB-AF0F-83DE069D6945}"/>
    <cellStyle name="20% - Accent3 2 2 3 3 2" xfId="3779" xr:uid="{C124C119-BE60-480E-AF6A-47137400E069}"/>
    <cellStyle name="20% - Accent3 2 2 3 3 20" xfId="37799" xr:uid="{C16935C6-09A8-4BA5-850A-F97B5C404D7B}"/>
    <cellStyle name="20% - Accent3 2 2 3 3 21" xfId="39689" xr:uid="{FF9916A4-918F-468B-81A0-E27D032D4D6F}"/>
    <cellStyle name="20% - Accent3 2 2 3 3 22" xfId="41580" xr:uid="{2A5D54D2-40AE-4A0A-A7DC-E0043CE93EB5}"/>
    <cellStyle name="20% - Accent3 2 2 3 3 3" xfId="5669" xr:uid="{4CA30228-637B-422E-86AB-BDFA6D1307A0}"/>
    <cellStyle name="20% - Accent3 2 2 3 3 4" xfId="7559" xr:uid="{DDDA4FF0-B2AE-4673-AD7E-5F1AD5C5449D}"/>
    <cellStyle name="20% - Accent3 2 2 3 3 5" xfId="9449" xr:uid="{9261B1F7-CEAD-4614-886B-EDD796508D2B}"/>
    <cellStyle name="20% - Accent3 2 2 3 3 6" xfId="11339" xr:uid="{0382FCFE-9586-44A0-A0D8-E338CFDDE1C5}"/>
    <cellStyle name="20% - Accent3 2 2 3 3 7" xfId="13229" xr:uid="{92906C3C-9407-42AE-A280-9B366BEDC10F}"/>
    <cellStyle name="20% - Accent3 2 2 3 3 8" xfId="15119" xr:uid="{F1A4B24F-731E-4961-B1E0-FF50CC29DF0A}"/>
    <cellStyle name="20% - Accent3 2 2 3 3 9" xfId="17009" xr:uid="{621C4EA8-3096-4724-B675-DC352428558E}"/>
    <cellStyle name="20% - Accent3 2 2 3 4" xfId="2519" xr:uid="{C741EF7D-17D3-4295-9C99-1568819BB9FE}"/>
    <cellStyle name="20% - Accent3 2 2 3 5" xfId="4409" xr:uid="{C69FA447-5410-482D-ADED-630CDD11D464}"/>
    <cellStyle name="20% - Accent3 2 2 3 6" xfId="6299" xr:uid="{95EAB951-5CDE-464E-962A-FE446C866407}"/>
    <cellStyle name="20% - Accent3 2 2 3 7" xfId="8189" xr:uid="{619E5869-C372-467D-A5E4-4C232020BAB1}"/>
    <cellStyle name="20% - Accent3 2 2 3 8" xfId="10079" xr:uid="{394B3859-91D9-41A1-9BD4-730B569E2D51}"/>
    <cellStyle name="20% - Accent3 2 2 3 9" xfId="11969" xr:uid="{B268DA09-D86F-4C47-B12D-FDBA58F566ED}"/>
    <cellStyle name="20% - Accent3 2 2 4" xfId="839" xr:uid="{7A77B609-DA48-4F50-9343-99AD759E3771}"/>
    <cellStyle name="20% - Accent3 2 2 4 10" xfId="17849" xr:uid="{CF283F90-C850-43A5-A39B-C253D222070C}"/>
    <cellStyle name="20% - Accent3 2 2 4 11" xfId="19739" xr:uid="{5EA9844D-6AC8-40C4-AE89-B354DAAB6037}"/>
    <cellStyle name="20% - Accent3 2 2 4 12" xfId="21629" xr:uid="{8EB621B2-1FD0-4F64-9919-7CB682525760}"/>
    <cellStyle name="20% - Accent3 2 2 4 13" xfId="23519" xr:uid="{F2793C63-4789-4D9A-9DE3-9537599EC4EC}"/>
    <cellStyle name="20% - Accent3 2 2 4 14" xfId="25409" xr:uid="{D8B3F1FB-B0C5-48CF-95F5-A22C1FCE4A51}"/>
    <cellStyle name="20% - Accent3 2 2 4 15" xfId="27299" xr:uid="{490D9C2C-A2CC-47F0-A68C-A0D2812E0BDB}"/>
    <cellStyle name="20% - Accent3 2 2 4 16" xfId="29189" xr:uid="{3E79BDDC-770D-46D7-92A4-874FEBA128FA}"/>
    <cellStyle name="20% - Accent3 2 2 4 17" xfId="31079" xr:uid="{44E25FD5-CF2F-4828-A1FB-FCC8ED51CD4F}"/>
    <cellStyle name="20% - Accent3 2 2 4 18" xfId="32969" xr:uid="{18A5A147-C2BD-4C0C-912B-A04E5EBE2C8F}"/>
    <cellStyle name="20% - Accent3 2 2 4 19" xfId="34859" xr:uid="{1F366D4E-8EBD-4557-99AD-044B6363001A}"/>
    <cellStyle name="20% - Accent3 2 2 4 2" xfId="2729" xr:uid="{0810D0B2-564A-40C4-8D72-B1D2564CEEFA}"/>
    <cellStyle name="20% - Accent3 2 2 4 20" xfId="36749" xr:uid="{08663EF3-8605-40C7-8FBF-39426B82D4A8}"/>
    <cellStyle name="20% - Accent3 2 2 4 21" xfId="38639" xr:uid="{18F9F40A-3F1A-4115-BCB8-76FAD50D4625}"/>
    <cellStyle name="20% - Accent3 2 2 4 22" xfId="40530" xr:uid="{53A21C8D-FF9C-46D1-B4C1-2FCCBA5A73E5}"/>
    <cellStyle name="20% - Accent3 2 2 4 3" xfId="4619" xr:uid="{F265060E-143B-4A2B-980E-723ED5F3C620}"/>
    <cellStyle name="20% - Accent3 2 2 4 4" xfId="6509" xr:uid="{D90EAEDC-FCE6-4BD7-BA20-8D70311C39DB}"/>
    <cellStyle name="20% - Accent3 2 2 4 5" xfId="8399" xr:uid="{35F137EA-5B74-418A-B566-361D31862199}"/>
    <cellStyle name="20% - Accent3 2 2 4 6" xfId="10289" xr:uid="{307505CB-80F9-4789-8B7A-BA12A2864334}"/>
    <cellStyle name="20% - Accent3 2 2 4 7" xfId="12179" xr:uid="{F0D7F487-794E-4840-8027-596413577F50}"/>
    <cellStyle name="20% - Accent3 2 2 4 8" xfId="14069" xr:uid="{EB57418F-8B33-4AF7-AF30-5CBD16C0E5EA}"/>
    <cellStyle name="20% - Accent3 2 2 4 9" xfId="15959" xr:uid="{B73AD2BA-E08F-4928-A832-21BFB4432553}"/>
    <cellStyle name="20% - Accent3 2 2 5" xfId="1469" xr:uid="{A7FD2124-4A34-4C62-B3F8-0DB4B57B9B95}"/>
    <cellStyle name="20% - Accent3 2 2 5 10" xfId="18479" xr:uid="{DFBAE4F1-2CCE-4183-BA78-17A911107202}"/>
    <cellStyle name="20% - Accent3 2 2 5 11" xfId="20369" xr:uid="{2756345D-3A45-441A-AE89-74656F1110E6}"/>
    <cellStyle name="20% - Accent3 2 2 5 12" xfId="22259" xr:uid="{48885677-14D8-472F-A2B4-83DF659F6AB0}"/>
    <cellStyle name="20% - Accent3 2 2 5 13" xfId="24149" xr:uid="{5C4B75E4-E314-417E-8339-8318FB43426C}"/>
    <cellStyle name="20% - Accent3 2 2 5 14" xfId="26039" xr:uid="{BC66E1C1-6C3E-4233-B9FB-9626A43CE201}"/>
    <cellStyle name="20% - Accent3 2 2 5 15" xfId="27929" xr:uid="{BC0A7CD2-053A-4B2D-AA73-324AD40A5B94}"/>
    <cellStyle name="20% - Accent3 2 2 5 16" xfId="29819" xr:uid="{A322BD7C-9443-452D-9344-DA6B05A2204F}"/>
    <cellStyle name="20% - Accent3 2 2 5 17" xfId="31709" xr:uid="{89D5A9DF-2B12-4D0E-8FDB-7793A32D9C0B}"/>
    <cellStyle name="20% - Accent3 2 2 5 18" xfId="33599" xr:uid="{0B757236-11DB-444F-BF39-E9748D4A2E5F}"/>
    <cellStyle name="20% - Accent3 2 2 5 19" xfId="35489" xr:uid="{B943DE3D-7FBB-47C6-BBD6-2C41C2D43B7D}"/>
    <cellStyle name="20% - Accent3 2 2 5 2" xfId="3359" xr:uid="{17C72901-50CD-46C8-BE7A-F325EE60007C}"/>
    <cellStyle name="20% - Accent3 2 2 5 20" xfId="37379" xr:uid="{4C5D5A70-EB3D-4DF0-839D-DD68362265E0}"/>
    <cellStyle name="20% - Accent3 2 2 5 21" xfId="39269" xr:uid="{5634E3C7-5339-44A7-AACB-7598C5C0C37B}"/>
    <cellStyle name="20% - Accent3 2 2 5 22" xfId="41160" xr:uid="{D2D2D1F0-970E-4996-9E89-359691C283EF}"/>
    <cellStyle name="20% - Accent3 2 2 5 3" xfId="5249" xr:uid="{7EF6D2DA-E69B-481E-B235-654E74D39D2E}"/>
    <cellStyle name="20% - Accent3 2 2 5 4" xfId="7139" xr:uid="{DBBEAFBD-EF1C-442F-87A4-63A965A5FC4B}"/>
    <cellStyle name="20% - Accent3 2 2 5 5" xfId="9029" xr:uid="{CC4A74E7-745B-4B81-BC20-04FA7BD72DE4}"/>
    <cellStyle name="20% - Accent3 2 2 5 6" xfId="10919" xr:uid="{B0395102-3BBD-4E23-83DA-4A3B3CCACFEC}"/>
    <cellStyle name="20% - Accent3 2 2 5 7" xfId="12809" xr:uid="{DF243813-197B-4518-81C0-3E19D08EB134}"/>
    <cellStyle name="20% - Accent3 2 2 5 8" xfId="14699" xr:uid="{4F2DE092-AC7C-4C2D-9A5F-975F11BB57BC}"/>
    <cellStyle name="20% - Accent3 2 2 5 9" xfId="16589" xr:uid="{6BEF6FE9-28DF-4D45-B552-40404AD9C253}"/>
    <cellStyle name="20% - Accent3 2 2 6" xfId="2099" xr:uid="{399E8168-3CB5-4913-9CB1-A5C4EFC9B264}"/>
    <cellStyle name="20% - Accent3 2 2 7" xfId="3989" xr:uid="{BED5DEC8-993E-4712-9593-38D47F14215B}"/>
    <cellStyle name="20% - Accent3 2 2 8" xfId="5879" xr:uid="{0D62CE3C-C2FC-4149-8820-BA1A3115C9F4}"/>
    <cellStyle name="20% - Accent3 2 2 9" xfId="7769" xr:uid="{30D40AEE-DD0A-4A82-9D3F-05C4ADAF4B25}"/>
    <cellStyle name="20% - Accent3 2 20" xfId="26564" xr:uid="{939456EB-11EE-4523-A359-E8065E6820E7}"/>
    <cellStyle name="20% - Accent3 2 21" xfId="28454" xr:uid="{8A0990D2-3333-4D35-AFB6-021E3B58CDD6}"/>
    <cellStyle name="20% - Accent3 2 22" xfId="30344" xr:uid="{85E22DA6-C489-43E6-B2CF-DB5DC3025EED}"/>
    <cellStyle name="20% - Accent3 2 23" xfId="32234" xr:uid="{5A35F682-F9C9-43EF-BD88-65D648DB17E4}"/>
    <cellStyle name="20% - Accent3 2 24" xfId="34124" xr:uid="{BAA2014D-3AE2-40F3-AFA0-5D915C13E7BA}"/>
    <cellStyle name="20% - Accent3 2 25" xfId="36014" xr:uid="{7A382F43-177C-40DE-B4C5-5BB2599085A3}"/>
    <cellStyle name="20% - Accent3 2 26" xfId="37904" xr:uid="{D0E8A7AF-C54E-4E84-9D42-C20601BB61C7}"/>
    <cellStyle name="20% - Accent3 2 27" xfId="39795" xr:uid="{0881AD02-7419-49C7-BE39-89EBCC40F5F7}"/>
    <cellStyle name="20% - Accent3 2 3" xfId="314" xr:uid="{EEE1CA4D-64F8-45CA-B960-68277A888A0E}"/>
    <cellStyle name="20% - Accent3 2 3 10" xfId="13544" xr:uid="{B9ACEFCD-082A-42B2-ABB4-C9514F82302D}"/>
    <cellStyle name="20% - Accent3 2 3 11" xfId="15434" xr:uid="{AE06EAD2-E8B9-4209-9BEA-791893569AE9}"/>
    <cellStyle name="20% - Accent3 2 3 12" xfId="17324" xr:uid="{4FC3196D-98C5-440B-93EF-3E20793DE0DB}"/>
    <cellStyle name="20% - Accent3 2 3 13" xfId="19214" xr:uid="{C2032F95-D836-4C13-9BAC-FC0F9744789E}"/>
    <cellStyle name="20% - Accent3 2 3 14" xfId="21104" xr:uid="{CF04D2B8-6FB5-4E94-9387-5C4429267A38}"/>
    <cellStyle name="20% - Accent3 2 3 15" xfId="22994" xr:uid="{75852472-A98A-4A3A-968E-7C3AEAE0AF39}"/>
    <cellStyle name="20% - Accent3 2 3 16" xfId="24884" xr:uid="{7040C75C-8FEA-4D9D-8F9B-3955EBA1C7F8}"/>
    <cellStyle name="20% - Accent3 2 3 17" xfId="26774" xr:uid="{F90ECD19-7E8F-4324-A71D-5957E4E9A308}"/>
    <cellStyle name="20% - Accent3 2 3 18" xfId="28664" xr:uid="{143E82B7-4982-43D5-AFC9-25A933BED86B}"/>
    <cellStyle name="20% - Accent3 2 3 19" xfId="30554" xr:uid="{606127F5-B710-4D6A-9600-E4BFC0B5A7ED}"/>
    <cellStyle name="20% - Accent3 2 3 2" xfId="944" xr:uid="{2CEA6D85-D505-49D0-A73E-52BF64C40935}"/>
    <cellStyle name="20% - Accent3 2 3 2 10" xfId="17954" xr:uid="{E2AD9A8C-D731-49A2-8147-C0F44D81BC95}"/>
    <cellStyle name="20% - Accent3 2 3 2 11" xfId="19844" xr:uid="{2A451A0F-0E48-4AE9-B605-060FF5AA67F9}"/>
    <cellStyle name="20% - Accent3 2 3 2 12" xfId="21734" xr:uid="{8C9E9D6B-957C-429F-84EF-E38B17B8564C}"/>
    <cellStyle name="20% - Accent3 2 3 2 13" xfId="23624" xr:uid="{B1A99B3C-83D3-4375-8C65-BCBAF030387A}"/>
    <cellStyle name="20% - Accent3 2 3 2 14" xfId="25514" xr:uid="{A7A1FC94-0476-4980-A965-FF15027A3D8C}"/>
    <cellStyle name="20% - Accent3 2 3 2 15" xfId="27404" xr:uid="{75F6820E-C436-43FC-AA8F-3D2E9618C8BF}"/>
    <cellStyle name="20% - Accent3 2 3 2 16" xfId="29294" xr:uid="{A19E76F6-05E0-4F2A-B867-227A349E8D6A}"/>
    <cellStyle name="20% - Accent3 2 3 2 17" xfId="31184" xr:uid="{F8923B12-438F-438E-90C8-3994A2BEBDDA}"/>
    <cellStyle name="20% - Accent3 2 3 2 18" xfId="33074" xr:uid="{06AF57FF-F6BB-4D02-B0D8-C858D7A53B5D}"/>
    <cellStyle name="20% - Accent3 2 3 2 19" xfId="34964" xr:uid="{4E81877F-0EC7-4A85-B95D-038ACC87C1A6}"/>
    <cellStyle name="20% - Accent3 2 3 2 2" xfId="2834" xr:uid="{9587653A-C77B-4957-B262-EB4E47431820}"/>
    <cellStyle name="20% - Accent3 2 3 2 20" xfId="36854" xr:uid="{D31B0A84-05C0-4F7E-A856-F401C20D5275}"/>
    <cellStyle name="20% - Accent3 2 3 2 21" xfId="38744" xr:uid="{D7E2D45B-1B4A-4B36-A505-CA3ABCCD9574}"/>
    <cellStyle name="20% - Accent3 2 3 2 22" xfId="40635" xr:uid="{6E7C6E0B-9E05-482C-9B74-782C639BB873}"/>
    <cellStyle name="20% - Accent3 2 3 2 3" xfId="4724" xr:uid="{D64DE8F6-E35F-41AB-ACB5-FCBBFE15BF3C}"/>
    <cellStyle name="20% - Accent3 2 3 2 4" xfId="6614" xr:uid="{98768589-25B4-49AE-B59C-EF0E839A2B33}"/>
    <cellStyle name="20% - Accent3 2 3 2 5" xfId="8504" xr:uid="{178A00A6-0AE2-4DCD-B062-FA4CA9EC0A37}"/>
    <cellStyle name="20% - Accent3 2 3 2 6" xfId="10394" xr:uid="{111F98D8-521E-412E-81DC-C4583E17E3F7}"/>
    <cellStyle name="20% - Accent3 2 3 2 7" xfId="12284" xr:uid="{C23E9992-0A52-41E4-A921-616F13C0C60D}"/>
    <cellStyle name="20% - Accent3 2 3 2 8" xfId="14174" xr:uid="{5F8761A5-33BA-4AEE-8BED-F998D713FEBB}"/>
    <cellStyle name="20% - Accent3 2 3 2 9" xfId="16064" xr:uid="{A79DE46D-37B7-4267-927B-390333DEA3A2}"/>
    <cellStyle name="20% - Accent3 2 3 20" xfId="32444" xr:uid="{4CD4820A-5C7F-4FB7-AA43-D7F9186DAA21}"/>
    <cellStyle name="20% - Accent3 2 3 21" xfId="34334" xr:uid="{E42A6FA1-167F-48B0-8942-6E02B58AABB6}"/>
    <cellStyle name="20% - Accent3 2 3 22" xfId="36224" xr:uid="{F13EA4EE-2979-4359-AE6B-EB7B4DC381F9}"/>
    <cellStyle name="20% - Accent3 2 3 23" xfId="38114" xr:uid="{F2C844C6-5F52-49C4-8530-96C596EC1223}"/>
    <cellStyle name="20% - Accent3 2 3 24" xfId="40005" xr:uid="{2B9364D6-879C-43EC-8A3B-976DFC09DBC8}"/>
    <cellStyle name="20% - Accent3 2 3 3" xfId="1574" xr:uid="{00485F61-E79D-450B-8C85-D27390030C66}"/>
    <cellStyle name="20% - Accent3 2 3 3 10" xfId="18584" xr:uid="{B6E703B1-AA94-4587-A774-AEDA69C4AE9C}"/>
    <cellStyle name="20% - Accent3 2 3 3 11" xfId="20474" xr:uid="{54576298-8B20-42C0-BC50-0693C3CC823C}"/>
    <cellStyle name="20% - Accent3 2 3 3 12" xfId="22364" xr:uid="{B4FD2BA3-90A9-4435-9910-8BEDCD1B98FE}"/>
    <cellStyle name="20% - Accent3 2 3 3 13" xfId="24254" xr:uid="{0C23772E-B732-4B8B-BBCE-9D7E45E0EE32}"/>
    <cellStyle name="20% - Accent3 2 3 3 14" xfId="26144" xr:uid="{59F38920-3051-4172-A973-9D3417E08860}"/>
    <cellStyle name="20% - Accent3 2 3 3 15" xfId="28034" xr:uid="{026ACDB2-269B-4654-8537-27D4C7B4B8A6}"/>
    <cellStyle name="20% - Accent3 2 3 3 16" xfId="29924" xr:uid="{A890846C-7E43-41E4-A6C0-A6A8C618E8E7}"/>
    <cellStyle name="20% - Accent3 2 3 3 17" xfId="31814" xr:uid="{DD043199-24BD-4088-BF39-22664889FF2F}"/>
    <cellStyle name="20% - Accent3 2 3 3 18" xfId="33704" xr:uid="{408EA749-BCE4-4FF3-A889-131874DFD416}"/>
    <cellStyle name="20% - Accent3 2 3 3 19" xfId="35594" xr:uid="{45E3B50D-488C-4FE4-A3C7-4E6D96057045}"/>
    <cellStyle name="20% - Accent3 2 3 3 2" xfId="3464" xr:uid="{07EADC48-2FCA-47EC-9C43-CFEBD48742FA}"/>
    <cellStyle name="20% - Accent3 2 3 3 20" xfId="37484" xr:uid="{6F9D6BFF-E51A-41FF-86A1-1EAA8FDF2E4D}"/>
    <cellStyle name="20% - Accent3 2 3 3 21" xfId="39374" xr:uid="{3FF771F1-63C4-4162-A8BA-3AD132C0363C}"/>
    <cellStyle name="20% - Accent3 2 3 3 22" xfId="41265" xr:uid="{1D657946-7F60-465B-9071-637050B476CA}"/>
    <cellStyle name="20% - Accent3 2 3 3 3" xfId="5354" xr:uid="{68CC2960-CB59-4207-85E5-EDDF7D6AB96F}"/>
    <cellStyle name="20% - Accent3 2 3 3 4" xfId="7244" xr:uid="{F5E0611D-A2A8-4D5D-ABF3-CB1CD378AA07}"/>
    <cellStyle name="20% - Accent3 2 3 3 5" xfId="9134" xr:uid="{E8ADBEA7-A71B-45AC-A622-EE42182FC58B}"/>
    <cellStyle name="20% - Accent3 2 3 3 6" xfId="11024" xr:uid="{ED3BF930-8A48-4DC8-AE9E-88F1886DFEB8}"/>
    <cellStyle name="20% - Accent3 2 3 3 7" xfId="12914" xr:uid="{24D3617C-EB09-40F0-B39D-BBB1DEF09C79}"/>
    <cellStyle name="20% - Accent3 2 3 3 8" xfId="14804" xr:uid="{B703F841-94C4-48C1-8C89-50D688A7F1D2}"/>
    <cellStyle name="20% - Accent3 2 3 3 9" xfId="16694" xr:uid="{310C5D8C-8BCD-4E10-A0BE-C57173B5EDA0}"/>
    <cellStyle name="20% - Accent3 2 3 4" xfId="2204" xr:uid="{479299AF-2893-47F1-91CC-A25CD8CDE160}"/>
    <cellStyle name="20% - Accent3 2 3 5" xfId="4094" xr:uid="{84F66069-6F19-4AC0-8501-7183D1834191}"/>
    <cellStyle name="20% - Accent3 2 3 6" xfId="5984" xr:uid="{A6BCB338-E771-42DB-8642-B7ADC09A3DDA}"/>
    <cellStyle name="20% - Accent3 2 3 7" xfId="7874" xr:uid="{73456C18-BC13-4C21-9E3A-DAF209798910}"/>
    <cellStyle name="20% - Accent3 2 3 8" xfId="9764" xr:uid="{E76C7D84-32CB-4F48-8CD8-E39F7E7915C2}"/>
    <cellStyle name="20% - Accent3 2 3 9" xfId="11654" xr:uid="{133D1FAE-E13D-4AB1-AB48-7C4180EAC553}"/>
    <cellStyle name="20% - Accent3 2 4" xfId="524" xr:uid="{76503F9A-439F-4BF4-98EC-6D9507AC0DB7}"/>
    <cellStyle name="20% - Accent3 2 4 10" xfId="13754" xr:uid="{7F2C1DEC-3745-495A-B1A1-26987A1B1A32}"/>
    <cellStyle name="20% - Accent3 2 4 11" xfId="15644" xr:uid="{6B5DBCD4-CB88-48C4-AC77-FB8C6773798B}"/>
    <cellStyle name="20% - Accent3 2 4 12" xfId="17534" xr:uid="{FD433839-2EB6-4050-8228-2ED0C4EA467D}"/>
    <cellStyle name="20% - Accent3 2 4 13" xfId="19424" xr:uid="{8AA0B7E4-92BE-41A4-85FC-9B57BEE654FF}"/>
    <cellStyle name="20% - Accent3 2 4 14" xfId="21314" xr:uid="{1F79E68D-6823-4A3D-B25D-0DDA10D1CBF0}"/>
    <cellStyle name="20% - Accent3 2 4 15" xfId="23204" xr:uid="{C80453A1-2155-478A-A03D-6642959003D4}"/>
    <cellStyle name="20% - Accent3 2 4 16" xfId="25094" xr:uid="{72F269EF-C2CD-409D-AB9B-BC07C951EF28}"/>
    <cellStyle name="20% - Accent3 2 4 17" xfId="26984" xr:uid="{A0865A6F-7E20-4433-BB1A-8D91A81679BD}"/>
    <cellStyle name="20% - Accent3 2 4 18" xfId="28874" xr:uid="{E3487624-B14D-4CD4-9205-83A26A328311}"/>
    <cellStyle name="20% - Accent3 2 4 19" xfId="30764" xr:uid="{6D4337DE-0597-4C81-902F-6052AA01D022}"/>
    <cellStyle name="20% - Accent3 2 4 2" xfId="1154" xr:uid="{1ABDCC27-E7E5-41C6-A510-27D2626B4E3E}"/>
    <cellStyle name="20% - Accent3 2 4 2 10" xfId="18164" xr:uid="{2688B270-A1D6-4A25-9426-F9A9B4CA8E49}"/>
    <cellStyle name="20% - Accent3 2 4 2 11" xfId="20054" xr:uid="{943DE43C-E64B-43EF-9365-5542659CFF17}"/>
    <cellStyle name="20% - Accent3 2 4 2 12" xfId="21944" xr:uid="{81088436-5E40-439B-B20D-26DB3699E265}"/>
    <cellStyle name="20% - Accent3 2 4 2 13" xfId="23834" xr:uid="{ED4DF039-153E-4A61-A0D3-5DF343C4649D}"/>
    <cellStyle name="20% - Accent3 2 4 2 14" xfId="25724" xr:uid="{8D9271C5-9D75-4437-BC57-0F6B8A882E2F}"/>
    <cellStyle name="20% - Accent3 2 4 2 15" xfId="27614" xr:uid="{A6B57319-E19B-4161-B9F8-A12F6B2C7141}"/>
    <cellStyle name="20% - Accent3 2 4 2 16" xfId="29504" xr:uid="{E99A7BD2-3D02-4650-99B1-F9BCD4A00226}"/>
    <cellStyle name="20% - Accent3 2 4 2 17" xfId="31394" xr:uid="{D5A35032-ECF1-4FEC-86F0-DE08F048A25C}"/>
    <cellStyle name="20% - Accent3 2 4 2 18" xfId="33284" xr:uid="{DA619836-31A8-4477-B534-FA713F67E0EB}"/>
    <cellStyle name="20% - Accent3 2 4 2 19" xfId="35174" xr:uid="{2BF523B3-012B-4F0F-AEB0-7922E26D565C}"/>
    <cellStyle name="20% - Accent3 2 4 2 2" xfId="3044" xr:uid="{0895859F-1357-427C-9011-5F580521E920}"/>
    <cellStyle name="20% - Accent3 2 4 2 20" xfId="37064" xr:uid="{B86B5C90-382E-4495-BC5D-637F6C46E5DB}"/>
    <cellStyle name="20% - Accent3 2 4 2 21" xfId="38954" xr:uid="{8E33FCC7-589F-4ACA-9584-C04C23C7DE9C}"/>
    <cellStyle name="20% - Accent3 2 4 2 22" xfId="40845" xr:uid="{65D57796-ADDE-4480-8553-3C69D621336C}"/>
    <cellStyle name="20% - Accent3 2 4 2 3" xfId="4934" xr:uid="{5018BE97-0FBB-490C-927E-A1AF1CB5C30F}"/>
    <cellStyle name="20% - Accent3 2 4 2 4" xfId="6824" xr:uid="{FB2B9558-8696-40CC-AD9F-F98599A08FC1}"/>
    <cellStyle name="20% - Accent3 2 4 2 5" xfId="8714" xr:uid="{9D474633-BF42-4C34-B4E4-F309FA671F07}"/>
    <cellStyle name="20% - Accent3 2 4 2 6" xfId="10604" xr:uid="{5560A3D6-874B-4947-9CF9-28FD0EBEB998}"/>
    <cellStyle name="20% - Accent3 2 4 2 7" xfId="12494" xr:uid="{EC7C0DBD-B8D7-405E-897A-CABBED03C7C0}"/>
    <cellStyle name="20% - Accent3 2 4 2 8" xfId="14384" xr:uid="{B913ADD1-80EB-4533-8C0F-DCBE4FC25E27}"/>
    <cellStyle name="20% - Accent3 2 4 2 9" xfId="16274" xr:uid="{E6EAB2D7-4C36-45AF-8632-79C2A5F42030}"/>
    <cellStyle name="20% - Accent3 2 4 20" xfId="32654" xr:uid="{985FB532-5D95-4C13-8831-AC1B80040EBA}"/>
    <cellStyle name="20% - Accent3 2 4 21" xfId="34544" xr:uid="{1A405420-689D-42E2-807D-5EA5C62C02AA}"/>
    <cellStyle name="20% - Accent3 2 4 22" xfId="36434" xr:uid="{AA06759E-CA30-42A5-AB54-A1A387CB1A95}"/>
    <cellStyle name="20% - Accent3 2 4 23" xfId="38324" xr:uid="{BF919F5A-E328-4056-AAF5-A06895685E3B}"/>
    <cellStyle name="20% - Accent3 2 4 24" xfId="40215" xr:uid="{39160D51-FBED-422C-AD37-3CB807AE4B11}"/>
    <cellStyle name="20% - Accent3 2 4 3" xfId="1784" xr:uid="{B1B4277F-3A30-498C-976D-7C85EA45BA94}"/>
    <cellStyle name="20% - Accent3 2 4 3 10" xfId="18794" xr:uid="{4F1B7782-B352-4545-8E08-6585B7D24B39}"/>
    <cellStyle name="20% - Accent3 2 4 3 11" xfId="20684" xr:uid="{44C17DCC-7378-4B90-86AD-6015D66058C0}"/>
    <cellStyle name="20% - Accent3 2 4 3 12" xfId="22574" xr:uid="{8A4AB967-BB12-418A-A0D1-617C94E60E09}"/>
    <cellStyle name="20% - Accent3 2 4 3 13" xfId="24464" xr:uid="{80842DBF-EB57-4E60-B3D5-E615EC096F11}"/>
    <cellStyle name="20% - Accent3 2 4 3 14" xfId="26354" xr:uid="{6D14C077-E412-467C-89C9-B64DB6EF8975}"/>
    <cellStyle name="20% - Accent3 2 4 3 15" xfId="28244" xr:uid="{D3D8AF33-3BCF-4D10-95B9-294AB3953AA7}"/>
    <cellStyle name="20% - Accent3 2 4 3 16" xfId="30134" xr:uid="{6AAFC189-7C53-486C-8C93-5BF3136B31B8}"/>
    <cellStyle name="20% - Accent3 2 4 3 17" xfId="32024" xr:uid="{362583C3-D324-4524-941F-C579B56B8687}"/>
    <cellStyle name="20% - Accent3 2 4 3 18" xfId="33914" xr:uid="{275E9A87-04FD-45E1-B696-B6C3E388F1AC}"/>
    <cellStyle name="20% - Accent3 2 4 3 19" xfId="35804" xr:uid="{38D871F6-EECE-420C-8279-7E8ECEB21258}"/>
    <cellStyle name="20% - Accent3 2 4 3 2" xfId="3674" xr:uid="{DBDCBCA3-7820-4891-825A-700CBE96F3D1}"/>
    <cellStyle name="20% - Accent3 2 4 3 20" xfId="37694" xr:uid="{778468E8-515F-4247-9786-8D22A4AC5CB1}"/>
    <cellStyle name="20% - Accent3 2 4 3 21" xfId="39584" xr:uid="{64D29A41-07EC-4ECE-AD08-56219DC2BB83}"/>
    <cellStyle name="20% - Accent3 2 4 3 22" xfId="41475" xr:uid="{5B2F951C-4A21-4E6C-A33B-7A6F9EE09C06}"/>
    <cellStyle name="20% - Accent3 2 4 3 3" xfId="5564" xr:uid="{929404DA-310C-4E90-BC4E-9FB0C6B982EF}"/>
    <cellStyle name="20% - Accent3 2 4 3 4" xfId="7454" xr:uid="{54D97CB1-7984-44EB-AC4B-331D2550899D}"/>
    <cellStyle name="20% - Accent3 2 4 3 5" xfId="9344" xr:uid="{6103CFE5-F6DC-4A7F-B8C3-DB1B69FF5C04}"/>
    <cellStyle name="20% - Accent3 2 4 3 6" xfId="11234" xr:uid="{A61F2337-889F-4EAA-8796-1E280BC08611}"/>
    <cellStyle name="20% - Accent3 2 4 3 7" xfId="13124" xr:uid="{D9682C23-C942-465C-ADCF-948A6691AC92}"/>
    <cellStyle name="20% - Accent3 2 4 3 8" xfId="15014" xr:uid="{CDB6802E-E2A9-4815-A4E0-3672744512D5}"/>
    <cellStyle name="20% - Accent3 2 4 3 9" xfId="16904" xr:uid="{BD14DF91-3B38-4059-95FC-159B22E9A395}"/>
    <cellStyle name="20% - Accent3 2 4 4" xfId="2414" xr:uid="{D7B46F14-2DD5-42F9-8414-5A3699865FDA}"/>
    <cellStyle name="20% - Accent3 2 4 5" xfId="4304" xr:uid="{D1493EE6-BDCB-4298-A349-5054853B44E4}"/>
    <cellStyle name="20% - Accent3 2 4 6" xfId="6194" xr:uid="{E921A00E-9169-4B56-B06D-11F51B6AEEA8}"/>
    <cellStyle name="20% - Accent3 2 4 7" xfId="8084" xr:uid="{B5162F3A-AD68-4036-9E65-8669182AE560}"/>
    <cellStyle name="20% - Accent3 2 4 8" xfId="9974" xr:uid="{A9691C00-D539-4869-AC77-E274362ED558}"/>
    <cellStyle name="20% - Accent3 2 4 9" xfId="11864" xr:uid="{830AD660-4E98-4A13-A32B-E2D3E4E0D04B}"/>
    <cellStyle name="20% - Accent3 2 5" xfId="734" xr:uid="{678D0C3E-C4D3-4EBD-96DF-A85B7F5694F7}"/>
    <cellStyle name="20% - Accent3 2 5 10" xfId="17744" xr:uid="{66708E92-F246-4C3A-BADF-23BE97A0C6B8}"/>
    <cellStyle name="20% - Accent3 2 5 11" xfId="19634" xr:uid="{ADA6BC91-77C1-4CDF-BAF7-4EB4303F73E7}"/>
    <cellStyle name="20% - Accent3 2 5 12" xfId="21524" xr:uid="{C1C9491E-22FB-426D-89B7-7F81A721D730}"/>
    <cellStyle name="20% - Accent3 2 5 13" xfId="23414" xr:uid="{6A234E44-983F-4594-AD55-6161BA32315F}"/>
    <cellStyle name="20% - Accent3 2 5 14" xfId="25304" xr:uid="{C04E4EC5-D5AC-43E2-BF30-ABCE80EEE96F}"/>
    <cellStyle name="20% - Accent3 2 5 15" xfId="27194" xr:uid="{B10C93E4-4328-4C29-9E0C-9E8BAB8069AC}"/>
    <cellStyle name="20% - Accent3 2 5 16" xfId="29084" xr:uid="{08F24B6C-A40D-4A91-81D4-054FE252D634}"/>
    <cellStyle name="20% - Accent3 2 5 17" xfId="30974" xr:uid="{E7F47136-1E91-4A19-AD30-7A86EC5DF42E}"/>
    <cellStyle name="20% - Accent3 2 5 18" xfId="32864" xr:uid="{7E1D56E2-8E36-47A7-939F-FB9183DC0A32}"/>
    <cellStyle name="20% - Accent3 2 5 19" xfId="34754" xr:uid="{25EF5E9E-BF5D-4448-A34D-9B21C207F019}"/>
    <cellStyle name="20% - Accent3 2 5 2" xfId="2624" xr:uid="{0236A82F-47E8-447C-A1DF-B261BDB5BFA2}"/>
    <cellStyle name="20% - Accent3 2 5 20" xfId="36644" xr:uid="{1A23B86C-3274-47B8-AB01-F0A1F53ED1B9}"/>
    <cellStyle name="20% - Accent3 2 5 21" xfId="38534" xr:uid="{72A0BA8D-5208-4861-999E-D1CBB4CEB16C}"/>
    <cellStyle name="20% - Accent3 2 5 22" xfId="40425" xr:uid="{C3A6FDDD-DD1E-450D-9497-9AAC68CC6A23}"/>
    <cellStyle name="20% - Accent3 2 5 3" xfId="4514" xr:uid="{754CC166-00CE-4137-AC16-CE984D8C9278}"/>
    <cellStyle name="20% - Accent3 2 5 4" xfId="6404" xr:uid="{A04FBFF1-C2D3-4B91-BAE0-A82886334F3E}"/>
    <cellStyle name="20% - Accent3 2 5 5" xfId="8294" xr:uid="{A644AFF0-2AB8-4227-93B5-A1AB0DC789C5}"/>
    <cellStyle name="20% - Accent3 2 5 6" xfId="10184" xr:uid="{4EA0C360-600F-4092-95A5-5D1E1D029C52}"/>
    <cellStyle name="20% - Accent3 2 5 7" xfId="12074" xr:uid="{E7C0B7C3-F773-4B61-886E-73EC5E00F068}"/>
    <cellStyle name="20% - Accent3 2 5 8" xfId="13964" xr:uid="{BC5D8CEA-1652-4A0D-A03B-3960BC35D168}"/>
    <cellStyle name="20% - Accent3 2 5 9" xfId="15854" xr:uid="{392C280E-7C7B-417B-9830-BF988CCD1803}"/>
    <cellStyle name="20% - Accent3 2 6" xfId="1364" xr:uid="{5A7A1A4E-4BE9-4DEB-8126-EBE844284C8A}"/>
    <cellStyle name="20% - Accent3 2 6 10" xfId="18374" xr:uid="{F2484B8A-2FA1-41C7-B274-533CF1D1C942}"/>
    <cellStyle name="20% - Accent3 2 6 11" xfId="20264" xr:uid="{BBFFA30D-99FC-4EEC-84F8-6636521523F9}"/>
    <cellStyle name="20% - Accent3 2 6 12" xfId="22154" xr:uid="{ADB939B3-3455-41DF-BB2E-44023917B6CA}"/>
    <cellStyle name="20% - Accent3 2 6 13" xfId="24044" xr:uid="{A704AFC8-AC4F-4C0B-822B-FDD250695FE4}"/>
    <cellStyle name="20% - Accent3 2 6 14" xfId="25934" xr:uid="{8DA88E87-BAC8-4D5F-8D11-18A461BD9BF6}"/>
    <cellStyle name="20% - Accent3 2 6 15" xfId="27824" xr:uid="{94A89175-949C-4C9D-8507-40A3AC63FDD1}"/>
    <cellStyle name="20% - Accent3 2 6 16" xfId="29714" xr:uid="{9BAF65D3-3EA0-4442-ADD8-4206B81B22A3}"/>
    <cellStyle name="20% - Accent3 2 6 17" xfId="31604" xr:uid="{73F98DC2-57A4-4680-9FD9-BD014B3A3937}"/>
    <cellStyle name="20% - Accent3 2 6 18" xfId="33494" xr:uid="{16774A4C-428C-44C3-9B32-5EC35A34DEE2}"/>
    <cellStyle name="20% - Accent3 2 6 19" xfId="35384" xr:uid="{15C3B2CE-9715-4B20-A8CF-DBF37131893C}"/>
    <cellStyle name="20% - Accent3 2 6 2" xfId="3254" xr:uid="{778F2959-5CBB-40BA-9353-AA745884523C}"/>
    <cellStyle name="20% - Accent3 2 6 20" xfId="37274" xr:uid="{526A83DB-F668-4BC4-81C3-BD9A362AC92A}"/>
    <cellStyle name="20% - Accent3 2 6 21" xfId="39164" xr:uid="{6ED4C4E1-B736-4FF8-95E9-1DDFC32F3EA9}"/>
    <cellStyle name="20% - Accent3 2 6 22" xfId="41055" xr:uid="{5AADD25D-DE26-4FFF-9E20-DBDE83482E33}"/>
    <cellStyle name="20% - Accent3 2 6 3" xfId="5144" xr:uid="{9D92C4EB-59D6-4B18-B04E-6DB13659BCA4}"/>
    <cellStyle name="20% - Accent3 2 6 4" xfId="7034" xr:uid="{398BA130-4E1F-4723-8488-D3B688272703}"/>
    <cellStyle name="20% - Accent3 2 6 5" xfId="8924" xr:uid="{09E16C95-13E8-4A47-82F2-8BB7DECEC8EF}"/>
    <cellStyle name="20% - Accent3 2 6 6" xfId="10814" xr:uid="{9C560388-2CAA-4EF7-B6BB-DF7C20E07F0F}"/>
    <cellStyle name="20% - Accent3 2 6 7" xfId="12704" xr:uid="{90E05F00-5637-4FF1-BB7A-DB2BC2E45D80}"/>
    <cellStyle name="20% - Accent3 2 6 8" xfId="14594" xr:uid="{947920D0-60D3-41E2-9F21-AFCA2AE6226C}"/>
    <cellStyle name="20% - Accent3 2 6 9" xfId="16484" xr:uid="{6DBE3037-B009-42A3-8F78-2573401CFE8C}"/>
    <cellStyle name="20% - Accent3 2 7" xfId="1994" xr:uid="{F3982B57-D791-4B09-8B8B-52449928A11F}"/>
    <cellStyle name="20% - Accent3 2 8" xfId="3884" xr:uid="{87456530-4543-4CB9-B0CC-A71E57D6ABB7}"/>
    <cellStyle name="20% - Accent3 2 9" xfId="5774" xr:uid="{B5F67CE3-6FCC-4919-AE26-6DF53ADF1505}"/>
    <cellStyle name="20% - Accent3 20" xfId="22762" xr:uid="{1D894187-5E33-49B8-89BD-AB6A3C4675D5}"/>
    <cellStyle name="20% - Accent3 21" xfId="24652" xr:uid="{C60F6044-256B-4654-AF4B-8962B3F9878D}"/>
    <cellStyle name="20% - Accent3 22" xfId="26542" xr:uid="{A35F1E28-6BBD-4532-86E2-F190B4407E67}"/>
    <cellStyle name="20% - Accent3 23" xfId="28432" xr:uid="{E5B9AACD-F2C3-4BA2-8981-A7F73461CAE8}"/>
    <cellStyle name="20% - Accent3 24" xfId="30322" xr:uid="{23072F13-33E8-4615-8FA7-2FACF5FE1F06}"/>
    <cellStyle name="20% - Accent3 25" xfId="32212" xr:uid="{F14D5C00-A7BB-46FA-9E4C-6AD5F422723A}"/>
    <cellStyle name="20% - Accent3 26" xfId="34102" xr:uid="{69AC2AAF-5382-435A-B4A2-B2CA13B4E2F3}"/>
    <cellStyle name="20% - Accent3 27" xfId="35992" xr:uid="{43C3CF2E-8CCB-44C9-BAD4-05C26CD1A7EB}"/>
    <cellStyle name="20% - Accent3 28" xfId="37882" xr:uid="{A257C296-D3F9-4374-9240-3D879A4DA9D5}"/>
    <cellStyle name="20% - Accent3 29" xfId="39773" xr:uid="{94FAB675-7797-462C-A5E3-E664FFB9B947}"/>
    <cellStyle name="20% - Accent3 3" xfId="124" xr:uid="{796A309D-BC38-49A7-A717-B05798E0272E}"/>
    <cellStyle name="20% - Accent3 3 10" xfId="7684" xr:uid="{F9D5580D-5964-4248-973E-FBBAE536DCC3}"/>
    <cellStyle name="20% - Accent3 3 11" xfId="9574" xr:uid="{F2B40838-A3B1-42D9-AB55-70A9FBC668F3}"/>
    <cellStyle name="20% - Accent3 3 12" xfId="11464" xr:uid="{3161A33C-6E3E-451E-A190-A7DCA5A62CA6}"/>
    <cellStyle name="20% - Accent3 3 13" xfId="13354" xr:uid="{343CD1E6-AE02-45C9-B772-DDD32481A8A0}"/>
    <cellStyle name="20% - Accent3 3 14" xfId="15244" xr:uid="{2A167550-F44D-4135-9727-3026C12567D1}"/>
    <cellStyle name="20% - Accent3 3 15" xfId="17134" xr:uid="{10F1F61F-7647-4FEE-BE89-0AE40EE4ACF5}"/>
    <cellStyle name="20% - Accent3 3 16" xfId="19024" xr:uid="{E76C8298-6C6D-4719-AB39-2DF53484C2A0}"/>
    <cellStyle name="20% - Accent3 3 17" xfId="20914" xr:uid="{3DD16A3C-B91D-4D56-9F9B-56354F2D7DB8}"/>
    <cellStyle name="20% - Accent3 3 18" xfId="22804" xr:uid="{2C297DA2-5DCF-4D60-9DCA-CC484F07978E}"/>
    <cellStyle name="20% - Accent3 3 19" xfId="24694" xr:uid="{5AD9E4C8-281E-4FA8-B45C-DE86FD76D3DE}"/>
    <cellStyle name="20% - Accent3 3 2" xfId="229" xr:uid="{9B1D9BAE-8141-4800-B1D9-502B0F4BC454}"/>
    <cellStyle name="20% - Accent3 3 2 10" xfId="9679" xr:uid="{090C94F8-CEF5-4F0D-942D-046704621B3C}"/>
    <cellStyle name="20% - Accent3 3 2 11" xfId="11569" xr:uid="{250ED6CF-31BB-4A5C-90F5-5DDE44AB6ADE}"/>
    <cellStyle name="20% - Accent3 3 2 12" xfId="13459" xr:uid="{2B79D7AE-BB49-498F-8147-C3874F41DA42}"/>
    <cellStyle name="20% - Accent3 3 2 13" xfId="15349" xr:uid="{8382165C-FF3D-4BE5-B39B-41CA83BC2144}"/>
    <cellStyle name="20% - Accent3 3 2 14" xfId="17239" xr:uid="{191DAF0F-7ED2-4CF0-AA7D-37FC7FE2BADC}"/>
    <cellStyle name="20% - Accent3 3 2 15" xfId="19129" xr:uid="{A8A63892-2D32-4791-A0F3-153582BC6C9D}"/>
    <cellStyle name="20% - Accent3 3 2 16" xfId="21019" xr:uid="{CECEA1B4-CE0F-4B19-B0AC-0580BDF7BEE1}"/>
    <cellStyle name="20% - Accent3 3 2 17" xfId="22909" xr:uid="{9FC67133-D15A-4F3B-95B8-A1A9A0FB92F5}"/>
    <cellStyle name="20% - Accent3 3 2 18" xfId="24799" xr:uid="{5E2CE7E8-EA22-4375-A129-A65A1746200E}"/>
    <cellStyle name="20% - Accent3 3 2 19" xfId="26689" xr:uid="{5207882C-9D02-46FF-893C-023BB579F327}"/>
    <cellStyle name="20% - Accent3 3 2 2" xfId="439" xr:uid="{01370AB7-FC44-4469-B015-A6DB659D834C}"/>
    <cellStyle name="20% - Accent3 3 2 2 10" xfId="13669" xr:uid="{CEC0F86B-D2EE-4495-8259-A3561FE9A3DC}"/>
    <cellStyle name="20% - Accent3 3 2 2 11" xfId="15559" xr:uid="{50882249-3390-43DE-82D7-1F0506DD4A41}"/>
    <cellStyle name="20% - Accent3 3 2 2 12" xfId="17449" xr:uid="{6D52442C-D6D4-43EA-927B-4E3CD5C9B31F}"/>
    <cellStyle name="20% - Accent3 3 2 2 13" xfId="19339" xr:uid="{045883A0-3A4A-4141-8EDC-1BD4939AD0DD}"/>
    <cellStyle name="20% - Accent3 3 2 2 14" xfId="21229" xr:uid="{6403B93E-7D68-4DBD-B1F1-FED839183BBE}"/>
    <cellStyle name="20% - Accent3 3 2 2 15" xfId="23119" xr:uid="{A408DDAF-34EC-448A-AA32-9FE9D06BB823}"/>
    <cellStyle name="20% - Accent3 3 2 2 16" xfId="25009" xr:uid="{D7D6662C-D6B2-4493-9E3D-FD954BF51557}"/>
    <cellStyle name="20% - Accent3 3 2 2 17" xfId="26899" xr:uid="{4D2E0EB0-C55C-46E2-8F51-34E21BF06D9F}"/>
    <cellStyle name="20% - Accent3 3 2 2 18" xfId="28789" xr:uid="{E4F7B025-BF1B-4422-A8DE-3C6427B70517}"/>
    <cellStyle name="20% - Accent3 3 2 2 19" xfId="30679" xr:uid="{4C22DED1-73A0-404F-B1E4-19B2131371C6}"/>
    <cellStyle name="20% - Accent3 3 2 2 2" xfId="1069" xr:uid="{E2DE917E-81EC-45A1-9B42-8854E5160DAB}"/>
    <cellStyle name="20% - Accent3 3 2 2 2 10" xfId="18079" xr:uid="{2D6FF543-5DFF-4664-924F-ABF8B0C07912}"/>
    <cellStyle name="20% - Accent3 3 2 2 2 11" xfId="19969" xr:uid="{7F51C7B0-76F4-439C-A833-34077C0DE779}"/>
    <cellStyle name="20% - Accent3 3 2 2 2 12" xfId="21859" xr:uid="{BE53F486-54E7-458F-A154-8A952D3A7705}"/>
    <cellStyle name="20% - Accent3 3 2 2 2 13" xfId="23749" xr:uid="{C4848AA8-8F82-492D-9F0E-4C4974A90337}"/>
    <cellStyle name="20% - Accent3 3 2 2 2 14" xfId="25639" xr:uid="{CD935512-BCB5-43EF-BEDC-5B20522FE4A0}"/>
    <cellStyle name="20% - Accent3 3 2 2 2 15" xfId="27529" xr:uid="{78A56F4D-8404-4B9C-BD1B-16C7D123B5B0}"/>
    <cellStyle name="20% - Accent3 3 2 2 2 16" xfId="29419" xr:uid="{FBA19BA3-D803-41C6-923D-7BE7DC71D6C0}"/>
    <cellStyle name="20% - Accent3 3 2 2 2 17" xfId="31309" xr:uid="{04E25F5B-26FD-419B-AEC1-45D118149275}"/>
    <cellStyle name="20% - Accent3 3 2 2 2 18" xfId="33199" xr:uid="{97BD0BB1-8B2C-4DC2-A4D5-8386F4B2D524}"/>
    <cellStyle name="20% - Accent3 3 2 2 2 19" xfId="35089" xr:uid="{676E5ACB-2A52-4675-95A1-CA4E3546490D}"/>
    <cellStyle name="20% - Accent3 3 2 2 2 2" xfId="2959" xr:uid="{D7231D4C-7CE2-4295-AFA7-F3587C59AFC4}"/>
    <cellStyle name="20% - Accent3 3 2 2 2 20" xfId="36979" xr:uid="{CAC58A30-51E3-4CEC-9786-CAEB8A067FA1}"/>
    <cellStyle name="20% - Accent3 3 2 2 2 21" xfId="38869" xr:uid="{1C78BB47-96F6-49E2-A1A4-539E1B736FB5}"/>
    <cellStyle name="20% - Accent3 3 2 2 2 22" xfId="40760" xr:uid="{8DF0EB79-1D68-481D-9AA6-8D9CED2F66B2}"/>
    <cellStyle name="20% - Accent3 3 2 2 2 3" xfId="4849" xr:uid="{80C69C64-CFDF-4D3C-8D12-81D539A2531B}"/>
    <cellStyle name="20% - Accent3 3 2 2 2 4" xfId="6739" xr:uid="{3A7A937A-A248-4513-A26C-69668034B43D}"/>
    <cellStyle name="20% - Accent3 3 2 2 2 5" xfId="8629" xr:uid="{536D30FE-66D2-456B-B035-0D9B9F693019}"/>
    <cellStyle name="20% - Accent3 3 2 2 2 6" xfId="10519" xr:uid="{33D86DDD-1854-4F01-AD50-E96A4F1D0517}"/>
    <cellStyle name="20% - Accent3 3 2 2 2 7" xfId="12409" xr:uid="{97F68B64-2C99-4887-BAFE-995DD77D637B}"/>
    <cellStyle name="20% - Accent3 3 2 2 2 8" xfId="14299" xr:uid="{8E3951AA-6B93-4F0A-A30F-C270C75939BA}"/>
    <cellStyle name="20% - Accent3 3 2 2 2 9" xfId="16189" xr:uid="{2A001B1F-D72F-4550-B2A1-DF2DAFAE8763}"/>
    <cellStyle name="20% - Accent3 3 2 2 20" xfId="32569" xr:uid="{23690591-6B13-407A-BC6E-1CC532BA858A}"/>
    <cellStyle name="20% - Accent3 3 2 2 21" xfId="34459" xr:uid="{2BFA20E5-7D6F-4D8B-9BE9-5099124B6D9F}"/>
    <cellStyle name="20% - Accent3 3 2 2 22" xfId="36349" xr:uid="{6A78362B-1545-4EB5-B008-7C39B6BBE4AE}"/>
    <cellStyle name="20% - Accent3 3 2 2 23" xfId="38239" xr:uid="{7915E84E-7E1B-41E2-BD7C-6EB4CC60B181}"/>
    <cellStyle name="20% - Accent3 3 2 2 24" xfId="40130" xr:uid="{3AE96515-CA8D-4FA2-9D8F-69760BE9FDFF}"/>
    <cellStyle name="20% - Accent3 3 2 2 3" xfId="1699" xr:uid="{46359879-B427-4994-9A5A-D548DE10AC30}"/>
    <cellStyle name="20% - Accent3 3 2 2 3 10" xfId="18709" xr:uid="{0D65BE90-94E5-496A-98AE-72CA186BFA02}"/>
    <cellStyle name="20% - Accent3 3 2 2 3 11" xfId="20599" xr:uid="{6B9D700A-0188-44D1-B161-C7ABCD7259F3}"/>
    <cellStyle name="20% - Accent3 3 2 2 3 12" xfId="22489" xr:uid="{8D85588C-6158-4B57-91DF-920ED85F6E8D}"/>
    <cellStyle name="20% - Accent3 3 2 2 3 13" xfId="24379" xr:uid="{F04DBC80-A56C-4713-9E1D-4FA2AF25B3D9}"/>
    <cellStyle name="20% - Accent3 3 2 2 3 14" xfId="26269" xr:uid="{93178E45-B23D-4CD6-84F4-DDE35DD34D7C}"/>
    <cellStyle name="20% - Accent3 3 2 2 3 15" xfId="28159" xr:uid="{10670D48-E19F-4AC2-B565-3977DC090338}"/>
    <cellStyle name="20% - Accent3 3 2 2 3 16" xfId="30049" xr:uid="{41312F5D-B912-4892-8F02-4BBA09F60A80}"/>
    <cellStyle name="20% - Accent3 3 2 2 3 17" xfId="31939" xr:uid="{8FB21598-78D3-4F89-98AB-9012349DA589}"/>
    <cellStyle name="20% - Accent3 3 2 2 3 18" xfId="33829" xr:uid="{9EE7E5CF-02CB-4C7D-A8ED-DE61013E57FC}"/>
    <cellStyle name="20% - Accent3 3 2 2 3 19" xfId="35719" xr:uid="{8F5EA6D6-9665-416F-8414-4B0FF6E5C8FC}"/>
    <cellStyle name="20% - Accent3 3 2 2 3 2" xfId="3589" xr:uid="{985A39F2-6CB4-41AB-BE04-C03D1675863B}"/>
    <cellStyle name="20% - Accent3 3 2 2 3 20" xfId="37609" xr:uid="{14D97BAF-3B72-449D-9719-FF3B228E3763}"/>
    <cellStyle name="20% - Accent3 3 2 2 3 21" xfId="39499" xr:uid="{D5F3D539-559E-44B8-B0DA-14421A73229B}"/>
    <cellStyle name="20% - Accent3 3 2 2 3 22" xfId="41390" xr:uid="{D34E5D5C-FEF2-4239-BB56-3330D7377BD2}"/>
    <cellStyle name="20% - Accent3 3 2 2 3 3" xfId="5479" xr:uid="{DF7D652C-2BF1-4C50-A5FA-8E455FAC2DF1}"/>
    <cellStyle name="20% - Accent3 3 2 2 3 4" xfId="7369" xr:uid="{2C96C6AD-AE8F-45F6-945B-A5A0FC67E120}"/>
    <cellStyle name="20% - Accent3 3 2 2 3 5" xfId="9259" xr:uid="{072C44E8-09AF-4F4E-89F9-EA5ABFF95675}"/>
    <cellStyle name="20% - Accent3 3 2 2 3 6" xfId="11149" xr:uid="{FA3E609A-C2CF-4D65-A7D4-D5CD2F64868D}"/>
    <cellStyle name="20% - Accent3 3 2 2 3 7" xfId="13039" xr:uid="{8386E742-EA3E-4A61-AD34-15A465564615}"/>
    <cellStyle name="20% - Accent3 3 2 2 3 8" xfId="14929" xr:uid="{07BFBE17-4775-4F22-A93F-95E9E4202B2E}"/>
    <cellStyle name="20% - Accent3 3 2 2 3 9" xfId="16819" xr:uid="{DC5540AE-58D7-48D0-9B40-87EAFF70A6F7}"/>
    <cellStyle name="20% - Accent3 3 2 2 4" xfId="2329" xr:uid="{D314D068-2B26-4E7F-8925-1B2B0A77B53B}"/>
    <cellStyle name="20% - Accent3 3 2 2 5" xfId="4219" xr:uid="{6F415BDC-CB98-41FB-87A0-B5CBCF6C1F01}"/>
    <cellStyle name="20% - Accent3 3 2 2 6" xfId="6109" xr:uid="{FCD56114-BFBC-4EC9-95E2-E14FA895E439}"/>
    <cellStyle name="20% - Accent3 3 2 2 7" xfId="7999" xr:uid="{54F46D1B-B623-49AD-BCCC-4DCC0F26A1A9}"/>
    <cellStyle name="20% - Accent3 3 2 2 8" xfId="9889" xr:uid="{BBD03A9E-8260-414F-BE74-2A9241308283}"/>
    <cellStyle name="20% - Accent3 3 2 2 9" xfId="11779" xr:uid="{129D04E5-61D2-46C9-9A18-1BA11B62CCD1}"/>
    <cellStyle name="20% - Accent3 3 2 20" xfId="28579" xr:uid="{0B15607B-3995-4D96-98EF-DEA867184E57}"/>
    <cellStyle name="20% - Accent3 3 2 21" xfId="30469" xr:uid="{BCBF8194-CEFE-4726-A041-C016698DD902}"/>
    <cellStyle name="20% - Accent3 3 2 22" xfId="32359" xr:uid="{9EB144EE-E21E-4F78-B9E9-81DCC5097715}"/>
    <cellStyle name="20% - Accent3 3 2 23" xfId="34249" xr:uid="{08894476-4727-431A-82F5-B55B7BE3DBF8}"/>
    <cellStyle name="20% - Accent3 3 2 24" xfId="36139" xr:uid="{015EA35C-C057-4B63-9AAB-D84B0B885160}"/>
    <cellStyle name="20% - Accent3 3 2 25" xfId="38029" xr:uid="{F68D99C1-B7E1-46E2-B208-191E69B93484}"/>
    <cellStyle name="20% - Accent3 3 2 26" xfId="39920" xr:uid="{5C788E2A-CA53-4CBF-A229-535091DEF3C1}"/>
    <cellStyle name="20% - Accent3 3 2 3" xfId="649" xr:uid="{54AD10B0-3A77-45DE-9FBB-99E11F5F185A}"/>
    <cellStyle name="20% - Accent3 3 2 3 10" xfId="13879" xr:uid="{E0506471-0110-4BF3-9460-CFB48D8B77D6}"/>
    <cellStyle name="20% - Accent3 3 2 3 11" xfId="15769" xr:uid="{B33BCEA3-2ABD-4DC2-AF34-1D7314267CF4}"/>
    <cellStyle name="20% - Accent3 3 2 3 12" xfId="17659" xr:uid="{6B7BE09A-F2A4-4748-ADF2-EFDD1F3F283D}"/>
    <cellStyle name="20% - Accent3 3 2 3 13" xfId="19549" xr:uid="{A7257747-F816-4AE3-B11A-EAA49824835B}"/>
    <cellStyle name="20% - Accent3 3 2 3 14" xfId="21439" xr:uid="{5BED6328-9F2E-46D8-9768-CB024881566A}"/>
    <cellStyle name="20% - Accent3 3 2 3 15" xfId="23329" xr:uid="{DA9D3A4A-0B2B-42C2-8749-09538048FEDD}"/>
    <cellStyle name="20% - Accent3 3 2 3 16" xfId="25219" xr:uid="{4EE2DB5E-4679-4A29-9A0B-746FBCCAFAC2}"/>
    <cellStyle name="20% - Accent3 3 2 3 17" xfId="27109" xr:uid="{B197C9F2-2829-486F-A775-26577E7C47F2}"/>
    <cellStyle name="20% - Accent3 3 2 3 18" xfId="28999" xr:uid="{F2304BCA-0CB4-42CC-B4D0-7C8DBA5325F2}"/>
    <cellStyle name="20% - Accent3 3 2 3 19" xfId="30889" xr:uid="{C73B506E-B3D3-4B14-9D0D-2B9B30EB7F19}"/>
    <cellStyle name="20% - Accent3 3 2 3 2" xfId="1279" xr:uid="{4D7A09D8-36A3-4F53-91EA-B223DE72CDA9}"/>
    <cellStyle name="20% - Accent3 3 2 3 2 10" xfId="18289" xr:uid="{F09238C4-654F-47BC-B663-3A78A81DAE2B}"/>
    <cellStyle name="20% - Accent3 3 2 3 2 11" xfId="20179" xr:uid="{1F4A3AF0-4772-4368-A48D-B0A4DDDE08D8}"/>
    <cellStyle name="20% - Accent3 3 2 3 2 12" xfId="22069" xr:uid="{E4E78681-316C-4ECC-B7B0-36060EAC7042}"/>
    <cellStyle name="20% - Accent3 3 2 3 2 13" xfId="23959" xr:uid="{E2D813A3-6824-4AD6-AAB1-759D0D2D7FF2}"/>
    <cellStyle name="20% - Accent3 3 2 3 2 14" xfId="25849" xr:uid="{52FD98F2-B840-45DF-80AF-C5547B6030CA}"/>
    <cellStyle name="20% - Accent3 3 2 3 2 15" xfId="27739" xr:uid="{15FDD9F1-34EB-4116-9672-A8D3FCC47CD6}"/>
    <cellStyle name="20% - Accent3 3 2 3 2 16" xfId="29629" xr:uid="{3B1F8F39-6345-451F-933F-4C37AD01278C}"/>
    <cellStyle name="20% - Accent3 3 2 3 2 17" xfId="31519" xr:uid="{F05561C3-395C-4DBA-AC3F-C334F96AA856}"/>
    <cellStyle name="20% - Accent3 3 2 3 2 18" xfId="33409" xr:uid="{FAEE8FEE-F51C-4F28-90CC-2C8EBCA04D66}"/>
    <cellStyle name="20% - Accent3 3 2 3 2 19" xfId="35299" xr:uid="{44035093-6729-424A-A849-C0D49DC54167}"/>
    <cellStyle name="20% - Accent3 3 2 3 2 2" xfId="3169" xr:uid="{6BC2E098-01F0-486C-846D-0D57EF311ED7}"/>
    <cellStyle name="20% - Accent3 3 2 3 2 20" xfId="37189" xr:uid="{292904E3-6E15-45CB-A1BE-4F4AA8FA7803}"/>
    <cellStyle name="20% - Accent3 3 2 3 2 21" xfId="39079" xr:uid="{BBF4303B-E931-4C55-864C-10594A6A7A3A}"/>
    <cellStyle name="20% - Accent3 3 2 3 2 22" xfId="40970" xr:uid="{769568F7-D45D-40D2-8D5C-7DA57195D163}"/>
    <cellStyle name="20% - Accent3 3 2 3 2 3" xfId="5059" xr:uid="{F21CE9C9-2E3E-4467-BF5C-2024E139F3E6}"/>
    <cellStyle name="20% - Accent3 3 2 3 2 4" xfId="6949" xr:uid="{84C5152B-1D0C-44E2-A0A7-DFACCA964525}"/>
    <cellStyle name="20% - Accent3 3 2 3 2 5" xfId="8839" xr:uid="{3423F0DD-0900-4971-9E33-B73846877C62}"/>
    <cellStyle name="20% - Accent3 3 2 3 2 6" xfId="10729" xr:uid="{A262BCCE-6A2D-4A19-81DE-05B0BEC4C958}"/>
    <cellStyle name="20% - Accent3 3 2 3 2 7" xfId="12619" xr:uid="{B2E4C4B3-8B68-4C76-80F4-E2F991E48B67}"/>
    <cellStyle name="20% - Accent3 3 2 3 2 8" xfId="14509" xr:uid="{57BF377D-DC54-462F-9190-F7FB63EFE97C}"/>
    <cellStyle name="20% - Accent3 3 2 3 2 9" xfId="16399" xr:uid="{B3079C79-3136-41E2-8BB7-27CBC0AEB49F}"/>
    <cellStyle name="20% - Accent3 3 2 3 20" xfId="32779" xr:uid="{7FD0FF23-01E9-4774-BA20-7363EC13EFF8}"/>
    <cellStyle name="20% - Accent3 3 2 3 21" xfId="34669" xr:uid="{8F4A4265-EC27-4304-843F-FA1B944F0B08}"/>
    <cellStyle name="20% - Accent3 3 2 3 22" xfId="36559" xr:uid="{7C8DF6EC-08FB-4E28-8FF0-DB590582455A}"/>
    <cellStyle name="20% - Accent3 3 2 3 23" xfId="38449" xr:uid="{8D4B950F-3D53-4D3E-9DA7-121E1206E7B4}"/>
    <cellStyle name="20% - Accent3 3 2 3 24" xfId="40340" xr:uid="{AA078568-9EBE-4C83-8490-2B3E3D53B781}"/>
    <cellStyle name="20% - Accent3 3 2 3 3" xfId="1909" xr:uid="{530A741F-CDFD-4C5F-86D8-043E54EC6C20}"/>
    <cellStyle name="20% - Accent3 3 2 3 3 10" xfId="18919" xr:uid="{DB913DE1-42EC-4731-A64A-74A65F5559DF}"/>
    <cellStyle name="20% - Accent3 3 2 3 3 11" xfId="20809" xr:uid="{F97D7BC0-B359-4937-8BC6-5C0F4C9B9440}"/>
    <cellStyle name="20% - Accent3 3 2 3 3 12" xfId="22699" xr:uid="{D2E049E8-1455-491C-A89D-8A1420B04276}"/>
    <cellStyle name="20% - Accent3 3 2 3 3 13" xfId="24589" xr:uid="{2838FCAB-712D-4690-9C53-9B4A8A8388F1}"/>
    <cellStyle name="20% - Accent3 3 2 3 3 14" xfId="26479" xr:uid="{9C75313D-1041-4C79-980C-7681196D8DE7}"/>
    <cellStyle name="20% - Accent3 3 2 3 3 15" xfId="28369" xr:uid="{B8F3E31B-0257-44C0-9F09-B32D62DE4D6A}"/>
    <cellStyle name="20% - Accent3 3 2 3 3 16" xfId="30259" xr:uid="{6884821B-5728-4892-8BB1-3B9A73F0FD6C}"/>
    <cellStyle name="20% - Accent3 3 2 3 3 17" xfId="32149" xr:uid="{3635F11A-B1FF-473B-8E40-E05DFE055D5F}"/>
    <cellStyle name="20% - Accent3 3 2 3 3 18" xfId="34039" xr:uid="{3DB9EE36-777F-4AD2-BA8F-2355BC93D9E1}"/>
    <cellStyle name="20% - Accent3 3 2 3 3 19" xfId="35929" xr:uid="{C7C350B7-D89A-4C61-8416-6A39DD543DAC}"/>
    <cellStyle name="20% - Accent3 3 2 3 3 2" xfId="3799" xr:uid="{8A6E28F5-0662-406A-9738-1F02F269C849}"/>
    <cellStyle name="20% - Accent3 3 2 3 3 20" xfId="37819" xr:uid="{FD3714D0-0E22-47EA-8AF9-7E0FBD2432EE}"/>
    <cellStyle name="20% - Accent3 3 2 3 3 21" xfId="39709" xr:uid="{4A84C492-6CDD-4BA2-B992-91E647119F4A}"/>
    <cellStyle name="20% - Accent3 3 2 3 3 22" xfId="41600" xr:uid="{9A14110C-EFE2-4F22-B5E3-9EBD9954D386}"/>
    <cellStyle name="20% - Accent3 3 2 3 3 3" xfId="5689" xr:uid="{3841C7C7-0544-48DB-B8F7-FF8E90CF3B12}"/>
    <cellStyle name="20% - Accent3 3 2 3 3 4" xfId="7579" xr:uid="{007DFD60-1458-49D7-BF70-6310BEE0FEFF}"/>
    <cellStyle name="20% - Accent3 3 2 3 3 5" xfId="9469" xr:uid="{E189923B-43CC-4C88-84DA-01BE622ECEAB}"/>
    <cellStyle name="20% - Accent3 3 2 3 3 6" xfId="11359" xr:uid="{46B3ADD5-B702-4175-914E-93D0011D7B09}"/>
    <cellStyle name="20% - Accent3 3 2 3 3 7" xfId="13249" xr:uid="{0086F36A-08EA-4909-A5FD-CA94FD7BC1D3}"/>
    <cellStyle name="20% - Accent3 3 2 3 3 8" xfId="15139" xr:uid="{69F485F0-A8A4-4CA9-B6C3-95ACEA5EA3AB}"/>
    <cellStyle name="20% - Accent3 3 2 3 3 9" xfId="17029" xr:uid="{E7735643-1674-4921-B549-7B95CCC026B0}"/>
    <cellStyle name="20% - Accent3 3 2 3 4" xfId="2539" xr:uid="{8B9DAE99-E95E-4B2F-806F-FE474CE1F9D9}"/>
    <cellStyle name="20% - Accent3 3 2 3 5" xfId="4429" xr:uid="{304ED042-06F9-49BB-B1D8-ED66ED361FCD}"/>
    <cellStyle name="20% - Accent3 3 2 3 6" xfId="6319" xr:uid="{0F677ADD-E639-4ED1-9808-6F2C45BD22E1}"/>
    <cellStyle name="20% - Accent3 3 2 3 7" xfId="8209" xr:uid="{A7B7DBE4-32B2-4888-8BD5-9766DD092CBD}"/>
    <cellStyle name="20% - Accent3 3 2 3 8" xfId="10099" xr:uid="{55C46391-D581-4084-891C-07A7190FB6EE}"/>
    <cellStyle name="20% - Accent3 3 2 3 9" xfId="11989" xr:uid="{876EB19F-9415-4D78-B98F-30A0F274C6B0}"/>
    <cellStyle name="20% - Accent3 3 2 4" xfId="859" xr:uid="{72AC6F93-8C23-406E-86B0-6397DE918336}"/>
    <cellStyle name="20% - Accent3 3 2 4 10" xfId="17869" xr:uid="{033CCBAA-902A-4023-9CB4-88C89C0C38C6}"/>
    <cellStyle name="20% - Accent3 3 2 4 11" xfId="19759" xr:uid="{09FE2958-A674-415F-90E3-7379F9476F9F}"/>
    <cellStyle name="20% - Accent3 3 2 4 12" xfId="21649" xr:uid="{4A92782E-5A29-4C95-9DD0-91D5584121C3}"/>
    <cellStyle name="20% - Accent3 3 2 4 13" xfId="23539" xr:uid="{9DBDA080-FF2D-4BBB-9FC5-07CE4DD44F9F}"/>
    <cellStyle name="20% - Accent3 3 2 4 14" xfId="25429" xr:uid="{77DD1CB5-FA93-4D73-B8C3-B946998011B3}"/>
    <cellStyle name="20% - Accent3 3 2 4 15" xfId="27319" xr:uid="{D46171A9-C833-4429-832A-A95F4B239352}"/>
    <cellStyle name="20% - Accent3 3 2 4 16" xfId="29209" xr:uid="{300A11FB-0E69-4CD5-AC54-B0CE009BBB4C}"/>
    <cellStyle name="20% - Accent3 3 2 4 17" xfId="31099" xr:uid="{66599A8C-1856-4AD0-B0D9-145AE1241CF4}"/>
    <cellStyle name="20% - Accent3 3 2 4 18" xfId="32989" xr:uid="{5DF79A01-3EB6-4B33-8B2A-376CA53EC4A9}"/>
    <cellStyle name="20% - Accent3 3 2 4 19" xfId="34879" xr:uid="{DDA8F10F-9EB5-424B-B5AD-8ED96A6C02C2}"/>
    <cellStyle name="20% - Accent3 3 2 4 2" xfId="2749" xr:uid="{BD046509-6268-4F1A-83D1-6000F9B8ABF6}"/>
    <cellStyle name="20% - Accent3 3 2 4 20" xfId="36769" xr:uid="{8BB3F347-E79B-48BC-A3CC-FEB61DBDABD8}"/>
    <cellStyle name="20% - Accent3 3 2 4 21" xfId="38659" xr:uid="{F466BE05-3450-4190-842D-70E757C066D2}"/>
    <cellStyle name="20% - Accent3 3 2 4 22" xfId="40550" xr:uid="{15BD03C3-B89E-4193-B0BB-227ED4A6D9BB}"/>
    <cellStyle name="20% - Accent3 3 2 4 3" xfId="4639" xr:uid="{5BD9D0D4-4391-41CC-BB5C-B2BE3ECE05F6}"/>
    <cellStyle name="20% - Accent3 3 2 4 4" xfId="6529" xr:uid="{1A69F4E7-16B7-4C5C-9C46-BB28CF9419AD}"/>
    <cellStyle name="20% - Accent3 3 2 4 5" xfId="8419" xr:uid="{D3FB4BDC-1FB5-400C-A7F7-0FD856B267F9}"/>
    <cellStyle name="20% - Accent3 3 2 4 6" xfId="10309" xr:uid="{6AFB16BC-88E0-4F47-BBAA-3F8DA2237396}"/>
    <cellStyle name="20% - Accent3 3 2 4 7" xfId="12199" xr:uid="{B77E50B5-C92F-446A-8295-444E413C7234}"/>
    <cellStyle name="20% - Accent3 3 2 4 8" xfId="14089" xr:uid="{A00CEA8B-2D86-41D5-B26C-BC2D9405337B}"/>
    <cellStyle name="20% - Accent3 3 2 4 9" xfId="15979" xr:uid="{D0DA75B2-D791-499A-81AE-87FD98CD1611}"/>
    <cellStyle name="20% - Accent3 3 2 5" xfId="1489" xr:uid="{0680FB5D-E4C5-4738-A9C6-9565AD8247F1}"/>
    <cellStyle name="20% - Accent3 3 2 5 10" xfId="18499" xr:uid="{A541ECBB-DE6F-4D17-9ACF-2CEAB2496352}"/>
    <cellStyle name="20% - Accent3 3 2 5 11" xfId="20389" xr:uid="{1E8D79A3-01A4-48EE-84CC-BA8A1AA1E8AD}"/>
    <cellStyle name="20% - Accent3 3 2 5 12" xfId="22279" xr:uid="{1A0E2313-5853-459B-B308-64597783B093}"/>
    <cellStyle name="20% - Accent3 3 2 5 13" xfId="24169" xr:uid="{DCC56393-CDD3-49F2-BCAD-FFD96A6D4A63}"/>
    <cellStyle name="20% - Accent3 3 2 5 14" xfId="26059" xr:uid="{333F56CB-AAB0-46B1-868C-2876DD093245}"/>
    <cellStyle name="20% - Accent3 3 2 5 15" xfId="27949" xr:uid="{220023D4-C7DF-4A43-99E9-E432D6E29325}"/>
    <cellStyle name="20% - Accent3 3 2 5 16" xfId="29839" xr:uid="{22B030D7-0BC1-4491-9154-D37874964383}"/>
    <cellStyle name="20% - Accent3 3 2 5 17" xfId="31729" xr:uid="{A815CCDF-0E19-4466-B2F0-C2AC0882D916}"/>
    <cellStyle name="20% - Accent3 3 2 5 18" xfId="33619" xr:uid="{6DAE7EC6-A79E-4224-8DC3-499B03C6EE82}"/>
    <cellStyle name="20% - Accent3 3 2 5 19" xfId="35509" xr:uid="{BD26E73D-20A3-40B8-B824-689C5A63E3FB}"/>
    <cellStyle name="20% - Accent3 3 2 5 2" xfId="3379" xr:uid="{895F46DE-75BD-4CD8-A401-E3ED101B91F9}"/>
    <cellStyle name="20% - Accent3 3 2 5 20" xfId="37399" xr:uid="{117D2130-509C-4857-8C4C-66856D911A2D}"/>
    <cellStyle name="20% - Accent3 3 2 5 21" xfId="39289" xr:uid="{C685B311-F0F9-46B4-B819-61A363DA4302}"/>
    <cellStyle name="20% - Accent3 3 2 5 22" xfId="41180" xr:uid="{AC749EFA-2D62-448C-AE03-9A332E98CC36}"/>
    <cellStyle name="20% - Accent3 3 2 5 3" xfId="5269" xr:uid="{FDDA0A9D-893E-46E2-80A1-4799354B17FC}"/>
    <cellStyle name="20% - Accent3 3 2 5 4" xfId="7159" xr:uid="{D54007C9-3798-48E9-BBB8-7FAB29D1B7F6}"/>
    <cellStyle name="20% - Accent3 3 2 5 5" xfId="9049" xr:uid="{A090A675-780D-416B-A926-C16BB3632C55}"/>
    <cellStyle name="20% - Accent3 3 2 5 6" xfId="10939" xr:uid="{DE5298E8-54C1-4C33-ABCC-5ACE83EED354}"/>
    <cellStyle name="20% - Accent3 3 2 5 7" xfId="12829" xr:uid="{024D1FEA-0A15-47EC-B751-A56D9E50F381}"/>
    <cellStyle name="20% - Accent3 3 2 5 8" xfId="14719" xr:uid="{63415DF5-E0C2-4F9D-8B37-F1C0034D4C93}"/>
    <cellStyle name="20% - Accent3 3 2 5 9" xfId="16609" xr:uid="{2C70240B-FF8B-494E-BC05-F388B28B7647}"/>
    <cellStyle name="20% - Accent3 3 2 6" xfId="2119" xr:uid="{3D631858-327D-433C-A277-98EBB0D686C7}"/>
    <cellStyle name="20% - Accent3 3 2 7" xfId="4009" xr:uid="{BC9B5F5C-6D82-439C-8EE2-33DBAD093B6D}"/>
    <cellStyle name="20% - Accent3 3 2 8" xfId="5899" xr:uid="{0DC9CEFB-92BC-4C5C-B822-A5F65C5185AB}"/>
    <cellStyle name="20% - Accent3 3 2 9" xfId="7789" xr:uid="{A2582C02-4C87-432C-B560-878F5A00F08D}"/>
    <cellStyle name="20% - Accent3 3 20" xfId="26584" xr:uid="{E904ED8A-1690-41F3-B22E-F278C8E5E4E5}"/>
    <cellStyle name="20% - Accent3 3 21" xfId="28474" xr:uid="{5B82969A-D035-438D-82EB-36CEDF85D167}"/>
    <cellStyle name="20% - Accent3 3 22" xfId="30364" xr:uid="{A79FA824-0197-440A-B57F-10AEADF1CA2D}"/>
    <cellStyle name="20% - Accent3 3 23" xfId="32254" xr:uid="{D3412E47-1754-46A3-AD61-D832F05381F7}"/>
    <cellStyle name="20% - Accent3 3 24" xfId="34144" xr:uid="{AC89AE3A-D532-4B38-B034-D70543F2AFC7}"/>
    <cellStyle name="20% - Accent3 3 25" xfId="36034" xr:uid="{B29C313F-7984-4C3C-AA04-A9ED17059095}"/>
    <cellStyle name="20% - Accent3 3 26" xfId="37924" xr:uid="{7E669C79-412E-415C-8EDA-2912F0CC2811}"/>
    <cellStyle name="20% - Accent3 3 27" xfId="39815" xr:uid="{0FAC91B7-AB2E-45C2-8255-409AF63F73B5}"/>
    <cellStyle name="20% - Accent3 3 3" xfId="334" xr:uid="{B778B291-B96C-4EF0-B576-10CFE2693A7F}"/>
    <cellStyle name="20% - Accent3 3 3 10" xfId="13564" xr:uid="{3D701698-701B-4ADC-9F32-3DAD40094A07}"/>
    <cellStyle name="20% - Accent3 3 3 11" xfId="15454" xr:uid="{FC1B02A6-47AF-49DB-B5B7-DCC820582E44}"/>
    <cellStyle name="20% - Accent3 3 3 12" xfId="17344" xr:uid="{37EABB4B-47F6-4889-AA8C-CB6356826FEB}"/>
    <cellStyle name="20% - Accent3 3 3 13" xfId="19234" xr:uid="{F09AB069-D17E-4B5E-BCA5-6DCCB8C52036}"/>
    <cellStyle name="20% - Accent3 3 3 14" xfId="21124" xr:uid="{242A6B61-9A15-47F8-B1C9-97F66F1F5B49}"/>
    <cellStyle name="20% - Accent3 3 3 15" xfId="23014" xr:uid="{2236ABD8-43C2-4301-97E9-282E52693E7B}"/>
    <cellStyle name="20% - Accent3 3 3 16" xfId="24904" xr:uid="{99F4C416-1257-4A88-B70B-FB308360794F}"/>
    <cellStyle name="20% - Accent3 3 3 17" xfId="26794" xr:uid="{FD4976FC-BCF5-409C-8E92-87E7A9232E4A}"/>
    <cellStyle name="20% - Accent3 3 3 18" xfId="28684" xr:uid="{5F335937-FA7F-4973-9BB8-B720698F0940}"/>
    <cellStyle name="20% - Accent3 3 3 19" xfId="30574" xr:uid="{73D0FB1D-260D-4D4B-99EC-D1991B710E6B}"/>
    <cellStyle name="20% - Accent3 3 3 2" xfId="964" xr:uid="{BE5B258D-E5FF-4815-B6DA-300E9896D235}"/>
    <cellStyle name="20% - Accent3 3 3 2 10" xfId="17974" xr:uid="{C76B3853-1C49-4F2A-AE88-D4640A3149B9}"/>
    <cellStyle name="20% - Accent3 3 3 2 11" xfId="19864" xr:uid="{0B3C5BFA-5C2C-4568-B112-928555C60A7A}"/>
    <cellStyle name="20% - Accent3 3 3 2 12" xfId="21754" xr:uid="{1783AC0C-428E-4359-A1BC-F5E634A62029}"/>
    <cellStyle name="20% - Accent3 3 3 2 13" xfId="23644" xr:uid="{2574FDD6-FD48-41CA-83B8-13600DDE1B02}"/>
    <cellStyle name="20% - Accent3 3 3 2 14" xfId="25534" xr:uid="{AE3E96FE-3E52-4D5E-B0F1-1003FEFEDBA2}"/>
    <cellStyle name="20% - Accent3 3 3 2 15" xfId="27424" xr:uid="{05A89D65-F653-44B5-99F2-75EFFCBEDD90}"/>
    <cellStyle name="20% - Accent3 3 3 2 16" xfId="29314" xr:uid="{BF39B934-9CED-42B4-80A9-70763C8C174A}"/>
    <cellStyle name="20% - Accent3 3 3 2 17" xfId="31204" xr:uid="{40FDE339-F4D8-4BB0-B51F-776E82F563E6}"/>
    <cellStyle name="20% - Accent3 3 3 2 18" xfId="33094" xr:uid="{84BB8B7F-1A1E-49DA-928C-03CEA595BD71}"/>
    <cellStyle name="20% - Accent3 3 3 2 19" xfId="34984" xr:uid="{CFE88F5E-6ACD-42D4-9F99-5BB12BFCC93E}"/>
    <cellStyle name="20% - Accent3 3 3 2 2" xfId="2854" xr:uid="{AA0031E0-F46B-4E5D-9B53-0ED6D6AF8526}"/>
    <cellStyle name="20% - Accent3 3 3 2 20" xfId="36874" xr:uid="{DC149C8E-45DB-441E-AC2F-9F846F31E65E}"/>
    <cellStyle name="20% - Accent3 3 3 2 21" xfId="38764" xr:uid="{841C470A-E7EA-4D43-83D0-6EFAC2A269DE}"/>
    <cellStyle name="20% - Accent3 3 3 2 22" xfId="40655" xr:uid="{21673632-884C-4A22-9679-8D785AD4D941}"/>
    <cellStyle name="20% - Accent3 3 3 2 3" xfId="4744" xr:uid="{10506F93-D9B4-41B9-A2EF-AF37EA833213}"/>
    <cellStyle name="20% - Accent3 3 3 2 4" xfId="6634" xr:uid="{470DB254-B5DE-48EB-9048-EEDFFACEB224}"/>
    <cellStyle name="20% - Accent3 3 3 2 5" xfId="8524" xr:uid="{CB244374-4DD1-4540-80F1-004ABF8F448E}"/>
    <cellStyle name="20% - Accent3 3 3 2 6" xfId="10414" xr:uid="{2C640A2B-62F7-4451-81A0-70DF0F967316}"/>
    <cellStyle name="20% - Accent3 3 3 2 7" xfId="12304" xr:uid="{9B9C2B83-0B17-48D9-A380-5F7601A89517}"/>
    <cellStyle name="20% - Accent3 3 3 2 8" xfId="14194" xr:uid="{2E790536-40FA-4E4D-A0B5-3CC3687FE5B5}"/>
    <cellStyle name="20% - Accent3 3 3 2 9" xfId="16084" xr:uid="{D3AFA995-9B86-47AD-B042-F92D0077CF37}"/>
    <cellStyle name="20% - Accent3 3 3 20" xfId="32464" xr:uid="{9C0734AD-B2B6-4F78-8037-DDA1468C056D}"/>
    <cellStyle name="20% - Accent3 3 3 21" xfId="34354" xr:uid="{0A5662AB-4607-4608-A887-8C39B2CAFBEC}"/>
    <cellStyle name="20% - Accent3 3 3 22" xfId="36244" xr:uid="{ABEF4324-9DE6-4443-B551-62F3468AD962}"/>
    <cellStyle name="20% - Accent3 3 3 23" xfId="38134" xr:uid="{4FC90DB6-179E-48A7-A3CE-9EAE8A6743FA}"/>
    <cellStyle name="20% - Accent3 3 3 24" xfId="40025" xr:uid="{C1E44D4E-EF8D-4F15-875A-0B6FAABEE9F0}"/>
    <cellStyle name="20% - Accent3 3 3 3" xfId="1594" xr:uid="{11A3EAC4-61BF-441E-8AB1-F9D9D917BD68}"/>
    <cellStyle name="20% - Accent3 3 3 3 10" xfId="18604" xr:uid="{ED11D4BD-FA5A-44D2-8A47-4F4D2E260251}"/>
    <cellStyle name="20% - Accent3 3 3 3 11" xfId="20494" xr:uid="{0E441650-3082-47C4-B425-45F7B7DCCB9D}"/>
    <cellStyle name="20% - Accent3 3 3 3 12" xfId="22384" xr:uid="{1985B3AE-5BEA-4E4E-B68D-4A7D07155D17}"/>
    <cellStyle name="20% - Accent3 3 3 3 13" xfId="24274" xr:uid="{E9507CD7-AC8F-463F-91C8-80C6F4CBB6F8}"/>
    <cellStyle name="20% - Accent3 3 3 3 14" xfId="26164" xr:uid="{F6F26E2B-FA65-4E19-911C-5EF6413B74F5}"/>
    <cellStyle name="20% - Accent3 3 3 3 15" xfId="28054" xr:uid="{3642B00D-D37F-4885-B620-3901B96CE3A9}"/>
    <cellStyle name="20% - Accent3 3 3 3 16" xfId="29944" xr:uid="{C8DC522A-683D-46F6-BB47-748CFC504317}"/>
    <cellStyle name="20% - Accent3 3 3 3 17" xfId="31834" xr:uid="{6F3B9458-48C3-45F5-ACCC-CE531EEA76BE}"/>
    <cellStyle name="20% - Accent3 3 3 3 18" xfId="33724" xr:uid="{EF802256-5366-4EDA-9D8A-19BC2F00EB7D}"/>
    <cellStyle name="20% - Accent3 3 3 3 19" xfId="35614" xr:uid="{1C6FB870-786F-4D45-B4FD-7BBDC1B56BD6}"/>
    <cellStyle name="20% - Accent3 3 3 3 2" xfId="3484" xr:uid="{F8ADEFEA-9261-425A-A48D-98367D6E4288}"/>
    <cellStyle name="20% - Accent3 3 3 3 20" xfId="37504" xr:uid="{0F4634A2-423A-4048-85CA-8C6C558C8338}"/>
    <cellStyle name="20% - Accent3 3 3 3 21" xfId="39394" xr:uid="{849EA97E-217E-45F6-A490-655F7E9228DD}"/>
    <cellStyle name="20% - Accent3 3 3 3 22" xfId="41285" xr:uid="{F7C5990F-3C6E-4F9F-A6B6-39B41C2C712A}"/>
    <cellStyle name="20% - Accent3 3 3 3 3" xfId="5374" xr:uid="{C146C3F5-DD14-49D3-A403-D75DFAF987E8}"/>
    <cellStyle name="20% - Accent3 3 3 3 4" xfId="7264" xr:uid="{62FED11C-AD9D-4AD8-929F-A1FEE9B5D482}"/>
    <cellStyle name="20% - Accent3 3 3 3 5" xfId="9154" xr:uid="{FA799021-B365-42D5-8DE4-88BE444197BB}"/>
    <cellStyle name="20% - Accent3 3 3 3 6" xfId="11044" xr:uid="{7E616A79-ED75-4BC7-8085-1ED000CC04A2}"/>
    <cellStyle name="20% - Accent3 3 3 3 7" xfId="12934" xr:uid="{487475DD-5CD0-4454-9A07-D2AC63520686}"/>
    <cellStyle name="20% - Accent3 3 3 3 8" xfId="14824" xr:uid="{9495E7FB-F35E-49D1-943B-5430A41FD392}"/>
    <cellStyle name="20% - Accent3 3 3 3 9" xfId="16714" xr:uid="{7E426862-9514-4D97-B394-A221976B1023}"/>
    <cellStyle name="20% - Accent3 3 3 4" xfId="2224" xr:uid="{39A6BE94-9412-4340-8862-734005658694}"/>
    <cellStyle name="20% - Accent3 3 3 5" xfId="4114" xr:uid="{D69B883F-3B75-41CC-88DB-30AFCBF8F635}"/>
    <cellStyle name="20% - Accent3 3 3 6" xfId="6004" xr:uid="{59268CD2-0917-4893-9BF3-6088FDF66439}"/>
    <cellStyle name="20% - Accent3 3 3 7" xfId="7894" xr:uid="{E5FF2575-A4B0-4385-8A3D-CF50DCB51342}"/>
    <cellStyle name="20% - Accent3 3 3 8" xfId="9784" xr:uid="{5930B0BE-246E-4517-BBE9-B274CB64FC16}"/>
    <cellStyle name="20% - Accent3 3 3 9" xfId="11674" xr:uid="{2D22CE79-38CC-4202-8E46-16FDC4C289B4}"/>
    <cellStyle name="20% - Accent3 3 4" xfId="544" xr:uid="{0E3A735B-13A6-4C35-9D68-C8619BC55EF1}"/>
    <cellStyle name="20% - Accent3 3 4 10" xfId="13774" xr:uid="{670013A6-1773-4DE3-A374-D143B7670DF6}"/>
    <cellStyle name="20% - Accent3 3 4 11" xfId="15664" xr:uid="{170B334A-CDF1-4C81-9EEE-A128E0C7349D}"/>
    <cellStyle name="20% - Accent3 3 4 12" xfId="17554" xr:uid="{87B3E901-D336-4308-B11B-DE555BCEB138}"/>
    <cellStyle name="20% - Accent3 3 4 13" xfId="19444" xr:uid="{6718B0BD-94F6-48F2-9757-EBBDC8AAE578}"/>
    <cellStyle name="20% - Accent3 3 4 14" xfId="21334" xr:uid="{C23D1979-7FB9-4A5D-96A1-A965901A4F69}"/>
    <cellStyle name="20% - Accent3 3 4 15" xfId="23224" xr:uid="{8FE459AB-E3A0-4502-97FF-BEC59AC7B251}"/>
    <cellStyle name="20% - Accent3 3 4 16" xfId="25114" xr:uid="{DA3500EC-AEEB-4505-B90C-BC1E205C4B6D}"/>
    <cellStyle name="20% - Accent3 3 4 17" xfId="27004" xr:uid="{F3F1109A-9294-4DB4-872F-0B5B42692F34}"/>
    <cellStyle name="20% - Accent3 3 4 18" xfId="28894" xr:uid="{30CBF6EC-6893-4442-97B7-C644E3D95FF5}"/>
    <cellStyle name="20% - Accent3 3 4 19" xfId="30784" xr:uid="{55AEA811-BE94-43BD-B731-2418BE25FB6B}"/>
    <cellStyle name="20% - Accent3 3 4 2" xfId="1174" xr:uid="{7814FBA4-97E0-4976-BF21-C173559C14BB}"/>
    <cellStyle name="20% - Accent3 3 4 2 10" xfId="18184" xr:uid="{306F1BE4-D58B-46D3-9D90-FB77FCC5EAE6}"/>
    <cellStyle name="20% - Accent3 3 4 2 11" xfId="20074" xr:uid="{5AA67451-88E6-4CCA-A7D9-B46786F3CF50}"/>
    <cellStyle name="20% - Accent3 3 4 2 12" xfId="21964" xr:uid="{E0A23F3F-E6C8-45E7-AFB6-65ED005BD594}"/>
    <cellStyle name="20% - Accent3 3 4 2 13" xfId="23854" xr:uid="{75D90A34-E517-4E69-AD14-89BC36A43E73}"/>
    <cellStyle name="20% - Accent3 3 4 2 14" xfId="25744" xr:uid="{F981865E-B4F2-4A03-BF66-4D3CA7518A06}"/>
    <cellStyle name="20% - Accent3 3 4 2 15" xfId="27634" xr:uid="{AEFB2B96-1499-4F84-A9BA-029A1D987C00}"/>
    <cellStyle name="20% - Accent3 3 4 2 16" xfId="29524" xr:uid="{3B8F2657-B298-4877-9939-AACBEA3B5CB6}"/>
    <cellStyle name="20% - Accent3 3 4 2 17" xfId="31414" xr:uid="{27FDCB07-9082-4CF7-BEDD-4563748D6B8D}"/>
    <cellStyle name="20% - Accent3 3 4 2 18" xfId="33304" xr:uid="{91589E27-A57C-417C-86F0-9AE885DE05FD}"/>
    <cellStyle name="20% - Accent3 3 4 2 19" xfId="35194" xr:uid="{00B2134F-826B-4391-A896-2EA8B14612B2}"/>
    <cellStyle name="20% - Accent3 3 4 2 2" xfId="3064" xr:uid="{5212A300-2A49-489A-A38E-302E6A904908}"/>
    <cellStyle name="20% - Accent3 3 4 2 20" xfId="37084" xr:uid="{B3384716-2204-4997-B003-A2D35811F082}"/>
    <cellStyle name="20% - Accent3 3 4 2 21" xfId="38974" xr:uid="{6DDEAA32-387C-444E-9847-A2B0F18FD7BE}"/>
    <cellStyle name="20% - Accent3 3 4 2 22" xfId="40865" xr:uid="{7A293F81-E7AD-43CB-BBC0-19FD99A399B9}"/>
    <cellStyle name="20% - Accent3 3 4 2 3" xfId="4954" xr:uid="{A923EBB4-6522-45CB-9081-4E6A492414F3}"/>
    <cellStyle name="20% - Accent3 3 4 2 4" xfId="6844" xr:uid="{C263A2F0-1740-4780-8802-FEAC4DECA604}"/>
    <cellStyle name="20% - Accent3 3 4 2 5" xfId="8734" xr:uid="{7AE3DDBE-8438-4C0D-870C-7CD03B473593}"/>
    <cellStyle name="20% - Accent3 3 4 2 6" xfId="10624" xr:uid="{31928D1C-F324-4913-9D37-7A809DB9E173}"/>
    <cellStyle name="20% - Accent3 3 4 2 7" xfId="12514" xr:uid="{97047885-1AA1-4BED-8AD9-39DBB7803A7A}"/>
    <cellStyle name="20% - Accent3 3 4 2 8" xfId="14404" xr:uid="{0B0EB4A5-F76C-4A80-B9DF-A09EB6DEE102}"/>
    <cellStyle name="20% - Accent3 3 4 2 9" xfId="16294" xr:uid="{857A3332-012B-4F28-A975-A5291357777D}"/>
    <cellStyle name="20% - Accent3 3 4 20" xfId="32674" xr:uid="{BEE1E869-0DDB-46E7-9710-1BD5EBC8ED42}"/>
    <cellStyle name="20% - Accent3 3 4 21" xfId="34564" xr:uid="{24A5662E-A833-4AD4-A717-FC5ED8D65D64}"/>
    <cellStyle name="20% - Accent3 3 4 22" xfId="36454" xr:uid="{76EF31B9-CDCE-49D8-8B69-4AF8D205D5FA}"/>
    <cellStyle name="20% - Accent3 3 4 23" xfId="38344" xr:uid="{B65BB50A-1807-4871-B422-7415ECC55928}"/>
    <cellStyle name="20% - Accent3 3 4 24" xfId="40235" xr:uid="{8FF20A2B-6431-4B9F-971D-F9CCF8750B62}"/>
    <cellStyle name="20% - Accent3 3 4 3" xfId="1804" xr:uid="{071E345A-A317-43A0-8852-54A03BA661E2}"/>
    <cellStyle name="20% - Accent3 3 4 3 10" xfId="18814" xr:uid="{091B2732-C599-4FF4-8182-9B1BD7DC993E}"/>
    <cellStyle name="20% - Accent3 3 4 3 11" xfId="20704" xr:uid="{D83C5BC9-5025-4CC9-AE63-069A63A9033C}"/>
    <cellStyle name="20% - Accent3 3 4 3 12" xfId="22594" xr:uid="{AA570778-AAF3-4C16-B0E9-CAB0843C6390}"/>
    <cellStyle name="20% - Accent3 3 4 3 13" xfId="24484" xr:uid="{9A7A000E-789A-4D22-B477-C294BE541E71}"/>
    <cellStyle name="20% - Accent3 3 4 3 14" xfId="26374" xr:uid="{FF920452-940F-4F94-9539-6FB563B5D29B}"/>
    <cellStyle name="20% - Accent3 3 4 3 15" xfId="28264" xr:uid="{CBD80376-B01F-4C52-B044-89900C67A4B2}"/>
    <cellStyle name="20% - Accent3 3 4 3 16" xfId="30154" xr:uid="{12287D93-F28C-45F1-9B28-7BD97D10A4B6}"/>
    <cellStyle name="20% - Accent3 3 4 3 17" xfId="32044" xr:uid="{2E2C356F-8D42-431D-BCBE-59C466CAA846}"/>
    <cellStyle name="20% - Accent3 3 4 3 18" xfId="33934" xr:uid="{63725526-74EA-4567-8568-F6696C414257}"/>
    <cellStyle name="20% - Accent3 3 4 3 19" xfId="35824" xr:uid="{B66AC243-0D42-4525-9D34-5B1EB26E2827}"/>
    <cellStyle name="20% - Accent3 3 4 3 2" xfId="3694" xr:uid="{CF50FD1F-E07B-4CA9-80DB-7F6801F4E9BD}"/>
    <cellStyle name="20% - Accent3 3 4 3 20" xfId="37714" xr:uid="{4ACF7A6F-C649-4B97-8BC7-2DCE3E25C096}"/>
    <cellStyle name="20% - Accent3 3 4 3 21" xfId="39604" xr:uid="{7498EF9D-C3AF-4810-9446-B0541F43BEC4}"/>
    <cellStyle name="20% - Accent3 3 4 3 22" xfId="41495" xr:uid="{8D61C83B-36D1-468A-8866-31172590ABC0}"/>
    <cellStyle name="20% - Accent3 3 4 3 3" xfId="5584" xr:uid="{CDBBD653-A19B-4789-944E-7474E6DED91F}"/>
    <cellStyle name="20% - Accent3 3 4 3 4" xfId="7474" xr:uid="{B4200475-748F-49F4-A69E-6D984F8D02B5}"/>
    <cellStyle name="20% - Accent3 3 4 3 5" xfId="9364" xr:uid="{C83051A2-5FAA-468A-A183-D59AE149C8B9}"/>
    <cellStyle name="20% - Accent3 3 4 3 6" xfId="11254" xr:uid="{3783C61A-4588-475A-A048-5EDD4ADA8832}"/>
    <cellStyle name="20% - Accent3 3 4 3 7" xfId="13144" xr:uid="{9AEC82F2-EB7F-495A-ACF9-EA20600DAE84}"/>
    <cellStyle name="20% - Accent3 3 4 3 8" xfId="15034" xr:uid="{DBAE4F0D-6C3A-4950-8717-707151513C90}"/>
    <cellStyle name="20% - Accent3 3 4 3 9" xfId="16924" xr:uid="{3FCB9109-62BD-446D-8ACC-1DF54B77828E}"/>
    <cellStyle name="20% - Accent3 3 4 4" xfId="2434" xr:uid="{D3CC6D47-08E1-4A02-9C5C-8479AFC91EB8}"/>
    <cellStyle name="20% - Accent3 3 4 5" xfId="4324" xr:uid="{D0AA7076-C1AC-4723-A68A-10CC6AFF26AA}"/>
    <cellStyle name="20% - Accent3 3 4 6" xfId="6214" xr:uid="{80A5FBA1-964D-4D2C-8822-8B3AC2313BA4}"/>
    <cellStyle name="20% - Accent3 3 4 7" xfId="8104" xr:uid="{2762600A-45B5-43D2-983D-DAEE6B93EB64}"/>
    <cellStyle name="20% - Accent3 3 4 8" xfId="9994" xr:uid="{83D2EF89-BAE8-47EA-B897-15F29E16FD56}"/>
    <cellStyle name="20% - Accent3 3 4 9" xfId="11884" xr:uid="{86BC912D-76A0-49B3-81DD-C24BCF44F3A9}"/>
    <cellStyle name="20% - Accent3 3 5" xfId="754" xr:uid="{216E4457-3C63-4FF4-A093-09874901CE2C}"/>
    <cellStyle name="20% - Accent3 3 5 10" xfId="17764" xr:uid="{87839141-BCC7-437F-AF5C-E6F97E071649}"/>
    <cellStyle name="20% - Accent3 3 5 11" xfId="19654" xr:uid="{D9EACB58-8E09-4CFB-AA7A-D08F71C62D9E}"/>
    <cellStyle name="20% - Accent3 3 5 12" xfId="21544" xr:uid="{1EC7E1D2-92FC-40AA-9B19-23A6568A8F1A}"/>
    <cellStyle name="20% - Accent3 3 5 13" xfId="23434" xr:uid="{FBA0B1D7-524C-45CD-87C7-E163C53921CD}"/>
    <cellStyle name="20% - Accent3 3 5 14" xfId="25324" xr:uid="{D27EEB26-E0D5-4F3B-97C6-D17D1E18B9EF}"/>
    <cellStyle name="20% - Accent3 3 5 15" xfId="27214" xr:uid="{646B8085-8513-446A-AE5D-4F4FB1B52D9F}"/>
    <cellStyle name="20% - Accent3 3 5 16" xfId="29104" xr:uid="{576370F4-9DDE-43C0-B68A-DEAF4A8ED025}"/>
    <cellStyle name="20% - Accent3 3 5 17" xfId="30994" xr:uid="{F78E6E4A-476A-4F3F-9C9F-F4A02017E65E}"/>
    <cellStyle name="20% - Accent3 3 5 18" xfId="32884" xr:uid="{DFDE3CF9-F105-41E4-B1AD-C4FF8150A571}"/>
    <cellStyle name="20% - Accent3 3 5 19" xfId="34774" xr:uid="{A04737FF-7B9F-4A0C-ACE3-820D2F3B3FD5}"/>
    <cellStyle name="20% - Accent3 3 5 2" xfId="2644" xr:uid="{3C058EA8-B4B1-414D-90BD-E0226F5302CE}"/>
    <cellStyle name="20% - Accent3 3 5 20" xfId="36664" xr:uid="{7137C4B2-2AC2-46B5-86E8-E674900EF827}"/>
    <cellStyle name="20% - Accent3 3 5 21" xfId="38554" xr:uid="{00CBF7B8-E2B4-4C72-ACB9-AFEB805FBCED}"/>
    <cellStyle name="20% - Accent3 3 5 22" xfId="40445" xr:uid="{28D870F7-A270-4526-8FD1-FD530F714380}"/>
    <cellStyle name="20% - Accent3 3 5 3" xfId="4534" xr:uid="{DA9BC97D-F8AD-4881-8B66-0DEB7A21FA0F}"/>
    <cellStyle name="20% - Accent3 3 5 4" xfId="6424" xr:uid="{BFCDDAD9-B62A-4108-89FB-6FD0F0003DB0}"/>
    <cellStyle name="20% - Accent3 3 5 5" xfId="8314" xr:uid="{A698E58A-8309-48BA-A1F6-F127A68DEFE0}"/>
    <cellStyle name="20% - Accent3 3 5 6" xfId="10204" xr:uid="{C1C7781A-3FDF-4B27-BF44-E6065A0047BA}"/>
    <cellStyle name="20% - Accent3 3 5 7" xfId="12094" xr:uid="{E354A16C-217F-4D21-9A1A-CC3D1CAF3A15}"/>
    <cellStyle name="20% - Accent3 3 5 8" xfId="13984" xr:uid="{8FC55D3B-84AC-423E-A580-A62C19D10054}"/>
    <cellStyle name="20% - Accent3 3 5 9" xfId="15874" xr:uid="{CD1A2F35-A5CA-4B3B-B8CB-36339061798D}"/>
    <cellStyle name="20% - Accent3 3 6" xfId="1384" xr:uid="{1D9FB47C-3E39-430E-A48B-2E79B2D52298}"/>
    <cellStyle name="20% - Accent3 3 6 10" xfId="18394" xr:uid="{EA763ECD-DABB-40CA-9EF8-65F4704FD4FB}"/>
    <cellStyle name="20% - Accent3 3 6 11" xfId="20284" xr:uid="{4BC4862C-B665-4280-90F2-15CB9965B066}"/>
    <cellStyle name="20% - Accent3 3 6 12" xfId="22174" xr:uid="{EB38832E-38B6-4D23-805A-DF0993CC91C3}"/>
    <cellStyle name="20% - Accent3 3 6 13" xfId="24064" xr:uid="{2E7BCBDF-B2DB-462A-B463-128AFAFF688D}"/>
    <cellStyle name="20% - Accent3 3 6 14" xfId="25954" xr:uid="{B722F540-9EC2-4EE7-9428-2F36CA0ACCB9}"/>
    <cellStyle name="20% - Accent3 3 6 15" xfId="27844" xr:uid="{CE6B37C3-49E2-47FE-85A9-4D9739A3E450}"/>
    <cellStyle name="20% - Accent3 3 6 16" xfId="29734" xr:uid="{1847F5CF-84A7-4520-B8EA-22B77A9600F7}"/>
    <cellStyle name="20% - Accent3 3 6 17" xfId="31624" xr:uid="{35829092-AEFD-4803-AE13-C5AE3378CC94}"/>
    <cellStyle name="20% - Accent3 3 6 18" xfId="33514" xr:uid="{F6377BEE-DC57-4C61-A8AE-18F37846ABD7}"/>
    <cellStyle name="20% - Accent3 3 6 19" xfId="35404" xr:uid="{1AB007C3-16CC-4D89-8EDE-A7E33CAEBF47}"/>
    <cellStyle name="20% - Accent3 3 6 2" xfId="3274" xr:uid="{9996F2C3-4399-44D7-ACF3-D676A7B91E4B}"/>
    <cellStyle name="20% - Accent3 3 6 20" xfId="37294" xr:uid="{D04DA1EF-5763-403F-9666-644F82E19A0E}"/>
    <cellStyle name="20% - Accent3 3 6 21" xfId="39184" xr:uid="{7444CD81-7B67-4686-AA36-EC02DBB76FCA}"/>
    <cellStyle name="20% - Accent3 3 6 22" xfId="41075" xr:uid="{CAC5DADA-8413-4056-BC11-01268FC8E540}"/>
    <cellStyle name="20% - Accent3 3 6 3" xfId="5164" xr:uid="{F8864B1A-6B4B-4626-AABC-5377AB6191AD}"/>
    <cellStyle name="20% - Accent3 3 6 4" xfId="7054" xr:uid="{88C715D5-FE63-4051-B70A-A9D7538C5DC1}"/>
    <cellStyle name="20% - Accent3 3 6 5" xfId="8944" xr:uid="{8BABFB54-D5E4-4C55-8B91-2DBE704AD9D6}"/>
    <cellStyle name="20% - Accent3 3 6 6" xfId="10834" xr:uid="{31068FFA-966F-4407-80DB-31223408960D}"/>
    <cellStyle name="20% - Accent3 3 6 7" xfId="12724" xr:uid="{BAD4402E-8538-4AE0-B366-0FFD24756521}"/>
    <cellStyle name="20% - Accent3 3 6 8" xfId="14614" xr:uid="{9FB556D6-0286-427F-8224-196F4F5DC4E0}"/>
    <cellStyle name="20% - Accent3 3 6 9" xfId="16504" xr:uid="{B94FEB0C-D0F3-41E4-8FB1-70FA30395442}"/>
    <cellStyle name="20% - Accent3 3 7" xfId="2014" xr:uid="{FADBB2FA-F163-4727-AD16-2DCF4AE9E08A}"/>
    <cellStyle name="20% - Accent3 3 8" xfId="3904" xr:uid="{F717B12D-8341-4EF6-8BC8-C97473020432}"/>
    <cellStyle name="20% - Accent3 3 9" xfId="5794" xr:uid="{FABB1F9B-4D4E-498C-BCE2-CD8BB1A6C64F}"/>
    <cellStyle name="20% - Accent3 4" xfId="187" xr:uid="{7ED9D766-A90D-402C-9E45-0E29F69EB917}"/>
    <cellStyle name="20% - Accent3 4 10" xfId="9637" xr:uid="{653D2631-A812-4152-95FD-CD91DC5A9CA8}"/>
    <cellStyle name="20% - Accent3 4 11" xfId="11527" xr:uid="{1DF69D24-9A77-441B-B995-48C7FEC53262}"/>
    <cellStyle name="20% - Accent3 4 12" xfId="13417" xr:uid="{F5192646-A772-44F1-AE06-2EF1C62131CE}"/>
    <cellStyle name="20% - Accent3 4 13" xfId="15307" xr:uid="{FE4349B4-64EC-456A-BB5F-866D258B8868}"/>
    <cellStyle name="20% - Accent3 4 14" xfId="17197" xr:uid="{4C2BDCBC-9C97-4BB7-BECA-634118263421}"/>
    <cellStyle name="20% - Accent3 4 15" xfId="19087" xr:uid="{EFAD7C0E-15C6-48C9-A0E2-3B9FD774B838}"/>
    <cellStyle name="20% - Accent3 4 16" xfId="20977" xr:uid="{E7B2437A-F665-4815-A760-457778C38EF3}"/>
    <cellStyle name="20% - Accent3 4 17" xfId="22867" xr:uid="{E74BCE2B-8701-4F12-B31B-B8D097D9BDB4}"/>
    <cellStyle name="20% - Accent3 4 18" xfId="24757" xr:uid="{79A50878-5051-4AA7-A69F-ED3E8870EFEE}"/>
    <cellStyle name="20% - Accent3 4 19" xfId="26647" xr:uid="{9D37592D-3452-4B8E-B1DD-4D1F09D12D89}"/>
    <cellStyle name="20% - Accent3 4 2" xfId="397" xr:uid="{90BBC6C4-DDD6-4854-A8DE-5F36862A38F3}"/>
    <cellStyle name="20% - Accent3 4 2 10" xfId="13627" xr:uid="{C41C69F0-34E2-43D4-A46C-5A3A84C1D104}"/>
    <cellStyle name="20% - Accent3 4 2 11" xfId="15517" xr:uid="{918EE3AE-E2E4-464F-8753-FB1D36FCF842}"/>
    <cellStyle name="20% - Accent3 4 2 12" xfId="17407" xr:uid="{C90CC989-5BA7-45A4-B1F6-8A79A88DCC0E}"/>
    <cellStyle name="20% - Accent3 4 2 13" xfId="19297" xr:uid="{BDAF0480-96F0-444D-8A00-0307F23EBFD9}"/>
    <cellStyle name="20% - Accent3 4 2 14" xfId="21187" xr:uid="{E0D8D35E-6909-447E-9F80-92C001CBFC1E}"/>
    <cellStyle name="20% - Accent3 4 2 15" xfId="23077" xr:uid="{31E106F7-6E67-4AF7-979A-9E25AD661745}"/>
    <cellStyle name="20% - Accent3 4 2 16" xfId="24967" xr:uid="{FA02E840-A825-444E-A8A3-ACF1F606AFA0}"/>
    <cellStyle name="20% - Accent3 4 2 17" xfId="26857" xr:uid="{E71ECBF0-616E-4141-A5BC-727968DCA54E}"/>
    <cellStyle name="20% - Accent3 4 2 18" xfId="28747" xr:uid="{DA51039B-1834-4CFB-8861-6D6D594F7DF4}"/>
    <cellStyle name="20% - Accent3 4 2 19" xfId="30637" xr:uid="{760648EA-1CA5-42D2-A31E-04D70A137FA5}"/>
    <cellStyle name="20% - Accent3 4 2 2" xfId="1027" xr:uid="{3791D664-C91D-4CB3-A726-58DAFBEE9E14}"/>
    <cellStyle name="20% - Accent3 4 2 2 10" xfId="18037" xr:uid="{0966E003-A023-49A8-B90A-3B013852F797}"/>
    <cellStyle name="20% - Accent3 4 2 2 11" xfId="19927" xr:uid="{C60D403E-1F37-41DC-9879-9922A1524280}"/>
    <cellStyle name="20% - Accent3 4 2 2 12" xfId="21817" xr:uid="{E4A2CEC7-8F05-4CFA-ABFD-A5B94524ECA7}"/>
    <cellStyle name="20% - Accent3 4 2 2 13" xfId="23707" xr:uid="{3DDF06FE-ED55-44CD-B86B-942BB120D1C9}"/>
    <cellStyle name="20% - Accent3 4 2 2 14" xfId="25597" xr:uid="{6C09B252-3568-4DD7-9681-060140B6010F}"/>
    <cellStyle name="20% - Accent3 4 2 2 15" xfId="27487" xr:uid="{2D39A018-2E59-477F-954C-98610AB9C65F}"/>
    <cellStyle name="20% - Accent3 4 2 2 16" xfId="29377" xr:uid="{711FC9D3-A204-4627-959C-CB03A7035D09}"/>
    <cellStyle name="20% - Accent3 4 2 2 17" xfId="31267" xr:uid="{2373E0ED-9D6B-4468-85E4-1EEFE80D402E}"/>
    <cellStyle name="20% - Accent3 4 2 2 18" xfId="33157" xr:uid="{367624A5-A59F-4DCA-B533-FF71D034D476}"/>
    <cellStyle name="20% - Accent3 4 2 2 19" xfId="35047" xr:uid="{F648E10D-30C4-4D7D-ABAF-1F898BE33148}"/>
    <cellStyle name="20% - Accent3 4 2 2 2" xfId="2917" xr:uid="{A00CBA15-023D-4E9F-95B4-CE7344611E5C}"/>
    <cellStyle name="20% - Accent3 4 2 2 20" xfId="36937" xr:uid="{4E717FA4-7DD4-4B37-A459-0E28BD561DB5}"/>
    <cellStyle name="20% - Accent3 4 2 2 21" xfId="38827" xr:uid="{99AA6C4D-EE35-4B02-B754-C45D52B889FC}"/>
    <cellStyle name="20% - Accent3 4 2 2 22" xfId="40718" xr:uid="{9F590337-79C0-4F09-BE64-45ACF72C5FFC}"/>
    <cellStyle name="20% - Accent3 4 2 2 3" xfId="4807" xr:uid="{4B9F0ECF-5085-42A6-9548-121AC3139849}"/>
    <cellStyle name="20% - Accent3 4 2 2 4" xfId="6697" xr:uid="{30E529AB-AF23-4D99-B6B0-97602B7E79E3}"/>
    <cellStyle name="20% - Accent3 4 2 2 5" xfId="8587" xr:uid="{5F240C76-89B8-431D-970F-4D65B91FC1C7}"/>
    <cellStyle name="20% - Accent3 4 2 2 6" xfId="10477" xr:uid="{6F6F2D50-038F-4FEC-B149-E51DC1A80D74}"/>
    <cellStyle name="20% - Accent3 4 2 2 7" xfId="12367" xr:uid="{1D1E548A-685F-4689-A543-6523B1B6B516}"/>
    <cellStyle name="20% - Accent3 4 2 2 8" xfId="14257" xr:uid="{A8DEA1CD-09E6-4327-BBC0-44ADACBC0F73}"/>
    <cellStyle name="20% - Accent3 4 2 2 9" xfId="16147" xr:uid="{09978AF4-28AE-4DDA-9DA2-1CB8DF73699C}"/>
    <cellStyle name="20% - Accent3 4 2 20" xfId="32527" xr:uid="{B400C15B-3967-4CFD-8521-F2665DFE8E5F}"/>
    <cellStyle name="20% - Accent3 4 2 21" xfId="34417" xr:uid="{DE6C690C-8EA7-4CAA-A9BC-DE017C7123A4}"/>
    <cellStyle name="20% - Accent3 4 2 22" xfId="36307" xr:uid="{C9B859A4-3D71-408F-B0E2-8C09B06C4348}"/>
    <cellStyle name="20% - Accent3 4 2 23" xfId="38197" xr:uid="{F5AE797E-2A90-417D-8395-4F3F9FB5CB69}"/>
    <cellStyle name="20% - Accent3 4 2 24" xfId="40088" xr:uid="{6ACAF73A-4787-4F0F-9541-A763CC943630}"/>
    <cellStyle name="20% - Accent3 4 2 3" xfId="1657" xr:uid="{D442807C-0EC1-40CE-9F9F-616591F12D8F}"/>
    <cellStyle name="20% - Accent3 4 2 3 10" xfId="18667" xr:uid="{78F1B5F4-0D89-43A4-9741-FD399AC81A46}"/>
    <cellStyle name="20% - Accent3 4 2 3 11" xfId="20557" xr:uid="{A027F144-7F25-4639-B028-9A56F71493C3}"/>
    <cellStyle name="20% - Accent3 4 2 3 12" xfId="22447" xr:uid="{75D2C465-5CA6-45FB-8EF5-867C8950537F}"/>
    <cellStyle name="20% - Accent3 4 2 3 13" xfId="24337" xr:uid="{83F3DC18-1AD5-4068-A89D-5DFEE3E97B39}"/>
    <cellStyle name="20% - Accent3 4 2 3 14" xfId="26227" xr:uid="{CA46716A-C596-4DC4-A3A1-DF4654256C97}"/>
    <cellStyle name="20% - Accent3 4 2 3 15" xfId="28117" xr:uid="{49D02EF7-3D1C-46F8-B3DD-7EC6F40772C1}"/>
    <cellStyle name="20% - Accent3 4 2 3 16" xfId="30007" xr:uid="{7B94F166-A13D-4D47-8F31-5A524470A6E5}"/>
    <cellStyle name="20% - Accent3 4 2 3 17" xfId="31897" xr:uid="{36BA4711-01F6-4E26-BAD6-B9EA1FDBAF02}"/>
    <cellStyle name="20% - Accent3 4 2 3 18" xfId="33787" xr:uid="{C59703CE-3A12-4886-96AD-3C5DBD633D7B}"/>
    <cellStyle name="20% - Accent3 4 2 3 19" xfId="35677" xr:uid="{6788F834-EC6F-4B0E-8274-CD6E6A84CC1B}"/>
    <cellStyle name="20% - Accent3 4 2 3 2" xfId="3547" xr:uid="{25641E13-20D1-49A9-B196-B78686F5E1EB}"/>
    <cellStyle name="20% - Accent3 4 2 3 20" xfId="37567" xr:uid="{9C2F1C40-C638-4151-A556-FCED1847E389}"/>
    <cellStyle name="20% - Accent3 4 2 3 21" xfId="39457" xr:uid="{102719C1-68D7-48CB-A017-782EE1335172}"/>
    <cellStyle name="20% - Accent3 4 2 3 22" xfId="41348" xr:uid="{2F230155-2B6A-4F5F-95C6-4E56B9B8D871}"/>
    <cellStyle name="20% - Accent3 4 2 3 3" xfId="5437" xr:uid="{F9F91A89-9FE4-42C0-86FA-098BF8FEFB3F}"/>
    <cellStyle name="20% - Accent3 4 2 3 4" xfId="7327" xr:uid="{A41DDE6E-8542-4341-B284-8D11A4A8F077}"/>
    <cellStyle name="20% - Accent3 4 2 3 5" xfId="9217" xr:uid="{B54FBD0F-FFE0-4F79-A10B-9966FEA79B3B}"/>
    <cellStyle name="20% - Accent3 4 2 3 6" xfId="11107" xr:uid="{70595241-AE31-4D7F-B924-8FB5C6AAFBA8}"/>
    <cellStyle name="20% - Accent3 4 2 3 7" xfId="12997" xr:uid="{6D874D8C-82D8-4718-86D4-7C7D713212CC}"/>
    <cellStyle name="20% - Accent3 4 2 3 8" xfId="14887" xr:uid="{557CD328-6D44-4DE5-8DF4-EE0CC9097E39}"/>
    <cellStyle name="20% - Accent3 4 2 3 9" xfId="16777" xr:uid="{E9A9B474-3E1C-4211-9811-FE4314F90DF5}"/>
    <cellStyle name="20% - Accent3 4 2 4" xfId="2287" xr:uid="{368A5A90-75DE-4D37-9625-953158CEC14D}"/>
    <cellStyle name="20% - Accent3 4 2 5" xfId="4177" xr:uid="{0D915B41-EE4D-458D-A360-2E9B41003C9C}"/>
    <cellStyle name="20% - Accent3 4 2 6" xfId="6067" xr:uid="{A3935BBB-4C8D-488B-A444-E714BA6FA8FB}"/>
    <cellStyle name="20% - Accent3 4 2 7" xfId="7957" xr:uid="{5C946126-6BF9-4D4C-ABAC-743817EC95A0}"/>
    <cellStyle name="20% - Accent3 4 2 8" xfId="9847" xr:uid="{89785037-9139-4117-9022-646F8EFD947F}"/>
    <cellStyle name="20% - Accent3 4 2 9" xfId="11737" xr:uid="{EFAC7E4E-1FE6-4F47-88AE-F73A60AB04EE}"/>
    <cellStyle name="20% - Accent3 4 20" xfId="28537" xr:uid="{484044F6-C7A5-4231-B2BE-43179FD21A72}"/>
    <cellStyle name="20% - Accent3 4 21" xfId="30427" xr:uid="{5BF1C2D2-99C7-4245-A881-1D2861EF328A}"/>
    <cellStyle name="20% - Accent3 4 22" xfId="32317" xr:uid="{973A8DB3-E50C-42CC-ABEC-3135C9DB2F5A}"/>
    <cellStyle name="20% - Accent3 4 23" xfId="34207" xr:uid="{7E3D36C3-6391-4272-8E27-2CA1C190AEE3}"/>
    <cellStyle name="20% - Accent3 4 24" xfId="36097" xr:uid="{87EEDCCE-FF6A-4064-8DD4-6205FE7DE176}"/>
    <cellStyle name="20% - Accent3 4 25" xfId="37987" xr:uid="{AE104464-CDAC-4E94-8345-C85520FF9591}"/>
    <cellStyle name="20% - Accent3 4 26" xfId="39878" xr:uid="{0958DC1F-ED88-4019-8A80-AFD6218A9572}"/>
    <cellStyle name="20% - Accent3 4 3" xfId="607" xr:uid="{E1A625E4-5F92-4A85-BE89-82352E64B084}"/>
    <cellStyle name="20% - Accent3 4 3 10" xfId="13837" xr:uid="{7F32886B-8999-4D09-9711-E079587A1471}"/>
    <cellStyle name="20% - Accent3 4 3 11" xfId="15727" xr:uid="{F8368F5F-53BD-4B7F-BC8F-AF9C544FD249}"/>
    <cellStyle name="20% - Accent3 4 3 12" xfId="17617" xr:uid="{8C073188-4CAD-404C-A645-79A54BCA47C5}"/>
    <cellStyle name="20% - Accent3 4 3 13" xfId="19507" xr:uid="{E463D598-4430-4708-B5B3-17660BCE0719}"/>
    <cellStyle name="20% - Accent3 4 3 14" xfId="21397" xr:uid="{FED92AF8-D4E7-4EF7-8F9D-FA9276630A5E}"/>
    <cellStyle name="20% - Accent3 4 3 15" xfId="23287" xr:uid="{3D0C36F3-8296-4113-A5AD-C7026957C9AC}"/>
    <cellStyle name="20% - Accent3 4 3 16" xfId="25177" xr:uid="{598547E8-43B5-4CDF-915C-8D0A1AF8A861}"/>
    <cellStyle name="20% - Accent3 4 3 17" xfId="27067" xr:uid="{D14D71DC-41E4-43BB-9EFA-6FB89E294D39}"/>
    <cellStyle name="20% - Accent3 4 3 18" xfId="28957" xr:uid="{BB316EB7-7774-43C1-A769-35B165898E03}"/>
    <cellStyle name="20% - Accent3 4 3 19" xfId="30847" xr:uid="{E124713A-DD5A-469D-811D-4DE208217F76}"/>
    <cellStyle name="20% - Accent3 4 3 2" xfId="1237" xr:uid="{5FDE6695-3B93-4AED-BEB9-005525942380}"/>
    <cellStyle name="20% - Accent3 4 3 2 10" xfId="18247" xr:uid="{C4AE887C-6936-47B3-A26F-0054BE67D742}"/>
    <cellStyle name="20% - Accent3 4 3 2 11" xfId="20137" xr:uid="{1B455CB1-665A-454E-8E98-5683E77CCAB8}"/>
    <cellStyle name="20% - Accent3 4 3 2 12" xfId="22027" xr:uid="{373CDC3F-93A9-4605-AAD5-783B4E433C81}"/>
    <cellStyle name="20% - Accent3 4 3 2 13" xfId="23917" xr:uid="{4ACE9DF1-0862-408B-948B-81F189622D8F}"/>
    <cellStyle name="20% - Accent3 4 3 2 14" xfId="25807" xr:uid="{E6954912-B9E2-4510-90B6-D5065B6FB64A}"/>
    <cellStyle name="20% - Accent3 4 3 2 15" xfId="27697" xr:uid="{4014F0CB-FC92-46B0-9D35-D9493E5AEF84}"/>
    <cellStyle name="20% - Accent3 4 3 2 16" xfId="29587" xr:uid="{5A12EDCE-0280-411A-BD65-66CE9074EE33}"/>
    <cellStyle name="20% - Accent3 4 3 2 17" xfId="31477" xr:uid="{1D34944B-C13F-4F87-ACF1-8A39A9ED53F3}"/>
    <cellStyle name="20% - Accent3 4 3 2 18" xfId="33367" xr:uid="{EECC8D24-1CE7-41E5-956F-C52A242E74F7}"/>
    <cellStyle name="20% - Accent3 4 3 2 19" xfId="35257" xr:uid="{3CA302EA-03DF-4C08-9F39-BF2CDBEEC35D}"/>
    <cellStyle name="20% - Accent3 4 3 2 2" xfId="3127" xr:uid="{F079D94B-01C5-4B5C-BA1E-BBD8013DFA4E}"/>
    <cellStyle name="20% - Accent3 4 3 2 20" xfId="37147" xr:uid="{709CA734-C1B7-42EA-98A1-592729841C2E}"/>
    <cellStyle name="20% - Accent3 4 3 2 21" xfId="39037" xr:uid="{755ADE33-7D52-4BA0-8C15-E1360A4FDD15}"/>
    <cellStyle name="20% - Accent3 4 3 2 22" xfId="40928" xr:uid="{0366B046-004F-4D95-97B0-D71C8C71E187}"/>
    <cellStyle name="20% - Accent3 4 3 2 3" xfId="5017" xr:uid="{08D9897C-99B0-46DD-A65E-0DDF0F31B5DC}"/>
    <cellStyle name="20% - Accent3 4 3 2 4" xfId="6907" xr:uid="{C0FCEE2C-A49A-4604-87E6-444F96BCBDF5}"/>
    <cellStyle name="20% - Accent3 4 3 2 5" xfId="8797" xr:uid="{37275737-50F4-4750-B7FD-21B33832394F}"/>
    <cellStyle name="20% - Accent3 4 3 2 6" xfId="10687" xr:uid="{09BA311A-A480-479B-B9F8-F8280B5C7264}"/>
    <cellStyle name="20% - Accent3 4 3 2 7" xfId="12577" xr:uid="{79079C74-2F1B-442C-AFD9-B81CB1962189}"/>
    <cellStyle name="20% - Accent3 4 3 2 8" xfId="14467" xr:uid="{FE1C6835-C3A2-403C-A00D-82F50D26CD06}"/>
    <cellStyle name="20% - Accent3 4 3 2 9" xfId="16357" xr:uid="{FB8D440A-4898-443B-8938-8B657A23E9BD}"/>
    <cellStyle name="20% - Accent3 4 3 20" xfId="32737" xr:uid="{E72FFB41-1F48-426C-91CD-931C315AA0E3}"/>
    <cellStyle name="20% - Accent3 4 3 21" xfId="34627" xr:uid="{B65AAF30-05F1-417E-B856-A8C77BEFC270}"/>
    <cellStyle name="20% - Accent3 4 3 22" xfId="36517" xr:uid="{D0D7E923-907E-4959-86E5-6739B3A9804A}"/>
    <cellStyle name="20% - Accent3 4 3 23" xfId="38407" xr:uid="{61B67B3F-F1F3-4759-B032-CDBCD487D67C}"/>
    <cellStyle name="20% - Accent3 4 3 24" xfId="40298" xr:uid="{EB6D7F02-40B1-498B-9EF8-6D95D6E53D6E}"/>
    <cellStyle name="20% - Accent3 4 3 3" xfId="1867" xr:uid="{9F62D185-A9FE-40DF-AF71-745E827D38E1}"/>
    <cellStyle name="20% - Accent3 4 3 3 10" xfId="18877" xr:uid="{934968DF-C37C-4EF4-B00A-04AD8E343D7E}"/>
    <cellStyle name="20% - Accent3 4 3 3 11" xfId="20767" xr:uid="{ED939274-C957-4A0C-9763-CD51246433B4}"/>
    <cellStyle name="20% - Accent3 4 3 3 12" xfId="22657" xr:uid="{642839F1-8888-4A17-99FC-767300000E29}"/>
    <cellStyle name="20% - Accent3 4 3 3 13" xfId="24547" xr:uid="{F1C96C12-BC6D-4AD5-B8C3-546C634088B8}"/>
    <cellStyle name="20% - Accent3 4 3 3 14" xfId="26437" xr:uid="{C43B521D-B1D6-4A9A-BE44-2DE911B93D77}"/>
    <cellStyle name="20% - Accent3 4 3 3 15" xfId="28327" xr:uid="{87DABFDD-2EE0-4DCA-B44D-6FE17FC51AF5}"/>
    <cellStyle name="20% - Accent3 4 3 3 16" xfId="30217" xr:uid="{AFE859C6-A3BB-4A91-BD98-759B502AA7A7}"/>
    <cellStyle name="20% - Accent3 4 3 3 17" xfId="32107" xr:uid="{C2CD0138-F6B2-411F-BC9D-1BE9DDCBB5C7}"/>
    <cellStyle name="20% - Accent3 4 3 3 18" xfId="33997" xr:uid="{D60BE52F-542B-4552-AF23-E6D113C2F43F}"/>
    <cellStyle name="20% - Accent3 4 3 3 19" xfId="35887" xr:uid="{F57A208D-4652-42F2-93CF-A65C1ADD6038}"/>
    <cellStyle name="20% - Accent3 4 3 3 2" xfId="3757" xr:uid="{71C19A72-0F6C-4B95-9DAC-693889206DCF}"/>
    <cellStyle name="20% - Accent3 4 3 3 20" xfId="37777" xr:uid="{92F43CEA-1FEA-4806-99A3-439A5064536C}"/>
    <cellStyle name="20% - Accent3 4 3 3 21" xfId="39667" xr:uid="{76686F75-2C02-4358-8529-C989DFC6C176}"/>
    <cellStyle name="20% - Accent3 4 3 3 22" xfId="41558" xr:uid="{B21604A3-E9DF-4E3F-A085-C43DADE5CE91}"/>
    <cellStyle name="20% - Accent3 4 3 3 3" xfId="5647" xr:uid="{73276761-7ADB-404D-8B9C-914A136A8FB0}"/>
    <cellStyle name="20% - Accent3 4 3 3 4" xfId="7537" xr:uid="{E0392B93-9E81-4EB5-BB0F-B95FB4BC4522}"/>
    <cellStyle name="20% - Accent3 4 3 3 5" xfId="9427" xr:uid="{9D5C7334-32BB-49D3-9327-2F011538EEC3}"/>
    <cellStyle name="20% - Accent3 4 3 3 6" xfId="11317" xr:uid="{B92A3A27-8AE6-476A-9247-E1ADE9C4B657}"/>
    <cellStyle name="20% - Accent3 4 3 3 7" xfId="13207" xr:uid="{7D920D43-BA5B-495A-BDE6-3047C952C1F3}"/>
    <cellStyle name="20% - Accent3 4 3 3 8" xfId="15097" xr:uid="{F2528C07-1D4E-495D-A3B3-09FD7C4930F0}"/>
    <cellStyle name="20% - Accent3 4 3 3 9" xfId="16987" xr:uid="{778A5111-57C9-4860-B487-3492A48FA161}"/>
    <cellStyle name="20% - Accent3 4 3 4" xfId="2497" xr:uid="{38BFAD4E-CBDB-4651-9274-C492844B1F91}"/>
    <cellStyle name="20% - Accent3 4 3 5" xfId="4387" xr:uid="{2072DF8F-4766-44A1-9080-287E7ED1DD69}"/>
    <cellStyle name="20% - Accent3 4 3 6" xfId="6277" xr:uid="{0F7D6EE5-86E2-4F5D-9900-50580312776B}"/>
    <cellStyle name="20% - Accent3 4 3 7" xfId="8167" xr:uid="{B6D1FFFB-92AD-4AD1-81EA-C57765D32B67}"/>
    <cellStyle name="20% - Accent3 4 3 8" xfId="10057" xr:uid="{DB70FD4F-BF16-46D4-B7AE-BE8B636FF229}"/>
    <cellStyle name="20% - Accent3 4 3 9" xfId="11947" xr:uid="{71BB0A94-661A-4A7E-9DC1-6D64D87B1CFC}"/>
    <cellStyle name="20% - Accent3 4 4" xfId="817" xr:uid="{4E766946-F7F0-4AE0-9D6C-82A11F2AF563}"/>
    <cellStyle name="20% - Accent3 4 4 10" xfId="17827" xr:uid="{80A222A3-B685-4784-B4E7-8CC6C72C30D6}"/>
    <cellStyle name="20% - Accent3 4 4 11" xfId="19717" xr:uid="{59EA9C48-A3CE-4776-8737-6C1DF16C257E}"/>
    <cellStyle name="20% - Accent3 4 4 12" xfId="21607" xr:uid="{671DFEA5-82E4-448D-81E0-C828C9724510}"/>
    <cellStyle name="20% - Accent3 4 4 13" xfId="23497" xr:uid="{EFDF6148-7E2A-4CD5-9460-4C7D08CE3915}"/>
    <cellStyle name="20% - Accent3 4 4 14" xfId="25387" xr:uid="{7356EE6C-9A94-40BC-8076-C9ECCCCADC91}"/>
    <cellStyle name="20% - Accent3 4 4 15" xfId="27277" xr:uid="{15958449-A98A-45EF-B169-843CC9ADC3BE}"/>
    <cellStyle name="20% - Accent3 4 4 16" xfId="29167" xr:uid="{AB6CFD5D-823D-4EDA-A93D-DF376B49C2BC}"/>
    <cellStyle name="20% - Accent3 4 4 17" xfId="31057" xr:uid="{7AA0D7A3-41EA-47F3-A8BF-5AAA21335203}"/>
    <cellStyle name="20% - Accent3 4 4 18" xfId="32947" xr:uid="{72C3FAAB-03A7-4751-B1B0-FD2E8FDFDC2E}"/>
    <cellStyle name="20% - Accent3 4 4 19" xfId="34837" xr:uid="{66B8FD4F-B0D3-42D0-875F-05B4D3818356}"/>
    <cellStyle name="20% - Accent3 4 4 2" xfId="2707" xr:uid="{159AD5F9-330B-40F3-91B8-5AAA3483EAFD}"/>
    <cellStyle name="20% - Accent3 4 4 20" xfId="36727" xr:uid="{7E0ADA26-C0BA-44C4-AC9C-533ED49115C5}"/>
    <cellStyle name="20% - Accent3 4 4 21" xfId="38617" xr:uid="{0A7CBC85-8BCF-4E97-AFEE-82028BE29727}"/>
    <cellStyle name="20% - Accent3 4 4 22" xfId="40508" xr:uid="{A502448A-3B04-4ECE-A246-D12B85138E6E}"/>
    <cellStyle name="20% - Accent3 4 4 3" xfId="4597" xr:uid="{A68268CA-C579-4DC7-AD39-AF5FB0240D2B}"/>
    <cellStyle name="20% - Accent3 4 4 4" xfId="6487" xr:uid="{B93C2B9C-8A90-4204-9751-7704BBCA6D75}"/>
    <cellStyle name="20% - Accent3 4 4 5" xfId="8377" xr:uid="{CF0BD9A0-32C3-4FD8-8703-95002BBFE069}"/>
    <cellStyle name="20% - Accent3 4 4 6" xfId="10267" xr:uid="{FBB1055A-A856-438F-A368-8333AC1D47D5}"/>
    <cellStyle name="20% - Accent3 4 4 7" xfId="12157" xr:uid="{ABF51904-E139-45B0-B2ED-CC2D12F6957B}"/>
    <cellStyle name="20% - Accent3 4 4 8" xfId="14047" xr:uid="{FA54009B-2381-4023-9CF0-689DC589A63A}"/>
    <cellStyle name="20% - Accent3 4 4 9" xfId="15937" xr:uid="{92CD9479-D641-4029-A88F-509ECA9CB720}"/>
    <cellStyle name="20% - Accent3 4 5" xfId="1447" xr:uid="{77CD767D-028D-421B-B0C9-3B8D5A824E1D}"/>
    <cellStyle name="20% - Accent3 4 5 10" xfId="18457" xr:uid="{D3F25282-5A5A-46DE-852B-139BAE0F5B51}"/>
    <cellStyle name="20% - Accent3 4 5 11" xfId="20347" xr:uid="{4B210FFF-956C-4FE5-9304-1E8E59F1BFA2}"/>
    <cellStyle name="20% - Accent3 4 5 12" xfId="22237" xr:uid="{E7D923B6-261B-4942-8213-7DAC81D06D40}"/>
    <cellStyle name="20% - Accent3 4 5 13" xfId="24127" xr:uid="{6A02D5C0-A979-45B5-94A8-EB7384E59C79}"/>
    <cellStyle name="20% - Accent3 4 5 14" xfId="26017" xr:uid="{6DCE7DDB-59FC-4C99-B8FF-563BB0B30765}"/>
    <cellStyle name="20% - Accent3 4 5 15" xfId="27907" xr:uid="{9C817A48-7E1F-40E2-A97F-AECBA7028611}"/>
    <cellStyle name="20% - Accent3 4 5 16" xfId="29797" xr:uid="{E9CBE675-2CEA-4D5A-90C0-3332CDE335CD}"/>
    <cellStyle name="20% - Accent3 4 5 17" xfId="31687" xr:uid="{7328C7C0-6D49-41A7-A2B8-472B2CC272F0}"/>
    <cellStyle name="20% - Accent3 4 5 18" xfId="33577" xr:uid="{6547BF81-3C73-4DBE-91A3-EB409FB4D3FD}"/>
    <cellStyle name="20% - Accent3 4 5 19" xfId="35467" xr:uid="{2B4BDCE6-F250-498C-9703-5DD437BD23D8}"/>
    <cellStyle name="20% - Accent3 4 5 2" xfId="3337" xr:uid="{A32783C9-F568-4C8C-AB71-9658E55AC763}"/>
    <cellStyle name="20% - Accent3 4 5 20" xfId="37357" xr:uid="{4B38D8F8-744E-4E4E-B484-A3B740CA546A}"/>
    <cellStyle name="20% - Accent3 4 5 21" xfId="39247" xr:uid="{0E76AB68-118E-402F-9FB5-3EB90B49FC97}"/>
    <cellStyle name="20% - Accent3 4 5 22" xfId="41138" xr:uid="{50E58E68-21A6-4437-9643-FAF47DACCBD8}"/>
    <cellStyle name="20% - Accent3 4 5 3" xfId="5227" xr:uid="{D505B6EC-FD28-4F2E-93B4-15EE946F40F3}"/>
    <cellStyle name="20% - Accent3 4 5 4" xfId="7117" xr:uid="{FB434E5A-F7BF-4DDB-A49B-FEFC1083B468}"/>
    <cellStyle name="20% - Accent3 4 5 5" xfId="9007" xr:uid="{EEF7EF30-FF4F-412B-AAC3-03E2BED5590F}"/>
    <cellStyle name="20% - Accent3 4 5 6" xfId="10897" xr:uid="{F5D6A735-6FA7-4B77-BA8F-806441E123B5}"/>
    <cellStyle name="20% - Accent3 4 5 7" xfId="12787" xr:uid="{6F86F8D3-E78F-43D5-B5A3-FC640359CE3A}"/>
    <cellStyle name="20% - Accent3 4 5 8" xfId="14677" xr:uid="{562AF5E0-1371-4ACC-93EC-D5E7B08A37B9}"/>
    <cellStyle name="20% - Accent3 4 5 9" xfId="16567" xr:uid="{272F44B9-E7F0-423D-BCD8-4E7EE58C78F2}"/>
    <cellStyle name="20% - Accent3 4 6" xfId="2077" xr:uid="{9009D2B4-2594-4457-9E0C-816F4D71397B}"/>
    <cellStyle name="20% - Accent3 4 7" xfId="3967" xr:uid="{FED7750B-FAEA-4AC9-B552-9B72FCE5C130}"/>
    <cellStyle name="20% - Accent3 4 8" xfId="5857" xr:uid="{649FC8A1-32E4-4EAE-8AD0-3F25F0DE6824}"/>
    <cellStyle name="20% - Accent3 4 9" xfId="7747" xr:uid="{FF27B599-A5FA-4E99-9F99-856F7D98C16A}"/>
    <cellStyle name="20% - Accent3 5" xfId="292" xr:uid="{A85086EC-0971-44F5-8F80-3BD1F4147A6A}"/>
    <cellStyle name="20% - Accent3 5 10" xfId="13522" xr:uid="{CABB26AF-DEB1-4160-BAF6-C75B45FD6543}"/>
    <cellStyle name="20% - Accent3 5 11" xfId="15412" xr:uid="{C23139C2-810E-4F0F-9DF4-B95E99149B3B}"/>
    <cellStyle name="20% - Accent3 5 12" xfId="17302" xr:uid="{763EF099-7CDE-4F28-86C4-868E45E0E56F}"/>
    <cellStyle name="20% - Accent3 5 13" xfId="19192" xr:uid="{6DAE0B35-A227-4907-835A-6F6EE076E273}"/>
    <cellStyle name="20% - Accent3 5 14" xfId="21082" xr:uid="{BB301F88-EAD9-4953-8621-6F36DB28A220}"/>
    <cellStyle name="20% - Accent3 5 15" xfId="22972" xr:uid="{564DC235-C848-4AD8-8EA5-48AC14AF55D8}"/>
    <cellStyle name="20% - Accent3 5 16" xfId="24862" xr:uid="{F6314645-540E-446D-B30D-86C50DEB8798}"/>
    <cellStyle name="20% - Accent3 5 17" xfId="26752" xr:uid="{B4195135-996F-4DC8-B496-D0C7103295D9}"/>
    <cellStyle name="20% - Accent3 5 18" xfId="28642" xr:uid="{156A5EF8-36D6-40BD-9B0F-4B934AE8AB99}"/>
    <cellStyle name="20% - Accent3 5 19" xfId="30532" xr:uid="{79471C5F-703E-4E68-81A0-2224DDB27E15}"/>
    <cellStyle name="20% - Accent3 5 2" xfId="922" xr:uid="{4211C4FF-1D57-4ED4-8A98-05FBF7ECC268}"/>
    <cellStyle name="20% - Accent3 5 2 10" xfId="17932" xr:uid="{7EEC788A-05CF-453F-8EE8-8F78FCB25B4F}"/>
    <cellStyle name="20% - Accent3 5 2 11" xfId="19822" xr:uid="{9999EAF7-C357-4026-9FE4-178BDA4F2969}"/>
    <cellStyle name="20% - Accent3 5 2 12" xfId="21712" xr:uid="{531995CB-FCCF-4A8E-8F82-5D3BCD7889D2}"/>
    <cellStyle name="20% - Accent3 5 2 13" xfId="23602" xr:uid="{377F31B4-E51C-4212-9E8E-475B69768F77}"/>
    <cellStyle name="20% - Accent3 5 2 14" xfId="25492" xr:uid="{7A8DABCE-2906-46B3-8AF9-F3407107336C}"/>
    <cellStyle name="20% - Accent3 5 2 15" xfId="27382" xr:uid="{7E6B792C-BDF5-47A7-8F66-9A3F2EA17931}"/>
    <cellStyle name="20% - Accent3 5 2 16" xfId="29272" xr:uid="{909B6BB0-BE8C-4724-AF51-F36367D8E703}"/>
    <cellStyle name="20% - Accent3 5 2 17" xfId="31162" xr:uid="{A14AEC14-9367-41C5-A9EB-7E680E10E0E2}"/>
    <cellStyle name="20% - Accent3 5 2 18" xfId="33052" xr:uid="{222C259C-A6C0-4658-A687-95C4E1F6ABFA}"/>
    <cellStyle name="20% - Accent3 5 2 19" xfId="34942" xr:uid="{146FFA51-F17D-4951-BC87-6E35EBB7518E}"/>
    <cellStyle name="20% - Accent3 5 2 2" xfId="2812" xr:uid="{FF73EE19-5E6D-42EB-BA1A-EB7D1A3B2062}"/>
    <cellStyle name="20% - Accent3 5 2 20" xfId="36832" xr:uid="{761487D9-8779-4370-B1F3-507898AFFD37}"/>
    <cellStyle name="20% - Accent3 5 2 21" xfId="38722" xr:uid="{9CA65A16-8802-460D-B8FE-22ED52555045}"/>
    <cellStyle name="20% - Accent3 5 2 22" xfId="40613" xr:uid="{2DE6BC2F-E5D6-4C79-88FA-1A3271BBFD3D}"/>
    <cellStyle name="20% - Accent3 5 2 3" xfId="4702" xr:uid="{B556FE9D-B466-4ADC-8508-014ADDDB1FFD}"/>
    <cellStyle name="20% - Accent3 5 2 4" xfId="6592" xr:uid="{5F96F849-18E4-44D5-A2BF-DBF40DF6295F}"/>
    <cellStyle name="20% - Accent3 5 2 5" xfId="8482" xr:uid="{56C4E11C-5804-4B3C-B2EF-4D6A92C99BF7}"/>
    <cellStyle name="20% - Accent3 5 2 6" xfId="10372" xr:uid="{7E7D36F5-AAE3-4C7B-8107-F668EA9F626A}"/>
    <cellStyle name="20% - Accent3 5 2 7" xfId="12262" xr:uid="{2E15494A-DDF0-4C64-9BEA-0D7EBC8CE2F6}"/>
    <cellStyle name="20% - Accent3 5 2 8" xfId="14152" xr:uid="{62DBFD92-88BB-4105-B070-FCD46BDBCEF4}"/>
    <cellStyle name="20% - Accent3 5 2 9" xfId="16042" xr:uid="{5C5D6E01-F326-4308-8853-DD97930D946D}"/>
    <cellStyle name="20% - Accent3 5 20" xfId="32422" xr:uid="{97122103-AE39-43AF-AF33-4A96B15D1CB0}"/>
    <cellStyle name="20% - Accent3 5 21" xfId="34312" xr:uid="{51536D40-5665-42AC-AB64-783A550F095B}"/>
    <cellStyle name="20% - Accent3 5 22" xfId="36202" xr:uid="{FD74A86E-ED37-4A6F-AB69-681E1C583C2A}"/>
    <cellStyle name="20% - Accent3 5 23" xfId="38092" xr:uid="{E438390E-6668-4497-99D3-F768F3489E9B}"/>
    <cellStyle name="20% - Accent3 5 24" xfId="39983" xr:uid="{B4199EB0-E106-4EAB-88CE-AC5C60EF8ED0}"/>
    <cellStyle name="20% - Accent3 5 3" xfId="1552" xr:uid="{D3722A94-2CC9-4993-A1B6-4512981D3132}"/>
    <cellStyle name="20% - Accent3 5 3 10" xfId="18562" xr:uid="{03F1BF27-0E78-47B8-9640-5EDA9CBEF00C}"/>
    <cellStyle name="20% - Accent3 5 3 11" xfId="20452" xr:uid="{F27741BF-63E7-447C-8AAC-6C044BBF63E9}"/>
    <cellStyle name="20% - Accent3 5 3 12" xfId="22342" xr:uid="{B16557DF-89AB-485F-97D1-3367AF7DDBBD}"/>
    <cellStyle name="20% - Accent3 5 3 13" xfId="24232" xr:uid="{1F00C839-1C34-4C73-AABF-024DB86D2895}"/>
    <cellStyle name="20% - Accent3 5 3 14" xfId="26122" xr:uid="{033B3AB1-0D20-4353-996F-2B599621F94A}"/>
    <cellStyle name="20% - Accent3 5 3 15" xfId="28012" xr:uid="{C59F1BA7-C831-42C6-9F7F-30F9EAB1E9FC}"/>
    <cellStyle name="20% - Accent3 5 3 16" xfId="29902" xr:uid="{DA87EEC0-B164-4957-8DA5-2A9877DA93B8}"/>
    <cellStyle name="20% - Accent3 5 3 17" xfId="31792" xr:uid="{13EBFC43-B8E2-4F0F-BBA8-7BBEBA0F0FCE}"/>
    <cellStyle name="20% - Accent3 5 3 18" xfId="33682" xr:uid="{7E0BF2BE-DF73-4EDA-BEF7-8CB8498AD6D4}"/>
    <cellStyle name="20% - Accent3 5 3 19" xfId="35572" xr:uid="{FC387295-7989-4EA8-ABC0-7F8C82AFFDC0}"/>
    <cellStyle name="20% - Accent3 5 3 2" xfId="3442" xr:uid="{DE85CF81-6765-4BBC-9992-29436EB19DF1}"/>
    <cellStyle name="20% - Accent3 5 3 20" xfId="37462" xr:uid="{EE9EE87D-C82D-402D-985B-DEB454B069AF}"/>
    <cellStyle name="20% - Accent3 5 3 21" xfId="39352" xr:uid="{F472A146-CBDE-4EB1-9179-1C07DBE7B440}"/>
    <cellStyle name="20% - Accent3 5 3 22" xfId="41243" xr:uid="{1CEF0445-5EA7-48DB-933D-10BF9BE56921}"/>
    <cellStyle name="20% - Accent3 5 3 3" xfId="5332" xr:uid="{3D30FA66-2366-4800-B4CE-057DA363EF84}"/>
    <cellStyle name="20% - Accent3 5 3 4" xfId="7222" xr:uid="{B7A7B994-5193-4273-9660-5596EE4EC23B}"/>
    <cellStyle name="20% - Accent3 5 3 5" xfId="9112" xr:uid="{57ECD522-44B4-4E4A-AF17-214EE19C3A82}"/>
    <cellStyle name="20% - Accent3 5 3 6" xfId="11002" xr:uid="{40111E95-C9DC-4635-9AF6-74743505596C}"/>
    <cellStyle name="20% - Accent3 5 3 7" xfId="12892" xr:uid="{4F1087A5-6C59-4C49-A0A1-B4A048F8F782}"/>
    <cellStyle name="20% - Accent3 5 3 8" xfId="14782" xr:uid="{96C97BD0-EA3B-4687-8BED-8DBA916CA505}"/>
    <cellStyle name="20% - Accent3 5 3 9" xfId="16672" xr:uid="{19B16352-C809-403C-8341-8D5F924BC7E1}"/>
    <cellStyle name="20% - Accent3 5 4" xfId="2182" xr:uid="{A73E7DE6-61C0-46A6-B2F9-A8B50D2AAC76}"/>
    <cellStyle name="20% - Accent3 5 5" xfId="4072" xr:uid="{60A0E109-6EFD-47F3-9872-A2B17A0DB002}"/>
    <cellStyle name="20% - Accent3 5 6" xfId="5962" xr:uid="{75A90A30-4E68-4D48-8BB8-CB5EADFFBA1E}"/>
    <cellStyle name="20% - Accent3 5 7" xfId="7852" xr:uid="{5BA1CBD3-F3D8-4E7E-B647-1DE0D076D96E}"/>
    <cellStyle name="20% - Accent3 5 8" xfId="9742" xr:uid="{CB2DF788-69F0-45F1-B7E5-B39818FAF949}"/>
    <cellStyle name="20% - Accent3 5 9" xfId="11632" xr:uid="{C8684F8F-B6CA-4A49-9822-234A4DD810BD}"/>
    <cellStyle name="20% - Accent3 6" xfId="502" xr:uid="{C4829972-5B9D-46F9-BE65-15015117EC42}"/>
    <cellStyle name="20% - Accent3 6 10" xfId="13732" xr:uid="{38E71EC1-B6AB-456C-9FB8-919F619327F8}"/>
    <cellStyle name="20% - Accent3 6 11" xfId="15622" xr:uid="{5DDF0B58-3410-469B-8AB8-18DBE250E850}"/>
    <cellStyle name="20% - Accent3 6 12" xfId="17512" xr:uid="{B86AD53F-70CA-4780-8582-8358DF1DCFA1}"/>
    <cellStyle name="20% - Accent3 6 13" xfId="19402" xr:uid="{0BED157B-3891-426C-BDA6-FBADE7BA13C6}"/>
    <cellStyle name="20% - Accent3 6 14" xfId="21292" xr:uid="{62B49CFE-6BFC-4E89-81E6-CA0E7CF6F2CD}"/>
    <cellStyle name="20% - Accent3 6 15" xfId="23182" xr:uid="{A707D07C-768B-41C2-B989-31072399497B}"/>
    <cellStyle name="20% - Accent3 6 16" xfId="25072" xr:uid="{4CE1A2AF-32E9-4E30-8900-0512849EDC59}"/>
    <cellStyle name="20% - Accent3 6 17" xfId="26962" xr:uid="{E59FB7B7-2D64-4E4F-8BD7-7589A1AD7692}"/>
    <cellStyle name="20% - Accent3 6 18" xfId="28852" xr:uid="{EF76D380-24E5-4C5F-ACC9-89D74D7D2DA8}"/>
    <cellStyle name="20% - Accent3 6 19" xfId="30742" xr:uid="{90520CD7-42B8-4512-A30B-F80CC88B6488}"/>
    <cellStyle name="20% - Accent3 6 2" xfId="1132" xr:uid="{98C5DB1E-C625-4158-8E92-946B911203B6}"/>
    <cellStyle name="20% - Accent3 6 2 10" xfId="18142" xr:uid="{9DC3E6A2-38AA-450C-B1EA-A0A5B9FADFD3}"/>
    <cellStyle name="20% - Accent3 6 2 11" xfId="20032" xr:uid="{F4532D9A-9CC6-4E60-945C-AC87149A7D9C}"/>
    <cellStyle name="20% - Accent3 6 2 12" xfId="21922" xr:uid="{54899626-86AE-448D-B64A-F9F33BDB80E0}"/>
    <cellStyle name="20% - Accent3 6 2 13" xfId="23812" xr:uid="{C182AF83-DCC1-4402-94BF-BBFCF56BD756}"/>
    <cellStyle name="20% - Accent3 6 2 14" xfId="25702" xr:uid="{FD4DD082-AF4D-44EF-B731-8DDC1C6520E9}"/>
    <cellStyle name="20% - Accent3 6 2 15" xfId="27592" xr:uid="{97527114-C24F-469F-8AC8-5B557AC929ED}"/>
    <cellStyle name="20% - Accent3 6 2 16" xfId="29482" xr:uid="{AFD229CE-514A-41E8-8DF2-B32A8344EF1B}"/>
    <cellStyle name="20% - Accent3 6 2 17" xfId="31372" xr:uid="{CDEC2457-061E-440C-8865-145259C4547F}"/>
    <cellStyle name="20% - Accent3 6 2 18" xfId="33262" xr:uid="{B28E9277-4DAD-4644-ACBF-2A722D221FC2}"/>
    <cellStyle name="20% - Accent3 6 2 19" xfId="35152" xr:uid="{814ED7D9-5036-46AA-85F2-5B5B52AD5B82}"/>
    <cellStyle name="20% - Accent3 6 2 2" xfId="3022" xr:uid="{B14E93F5-20B2-4D77-9597-A0099585B3EF}"/>
    <cellStyle name="20% - Accent3 6 2 20" xfId="37042" xr:uid="{65C3F945-C102-420A-9542-945E72C6C782}"/>
    <cellStyle name="20% - Accent3 6 2 21" xfId="38932" xr:uid="{F0A95EDE-87F8-4164-893B-72DBE027C901}"/>
    <cellStyle name="20% - Accent3 6 2 22" xfId="40823" xr:uid="{2D3F71AC-4566-40A5-AFC3-9082656D1AEB}"/>
    <cellStyle name="20% - Accent3 6 2 3" xfId="4912" xr:uid="{9BCAB466-5CC8-4F4A-9E38-32E58376525C}"/>
    <cellStyle name="20% - Accent3 6 2 4" xfId="6802" xr:uid="{DEC5431D-8C83-4875-9836-FD7223582603}"/>
    <cellStyle name="20% - Accent3 6 2 5" xfId="8692" xr:uid="{A6040439-5F22-43A2-A36C-306B7651F4B2}"/>
    <cellStyle name="20% - Accent3 6 2 6" xfId="10582" xr:uid="{2FF31E1A-9CCF-4569-8972-1E88550F0839}"/>
    <cellStyle name="20% - Accent3 6 2 7" xfId="12472" xr:uid="{0F83EFE5-8427-460D-B988-BD126ACC49F8}"/>
    <cellStyle name="20% - Accent3 6 2 8" xfId="14362" xr:uid="{6D7C3117-B934-467B-8673-F964A1531C58}"/>
    <cellStyle name="20% - Accent3 6 2 9" xfId="16252" xr:uid="{7A7DC00B-438F-493E-B2C9-145E8CA53364}"/>
    <cellStyle name="20% - Accent3 6 20" xfId="32632" xr:uid="{BB17CCCA-8BCF-4E3E-A492-02CC06F38A6E}"/>
    <cellStyle name="20% - Accent3 6 21" xfId="34522" xr:uid="{271AD8B2-F51B-4995-BA9F-90EB69CED821}"/>
    <cellStyle name="20% - Accent3 6 22" xfId="36412" xr:uid="{ED10522A-3B1C-4608-BB11-4C947F30EE74}"/>
    <cellStyle name="20% - Accent3 6 23" xfId="38302" xr:uid="{B1ADDEEB-F3A8-4649-BCE9-DEA2B7254246}"/>
    <cellStyle name="20% - Accent3 6 24" xfId="40193" xr:uid="{D7226578-27F3-4EB0-9DF2-24AE9C09F42A}"/>
    <cellStyle name="20% - Accent3 6 3" xfId="1762" xr:uid="{7225DFDE-86BB-4F5B-AA27-D7F8C115A1C1}"/>
    <cellStyle name="20% - Accent3 6 3 10" xfId="18772" xr:uid="{40672103-4338-4B37-A566-19D60647C33E}"/>
    <cellStyle name="20% - Accent3 6 3 11" xfId="20662" xr:uid="{098664F0-6458-499B-A85B-920F4DD7DBE0}"/>
    <cellStyle name="20% - Accent3 6 3 12" xfId="22552" xr:uid="{D3A99D2D-1C66-4820-8570-408D5713B5CA}"/>
    <cellStyle name="20% - Accent3 6 3 13" xfId="24442" xr:uid="{EF07D6C8-9B7F-4D0E-80EA-2713F858E919}"/>
    <cellStyle name="20% - Accent3 6 3 14" xfId="26332" xr:uid="{5900A53E-30D4-4C85-81B4-005962F2C1EA}"/>
    <cellStyle name="20% - Accent3 6 3 15" xfId="28222" xr:uid="{4E1AA231-E8AA-48AF-BAA2-CE6811231317}"/>
    <cellStyle name="20% - Accent3 6 3 16" xfId="30112" xr:uid="{7CAADE06-47A9-4D5B-9DFD-F13B183A3944}"/>
    <cellStyle name="20% - Accent3 6 3 17" xfId="32002" xr:uid="{08286817-A834-4A30-B29D-2FDAFBA97338}"/>
    <cellStyle name="20% - Accent3 6 3 18" xfId="33892" xr:uid="{0008C5EE-C48F-4425-81A6-587C3F40D0F3}"/>
    <cellStyle name="20% - Accent3 6 3 19" xfId="35782" xr:uid="{686DEBBE-D924-4B16-B44A-871757172D1A}"/>
    <cellStyle name="20% - Accent3 6 3 2" xfId="3652" xr:uid="{923B896B-958B-4D25-9F2C-4FB95C0ED38B}"/>
    <cellStyle name="20% - Accent3 6 3 20" xfId="37672" xr:uid="{B92042C6-B828-42AA-8435-7104E1DA86CD}"/>
    <cellStyle name="20% - Accent3 6 3 21" xfId="39562" xr:uid="{CFCD268A-DD39-4828-A4CC-A881F1D37508}"/>
    <cellStyle name="20% - Accent3 6 3 22" xfId="41453" xr:uid="{879E7498-CE98-4B42-9EE3-F81FFAD8D6DF}"/>
    <cellStyle name="20% - Accent3 6 3 3" xfId="5542" xr:uid="{EBA0BF52-EE9E-437F-B3F1-271584647196}"/>
    <cellStyle name="20% - Accent3 6 3 4" xfId="7432" xr:uid="{BB86BD5B-5E5A-439F-A30F-2E1089EAB8E1}"/>
    <cellStyle name="20% - Accent3 6 3 5" xfId="9322" xr:uid="{C8681CC3-F73B-4263-A55C-3705E4788BFD}"/>
    <cellStyle name="20% - Accent3 6 3 6" xfId="11212" xr:uid="{855834E3-4DC5-4662-8FB8-EB48B3238E72}"/>
    <cellStyle name="20% - Accent3 6 3 7" xfId="13102" xr:uid="{91A0C470-A5F4-4400-8CD3-BD4FAAF3151A}"/>
    <cellStyle name="20% - Accent3 6 3 8" xfId="14992" xr:uid="{A6737E22-012B-4B86-AE61-16286EB6C746}"/>
    <cellStyle name="20% - Accent3 6 3 9" xfId="16882" xr:uid="{860D2F58-AC81-415C-AB04-106B9ABA3739}"/>
    <cellStyle name="20% - Accent3 6 4" xfId="2392" xr:uid="{BA169284-B7C3-48F6-A5A9-390DA881AB6C}"/>
    <cellStyle name="20% - Accent3 6 5" xfId="4282" xr:uid="{AE82C28E-1180-4DBA-AB6C-C674AADE3E08}"/>
    <cellStyle name="20% - Accent3 6 6" xfId="6172" xr:uid="{0FF90F11-3CE1-4996-9284-84A17D26B7C7}"/>
    <cellStyle name="20% - Accent3 6 7" xfId="8062" xr:uid="{FDEE4A2E-D886-442E-9DF3-C6F037212660}"/>
    <cellStyle name="20% - Accent3 6 8" xfId="9952" xr:uid="{45BA1248-3739-4224-B31E-6A33A1F139C7}"/>
    <cellStyle name="20% - Accent3 6 9" xfId="11842" xr:uid="{EB939022-2ECF-46D9-9B84-E0497B07FACE}"/>
    <cellStyle name="20% - Accent3 7" xfId="712" xr:uid="{D8844007-0C80-41C8-8A2A-0FB5642FC9D7}"/>
    <cellStyle name="20% - Accent3 7 10" xfId="17722" xr:uid="{71238FA4-8195-4C1F-89E4-A1BECEC33D58}"/>
    <cellStyle name="20% - Accent3 7 11" xfId="19612" xr:uid="{B8BD08BE-70E6-4546-B526-C1BB23CFF350}"/>
    <cellStyle name="20% - Accent3 7 12" xfId="21502" xr:uid="{0EC87E76-D333-4570-A477-A152399715F8}"/>
    <cellStyle name="20% - Accent3 7 13" xfId="23392" xr:uid="{1A4D2A60-3D0B-47E3-967D-DEDAF3EB39BA}"/>
    <cellStyle name="20% - Accent3 7 14" xfId="25282" xr:uid="{464AF746-E3EF-448B-8F9D-730FCE4714E1}"/>
    <cellStyle name="20% - Accent3 7 15" xfId="27172" xr:uid="{9F48969B-558D-4012-BE03-C8065CA70C4A}"/>
    <cellStyle name="20% - Accent3 7 16" xfId="29062" xr:uid="{D9092788-E824-4E0C-92DD-4CBFD9F3C6B0}"/>
    <cellStyle name="20% - Accent3 7 17" xfId="30952" xr:uid="{430F1E06-B09A-452F-B2A5-104C7A9744A5}"/>
    <cellStyle name="20% - Accent3 7 18" xfId="32842" xr:uid="{22F68EAB-A206-4F50-AA8D-B4A51A1C45B5}"/>
    <cellStyle name="20% - Accent3 7 19" xfId="34732" xr:uid="{DA7798CA-DFF0-45C6-B79E-06E2A9454F2B}"/>
    <cellStyle name="20% - Accent3 7 2" xfId="2602" xr:uid="{E8AC48BE-E82F-4E0C-A93D-7E8D48B05A99}"/>
    <cellStyle name="20% - Accent3 7 20" xfId="36622" xr:uid="{B96A3326-EFC7-4D1A-84B4-07ED54104FF1}"/>
    <cellStyle name="20% - Accent3 7 21" xfId="38512" xr:uid="{EDB0EBF2-168B-4E87-A56F-E6D48D1A051D}"/>
    <cellStyle name="20% - Accent3 7 22" xfId="40403" xr:uid="{D802F235-02D0-436E-BBC9-80D5A2148F89}"/>
    <cellStyle name="20% - Accent3 7 3" xfId="4492" xr:uid="{0F15547A-F7E4-469D-9E5D-1A660F2107C2}"/>
    <cellStyle name="20% - Accent3 7 4" xfId="6382" xr:uid="{D4E76A49-DEB0-4DED-8FCE-8B87DE09E2F0}"/>
    <cellStyle name="20% - Accent3 7 5" xfId="8272" xr:uid="{D85E9545-DE29-41F1-9567-5EB378D9F209}"/>
    <cellStyle name="20% - Accent3 7 6" xfId="10162" xr:uid="{DD8B9FCC-2CB0-4EF2-9446-606D8FA67F6C}"/>
    <cellStyle name="20% - Accent3 7 7" xfId="12052" xr:uid="{EC87C2C9-23CD-4514-9C48-D14B410B34BE}"/>
    <cellStyle name="20% - Accent3 7 8" xfId="13942" xr:uid="{975650E0-1BE7-4AB5-AB81-2CC496FB6319}"/>
    <cellStyle name="20% - Accent3 7 9" xfId="15832" xr:uid="{E7CBE3D9-D8C8-4206-87CD-E395841041F7}"/>
    <cellStyle name="20% - Accent3 8" xfId="1342" xr:uid="{A38B3E66-262D-4107-BCA9-EB63942B0878}"/>
    <cellStyle name="20% - Accent3 8 10" xfId="18352" xr:uid="{A772B092-B44D-49DC-B81B-7E1F1C07E333}"/>
    <cellStyle name="20% - Accent3 8 11" xfId="20242" xr:uid="{3D6E8BDF-446F-4B85-B24D-2E1C35F7F169}"/>
    <cellStyle name="20% - Accent3 8 12" xfId="22132" xr:uid="{369F8659-C4A9-4F16-B2A1-CDCFBB3AC3AC}"/>
    <cellStyle name="20% - Accent3 8 13" xfId="24022" xr:uid="{1C6369DA-F77B-4A70-A964-C160F6E3C227}"/>
    <cellStyle name="20% - Accent3 8 14" xfId="25912" xr:uid="{0FDB082E-6E9C-4EC5-8C7C-25C737653809}"/>
    <cellStyle name="20% - Accent3 8 15" xfId="27802" xr:uid="{824226FE-0B06-4740-BAD3-0F377D84A57A}"/>
    <cellStyle name="20% - Accent3 8 16" xfId="29692" xr:uid="{040BDD73-3948-4AB5-8839-CA7C74657171}"/>
    <cellStyle name="20% - Accent3 8 17" xfId="31582" xr:uid="{307254A6-5713-43F0-ABB3-769601AAD379}"/>
    <cellStyle name="20% - Accent3 8 18" xfId="33472" xr:uid="{8A198913-1344-4461-AAA9-E85486EE7A94}"/>
    <cellStyle name="20% - Accent3 8 19" xfId="35362" xr:uid="{59AEC45B-3F3D-4A9B-8440-9DB908AEDCD8}"/>
    <cellStyle name="20% - Accent3 8 2" xfId="3232" xr:uid="{F12C640B-0D9E-44F7-8D58-CBF8BAF376D8}"/>
    <cellStyle name="20% - Accent3 8 20" xfId="37252" xr:uid="{146BF5C3-AC87-4C7A-9177-FE32328B8CD4}"/>
    <cellStyle name="20% - Accent3 8 21" xfId="39142" xr:uid="{C7C232C1-A504-4560-9513-54C53BE5B7A4}"/>
    <cellStyle name="20% - Accent3 8 22" xfId="41033" xr:uid="{268B77C7-E9E2-4E42-9E38-AA8757F34AE5}"/>
    <cellStyle name="20% - Accent3 8 3" xfId="5122" xr:uid="{4858BFB6-4C13-4DBC-AFCC-D64235D753B4}"/>
    <cellStyle name="20% - Accent3 8 4" xfId="7012" xr:uid="{13DA0712-33C7-40F6-933B-89C1AF3C4A5E}"/>
    <cellStyle name="20% - Accent3 8 5" xfId="8902" xr:uid="{7E854D2E-C7D8-43C4-B773-14CBC37F3BCD}"/>
    <cellStyle name="20% - Accent3 8 6" xfId="10792" xr:uid="{EDBA4D1A-E16D-4CC8-9858-4952448424F2}"/>
    <cellStyle name="20% - Accent3 8 7" xfId="12682" xr:uid="{BDF0BB25-CFC3-4784-8FD7-252A55F9DC98}"/>
    <cellStyle name="20% - Accent3 8 8" xfId="14572" xr:uid="{AEB3EC64-7B7A-4F6D-9D9A-CAB067157F78}"/>
    <cellStyle name="20% - Accent3 8 9" xfId="16462" xr:uid="{33C3C80B-174D-4342-95E8-FEDB1328F13F}"/>
    <cellStyle name="20% - Accent3 9" xfId="1972" xr:uid="{D11C723D-A4CF-4641-B9C7-0C38CE7CF638}"/>
    <cellStyle name="20% - Accent4" xfId="83" builtinId="42" customBuiltin="1"/>
    <cellStyle name="20% - Accent4 10" xfId="3865" xr:uid="{BCDFD40A-8265-44F3-9321-CC2AF2AAF5D5}"/>
    <cellStyle name="20% - Accent4 11" xfId="5755" xr:uid="{84183796-17CE-4124-8E75-901A6F1451A2}"/>
    <cellStyle name="20% - Accent4 12" xfId="7645" xr:uid="{9852DD26-CCEB-48E9-AF23-6437531B1C42}"/>
    <cellStyle name="20% - Accent4 13" xfId="9535" xr:uid="{D09B9BA0-4DB5-42B1-B7E5-BDA0CF80EE94}"/>
    <cellStyle name="20% - Accent4 14" xfId="11425" xr:uid="{5AB4064F-29D9-4C97-8C57-492499167F71}"/>
    <cellStyle name="20% - Accent4 15" xfId="13315" xr:uid="{046DDAF9-0463-446F-A7C0-339DC9D823A4}"/>
    <cellStyle name="20% - Accent4 16" xfId="15205" xr:uid="{0D469C5E-340A-4EE8-B58E-68094F9D48DC}"/>
    <cellStyle name="20% - Accent4 17" xfId="17095" xr:uid="{5CC8711D-3BB2-4FE6-B5F6-DFA5FAA4C3B1}"/>
    <cellStyle name="20% - Accent4 18" xfId="18985" xr:uid="{8B33A976-36FA-4847-8839-E355D0057595}"/>
    <cellStyle name="20% - Accent4 19" xfId="20875" xr:uid="{6297F41D-5913-4B44-9FED-B32E9E67D2C3}"/>
    <cellStyle name="20% - Accent4 2" xfId="107" xr:uid="{6A09447B-98E9-4D8C-BCE6-CB93625A03D5}"/>
    <cellStyle name="20% - Accent4 2 10" xfId="7667" xr:uid="{D8CDB0A8-E780-4B67-A5B0-F19AA7B027C0}"/>
    <cellStyle name="20% - Accent4 2 11" xfId="9557" xr:uid="{4A6BCC73-38AA-437E-AF3F-0FE29850842F}"/>
    <cellStyle name="20% - Accent4 2 12" xfId="11447" xr:uid="{05F4E0DF-E3D2-45DD-A08F-DC9563ED500A}"/>
    <cellStyle name="20% - Accent4 2 13" xfId="13337" xr:uid="{1651EF79-7157-44C3-BB1C-181DE3E3BA16}"/>
    <cellStyle name="20% - Accent4 2 14" xfId="15227" xr:uid="{1DBE3EF6-0179-4430-9966-8C4AD4C486F8}"/>
    <cellStyle name="20% - Accent4 2 15" xfId="17117" xr:uid="{F3454369-A044-4B27-B57F-506455BE5AFB}"/>
    <cellStyle name="20% - Accent4 2 16" xfId="19007" xr:uid="{3E01E912-B641-4FCD-9BB6-45DCE4225733}"/>
    <cellStyle name="20% - Accent4 2 17" xfId="20897" xr:uid="{B57EA3FB-29CA-40B1-A56C-4C9ED166BB6F}"/>
    <cellStyle name="20% - Accent4 2 18" xfId="22787" xr:uid="{5D0E5CA6-DD8F-4D80-BB8D-A45628F1B8E0}"/>
    <cellStyle name="20% - Accent4 2 19" xfId="24677" xr:uid="{279CC9A9-9F5A-49F8-A07A-F414D7FCD9B7}"/>
    <cellStyle name="20% - Accent4 2 2" xfId="212" xr:uid="{974F2B52-F9D4-4351-B47C-3494C2295C95}"/>
    <cellStyle name="20% - Accent4 2 2 10" xfId="9662" xr:uid="{ABD1BCE4-1DCB-4D30-8591-214596AA3555}"/>
    <cellStyle name="20% - Accent4 2 2 11" xfId="11552" xr:uid="{0343E3FE-55AE-4EBE-A158-0C80C91AC468}"/>
    <cellStyle name="20% - Accent4 2 2 12" xfId="13442" xr:uid="{83BB7C83-2A2D-4AD3-9374-1ED616FF30DF}"/>
    <cellStyle name="20% - Accent4 2 2 13" xfId="15332" xr:uid="{4AB2BF54-27E8-4C5F-AAE4-F9984E86A35C}"/>
    <cellStyle name="20% - Accent4 2 2 14" xfId="17222" xr:uid="{EC163C57-8269-4811-8002-30A4AE468576}"/>
    <cellStyle name="20% - Accent4 2 2 15" xfId="19112" xr:uid="{1E2850D9-05D5-4EB0-B43C-10C8B6FE055F}"/>
    <cellStyle name="20% - Accent4 2 2 16" xfId="21002" xr:uid="{F12197BE-D5BE-4C52-86A7-E6F74E95BC4E}"/>
    <cellStyle name="20% - Accent4 2 2 17" xfId="22892" xr:uid="{6C1B6135-B152-4E95-8AE5-CCA6A115B441}"/>
    <cellStyle name="20% - Accent4 2 2 18" xfId="24782" xr:uid="{CA731BFB-B523-411F-A72E-22A0AB5FA0D8}"/>
    <cellStyle name="20% - Accent4 2 2 19" xfId="26672" xr:uid="{1156B7D4-A9AA-428C-887E-F677184C574B}"/>
    <cellStyle name="20% - Accent4 2 2 2" xfId="422" xr:uid="{7483C867-CF85-41A5-ABA7-C29182018906}"/>
    <cellStyle name="20% - Accent4 2 2 2 10" xfId="13652" xr:uid="{FB85E742-32BE-4A58-8948-7410233F07CC}"/>
    <cellStyle name="20% - Accent4 2 2 2 11" xfId="15542" xr:uid="{6D24AB2C-FB79-4C8D-84C9-7F6608D0A1B4}"/>
    <cellStyle name="20% - Accent4 2 2 2 12" xfId="17432" xr:uid="{6F8E6000-DD72-40A7-A55A-6F5A78F70654}"/>
    <cellStyle name="20% - Accent4 2 2 2 13" xfId="19322" xr:uid="{FAB3588F-6ECC-4027-A728-DE56AC68FAD7}"/>
    <cellStyle name="20% - Accent4 2 2 2 14" xfId="21212" xr:uid="{F9343532-E430-4642-8ED3-8D096D2B2DD4}"/>
    <cellStyle name="20% - Accent4 2 2 2 15" xfId="23102" xr:uid="{1C0FF3E0-ADF8-4736-9BAE-45916BA7285E}"/>
    <cellStyle name="20% - Accent4 2 2 2 16" xfId="24992" xr:uid="{7B753937-C2B6-4F9F-B208-05C8AF22DD30}"/>
    <cellStyle name="20% - Accent4 2 2 2 17" xfId="26882" xr:uid="{DC9DE943-7694-4E2A-98DE-0C241D100893}"/>
    <cellStyle name="20% - Accent4 2 2 2 18" xfId="28772" xr:uid="{E7190A59-40A4-4917-9CC4-DBA65DD3FA31}"/>
    <cellStyle name="20% - Accent4 2 2 2 19" xfId="30662" xr:uid="{AAE34EAD-E72E-497F-943D-57C5559AEE8D}"/>
    <cellStyle name="20% - Accent4 2 2 2 2" xfId="1052" xr:uid="{E12DD1F8-10DE-43B0-94FC-63606C467DC3}"/>
    <cellStyle name="20% - Accent4 2 2 2 2 10" xfId="18062" xr:uid="{4A771E8C-5687-40E4-9A27-B291DD1533E1}"/>
    <cellStyle name="20% - Accent4 2 2 2 2 11" xfId="19952" xr:uid="{F22FE76A-7DA1-4364-BAA4-AF9797E99ADD}"/>
    <cellStyle name="20% - Accent4 2 2 2 2 12" xfId="21842" xr:uid="{C71C8157-8430-40D6-A991-B5AFD452529E}"/>
    <cellStyle name="20% - Accent4 2 2 2 2 13" xfId="23732" xr:uid="{DC39524D-FE13-4C38-9720-78DD871C3045}"/>
    <cellStyle name="20% - Accent4 2 2 2 2 14" xfId="25622" xr:uid="{9FEE2C1B-DAC1-458C-BA9F-65DABBD00219}"/>
    <cellStyle name="20% - Accent4 2 2 2 2 15" xfId="27512" xr:uid="{827A4F1F-334A-402B-8F3B-D5A74408F340}"/>
    <cellStyle name="20% - Accent4 2 2 2 2 16" xfId="29402" xr:uid="{A0F4887F-62BE-418E-A33F-5AD517B8A375}"/>
    <cellStyle name="20% - Accent4 2 2 2 2 17" xfId="31292" xr:uid="{5F5FAB2A-3714-4C7A-9C2F-089329BE0370}"/>
    <cellStyle name="20% - Accent4 2 2 2 2 18" xfId="33182" xr:uid="{EF1D1E3D-FFA0-479B-838D-7762A5BA0B2A}"/>
    <cellStyle name="20% - Accent4 2 2 2 2 19" xfId="35072" xr:uid="{9D93EB3F-4D3C-47FE-9DF2-BF9E20277346}"/>
    <cellStyle name="20% - Accent4 2 2 2 2 2" xfId="2942" xr:uid="{96DFC607-BB17-4C74-9457-BFA7A3EE0F64}"/>
    <cellStyle name="20% - Accent4 2 2 2 2 20" xfId="36962" xr:uid="{41C935B8-AC98-4FE3-B628-574A8C49AFBA}"/>
    <cellStyle name="20% - Accent4 2 2 2 2 21" xfId="38852" xr:uid="{87887253-D45E-45B6-857C-3B7DDD6296B5}"/>
    <cellStyle name="20% - Accent4 2 2 2 2 22" xfId="40743" xr:uid="{0A4BCDA7-7D79-45A5-A39F-3EF306F1FB2A}"/>
    <cellStyle name="20% - Accent4 2 2 2 2 3" xfId="4832" xr:uid="{C20A5EF4-535A-4DE3-B32B-3C33CC15C4B5}"/>
    <cellStyle name="20% - Accent4 2 2 2 2 4" xfId="6722" xr:uid="{880815AC-D95B-4AAC-8135-C8209EB3379B}"/>
    <cellStyle name="20% - Accent4 2 2 2 2 5" xfId="8612" xr:uid="{B2FF052B-EF68-4F8E-9DB7-25EF3FE2314A}"/>
    <cellStyle name="20% - Accent4 2 2 2 2 6" xfId="10502" xr:uid="{298B4966-9C2E-46BF-94D8-4A5EF744932B}"/>
    <cellStyle name="20% - Accent4 2 2 2 2 7" xfId="12392" xr:uid="{4F86E4A4-4442-4617-9532-4A2939C7CDFE}"/>
    <cellStyle name="20% - Accent4 2 2 2 2 8" xfId="14282" xr:uid="{23F6CE85-763A-400A-8C0B-9F9173921133}"/>
    <cellStyle name="20% - Accent4 2 2 2 2 9" xfId="16172" xr:uid="{C62EBFBB-B5A9-4175-8380-6557EF02EDF6}"/>
    <cellStyle name="20% - Accent4 2 2 2 20" xfId="32552" xr:uid="{BA5582F1-E7A4-469A-82B7-8BB20FD5B06F}"/>
    <cellStyle name="20% - Accent4 2 2 2 21" xfId="34442" xr:uid="{FC544CC0-E820-4C03-84BD-C02A8EEEB1BA}"/>
    <cellStyle name="20% - Accent4 2 2 2 22" xfId="36332" xr:uid="{A72A3094-3C82-4EB4-9512-292F74A073B9}"/>
    <cellStyle name="20% - Accent4 2 2 2 23" xfId="38222" xr:uid="{29F9CBE3-0D4B-46C3-A6A6-798EDD7D592C}"/>
    <cellStyle name="20% - Accent4 2 2 2 24" xfId="40113" xr:uid="{E7201C04-F437-44E7-8EC0-A7FE51EA2018}"/>
    <cellStyle name="20% - Accent4 2 2 2 3" xfId="1682" xr:uid="{18A4E457-8248-45DC-978F-FDC540AB572D}"/>
    <cellStyle name="20% - Accent4 2 2 2 3 10" xfId="18692" xr:uid="{5CCA8102-AA98-462A-88C0-F132BCA52759}"/>
    <cellStyle name="20% - Accent4 2 2 2 3 11" xfId="20582" xr:uid="{408026E7-26C2-4E26-9638-69D7E15894E8}"/>
    <cellStyle name="20% - Accent4 2 2 2 3 12" xfId="22472" xr:uid="{339D1360-5C5D-4FE9-839C-A6DFBADD1DD3}"/>
    <cellStyle name="20% - Accent4 2 2 2 3 13" xfId="24362" xr:uid="{23559221-604C-4355-9879-0B991C608B1A}"/>
    <cellStyle name="20% - Accent4 2 2 2 3 14" xfId="26252" xr:uid="{C86F736E-1DE1-4F78-9D14-59F39096438E}"/>
    <cellStyle name="20% - Accent4 2 2 2 3 15" xfId="28142" xr:uid="{7696CA1F-859C-4F27-85FD-A709BD72A05A}"/>
    <cellStyle name="20% - Accent4 2 2 2 3 16" xfId="30032" xr:uid="{37DA54F9-CD05-4F5F-9652-6ED38B294865}"/>
    <cellStyle name="20% - Accent4 2 2 2 3 17" xfId="31922" xr:uid="{C2645A93-EB01-41CF-BE42-D995EEB261D8}"/>
    <cellStyle name="20% - Accent4 2 2 2 3 18" xfId="33812" xr:uid="{89D38361-389E-4A3F-AC31-2DBFEE3B850E}"/>
    <cellStyle name="20% - Accent4 2 2 2 3 19" xfId="35702" xr:uid="{51FD8379-F3C2-4729-A4F4-C8684E64D42C}"/>
    <cellStyle name="20% - Accent4 2 2 2 3 2" xfId="3572" xr:uid="{00B35B41-9249-47C3-BD49-559A8D81C732}"/>
    <cellStyle name="20% - Accent4 2 2 2 3 20" xfId="37592" xr:uid="{AF4C9A52-4BB7-407A-93F3-D3F780FBCD3A}"/>
    <cellStyle name="20% - Accent4 2 2 2 3 21" xfId="39482" xr:uid="{D3839914-6D27-43DE-A26C-297A79C717B4}"/>
    <cellStyle name="20% - Accent4 2 2 2 3 22" xfId="41373" xr:uid="{334F93A9-132E-4557-A433-013F4782E3EA}"/>
    <cellStyle name="20% - Accent4 2 2 2 3 3" xfId="5462" xr:uid="{7DA30893-DDBB-4D5A-95A3-B7E73D87C0DF}"/>
    <cellStyle name="20% - Accent4 2 2 2 3 4" xfId="7352" xr:uid="{115338FB-0455-4DC7-B64E-A7468077FC60}"/>
    <cellStyle name="20% - Accent4 2 2 2 3 5" xfId="9242" xr:uid="{9521979F-EFB9-4522-A738-7B744F95F4D9}"/>
    <cellStyle name="20% - Accent4 2 2 2 3 6" xfId="11132" xr:uid="{7DA4334D-B0C4-4C24-938C-7BEF0181E0D9}"/>
    <cellStyle name="20% - Accent4 2 2 2 3 7" xfId="13022" xr:uid="{FAD6D1F5-CEDA-409D-977E-F29C3D83809F}"/>
    <cellStyle name="20% - Accent4 2 2 2 3 8" xfId="14912" xr:uid="{20E7C683-635F-4720-89AF-F3B74757F49D}"/>
    <cellStyle name="20% - Accent4 2 2 2 3 9" xfId="16802" xr:uid="{C9D17574-C56B-4A1B-A56B-6821D7DDA0BF}"/>
    <cellStyle name="20% - Accent4 2 2 2 4" xfId="2312" xr:uid="{1CC64639-5A07-4934-BCB5-751617400E68}"/>
    <cellStyle name="20% - Accent4 2 2 2 5" xfId="4202" xr:uid="{A99246B5-A1E4-48E6-B91C-90D58C68EDD3}"/>
    <cellStyle name="20% - Accent4 2 2 2 6" xfId="6092" xr:uid="{2D96E160-87DF-449B-91CA-003DB9679C37}"/>
    <cellStyle name="20% - Accent4 2 2 2 7" xfId="7982" xr:uid="{3BB8F76C-AB13-4BAC-9CC6-E981D268CE3B}"/>
    <cellStyle name="20% - Accent4 2 2 2 8" xfId="9872" xr:uid="{F09C4302-546D-4362-A499-236059B3806B}"/>
    <cellStyle name="20% - Accent4 2 2 2 9" xfId="11762" xr:uid="{91A0E524-8850-456A-82B4-D7F525479C3D}"/>
    <cellStyle name="20% - Accent4 2 2 20" xfId="28562" xr:uid="{7DC45AA4-882C-40E6-8347-7B74094B628E}"/>
    <cellStyle name="20% - Accent4 2 2 21" xfId="30452" xr:uid="{5BE321AB-AA41-47A7-92D7-E04F34675324}"/>
    <cellStyle name="20% - Accent4 2 2 22" xfId="32342" xr:uid="{93B09F76-E72F-4659-8C70-0554A8545992}"/>
    <cellStyle name="20% - Accent4 2 2 23" xfId="34232" xr:uid="{0CA1E57A-1CF3-4C24-B740-A9BEA137A1D9}"/>
    <cellStyle name="20% - Accent4 2 2 24" xfId="36122" xr:uid="{0A8FBF84-842E-48B4-B024-FB663033DC35}"/>
    <cellStyle name="20% - Accent4 2 2 25" xfId="38012" xr:uid="{62CC8B30-D396-4F7D-B774-3BE140D81C59}"/>
    <cellStyle name="20% - Accent4 2 2 26" xfId="39903" xr:uid="{A7BB6F08-46F2-4964-A968-D1AC238ED430}"/>
    <cellStyle name="20% - Accent4 2 2 3" xfId="632" xr:uid="{E4A59A07-F0D8-43BF-9540-AD831FF06E5F}"/>
    <cellStyle name="20% - Accent4 2 2 3 10" xfId="13862" xr:uid="{47AD8B68-6ED5-42EA-808F-80891D05083C}"/>
    <cellStyle name="20% - Accent4 2 2 3 11" xfId="15752" xr:uid="{1D192F59-B588-44F9-87FD-93A04E818CF4}"/>
    <cellStyle name="20% - Accent4 2 2 3 12" xfId="17642" xr:uid="{5523D0F6-0FCA-4DE5-A662-2565EF856763}"/>
    <cellStyle name="20% - Accent4 2 2 3 13" xfId="19532" xr:uid="{88F8B58D-402E-4E21-A606-C844B97257EC}"/>
    <cellStyle name="20% - Accent4 2 2 3 14" xfId="21422" xr:uid="{D66B8CD3-558C-4022-8020-FC380EB92923}"/>
    <cellStyle name="20% - Accent4 2 2 3 15" xfId="23312" xr:uid="{659133A2-AD11-4B6A-99AE-3A691360D001}"/>
    <cellStyle name="20% - Accent4 2 2 3 16" xfId="25202" xr:uid="{8EBB5F88-3206-4A2C-98A5-321B46AD3635}"/>
    <cellStyle name="20% - Accent4 2 2 3 17" xfId="27092" xr:uid="{E08838BD-3463-4330-B96E-765887E98DFB}"/>
    <cellStyle name="20% - Accent4 2 2 3 18" xfId="28982" xr:uid="{16D1FDBA-EC15-4EEC-8583-730AF09016F3}"/>
    <cellStyle name="20% - Accent4 2 2 3 19" xfId="30872" xr:uid="{0DD99F75-7A7E-4089-B072-6FF5B4D907CE}"/>
    <cellStyle name="20% - Accent4 2 2 3 2" xfId="1262" xr:uid="{5A0726B5-F50B-476E-8CCE-0359D0117937}"/>
    <cellStyle name="20% - Accent4 2 2 3 2 10" xfId="18272" xr:uid="{CBB8D751-517D-4ECE-8A20-F3F9868A1D03}"/>
    <cellStyle name="20% - Accent4 2 2 3 2 11" xfId="20162" xr:uid="{D454F292-7E11-4455-98FC-D1A9FA8B4883}"/>
    <cellStyle name="20% - Accent4 2 2 3 2 12" xfId="22052" xr:uid="{71DBB8A1-234E-41EB-AFEC-8EDEC3A69482}"/>
    <cellStyle name="20% - Accent4 2 2 3 2 13" xfId="23942" xr:uid="{33BBD8C7-485F-4ECA-ADA7-AD85348EDD1C}"/>
    <cellStyle name="20% - Accent4 2 2 3 2 14" xfId="25832" xr:uid="{9EE574FA-5AF5-49F6-98AE-E5DB23585300}"/>
    <cellStyle name="20% - Accent4 2 2 3 2 15" xfId="27722" xr:uid="{AC59BDDB-0252-4935-975D-E9F03C6017FF}"/>
    <cellStyle name="20% - Accent4 2 2 3 2 16" xfId="29612" xr:uid="{2350E526-D7FC-4673-8B82-89B9861A59DD}"/>
    <cellStyle name="20% - Accent4 2 2 3 2 17" xfId="31502" xr:uid="{E7C3AD68-6F53-428C-920F-5ABB4845E601}"/>
    <cellStyle name="20% - Accent4 2 2 3 2 18" xfId="33392" xr:uid="{FE9384DA-BD9B-4240-9A4D-B358F2963B0A}"/>
    <cellStyle name="20% - Accent4 2 2 3 2 19" xfId="35282" xr:uid="{BE444593-135F-40ED-86E1-3A17E0D41B46}"/>
    <cellStyle name="20% - Accent4 2 2 3 2 2" xfId="3152" xr:uid="{218DA0BB-D3F8-409E-9E19-999A3917192E}"/>
    <cellStyle name="20% - Accent4 2 2 3 2 20" xfId="37172" xr:uid="{03C593B2-1CBD-4CD6-B9BC-E0F2333F7B6A}"/>
    <cellStyle name="20% - Accent4 2 2 3 2 21" xfId="39062" xr:uid="{3E8E5AF2-F312-474E-8FC8-6482859317F9}"/>
    <cellStyle name="20% - Accent4 2 2 3 2 22" xfId="40953" xr:uid="{C983C63F-F18B-4B2F-B81F-F3B341965E9E}"/>
    <cellStyle name="20% - Accent4 2 2 3 2 3" xfId="5042" xr:uid="{32E2072D-3268-4030-976F-530AD0054B2D}"/>
    <cellStyle name="20% - Accent4 2 2 3 2 4" xfId="6932" xr:uid="{121B9458-4A6C-4F07-A4E7-4587CE59B47E}"/>
    <cellStyle name="20% - Accent4 2 2 3 2 5" xfId="8822" xr:uid="{2B0477B8-4682-4535-B586-2764A4625D4E}"/>
    <cellStyle name="20% - Accent4 2 2 3 2 6" xfId="10712" xr:uid="{B7D08A1A-B936-488B-86FD-AB79F7D63E25}"/>
    <cellStyle name="20% - Accent4 2 2 3 2 7" xfId="12602" xr:uid="{1B44928B-1B1B-45B1-BEA2-861A73912F02}"/>
    <cellStyle name="20% - Accent4 2 2 3 2 8" xfId="14492" xr:uid="{B52CAADF-AD4A-4501-8920-4A57E2D29A26}"/>
    <cellStyle name="20% - Accent4 2 2 3 2 9" xfId="16382" xr:uid="{784470EF-603A-441B-A6E7-E5B54287D4C8}"/>
    <cellStyle name="20% - Accent4 2 2 3 20" xfId="32762" xr:uid="{989282A2-5903-48BE-9F81-5979DDA10399}"/>
    <cellStyle name="20% - Accent4 2 2 3 21" xfId="34652" xr:uid="{D3F48296-841F-48B6-9DED-B56CF282F407}"/>
    <cellStyle name="20% - Accent4 2 2 3 22" xfId="36542" xr:uid="{4150C8AF-D817-441E-AE59-428BE724F9CD}"/>
    <cellStyle name="20% - Accent4 2 2 3 23" xfId="38432" xr:uid="{77AA56E2-CCBE-4950-A1C1-C89A38541BA8}"/>
    <cellStyle name="20% - Accent4 2 2 3 24" xfId="40323" xr:uid="{37476FCC-FC7F-4E66-B8A3-8DD199518393}"/>
    <cellStyle name="20% - Accent4 2 2 3 3" xfId="1892" xr:uid="{899A8FC3-7344-4F98-B2BE-27986CCEF7BD}"/>
    <cellStyle name="20% - Accent4 2 2 3 3 10" xfId="18902" xr:uid="{1BB72705-F493-4CCA-A06C-666C90945F14}"/>
    <cellStyle name="20% - Accent4 2 2 3 3 11" xfId="20792" xr:uid="{14B4DA8F-B2FE-4F43-9784-EE656642E622}"/>
    <cellStyle name="20% - Accent4 2 2 3 3 12" xfId="22682" xr:uid="{3D69245F-B489-4F14-945D-717763354377}"/>
    <cellStyle name="20% - Accent4 2 2 3 3 13" xfId="24572" xr:uid="{6827DF5E-21A2-43A7-B79C-684CB24948BF}"/>
    <cellStyle name="20% - Accent4 2 2 3 3 14" xfId="26462" xr:uid="{9846B441-5BEC-43F0-B60A-52A23D6B6E2B}"/>
    <cellStyle name="20% - Accent4 2 2 3 3 15" xfId="28352" xr:uid="{C27E819A-D1CD-47A2-80E0-892878F10DBF}"/>
    <cellStyle name="20% - Accent4 2 2 3 3 16" xfId="30242" xr:uid="{B9EC4182-7C45-402D-943B-208C8B89137D}"/>
    <cellStyle name="20% - Accent4 2 2 3 3 17" xfId="32132" xr:uid="{333F4C76-74F9-4ED9-B69D-4A4FCB73ED90}"/>
    <cellStyle name="20% - Accent4 2 2 3 3 18" xfId="34022" xr:uid="{BF05948B-D594-4286-8AEA-5CA4B0812E4D}"/>
    <cellStyle name="20% - Accent4 2 2 3 3 19" xfId="35912" xr:uid="{D4575674-577D-4F0F-B592-728A5F45F995}"/>
    <cellStyle name="20% - Accent4 2 2 3 3 2" xfId="3782" xr:uid="{FA319E8B-60AB-446A-AF55-B250D7D4AD70}"/>
    <cellStyle name="20% - Accent4 2 2 3 3 20" xfId="37802" xr:uid="{3C6CF525-DC3A-402C-A1B0-9A32EBAB5353}"/>
    <cellStyle name="20% - Accent4 2 2 3 3 21" xfId="39692" xr:uid="{2F864876-276E-49A8-B490-8E36DD06E52C}"/>
    <cellStyle name="20% - Accent4 2 2 3 3 22" xfId="41583" xr:uid="{1B15A381-5624-4035-83C5-D56B17A12B4A}"/>
    <cellStyle name="20% - Accent4 2 2 3 3 3" xfId="5672" xr:uid="{5DAEAA75-9A26-4866-B101-A0BBF5FD2C3D}"/>
    <cellStyle name="20% - Accent4 2 2 3 3 4" xfId="7562" xr:uid="{0306EF43-8B81-4AA2-87B7-BF85D087E0AE}"/>
    <cellStyle name="20% - Accent4 2 2 3 3 5" xfId="9452" xr:uid="{3A31A092-CC44-4446-BB4A-026B28203B26}"/>
    <cellStyle name="20% - Accent4 2 2 3 3 6" xfId="11342" xr:uid="{B9018ECB-CE6B-4EA8-B4D2-7B2C9EFF81B6}"/>
    <cellStyle name="20% - Accent4 2 2 3 3 7" xfId="13232" xr:uid="{0646ECC9-858F-439C-B2C3-2EE9417B27EE}"/>
    <cellStyle name="20% - Accent4 2 2 3 3 8" xfId="15122" xr:uid="{269AF6B5-BFD7-4FAE-94EC-7382F9BB666C}"/>
    <cellStyle name="20% - Accent4 2 2 3 3 9" xfId="17012" xr:uid="{D77E337F-2173-4750-B887-2CF5101322EB}"/>
    <cellStyle name="20% - Accent4 2 2 3 4" xfId="2522" xr:uid="{8AC81359-84AB-4C68-B1C7-38980470B0B6}"/>
    <cellStyle name="20% - Accent4 2 2 3 5" xfId="4412" xr:uid="{590E2C7B-40B9-4020-AD36-F455464853B2}"/>
    <cellStyle name="20% - Accent4 2 2 3 6" xfId="6302" xr:uid="{ABFA2BE1-CA62-43AB-A4CA-C1E55C57E381}"/>
    <cellStyle name="20% - Accent4 2 2 3 7" xfId="8192" xr:uid="{D8581D7D-AF45-4B8D-9887-87999AD03B9E}"/>
    <cellStyle name="20% - Accent4 2 2 3 8" xfId="10082" xr:uid="{D9F887E4-A401-461E-B3D4-71A532C15103}"/>
    <cellStyle name="20% - Accent4 2 2 3 9" xfId="11972" xr:uid="{D533A6A6-61C1-42D7-85A2-8E16FFD0CF16}"/>
    <cellStyle name="20% - Accent4 2 2 4" xfId="842" xr:uid="{CD41D18E-E281-4F22-840F-DF0EAB0593CD}"/>
    <cellStyle name="20% - Accent4 2 2 4 10" xfId="17852" xr:uid="{8DEB51E4-10B5-408C-8EBA-602EEDE7EFF0}"/>
    <cellStyle name="20% - Accent4 2 2 4 11" xfId="19742" xr:uid="{38CE0F4A-A7B6-4EE6-A7FA-6828D460DA34}"/>
    <cellStyle name="20% - Accent4 2 2 4 12" xfId="21632" xr:uid="{02EB362F-C998-4B56-A7FD-67F95B155E3B}"/>
    <cellStyle name="20% - Accent4 2 2 4 13" xfId="23522" xr:uid="{F5DB0777-0A63-4A8D-9C8F-72CBD57B47CB}"/>
    <cellStyle name="20% - Accent4 2 2 4 14" xfId="25412" xr:uid="{CB8860F4-C3F0-4A23-91E4-455A5303655A}"/>
    <cellStyle name="20% - Accent4 2 2 4 15" xfId="27302" xr:uid="{5242B0EA-6F6F-4662-BFDE-060EB718917A}"/>
    <cellStyle name="20% - Accent4 2 2 4 16" xfId="29192" xr:uid="{D78D7F08-065D-4948-B53F-20039C857588}"/>
    <cellStyle name="20% - Accent4 2 2 4 17" xfId="31082" xr:uid="{9F9F2AEA-914A-42AD-AC05-E83890E93182}"/>
    <cellStyle name="20% - Accent4 2 2 4 18" xfId="32972" xr:uid="{9E17B63D-9B10-4E1C-A796-BF17ABDE9909}"/>
    <cellStyle name="20% - Accent4 2 2 4 19" xfId="34862" xr:uid="{4093B229-9706-4C6D-9C73-B177226CC243}"/>
    <cellStyle name="20% - Accent4 2 2 4 2" xfId="2732" xr:uid="{5D207BB9-FE46-4D2C-A68C-BFBA773584E8}"/>
    <cellStyle name="20% - Accent4 2 2 4 20" xfId="36752" xr:uid="{717CC2D8-FB73-44BB-876B-AF2ABA36D26E}"/>
    <cellStyle name="20% - Accent4 2 2 4 21" xfId="38642" xr:uid="{472C8147-02C6-4A40-86E3-A3DE1591BCB0}"/>
    <cellStyle name="20% - Accent4 2 2 4 22" xfId="40533" xr:uid="{30B3D786-5F44-456C-A106-9214A7E931C8}"/>
    <cellStyle name="20% - Accent4 2 2 4 3" xfId="4622" xr:uid="{C5C321A8-E6CE-4886-B8AF-262C810DD344}"/>
    <cellStyle name="20% - Accent4 2 2 4 4" xfId="6512" xr:uid="{2EFF3DA3-2064-4596-BC65-E2531EA43B4C}"/>
    <cellStyle name="20% - Accent4 2 2 4 5" xfId="8402" xr:uid="{80B91D43-B9DD-45D3-BF84-ACF2C806F11C}"/>
    <cellStyle name="20% - Accent4 2 2 4 6" xfId="10292" xr:uid="{CD5534A8-1253-4298-BA51-DF4310FAF780}"/>
    <cellStyle name="20% - Accent4 2 2 4 7" xfId="12182" xr:uid="{E26D6E0C-0A3E-4E42-884F-33B6BB4D7381}"/>
    <cellStyle name="20% - Accent4 2 2 4 8" xfId="14072" xr:uid="{7AE937CC-58B2-4820-A9C6-9D71165D38F8}"/>
    <cellStyle name="20% - Accent4 2 2 4 9" xfId="15962" xr:uid="{CBDE1492-0777-488A-A9A0-7380277B2A3C}"/>
    <cellStyle name="20% - Accent4 2 2 5" xfId="1472" xr:uid="{0A56F59E-3A28-4785-A006-C56A11CD96AF}"/>
    <cellStyle name="20% - Accent4 2 2 5 10" xfId="18482" xr:uid="{7743AFD5-1D73-4180-BD0B-EACE1BEE1C5E}"/>
    <cellStyle name="20% - Accent4 2 2 5 11" xfId="20372" xr:uid="{DDCE83F5-1C5E-4D46-A68E-DEC7D4369635}"/>
    <cellStyle name="20% - Accent4 2 2 5 12" xfId="22262" xr:uid="{65876DA7-B1DE-45F0-A1E2-D213B756C419}"/>
    <cellStyle name="20% - Accent4 2 2 5 13" xfId="24152" xr:uid="{5774ED29-7F93-4673-820A-D971D00E8249}"/>
    <cellStyle name="20% - Accent4 2 2 5 14" xfId="26042" xr:uid="{CCAD9755-8F6B-4BF2-8BB2-B9469B3FC8DE}"/>
    <cellStyle name="20% - Accent4 2 2 5 15" xfId="27932" xr:uid="{D96B89F3-B214-41E9-BFE0-4020B553776D}"/>
    <cellStyle name="20% - Accent4 2 2 5 16" xfId="29822" xr:uid="{243D54EA-CB98-4630-BCDA-0D5D694B6A41}"/>
    <cellStyle name="20% - Accent4 2 2 5 17" xfId="31712" xr:uid="{2EACEF05-7EBF-442B-83A5-E47F48C0B1EB}"/>
    <cellStyle name="20% - Accent4 2 2 5 18" xfId="33602" xr:uid="{88E05287-EBE1-4B96-AC08-E84DA6327F48}"/>
    <cellStyle name="20% - Accent4 2 2 5 19" xfId="35492" xr:uid="{C342E37D-9405-45B4-A9CF-7D7ED438BD91}"/>
    <cellStyle name="20% - Accent4 2 2 5 2" xfId="3362" xr:uid="{212ABEA8-226A-410F-BF78-9F115482D10C}"/>
    <cellStyle name="20% - Accent4 2 2 5 20" xfId="37382" xr:uid="{F9F9DDCF-F9B0-4760-8E57-C1EF08DEB3AA}"/>
    <cellStyle name="20% - Accent4 2 2 5 21" xfId="39272" xr:uid="{4B039480-2E4D-46E7-8188-29656A4D988A}"/>
    <cellStyle name="20% - Accent4 2 2 5 22" xfId="41163" xr:uid="{0615125F-E6D5-4674-BC56-6A0DD5743FA4}"/>
    <cellStyle name="20% - Accent4 2 2 5 3" xfId="5252" xr:uid="{56D779C6-D66D-49D1-8EA6-E838B4D01353}"/>
    <cellStyle name="20% - Accent4 2 2 5 4" xfId="7142" xr:uid="{0F338436-F177-4F66-9D2F-79FE4685A03F}"/>
    <cellStyle name="20% - Accent4 2 2 5 5" xfId="9032" xr:uid="{40F91818-CAD4-4733-A9B1-B4801BAFBB6B}"/>
    <cellStyle name="20% - Accent4 2 2 5 6" xfId="10922" xr:uid="{3DFDB722-A790-4028-80E5-F78CB78EAA3E}"/>
    <cellStyle name="20% - Accent4 2 2 5 7" xfId="12812" xr:uid="{BF2A1AAD-A8BA-47AF-A2E7-AAB85B9AF9C6}"/>
    <cellStyle name="20% - Accent4 2 2 5 8" xfId="14702" xr:uid="{209F5014-2719-42BC-8BF0-93304377E0E4}"/>
    <cellStyle name="20% - Accent4 2 2 5 9" xfId="16592" xr:uid="{74507980-E2E5-4BD9-812E-22D419F264D2}"/>
    <cellStyle name="20% - Accent4 2 2 6" xfId="2102" xr:uid="{37F0C62E-8ECB-44F5-ACB7-6A4543E8589A}"/>
    <cellStyle name="20% - Accent4 2 2 7" xfId="3992" xr:uid="{245B6530-81FE-42CC-A001-F6061A3C84FA}"/>
    <cellStyle name="20% - Accent4 2 2 8" xfId="5882" xr:uid="{8B49CB6C-5ADA-4A90-B813-F995898D1C1E}"/>
    <cellStyle name="20% - Accent4 2 2 9" xfId="7772" xr:uid="{49F59263-128A-4721-869F-337CBA5ACAB0}"/>
    <cellStyle name="20% - Accent4 2 20" xfId="26567" xr:uid="{F018591B-B955-4E47-90DE-0E92BE0AF58B}"/>
    <cellStyle name="20% - Accent4 2 21" xfId="28457" xr:uid="{76D4D2E7-95E0-45CB-86DC-70548BC57952}"/>
    <cellStyle name="20% - Accent4 2 22" xfId="30347" xr:uid="{A8189EE0-9572-4A11-9468-AFEE43676928}"/>
    <cellStyle name="20% - Accent4 2 23" xfId="32237" xr:uid="{F0581D8E-F7A8-483F-BBB4-EE076FC20C59}"/>
    <cellStyle name="20% - Accent4 2 24" xfId="34127" xr:uid="{DAF291E9-4750-4BF3-BEA7-954AFF6594BE}"/>
    <cellStyle name="20% - Accent4 2 25" xfId="36017" xr:uid="{6ED81A03-6181-477C-99A5-CC5AC9DE0AEB}"/>
    <cellStyle name="20% - Accent4 2 26" xfId="37907" xr:uid="{B2EDF429-1CD8-4A21-B2A5-87FB03F92877}"/>
    <cellStyle name="20% - Accent4 2 27" xfId="39798" xr:uid="{D2CB1158-A6E0-4A28-AD5F-5D4021867C9D}"/>
    <cellStyle name="20% - Accent4 2 3" xfId="317" xr:uid="{A59BAE67-B9F2-4171-A982-772698FECAB5}"/>
    <cellStyle name="20% - Accent4 2 3 10" xfId="13547" xr:uid="{4D80DCF9-1517-459A-A47F-C26B3C3E122C}"/>
    <cellStyle name="20% - Accent4 2 3 11" xfId="15437" xr:uid="{B6B3624E-13E0-4F8E-AE41-06A62FD11BD6}"/>
    <cellStyle name="20% - Accent4 2 3 12" xfId="17327" xr:uid="{8F0DA5F9-D97F-4277-BD60-BC9249C70C45}"/>
    <cellStyle name="20% - Accent4 2 3 13" xfId="19217" xr:uid="{8D0E0592-04FB-4498-A43F-3115EA38F14D}"/>
    <cellStyle name="20% - Accent4 2 3 14" xfId="21107" xr:uid="{3E592F52-E344-45D6-BD42-693AC506129E}"/>
    <cellStyle name="20% - Accent4 2 3 15" xfId="22997" xr:uid="{F68E6F50-40D2-4415-AB04-E39E1D526DE6}"/>
    <cellStyle name="20% - Accent4 2 3 16" xfId="24887" xr:uid="{EE1E52EE-E16B-45C5-A60B-B396D9032B1B}"/>
    <cellStyle name="20% - Accent4 2 3 17" xfId="26777" xr:uid="{248F3314-E481-4DE0-981E-CDDFDEE6D6FA}"/>
    <cellStyle name="20% - Accent4 2 3 18" xfId="28667" xr:uid="{D9F10C67-3E51-4C7C-BD63-0F61490E6496}"/>
    <cellStyle name="20% - Accent4 2 3 19" xfId="30557" xr:uid="{C22524B2-791A-4ED3-8700-9FF6F28996DE}"/>
    <cellStyle name="20% - Accent4 2 3 2" xfId="947" xr:uid="{B0474EBC-65D5-4E36-A395-E7B7C2EF2C43}"/>
    <cellStyle name="20% - Accent4 2 3 2 10" xfId="17957" xr:uid="{56A323D9-B861-4839-84CB-3AE74D7D836B}"/>
    <cellStyle name="20% - Accent4 2 3 2 11" xfId="19847" xr:uid="{2E4A2E25-0A05-4BCB-B490-9E56B2A523A7}"/>
    <cellStyle name="20% - Accent4 2 3 2 12" xfId="21737" xr:uid="{2A024ABD-E1B1-4A6E-878C-A00DF6328C57}"/>
    <cellStyle name="20% - Accent4 2 3 2 13" xfId="23627" xr:uid="{BFA2EAD8-0E9D-4688-9BE7-3FADF1668102}"/>
    <cellStyle name="20% - Accent4 2 3 2 14" xfId="25517" xr:uid="{C00BDA3A-B6ED-474B-97AD-0DDD2118BA5B}"/>
    <cellStyle name="20% - Accent4 2 3 2 15" xfId="27407" xr:uid="{2D929878-293B-4BB3-8011-796858A362D4}"/>
    <cellStyle name="20% - Accent4 2 3 2 16" xfId="29297" xr:uid="{B49CB41A-7E89-4466-80AF-40474E2C2EA2}"/>
    <cellStyle name="20% - Accent4 2 3 2 17" xfId="31187" xr:uid="{8F55786A-F414-474F-9E9F-B4981EB9A789}"/>
    <cellStyle name="20% - Accent4 2 3 2 18" xfId="33077" xr:uid="{D67AF25B-34F7-4BFF-86B0-51141E8E4F46}"/>
    <cellStyle name="20% - Accent4 2 3 2 19" xfId="34967" xr:uid="{033CD659-F890-47DC-9650-7A5B00320C11}"/>
    <cellStyle name="20% - Accent4 2 3 2 2" xfId="2837" xr:uid="{FAFC2E26-B569-47BD-99F9-E95B894D645D}"/>
    <cellStyle name="20% - Accent4 2 3 2 20" xfId="36857" xr:uid="{4772FAB5-5EFE-4B2A-89CF-F402A1547904}"/>
    <cellStyle name="20% - Accent4 2 3 2 21" xfId="38747" xr:uid="{35DC624D-C5BD-4B61-97D5-8BD0AF07522E}"/>
    <cellStyle name="20% - Accent4 2 3 2 22" xfId="40638" xr:uid="{329416F5-3A73-4883-BA8E-353640A7D012}"/>
    <cellStyle name="20% - Accent4 2 3 2 3" xfId="4727" xr:uid="{A9FBF969-14CA-42A1-95C1-3982F8FCC101}"/>
    <cellStyle name="20% - Accent4 2 3 2 4" xfId="6617" xr:uid="{64425C59-7073-41E6-85D9-61CCE724506F}"/>
    <cellStyle name="20% - Accent4 2 3 2 5" xfId="8507" xr:uid="{18909397-DCA9-4528-AD87-34C0029D4D6D}"/>
    <cellStyle name="20% - Accent4 2 3 2 6" xfId="10397" xr:uid="{1AACD9D4-4AA1-4E16-B554-3815DDC84F38}"/>
    <cellStyle name="20% - Accent4 2 3 2 7" xfId="12287" xr:uid="{F8732086-F690-4CD6-A07A-0A7E93DA567C}"/>
    <cellStyle name="20% - Accent4 2 3 2 8" xfId="14177" xr:uid="{E7386A10-11A8-468A-A1ED-C1B50A4DF3EF}"/>
    <cellStyle name="20% - Accent4 2 3 2 9" xfId="16067" xr:uid="{F5BCCDF1-85B2-4D3A-9C19-940FFCBF9924}"/>
    <cellStyle name="20% - Accent4 2 3 20" xfId="32447" xr:uid="{4152532D-3AE5-4D3D-9891-9DB0BB328902}"/>
    <cellStyle name="20% - Accent4 2 3 21" xfId="34337" xr:uid="{884D09E9-66E3-4238-87A2-FEC0DF872270}"/>
    <cellStyle name="20% - Accent4 2 3 22" xfId="36227" xr:uid="{B89A5F78-6B36-4D37-8B63-56E554249EB3}"/>
    <cellStyle name="20% - Accent4 2 3 23" xfId="38117" xr:uid="{6E0BFEE0-5F54-404B-A468-F16BA6B4BD92}"/>
    <cellStyle name="20% - Accent4 2 3 24" xfId="40008" xr:uid="{995DABA2-7F36-4257-97C5-BE886594669A}"/>
    <cellStyle name="20% - Accent4 2 3 3" xfId="1577" xr:uid="{E6239B61-E8D1-489B-9C72-650C32F858F9}"/>
    <cellStyle name="20% - Accent4 2 3 3 10" xfId="18587" xr:uid="{6F7D1F93-FADB-4FC3-9D09-9D61A9658A41}"/>
    <cellStyle name="20% - Accent4 2 3 3 11" xfId="20477" xr:uid="{9E2CA748-D11D-4764-8FBA-5167C3045EFE}"/>
    <cellStyle name="20% - Accent4 2 3 3 12" xfId="22367" xr:uid="{EB88F664-1BA4-4471-8192-BE1134A44AC0}"/>
    <cellStyle name="20% - Accent4 2 3 3 13" xfId="24257" xr:uid="{73BC22E5-061C-4207-ABB3-EC5850DD3CF5}"/>
    <cellStyle name="20% - Accent4 2 3 3 14" xfId="26147" xr:uid="{BC5DAA4A-7BB2-48CF-AA72-0F4B09601202}"/>
    <cellStyle name="20% - Accent4 2 3 3 15" xfId="28037" xr:uid="{511A4263-51C4-4D24-B854-352671152222}"/>
    <cellStyle name="20% - Accent4 2 3 3 16" xfId="29927" xr:uid="{BE0E76B9-F5EF-48A7-8B80-39B598FE8E63}"/>
    <cellStyle name="20% - Accent4 2 3 3 17" xfId="31817" xr:uid="{46BFADA9-F1B6-4281-80F6-171A59318945}"/>
    <cellStyle name="20% - Accent4 2 3 3 18" xfId="33707" xr:uid="{9C80562B-23D4-4251-B4BB-C584C13895F5}"/>
    <cellStyle name="20% - Accent4 2 3 3 19" xfId="35597" xr:uid="{D3DFA7AF-2123-403A-ADCF-515B85B96785}"/>
    <cellStyle name="20% - Accent4 2 3 3 2" xfId="3467" xr:uid="{1EDE68B3-0045-45B9-BABE-460F6C02BDFD}"/>
    <cellStyle name="20% - Accent4 2 3 3 20" xfId="37487" xr:uid="{CE5A1D26-3D5B-469D-8C4A-4243B5D6DD76}"/>
    <cellStyle name="20% - Accent4 2 3 3 21" xfId="39377" xr:uid="{3859A982-B668-4CE8-899C-7490889BD79B}"/>
    <cellStyle name="20% - Accent4 2 3 3 22" xfId="41268" xr:uid="{3987739D-7AE6-49AE-A89C-356DCC0BD12B}"/>
    <cellStyle name="20% - Accent4 2 3 3 3" xfId="5357" xr:uid="{7C45FE7E-471A-4AF0-8438-5444951F7AF1}"/>
    <cellStyle name="20% - Accent4 2 3 3 4" xfId="7247" xr:uid="{DACA35E1-C282-44EB-B443-0B6DC0B4DF04}"/>
    <cellStyle name="20% - Accent4 2 3 3 5" xfId="9137" xr:uid="{1B049B24-F827-4C72-8C6A-5654ECC120C1}"/>
    <cellStyle name="20% - Accent4 2 3 3 6" xfId="11027" xr:uid="{8328C799-4648-4795-BAE9-2C10603CA303}"/>
    <cellStyle name="20% - Accent4 2 3 3 7" xfId="12917" xr:uid="{2613D43E-D9A2-4852-A3EA-85054A09969A}"/>
    <cellStyle name="20% - Accent4 2 3 3 8" xfId="14807" xr:uid="{136894B9-1368-45B4-9C15-FDA73255C000}"/>
    <cellStyle name="20% - Accent4 2 3 3 9" xfId="16697" xr:uid="{7AA695BD-11B2-4902-A742-0180D8F83939}"/>
    <cellStyle name="20% - Accent4 2 3 4" xfId="2207" xr:uid="{44C1C6B2-DB9B-416F-8E2A-F8AC1CD16FDA}"/>
    <cellStyle name="20% - Accent4 2 3 5" xfId="4097" xr:uid="{030609E3-104E-4B71-AFCE-C5E502F34F68}"/>
    <cellStyle name="20% - Accent4 2 3 6" xfId="5987" xr:uid="{E7766A4A-9515-4C6D-9F1F-AA248696C4D9}"/>
    <cellStyle name="20% - Accent4 2 3 7" xfId="7877" xr:uid="{072F0F10-7557-4A55-ADA0-197378DE07CC}"/>
    <cellStyle name="20% - Accent4 2 3 8" xfId="9767" xr:uid="{A4DF32B1-A515-4911-929D-40E3F907686D}"/>
    <cellStyle name="20% - Accent4 2 3 9" xfId="11657" xr:uid="{28F0DAC9-E471-4B3B-BD2F-A32C70689BD6}"/>
    <cellStyle name="20% - Accent4 2 4" xfId="527" xr:uid="{2F757962-3D0F-46E8-9ADA-F8CCEED5832C}"/>
    <cellStyle name="20% - Accent4 2 4 10" xfId="13757" xr:uid="{4A92286F-5B51-43C4-91D1-2118C8B56107}"/>
    <cellStyle name="20% - Accent4 2 4 11" xfId="15647" xr:uid="{FBF7A19A-C154-4D57-9863-552013766D82}"/>
    <cellStyle name="20% - Accent4 2 4 12" xfId="17537" xr:uid="{E910547A-9F38-413B-872B-0367BEC957F5}"/>
    <cellStyle name="20% - Accent4 2 4 13" xfId="19427" xr:uid="{AA7E097C-A583-46DB-B31A-750D9EEA4FA2}"/>
    <cellStyle name="20% - Accent4 2 4 14" xfId="21317" xr:uid="{D1638D37-48E9-43BC-83B6-700F18774784}"/>
    <cellStyle name="20% - Accent4 2 4 15" xfId="23207" xr:uid="{3FBF22DE-C7C9-4821-9494-0E9D9C5DE5A3}"/>
    <cellStyle name="20% - Accent4 2 4 16" xfId="25097" xr:uid="{127F3B2A-7194-4686-9C5B-3D2C03EBB791}"/>
    <cellStyle name="20% - Accent4 2 4 17" xfId="26987" xr:uid="{016BA555-E744-47DA-880C-D75BA9361170}"/>
    <cellStyle name="20% - Accent4 2 4 18" xfId="28877" xr:uid="{B7276A81-F5D0-451A-8157-7D7A309ED3D2}"/>
    <cellStyle name="20% - Accent4 2 4 19" xfId="30767" xr:uid="{6B7B3704-02C0-4AC4-97A4-E7ABEDC6586B}"/>
    <cellStyle name="20% - Accent4 2 4 2" xfId="1157" xr:uid="{37D48D07-1974-4C46-9B0E-1CE6B5F4339A}"/>
    <cellStyle name="20% - Accent4 2 4 2 10" xfId="18167" xr:uid="{CE493B2B-8668-4CA5-A9C7-D1754954492A}"/>
    <cellStyle name="20% - Accent4 2 4 2 11" xfId="20057" xr:uid="{5D987D14-E88C-4BB5-AD7F-B8B4E75921D2}"/>
    <cellStyle name="20% - Accent4 2 4 2 12" xfId="21947" xr:uid="{EA84C606-A82C-4C8E-9919-40A47E6F272E}"/>
    <cellStyle name="20% - Accent4 2 4 2 13" xfId="23837" xr:uid="{C23C898E-591A-42A7-8EBB-B082D8FB894F}"/>
    <cellStyle name="20% - Accent4 2 4 2 14" xfId="25727" xr:uid="{C14395B5-8DF6-4DB6-BA3F-68B2777B08F5}"/>
    <cellStyle name="20% - Accent4 2 4 2 15" xfId="27617" xr:uid="{D54928E4-50FD-4A9D-A244-5C2F920FE49B}"/>
    <cellStyle name="20% - Accent4 2 4 2 16" xfId="29507" xr:uid="{61FEA81C-7D4D-4643-A4F0-BCA95490AA37}"/>
    <cellStyle name="20% - Accent4 2 4 2 17" xfId="31397" xr:uid="{6774A708-8B8C-4EAD-97C7-57D9B950A2D2}"/>
    <cellStyle name="20% - Accent4 2 4 2 18" xfId="33287" xr:uid="{DDEA58D0-6EFE-4FCA-A685-6782B2A21E26}"/>
    <cellStyle name="20% - Accent4 2 4 2 19" xfId="35177" xr:uid="{C6E4D475-B638-4992-8136-EC9C0A3B8C81}"/>
    <cellStyle name="20% - Accent4 2 4 2 2" xfId="3047" xr:uid="{F460615D-E089-42CE-822B-DE5ED9E5D003}"/>
    <cellStyle name="20% - Accent4 2 4 2 20" xfId="37067" xr:uid="{CB521F61-D0D1-4E29-8234-66392D17C8D0}"/>
    <cellStyle name="20% - Accent4 2 4 2 21" xfId="38957" xr:uid="{AEC0EE46-4A97-4FA8-9CC8-874899EA08D3}"/>
    <cellStyle name="20% - Accent4 2 4 2 22" xfId="40848" xr:uid="{AD616640-CA02-44AF-BD00-7F1CBBC16C8A}"/>
    <cellStyle name="20% - Accent4 2 4 2 3" xfId="4937" xr:uid="{9117B070-2A4B-4E2E-98F2-E793AA752CE0}"/>
    <cellStyle name="20% - Accent4 2 4 2 4" xfId="6827" xr:uid="{E1943B14-8845-4AAF-92AC-A4E9F949152B}"/>
    <cellStyle name="20% - Accent4 2 4 2 5" xfId="8717" xr:uid="{4E0EDCC1-2A1D-4D31-A0C0-9F8FB8E59652}"/>
    <cellStyle name="20% - Accent4 2 4 2 6" xfId="10607" xr:uid="{B7417CED-BE7A-4AD3-AB18-BEC596934E49}"/>
    <cellStyle name="20% - Accent4 2 4 2 7" xfId="12497" xr:uid="{71B664F4-FA97-4DF9-9D20-5D3E8C70E18D}"/>
    <cellStyle name="20% - Accent4 2 4 2 8" xfId="14387" xr:uid="{BB067C77-83A4-44EF-9172-6F8860651A37}"/>
    <cellStyle name="20% - Accent4 2 4 2 9" xfId="16277" xr:uid="{30521F03-9E92-4ED9-8D29-066F71F477CE}"/>
    <cellStyle name="20% - Accent4 2 4 20" xfId="32657" xr:uid="{BD54C456-9C3D-42A3-9248-5BB4EB155CC0}"/>
    <cellStyle name="20% - Accent4 2 4 21" xfId="34547" xr:uid="{0DEB2ED0-1915-485C-9B17-01B3F11D19A3}"/>
    <cellStyle name="20% - Accent4 2 4 22" xfId="36437" xr:uid="{7C80BF3C-F513-4314-9EA3-C7669FE33893}"/>
    <cellStyle name="20% - Accent4 2 4 23" xfId="38327" xr:uid="{77467732-1E4D-4731-BACF-380653843E37}"/>
    <cellStyle name="20% - Accent4 2 4 24" xfId="40218" xr:uid="{921B23DC-EF70-45AE-B6AB-286FAADBB201}"/>
    <cellStyle name="20% - Accent4 2 4 3" xfId="1787" xr:uid="{D92BA53A-4EB7-4184-A782-43FBF3288DEB}"/>
    <cellStyle name="20% - Accent4 2 4 3 10" xfId="18797" xr:uid="{897BF231-A37B-4958-893C-26348DDF27C8}"/>
    <cellStyle name="20% - Accent4 2 4 3 11" xfId="20687" xr:uid="{C8B4C259-30D7-4316-9751-6343E67F6880}"/>
    <cellStyle name="20% - Accent4 2 4 3 12" xfId="22577" xr:uid="{C4CC5194-03EB-45C4-839A-068A7908116F}"/>
    <cellStyle name="20% - Accent4 2 4 3 13" xfId="24467" xr:uid="{A4C4BE0F-0602-4189-BE8C-8CE1B711F877}"/>
    <cellStyle name="20% - Accent4 2 4 3 14" xfId="26357" xr:uid="{4828F0AC-1F8E-41CE-A433-B6869D96259F}"/>
    <cellStyle name="20% - Accent4 2 4 3 15" xfId="28247" xr:uid="{CFFC1FE2-98F9-43A7-BEA1-7BE27D07C1FF}"/>
    <cellStyle name="20% - Accent4 2 4 3 16" xfId="30137" xr:uid="{7729595F-BD8A-49EE-AD82-7641556F53F9}"/>
    <cellStyle name="20% - Accent4 2 4 3 17" xfId="32027" xr:uid="{2BB6EB3B-562F-4E11-B5C5-3E98486F4C81}"/>
    <cellStyle name="20% - Accent4 2 4 3 18" xfId="33917" xr:uid="{22FB8609-06A7-462A-B2F4-D4611F19AA8F}"/>
    <cellStyle name="20% - Accent4 2 4 3 19" xfId="35807" xr:uid="{DD44A74B-5007-486A-9813-CA978F53CD53}"/>
    <cellStyle name="20% - Accent4 2 4 3 2" xfId="3677" xr:uid="{D05BB2F4-FF2B-4C7B-9130-A0095F48CCEC}"/>
    <cellStyle name="20% - Accent4 2 4 3 20" xfId="37697" xr:uid="{D4AB921F-F872-4EE6-A024-66E67B79802F}"/>
    <cellStyle name="20% - Accent4 2 4 3 21" xfId="39587" xr:uid="{23F72057-BB7B-49FA-9CFB-15F5E6EE355F}"/>
    <cellStyle name="20% - Accent4 2 4 3 22" xfId="41478" xr:uid="{C1BB281C-DB76-4B76-B6CA-84379BFE04C2}"/>
    <cellStyle name="20% - Accent4 2 4 3 3" xfId="5567" xr:uid="{E4E16B03-A102-448C-8655-2AFFBB7866BC}"/>
    <cellStyle name="20% - Accent4 2 4 3 4" xfId="7457" xr:uid="{23C16A90-E0BB-4934-9730-96FF9EF58928}"/>
    <cellStyle name="20% - Accent4 2 4 3 5" xfId="9347" xr:uid="{A87CDB0B-6A13-414D-ABD0-12162B290506}"/>
    <cellStyle name="20% - Accent4 2 4 3 6" xfId="11237" xr:uid="{961E2F3A-3F93-4F3C-82C6-0B2CBE743399}"/>
    <cellStyle name="20% - Accent4 2 4 3 7" xfId="13127" xr:uid="{C4B539AB-9503-4BDE-B6CF-8E0526D705B7}"/>
    <cellStyle name="20% - Accent4 2 4 3 8" xfId="15017" xr:uid="{D663C130-FCC3-494D-9F96-D743DEAD0724}"/>
    <cellStyle name="20% - Accent4 2 4 3 9" xfId="16907" xr:uid="{DBFD7776-090B-481F-86F0-ABF68CF0D21C}"/>
    <cellStyle name="20% - Accent4 2 4 4" xfId="2417" xr:uid="{1B18D03A-6340-4C8C-ADB8-50AA5ADD6F4C}"/>
    <cellStyle name="20% - Accent4 2 4 5" xfId="4307" xr:uid="{DE123C75-2BAD-4F57-AE80-3261FE0A5FB5}"/>
    <cellStyle name="20% - Accent4 2 4 6" xfId="6197" xr:uid="{42872E15-4C5B-41E1-94AF-27CD412291F7}"/>
    <cellStyle name="20% - Accent4 2 4 7" xfId="8087" xr:uid="{AC819FED-FE42-4E59-9B6B-F5786E457CBF}"/>
    <cellStyle name="20% - Accent4 2 4 8" xfId="9977" xr:uid="{839CD41C-D80A-4415-A2B9-2AFEA5B56334}"/>
    <cellStyle name="20% - Accent4 2 4 9" xfId="11867" xr:uid="{56F4253B-3487-441D-92E0-1964923CED13}"/>
    <cellStyle name="20% - Accent4 2 5" xfId="737" xr:uid="{776D29FE-737B-450D-898A-3AE3EBDE10D0}"/>
    <cellStyle name="20% - Accent4 2 5 10" xfId="17747" xr:uid="{86012EDE-76BB-42BB-8D5E-BA8455E65B7E}"/>
    <cellStyle name="20% - Accent4 2 5 11" xfId="19637" xr:uid="{517F36E2-3B6D-4C23-92D9-8CDAD608228F}"/>
    <cellStyle name="20% - Accent4 2 5 12" xfId="21527" xr:uid="{1257AD63-2FCD-4357-9613-CFF11A5AD005}"/>
    <cellStyle name="20% - Accent4 2 5 13" xfId="23417" xr:uid="{15D96C1E-2E87-4FEC-A9AF-D983DA4ACC57}"/>
    <cellStyle name="20% - Accent4 2 5 14" xfId="25307" xr:uid="{B9D1958A-875D-456B-83EA-CAAED7F5C8B0}"/>
    <cellStyle name="20% - Accent4 2 5 15" xfId="27197" xr:uid="{3A310C3F-7C54-4401-B28C-935B47E0A645}"/>
    <cellStyle name="20% - Accent4 2 5 16" xfId="29087" xr:uid="{2A3AC7DF-C576-4AF1-A4B4-E5663B951BBD}"/>
    <cellStyle name="20% - Accent4 2 5 17" xfId="30977" xr:uid="{E4244162-3D95-4B65-AB54-7D88A6161866}"/>
    <cellStyle name="20% - Accent4 2 5 18" xfId="32867" xr:uid="{AF23EE1F-E594-460B-AF72-17C721FF3D2A}"/>
    <cellStyle name="20% - Accent4 2 5 19" xfId="34757" xr:uid="{248FE6D4-DD42-492A-9141-EBB2A125CD0B}"/>
    <cellStyle name="20% - Accent4 2 5 2" xfId="2627" xr:uid="{0634494F-1F8E-4605-AF74-FDEA03C14506}"/>
    <cellStyle name="20% - Accent4 2 5 20" xfId="36647" xr:uid="{63313FAE-F581-4958-8F51-7E4B698AE211}"/>
    <cellStyle name="20% - Accent4 2 5 21" xfId="38537" xr:uid="{DFB7C7A0-8465-4BF7-89DC-E66B01C73F62}"/>
    <cellStyle name="20% - Accent4 2 5 22" xfId="40428" xr:uid="{0DCBB20A-363D-43C4-A080-B88FB3454103}"/>
    <cellStyle name="20% - Accent4 2 5 3" xfId="4517" xr:uid="{09F743F1-9476-451D-8F85-5FC3399FA6A5}"/>
    <cellStyle name="20% - Accent4 2 5 4" xfId="6407" xr:uid="{DD1C34A0-AAE0-4EF6-AD96-407870C28E50}"/>
    <cellStyle name="20% - Accent4 2 5 5" xfId="8297" xr:uid="{5E0AA7DC-D698-4700-B303-9BA9EAA31582}"/>
    <cellStyle name="20% - Accent4 2 5 6" xfId="10187" xr:uid="{62ADB44A-3C14-4D84-8FB1-A1C1FF8A7DD5}"/>
    <cellStyle name="20% - Accent4 2 5 7" xfId="12077" xr:uid="{3D25662C-097A-405A-AD1A-CDCABB57E08F}"/>
    <cellStyle name="20% - Accent4 2 5 8" xfId="13967" xr:uid="{3FED93E2-7686-42CB-A094-A33D4373B1D2}"/>
    <cellStyle name="20% - Accent4 2 5 9" xfId="15857" xr:uid="{B883C7A2-9EBB-45CF-BD26-B84057F8EAA3}"/>
    <cellStyle name="20% - Accent4 2 6" xfId="1367" xr:uid="{AA132A10-FFA0-4594-A785-785AEC93233C}"/>
    <cellStyle name="20% - Accent4 2 6 10" xfId="18377" xr:uid="{45CC3D54-58D2-469E-BA6A-17A4A2D21605}"/>
    <cellStyle name="20% - Accent4 2 6 11" xfId="20267" xr:uid="{5847187F-5B36-4BF0-943D-4F27F04E253F}"/>
    <cellStyle name="20% - Accent4 2 6 12" xfId="22157" xr:uid="{0D509FFF-0556-45A1-8262-9D44D0AD9F35}"/>
    <cellStyle name="20% - Accent4 2 6 13" xfId="24047" xr:uid="{56837805-F010-4034-8515-2552E52F5614}"/>
    <cellStyle name="20% - Accent4 2 6 14" xfId="25937" xr:uid="{59C37213-DCF6-4273-8DA5-889295AD2D05}"/>
    <cellStyle name="20% - Accent4 2 6 15" xfId="27827" xr:uid="{E160ED5C-7669-4E66-AF6A-689DA61D9443}"/>
    <cellStyle name="20% - Accent4 2 6 16" xfId="29717" xr:uid="{689EFE89-0F6E-47C6-9162-17EE5708C4E3}"/>
    <cellStyle name="20% - Accent4 2 6 17" xfId="31607" xr:uid="{B79C806B-FA1D-4A22-9946-37E1AC95303F}"/>
    <cellStyle name="20% - Accent4 2 6 18" xfId="33497" xr:uid="{2AB19B07-C07E-46CB-B328-205DF96A1891}"/>
    <cellStyle name="20% - Accent4 2 6 19" xfId="35387" xr:uid="{C86DAC9F-0A36-4388-843B-47C241D80E50}"/>
    <cellStyle name="20% - Accent4 2 6 2" xfId="3257" xr:uid="{167784E5-3A56-4A30-922C-A966D831BE2A}"/>
    <cellStyle name="20% - Accent4 2 6 20" xfId="37277" xr:uid="{80DD2E49-FF2D-45EA-B176-58F79BC78509}"/>
    <cellStyle name="20% - Accent4 2 6 21" xfId="39167" xr:uid="{66732A1B-050D-4B52-8EC9-5575B5FDC500}"/>
    <cellStyle name="20% - Accent4 2 6 22" xfId="41058" xr:uid="{48241897-7E8D-4940-8593-5204AA3854BD}"/>
    <cellStyle name="20% - Accent4 2 6 3" xfId="5147" xr:uid="{FD32393A-AB3D-49DF-A58F-9160040BD8C6}"/>
    <cellStyle name="20% - Accent4 2 6 4" xfId="7037" xr:uid="{CA48CAD8-9FA3-4774-9C85-486C3709AF7E}"/>
    <cellStyle name="20% - Accent4 2 6 5" xfId="8927" xr:uid="{4669FDE1-AFB6-4134-8CA6-1C1C2022C4C8}"/>
    <cellStyle name="20% - Accent4 2 6 6" xfId="10817" xr:uid="{9E564071-CDB3-407B-BF69-1C1944F3AD52}"/>
    <cellStyle name="20% - Accent4 2 6 7" xfId="12707" xr:uid="{CE54370E-6135-4843-A678-35C48450A247}"/>
    <cellStyle name="20% - Accent4 2 6 8" xfId="14597" xr:uid="{20211ACA-4318-4A22-89FD-E73B5EED359F}"/>
    <cellStyle name="20% - Accent4 2 6 9" xfId="16487" xr:uid="{1BEC39B5-88B8-4CF2-A1EB-A7D0085CB980}"/>
    <cellStyle name="20% - Accent4 2 7" xfId="1997" xr:uid="{3738C803-1454-4C25-9E5B-31FB7BD41EB4}"/>
    <cellStyle name="20% - Accent4 2 8" xfId="3887" xr:uid="{5276FB23-66DC-4A81-864F-DD1107D4CB56}"/>
    <cellStyle name="20% - Accent4 2 9" xfId="5777" xr:uid="{5EBF8EBA-EAD4-4279-8B44-4FE7DD8C8B05}"/>
    <cellStyle name="20% - Accent4 20" xfId="22765" xr:uid="{C79944B9-3E3E-4E3D-8A51-68682217D944}"/>
    <cellStyle name="20% - Accent4 21" xfId="24655" xr:uid="{583BB41A-7946-42D0-A78F-1A9202420443}"/>
    <cellStyle name="20% - Accent4 22" xfId="26545" xr:uid="{5E3D58CF-CFE4-4622-9BE5-EE8EDFDEFF91}"/>
    <cellStyle name="20% - Accent4 23" xfId="28435" xr:uid="{D8404655-5C30-4E39-8D44-8826CC48F721}"/>
    <cellStyle name="20% - Accent4 24" xfId="30325" xr:uid="{2CAB7D71-29DC-4BB7-B476-A4316EAED3D6}"/>
    <cellStyle name="20% - Accent4 25" xfId="32215" xr:uid="{ADE99062-E15F-4D68-A1DE-1E86D2E0CB03}"/>
    <cellStyle name="20% - Accent4 26" xfId="34105" xr:uid="{3857390D-5192-4E33-B58D-D38CF533D5E8}"/>
    <cellStyle name="20% - Accent4 27" xfId="35995" xr:uid="{87EC300E-3C8C-42B7-AE37-1D23E871D706}"/>
    <cellStyle name="20% - Accent4 28" xfId="37885" xr:uid="{29CB8A2A-0986-4DC7-8BDA-3A8279C77B7F}"/>
    <cellStyle name="20% - Accent4 29" xfId="39776" xr:uid="{5E3E6938-398E-4AB0-9FBC-DCC76639A159}"/>
    <cellStyle name="20% - Accent4 3" xfId="127" xr:uid="{073FD02C-9CBF-4B5E-A79A-DC699EFF7903}"/>
    <cellStyle name="20% - Accent4 3 10" xfId="7687" xr:uid="{F564ADC6-AB8D-431F-BEE0-4EC36F907568}"/>
    <cellStyle name="20% - Accent4 3 11" xfId="9577" xr:uid="{2C4E4564-EC1E-468C-A6CE-90DA0B6625E0}"/>
    <cellStyle name="20% - Accent4 3 12" xfId="11467" xr:uid="{47AB19E2-F7A8-462C-822A-C246B9B7AE9F}"/>
    <cellStyle name="20% - Accent4 3 13" xfId="13357" xr:uid="{FF0434BA-041D-450C-BD1F-4CF30CAF8133}"/>
    <cellStyle name="20% - Accent4 3 14" xfId="15247" xr:uid="{D202F220-8C80-40B3-AA49-A9593D72F4D9}"/>
    <cellStyle name="20% - Accent4 3 15" xfId="17137" xr:uid="{2753B3AF-43EA-4A9C-B46D-97E1FCBFCA2E}"/>
    <cellStyle name="20% - Accent4 3 16" xfId="19027" xr:uid="{91364259-0163-400A-8E42-CA3ACCD7701C}"/>
    <cellStyle name="20% - Accent4 3 17" xfId="20917" xr:uid="{30ACC535-6C65-4D56-BAF7-788263ECD2AD}"/>
    <cellStyle name="20% - Accent4 3 18" xfId="22807" xr:uid="{DF91BBB3-92CF-441E-8E11-76810CD09D13}"/>
    <cellStyle name="20% - Accent4 3 19" xfId="24697" xr:uid="{60F22B5F-EEE8-44B2-8662-C1A6B3BB4EF8}"/>
    <cellStyle name="20% - Accent4 3 2" xfId="232" xr:uid="{A4F7F553-06BD-4000-ABF3-E41E197A7ECD}"/>
    <cellStyle name="20% - Accent4 3 2 10" xfId="9682" xr:uid="{5768D844-B63C-45FA-8E33-501DB546001B}"/>
    <cellStyle name="20% - Accent4 3 2 11" xfId="11572" xr:uid="{712981BD-D716-4F42-A9E7-CE9431A01CED}"/>
    <cellStyle name="20% - Accent4 3 2 12" xfId="13462" xr:uid="{A07FC56C-6572-41FC-989E-6738ABC1020F}"/>
    <cellStyle name="20% - Accent4 3 2 13" xfId="15352" xr:uid="{03BD2F3C-2042-4403-8B1B-AEC2AB52E078}"/>
    <cellStyle name="20% - Accent4 3 2 14" xfId="17242" xr:uid="{C2A8CE35-E09F-4FEB-B7E8-5DA9F3436C62}"/>
    <cellStyle name="20% - Accent4 3 2 15" xfId="19132" xr:uid="{9E5B0102-149B-48AB-A698-9E8191C9E47A}"/>
    <cellStyle name="20% - Accent4 3 2 16" xfId="21022" xr:uid="{2E4F32EC-8CC6-416E-8890-478D44045739}"/>
    <cellStyle name="20% - Accent4 3 2 17" xfId="22912" xr:uid="{79937E32-55DF-4193-B163-5E17D813FCB9}"/>
    <cellStyle name="20% - Accent4 3 2 18" xfId="24802" xr:uid="{0F471A09-1E5F-4DF2-BDFC-846F9FEEB61E}"/>
    <cellStyle name="20% - Accent4 3 2 19" xfId="26692" xr:uid="{CF1A4815-C3CA-449C-9FD3-624409EBD84A}"/>
    <cellStyle name="20% - Accent4 3 2 2" xfId="442" xr:uid="{93242604-2A17-40D3-A39A-825BCFCD5945}"/>
    <cellStyle name="20% - Accent4 3 2 2 10" xfId="13672" xr:uid="{22ACDCF3-7C24-4F37-ABF7-BB3460DBA198}"/>
    <cellStyle name="20% - Accent4 3 2 2 11" xfId="15562" xr:uid="{7509B3BA-753D-4AC9-8EEB-A399C785E79F}"/>
    <cellStyle name="20% - Accent4 3 2 2 12" xfId="17452" xr:uid="{FA5F12FB-9B25-4DEA-8096-BB5526F335DE}"/>
    <cellStyle name="20% - Accent4 3 2 2 13" xfId="19342" xr:uid="{14438E8E-0D04-48F5-9A50-EB99066E49C6}"/>
    <cellStyle name="20% - Accent4 3 2 2 14" xfId="21232" xr:uid="{7E69410B-84D6-4B6A-80F8-C91220D44EC4}"/>
    <cellStyle name="20% - Accent4 3 2 2 15" xfId="23122" xr:uid="{A62E202E-3C9E-4A13-973D-15B5C2CA8F2C}"/>
    <cellStyle name="20% - Accent4 3 2 2 16" xfId="25012" xr:uid="{E559EA4A-4654-4811-83D4-2DF6AD362EEB}"/>
    <cellStyle name="20% - Accent4 3 2 2 17" xfId="26902" xr:uid="{6FE2031E-552F-41FD-AD46-E7EFBC92A4AF}"/>
    <cellStyle name="20% - Accent4 3 2 2 18" xfId="28792" xr:uid="{DB76BD8F-8974-41ED-A3FB-2EF88F420D50}"/>
    <cellStyle name="20% - Accent4 3 2 2 19" xfId="30682" xr:uid="{B1474B42-30F8-4F8E-9FBB-E50409123B3F}"/>
    <cellStyle name="20% - Accent4 3 2 2 2" xfId="1072" xr:uid="{D4238C0E-90F1-4F2F-8FCF-A341E0213372}"/>
    <cellStyle name="20% - Accent4 3 2 2 2 10" xfId="18082" xr:uid="{C718C3EC-2037-482C-97EE-C2C2708B6D1D}"/>
    <cellStyle name="20% - Accent4 3 2 2 2 11" xfId="19972" xr:uid="{218B0464-62F9-4F74-B7F5-366B475A3B6C}"/>
    <cellStyle name="20% - Accent4 3 2 2 2 12" xfId="21862" xr:uid="{6FA719EC-AA32-46CF-AAC8-24F30DAEF014}"/>
    <cellStyle name="20% - Accent4 3 2 2 2 13" xfId="23752" xr:uid="{14F6CDF7-AEBD-47FE-BF16-1B4C7FC5F90A}"/>
    <cellStyle name="20% - Accent4 3 2 2 2 14" xfId="25642" xr:uid="{0848D836-0C01-4333-9CD4-676B0D5140D6}"/>
    <cellStyle name="20% - Accent4 3 2 2 2 15" xfId="27532" xr:uid="{57EC1259-1AE4-427C-84CA-370DA9D1C707}"/>
    <cellStyle name="20% - Accent4 3 2 2 2 16" xfId="29422" xr:uid="{51C78C77-B0F1-439B-9A13-1B8C0E36923C}"/>
    <cellStyle name="20% - Accent4 3 2 2 2 17" xfId="31312" xr:uid="{A0A5BDAF-B25F-4800-928E-80A46F301CE1}"/>
    <cellStyle name="20% - Accent4 3 2 2 2 18" xfId="33202" xr:uid="{C24EFA2F-2E4F-41EA-8200-C1CC36D63355}"/>
    <cellStyle name="20% - Accent4 3 2 2 2 19" xfId="35092" xr:uid="{D7EBD7F8-7A16-4E90-91D7-2B84459F56E9}"/>
    <cellStyle name="20% - Accent4 3 2 2 2 2" xfId="2962" xr:uid="{ADEE39F4-BA7E-493E-8FA2-D0CAB3D928D4}"/>
    <cellStyle name="20% - Accent4 3 2 2 2 20" xfId="36982" xr:uid="{A8C6BC8E-24CD-4E65-920F-EA86C6F40C0F}"/>
    <cellStyle name="20% - Accent4 3 2 2 2 21" xfId="38872" xr:uid="{68C8DDF3-AF27-410E-A6A8-C0E3E785B80B}"/>
    <cellStyle name="20% - Accent4 3 2 2 2 22" xfId="40763" xr:uid="{6A0C4A83-A4C9-47E2-9331-A98FFE9805D7}"/>
    <cellStyle name="20% - Accent4 3 2 2 2 3" xfId="4852" xr:uid="{2619B8E6-5F50-4949-8A93-DCFD8630C65D}"/>
    <cellStyle name="20% - Accent4 3 2 2 2 4" xfId="6742" xr:uid="{9388E65E-2C67-4291-B5E9-A7483A92D9DF}"/>
    <cellStyle name="20% - Accent4 3 2 2 2 5" xfId="8632" xr:uid="{1A9C405F-5B9B-46F2-AE7D-BB525689EC82}"/>
    <cellStyle name="20% - Accent4 3 2 2 2 6" xfId="10522" xr:uid="{0BF41D5F-4C18-4103-BD87-5C37B335C21D}"/>
    <cellStyle name="20% - Accent4 3 2 2 2 7" xfId="12412" xr:uid="{2957B64C-0A42-423B-96EA-45EDBF57D03C}"/>
    <cellStyle name="20% - Accent4 3 2 2 2 8" xfId="14302" xr:uid="{F60C2688-D33B-4F93-B45B-C5D839B2E079}"/>
    <cellStyle name="20% - Accent4 3 2 2 2 9" xfId="16192" xr:uid="{D3780E82-9E39-41FD-9337-1AEBCA04FA4A}"/>
    <cellStyle name="20% - Accent4 3 2 2 20" xfId="32572" xr:uid="{18F6A84E-7872-4C8C-BAD0-BF916C39E56C}"/>
    <cellStyle name="20% - Accent4 3 2 2 21" xfId="34462" xr:uid="{79DA5C65-AE77-4FC7-AF59-37864864A376}"/>
    <cellStyle name="20% - Accent4 3 2 2 22" xfId="36352" xr:uid="{505F2E46-844E-443B-BE07-1758D378D9A3}"/>
    <cellStyle name="20% - Accent4 3 2 2 23" xfId="38242" xr:uid="{C55EE63A-B4FC-44F2-9C47-79190DE0B1DA}"/>
    <cellStyle name="20% - Accent4 3 2 2 24" xfId="40133" xr:uid="{52D0318F-95B9-43BD-8EAA-FD8F8F61824A}"/>
    <cellStyle name="20% - Accent4 3 2 2 3" xfId="1702" xr:uid="{7CA1C6FA-AEFA-48D9-9D52-E6EF215FF564}"/>
    <cellStyle name="20% - Accent4 3 2 2 3 10" xfId="18712" xr:uid="{D66027B7-4094-44D6-B7AD-FA202C71E691}"/>
    <cellStyle name="20% - Accent4 3 2 2 3 11" xfId="20602" xr:uid="{BF14A53F-44C1-4EF5-AD7D-248090F58A12}"/>
    <cellStyle name="20% - Accent4 3 2 2 3 12" xfId="22492" xr:uid="{4D330CA4-628E-4FF2-B5C3-01112CBBF3F1}"/>
    <cellStyle name="20% - Accent4 3 2 2 3 13" xfId="24382" xr:uid="{340A0B61-C2A8-4E93-AB17-F816138A9089}"/>
    <cellStyle name="20% - Accent4 3 2 2 3 14" xfId="26272" xr:uid="{B9AB8A09-10C3-4314-8D47-0A0A83C8AF32}"/>
    <cellStyle name="20% - Accent4 3 2 2 3 15" xfId="28162" xr:uid="{C101EE82-7F87-4A9B-850C-315BA10B4693}"/>
    <cellStyle name="20% - Accent4 3 2 2 3 16" xfId="30052" xr:uid="{12316E5E-AC67-450C-B143-849D9E59D6B0}"/>
    <cellStyle name="20% - Accent4 3 2 2 3 17" xfId="31942" xr:uid="{19FF9078-A93D-42AA-854C-178CF811EBC0}"/>
    <cellStyle name="20% - Accent4 3 2 2 3 18" xfId="33832" xr:uid="{AA69AE53-DE55-4547-86C1-1F06879EA33B}"/>
    <cellStyle name="20% - Accent4 3 2 2 3 19" xfId="35722" xr:uid="{68124898-B882-4A14-9513-E3032A124C8D}"/>
    <cellStyle name="20% - Accent4 3 2 2 3 2" xfId="3592" xr:uid="{A1BDA925-EF9D-4914-8F76-5241D9CE918F}"/>
    <cellStyle name="20% - Accent4 3 2 2 3 20" xfId="37612" xr:uid="{D2A43395-935C-4427-A9CD-1CB9E79356E9}"/>
    <cellStyle name="20% - Accent4 3 2 2 3 21" xfId="39502" xr:uid="{F02E826B-C5AE-42AC-9F8B-7D5F1EF4C5FF}"/>
    <cellStyle name="20% - Accent4 3 2 2 3 22" xfId="41393" xr:uid="{D81EA500-A5F9-44B7-9552-A4996D5C6E4A}"/>
    <cellStyle name="20% - Accent4 3 2 2 3 3" xfId="5482" xr:uid="{DF1EEA76-F839-4AD9-BA79-65D1F40CE805}"/>
    <cellStyle name="20% - Accent4 3 2 2 3 4" xfId="7372" xr:uid="{3588ACAD-EC22-49F9-A2B2-7C7D3B3F6728}"/>
    <cellStyle name="20% - Accent4 3 2 2 3 5" xfId="9262" xr:uid="{957EE006-5C8A-4FA2-8CC4-C63FB40FB474}"/>
    <cellStyle name="20% - Accent4 3 2 2 3 6" xfId="11152" xr:uid="{B9C8AA94-1806-471D-BC6B-0273FC03FA01}"/>
    <cellStyle name="20% - Accent4 3 2 2 3 7" xfId="13042" xr:uid="{5D8F78C0-F8B3-42C7-86B2-E7D472CD5385}"/>
    <cellStyle name="20% - Accent4 3 2 2 3 8" xfId="14932" xr:uid="{F87710DA-8133-49CE-9C18-10421F2C907B}"/>
    <cellStyle name="20% - Accent4 3 2 2 3 9" xfId="16822" xr:uid="{71E3D8C9-6D6D-404A-BA6E-AD2B0CD75910}"/>
    <cellStyle name="20% - Accent4 3 2 2 4" xfId="2332" xr:uid="{CCDEE0F3-0AE0-4FB5-83E2-D4F9FC69667F}"/>
    <cellStyle name="20% - Accent4 3 2 2 5" xfId="4222" xr:uid="{70CB592E-91C5-49CE-B10A-6FC18BCD7585}"/>
    <cellStyle name="20% - Accent4 3 2 2 6" xfId="6112" xr:uid="{42269A21-92FF-43BC-A842-F20EB01C6A32}"/>
    <cellStyle name="20% - Accent4 3 2 2 7" xfId="8002" xr:uid="{93C8AF4E-8A7C-4316-B277-1CDB6E9BE982}"/>
    <cellStyle name="20% - Accent4 3 2 2 8" xfId="9892" xr:uid="{49FC0DD4-7218-4540-BB46-D8F0669E7CBD}"/>
    <cellStyle name="20% - Accent4 3 2 2 9" xfId="11782" xr:uid="{E60CA656-95DF-412D-B2E9-8057C5AE9977}"/>
    <cellStyle name="20% - Accent4 3 2 20" xfId="28582" xr:uid="{D728B1F4-C3A9-49FC-A79F-F2BE27E41E86}"/>
    <cellStyle name="20% - Accent4 3 2 21" xfId="30472" xr:uid="{B39C044A-FB7E-4D45-89FD-5E03564784E5}"/>
    <cellStyle name="20% - Accent4 3 2 22" xfId="32362" xr:uid="{C42035C5-B474-43AB-8A4F-097AE8681B8B}"/>
    <cellStyle name="20% - Accent4 3 2 23" xfId="34252" xr:uid="{0323C756-8AE3-4059-95C1-B76CFEF275BC}"/>
    <cellStyle name="20% - Accent4 3 2 24" xfId="36142" xr:uid="{364521C0-4896-478C-ACE2-1864E3673E18}"/>
    <cellStyle name="20% - Accent4 3 2 25" xfId="38032" xr:uid="{1A7B30C5-24DF-4F4C-970E-CDC481C88DA5}"/>
    <cellStyle name="20% - Accent4 3 2 26" xfId="39923" xr:uid="{4D1A7CBC-8933-4448-8E48-521E785EC120}"/>
    <cellStyle name="20% - Accent4 3 2 3" xfId="652" xr:uid="{B9BAFF42-A66B-4626-864D-661C806BEF98}"/>
    <cellStyle name="20% - Accent4 3 2 3 10" xfId="13882" xr:uid="{40E11DCC-D436-4B68-9215-DF011742DFF2}"/>
    <cellStyle name="20% - Accent4 3 2 3 11" xfId="15772" xr:uid="{141A01F3-AB5F-4617-9A4A-EF3F8161E7B5}"/>
    <cellStyle name="20% - Accent4 3 2 3 12" xfId="17662" xr:uid="{A4AE1171-F804-41CD-AFC2-B22A533C92CC}"/>
    <cellStyle name="20% - Accent4 3 2 3 13" xfId="19552" xr:uid="{9354AE6B-9CAA-4AE9-B45E-A5C5BDFB22A3}"/>
    <cellStyle name="20% - Accent4 3 2 3 14" xfId="21442" xr:uid="{6811EF55-7E29-4886-854D-90F87A44E368}"/>
    <cellStyle name="20% - Accent4 3 2 3 15" xfId="23332" xr:uid="{A3476FAA-7016-4E04-BE18-D633CD4D527C}"/>
    <cellStyle name="20% - Accent4 3 2 3 16" xfId="25222" xr:uid="{594E9E05-937D-475F-AB2E-936898365A50}"/>
    <cellStyle name="20% - Accent4 3 2 3 17" xfId="27112" xr:uid="{2FBAE687-617B-469E-8F53-26C1A5A9962E}"/>
    <cellStyle name="20% - Accent4 3 2 3 18" xfId="29002" xr:uid="{5F43810E-647A-4C2F-A546-922AB38AD532}"/>
    <cellStyle name="20% - Accent4 3 2 3 19" xfId="30892" xr:uid="{6E41A5C0-3264-41DC-9768-9D3F5DC1759F}"/>
    <cellStyle name="20% - Accent4 3 2 3 2" xfId="1282" xr:uid="{856F6396-15A7-4003-986D-23D47A29E551}"/>
    <cellStyle name="20% - Accent4 3 2 3 2 10" xfId="18292" xr:uid="{95259B42-297D-45B0-AF2E-AB5FA84CCE50}"/>
    <cellStyle name="20% - Accent4 3 2 3 2 11" xfId="20182" xr:uid="{857D8D4E-8B29-4A49-A918-818EED42334D}"/>
    <cellStyle name="20% - Accent4 3 2 3 2 12" xfId="22072" xr:uid="{B048B3B7-6343-465C-8DC2-B46CACDA225F}"/>
    <cellStyle name="20% - Accent4 3 2 3 2 13" xfId="23962" xr:uid="{326CB69D-9531-432C-AA90-FD0936DEE80D}"/>
    <cellStyle name="20% - Accent4 3 2 3 2 14" xfId="25852" xr:uid="{47902EAB-B513-4A69-88EB-3131CB136166}"/>
    <cellStyle name="20% - Accent4 3 2 3 2 15" xfId="27742" xr:uid="{E49E5AF9-64B2-4657-8C5E-D8B648F47DB8}"/>
    <cellStyle name="20% - Accent4 3 2 3 2 16" xfId="29632" xr:uid="{EF9B1906-59BC-4B3D-B3A7-B5FC59701AAF}"/>
    <cellStyle name="20% - Accent4 3 2 3 2 17" xfId="31522" xr:uid="{55DD9257-3649-45A2-B822-EC4A53AC4427}"/>
    <cellStyle name="20% - Accent4 3 2 3 2 18" xfId="33412" xr:uid="{08043B9C-9643-4293-95B3-1F7F7E7C656A}"/>
    <cellStyle name="20% - Accent4 3 2 3 2 19" xfId="35302" xr:uid="{52AFD7F4-E633-460D-90B7-7BA922CEE99A}"/>
    <cellStyle name="20% - Accent4 3 2 3 2 2" xfId="3172" xr:uid="{26213B49-3311-45EC-9C18-E5B8D39ECC5E}"/>
    <cellStyle name="20% - Accent4 3 2 3 2 20" xfId="37192" xr:uid="{BBB8AD99-2B51-4A83-B409-467577435848}"/>
    <cellStyle name="20% - Accent4 3 2 3 2 21" xfId="39082" xr:uid="{9FD4688E-92C6-448B-959C-AD8995E2870D}"/>
    <cellStyle name="20% - Accent4 3 2 3 2 22" xfId="40973" xr:uid="{7DD32B71-38E3-4E8E-89EB-CF74DE56B368}"/>
    <cellStyle name="20% - Accent4 3 2 3 2 3" xfId="5062" xr:uid="{31038CEF-6FE9-44F0-B862-1B52EB192110}"/>
    <cellStyle name="20% - Accent4 3 2 3 2 4" xfId="6952" xr:uid="{47FA94DF-8667-457B-9D28-18B635502B1F}"/>
    <cellStyle name="20% - Accent4 3 2 3 2 5" xfId="8842" xr:uid="{725E297D-7B9E-414B-8852-AA107BF80731}"/>
    <cellStyle name="20% - Accent4 3 2 3 2 6" xfId="10732" xr:uid="{44623C36-27B4-4BB7-86F2-93E41AD79D16}"/>
    <cellStyle name="20% - Accent4 3 2 3 2 7" xfId="12622" xr:uid="{2F38CD62-C27D-4474-93D7-1C2A50097C1B}"/>
    <cellStyle name="20% - Accent4 3 2 3 2 8" xfId="14512" xr:uid="{4D02405B-187E-469F-AF02-66B05E109A50}"/>
    <cellStyle name="20% - Accent4 3 2 3 2 9" xfId="16402" xr:uid="{798A97A9-F80A-48D1-95FF-CFF4301EF6E4}"/>
    <cellStyle name="20% - Accent4 3 2 3 20" xfId="32782" xr:uid="{C17AB532-3C63-4632-92D3-49F1CCB4ADB6}"/>
    <cellStyle name="20% - Accent4 3 2 3 21" xfId="34672" xr:uid="{B4079BA9-2438-428D-88C4-0C87230F7123}"/>
    <cellStyle name="20% - Accent4 3 2 3 22" xfId="36562" xr:uid="{A5C0AAD1-05CE-42F1-94CB-23244FB75F84}"/>
    <cellStyle name="20% - Accent4 3 2 3 23" xfId="38452" xr:uid="{C40436AA-A7B6-41D1-9D00-3FB2C3B67CA4}"/>
    <cellStyle name="20% - Accent4 3 2 3 24" xfId="40343" xr:uid="{AF656EC3-961B-4082-AD63-9C30C3A825A6}"/>
    <cellStyle name="20% - Accent4 3 2 3 3" xfId="1912" xr:uid="{6A1D9770-C134-4072-8FCB-B768FD18E1BF}"/>
    <cellStyle name="20% - Accent4 3 2 3 3 10" xfId="18922" xr:uid="{5A31B3B7-36AC-4356-BE71-4E057E2BC0A2}"/>
    <cellStyle name="20% - Accent4 3 2 3 3 11" xfId="20812" xr:uid="{3399B5E7-D88F-4067-92C1-4CA31B98631A}"/>
    <cellStyle name="20% - Accent4 3 2 3 3 12" xfId="22702" xr:uid="{F2572D9D-1E6A-4F7B-A351-7E7C4D658532}"/>
    <cellStyle name="20% - Accent4 3 2 3 3 13" xfId="24592" xr:uid="{E53183C7-5AFE-4884-BECF-0FD5316DB75A}"/>
    <cellStyle name="20% - Accent4 3 2 3 3 14" xfId="26482" xr:uid="{BC112A3C-9F25-466B-859F-EBA2DDCB2AA4}"/>
    <cellStyle name="20% - Accent4 3 2 3 3 15" xfId="28372" xr:uid="{17BED771-EF96-4FFD-B05E-7E914106BE9A}"/>
    <cellStyle name="20% - Accent4 3 2 3 3 16" xfId="30262" xr:uid="{F95B98E2-84ED-425C-B9E3-9FA0B50F1241}"/>
    <cellStyle name="20% - Accent4 3 2 3 3 17" xfId="32152" xr:uid="{E8EC489F-1C16-4C27-BD33-A9A06F3625F4}"/>
    <cellStyle name="20% - Accent4 3 2 3 3 18" xfId="34042" xr:uid="{432995DD-3A6F-4D7E-811F-2ADBD962CC3B}"/>
    <cellStyle name="20% - Accent4 3 2 3 3 19" xfId="35932" xr:uid="{6EE65576-9B7D-427A-8108-EB7D55EF1E13}"/>
    <cellStyle name="20% - Accent4 3 2 3 3 2" xfId="3802" xr:uid="{8FB4E8AD-CAA6-453A-A0A1-3744CF3412E7}"/>
    <cellStyle name="20% - Accent4 3 2 3 3 20" xfId="37822" xr:uid="{0B02CC13-57CA-401B-AA53-61FAAAC87C43}"/>
    <cellStyle name="20% - Accent4 3 2 3 3 21" xfId="39712" xr:uid="{ABF89D72-5C56-40BA-97DF-130FA92301C9}"/>
    <cellStyle name="20% - Accent4 3 2 3 3 22" xfId="41603" xr:uid="{0F7FA35F-E866-4FAD-8FCA-9C6E7085094A}"/>
    <cellStyle name="20% - Accent4 3 2 3 3 3" xfId="5692" xr:uid="{23856673-ECBE-415B-83D6-A1FD40F2F20D}"/>
    <cellStyle name="20% - Accent4 3 2 3 3 4" xfId="7582" xr:uid="{987B303D-CEBE-4756-ABE2-8A35752DD4BE}"/>
    <cellStyle name="20% - Accent4 3 2 3 3 5" xfId="9472" xr:uid="{28F3C7F3-FA5F-4B78-B8B6-FE5A2CE4EBB2}"/>
    <cellStyle name="20% - Accent4 3 2 3 3 6" xfId="11362" xr:uid="{A68B4CDF-4664-4918-AD7E-89CB5BF3B353}"/>
    <cellStyle name="20% - Accent4 3 2 3 3 7" xfId="13252" xr:uid="{2D89341F-D221-49FB-B25B-460C39808976}"/>
    <cellStyle name="20% - Accent4 3 2 3 3 8" xfId="15142" xr:uid="{C76D1F65-2C99-4F84-89C1-25BC0C4CBF27}"/>
    <cellStyle name="20% - Accent4 3 2 3 3 9" xfId="17032" xr:uid="{9F50068D-72F2-40E5-A87F-EBDC60CF9484}"/>
    <cellStyle name="20% - Accent4 3 2 3 4" xfId="2542" xr:uid="{62468AFE-03E9-4B62-B48F-80A602A53C07}"/>
    <cellStyle name="20% - Accent4 3 2 3 5" xfId="4432" xr:uid="{4FB94315-DE19-4746-B7F4-A222ADB24228}"/>
    <cellStyle name="20% - Accent4 3 2 3 6" xfId="6322" xr:uid="{73F77C24-8B71-4B07-A066-DE0DC8151D19}"/>
    <cellStyle name="20% - Accent4 3 2 3 7" xfId="8212" xr:uid="{BDA3ECEF-C985-4CB8-A4A5-0EE9E6E97C72}"/>
    <cellStyle name="20% - Accent4 3 2 3 8" xfId="10102" xr:uid="{885C6258-7CFC-4DF3-89ED-700696873DF3}"/>
    <cellStyle name="20% - Accent4 3 2 3 9" xfId="11992" xr:uid="{AFAAFDA7-4D7A-41D8-B9F8-7F91916354ED}"/>
    <cellStyle name="20% - Accent4 3 2 4" xfId="862" xr:uid="{DB94748F-5044-4D6E-8414-C6B9B56C5738}"/>
    <cellStyle name="20% - Accent4 3 2 4 10" xfId="17872" xr:uid="{5ECB6374-1685-4ACA-9F76-BAF82A02486D}"/>
    <cellStyle name="20% - Accent4 3 2 4 11" xfId="19762" xr:uid="{3B8EA253-9008-4B4A-B16B-7F10A705800A}"/>
    <cellStyle name="20% - Accent4 3 2 4 12" xfId="21652" xr:uid="{C4FC5610-BE43-4428-9B47-C9BA29F0EFD0}"/>
    <cellStyle name="20% - Accent4 3 2 4 13" xfId="23542" xr:uid="{E12F513B-DAC8-4E75-9297-89AC4ECF51D9}"/>
    <cellStyle name="20% - Accent4 3 2 4 14" xfId="25432" xr:uid="{6AAA4D8E-ECF2-4EB6-9021-C633AF679577}"/>
    <cellStyle name="20% - Accent4 3 2 4 15" xfId="27322" xr:uid="{BE949C1B-0525-42A6-B8A6-A6ACE4AA9742}"/>
    <cellStyle name="20% - Accent4 3 2 4 16" xfId="29212" xr:uid="{1BE5360B-0CDE-49BB-B697-BA1CDFD69C53}"/>
    <cellStyle name="20% - Accent4 3 2 4 17" xfId="31102" xr:uid="{AD69CE99-15E1-4511-892A-AB91B411EC93}"/>
    <cellStyle name="20% - Accent4 3 2 4 18" xfId="32992" xr:uid="{5FDA9EF1-53BB-4020-B38C-5E72021B7ED2}"/>
    <cellStyle name="20% - Accent4 3 2 4 19" xfId="34882" xr:uid="{91325418-AFB2-45C6-AD3E-0CC154C0EB61}"/>
    <cellStyle name="20% - Accent4 3 2 4 2" xfId="2752" xr:uid="{D2AE9FEA-C498-4957-AB05-EDA2BC921512}"/>
    <cellStyle name="20% - Accent4 3 2 4 20" xfId="36772" xr:uid="{C4878A54-62FF-4C40-A73A-6455117D26F4}"/>
    <cellStyle name="20% - Accent4 3 2 4 21" xfId="38662" xr:uid="{E4DAC981-2196-458A-B747-3EA3DE32FEAB}"/>
    <cellStyle name="20% - Accent4 3 2 4 22" xfId="40553" xr:uid="{6B4A4B51-8350-42C6-B4ED-D25A471C9392}"/>
    <cellStyle name="20% - Accent4 3 2 4 3" xfId="4642" xr:uid="{B71DC910-E5D7-4404-B7AD-F46AFEB85692}"/>
    <cellStyle name="20% - Accent4 3 2 4 4" xfId="6532" xr:uid="{39DE35DF-5C01-4257-B3B6-59E411BA36F0}"/>
    <cellStyle name="20% - Accent4 3 2 4 5" xfId="8422" xr:uid="{EF255A67-8BC1-439A-AE07-948A68EA4E05}"/>
    <cellStyle name="20% - Accent4 3 2 4 6" xfId="10312" xr:uid="{B4FBEF47-C18C-42BC-ADE2-283F4E80CED3}"/>
    <cellStyle name="20% - Accent4 3 2 4 7" xfId="12202" xr:uid="{7D3CB91D-7170-4462-8745-E96A0B3D352B}"/>
    <cellStyle name="20% - Accent4 3 2 4 8" xfId="14092" xr:uid="{296D3597-5327-4E74-A484-9BDBD7938CDE}"/>
    <cellStyle name="20% - Accent4 3 2 4 9" xfId="15982" xr:uid="{309E5708-C742-405A-B01D-326E65B7B3BF}"/>
    <cellStyle name="20% - Accent4 3 2 5" xfId="1492" xr:uid="{59CE34C6-55BE-4A99-BE0B-6CFD71645AAF}"/>
    <cellStyle name="20% - Accent4 3 2 5 10" xfId="18502" xr:uid="{5D2EB693-02EB-4412-80C3-0A80882DF281}"/>
    <cellStyle name="20% - Accent4 3 2 5 11" xfId="20392" xr:uid="{B1F23A52-C20A-4509-A906-EAC432A95983}"/>
    <cellStyle name="20% - Accent4 3 2 5 12" xfId="22282" xr:uid="{6567334F-E233-4786-BD17-C03CED923C33}"/>
    <cellStyle name="20% - Accent4 3 2 5 13" xfId="24172" xr:uid="{852B4584-897F-4FA8-BABC-1EDF409F2A37}"/>
    <cellStyle name="20% - Accent4 3 2 5 14" xfId="26062" xr:uid="{60CC0D95-3600-4EF7-984F-B0C884462E61}"/>
    <cellStyle name="20% - Accent4 3 2 5 15" xfId="27952" xr:uid="{F2FF7187-303C-4731-9B0B-A2218B177BFD}"/>
    <cellStyle name="20% - Accent4 3 2 5 16" xfId="29842" xr:uid="{12C78837-383E-482B-BE9E-AAE378D11920}"/>
    <cellStyle name="20% - Accent4 3 2 5 17" xfId="31732" xr:uid="{6587D365-F055-42BF-9A6D-B7F89B0A1F3C}"/>
    <cellStyle name="20% - Accent4 3 2 5 18" xfId="33622" xr:uid="{7D09953B-A7DF-4B4A-89A4-32DE7C0E425D}"/>
    <cellStyle name="20% - Accent4 3 2 5 19" xfId="35512" xr:uid="{587D564D-6E1E-42CB-A69B-52FB46925BEE}"/>
    <cellStyle name="20% - Accent4 3 2 5 2" xfId="3382" xr:uid="{6FBDE42A-1DC5-47B2-9756-EAD702B46371}"/>
    <cellStyle name="20% - Accent4 3 2 5 20" xfId="37402" xr:uid="{0C878C36-4CB1-44D4-9A05-E4F3A40D0A97}"/>
    <cellStyle name="20% - Accent4 3 2 5 21" xfId="39292" xr:uid="{3F51795D-7E45-407B-99FA-DA7BFDCF0590}"/>
    <cellStyle name="20% - Accent4 3 2 5 22" xfId="41183" xr:uid="{2E002024-997B-4AE9-B1BD-6E0DF3887756}"/>
    <cellStyle name="20% - Accent4 3 2 5 3" xfId="5272" xr:uid="{88090984-D216-4E28-BFCE-B0C4B3A0ECDB}"/>
    <cellStyle name="20% - Accent4 3 2 5 4" xfId="7162" xr:uid="{7AC54E1A-5BED-4CC8-9511-C5EE0C072A0B}"/>
    <cellStyle name="20% - Accent4 3 2 5 5" xfId="9052" xr:uid="{0090D7CF-91A9-4C68-9980-499CFD77EDB2}"/>
    <cellStyle name="20% - Accent4 3 2 5 6" xfId="10942" xr:uid="{E88268B9-EC08-41A1-B5C1-5C3CEB02B563}"/>
    <cellStyle name="20% - Accent4 3 2 5 7" xfId="12832" xr:uid="{B9204F65-BA7B-4C2E-AF5E-1BF9DEAAF7AC}"/>
    <cellStyle name="20% - Accent4 3 2 5 8" xfId="14722" xr:uid="{14516943-5BE5-4756-B519-C3F994662862}"/>
    <cellStyle name="20% - Accent4 3 2 5 9" xfId="16612" xr:uid="{351B71FC-C808-4BE2-8100-5D777E37746D}"/>
    <cellStyle name="20% - Accent4 3 2 6" xfId="2122" xr:uid="{988819B6-E383-47D9-95A8-EBB14AAEA507}"/>
    <cellStyle name="20% - Accent4 3 2 7" xfId="4012" xr:uid="{A28CE88F-A1FF-4B7F-9045-5D097287DF92}"/>
    <cellStyle name="20% - Accent4 3 2 8" xfId="5902" xr:uid="{EF3FF1FC-1A29-4BA3-9552-833F12BB628F}"/>
    <cellStyle name="20% - Accent4 3 2 9" xfId="7792" xr:uid="{58737F40-18F6-4C10-A669-55D15A169F3C}"/>
    <cellStyle name="20% - Accent4 3 20" xfId="26587" xr:uid="{5B174E4D-E544-4064-BE6E-56DF7E814FA8}"/>
    <cellStyle name="20% - Accent4 3 21" xfId="28477" xr:uid="{F318A57C-8FD8-4C8B-A092-A438C653B267}"/>
    <cellStyle name="20% - Accent4 3 22" xfId="30367" xr:uid="{2EC1ED0D-1B6C-4C6C-9414-16AB5726B59D}"/>
    <cellStyle name="20% - Accent4 3 23" xfId="32257" xr:uid="{2873A4BF-1035-40D1-AFE4-ACECBD99EE8C}"/>
    <cellStyle name="20% - Accent4 3 24" xfId="34147" xr:uid="{EFEBCAD5-E3D2-4A49-BEBB-8783AB4B4674}"/>
    <cellStyle name="20% - Accent4 3 25" xfId="36037" xr:uid="{C2F63CBA-15C4-4EF4-BB53-87E702370C72}"/>
    <cellStyle name="20% - Accent4 3 26" xfId="37927" xr:uid="{BF3DBB03-56DA-4E37-ADA8-C83EDDBCF645}"/>
    <cellStyle name="20% - Accent4 3 27" xfId="39818" xr:uid="{CD212601-A52B-4EA2-B9DD-4AD5822832AF}"/>
    <cellStyle name="20% - Accent4 3 3" xfId="337" xr:uid="{69AFE86A-CEDC-4749-A009-9CD599F4C1B4}"/>
    <cellStyle name="20% - Accent4 3 3 10" xfId="13567" xr:uid="{1B142744-FAD2-4C23-BD30-454DA44F7134}"/>
    <cellStyle name="20% - Accent4 3 3 11" xfId="15457" xr:uid="{54EF45A1-332D-4384-A696-EF966D5719CD}"/>
    <cellStyle name="20% - Accent4 3 3 12" xfId="17347" xr:uid="{1AAB2320-41AF-4627-B57E-334A8A533E1F}"/>
    <cellStyle name="20% - Accent4 3 3 13" xfId="19237" xr:uid="{C1BF9A20-DB73-4302-846E-FD75FDFCACAE}"/>
    <cellStyle name="20% - Accent4 3 3 14" xfId="21127" xr:uid="{5306877E-1AD6-4EA7-8FDB-63AFF65445F6}"/>
    <cellStyle name="20% - Accent4 3 3 15" xfId="23017" xr:uid="{9B42C230-DED4-4065-A3E5-6F9D42042F21}"/>
    <cellStyle name="20% - Accent4 3 3 16" xfId="24907" xr:uid="{7A08137F-D257-43B6-BB89-93D325FE9586}"/>
    <cellStyle name="20% - Accent4 3 3 17" xfId="26797" xr:uid="{FEB6B6EE-645F-40BC-A947-645334FAABFD}"/>
    <cellStyle name="20% - Accent4 3 3 18" xfId="28687" xr:uid="{8BF7F89F-0D1D-429F-B8FD-DE5155B2E15B}"/>
    <cellStyle name="20% - Accent4 3 3 19" xfId="30577" xr:uid="{946330BC-3DB5-4BC4-85D9-E3AE0184E2CF}"/>
    <cellStyle name="20% - Accent4 3 3 2" xfId="967" xr:uid="{AF30A87D-D3F8-427F-B78C-5557AB101454}"/>
    <cellStyle name="20% - Accent4 3 3 2 10" xfId="17977" xr:uid="{0FEEEB48-292D-4F4F-91BA-4C88E5377D13}"/>
    <cellStyle name="20% - Accent4 3 3 2 11" xfId="19867" xr:uid="{6C93F1C9-BB3C-48DC-BAA4-3FC78F791F2D}"/>
    <cellStyle name="20% - Accent4 3 3 2 12" xfId="21757" xr:uid="{9F55E9BB-92A3-4B72-981B-49C5AD7F9D9A}"/>
    <cellStyle name="20% - Accent4 3 3 2 13" xfId="23647" xr:uid="{08F737A5-CE32-4AD1-A311-74416E5C6763}"/>
    <cellStyle name="20% - Accent4 3 3 2 14" xfId="25537" xr:uid="{6BDED0BD-6CA1-4045-AA67-130344B7DA24}"/>
    <cellStyle name="20% - Accent4 3 3 2 15" xfId="27427" xr:uid="{03376FC0-9882-4600-B7A8-193235A47BFC}"/>
    <cellStyle name="20% - Accent4 3 3 2 16" xfId="29317" xr:uid="{3DEBA2DB-FD3F-4F06-BFBA-41BE96693B42}"/>
    <cellStyle name="20% - Accent4 3 3 2 17" xfId="31207" xr:uid="{A8C1E39D-39D3-4C73-B939-FACFA37F927B}"/>
    <cellStyle name="20% - Accent4 3 3 2 18" xfId="33097" xr:uid="{3F8CCCEC-6C9F-485C-A8AC-71538F04C2B7}"/>
    <cellStyle name="20% - Accent4 3 3 2 19" xfId="34987" xr:uid="{9312D0F2-1B95-47F8-AC48-46C1111C9178}"/>
    <cellStyle name="20% - Accent4 3 3 2 2" xfId="2857" xr:uid="{90A22C76-281C-4C65-9079-EBD116882C18}"/>
    <cellStyle name="20% - Accent4 3 3 2 20" xfId="36877" xr:uid="{2BB9447D-2BA1-4D9D-97EE-74CBE3A4DDAC}"/>
    <cellStyle name="20% - Accent4 3 3 2 21" xfId="38767" xr:uid="{15E111D0-40DD-4F0D-B74A-26690B616CDF}"/>
    <cellStyle name="20% - Accent4 3 3 2 22" xfId="40658" xr:uid="{C47A4A65-1C54-4AC3-A8A4-672E567ED616}"/>
    <cellStyle name="20% - Accent4 3 3 2 3" xfId="4747" xr:uid="{936E3D6F-C3DA-42DC-A399-19DECF13A8B1}"/>
    <cellStyle name="20% - Accent4 3 3 2 4" xfId="6637" xr:uid="{B65F771F-98A1-484D-B6F6-ABD8A1790A1D}"/>
    <cellStyle name="20% - Accent4 3 3 2 5" xfId="8527" xr:uid="{8063F11C-BDFF-46D3-ACA9-0808D95EFD12}"/>
    <cellStyle name="20% - Accent4 3 3 2 6" xfId="10417" xr:uid="{36C3F552-A50B-4C96-AD6A-C4E58D28C7FC}"/>
    <cellStyle name="20% - Accent4 3 3 2 7" xfId="12307" xr:uid="{9AD979A8-85A8-43E0-B673-3D7635C17374}"/>
    <cellStyle name="20% - Accent4 3 3 2 8" xfId="14197" xr:uid="{C22E466D-06E4-4802-98F2-362A33F5ADAC}"/>
    <cellStyle name="20% - Accent4 3 3 2 9" xfId="16087" xr:uid="{4AFDEC33-3469-4363-AA6B-F32009C8FF47}"/>
    <cellStyle name="20% - Accent4 3 3 20" xfId="32467" xr:uid="{FB43C410-7C33-4D2F-A55C-2B336BAE8B12}"/>
    <cellStyle name="20% - Accent4 3 3 21" xfId="34357" xr:uid="{DD083125-2155-4D62-B92C-91D9FDEBC272}"/>
    <cellStyle name="20% - Accent4 3 3 22" xfId="36247" xr:uid="{38402910-D611-4B49-BA4C-5DFCD096CB39}"/>
    <cellStyle name="20% - Accent4 3 3 23" xfId="38137" xr:uid="{48F54A20-9214-4DF5-AE63-FE3594DFB68D}"/>
    <cellStyle name="20% - Accent4 3 3 24" xfId="40028" xr:uid="{D8030AF7-A151-4D7E-A242-7DE0D6CF4061}"/>
    <cellStyle name="20% - Accent4 3 3 3" xfId="1597" xr:uid="{FE9D4E6E-2017-4322-85A9-44149CB47BBD}"/>
    <cellStyle name="20% - Accent4 3 3 3 10" xfId="18607" xr:uid="{B8AD32B8-FBCB-4380-A419-C5D53420E9ED}"/>
    <cellStyle name="20% - Accent4 3 3 3 11" xfId="20497" xr:uid="{C160F366-1A65-4A26-87E8-12E2C97BD9FC}"/>
    <cellStyle name="20% - Accent4 3 3 3 12" xfId="22387" xr:uid="{1ACEFB65-EF3C-489D-9CE0-50C49A1E7727}"/>
    <cellStyle name="20% - Accent4 3 3 3 13" xfId="24277" xr:uid="{167A8C36-EEB2-4FEE-8973-D172DB628742}"/>
    <cellStyle name="20% - Accent4 3 3 3 14" xfId="26167" xr:uid="{35DA4EE1-F788-43D6-8345-871562B2A9DC}"/>
    <cellStyle name="20% - Accent4 3 3 3 15" xfId="28057" xr:uid="{3D8F913B-2799-4BF3-A4D6-9AC6135E5C5C}"/>
    <cellStyle name="20% - Accent4 3 3 3 16" xfId="29947" xr:uid="{050BD8AC-EEFB-4980-9007-1AAA084149AA}"/>
    <cellStyle name="20% - Accent4 3 3 3 17" xfId="31837" xr:uid="{3743D27C-BB1B-4CA7-A037-EF8039795530}"/>
    <cellStyle name="20% - Accent4 3 3 3 18" xfId="33727" xr:uid="{86049E34-B2F4-408C-BD2E-CD525C751C62}"/>
    <cellStyle name="20% - Accent4 3 3 3 19" xfId="35617" xr:uid="{FE4B1B7F-5D95-49AD-A268-3E4568FC436F}"/>
    <cellStyle name="20% - Accent4 3 3 3 2" xfId="3487" xr:uid="{31882D3E-5CFF-4B79-AC99-EE05A27D5DB6}"/>
    <cellStyle name="20% - Accent4 3 3 3 20" xfId="37507" xr:uid="{2B1B2F86-6047-4C2E-8D88-3B52115CC67A}"/>
    <cellStyle name="20% - Accent4 3 3 3 21" xfId="39397" xr:uid="{BB148F41-61FB-4A3D-BFE7-D2C537EAB3FA}"/>
    <cellStyle name="20% - Accent4 3 3 3 22" xfId="41288" xr:uid="{959AD00E-23F2-4DFB-9629-1CBD9EAA47FB}"/>
    <cellStyle name="20% - Accent4 3 3 3 3" xfId="5377" xr:uid="{A3DAB6BE-73C6-49E5-B887-05F769DBEC39}"/>
    <cellStyle name="20% - Accent4 3 3 3 4" xfId="7267" xr:uid="{4B0EF785-225C-4F6B-9565-BE75D9DD9786}"/>
    <cellStyle name="20% - Accent4 3 3 3 5" xfId="9157" xr:uid="{6FF2B356-D630-4D39-A3A6-9224DE991370}"/>
    <cellStyle name="20% - Accent4 3 3 3 6" xfId="11047" xr:uid="{77F6AAAC-38B6-480B-A34A-2CA19E7E4A25}"/>
    <cellStyle name="20% - Accent4 3 3 3 7" xfId="12937" xr:uid="{65F25993-74DD-4A32-A6A4-6A4D839C7BD9}"/>
    <cellStyle name="20% - Accent4 3 3 3 8" xfId="14827" xr:uid="{92D8D2E5-859B-46CD-A526-241D27D9731B}"/>
    <cellStyle name="20% - Accent4 3 3 3 9" xfId="16717" xr:uid="{292A7931-313C-454B-B50C-178D8A287FD4}"/>
    <cellStyle name="20% - Accent4 3 3 4" xfId="2227" xr:uid="{872AF928-74AF-45F3-A1CF-4705F331A696}"/>
    <cellStyle name="20% - Accent4 3 3 5" xfId="4117" xr:uid="{730F07A5-80DF-40E5-B48A-83328A237FD7}"/>
    <cellStyle name="20% - Accent4 3 3 6" xfId="6007" xr:uid="{00A31D6B-622A-4C5B-9F4B-F16EBF21A31C}"/>
    <cellStyle name="20% - Accent4 3 3 7" xfId="7897" xr:uid="{9DE4C04B-AC8E-4EF0-AF94-35981A94E24D}"/>
    <cellStyle name="20% - Accent4 3 3 8" xfId="9787" xr:uid="{217BBE5C-200F-4A4F-B4D9-4DCBD93D5D52}"/>
    <cellStyle name="20% - Accent4 3 3 9" xfId="11677" xr:uid="{72F4B8E5-185F-49AD-B02D-9B74CC198582}"/>
    <cellStyle name="20% - Accent4 3 4" xfId="547" xr:uid="{0C66E271-3985-452C-BA3A-2097326F3935}"/>
    <cellStyle name="20% - Accent4 3 4 10" xfId="13777" xr:uid="{01116C5E-4A1B-44FB-91B8-BE901B2DDCF8}"/>
    <cellStyle name="20% - Accent4 3 4 11" xfId="15667" xr:uid="{935A100A-07DE-480E-A842-5C0B87F8B5C4}"/>
    <cellStyle name="20% - Accent4 3 4 12" xfId="17557" xr:uid="{7353B97A-438C-43F4-A45B-1485C4D19E99}"/>
    <cellStyle name="20% - Accent4 3 4 13" xfId="19447" xr:uid="{87C2A4A8-0F1D-41D3-970E-50E6BE6B42B7}"/>
    <cellStyle name="20% - Accent4 3 4 14" xfId="21337" xr:uid="{3B97786C-D122-43EE-8A67-7CBDD560EC73}"/>
    <cellStyle name="20% - Accent4 3 4 15" xfId="23227" xr:uid="{2AAB3238-99C1-4124-9B11-AFE903FCF940}"/>
    <cellStyle name="20% - Accent4 3 4 16" xfId="25117" xr:uid="{DA275CE7-2C9E-471F-8565-2BBA61D3A74E}"/>
    <cellStyle name="20% - Accent4 3 4 17" xfId="27007" xr:uid="{6476E1FD-58AA-4F3B-8CE9-37B132B4349C}"/>
    <cellStyle name="20% - Accent4 3 4 18" xfId="28897" xr:uid="{26F013C0-54C5-4EAA-8B0E-B86C7BDF2853}"/>
    <cellStyle name="20% - Accent4 3 4 19" xfId="30787" xr:uid="{ADFADAF8-3D9F-4099-BA5B-7BAA66E85C04}"/>
    <cellStyle name="20% - Accent4 3 4 2" xfId="1177" xr:uid="{42C29FE4-8E07-45A0-9CAF-4BD29748D0CE}"/>
    <cellStyle name="20% - Accent4 3 4 2 10" xfId="18187" xr:uid="{4A607086-FF07-4A3E-B707-FDCAD54EBA35}"/>
    <cellStyle name="20% - Accent4 3 4 2 11" xfId="20077" xr:uid="{DDEFC08E-B204-4554-B4C9-37138BBDD01E}"/>
    <cellStyle name="20% - Accent4 3 4 2 12" xfId="21967" xr:uid="{B174CF7A-1762-48AC-B56A-80B6E5AB129E}"/>
    <cellStyle name="20% - Accent4 3 4 2 13" xfId="23857" xr:uid="{4E9FEA7D-A38A-4D0A-8208-7AB6991696DF}"/>
    <cellStyle name="20% - Accent4 3 4 2 14" xfId="25747" xr:uid="{575657FE-E7C2-4939-8403-2A13863AAEDE}"/>
    <cellStyle name="20% - Accent4 3 4 2 15" xfId="27637" xr:uid="{8195B3BE-1888-4F93-9A24-ADFDA1A05EF6}"/>
    <cellStyle name="20% - Accent4 3 4 2 16" xfId="29527" xr:uid="{24765D20-D71A-445B-9BD4-9907100A1B02}"/>
    <cellStyle name="20% - Accent4 3 4 2 17" xfId="31417" xr:uid="{1BB3CE51-F18A-4F5D-B07F-1661891205B4}"/>
    <cellStyle name="20% - Accent4 3 4 2 18" xfId="33307" xr:uid="{ACB693F3-719B-4F7E-B4C0-422364915EE2}"/>
    <cellStyle name="20% - Accent4 3 4 2 19" xfId="35197" xr:uid="{53E5462E-CF2C-4189-BDBC-D1AC2A447A2C}"/>
    <cellStyle name="20% - Accent4 3 4 2 2" xfId="3067" xr:uid="{1441D039-88F7-4493-A363-092576CC003F}"/>
    <cellStyle name="20% - Accent4 3 4 2 20" xfId="37087" xr:uid="{3289C6A5-4F21-4EC7-AA80-F587418219A4}"/>
    <cellStyle name="20% - Accent4 3 4 2 21" xfId="38977" xr:uid="{B57D8FAC-86AB-4A3D-8AF1-824A664861C9}"/>
    <cellStyle name="20% - Accent4 3 4 2 22" xfId="40868" xr:uid="{CFFA7D0B-5557-4390-9434-75B5C46CA994}"/>
    <cellStyle name="20% - Accent4 3 4 2 3" xfId="4957" xr:uid="{D5D26A6A-9E04-4906-8F4E-32778AF201C0}"/>
    <cellStyle name="20% - Accent4 3 4 2 4" xfId="6847" xr:uid="{4F2358A1-9CD0-4BF3-B72C-08574A27F0D7}"/>
    <cellStyle name="20% - Accent4 3 4 2 5" xfId="8737" xr:uid="{8023F7D2-24E1-4AE0-A318-DE3B026F7F8C}"/>
    <cellStyle name="20% - Accent4 3 4 2 6" xfId="10627" xr:uid="{AD948C10-E709-4C25-B323-24FEB24F3CFE}"/>
    <cellStyle name="20% - Accent4 3 4 2 7" xfId="12517" xr:uid="{A9A190C4-01DF-433F-8B62-29BE1657DEF1}"/>
    <cellStyle name="20% - Accent4 3 4 2 8" xfId="14407" xr:uid="{4C32C838-9BF5-47BD-9B22-C8BE2DB1A9A1}"/>
    <cellStyle name="20% - Accent4 3 4 2 9" xfId="16297" xr:uid="{C9653A3A-D563-463B-B3AD-99098F999165}"/>
    <cellStyle name="20% - Accent4 3 4 20" xfId="32677" xr:uid="{19A03543-6D3A-4ADB-8491-F2D12221BB9D}"/>
    <cellStyle name="20% - Accent4 3 4 21" xfId="34567" xr:uid="{F230EB50-5D27-4564-A06E-1CF39B14AF69}"/>
    <cellStyle name="20% - Accent4 3 4 22" xfId="36457" xr:uid="{698E65E3-05AA-429A-97DB-2D81062BDB10}"/>
    <cellStyle name="20% - Accent4 3 4 23" xfId="38347" xr:uid="{AF359DBE-C17D-424C-BD63-B3154E70A080}"/>
    <cellStyle name="20% - Accent4 3 4 24" xfId="40238" xr:uid="{29EBC9C7-E340-45CE-AB12-A7F192DD495C}"/>
    <cellStyle name="20% - Accent4 3 4 3" xfId="1807" xr:uid="{61D75DB2-B373-4CDC-979C-603DDD9B4B57}"/>
    <cellStyle name="20% - Accent4 3 4 3 10" xfId="18817" xr:uid="{C02DF222-AF3C-42E0-8C82-6AA2534107AF}"/>
    <cellStyle name="20% - Accent4 3 4 3 11" xfId="20707" xr:uid="{F091728D-6CEA-4BF3-9DAD-E0CDEFB613EC}"/>
    <cellStyle name="20% - Accent4 3 4 3 12" xfId="22597" xr:uid="{F4D8A8C4-0E60-43D8-8FB8-57486F044C9A}"/>
    <cellStyle name="20% - Accent4 3 4 3 13" xfId="24487" xr:uid="{9E0DA5F4-77B1-44E6-8A7C-3A94ADEFF79B}"/>
    <cellStyle name="20% - Accent4 3 4 3 14" xfId="26377" xr:uid="{08846E7F-879C-4C83-BC56-3D5DFFB39B85}"/>
    <cellStyle name="20% - Accent4 3 4 3 15" xfId="28267" xr:uid="{ED7E5175-5B19-4553-AF4C-B2C2C0693B40}"/>
    <cellStyle name="20% - Accent4 3 4 3 16" xfId="30157" xr:uid="{076C0D37-C828-4AE4-9F74-1697E3B89AC4}"/>
    <cellStyle name="20% - Accent4 3 4 3 17" xfId="32047" xr:uid="{19AFD400-6398-45D9-87A6-E9697E34F54D}"/>
    <cellStyle name="20% - Accent4 3 4 3 18" xfId="33937" xr:uid="{02F6D606-36F8-40C8-BDFD-FFE7DE7D7159}"/>
    <cellStyle name="20% - Accent4 3 4 3 19" xfId="35827" xr:uid="{F00A60B2-CA56-4C54-A0AD-88E0FC86EDA8}"/>
    <cellStyle name="20% - Accent4 3 4 3 2" xfId="3697" xr:uid="{1FD83F40-9A42-4F71-B141-D7F5C594EAB5}"/>
    <cellStyle name="20% - Accent4 3 4 3 20" xfId="37717" xr:uid="{3FA89BBB-CCC1-4FA2-A6C8-1D5CE4566D2B}"/>
    <cellStyle name="20% - Accent4 3 4 3 21" xfId="39607" xr:uid="{79F19BDD-4F8D-4BFF-B1B4-03EF2C2DDDF4}"/>
    <cellStyle name="20% - Accent4 3 4 3 22" xfId="41498" xr:uid="{D90C50E2-72B9-4916-912E-4A64CEAF00EA}"/>
    <cellStyle name="20% - Accent4 3 4 3 3" xfId="5587" xr:uid="{AC50E608-76B9-43BB-AC5F-4DB593517B63}"/>
    <cellStyle name="20% - Accent4 3 4 3 4" xfId="7477" xr:uid="{C9255D26-32E7-4102-96B1-148A4BEEA5EC}"/>
    <cellStyle name="20% - Accent4 3 4 3 5" xfId="9367" xr:uid="{5253BC62-236A-44E1-A9BC-0FF782A16887}"/>
    <cellStyle name="20% - Accent4 3 4 3 6" xfId="11257" xr:uid="{7AA99157-882A-4857-A83A-73511CBF88DE}"/>
    <cellStyle name="20% - Accent4 3 4 3 7" xfId="13147" xr:uid="{E75D8895-E81A-43B7-8921-67E0499ED10C}"/>
    <cellStyle name="20% - Accent4 3 4 3 8" xfId="15037" xr:uid="{21CD3CAB-57CF-42E6-A6B2-43D82281E533}"/>
    <cellStyle name="20% - Accent4 3 4 3 9" xfId="16927" xr:uid="{1A30525E-14F1-4265-B4BF-113DCACF3413}"/>
    <cellStyle name="20% - Accent4 3 4 4" xfId="2437" xr:uid="{70CFF497-F17F-41BE-A82D-D2AA80D174C5}"/>
    <cellStyle name="20% - Accent4 3 4 5" xfId="4327" xr:uid="{0246C825-D60A-4529-AB01-6478CA79DC80}"/>
    <cellStyle name="20% - Accent4 3 4 6" xfId="6217" xr:uid="{49242286-F974-435A-A9E8-415EE3ACF850}"/>
    <cellStyle name="20% - Accent4 3 4 7" xfId="8107" xr:uid="{98B67BFB-AE41-4E39-B9CD-F4FE1BC5C8BF}"/>
    <cellStyle name="20% - Accent4 3 4 8" xfId="9997" xr:uid="{07DAF73C-65DA-4A1D-87B0-85C26D502F48}"/>
    <cellStyle name="20% - Accent4 3 4 9" xfId="11887" xr:uid="{DBBEC029-DC73-484A-A613-C76D67C92B14}"/>
    <cellStyle name="20% - Accent4 3 5" xfId="757" xr:uid="{14738182-3DD4-4064-BEE6-EB75FB5BA9EB}"/>
    <cellStyle name="20% - Accent4 3 5 10" xfId="17767" xr:uid="{237786CB-666A-4ABD-8C19-2C8FF6E22F77}"/>
    <cellStyle name="20% - Accent4 3 5 11" xfId="19657" xr:uid="{B13452FD-BEFC-4621-9366-99FFA1F55B8D}"/>
    <cellStyle name="20% - Accent4 3 5 12" xfId="21547" xr:uid="{60F017A0-52C9-46E2-ABE3-F3F7835BBDA9}"/>
    <cellStyle name="20% - Accent4 3 5 13" xfId="23437" xr:uid="{171E5E7C-9EC9-4268-87E9-45B49691EDA2}"/>
    <cellStyle name="20% - Accent4 3 5 14" xfId="25327" xr:uid="{76CE2A22-49FA-42D7-A138-2F20298140A5}"/>
    <cellStyle name="20% - Accent4 3 5 15" xfId="27217" xr:uid="{F1F5BFF8-3EEC-4BFC-9D44-C4AA571D882A}"/>
    <cellStyle name="20% - Accent4 3 5 16" xfId="29107" xr:uid="{C73E6F1B-205D-4435-ACE1-2298E1CD7028}"/>
    <cellStyle name="20% - Accent4 3 5 17" xfId="30997" xr:uid="{26BB4A42-6141-4702-A5BD-CFF9E07D7AB6}"/>
    <cellStyle name="20% - Accent4 3 5 18" xfId="32887" xr:uid="{20B97073-DA00-4CBC-AB22-6D514266A941}"/>
    <cellStyle name="20% - Accent4 3 5 19" xfId="34777" xr:uid="{2778625A-2379-47D9-9EA2-152B9B40B472}"/>
    <cellStyle name="20% - Accent4 3 5 2" xfId="2647" xr:uid="{5A066AB5-22DF-400B-B9D2-86CECE7B9BC0}"/>
    <cellStyle name="20% - Accent4 3 5 20" xfId="36667" xr:uid="{98BAA257-7F10-4AAF-9080-E950999EEDE8}"/>
    <cellStyle name="20% - Accent4 3 5 21" xfId="38557" xr:uid="{295790C0-35C8-48B4-A471-31D223007D2E}"/>
    <cellStyle name="20% - Accent4 3 5 22" xfId="40448" xr:uid="{988C8F5B-8DB0-4AB5-9097-25FBA165E4EC}"/>
    <cellStyle name="20% - Accent4 3 5 3" xfId="4537" xr:uid="{535C428E-1310-4D8F-9E9F-D1E048FBE0E7}"/>
    <cellStyle name="20% - Accent4 3 5 4" xfId="6427" xr:uid="{78524777-6793-41E6-8C3C-D0CD6C7CEF45}"/>
    <cellStyle name="20% - Accent4 3 5 5" xfId="8317" xr:uid="{D8839A67-C322-47A5-92AA-16DBFBB9AAB6}"/>
    <cellStyle name="20% - Accent4 3 5 6" xfId="10207" xr:uid="{88F60A77-177C-4B48-BEE6-07C306B2AEA2}"/>
    <cellStyle name="20% - Accent4 3 5 7" xfId="12097" xr:uid="{C48A971A-2263-4489-B2E2-4C72540ED70E}"/>
    <cellStyle name="20% - Accent4 3 5 8" xfId="13987" xr:uid="{CC47E8E8-0E8D-48E6-960C-420816309530}"/>
    <cellStyle name="20% - Accent4 3 5 9" xfId="15877" xr:uid="{EF7FE287-F983-4468-AF65-A2F90D362347}"/>
    <cellStyle name="20% - Accent4 3 6" xfId="1387" xr:uid="{24DC51E6-24B6-48A4-B1B3-9BA47AB14918}"/>
    <cellStyle name="20% - Accent4 3 6 10" xfId="18397" xr:uid="{AC4C36C2-5E2A-46BA-B466-AB7A9C3C47FA}"/>
    <cellStyle name="20% - Accent4 3 6 11" xfId="20287" xr:uid="{F2C9FF06-1FE6-4C24-8553-6A404A387B74}"/>
    <cellStyle name="20% - Accent4 3 6 12" xfId="22177" xr:uid="{62CE6183-E240-4740-825E-2E5C163FD363}"/>
    <cellStyle name="20% - Accent4 3 6 13" xfId="24067" xr:uid="{ECADCE63-FA18-4BE3-9C0E-FBFC1B85B0B5}"/>
    <cellStyle name="20% - Accent4 3 6 14" xfId="25957" xr:uid="{91D51D05-DCF8-4513-B84B-54D659FEAD56}"/>
    <cellStyle name="20% - Accent4 3 6 15" xfId="27847" xr:uid="{013A8D72-F221-4088-935D-90D16EB72302}"/>
    <cellStyle name="20% - Accent4 3 6 16" xfId="29737" xr:uid="{58BCFBC2-13EE-4E3B-8380-ECCE0D5E8425}"/>
    <cellStyle name="20% - Accent4 3 6 17" xfId="31627" xr:uid="{3806430F-A248-496A-AC22-9015630B9645}"/>
    <cellStyle name="20% - Accent4 3 6 18" xfId="33517" xr:uid="{4E00DBD1-7654-4BE4-AB24-FFFE02356644}"/>
    <cellStyle name="20% - Accent4 3 6 19" xfId="35407" xr:uid="{41C2AA30-D511-44AC-868D-7C8F7CB1A30C}"/>
    <cellStyle name="20% - Accent4 3 6 2" xfId="3277" xr:uid="{B0EFAE61-DC41-46BB-BD74-C93923F3D35E}"/>
    <cellStyle name="20% - Accent4 3 6 20" xfId="37297" xr:uid="{87320308-3D6E-495F-BB4B-5439BADE8EBD}"/>
    <cellStyle name="20% - Accent4 3 6 21" xfId="39187" xr:uid="{7BFCF994-120F-4667-A0AE-288B6BEB1479}"/>
    <cellStyle name="20% - Accent4 3 6 22" xfId="41078" xr:uid="{6158E187-D5C9-4F94-9C3F-6F06CF16E8B3}"/>
    <cellStyle name="20% - Accent4 3 6 3" xfId="5167" xr:uid="{3F738F15-E27E-463A-8A91-1A1857D3D630}"/>
    <cellStyle name="20% - Accent4 3 6 4" xfId="7057" xr:uid="{E08A6B69-6133-430C-A289-3211F99EA6FC}"/>
    <cellStyle name="20% - Accent4 3 6 5" xfId="8947" xr:uid="{16ACC6E9-B527-4148-9C71-6C56B9378B02}"/>
    <cellStyle name="20% - Accent4 3 6 6" xfId="10837" xr:uid="{FDCAF9A4-A82E-4098-8C9A-E3D92C604669}"/>
    <cellStyle name="20% - Accent4 3 6 7" xfId="12727" xr:uid="{4C167A03-4105-4A70-B2B5-C557834E1DB8}"/>
    <cellStyle name="20% - Accent4 3 6 8" xfId="14617" xr:uid="{F2FD818D-D044-4FBD-881C-908F66D39C7B}"/>
    <cellStyle name="20% - Accent4 3 6 9" xfId="16507" xr:uid="{2A6AE941-1717-4900-83B2-E83E0C77B126}"/>
    <cellStyle name="20% - Accent4 3 7" xfId="2017" xr:uid="{B0BF5253-3AC5-4E8B-82FC-161D16688E6C}"/>
    <cellStyle name="20% - Accent4 3 8" xfId="3907" xr:uid="{8A37BD44-8E3F-453B-994E-5AA5DD503798}"/>
    <cellStyle name="20% - Accent4 3 9" xfId="5797" xr:uid="{A9486353-302D-429B-8DD1-A1E315AC77D2}"/>
    <cellStyle name="20% - Accent4 4" xfId="190" xr:uid="{5D6181A4-5F77-4130-96D5-70002070AF8C}"/>
    <cellStyle name="20% - Accent4 4 10" xfId="9640" xr:uid="{F7789684-F29F-4F11-9A96-69EDFF22F282}"/>
    <cellStyle name="20% - Accent4 4 11" xfId="11530" xr:uid="{AE67765D-4058-40C0-9CB5-C78166EF25A8}"/>
    <cellStyle name="20% - Accent4 4 12" xfId="13420" xr:uid="{688680A8-72A4-4DDD-9208-D012E099913A}"/>
    <cellStyle name="20% - Accent4 4 13" xfId="15310" xr:uid="{F655C629-039D-4F3E-A25A-1A387663013F}"/>
    <cellStyle name="20% - Accent4 4 14" xfId="17200" xr:uid="{B246A36C-2A1E-4EFB-A379-6A2E37E6CA36}"/>
    <cellStyle name="20% - Accent4 4 15" xfId="19090" xr:uid="{316A88D8-9CA0-4ABD-A159-E44C3FB16742}"/>
    <cellStyle name="20% - Accent4 4 16" xfId="20980" xr:uid="{E9F193BB-FD8B-4ADD-8B4D-19F7B582A2E7}"/>
    <cellStyle name="20% - Accent4 4 17" xfId="22870" xr:uid="{8A2A58C4-A990-4690-8356-6C8A3E9FED51}"/>
    <cellStyle name="20% - Accent4 4 18" xfId="24760" xr:uid="{72230F7B-5112-458B-91F6-377328A575F3}"/>
    <cellStyle name="20% - Accent4 4 19" xfId="26650" xr:uid="{70A38EA0-54C1-4BFD-8A6A-C7F09446E56A}"/>
    <cellStyle name="20% - Accent4 4 2" xfId="400" xr:uid="{4FE9354B-2632-4750-9316-E68BB108F268}"/>
    <cellStyle name="20% - Accent4 4 2 10" xfId="13630" xr:uid="{76036230-D4FB-410E-8AED-F152F0F5CB61}"/>
    <cellStyle name="20% - Accent4 4 2 11" xfId="15520" xr:uid="{C49B48D9-61E1-4DCD-8A35-B6C6134C3B8A}"/>
    <cellStyle name="20% - Accent4 4 2 12" xfId="17410" xr:uid="{6966836C-199F-49DD-937D-A9D40CC91E0E}"/>
    <cellStyle name="20% - Accent4 4 2 13" xfId="19300" xr:uid="{E5F34ADB-1DF2-438D-8C15-90676382D2C5}"/>
    <cellStyle name="20% - Accent4 4 2 14" xfId="21190" xr:uid="{099FD67D-71FF-4DC8-987A-456F883D4B38}"/>
    <cellStyle name="20% - Accent4 4 2 15" xfId="23080" xr:uid="{EB27418D-A365-4E88-91D4-D99B2133640E}"/>
    <cellStyle name="20% - Accent4 4 2 16" xfId="24970" xr:uid="{1DC62F25-5295-4FB4-9DCA-0F1D6B37BAC4}"/>
    <cellStyle name="20% - Accent4 4 2 17" xfId="26860" xr:uid="{1B31D75F-BB60-418B-93F6-47EAF2039C70}"/>
    <cellStyle name="20% - Accent4 4 2 18" xfId="28750" xr:uid="{A3FE889F-ABD0-4020-9330-C0F95BDB6DCE}"/>
    <cellStyle name="20% - Accent4 4 2 19" xfId="30640" xr:uid="{133E7200-1CD2-4640-A470-7E61E0AF7AF1}"/>
    <cellStyle name="20% - Accent4 4 2 2" xfId="1030" xr:uid="{680B985D-AC62-427B-A931-CC1A85CF03A2}"/>
    <cellStyle name="20% - Accent4 4 2 2 10" xfId="18040" xr:uid="{C53C802C-738D-4C24-A84A-C6030CB3BF23}"/>
    <cellStyle name="20% - Accent4 4 2 2 11" xfId="19930" xr:uid="{E59D8E65-09BF-4AF6-ADB7-A1AD0D3CA694}"/>
    <cellStyle name="20% - Accent4 4 2 2 12" xfId="21820" xr:uid="{4E5855B4-DA09-4356-9ABB-077B85C4159D}"/>
    <cellStyle name="20% - Accent4 4 2 2 13" xfId="23710" xr:uid="{E16AA3FC-E757-490C-9FEF-479C4030B2EF}"/>
    <cellStyle name="20% - Accent4 4 2 2 14" xfId="25600" xr:uid="{6CF62D77-3D44-4D9D-B26D-E9EC4164D724}"/>
    <cellStyle name="20% - Accent4 4 2 2 15" xfId="27490" xr:uid="{0577414B-9670-4D51-B5DB-9C09B2D9C6E3}"/>
    <cellStyle name="20% - Accent4 4 2 2 16" xfId="29380" xr:uid="{10DC57EB-8AF0-4187-9634-E5DFB5F3A1CD}"/>
    <cellStyle name="20% - Accent4 4 2 2 17" xfId="31270" xr:uid="{98AF7503-8A2B-46DC-AE94-EF3B274762B9}"/>
    <cellStyle name="20% - Accent4 4 2 2 18" xfId="33160" xr:uid="{D8ED2D61-1D18-454D-8312-B3676472D095}"/>
    <cellStyle name="20% - Accent4 4 2 2 19" xfId="35050" xr:uid="{AB226027-9FB8-45BE-B4FC-9994A9FD89B5}"/>
    <cellStyle name="20% - Accent4 4 2 2 2" xfId="2920" xr:uid="{317BE567-F862-4200-AB05-6759504C83BC}"/>
    <cellStyle name="20% - Accent4 4 2 2 20" xfId="36940" xr:uid="{626FF8A2-C25E-43F3-868E-F24EA59AAE0B}"/>
    <cellStyle name="20% - Accent4 4 2 2 21" xfId="38830" xr:uid="{C86C8012-16CF-46DE-9C1A-5A2421A74B2A}"/>
    <cellStyle name="20% - Accent4 4 2 2 22" xfId="40721" xr:uid="{BFDB810B-E4B4-456D-BB87-9CA9913EF8D9}"/>
    <cellStyle name="20% - Accent4 4 2 2 3" xfId="4810" xr:uid="{97E84E90-00D2-40AA-9CF6-7012F054C05C}"/>
    <cellStyle name="20% - Accent4 4 2 2 4" xfId="6700" xr:uid="{DB90E4C1-9797-44F9-B685-2E8E072AB016}"/>
    <cellStyle name="20% - Accent4 4 2 2 5" xfId="8590" xr:uid="{890B39C0-FCCC-4815-98A1-21DD017742F0}"/>
    <cellStyle name="20% - Accent4 4 2 2 6" xfId="10480" xr:uid="{CFE3593C-FA3B-4CAC-B7C9-1ABA7D62A262}"/>
    <cellStyle name="20% - Accent4 4 2 2 7" xfId="12370" xr:uid="{597C0AE5-BDFC-4F7E-ACF8-E4124415DDB4}"/>
    <cellStyle name="20% - Accent4 4 2 2 8" xfId="14260" xr:uid="{08FAF51B-7291-4016-BB4F-659BF839405A}"/>
    <cellStyle name="20% - Accent4 4 2 2 9" xfId="16150" xr:uid="{C76076F7-789D-40F7-8409-7E1C7216D04C}"/>
    <cellStyle name="20% - Accent4 4 2 20" xfId="32530" xr:uid="{3FD58483-9B24-4C5E-BEBA-0D5E365E8D21}"/>
    <cellStyle name="20% - Accent4 4 2 21" xfId="34420" xr:uid="{BE19F271-F885-4A3E-AC12-F0949C71C381}"/>
    <cellStyle name="20% - Accent4 4 2 22" xfId="36310" xr:uid="{BB826146-833A-4882-886E-E100D305BF2B}"/>
    <cellStyle name="20% - Accent4 4 2 23" xfId="38200" xr:uid="{FF7B84D5-8A24-4F34-9DFB-5F027E7EA355}"/>
    <cellStyle name="20% - Accent4 4 2 24" xfId="40091" xr:uid="{100A7900-DBDD-41AA-BB6A-1F5094104765}"/>
    <cellStyle name="20% - Accent4 4 2 3" xfId="1660" xr:uid="{B74F8453-6690-4F50-AB13-23807D6FAB6B}"/>
    <cellStyle name="20% - Accent4 4 2 3 10" xfId="18670" xr:uid="{FA3BA1E7-EF80-43FD-B72F-9591CA56FDB4}"/>
    <cellStyle name="20% - Accent4 4 2 3 11" xfId="20560" xr:uid="{E6CC507B-929B-433E-A11C-E49BD5552B0C}"/>
    <cellStyle name="20% - Accent4 4 2 3 12" xfId="22450" xr:uid="{C9089FC4-E313-4C00-B497-E0214C9E5C5D}"/>
    <cellStyle name="20% - Accent4 4 2 3 13" xfId="24340" xr:uid="{96AB6593-2954-42BB-9B49-513233A893F6}"/>
    <cellStyle name="20% - Accent4 4 2 3 14" xfId="26230" xr:uid="{C5366592-1FAD-46C1-96C8-7A6FE54CEC77}"/>
    <cellStyle name="20% - Accent4 4 2 3 15" xfId="28120" xr:uid="{442D0FB5-1557-434F-9242-F3EBBD698DAD}"/>
    <cellStyle name="20% - Accent4 4 2 3 16" xfId="30010" xr:uid="{925BAE47-3679-4725-930E-91A773F7687A}"/>
    <cellStyle name="20% - Accent4 4 2 3 17" xfId="31900" xr:uid="{74469906-06DC-435D-B5BC-826BA784ACB0}"/>
    <cellStyle name="20% - Accent4 4 2 3 18" xfId="33790" xr:uid="{B371964B-1A9F-48BB-AB13-8D32A9523594}"/>
    <cellStyle name="20% - Accent4 4 2 3 19" xfId="35680" xr:uid="{3DCE43F5-8E6D-4C01-A13A-EB47F36D41EC}"/>
    <cellStyle name="20% - Accent4 4 2 3 2" xfId="3550" xr:uid="{FF695280-17B3-487A-8111-0300B260F3C5}"/>
    <cellStyle name="20% - Accent4 4 2 3 20" xfId="37570" xr:uid="{6AD8EC34-2CEC-434D-B110-D83599C5F097}"/>
    <cellStyle name="20% - Accent4 4 2 3 21" xfId="39460" xr:uid="{6C76FB97-CE45-4E06-B6B3-95C670FDB448}"/>
    <cellStyle name="20% - Accent4 4 2 3 22" xfId="41351" xr:uid="{54C4C5C4-B94B-4922-94C0-015CF40A9554}"/>
    <cellStyle name="20% - Accent4 4 2 3 3" xfId="5440" xr:uid="{6536185C-D221-4216-9A5F-52634B439805}"/>
    <cellStyle name="20% - Accent4 4 2 3 4" xfId="7330" xr:uid="{8A1F6422-35C3-443E-A879-E93ADCA07E8B}"/>
    <cellStyle name="20% - Accent4 4 2 3 5" xfId="9220" xr:uid="{7BD78A0E-A0F3-4A54-8740-AC7CE885CBAC}"/>
    <cellStyle name="20% - Accent4 4 2 3 6" xfId="11110" xr:uid="{01D6DB93-DC1E-44E8-B325-C0A397529A13}"/>
    <cellStyle name="20% - Accent4 4 2 3 7" xfId="13000" xr:uid="{D220CCDC-730D-4013-81A5-D48859155572}"/>
    <cellStyle name="20% - Accent4 4 2 3 8" xfId="14890" xr:uid="{3D419FEB-FE2C-475C-95FD-51B3654E863A}"/>
    <cellStyle name="20% - Accent4 4 2 3 9" xfId="16780" xr:uid="{DC137D6D-0CA0-44B4-A9E7-1895D5595A6F}"/>
    <cellStyle name="20% - Accent4 4 2 4" xfId="2290" xr:uid="{CBCC2B32-C451-4C5B-99A7-9998C1E54557}"/>
    <cellStyle name="20% - Accent4 4 2 5" xfId="4180" xr:uid="{5ACAB64C-511D-4B48-AD52-F75F5F9F9ACB}"/>
    <cellStyle name="20% - Accent4 4 2 6" xfId="6070" xr:uid="{20474690-0A8F-44C3-8028-357C30979377}"/>
    <cellStyle name="20% - Accent4 4 2 7" xfId="7960" xr:uid="{17B340DF-DB95-4ED9-BFD8-B389F3CCC7BC}"/>
    <cellStyle name="20% - Accent4 4 2 8" xfId="9850" xr:uid="{8FD91CCC-4550-4686-9FBD-03A4938403D0}"/>
    <cellStyle name="20% - Accent4 4 2 9" xfId="11740" xr:uid="{D0E912EA-C681-48D9-8FFE-8B9D056A8E60}"/>
    <cellStyle name="20% - Accent4 4 20" xfId="28540" xr:uid="{A88706D8-E758-4135-9553-45D148C9C568}"/>
    <cellStyle name="20% - Accent4 4 21" xfId="30430" xr:uid="{3146DD9E-97B9-499A-971B-451920F61B50}"/>
    <cellStyle name="20% - Accent4 4 22" xfId="32320" xr:uid="{00B12527-8E10-4BBD-9EDD-9F4CAADB4C98}"/>
    <cellStyle name="20% - Accent4 4 23" xfId="34210" xr:uid="{C2E87B6F-4A8A-4E73-9BDF-23F080E05223}"/>
    <cellStyle name="20% - Accent4 4 24" xfId="36100" xr:uid="{94F18BB6-F196-44C2-9AC7-A4242741C573}"/>
    <cellStyle name="20% - Accent4 4 25" xfId="37990" xr:uid="{29E7AAA2-64D6-400B-A057-88FCB93A580F}"/>
    <cellStyle name="20% - Accent4 4 26" xfId="39881" xr:uid="{48B36165-319C-4BD0-AD8F-C7EAAD91DCD8}"/>
    <cellStyle name="20% - Accent4 4 3" xfId="610" xr:uid="{027307F2-4BCF-4874-8772-07B5F24B8642}"/>
    <cellStyle name="20% - Accent4 4 3 10" xfId="13840" xr:uid="{F159A0B1-87B1-4EDD-A8C0-FF364055DCEB}"/>
    <cellStyle name="20% - Accent4 4 3 11" xfId="15730" xr:uid="{3D72CE04-C567-4668-B2B0-10304C4A020A}"/>
    <cellStyle name="20% - Accent4 4 3 12" xfId="17620" xr:uid="{527D281C-A4D2-47D2-B0B2-BBD1C031BE4A}"/>
    <cellStyle name="20% - Accent4 4 3 13" xfId="19510" xr:uid="{89851DCC-8E5C-41EC-AA5E-B3B8A52D758F}"/>
    <cellStyle name="20% - Accent4 4 3 14" xfId="21400" xr:uid="{473E31BF-34DD-4F65-925C-0141D5A92EE0}"/>
    <cellStyle name="20% - Accent4 4 3 15" xfId="23290" xr:uid="{3B9ABFB1-F581-45D5-89C2-DB3FDA0E4A35}"/>
    <cellStyle name="20% - Accent4 4 3 16" xfId="25180" xr:uid="{18E6F5B7-4D22-41E1-832F-5E4A24D5BD88}"/>
    <cellStyle name="20% - Accent4 4 3 17" xfId="27070" xr:uid="{0E67B8B8-2FAE-460F-8D44-5CCE55B1F659}"/>
    <cellStyle name="20% - Accent4 4 3 18" xfId="28960" xr:uid="{B27F0B07-3450-436D-909E-10FA35DF9892}"/>
    <cellStyle name="20% - Accent4 4 3 19" xfId="30850" xr:uid="{8DCEDCC4-95A0-45DB-B8FA-E64BD2FBB390}"/>
    <cellStyle name="20% - Accent4 4 3 2" xfId="1240" xr:uid="{FD324857-BFA3-49F6-80DB-2CCF22740DF8}"/>
    <cellStyle name="20% - Accent4 4 3 2 10" xfId="18250" xr:uid="{D39BFC11-3B83-41AD-869D-469D5A0062E5}"/>
    <cellStyle name="20% - Accent4 4 3 2 11" xfId="20140" xr:uid="{F4FC3E3F-3249-4C2E-8040-880BB013E108}"/>
    <cellStyle name="20% - Accent4 4 3 2 12" xfId="22030" xr:uid="{E88B3A84-1C9B-401B-AC07-9CBB24389B04}"/>
    <cellStyle name="20% - Accent4 4 3 2 13" xfId="23920" xr:uid="{4D631D99-0052-443B-9256-BAD2D09C9BBC}"/>
    <cellStyle name="20% - Accent4 4 3 2 14" xfId="25810" xr:uid="{98812F6D-C062-484D-B1BE-F73224F4EA7A}"/>
    <cellStyle name="20% - Accent4 4 3 2 15" xfId="27700" xr:uid="{152F82E1-EC6B-4648-A31E-CAD53D39849E}"/>
    <cellStyle name="20% - Accent4 4 3 2 16" xfId="29590" xr:uid="{4D2FA483-C490-4ED6-AEF2-971139CDBD2E}"/>
    <cellStyle name="20% - Accent4 4 3 2 17" xfId="31480" xr:uid="{26395A2A-ECDC-492F-8D30-6A239EA26D84}"/>
    <cellStyle name="20% - Accent4 4 3 2 18" xfId="33370" xr:uid="{34C6659F-A220-48E9-B2FA-3299935FD69B}"/>
    <cellStyle name="20% - Accent4 4 3 2 19" xfId="35260" xr:uid="{1C52536C-230E-4BD5-B109-76413F64606B}"/>
    <cellStyle name="20% - Accent4 4 3 2 2" xfId="3130" xr:uid="{FF385D2B-A9F9-4248-86DA-6DF58F5CF663}"/>
    <cellStyle name="20% - Accent4 4 3 2 20" xfId="37150" xr:uid="{BF0084AD-E843-4392-94AB-81EE9F5AC241}"/>
    <cellStyle name="20% - Accent4 4 3 2 21" xfId="39040" xr:uid="{6CB3E3B2-ABEB-46A5-A6F0-4FFCE286D376}"/>
    <cellStyle name="20% - Accent4 4 3 2 22" xfId="40931" xr:uid="{7ED80734-5325-457A-9A53-901670546E33}"/>
    <cellStyle name="20% - Accent4 4 3 2 3" xfId="5020" xr:uid="{C88BA4C4-D8AC-4FF1-B859-2212EEF3DADD}"/>
    <cellStyle name="20% - Accent4 4 3 2 4" xfId="6910" xr:uid="{EEDC5739-C681-4194-A86D-0C690438BD9F}"/>
    <cellStyle name="20% - Accent4 4 3 2 5" xfId="8800" xr:uid="{D60C45FD-F3B6-4BB3-9BB1-4B85503CB65D}"/>
    <cellStyle name="20% - Accent4 4 3 2 6" xfId="10690" xr:uid="{353D449E-BE7D-42E6-BD06-023276EDB4A7}"/>
    <cellStyle name="20% - Accent4 4 3 2 7" xfId="12580" xr:uid="{9944E998-B0E5-479D-AB57-FF17BE1672E8}"/>
    <cellStyle name="20% - Accent4 4 3 2 8" xfId="14470" xr:uid="{B8B2E111-6FA4-4F54-92FF-10F2988BD2DE}"/>
    <cellStyle name="20% - Accent4 4 3 2 9" xfId="16360" xr:uid="{481CBC9D-C837-40D5-8ED3-9C58935D1C45}"/>
    <cellStyle name="20% - Accent4 4 3 20" xfId="32740" xr:uid="{3E817D1B-8452-4005-99AD-6C8023D6C77D}"/>
    <cellStyle name="20% - Accent4 4 3 21" xfId="34630" xr:uid="{FBCB9D6E-AB94-4C2D-9683-C0FACB431FD1}"/>
    <cellStyle name="20% - Accent4 4 3 22" xfId="36520" xr:uid="{6974662C-F44A-4C97-B062-137E3E5BB486}"/>
    <cellStyle name="20% - Accent4 4 3 23" xfId="38410" xr:uid="{FE7EC5FC-84EE-40BC-BF42-3C40B0939769}"/>
    <cellStyle name="20% - Accent4 4 3 24" xfId="40301" xr:uid="{F08077B6-740C-466E-A081-1BF2837B4A3A}"/>
    <cellStyle name="20% - Accent4 4 3 3" xfId="1870" xr:uid="{81090507-73F6-4191-AC75-1779C5085448}"/>
    <cellStyle name="20% - Accent4 4 3 3 10" xfId="18880" xr:uid="{840A6257-F0AE-4A9F-AC06-219855907C36}"/>
    <cellStyle name="20% - Accent4 4 3 3 11" xfId="20770" xr:uid="{AEBB10FF-D0A6-467E-9F08-738E7320FBA1}"/>
    <cellStyle name="20% - Accent4 4 3 3 12" xfId="22660" xr:uid="{1EE7C7C3-0097-4714-802E-476BE5AB0670}"/>
    <cellStyle name="20% - Accent4 4 3 3 13" xfId="24550" xr:uid="{CC291C6C-3467-4607-B63D-67DE789704DF}"/>
    <cellStyle name="20% - Accent4 4 3 3 14" xfId="26440" xr:uid="{5C49BFE0-B17A-4819-98BB-2974D78ABC6B}"/>
    <cellStyle name="20% - Accent4 4 3 3 15" xfId="28330" xr:uid="{A8D5F017-09BF-4EDF-8366-9462184A8D46}"/>
    <cellStyle name="20% - Accent4 4 3 3 16" xfId="30220" xr:uid="{0F1F66DA-F3D8-4FAE-9443-A3F3C37818F1}"/>
    <cellStyle name="20% - Accent4 4 3 3 17" xfId="32110" xr:uid="{0130DEFB-6F3E-488C-8EFF-FB4B226E2B75}"/>
    <cellStyle name="20% - Accent4 4 3 3 18" xfId="34000" xr:uid="{75FB6C25-64E2-4003-A596-AA78659C3F29}"/>
    <cellStyle name="20% - Accent4 4 3 3 19" xfId="35890" xr:uid="{85700DB0-5E85-4F2D-B48A-E80883367F54}"/>
    <cellStyle name="20% - Accent4 4 3 3 2" xfId="3760" xr:uid="{B29855F6-160F-4CEB-8845-C16473D38297}"/>
    <cellStyle name="20% - Accent4 4 3 3 20" xfId="37780" xr:uid="{46584AD4-0779-45D9-9814-DF80D131D2E4}"/>
    <cellStyle name="20% - Accent4 4 3 3 21" xfId="39670" xr:uid="{CECA3F22-D4A4-4A2D-AF97-696DCD1B91E3}"/>
    <cellStyle name="20% - Accent4 4 3 3 22" xfId="41561" xr:uid="{AA8C0E6A-9806-45D9-875D-47D78D4F5369}"/>
    <cellStyle name="20% - Accent4 4 3 3 3" xfId="5650" xr:uid="{162CF8EF-BEF4-4EF4-8DE7-CA31385F7681}"/>
    <cellStyle name="20% - Accent4 4 3 3 4" xfId="7540" xr:uid="{2A22C029-B878-46DC-A2FD-F246C0C576C5}"/>
    <cellStyle name="20% - Accent4 4 3 3 5" xfId="9430" xr:uid="{B8B863E6-31F8-40B9-8295-0FE37870AB07}"/>
    <cellStyle name="20% - Accent4 4 3 3 6" xfId="11320" xr:uid="{AA5BE049-EF50-4C00-A12D-2F4E64C646D7}"/>
    <cellStyle name="20% - Accent4 4 3 3 7" xfId="13210" xr:uid="{6425E405-F629-45CC-B13E-9BD3984E6612}"/>
    <cellStyle name="20% - Accent4 4 3 3 8" xfId="15100" xr:uid="{1A12D725-54F2-4A23-B015-AC93E53B8483}"/>
    <cellStyle name="20% - Accent4 4 3 3 9" xfId="16990" xr:uid="{C33CC2E3-724E-4AF8-A924-F7187068CF20}"/>
    <cellStyle name="20% - Accent4 4 3 4" xfId="2500" xr:uid="{2B88F5A2-221C-467C-ADBC-B299397D6F00}"/>
    <cellStyle name="20% - Accent4 4 3 5" xfId="4390" xr:uid="{E6E41762-7E18-4B68-9850-EE9F3C739732}"/>
    <cellStyle name="20% - Accent4 4 3 6" xfId="6280" xr:uid="{AB654B05-F522-4C4A-ACF5-152B4ED40AE0}"/>
    <cellStyle name="20% - Accent4 4 3 7" xfId="8170" xr:uid="{701F4F2C-9E6D-4EA7-A4F4-4EFB9725038C}"/>
    <cellStyle name="20% - Accent4 4 3 8" xfId="10060" xr:uid="{B222D2A6-7D44-4F8E-9B4D-A845BDD56899}"/>
    <cellStyle name="20% - Accent4 4 3 9" xfId="11950" xr:uid="{426E109D-1155-425F-B0B1-7F60E027FD34}"/>
    <cellStyle name="20% - Accent4 4 4" xfId="820" xr:uid="{DF63750C-A6D9-487C-A727-AA7E87C4F0D1}"/>
    <cellStyle name="20% - Accent4 4 4 10" xfId="17830" xr:uid="{1A453166-0598-410D-90A2-2099EB218011}"/>
    <cellStyle name="20% - Accent4 4 4 11" xfId="19720" xr:uid="{D7984BF0-981A-4310-8290-C82F594CEBD5}"/>
    <cellStyle name="20% - Accent4 4 4 12" xfId="21610" xr:uid="{6D7E0717-C728-46F8-82ED-D7975143DFFC}"/>
    <cellStyle name="20% - Accent4 4 4 13" xfId="23500" xr:uid="{78550A83-33DB-4A65-BB57-B148ECA2438A}"/>
    <cellStyle name="20% - Accent4 4 4 14" xfId="25390" xr:uid="{2D143913-7EA3-4FAD-A4D9-EF0A806F837D}"/>
    <cellStyle name="20% - Accent4 4 4 15" xfId="27280" xr:uid="{CF912898-7D0E-4161-B5FC-3852DA29DF24}"/>
    <cellStyle name="20% - Accent4 4 4 16" xfId="29170" xr:uid="{07B80824-4C91-48D9-BB07-03E6CF341CA0}"/>
    <cellStyle name="20% - Accent4 4 4 17" xfId="31060" xr:uid="{85BCA37C-737F-4E1E-871C-451F3AED3BE4}"/>
    <cellStyle name="20% - Accent4 4 4 18" xfId="32950" xr:uid="{1C06CFB9-FFAE-4EE9-AAFF-83FACA3B150C}"/>
    <cellStyle name="20% - Accent4 4 4 19" xfId="34840" xr:uid="{0267CF2A-1470-4F44-8501-F2AC753D7607}"/>
    <cellStyle name="20% - Accent4 4 4 2" xfId="2710" xr:uid="{7FF2CDA8-6625-4C6E-B4EA-4FD9B295C369}"/>
    <cellStyle name="20% - Accent4 4 4 20" xfId="36730" xr:uid="{3B90783F-6045-4D01-B116-9FB9B82AF1E0}"/>
    <cellStyle name="20% - Accent4 4 4 21" xfId="38620" xr:uid="{E52C28AB-ADA6-46E7-8469-8952751E186F}"/>
    <cellStyle name="20% - Accent4 4 4 22" xfId="40511" xr:uid="{4DB5107B-8DBC-4394-83AB-2B1DA4DC2485}"/>
    <cellStyle name="20% - Accent4 4 4 3" xfId="4600" xr:uid="{98B21540-44FD-46C9-A53F-70CAC8EA8D99}"/>
    <cellStyle name="20% - Accent4 4 4 4" xfId="6490" xr:uid="{DDA72739-DB83-4AD1-B5EF-1F5A72EE3DBA}"/>
    <cellStyle name="20% - Accent4 4 4 5" xfId="8380" xr:uid="{9CD804A8-7762-4E2A-93E1-5B7C21CB6F64}"/>
    <cellStyle name="20% - Accent4 4 4 6" xfId="10270" xr:uid="{3AF53D86-859B-4494-856E-3BA717A18DC3}"/>
    <cellStyle name="20% - Accent4 4 4 7" xfId="12160" xr:uid="{8E4673D9-5B19-42D1-8780-EB6143BF47FB}"/>
    <cellStyle name="20% - Accent4 4 4 8" xfId="14050" xr:uid="{0B5A0435-F1C4-4BDD-8555-FCC9C499E951}"/>
    <cellStyle name="20% - Accent4 4 4 9" xfId="15940" xr:uid="{DEFF6D02-7896-4044-9DC4-BEBACEF93CBC}"/>
    <cellStyle name="20% - Accent4 4 5" xfId="1450" xr:uid="{DBF0C8E3-1C39-45E5-813B-1A2904FC9BAE}"/>
    <cellStyle name="20% - Accent4 4 5 10" xfId="18460" xr:uid="{F8200DA5-0D51-49E0-ABBB-25DEF70108A2}"/>
    <cellStyle name="20% - Accent4 4 5 11" xfId="20350" xr:uid="{89D7C271-73EF-4283-9018-EE98EE59B188}"/>
    <cellStyle name="20% - Accent4 4 5 12" xfId="22240" xr:uid="{1A896AAB-4714-4EFC-B0D8-02B8C87E13FD}"/>
    <cellStyle name="20% - Accent4 4 5 13" xfId="24130" xr:uid="{4C9BE451-8BB9-485E-8E04-3A3B264DD6D8}"/>
    <cellStyle name="20% - Accent4 4 5 14" xfId="26020" xr:uid="{E7231568-FC9C-472A-AE94-4FE665B19763}"/>
    <cellStyle name="20% - Accent4 4 5 15" xfId="27910" xr:uid="{2C04C02A-14F2-4501-B75B-10FE9735EBC8}"/>
    <cellStyle name="20% - Accent4 4 5 16" xfId="29800" xr:uid="{C3464911-9CCF-444D-8F2E-4173FD7694C9}"/>
    <cellStyle name="20% - Accent4 4 5 17" xfId="31690" xr:uid="{5E3CF698-5A00-49EC-BA54-5C72419B1626}"/>
    <cellStyle name="20% - Accent4 4 5 18" xfId="33580" xr:uid="{F9435CD4-9F24-4ADC-81D9-34ECE05D93C5}"/>
    <cellStyle name="20% - Accent4 4 5 19" xfId="35470" xr:uid="{9271095C-8EE4-483A-BA33-0BFCBC18520D}"/>
    <cellStyle name="20% - Accent4 4 5 2" xfId="3340" xr:uid="{1E96887C-BA62-44CA-AA57-B8B59979DE0E}"/>
    <cellStyle name="20% - Accent4 4 5 20" xfId="37360" xr:uid="{E658CAD6-0626-47E1-BD19-17984520F14C}"/>
    <cellStyle name="20% - Accent4 4 5 21" xfId="39250" xr:uid="{1BD95D3B-710B-4FBC-8FC4-C880A7E57897}"/>
    <cellStyle name="20% - Accent4 4 5 22" xfId="41141" xr:uid="{AA6B6E26-F715-4AEA-AEDA-3FBD1EBA62EC}"/>
    <cellStyle name="20% - Accent4 4 5 3" xfId="5230" xr:uid="{E6A7DF39-7881-4B17-861C-F6EB57A4DA5A}"/>
    <cellStyle name="20% - Accent4 4 5 4" xfId="7120" xr:uid="{4E9D5FF7-0678-40CD-AD71-EF2AA23C0AEB}"/>
    <cellStyle name="20% - Accent4 4 5 5" xfId="9010" xr:uid="{18B6CFAB-564B-4B12-BC3F-4A622939A2B9}"/>
    <cellStyle name="20% - Accent4 4 5 6" xfId="10900" xr:uid="{EBAAE4B2-9FC8-4C30-A113-1CCB70F74080}"/>
    <cellStyle name="20% - Accent4 4 5 7" xfId="12790" xr:uid="{F9D224A4-4A12-416B-82F7-1B18D2E48F05}"/>
    <cellStyle name="20% - Accent4 4 5 8" xfId="14680" xr:uid="{95C1973B-A06E-4B33-81B0-72ABC49C6F4B}"/>
    <cellStyle name="20% - Accent4 4 5 9" xfId="16570" xr:uid="{29490F54-9488-49BE-916C-B242606FC987}"/>
    <cellStyle name="20% - Accent4 4 6" xfId="2080" xr:uid="{D484784B-8090-473A-9173-994667D24052}"/>
    <cellStyle name="20% - Accent4 4 7" xfId="3970" xr:uid="{7F6C8216-440F-4572-8D70-711235BF3D90}"/>
    <cellStyle name="20% - Accent4 4 8" xfId="5860" xr:uid="{5A2A579C-CF99-4753-86C5-0617AC5B7FBE}"/>
    <cellStyle name="20% - Accent4 4 9" xfId="7750" xr:uid="{0528BEF8-19C5-4AB1-99E1-26AA901B1410}"/>
    <cellStyle name="20% - Accent4 5" xfId="295" xr:uid="{221FBECD-0CC1-4A26-8CB8-8D82E9C2E862}"/>
    <cellStyle name="20% - Accent4 5 10" xfId="13525" xr:uid="{D3DD0DFD-2A3A-4FA4-9FCD-AAB8EC5699E6}"/>
    <cellStyle name="20% - Accent4 5 11" xfId="15415" xr:uid="{B2F427DB-221A-41A8-9F29-26FD950B4768}"/>
    <cellStyle name="20% - Accent4 5 12" xfId="17305" xr:uid="{6E64E4D2-7A7F-49E2-AE24-B455F0FB23CE}"/>
    <cellStyle name="20% - Accent4 5 13" xfId="19195" xr:uid="{198B7B14-89C2-4C91-8CD6-26522F7E4A50}"/>
    <cellStyle name="20% - Accent4 5 14" xfId="21085" xr:uid="{FC7D5819-0B92-46F7-9502-9592DDAAE280}"/>
    <cellStyle name="20% - Accent4 5 15" xfId="22975" xr:uid="{1FCF7AC4-6B71-42B9-BB49-AE34312D0E33}"/>
    <cellStyle name="20% - Accent4 5 16" xfId="24865" xr:uid="{0DA18373-0912-44BB-AF12-734B82BA02B9}"/>
    <cellStyle name="20% - Accent4 5 17" xfId="26755" xr:uid="{FDCF74DD-A38A-433D-9500-ADFCE9FDDBA5}"/>
    <cellStyle name="20% - Accent4 5 18" xfId="28645" xr:uid="{FE02D6AA-9DE8-4BA3-B383-4A68FEFE72E9}"/>
    <cellStyle name="20% - Accent4 5 19" xfId="30535" xr:uid="{A5CEB1D9-42D6-4912-9D97-EA087D8D0FB4}"/>
    <cellStyle name="20% - Accent4 5 2" xfId="925" xr:uid="{0DDD0F4E-BDBC-445A-9C5A-DB5A3D5EE74A}"/>
    <cellStyle name="20% - Accent4 5 2 10" xfId="17935" xr:uid="{ADF8CADD-2611-45B8-83EB-C377BC567F6B}"/>
    <cellStyle name="20% - Accent4 5 2 11" xfId="19825" xr:uid="{21585AFD-8B49-4B01-9C80-8785FC5BFE7F}"/>
    <cellStyle name="20% - Accent4 5 2 12" xfId="21715" xr:uid="{1B023A67-25AF-475E-8AA5-94D1B3F907E8}"/>
    <cellStyle name="20% - Accent4 5 2 13" xfId="23605" xr:uid="{26AF66F0-0AB0-4DC5-BFD0-B527F3F95BBA}"/>
    <cellStyle name="20% - Accent4 5 2 14" xfId="25495" xr:uid="{B3E9F1FF-D2AF-4E18-BD73-5CE00DD76695}"/>
    <cellStyle name="20% - Accent4 5 2 15" xfId="27385" xr:uid="{E805D9B2-040E-4651-BA3E-CAC3E227C9FA}"/>
    <cellStyle name="20% - Accent4 5 2 16" xfId="29275" xr:uid="{FFC47ED3-4D8E-4114-B70A-CB99B9CB5440}"/>
    <cellStyle name="20% - Accent4 5 2 17" xfId="31165" xr:uid="{2DDB4C57-3944-4D74-BB02-F221E3BBB3F7}"/>
    <cellStyle name="20% - Accent4 5 2 18" xfId="33055" xr:uid="{9B9D4B09-87B9-454E-B225-CA8A1B99ADBB}"/>
    <cellStyle name="20% - Accent4 5 2 19" xfId="34945" xr:uid="{BAD15222-FA56-433D-802A-99C62CAE8AF4}"/>
    <cellStyle name="20% - Accent4 5 2 2" xfId="2815" xr:uid="{E1301D2F-985B-4B95-9D25-678BE9C77A96}"/>
    <cellStyle name="20% - Accent4 5 2 20" xfId="36835" xr:uid="{7F5B94A5-EC2F-4445-87D2-A6008BDFAFD7}"/>
    <cellStyle name="20% - Accent4 5 2 21" xfId="38725" xr:uid="{3B0FBCDA-86B9-468F-9BA8-3872F803B3DF}"/>
    <cellStyle name="20% - Accent4 5 2 22" xfId="40616" xr:uid="{0731D715-79BF-45F3-B16A-39EDFE0B460D}"/>
    <cellStyle name="20% - Accent4 5 2 3" xfId="4705" xr:uid="{492523C0-F3C6-458F-9725-C6E00CCDCFD0}"/>
    <cellStyle name="20% - Accent4 5 2 4" xfId="6595" xr:uid="{3FB7A1E3-934F-4E61-B1DB-868BA44F5145}"/>
    <cellStyle name="20% - Accent4 5 2 5" xfId="8485" xr:uid="{468F3BB2-0DE0-4C59-9D78-04DEB714B820}"/>
    <cellStyle name="20% - Accent4 5 2 6" xfId="10375" xr:uid="{21C503B7-E3A5-416F-8A0D-97E10B950849}"/>
    <cellStyle name="20% - Accent4 5 2 7" xfId="12265" xr:uid="{45427500-6C11-444E-9866-40920B0CE2C6}"/>
    <cellStyle name="20% - Accent4 5 2 8" xfId="14155" xr:uid="{33BC8FBA-6C3F-4EEB-B3F2-166852F8AE51}"/>
    <cellStyle name="20% - Accent4 5 2 9" xfId="16045" xr:uid="{B0453AE2-335F-4DA0-BBD6-895EF63EF89F}"/>
    <cellStyle name="20% - Accent4 5 20" xfId="32425" xr:uid="{FC52DE40-AABE-449F-AF6E-A07ED46A8F00}"/>
    <cellStyle name="20% - Accent4 5 21" xfId="34315" xr:uid="{EBC58A6A-0031-46E0-9538-172F15F379C6}"/>
    <cellStyle name="20% - Accent4 5 22" xfId="36205" xr:uid="{F655C2CB-15BD-4536-881E-CA434F576C38}"/>
    <cellStyle name="20% - Accent4 5 23" xfId="38095" xr:uid="{17EE4E67-189D-4E9F-B542-DD48E65DD3CD}"/>
    <cellStyle name="20% - Accent4 5 24" xfId="39986" xr:uid="{74523855-707F-422C-A1CB-FD5C3B1AF7AE}"/>
    <cellStyle name="20% - Accent4 5 3" xfId="1555" xr:uid="{22DF1489-5E06-48AE-B5BD-EC0D70E3B157}"/>
    <cellStyle name="20% - Accent4 5 3 10" xfId="18565" xr:uid="{7ECFD637-FDC9-4CAE-87BC-6E23DFE21F9B}"/>
    <cellStyle name="20% - Accent4 5 3 11" xfId="20455" xr:uid="{620266FA-6A58-4C11-9F4B-9147E07ADAE8}"/>
    <cellStyle name="20% - Accent4 5 3 12" xfId="22345" xr:uid="{40BACFAD-37F3-4C08-987C-8EAD9980A11A}"/>
    <cellStyle name="20% - Accent4 5 3 13" xfId="24235" xr:uid="{4227288B-B86A-4551-B534-4F0B3EA4EFEF}"/>
    <cellStyle name="20% - Accent4 5 3 14" xfId="26125" xr:uid="{A1897905-1EEA-444C-9652-3C483E263480}"/>
    <cellStyle name="20% - Accent4 5 3 15" xfId="28015" xr:uid="{287049BB-C061-47E6-83EB-FF0152A00585}"/>
    <cellStyle name="20% - Accent4 5 3 16" xfId="29905" xr:uid="{3F23759C-8123-4D10-85B4-5720A183C605}"/>
    <cellStyle name="20% - Accent4 5 3 17" xfId="31795" xr:uid="{14BE31CC-336C-4E55-BC9A-C14F9888C102}"/>
    <cellStyle name="20% - Accent4 5 3 18" xfId="33685" xr:uid="{EFBD207C-950D-4E4F-973E-3F9F27891709}"/>
    <cellStyle name="20% - Accent4 5 3 19" xfId="35575" xr:uid="{D4CBF4C5-A459-48B3-9F58-4BA3EEF336BF}"/>
    <cellStyle name="20% - Accent4 5 3 2" xfId="3445" xr:uid="{8DF747C0-CCD5-43E7-AA71-CFC0ACC338EF}"/>
    <cellStyle name="20% - Accent4 5 3 20" xfId="37465" xr:uid="{2A97F1C0-766A-46F1-9A06-654FC7C0DE2B}"/>
    <cellStyle name="20% - Accent4 5 3 21" xfId="39355" xr:uid="{446AD58E-13E1-45E5-B682-98A54AEF5612}"/>
    <cellStyle name="20% - Accent4 5 3 22" xfId="41246" xr:uid="{56A7560E-9D3B-48F3-B335-25888419B67B}"/>
    <cellStyle name="20% - Accent4 5 3 3" xfId="5335" xr:uid="{8E149AF3-E8DD-41B7-9111-70A15D2A8DD6}"/>
    <cellStyle name="20% - Accent4 5 3 4" xfId="7225" xr:uid="{B1F3F0BD-420C-42D3-92CA-63B83B53A2F5}"/>
    <cellStyle name="20% - Accent4 5 3 5" xfId="9115" xr:uid="{CC16C522-5029-4E03-8CF2-0C9EBA3F914F}"/>
    <cellStyle name="20% - Accent4 5 3 6" xfId="11005" xr:uid="{6C3FA6F9-FE83-4640-8175-A7528E16DE41}"/>
    <cellStyle name="20% - Accent4 5 3 7" xfId="12895" xr:uid="{7596256D-2314-4BF1-A8D7-2B4B45A96ABF}"/>
    <cellStyle name="20% - Accent4 5 3 8" xfId="14785" xr:uid="{AC27557F-5BF0-4F1E-9FEF-3F48543B04AD}"/>
    <cellStyle name="20% - Accent4 5 3 9" xfId="16675" xr:uid="{D6CD3AAB-CD6C-4367-A0F8-5EE62048D322}"/>
    <cellStyle name="20% - Accent4 5 4" xfId="2185" xr:uid="{9D0EAC40-12F3-44FF-8916-BFB57DB040CF}"/>
    <cellStyle name="20% - Accent4 5 5" xfId="4075" xr:uid="{CB4FE7DA-437F-478A-AA98-35480BDCE452}"/>
    <cellStyle name="20% - Accent4 5 6" xfId="5965" xr:uid="{1162E6AF-4473-4075-ABAB-D79C24C4A12E}"/>
    <cellStyle name="20% - Accent4 5 7" xfId="7855" xr:uid="{C679A4F4-1AD5-4E18-BC4D-DC16E0CEA811}"/>
    <cellStyle name="20% - Accent4 5 8" xfId="9745" xr:uid="{E22DCFFE-DBE3-42E4-B979-9CABD882791A}"/>
    <cellStyle name="20% - Accent4 5 9" xfId="11635" xr:uid="{E2512888-E3A0-4809-BD2C-52F80D45D3E9}"/>
    <cellStyle name="20% - Accent4 6" xfId="505" xr:uid="{08FD9003-88FC-4D1E-8B21-EDE5DC2A6B51}"/>
    <cellStyle name="20% - Accent4 6 10" xfId="13735" xr:uid="{1B9CF8AF-09B7-4173-A33C-5BD41D1EF814}"/>
    <cellStyle name="20% - Accent4 6 11" xfId="15625" xr:uid="{9D22BACF-F57D-4E9A-8497-A5B5223EE669}"/>
    <cellStyle name="20% - Accent4 6 12" xfId="17515" xr:uid="{CF01A27C-725D-4F1C-8AB5-F2C73BDEDE9F}"/>
    <cellStyle name="20% - Accent4 6 13" xfId="19405" xr:uid="{839FD756-28FF-4106-91D4-CD378996BF8A}"/>
    <cellStyle name="20% - Accent4 6 14" xfId="21295" xr:uid="{0A206F0D-8B9F-4727-B5AA-A52D67BC85FB}"/>
    <cellStyle name="20% - Accent4 6 15" xfId="23185" xr:uid="{06C8F172-7744-4F30-89D9-D8B009CBDBA1}"/>
    <cellStyle name="20% - Accent4 6 16" xfId="25075" xr:uid="{3503A98A-F970-4764-9115-F222AA0470E5}"/>
    <cellStyle name="20% - Accent4 6 17" xfId="26965" xr:uid="{6F7204B3-46FC-4508-A2C0-C1BED9487AD8}"/>
    <cellStyle name="20% - Accent4 6 18" xfId="28855" xr:uid="{FEDE5B7C-B851-4EDA-84EA-73BEC6E2F14C}"/>
    <cellStyle name="20% - Accent4 6 19" xfId="30745" xr:uid="{AACEEA81-9BD9-47BD-8F28-7C10C499D734}"/>
    <cellStyle name="20% - Accent4 6 2" xfId="1135" xr:uid="{AECF2DCD-8A10-43C7-8C56-0102A7FA2EBC}"/>
    <cellStyle name="20% - Accent4 6 2 10" xfId="18145" xr:uid="{240B4E14-0B59-464E-88AE-41BE3E06D588}"/>
    <cellStyle name="20% - Accent4 6 2 11" xfId="20035" xr:uid="{45716D92-0206-4BF9-AB5C-6B08E5E23FD4}"/>
    <cellStyle name="20% - Accent4 6 2 12" xfId="21925" xr:uid="{E15C0A79-1CD8-4B99-B875-F1B906F7AF4E}"/>
    <cellStyle name="20% - Accent4 6 2 13" xfId="23815" xr:uid="{2C54C99A-F21D-4FE5-8246-50EF7E910FFA}"/>
    <cellStyle name="20% - Accent4 6 2 14" xfId="25705" xr:uid="{E6F82E1A-1835-4F31-A63A-DDF6A95D33BE}"/>
    <cellStyle name="20% - Accent4 6 2 15" xfId="27595" xr:uid="{9A4A7BCD-05DD-4C53-9920-46431A251C3D}"/>
    <cellStyle name="20% - Accent4 6 2 16" xfId="29485" xr:uid="{3809CF73-3907-420C-9A4D-D33984C6E7DA}"/>
    <cellStyle name="20% - Accent4 6 2 17" xfId="31375" xr:uid="{94B45218-9CC1-44C6-8CF1-D8951C6FA04C}"/>
    <cellStyle name="20% - Accent4 6 2 18" xfId="33265" xr:uid="{0DC7F14A-CDC0-4CB6-90C1-4EAD3605D277}"/>
    <cellStyle name="20% - Accent4 6 2 19" xfId="35155" xr:uid="{C4FDAAA4-0665-408A-957B-FA821606895F}"/>
    <cellStyle name="20% - Accent4 6 2 2" xfId="3025" xr:uid="{6703392D-8664-4055-8B7A-E3D764426444}"/>
    <cellStyle name="20% - Accent4 6 2 20" xfId="37045" xr:uid="{57679871-CACB-420B-AD4F-B93F32E03652}"/>
    <cellStyle name="20% - Accent4 6 2 21" xfId="38935" xr:uid="{F0543165-D719-4971-A1E7-93BE5F5EAFEC}"/>
    <cellStyle name="20% - Accent4 6 2 22" xfId="40826" xr:uid="{51A672EC-B2CE-4A6A-9F79-8596F7DB7935}"/>
    <cellStyle name="20% - Accent4 6 2 3" xfId="4915" xr:uid="{EEBE9ED6-1E85-4362-9D25-A3780C3AAA43}"/>
    <cellStyle name="20% - Accent4 6 2 4" xfId="6805" xr:uid="{2BBD4843-238F-49D9-B498-3B0840B4A3AD}"/>
    <cellStyle name="20% - Accent4 6 2 5" xfId="8695" xr:uid="{CC39CB7F-76C1-4D7B-81DE-BE40CBD57A84}"/>
    <cellStyle name="20% - Accent4 6 2 6" xfId="10585" xr:uid="{60E6C7DF-D4B5-4C0A-8DF6-A6D2109FDB96}"/>
    <cellStyle name="20% - Accent4 6 2 7" xfId="12475" xr:uid="{E047129C-054F-45B0-AA31-B57A8B025511}"/>
    <cellStyle name="20% - Accent4 6 2 8" xfId="14365" xr:uid="{D76C18E7-9CEE-4B2C-AF86-8946F35FC89A}"/>
    <cellStyle name="20% - Accent4 6 2 9" xfId="16255" xr:uid="{995072B8-904F-4069-9F6D-9C2E4F3C6BDF}"/>
    <cellStyle name="20% - Accent4 6 20" xfId="32635" xr:uid="{89B04B3E-0F94-40D6-8DA5-C9A8D10EF871}"/>
    <cellStyle name="20% - Accent4 6 21" xfId="34525" xr:uid="{A6DFC188-F47B-4D0D-B63D-69AD9E89166A}"/>
    <cellStyle name="20% - Accent4 6 22" xfId="36415" xr:uid="{FD24B5AB-5EB7-4C9C-A112-00AB30D8AC84}"/>
    <cellStyle name="20% - Accent4 6 23" xfId="38305" xr:uid="{6DFFFDB8-858E-4474-AA99-787BA71EA33A}"/>
    <cellStyle name="20% - Accent4 6 24" xfId="40196" xr:uid="{DA13446C-A035-4938-BC18-BA35433B9FF6}"/>
    <cellStyle name="20% - Accent4 6 3" xfId="1765" xr:uid="{422C7712-CF4B-4769-A17F-532CA4C8D5CC}"/>
    <cellStyle name="20% - Accent4 6 3 10" xfId="18775" xr:uid="{308051D0-53C0-458B-935E-FBDFB86960FF}"/>
    <cellStyle name="20% - Accent4 6 3 11" xfId="20665" xr:uid="{80F1A120-4E84-412F-9305-76B57266B3C2}"/>
    <cellStyle name="20% - Accent4 6 3 12" xfId="22555" xr:uid="{D0982595-CFB1-49BF-B22C-A8C457FC9525}"/>
    <cellStyle name="20% - Accent4 6 3 13" xfId="24445" xr:uid="{CBCDE303-55D8-4198-8703-2307260473D0}"/>
    <cellStyle name="20% - Accent4 6 3 14" xfId="26335" xr:uid="{B81F8BF5-F866-4499-B758-0D039187B486}"/>
    <cellStyle name="20% - Accent4 6 3 15" xfId="28225" xr:uid="{1168B5D6-0494-4395-98D7-B16DF5EFD0B7}"/>
    <cellStyle name="20% - Accent4 6 3 16" xfId="30115" xr:uid="{8FD3C057-FEE2-458C-BD0E-9A44924E92F8}"/>
    <cellStyle name="20% - Accent4 6 3 17" xfId="32005" xr:uid="{8AC448A8-98CC-42FD-90CC-17FC52F8D68F}"/>
    <cellStyle name="20% - Accent4 6 3 18" xfId="33895" xr:uid="{1B01688D-B22B-437D-BD04-2BC1AE60F6FD}"/>
    <cellStyle name="20% - Accent4 6 3 19" xfId="35785" xr:uid="{998307FC-AF3A-4536-BF32-E4FE1159092A}"/>
    <cellStyle name="20% - Accent4 6 3 2" xfId="3655" xr:uid="{9EF395D1-2E65-417E-9804-B3680FBBFADB}"/>
    <cellStyle name="20% - Accent4 6 3 20" xfId="37675" xr:uid="{7184A68D-9E32-4449-96DA-AD559E9FA63B}"/>
    <cellStyle name="20% - Accent4 6 3 21" xfId="39565" xr:uid="{57C90554-A922-46FE-9A1B-48DD0AE4919D}"/>
    <cellStyle name="20% - Accent4 6 3 22" xfId="41456" xr:uid="{3B6264B6-A1DD-4981-A158-5A99AC10F6E7}"/>
    <cellStyle name="20% - Accent4 6 3 3" xfId="5545" xr:uid="{65D87CAF-B009-4BDC-B2BF-F874D30646F8}"/>
    <cellStyle name="20% - Accent4 6 3 4" xfId="7435" xr:uid="{AFEE1E6B-9EF7-46CE-8C0E-214CF3387913}"/>
    <cellStyle name="20% - Accent4 6 3 5" xfId="9325" xr:uid="{5B373A83-659E-49FE-AC91-D2C229B278AB}"/>
    <cellStyle name="20% - Accent4 6 3 6" xfId="11215" xr:uid="{C876D3C9-7EB6-47B9-879C-F9403DB8376F}"/>
    <cellStyle name="20% - Accent4 6 3 7" xfId="13105" xr:uid="{45782FE8-B561-424E-BCFA-9534399C3D67}"/>
    <cellStyle name="20% - Accent4 6 3 8" xfId="14995" xr:uid="{727A3296-A149-4C8D-8DF8-C1245D8BED1B}"/>
    <cellStyle name="20% - Accent4 6 3 9" xfId="16885" xr:uid="{F4699D17-8B09-4FD3-B0F3-D9C73E5E4D82}"/>
    <cellStyle name="20% - Accent4 6 4" xfId="2395" xr:uid="{AAB093EC-B731-4255-B83D-BB7D113875F0}"/>
    <cellStyle name="20% - Accent4 6 5" xfId="4285" xr:uid="{0AB71BCD-5E8E-4575-850C-F54BF67CC6E7}"/>
    <cellStyle name="20% - Accent4 6 6" xfId="6175" xr:uid="{8899EB2E-DB13-4E69-9840-F57F8519CC60}"/>
    <cellStyle name="20% - Accent4 6 7" xfId="8065" xr:uid="{8B158117-CD1F-4A52-B2D5-F95FB87C0B3B}"/>
    <cellStyle name="20% - Accent4 6 8" xfId="9955" xr:uid="{A9B082CC-20E5-44A8-8E29-DAFE5A4AA96D}"/>
    <cellStyle name="20% - Accent4 6 9" xfId="11845" xr:uid="{B56D0F96-604B-4109-B2C2-6355B5193ED8}"/>
    <cellStyle name="20% - Accent4 7" xfId="715" xr:uid="{0A3C0DDC-D592-43EA-AB58-6B0C36FBEEDE}"/>
    <cellStyle name="20% - Accent4 7 10" xfId="17725" xr:uid="{89FA2FE4-36A6-424C-9A63-9BCB5155C41C}"/>
    <cellStyle name="20% - Accent4 7 11" xfId="19615" xr:uid="{C454C7C5-4393-4B8F-BCB4-F831EA52CAD9}"/>
    <cellStyle name="20% - Accent4 7 12" xfId="21505" xr:uid="{D4E39FBD-6178-467A-949D-1826719C41E9}"/>
    <cellStyle name="20% - Accent4 7 13" xfId="23395" xr:uid="{CC8FBA3A-AEB2-4E52-9C6E-8D541226642F}"/>
    <cellStyle name="20% - Accent4 7 14" xfId="25285" xr:uid="{143EBAC2-4E13-4A38-B477-61EDC70594E5}"/>
    <cellStyle name="20% - Accent4 7 15" xfId="27175" xr:uid="{9EE6B75A-300A-4897-8D1D-8CDCAF6FEF12}"/>
    <cellStyle name="20% - Accent4 7 16" xfId="29065" xr:uid="{D9FBBE8D-3377-490C-906F-9FD7BB0C1FA6}"/>
    <cellStyle name="20% - Accent4 7 17" xfId="30955" xr:uid="{B6F06B17-CD86-4108-9963-81615BAF582E}"/>
    <cellStyle name="20% - Accent4 7 18" xfId="32845" xr:uid="{28133E2D-CA4C-4DE5-B3CF-0BA16DB8F003}"/>
    <cellStyle name="20% - Accent4 7 19" xfId="34735" xr:uid="{F26FD87A-400A-4CCD-B2F0-D255EB938805}"/>
    <cellStyle name="20% - Accent4 7 2" xfId="2605" xr:uid="{CF6CCD5E-C5BD-472B-A234-4E0E3495D93B}"/>
    <cellStyle name="20% - Accent4 7 20" xfId="36625" xr:uid="{09ABA8A6-1F9B-4D27-9F69-7FC27FAE3415}"/>
    <cellStyle name="20% - Accent4 7 21" xfId="38515" xr:uid="{A8A8A614-ED08-481F-859B-114C5B3D69FE}"/>
    <cellStyle name="20% - Accent4 7 22" xfId="40406" xr:uid="{9B95C037-5E3A-4002-8A81-F8439BF201EC}"/>
    <cellStyle name="20% - Accent4 7 3" xfId="4495" xr:uid="{25AEECCD-FB71-4057-9943-78D8EE3462AE}"/>
    <cellStyle name="20% - Accent4 7 4" xfId="6385" xr:uid="{1BA8630D-BDB8-4942-8506-4171A5927C61}"/>
    <cellStyle name="20% - Accent4 7 5" xfId="8275" xr:uid="{CED3BF74-1C10-4812-B931-7472579E7F35}"/>
    <cellStyle name="20% - Accent4 7 6" xfId="10165" xr:uid="{513C811E-FB12-4E3A-A953-5014D0ADBC16}"/>
    <cellStyle name="20% - Accent4 7 7" xfId="12055" xr:uid="{65866AF0-B1E4-4A7E-8FAC-C09EC8343BCE}"/>
    <cellStyle name="20% - Accent4 7 8" xfId="13945" xr:uid="{C9A3C978-CCC2-46FE-8923-C68A3D6ECF98}"/>
    <cellStyle name="20% - Accent4 7 9" xfId="15835" xr:uid="{5E3EC87D-5B86-4199-98DB-6D5CC2A2C0E5}"/>
    <cellStyle name="20% - Accent4 8" xfId="1345" xr:uid="{DA07E9ED-ACEC-42DF-A94E-FEB66B9B99F6}"/>
    <cellStyle name="20% - Accent4 8 10" xfId="18355" xr:uid="{33B49FCB-DA80-44E9-BCA7-A8F3F5457A64}"/>
    <cellStyle name="20% - Accent4 8 11" xfId="20245" xr:uid="{A53838C4-9761-4AEF-8DAA-CC904084D7F4}"/>
    <cellStyle name="20% - Accent4 8 12" xfId="22135" xr:uid="{79A211DC-2582-4256-87D5-A40F861B15B6}"/>
    <cellStyle name="20% - Accent4 8 13" xfId="24025" xr:uid="{C4DB21DA-AD88-4D56-8519-C73DDF152A95}"/>
    <cellStyle name="20% - Accent4 8 14" xfId="25915" xr:uid="{87C73877-01D0-4CF9-8B1F-2358570A8972}"/>
    <cellStyle name="20% - Accent4 8 15" xfId="27805" xr:uid="{6A4F7F1E-F0FD-4B03-8427-920FE177C480}"/>
    <cellStyle name="20% - Accent4 8 16" xfId="29695" xr:uid="{BBA06902-49EB-490B-8F89-AA80372534F6}"/>
    <cellStyle name="20% - Accent4 8 17" xfId="31585" xr:uid="{DF50E908-AAFB-48D0-92E3-5FC22A2B3FD7}"/>
    <cellStyle name="20% - Accent4 8 18" xfId="33475" xr:uid="{6FC8FBAE-AC9D-40B5-A741-B831514BB070}"/>
    <cellStyle name="20% - Accent4 8 19" xfId="35365" xr:uid="{F72E87FE-3229-4B61-BD6B-ADAF07CD8E8E}"/>
    <cellStyle name="20% - Accent4 8 2" xfId="3235" xr:uid="{3E741A35-25FC-4A54-8742-FA84BD501364}"/>
    <cellStyle name="20% - Accent4 8 20" xfId="37255" xr:uid="{5BAAD620-022A-4FD3-A69A-623DAA4B8DA2}"/>
    <cellStyle name="20% - Accent4 8 21" xfId="39145" xr:uid="{4E8BE3D3-EA92-49E8-AE89-80C68D9E5274}"/>
    <cellStyle name="20% - Accent4 8 22" xfId="41036" xr:uid="{E7057DF6-3812-4BCC-8FCB-B596141CABC1}"/>
    <cellStyle name="20% - Accent4 8 3" xfId="5125" xr:uid="{6C23A9D8-59DB-44CE-8703-484F0BDB1754}"/>
    <cellStyle name="20% - Accent4 8 4" xfId="7015" xr:uid="{DF13778D-FCEB-4858-8FED-6B2713603252}"/>
    <cellStyle name="20% - Accent4 8 5" xfId="8905" xr:uid="{5E6DC2BB-E964-4A68-9402-350D1D459B5B}"/>
    <cellStyle name="20% - Accent4 8 6" xfId="10795" xr:uid="{19560DA2-DBB9-4AAD-8D5C-CE2AE57F5D7E}"/>
    <cellStyle name="20% - Accent4 8 7" xfId="12685" xr:uid="{90DD2C05-D32F-441D-9E5A-5C30B36DDE0C}"/>
    <cellStyle name="20% - Accent4 8 8" xfId="14575" xr:uid="{1D25C3DB-6161-442E-A7B6-69A2E80655A5}"/>
    <cellStyle name="20% - Accent4 8 9" xfId="16465" xr:uid="{FAC62170-A4B5-4138-B4CC-494D1259D028}"/>
    <cellStyle name="20% - Accent4 9" xfId="1975" xr:uid="{2EC7C5BA-A93A-4513-8DA2-CA97F454DB3F}"/>
    <cellStyle name="20% - Accent5" xfId="87" builtinId="46" customBuiltin="1"/>
    <cellStyle name="20% - Accent5 10" xfId="3868" xr:uid="{C51D61C5-6478-4C35-A2DF-977772DAC179}"/>
    <cellStyle name="20% - Accent5 11" xfId="5758" xr:uid="{651BBCD5-3241-4608-89EE-63383B490777}"/>
    <cellStyle name="20% - Accent5 12" xfId="7648" xr:uid="{D0A05634-783C-4D79-BE56-31665FF4A636}"/>
    <cellStyle name="20% - Accent5 13" xfId="9538" xr:uid="{A0B846AC-48B9-48F0-8A79-D778ACAF341E}"/>
    <cellStyle name="20% - Accent5 14" xfId="11428" xr:uid="{4AC117DC-D5B8-49E2-B357-AAD6063A257E}"/>
    <cellStyle name="20% - Accent5 15" xfId="13318" xr:uid="{A1E1C0C2-D5D6-4BCB-97A9-8D9F1742AA76}"/>
    <cellStyle name="20% - Accent5 16" xfId="15208" xr:uid="{92E3BE62-ABD3-42E0-9C6A-94CBD98B6686}"/>
    <cellStyle name="20% - Accent5 17" xfId="17098" xr:uid="{83AD873B-97D4-4C93-A5E6-74DDAB155D74}"/>
    <cellStyle name="20% - Accent5 18" xfId="18988" xr:uid="{B81D086B-BA22-4BF2-8E14-F9DF24F2F3B3}"/>
    <cellStyle name="20% - Accent5 19" xfId="20878" xr:uid="{42AAFDB6-0D49-4EAC-A557-30E0BC3D998A}"/>
    <cellStyle name="20% - Accent5 2" xfId="110" xr:uid="{3D1EDFE2-04FF-4DAA-9153-6D0169FA914E}"/>
    <cellStyle name="20% - Accent5 2 10" xfId="7670" xr:uid="{147964D2-C4DC-437F-BF10-229B3A193644}"/>
    <cellStyle name="20% - Accent5 2 11" xfId="9560" xr:uid="{9BB05463-9228-4FF1-BAF5-9147AF35BF06}"/>
    <cellStyle name="20% - Accent5 2 12" xfId="11450" xr:uid="{5030E48C-16C0-474C-8CF8-02BA72E0F180}"/>
    <cellStyle name="20% - Accent5 2 13" xfId="13340" xr:uid="{B6A7BC40-B922-4635-AE8D-297C5F6EC4D8}"/>
    <cellStyle name="20% - Accent5 2 14" xfId="15230" xr:uid="{0CE6BC6C-26EC-4F3F-97D3-41C3B1D57791}"/>
    <cellStyle name="20% - Accent5 2 15" xfId="17120" xr:uid="{292817FC-A7CD-4963-96B8-5CF4FEFAF585}"/>
    <cellStyle name="20% - Accent5 2 16" xfId="19010" xr:uid="{B704E4DE-04E1-4A0D-ACE1-C16C963FB5E7}"/>
    <cellStyle name="20% - Accent5 2 17" xfId="20900" xr:uid="{59A5E5E6-718E-4618-A4AA-76DFE0110757}"/>
    <cellStyle name="20% - Accent5 2 18" xfId="22790" xr:uid="{C4EF8B3A-F234-434F-93F0-AC7E76F2A918}"/>
    <cellStyle name="20% - Accent5 2 19" xfId="24680" xr:uid="{14EF0414-2449-4724-92A0-348D42E41743}"/>
    <cellStyle name="20% - Accent5 2 2" xfId="215" xr:uid="{DF471E92-52C2-4FF6-B401-4817D27B010A}"/>
    <cellStyle name="20% - Accent5 2 2 10" xfId="9665" xr:uid="{E2095E7C-ED42-4EC7-AE1F-F83657DB0F5D}"/>
    <cellStyle name="20% - Accent5 2 2 11" xfId="11555" xr:uid="{222990B2-5622-4DF0-853B-460AAE7A546B}"/>
    <cellStyle name="20% - Accent5 2 2 12" xfId="13445" xr:uid="{E20B8F1A-3951-48F9-817F-805C673F5ECE}"/>
    <cellStyle name="20% - Accent5 2 2 13" xfId="15335" xr:uid="{3F6CAC73-B7B5-46B0-84FB-21E1157993A3}"/>
    <cellStyle name="20% - Accent5 2 2 14" xfId="17225" xr:uid="{67738E4D-7781-4169-B364-FBD3ACF23735}"/>
    <cellStyle name="20% - Accent5 2 2 15" xfId="19115" xr:uid="{84F99984-9202-4BA0-A693-9F45FE9E9D48}"/>
    <cellStyle name="20% - Accent5 2 2 16" xfId="21005" xr:uid="{17BC4ACC-DCF3-4EB8-9F27-E86590D85B9F}"/>
    <cellStyle name="20% - Accent5 2 2 17" xfId="22895" xr:uid="{482A752B-7E2D-49C2-B03E-762CEF6CBEB8}"/>
    <cellStyle name="20% - Accent5 2 2 18" xfId="24785" xr:uid="{D76C477C-EFC0-43D2-91C8-AAC405758619}"/>
    <cellStyle name="20% - Accent5 2 2 19" xfId="26675" xr:uid="{04327D2B-90E8-48B2-A530-EFDA4B5942FE}"/>
    <cellStyle name="20% - Accent5 2 2 2" xfId="425" xr:uid="{56F4D822-16B2-416E-8371-8F4E4415024B}"/>
    <cellStyle name="20% - Accent5 2 2 2 10" xfId="13655" xr:uid="{DAF9A4A1-DBA2-462F-B12C-091450FA2BF0}"/>
    <cellStyle name="20% - Accent5 2 2 2 11" xfId="15545" xr:uid="{BD29BF4E-26E5-49AE-906F-DED13618D30A}"/>
    <cellStyle name="20% - Accent5 2 2 2 12" xfId="17435" xr:uid="{9297900E-6ABB-4DBB-8941-DF52C59E9FDA}"/>
    <cellStyle name="20% - Accent5 2 2 2 13" xfId="19325" xr:uid="{D85FE094-8B17-40AA-B00C-CEE836E11DAB}"/>
    <cellStyle name="20% - Accent5 2 2 2 14" xfId="21215" xr:uid="{51B1B79C-5264-4D22-B896-5DA40D11A8D3}"/>
    <cellStyle name="20% - Accent5 2 2 2 15" xfId="23105" xr:uid="{AA3DDFF2-3EC0-4EC8-8E8F-0D15BEC2926F}"/>
    <cellStyle name="20% - Accent5 2 2 2 16" xfId="24995" xr:uid="{BC617D3B-10F4-47D4-9E7E-BD7AE5934C4A}"/>
    <cellStyle name="20% - Accent5 2 2 2 17" xfId="26885" xr:uid="{55669F20-3CB6-4285-BB34-B8ED1121E334}"/>
    <cellStyle name="20% - Accent5 2 2 2 18" xfId="28775" xr:uid="{F23A5859-F738-4E0E-965E-7470B1B6E9C0}"/>
    <cellStyle name="20% - Accent5 2 2 2 19" xfId="30665" xr:uid="{B9E6EB4F-E843-47F4-BCC7-7340EC23EFF7}"/>
    <cellStyle name="20% - Accent5 2 2 2 2" xfId="1055" xr:uid="{311B9E61-D6CF-4412-BF4A-4A12FDB5095F}"/>
    <cellStyle name="20% - Accent5 2 2 2 2 10" xfId="18065" xr:uid="{F491D4F7-41CF-4509-B124-A21B8C5EB180}"/>
    <cellStyle name="20% - Accent5 2 2 2 2 11" xfId="19955" xr:uid="{46DDE15B-7AF4-404F-8896-7F294E1A2CAE}"/>
    <cellStyle name="20% - Accent5 2 2 2 2 12" xfId="21845" xr:uid="{76B2A8D1-2DEB-4ADE-85B6-FF7FF1781FFD}"/>
    <cellStyle name="20% - Accent5 2 2 2 2 13" xfId="23735" xr:uid="{5492594F-2101-4602-ACF5-33A0BC8DC6CB}"/>
    <cellStyle name="20% - Accent5 2 2 2 2 14" xfId="25625" xr:uid="{C92572D8-C8EC-4CEE-A9FE-AD750EE65FA2}"/>
    <cellStyle name="20% - Accent5 2 2 2 2 15" xfId="27515" xr:uid="{6A7ED307-730E-4FB0-9EAA-FDD21BFF5900}"/>
    <cellStyle name="20% - Accent5 2 2 2 2 16" xfId="29405" xr:uid="{48BF1C1B-F0A1-44C2-8696-5EB60FD9C949}"/>
    <cellStyle name="20% - Accent5 2 2 2 2 17" xfId="31295" xr:uid="{9903FE39-569C-47AA-8296-97A0D28BB240}"/>
    <cellStyle name="20% - Accent5 2 2 2 2 18" xfId="33185" xr:uid="{60A7A7DE-0C77-4D58-86F3-3C1553EBE7E1}"/>
    <cellStyle name="20% - Accent5 2 2 2 2 19" xfId="35075" xr:uid="{D58F2D7F-8F19-49C3-A6D1-2AFA99A0F3DC}"/>
    <cellStyle name="20% - Accent5 2 2 2 2 2" xfId="2945" xr:uid="{34F484DD-E866-4BD6-ACC7-DEFD4AAF7E4A}"/>
    <cellStyle name="20% - Accent5 2 2 2 2 20" xfId="36965" xr:uid="{30D3237D-0327-4E78-B931-127F73BA08D9}"/>
    <cellStyle name="20% - Accent5 2 2 2 2 21" xfId="38855" xr:uid="{E23853E3-D91B-4F3C-9E13-763118B7DACD}"/>
    <cellStyle name="20% - Accent5 2 2 2 2 22" xfId="40746" xr:uid="{BA6F82CA-06E8-4654-AAFA-B0474FED2872}"/>
    <cellStyle name="20% - Accent5 2 2 2 2 3" xfId="4835" xr:uid="{A6E3BC20-3B3F-49EF-8656-2CBC8CEB3A2C}"/>
    <cellStyle name="20% - Accent5 2 2 2 2 4" xfId="6725" xr:uid="{EB7B0CA8-BDFC-4393-88F5-09B8A65A5D93}"/>
    <cellStyle name="20% - Accent5 2 2 2 2 5" xfId="8615" xr:uid="{B4796818-4447-4A0C-A91A-D5A24D454D0A}"/>
    <cellStyle name="20% - Accent5 2 2 2 2 6" xfId="10505" xr:uid="{A8802BD8-EC20-4D06-BFF7-2FA0A381D8C3}"/>
    <cellStyle name="20% - Accent5 2 2 2 2 7" xfId="12395" xr:uid="{70F518F5-88B9-4F1F-AEB5-FC3C9496FDD3}"/>
    <cellStyle name="20% - Accent5 2 2 2 2 8" xfId="14285" xr:uid="{C8ED005F-F9DC-42E7-9451-3FA5F76E3A2B}"/>
    <cellStyle name="20% - Accent5 2 2 2 2 9" xfId="16175" xr:uid="{B55FF71B-8E8A-40E0-B01C-3D57CF8722A9}"/>
    <cellStyle name="20% - Accent5 2 2 2 20" xfId="32555" xr:uid="{311803CE-4964-4F8B-B1AB-E69D5DE3EB0B}"/>
    <cellStyle name="20% - Accent5 2 2 2 21" xfId="34445" xr:uid="{94AA05EE-9B0C-4837-A36B-373EA2AE81BB}"/>
    <cellStyle name="20% - Accent5 2 2 2 22" xfId="36335" xr:uid="{1FE4427E-9CDA-4851-8A52-69E26E062F27}"/>
    <cellStyle name="20% - Accent5 2 2 2 23" xfId="38225" xr:uid="{61E27B42-1781-4DAB-A9F0-F14B89F9F08B}"/>
    <cellStyle name="20% - Accent5 2 2 2 24" xfId="40116" xr:uid="{47899A49-9798-4A2A-989F-F5054E2C1913}"/>
    <cellStyle name="20% - Accent5 2 2 2 3" xfId="1685" xr:uid="{99952D5A-9628-40E6-A39C-402DE61D6E8D}"/>
    <cellStyle name="20% - Accent5 2 2 2 3 10" xfId="18695" xr:uid="{5FDD5B13-8581-47E9-9BC0-2379A68ACE18}"/>
    <cellStyle name="20% - Accent5 2 2 2 3 11" xfId="20585" xr:uid="{EB915004-2D91-41D6-A91B-C53EB3B7E560}"/>
    <cellStyle name="20% - Accent5 2 2 2 3 12" xfId="22475" xr:uid="{D217FE4E-6D5C-4CC8-AA1C-603785F07F86}"/>
    <cellStyle name="20% - Accent5 2 2 2 3 13" xfId="24365" xr:uid="{37271C30-4623-496D-B565-5507BD222517}"/>
    <cellStyle name="20% - Accent5 2 2 2 3 14" xfId="26255" xr:uid="{3D132D78-2BE5-46AE-863E-EB7501A02BB8}"/>
    <cellStyle name="20% - Accent5 2 2 2 3 15" xfId="28145" xr:uid="{E1306F37-3835-4F7C-A520-EF3CE2DA9582}"/>
    <cellStyle name="20% - Accent5 2 2 2 3 16" xfId="30035" xr:uid="{92B8FE52-A4DA-4FB5-AED9-171687A74A6B}"/>
    <cellStyle name="20% - Accent5 2 2 2 3 17" xfId="31925" xr:uid="{69595B9B-EC8F-4ECB-B3BB-A71A7118323F}"/>
    <cellStyle name="20% - Accent5 2 2 2 3 18" xfId="33815" xr:uid="{9BE37057-A751-4BBF-92DA-5E2944A5A654}"/>
    <cellStyle name="20% - Accent5 2 2 2 3 19" xfId="35705" xr:uid="{91506365-DA1B-4352-9230-B4BFC96E29A8}"/>
    <cellStyle name="20% - Accent5 2 2 2 3 2" xfId="3575" xr:uid="{1072BBF9-2A75-41C7-B296-7ADD9073C614}"/>
    <cellStyle name="20% - Accent5 2 2 2 3 20" xfId="37595" xr:uid="{4FF34AB0-72BB-4D1C-B427-0673DE137259}"/>
    <cellStyle name="20% - Accent5 2 2 2 3 21" xfId="39485" xr:uid="{41E106B4-C44C-4D71-A716-5F61FC19CA89}"/>
    <cellStyle name="20% - Accent5 2 2 2 3 22" xfId="41376" xr:uid="{8ABD275E-5320-4BAF-86B7-4A0DB43DB294}"/>
    <cellStyle name="20% - Accent5 2 2 2 3 3" xfId="5465" xr:uid="{F1623E62-EAD8-498C-A0E1-FE9556D2E53A}"/>
    <cellStyle name="20% - Accent5 2 2 2 3 4" xfId="7355" xr:uid="{063697CE-230A-49D9-A0C2-CC8F3947D647}"/>
    <cellStyle name="20% - Accent5 2 2 2 3 5" xfId="9245" xr:uid="{C62ECE3A-67B1-4AF6-A506-743E0CF65BD8}"/>
    <cellStyle name="20% - Accent5 2 2 2 3 6" xfId="11135" xr:uid="{DE898499-8D04-4942-836F-D7AD01851E33}"/>
    <cellStyle name="20% - Accent5 2 2 2 3 7" xfId="13025" xr:uid="{27A7371E-2052-4ABC-B9D9-CE4BD0615453}"/>
    <cellStyle name="20% - Accent5 2 2 2 3 8" xfId="14915" xr:uid="{8615CBD0-957D-47C1-91D9-C5741F309DCE}"/>
    <cellStyle name="20% - Accent5 2 2 2 3 9" xfId="16805" xr:uid="{9DD3053D-B3D7-498D-967C-074C0BF4EFC9}"/>
    <cellStyle name="20% - Accent5 2 2 2 4" xfId="2315" xr:uid="{98A50CB5-E62A-4E53-8784-8BC977AB57DD}"/>
    <cellStyle name="20% - Accent5 2 2 2 5" xfId="4205" xr:uid="{335651D8-43B2-4263-8AF3-173536058532}"/>
    <cellStyle name="20% - Accent5 2 2 2 6" xfId="6095" xr:uid="{21762848-FF40-4DF5-95B7-2933886BD1A9}"/>
    <cellStyle name="20% - Accent5 2 2 2 7" xfId="7985" xr:uid="{8924939D-8EBF-49CA-A6D8-D107ADADFF17}"/>
    <cellStyle name="20% - Accent5 2 2 2 8" xfId="9875" xr:uid="{95D595C2-8DC0-45A2-943B-A2E6921C9D15}"/>
    <cellStyle name="20% - Accent5 2 2 2 9" xfId="11765" xr:uid="{E50B789B-3B83-4937-B753-2D61E95299BF}"/>
    <cellStyle name="20% - Accent5 2 2 20" xfId="28565" xr:uid="{DF3B376B-DDA5-40AA-B61F-FF3694037D0F}"/>
    <cellStyle name="20% - Accent5 2 2 21" xfId="30455" xr:uid="{E8AF5654-33C9-41A7-91CE-57C8319B823C}"/>
    <cellStyle name="20% - Accent5 2 2 22" xfId="32345" xr:uid="{FAF92769-B535-4F46-90A9-72BBBDCF170D}"/>
    <cellStyle name="20% - Accent5 2 2 23" xfId="34235" xr:uid="{74025D2E-50EA-43A0-BA4B-B4C2E43DDC37}"/>
    <cellStyle name="20% - Accent5 2 2 24" xfId="36125" xr:uid="{6D6F3523-FFAE-43E3-BFE8-FD99AE00A285}"/>
    <cellStyle name="20% - Accent5 2 2 25" xfId="38015" xr:uid="{0410D792-2626-42CB-9121-F98014EB62C7}"/>
    <cellStyle name="20% - Accent5 2 2 26" xfId="39906" xr:uid="{88F993A1-6240-4CC9-A67A-1108C1D93ACF}"/>
    <cellStyle name="20% - Accent5 2 2 3" xfId="635" xr:uid="{26DD24ED-F468-42D5-B51A-E19E2897E13E}"/>
    <cellStyle name="20% - Accent5 2 2 3 10" xfId="13865" xr:uid="{09728139-850A-4A84-9D8E-B2C77C7345DC}"/>
    <cellStyle name="20% - Accent5 2 2 3 11" xfId="15755" xr:uid="{DDBA0888-8CD3-4EC0-A98A-E7504FFD9BA2}"/>
    <cellStyle name="20% - Accent5 2 2 3 12" xfId="17645" xr:uid="{AA84213A-E715-4C55-93FB-A095A4C2CF41}"/>
    <cellStyle name="20% - Accent5 2 2 3 13" xfId="19535" xr:uid="{460198C9-719A-4A16-948C-6EE1EED96951}"/>
    <cellStyle name="20% - Accent5 2 2 3 14" xfId="21425" xr:uid="{6E90AEEA-B2F2-4528-999D-BD143A3B2951}"/>
    <cellStyle name="20% - Accent5 2 2 3 15" xfId="23315" xr:uid="{8A1543D0-243B-4836-9745-AE4F069C5C57}"/>
    <cellStyle name="20% - Accent5 2 2 3 16" xfId="25205" xr:uid="{62F33DD2-6DFA-433B-8803-D483845C1333}"/>
    <cellStyle name="20% - Accent5 2 2 3 17" xfId="27095" xr:uid="{328ABA8D-AD5E-488C-916A-4F070FC9B779}"/>
    <cellStyle name="20% - Accent5 2 2 3 18" xfId="28985" xr:uid="{4DA6FA26-A6AC-4E4B-95A7-3793EE1F5BDA}"/>
    <cellStyle name="20% - Accent5 2 2 3 19" xfId="30875" xr:uid="{EF82D22E-FA93-41C2-B3A0-3AD020B9DF56}"/>
    <cellStyle name="20% - Accent5 2 2 3 2" xfId="1265" xr:uid="{14EB43A9-9BBC-44C3-9005-A899BB43821F}"/>
    <cellStyle name="20% - Accent5 2 2 3 2 10" xfId="18275" xr:uid="{43C2B72A-53F7-4495-9E1C-79AFCB19178F}"/>
    <cellStyle name="20% - Accent5 2 2 3 2 11" xfId="20165" xr:uid="{69C88064-7C64-4378-8B15-825915C57FE3}"/>
    <cellStyle name="20% - Accent5 2 2 3 2 12" xfId="22055" xr:uid="{F0B434DA-387D-4531-A7B5-3BBC516F62D7}"/>
    <cellStyle name="20% - Accent5 2 2 3 2 13" xfId="23945" xr:uid="{73471690-4664-43ED-930D-88CC7F3DFB48}"/>
    <cellStyle name="20% - Accent5 2 2 3 2 14" xfId="25835" xr:uid="{95B92DB6-25E7-4EAC-A6C5-BD33061C232E}"/>
    <cellStyle name="20% - Accent5 2 2 3 2 15" xfId="27725" xr:uid="{FF61528F-3C55-4F3F-83F0-F41CE13FD2ED}"/>
    <cellStyle name="20% - Accent5 2 2 3 2 16" xfId="29615" xr:uid="{5655A9B5-B825-4558-815A-84596A560684}"/>
    <cellStyle name="20% - Accent5 2 2 3 2 17" xfId="31505" xr:uid="{3CD5007A-75DE-4079-B7BD-6852CC2FF444}"/>
    <cellStyle name="20% - Accent5 2 2 3 2 18" xfId="33395" xr:uid="{8EAF06E7-7807-4BCB-8080-35A5B9038023}"/>
    <cellStyle name="20% - Accent5 2 2 3 2 19" xfId="35285" xr:uid="{D15E3E9B-1F42-4BA5-8B89-81E586E73D3B}"/>
    <cellStyle name="20% - Accent5 2 2 3 2 2" xfId="3155" xr:uid="{D78225C6-2508-4449-9230-6A72BCA74088}"/>
    <cellStyle name="20% - Accent5 2 2 3 2 20" xfId="37175" xr:uid="{4909BFBE-403B-4D60-99F2-F8DD3BCECD6B}"/>
    <cellStyle name="20% - Accent5 2 2 3 2 21" xfId="39065" xr:uid="{27DE52F3-0AF3-40FB-87CC-E9119986C2DF}"/>
    <cellStyle name="20% - Accent5 2 2 3 2 22" xfId="40956" xr:uid="{9E537E17-713B-4ECA-B0F6-EEE4E66701E7}"/>
    <cellStyle name="20% - Accent5 2 2 3 2 3" xfId="5045" xr:uid="{12738773-EF48-4199-BB06-96F8364F65BF}"/>
    <cellStyle name="20% - Accent5 2 2 3 2 4" xfId="6935" xr:uid="{EB13C21F-D80D-4EAA-87C3-2DA6E6AEA4F3}"/>
    <cellStyle name="20% - Accent5 2 2 3 2 5" xfId="8825" xr:uid="{F99F73C7-CF16-474D-B28E-3D875DFD6145}"/>
    <cellStyle name="20% - Accent5 2 2 3 2 6" xfId="10715" xr:uid="{E788D477-C577-41A0-BEFF-46F6AA531818}"/>
    <cellStyle name="20% - Accent5 2 2 3 2 7" xfId="12605" xr:uid="{6FA38308-4972-40A9-B98A-653BC2F2796D}"/>
    <cellStyle name="20% - Accent5 2 2 3 2 8" xfId="14495" xr:uid="{9C971046-5E14-497E-B5FF-9AD24B17A5E0}"/>
    <cellStyle name="20% - Accent5 2 2 3 2 9" xfId="16385" xr:uid="{FD313522-F457-4CB1-971B-057FAD828665}"/>
    <cellStyle name="20% - Accent5 2 2 3 20" xfId="32765" xr:uid="{96960767-3A63-4CFF-B2C7-B682ABBB87A8}"/>
    <cellStyle name="20% - Accent5 2 2 3 21" xfId="34655" xr:uid="{8920C78E-58CB-417F-8C59-CDAE226A9C20}"/>
    <cellStyle name="20% - Accent5 2 2 3 22" xfId="36545" xr:uid="{0EFF1A14-5C30-4F8F-BA4A-D2E51DD3A8D7}"/>
    <cellStyle name="20% - Accent5 2 2 3 23" xfId="38435" xr:uid="{EFF04BAC-C95C-4F03-B4EC-E728186A35D2}"/>
    <cellStyle name="20% - Accent5 2 2 3 24" xfId="40326" xr:uid="{A5BFA1B7-0B6B-45F1-8BE8-6FC54E21A04A}"/>
    <cellStyle name="20% - Accent5 2 2 3 3" xfId="1895" xr:uid="{8E15933C-5E9E-408B-B81E-10B1A48293BA}"/>
    <cellStyle name="20% - Accent5 2 2 3 3 10" xfId="18905" xr:uid="{81E5E40C-151B-4B64-B05F-8AECBED5BCE5}"/>
    <cellStyle name="20% - Accent5 2 2 3 3 11" xfId="20795" xr:uid="{E942FA13-5AC1-498A-A988-022F116916C1}"/>
    <cellStyle name="20% - Accent5 2 2 3 3 12" xfId="22685" xr:uid="{E792E77C-EFFA-49D4-A397-13A1421E9F69}"/>
    <cellStyle name="20% - Accent5 2 2 3 3 13" xfId="24575" xr:uid="{0A7DF7E0-F48F-461D-AF77-5A5786FDAAEB}"/>
    <cellStyle name="20% - Accent5 2 2 3 3 14" xfId="26465" xr:uid="{999D5285-8716-4C9A-9256-731D75F27717}"/>
    <cellStyle name="20% - Accent5 2 2 3 3 15" xfId="28355" xr:uid="{21A05F55-E9BA-47D4-8341-487DB36C83CD}"/>
    <cellStyle name="20% - Accent5 2 2 3 3 16" xfId="30245" xr:uid="{08723F76-8D29-4845-BFAC-FEC930BE1AB1}"/>
    <cellStyle name="20% - Accent5 2 2 3 3 17" xfId="32135" xr:uid="{1F7B70C9-05DA-40EF-9511-FCE9DADA97D3}"/>
    <cellStyle name="20% - Accent5 2 2 3 3 18" xfId="34025" xr:uid="{6C6F8C7D-049F-4D24-82C7-B82CA2F4F62A}"/>
    <cellStyle name="20% - Accent5 2 2 3 3 19" xfId="35915" xr:uid="{E293DDC7-26C9-4727-B370-36FFA6352035}"/>
    <cellStyle name="20% - Accent5 2 2 3 3 2" xfId="3785" xr:uid="{5FD0D1BA-C141-498C-AFF2-7250830A1ECF}"/>
    <cellStyle name="20% - Accent5 2 2 3 3 20" xfId="37805" xr:uid="{9DF545F2-3A98-4C7F-8566-A66B5D4430C5}"/>
    <cellStyle name="20% - Accent5 2 2 3 3 21" xfId="39695" xr:uid="{2CC9187B-8575-4A38-B04D-9050921235D0}"/>
    <cellStyle name="20% - Accent5 2 2 3 3 22" xfId="41586" xr:uid="{5EDB2012-A372-48ED-B16C-40CA230BD31A}"/>
    <cellStyle name="20% - Accent5 2 2 3 3 3" xfId="5675" xr:uid="{14F93E7C-72B2-40D4-8C5E-E919879E3045}"/>
    <cellStyle name="20% - Accent5 2 2 3 3 4" xfId="7565" xr:uid="{D1928143-8722-4D7E-A724-07C512FD2F8A}"/>
    <cellStyle name="20% - Accent5 2 2 3 3 5" xfId="9455" xr:uid="{4E8140E2-64BB-4140-B421-F89ADAB31476}"/>
    <cellStyle name="20% - Accent5 2 2 3 3 6" xfId="11345" xr:uid="{F69E82EA-B200-4245-BA68-8328C07001F4}"/>
    <cellStyle name="20% - Accent5 2 2 3 3 7" xfId="13235" xr:uid="{7DCF145E-25EB-45AD-865D-61733422DFE9}"/>
    <cellStyle name="20% - Accent5 2 2 3 3 8" xfId="15125" xr:uid="{54D5DF8E-847D-46A9-8EA0-62E06BEDFC20}"/>
    <cellStyle name="20% - Accent5 2 2 3 3 9" xfId="17015" xr:uid="{E0689844-EB24-41BB-9631-A1B774899114}"/>
    <cellStyle name="20% - Accent5 2 2 3 4" xfId="2525" xr:uid="{A505178C-E1B3-40C3-B043-0B6B1BC30678}"/>
    <cellStyle name="20% - Accent5 2 2 3 5" xfId="4415" xr:uid="{09404589-C9CC-480A-A6FB-88F7923C8016}"/>
    <cellStyle name="20% - Accent5 2 2 3 6" xfId="6305" xr:uid="{EAD59231-7EDD-4657-A354-1C61E0EED294}"/>
    <cellStyle name="20% - Accent5 2 2 3 7" xfId="8195" xr:uid="{BA7A9C3C-97AB-4A29-942F-F78FB7B91168}"/>
    <cellStyle name="20% - Accent5 2 2 3 8" xfId="10085" xr:uid="{59E754E8-0B36-4FEB-9363-164D5B3BDD52}"/>
    <cellStyle name="20% - Accent5 2 2 3 9" xfId="11975" xr:uid="{474C79AF-1B6B-4E26-80AB-7CB12B2065E2}"/>
    <cellStyle name="20% - Accent5 2 2 4" xfId="845" xr:uid="{BBFDD12D-5983-40DE-AFEB-3717B9462546}"/>
    <cellStyle name="20% - Accent5 2 2 4 10" xfId="17855" xr:uid="{59CB7922-A6BC-4D9D-B225-187958030DCC}"/>
    <cellStyle name="20% - Accent5 2 2 4 11" xfId="19745" xr:uid="{74B5F211-3239-4C15-B93A-036865265DD0}"/>
    <cellStyle name="20% - Accent5 2 2 4 12" xfId="21635" xr:uid="{8F268870-2381-49E7-AEF2-EF5C60F610B3}"/>
    <cellStyle name="20% - Accent5 2 2 4 13" xfId="23525" xr:uid="{EA70E900-D153-496B-A178-96723553EE27}"/>
    <cellStyle name="20% - Accent5 2 2 4 14" xfId="25415" xr:uid="{6A626CC7-A15E-47C2-B616-FF1C6FB79FBE}"/>
    <cellStyle name="20% - Accent5 2 2 4 15" xfId="27305" xr:uid="{917D8100-DA78-4699-AE9E-C6130B536751}"/>
    <cellStyle name="20% - Accent5 2 2 4 16" xfId="29195" xr:uid="{940CD88A-873A-4B48-9170-06E882AF40C2}"/>
    <cellStyle name="20% - Accent5 2 2 4 17" xfId="31085" xr:uid="{2C9ACB94-85BE-4F16-A23D-424768081465}"/>
    <cellStyle name="20% - Accent5 2 2 4 18" xfId="32975" xr:uid="{71947418-BE8D-4317-BEAA-2F4C03525C74}"/>
    <cellStyle name="20% - Accent5 2 2 4 19" xfId="34865" xr:uid="{66AA47B3-DF7E-45DE-813D-A9B11E9CCCAB}"/>
    <cellStyle name="20% - Accent5 2 2 4 2" xfId="2735" xr:uid="{7FF4BE27-0A2F-4770-8CF4-C15915E0AD66}"/>
    <cellStyle name="20% - Accent5 2 2 4 20" xfId="36755" xr:uid="{E4FA8BE4-53A2-4CA8-88EC-6B1EC2B86778}"/>
    <cellStyle name="20% - Accent5 2 2 4 21" xfId="38645" xr:uid="{A6A31209-7520-4B07-99C4-CD69534A9297}"/>
    <cellStyle name="20% - Accent5 2 2 4 22" xfId="40536" xr:uid="{97746A78-8BC0-4DC2-8CB1-D93303B8610A}"/>
    <cellStyle name="20% - Accent5 2 2 4 3" xfId="4625" xr:uid="{F796976C-DFAE-4BC4-AF6A-0B6B99B68A3E}"/>
    <cellStyle name="20% - Accent5 2 2 4 4" xfId="6515" xr:uid="{048C0491-248D-4F83-A4CB-8B7501500007}"/>
    <cellStyle name="20% - Accent5 2 2 4 5" xfId="8405" xr:uid="{BBDD3884-78F9-449C-8B08-25C4EC2FCBD9}"/>
    <cellStyle name="20% - Accent5 2 2 4 6" xfId="10295" xr:uid="{944A99B3-78A8-4FB0-85F3-AE1EA9A6C80E}"/>
    <cellStyle name="20% - Accent5 2 2 4 7" xfId="12185" xr:uid="{E69BB76F-A25D-4437-8CA4-D930335C8A8C}"/>
    <cellStyle name="20% - Accent5 2 2 4 8" xfId="14075" xr:uid="{D1558205-66F7-49A7-9412-7FB22E28594F}"/>
    <cellStyle name="20% - Accent5 2 2 4 9" xfId="15965" xr:uid="{0FF9810D-1259-43B2-BA50-A407807F0449}"/>
    <cellStyle name="20% - Accent5 2 2 5" xfId="1475" xr:uid="{A8065CAD-9E36-4740-92AF-9E6154D9805B}"/>
    <cellStyle name="20% - Accent5 2 2 5 10" xfId="18485" xr:uid="{E5374993-8C2B-4BDC-B30A-767200DACAE3}"/>
    <cellStyle name="20% - Accent5 2 2 5 11" xfId="20375" xr:uid="{0E4E746D-1AB8-4D9B-845B-DFAC981B8B51}"/>
    <cellStyle name="20% - Accent5 2 2 5 12" xfId="22265" xr:uid="{8BA1794F-2E06-4932-B915-BFD9B327D10E}"/>
    <cellStyle name="20% - Accent5 2 2 5 13" xfId="24155" xr:uid="{A662E1CE-D054-4947-94A0-5E85283C4F9C}"/>
    <cellStyle name="20% - Accent5 2 2 5 14" xfId="26045" xr:uid="{F5B66CAF-3133-4FDE-8EF7-B9ED99B98BAD}"/>
    <cellStyle name="20% - Accent5 2 2 5 15" xfId="27935" xr:uid="{0F53BB2E-F38B-457A-A649-1D88F528A1A8}"/>
    <cellStyle name="20% - Accent5 2 2 5 16" xfId="29825" xr:uid="{8BCB1645-7BE0-4BD6-A15E-A76AFFA12812}"/>
    <cellStyle name="20% - Accent5 2 2 5 17" xfId="31715" xr:uid="{EF421E0F-DC5F-4CBA-A00D-F13765607EAD}"/>
    <cellStyle name="20% - Accent5 2 2 5 18" xfId="33605" xr:uid="{92AC0142-910C-4EBE-AEF0-FCCC8A8BCC47}"/>
    <cellStyle name="20% - Accent5 2 2 5 19" xfId="35495" xr:uid="{38586DF5-6D71-4352-BEE5-687F0FF95412}"/>
    <cellStyle name="20% - Accent5 2 2 5 2" xfId="3365" xr:uid="{95243227-3ECD-49E7-A9B9-646FE69A248D}"/>
    <cellStyle name="20% - Accent5 2 2 5 20" xfId="37385" xr:uid="{810A4643-734E-4F56-B56F-82445BCC43C1}"/>
    <cellStyle name="20% - Accent5 2 2 5 21" xfId="39275" xr:uid="{37CE6D4E-B04F-47F5-920F-5AE4F486CF19}"/>
    <cellStyle name="20% - Accent5 2 2 5 22" xfId="41166" xr:uid="{62DE2EA1-B1DC-40C5-9DCA-11885348F4BF}"/>
    <cellStyle name="20% - Accent5 2 2 5 3" xfId="5255" xr:uid="{73076B9F-98D6-4173-A792-83E873CDADB7}"/>
    <cellStyle name="20% - Accent5 2 2 5 4" xfId="7145" xr:uid="{1F9AA6A4-366D-4250-BA73-10A761852B8E}"/>
    <cellStyle name="20% - Accent5 2 2 5 5" xfId="9035" xr:uid="{BDD48270-97DC-47C4-AD1A-28318A138ACD}"/>
    <cellStyle name="20% - Accent5 2 2 5 6" xfId="10925" xr:uid="{1C9D915E-592A-4480-8411-1F2F5E1F891A}"/>
    <cellStyle name="20% - Accent5 2 2 5 7" xfId="12815" xr:uid="{60BAB081-B925-4378-A2FB-F9772064149A}"/>
    <cellStyle name="20% - Accent5 2 2 5 8" xfId="14705" xr:uid="{440B7226-0233-4837-9DFE-6BC7D22DFB3F}"/>
    <cellStyle name="20% - Accent5 2 2 5 9" xfId="16595" xr:uid="{D3613C2F-6988-4FE3-A16B-F6AC78F79339}"/>
    <cellStyle name="20% - Accent5 2 2 6" xfId="2105" xr:uid="{68FCC241-1F67-448B-AEE6-E3D753F2A29D}"/>
    <cellStyle name="20% - Accent5 2 2 7" xfId="3995" xr:uid="{B79A6998-A621-4452-BD81-9094D43CFE14}"/>
    <cellStyle name="20% - Accent5 2 2 8" xfId="5885" xr:uid="{C9507E0F-616F-497D-8EF5-74B9E2366B66}"/>
    <cellStyle name="20% - Accent5 2 2 9" xfId="7775" xr:uid="{A032E5C4-C5A0-4EB1-991C-CE0FF9E7369B}"/>
    <cellStyle name="20% - Accent5 2 20" xfId="26570" xr:uid="{9B00C294-8435-4356-B0A9-9FA79F238F1A}"/>
    <cellStyle name="20% - Accent5 2 21" xfId="28460" xr:uid="{5505BBFB-695A-4716-B965-780AA06B9D8D}"/>
    <cellStyle name="20% - Accent5 2 22" xfId="30350" xr:uid="{44FF238B-2A17-4452-AFCE-695AC55AE4B4}"/>
    <cellStyle name="20% - Accent5 2 23" xfId="32240" xr:uid="{4E0FF173-54BF-4015-A438-585C37F5ADB9}"/>
    <cellStyle name="20% - Accent5 2 24" xfId="34130" xr:uid="{DFBBC4B6-CEA4-4B4C-BD46-77860BD8EB8D}"/>
    <cellStyle name="20% - Accent5 2 25" xfId="36020" xr:uid="{682DA9AB-78FD-4F46-8E33-8C0D8C88FCDB}"/>
    <cellStyle name="20% - Accent5 2 26" xfId="37910" xr:uid="{A8F2ECBC-F4BB-45DA-A8DB-AB6A692C1104}"/>
    <cellStyle name="20% - Accent5 2 27" xfId="39801" xr:uid="{CEF41976-E1B7-4D1A-BE1F-A166D7D90B25}"/>
    <cellStyle name="20% - Accent5 2 3" xfId="320" xr:uid="{AB6A60B1-E77D-4CA0-8577-985C48C23F1A}"/>
    <cellStyle name="20% - Accent5 2 3 10" xfId="13550" xr:uid="{758BAC55-A07F-4850-BBCD-88C8F436B9D7}"/>
    <cellStyle name="20% - Accent5 2 3 11" xfId="15440" xr:uid="{8E2B4774-D0C9-4C4F-994A-31B6B8400690}"/>
    <cellStyle name="20% - Accent5 2 3 12" xfId="17330" xr:uid="{D0D2DA4D-C059-4340-9B7D-7ADFFE325CFE}"/>
    <cellStyle name="20% - Accent5 2 3 13" xfId="19220" xr:uid="{62EDC86D-DEBC-425F-8CEF-46DD98D68B5F}"/>
    <cellStyle name="20% - Accent5 2 3 14" xfId="21110" xr:uid="{C7AFB8C0-F492-44D8-B31D-8ABA3B70428D}"/>
    <cellStyle name="20% - Accent5 2 3 15" xfId="23000" xr:uid="{1526BBFD-EE7A-4DB9-934A-492F8C2F2F04}"/>
    <cellStyle name="20% - Accent5 2 3 16" xfId="24890" xr:uid="{9F7BBCAE-4C47-4209-B56B-4EDF7B88AB62}"/>
    <cellStyle name="20% - Accent5 2 3 17" xfId="26780" xr:uid="{2B42B84D-BB31-4F3C-B510-6EEFBA0616DA}"/>
    <cellStyle name="20% - Accent5 2 3 18" xfId="28670" xr:uid="{80150102-1958-4726-A436-33CD4CA2ED3C}"/>
    <cellStyle name="20% - Accent5 2 3 19" xfId="30560" xr:uid="{40A8EF2D-1CF5-47A1-B3A3-4C27802BAFA2}"/>
    <cellStyle name="20% - Accent5 2 3 2" xfId="950" xr:uid="{4E05DD0E-C56C-4AA0-94D4-5CF125A13412}"/>
    <cellStyle name="20% - Accent5 2 3 2 10" xfId="17960" xr:uid="{61AED329-4E01-4043-B358-1BE745211AB2}"/>
    <cellStyle name="20% - Accent5 2 3 2 11" xfId="19850" xr:uid="{BEA205D1-390E-42AD-ABE5-C23C0297FD11}"/>
    <cellStyle name="20% - Accent5 2 3 2 12" xfId="21740" xr:uid="{437BAF2D-3BC0-4E33-B529-83FADFC68FE9}"/>
    <cellStyle name="20% - Accent5 2 3 2 13" xfId="23630" xr:uid="{AC5FE325-7AFF-41E3-9FFC-CCDBC0DCCF9B}"/>
    <cellStyle name="20% - Accent5 2 3 2 14" xfId="25520" xr:uid="{B2413C7B-8738-447F-B290-120E36408203}"/>
    <cellStyle name="20% - Accent5 2 3 2 15" xfId="27410" xr:uid="{36548DA7-9DAF-4675-9096-688B62A1D238}"/>
    <cellStyle name="20% - Accent5 2 3 2 16" xfId="29300" xr:uid="{C36FE62F-7474-4C2C-8177-B2E383A878B1}"/>
    <cellStyle name="20% - Accent5 2 3 2 17" xfId="31190" xr:uid="{A611782C-BCD5-430F-BA85-4ED48B9F0836}"/>
    <cellStyle name="20% - Accent5 2 3 2 18" xfId="33080" xr:uid="{C3BD2CD6-BB42-482C-ACA6-A7B1D383DDA4}"/>
    <cellStyle name="20% - Accent5 2 3 2 19" xfId="34970" xr:uid="{39AC9AAA-7440-48EE-B114-823B274C19E6}"/>
    <cellStyle name="20% - Accent5 2 3 2 2" xfId="2840" xr:uid="{E45A78E0-DBB2-4AAE-9FFA-874F1C2361B2}"/>
    <cellStyle name="20% - Accent5 2 3 2 20" xfId="36860" xr:uid="{B974D773-51A6-4880-AF69-1DE4CD7857DB}"/>
    <cellStyle name="20% - Accent5 2 3 2 21" xfId="38750" xr:uid="{AAA0FB15-CCDA-4691-9CE0-B775B1946F19}"/>
    <cellStyle name="20% - Accent5 2 3 2 22" xfId="40641" xr:uid="{E5EFC956-2911-4784-86F3-9B03A6CC6269}"/>
    <cellStyle name="20% - Accent5 2 3 2 3" xfId="4730" xr:uid="{99FE340E-DB0F-4FB6-99E5-590F3F70AA0C}"/>
    <cellStyle name="20% - Accent5 2 3 2 4" xfId="6620" xr:uid="{C14C4E87-C28D-4C8A-9853-825E9212002A}"/>
    <cellStyle name="20% - Accent5 2 3 2 5" xfId="8510" xr:uid="{61A91FEA-7812-4798-A313-FBB3A49D30D5}"/>
    <cellStyle name="20% - Accent5 2 3 2 6" xfId="10400" xr:uid="{FAC57616-8674-4C1D-856A-46B21341576E}"/>
    <cellStyle name="20% - Accent5 2 3 2 7" xfId="12290" xr:uid="{EE8306F9-C7D7-426C-905B-07AAA669CE21}"/>
    <cellStyle name="20% - Accent5 2 3 2 8" xfId="14180" xr:uid="{F22CB425-3323-41F8-A648-E2EFF69F4607}"/>
    <cellStyle name="20% - Accent5 2 3 2 9" xfId="16070" xr:uid="{8F1F08AB-3EBC-4A29-843A-F85BB3FEF397}"/>
    <cellStyle name="20% - Accent5 2 3 20" xfId="32450" xr:uid="{2D3F3535-BA7D-4363-8495-CD7384F33F2A}"/>
    <cellStyle name="20% - Accent5 2 3 21" xfId="34340" xr:uid="{A1677ABE-6C40-4000-8275-3F04D5E23C26}"/>
    <cellStyle name="20% - Accent5 2 3 22" xfId="36230" xr:uid="{A84BEC1B-91F1-4927-A3D2-B5AE6D019349}"/>
    <cellStyle name="20% - Accent5 2 3 23" xfId="38120" xr:uid="{BBC83735-3EB6-45CF-A625-7EE44ECC952B}"/>
    <cellStyle name="20% - Accent5 2 3 24" xfId="40011" xr:uid="{FA9FC63C-3950-4A2E-884B-A0E34C2C6964}"/>
    <cellStyle name="20% - Accent5 2 3 3" xfId="1580" xr:uid="{334FF4AA-062B-46B9-B54C-826EACB23EEC}"/>
    <cellStyle name="20% - Accent5 2 3 3 10" xfId="18590" xr:uid="{54493D27-0F4A-4217-B5C2-86618CA8EB8F}"/>
    <cellStyle name="20% - Accent5 2 3 3 11" xfId="20480" xr:uid="{A3BB8609-2AF0-4051-B4E1-1CA15E7F74D9}"/>
    <cellStyle name="20% - Accent5 2 3 3 12" xfId="22370" xr:uid="{055529EE-9004-4363-8FA5-9C98B148E04E}"/>
    <cellStyle name="20% - Accent5 2 3 3 13" xfId="24260" xr:uid="{969FB0EE-A702-4F80-811C-DF678098BA91}"/>
    <cellStyle name="20% - Accent5 2 3 3 14" xfId="26150" xr:uid="{6C8C4A82-F515-4C6E-A598-4C4C364D5787}"/>
    <cellStyle name="20% - Accent5 2 3 3 15" xfId="28040" xr:uid="{FA79E8A8-209B-40E8-A958-64CA1EB3C1B9}"/>
    <cellStyle name="20% - Accent5 2 3 3 16" xfId="29930" xr:uid="{184BD39F-D309-41C3-A257-BB52034382A6}"/>
    <cellStyle name="20% - Accent5 2 3 3 17" xfId="31820" xr:uid="{88E322B0-CCEB-4D59-95D6-1039853D34DF}"/>
    <cellStyle name="20% - Accent5 2 3 3 18" xfId="33710" xr:uid="{95B30352-A85B-4575-8C08-58C4CDAF13AE}"/>
    <cellStyle name="20% - Accent5 2 3 3 19" xfId="35600" xr:uid="{7ED76AD5-6847-4731-A330-D1E75274C312}"/>
    <cellStyle name="20% - Accent5 2 3 3 2" xfId="3470" xr:uid="{A42D8A46-563F-4126-8488-D821AC72F979}"/>
    <cellStyle name="20% - Accent5 2 3 3 20" xfId="37490" xr:uid="{9ADA3F9E-B6F6-4B0C-A185-C094847CF4FB}"/>
    <cellStyle name="20% - Accent5 2 3 3 21" xfId="39380" xr:uid="{85FF9244-F795-42C3-89F3-506F95432B41}"/>
    <cellStyle name="20% - Accent5 2 3 3 22" xfId="41271" xr:uid="{7C820F9B-6241-40D0-8E70-C92DAAD28493}"/>
    <cellStyle name="20% - Accent5 2 3 3 3" xfId="5360" xr:uid="{29747BC7-F4C0-4EC4-B049-3240FF2FC506}"/>
    <cellStyle name="20% - Accent5 2 3 3 4" xfId="7250" xr:uid="{5E9EAE49-02BB-4A0B-B110-6AB7D431C0C3}"/>
    <cellStyle name="20% - Accent5 2 3 3 5" xfId="9140" xr:uid="{BCC14B53-E0C4-4F14-9592-3DBAB35C40A5}"/>
    <cellStyle name="20% - Accent5 2 3 3 6" xfId="11030" xr:uid="{F00715BF-8122-4B3A-92EF-385FB0EDDE6D}"/>
    <cellStyle name="20% - Accent5 2 3 3 7" xfId="12920" xr:uid="{ACF254EA-81C3-4DB8-90D5-843262718BC6}"/>
    <cellStyle name="20% - Accent5 2 3 3 8" xfId="14810" xr:uid="{E4E5F77E-85FF-45A8-9722-A99F1EF9D8CE}"/>
    <cellStyle name="20% - Accent5 2 3 3 9" xfId="16700" xr:uid="{C6C1213E-819A-4000-94B0-9275A40A9668}"/>
    <cellStyle name="20% - Accent5 2 3 4" xfId="2210" xr:uid="{C70834A6-081C-4796-B5B2-ABCEDF277821}"/>
    <cellStyle name="20% - Accent5 2 3 5" xfId="4100" xr:uid="{85EF3A5F-E957-43A5-B002-14E59D708AF1}"/>
    <cellStyle name="20% - Accent5 2 3 6" xfId="5990" xr:uid="{9BC65551-1FB5-481B-8300-75DC846D4519}"/>
    <cellStyle name="20% - Accent5 2 3 7" xfId="7880" xr:uid="{278E4BF4-E7E3-4C72-A6E3-1E4D9FEA3808}"/>
    <cellStyle name="20% - Accent5 2 3 8" xfId="9770" xr:uid="{73FB7908-8829-46A8-9AA9-17CDBCD7445A}"/>
    <cellStyle name="20% - Accent5 2 3 9" xfId="11660" xr:uid="{6300EF44-3C66-49EC-A866-479277C0EAD9}"/>
    <cellStyle name="20% - Accent5 2 4" xfId="530" xr:uid="{721141C8-098A-4033-BB34-08A6D3CFBF25}"/>
    <cellStyle name="20% - Accent5 2 4 10" xfId="13760" xr:uid="{243F85BE-3C91-4503-883C-F8CC6713DAD5}"/>
    <cellStyle name="20% - Accent5 2 4 11" xfId="15650" xr:uid="{83E39F88-CBCA-43A9-9309-EAE20B611620}"/>
    <cellStyle name="20% - Accent5 2 4 12" xfId="17540" xr:uid="{6A1C517D-E71C-443B-AF73-94C7BFE1FBD0}"/>
    <cellStyle name="20% - Accent5 2 4 13" xfId="19430" xr:uid="{AE6CB24B-4B9D-4633-BE29-5C071E5EA77D}"/>
    <cellStyle name="20% - Accent5 2 4 14" xfId="21320" xr:uid="{454F1109-4BFC-4DF3-A69B-14E6A0168A2C}"/>
    <cellStyle name="20% - Accent5 2 4 15" xfId="23210" xr:uid="{454B575D-DBA6-4F13-833F-279519415C48}"/>
    <cellStyle name="20% - Accent5 2 4 16" xfId="25100" xr:uid="{E01A3C7B-1470-429D-97F8-B9E26EC40E31}"/>
    <cellStyle name="20% - Accent5 2 4 17" xfId="26990" xr:uid="{DDAF8F51-C9DE-4942-B3B0-9B10B213C907}"/>
    <cellStyle name="20% - Accent5 2 4 18" xfId="28880" xr:uid="{0F53E4A1-2209-4B5C-8FCF-7308F6DAD177}"/>
    <cellStyle name="20% - Accent5 2 4 19" xfId="30770" xr:uid="{BD3A1F76-496E-462E-969A-0ABA8304BEB7}"/>
    <cellStyle name="20% - Accent5 2 4 2" xfId="1160" xr:uid="{E2A43954-2C7D-444D-B3DF-4952981B7600}"/>
    <cellStyle name="20% - Accent5 2 4 2 10" xfId="18170" xr:uid="{E5B0EEBD-36AC-4D2A-AA0E-98CEBF59B937}"/>
    <cellStyle name="20% - Accent5 2 4 2 11" xfId="20060" xr:uid="{1993D7B3-DF3C-4CC1-B9CF-472B0DEB617C}"/>
    <cellStyle name="20% - Accent5 2 4 2 12" xfId="21950" xr:uid="{DAD320BD-F00F-4CD3-80A6-3884BECA7BC4}"/>
    <cellStyle name="20% - Accent5 2 4 2 13" xfId="23840" xr:uid="{4F8A9282-EB73-4A70-85A8-37422838C0CB}"/>
    <cellStyle name="20% - Accent5 2 4 2 14" xfId="25730" xr:uid="{3F7F8669-AD40-40E7-B82B-5B6AD6CF5EAF}"/>
    <cellStyle name="20% - Accent5 2 4 2 15" xfId="27620" xr:uid="{6D19E75C-43D9-4475-A4FA-1A9AA7EF008A}"/>
    <cellStyle name="20% - Accent5 2 4 2 16" xfId="29510" xr:uid="{5543CE23-AB3F-4B18-90E0-0945AB129661}"/>
    <cellStyle name="20% - Accent5 2 4 2 17" xfId="31400" xr:uid="{5E7E4ECC-0AF2-4EE9-8EF5-723396E4F841}"/>
    <cellStyle name="20% - Accent5 2 4 2 18" xfId="33290" xr:uid="{9C2755BA-F187-451B-845B-75ADFC7D1DF2}"/>
    <cellStyle name="20% - Accent5 2 4 2 19" xfId="35180" xr:uid="{65046D17-5E54-4624-A1A8-9275A7141D4F}"/>
    <cellStyle name="20% - Accent5 2 4 2 2" xfId="3050" xr:uid="{3524ED6C-4D59-4CCD-AE22-B29588F3DA29}"/>
    <cellStyle name="20% - Accent5 2 4 2 20" xfId="37070" xr:uid="{A794FCDE-CBB6-449E-AA31-E5B58BF6511E}"/>
    <cellStyle name="20% - Accent5 2 4 2 21" xfId="38960" xr:uid="{1F2EB81F-6B5F-4646-A87F-6A8535B18865}"/>
    <cellStyle name="20% - Accent5 2 4 2 22" xfId="40851" xr:uid="{061189CB-0606-40BE-8401-CA7B741E535F}"/>
    <cellStyle name="20% - Accent5 2 4 2 3" xfId="4940" xr:uid="{09CB91A5-83C5-4092-86E0-4890CD045D72}"/>
    <cellStyle name="20% - Accent5 2 4 2 4" xfId="6830" xr:uid="{72823DF5-A0AA-4323-9ADC-499DFE980AC3}"/>
    <cellStyle name="20% - Accent5 2 4 2 5" xfId="8720" xr:uid="{363B33EC-9148-43D3-A4BF-7B86651AA875}"/>
    <cellStyle name="20% - Accent5 2 4 2 6" xfId="10610" xr:uid="{D2514023-8817-481E-9B5F-0F06979A3681}"/>
    <cellStyle name="20% - Accent5 2 4 2 7" xfId="12500" xr:uid="{07CC20F5-1918-4831-9AE0-EA01C6D8B32A}"/>
    <cellStyle name="20% - Accent5 2 4 2 8" xfId="14390" xr:uid="{FCEEC965-DD2D-4E8E-8533-52BF80C7D429}"/>
    <cellStyle name="20% - Accent5 2 4 2 9" xfId="16280" xr:uid="{2C11612E-A792-45D8-A49D-FCA713B24AA6}"/>
    <cellStyle name="20% - Accent5 2 4 20" xfId="32660" xr:uid="{18870E75-B5A6-4CC7-A167-F1FBCF8D2137}"/>
    <cellStyle name="20% - Accent5 2 4 21" xfId="34550" xr:uid="{3CE79E22-32E3-4A77-9AD2-9B491E716C50}"/>
    <cellStyle name="20% - Accent5 2 4 22" xfId="36440" xr:uid="{E29EA7CB-F7A9-4432-8B93-0F99C8CA44B8}"/>
    <cellStyle name="20% - Accent5 2 4 23" xfId="38330" xr:uid="{991F526A-CDE9-4757-B82C-D195C9E79633}"/>
    <cellStyle name="20% - Accent5 2 4 24" xfId="40221" xr:uid="{1C72D113-48FB-45C8-A2F4-60CDD130E3F9}"/>
    <cellStyle name="20% - Accent5 2 4 3" xfId="1790" xr:uid="{7F73D750-31BF-42AF-8420-2EA0973E40B2}"/>
    <cellStyle name="20% - Accent5 2 4 3 10" xfId="18800" xr:uid="{BD637D50-C4E4-422D-BADB-F3F67235FB79}"/>
    <cellStyle name="20% - Accent5 2 4 3 11" xfId="20690" xr:uid="{58C34D9E-4FF3-45DA-9D60-6177E48D5CA7}"/>
    <cellStyle name="20% - Accent5 2 4 3 12" xfId="22580" xr:uid="{997730AB-0910-4747-8AE3-924523B92C83}"/>
    <cellStyle name="20% - Accent5 2 4 3 13" xfId="24470" xr:uid="{FE39F562-C536-48E6-90A6-9CCE230C540C}"/>
    <cellStyle name="20% - Accent5 2 4 3 14" xfId="26360" xr:uid="{C71AFD88-BF73-4699-A76E-E76478EFF254}"/>
    <cellStyle name="20% - Accent5 2 4 3 15" xfId="28250" xr:uid="{A54FF2F5-4DF7-4EDB-BD31-CF0D813E85A7}"/>
    <cellStyle name="20% - Accent5 2 4 3 16" xfId="30140" xr:uid="{2F9DBF76-4FCF-4558-ACF5-159BABCAA90C}"/>
    <cellStyle name="20% - Accent5 2 4 3 17" xfId="32030" xr:uid="{F31B2A5F-1311-4C89-ADD3-41BDC0B1495D}"/>
    <cellStyle name="20% - Accent5 2 4 3 18" xfId="33920" xr:uid="{06EFE63C-4B89-409D-8F5D-F0806E2470C8}"/>
    <cellStyle name="20% - Accent5 2 4 3 19" xfId="35810" xr:uid="{60EB67B0-68C4-423F-8E12-2ECE2445372F}"/>
    <cellStyle name="20% - Accent5 2 4 3 2" xfId="3680" xr:uid="{D3291842-B3C6-4BEA-9E43-7E5EC2DE6214}"/>
    <cellStyle name="20% - Accent5 2 4 3 20" xfId="37700" xr:uid="{11E1493A-66E9-408E-ADD8-24D8FFA60B33}"/>
    <cellStyle name="20% - Accent5 2 4 3 21" xfId="39590" xr:uid="{14B2B881-DFB6-4EFE-B2A0-CEB3245577BA}"/>
    <cellStyle name="20% - Accent5 2 4 3 22" xfId="41481" xr:uid="{E703D06C-C44E-47D2-992B-93D9E4B28248}"/>
    <cellStyle name="20% - Accent5 2 4 3 3" xfId="5570" xr:uid="{4B8A2B3F-1DCB-41DB-8811-F054D66132E0}"/>
    <cellStyle name="20% - Accent5 2 4 3 4" xfId="7460" xr:uid="{F2D4EE83-D22B-4D13-8036-1DD6C8C576B5}"/>
    <cellStyle name="20% - Accent5 2 4 3 5" xfId="9350" xr:uid="{008EBC56-E1CB-4423-8DF4-1A8879B20282}"/>
    <cellStyle name="20% - Accent5 2 4 3 6" xfId="11240" xr:uid="{B9CE095F-833F-4A29-A62C-81CD5AEED2BA}"/>
    <cellStyle name="20% - Accent5 2 4 3 7" xfId="13130" xr:uid="{7DF4C159-6662-4820-9006-5C2BBB4EDF0E}"/>
    <cellStyle name="20% - Accent5 2 4 3 8" xfId="15020" xr:uid="{A7DEE447-C96E-48EB-8AF5-7489805E6633}"/>
    <cellStyle name="20% - Accent5 2 4 3 9" xfId="16910" xr:uid="{59B2BC52-6221-44A2-9EBA-5EA075309330}"/>
    <cellStyle name="20% - Accent5 2 4 4" xfId="2420" xr:uid="{C7ACDB72-8299-4D0D-A4EE-CAB5C7975200}"/>
    <cellStyle name="20% - Accent5 2 4 5" xfId="4310" xr:uid="{EB295228-5A27-4096-80EF-33C2897473B1}"/>
    <cellStyle name="20% - Accent5 2 4 6" xfId="6200" xr:uid="{BB2ACC1F-0E30-4B46-BC9E-A128B00D660B}"/>
    <cellStyle name="20% - Accent5 2 4 7" xfId="8090" xr:uid="{8A58A1B1-86BA-434C-B150-36C833C89CE7}"/>
    <cellStyle name="20% - Accent5 2 4 8" xfId="9980" xr:uid="{8213F82A-03F0-4AB6-BDDF-6512A82B7E94}"/>
    <cellStyle name="20% - Accent5 2 4 9" xfId="11870" xr:uid="{4B44350D-1CC1-4CC4-AE43-8D93B42EA8E0}"/>
    <cellStyle name="20% - Accent5 2 5" xfId="740" xr:uid="{99435462-BE85-4F81-8E6A-CCE04DE0E01D}"/>
    <cellStyle name="20% - Accent5 2 5 10" xfId="17750" xr:uid="{6B79E972-B9B3-4321-8F35-7FA2D22779AB}"/>
    <cellStyle name="20% - Accent5 2 5 11" xfId="19640" xr:uid="{707C5FC1-BD07-4517-A31F-037357D2E05E}"/>
    <cellStyle name="20% - Accent5 2 5 12" xfId="21530" xr:uid="{50199364-2D67-4E34-B2B8-4C5830EE2FA2}"/>
    <cellStyle name="20% - Accent5 2 5 13" xfId="23420" xr:uid="{8377EE72-0E28-4FFB-9DA3-C8A5CDA283C7}"/>
    <cellStyle name="20% - Accent5 2 5 14" xfId="25310" xr:uid="{F565D80E-7064-4A86-9284-65EFAA3F822F}"/>
    <cellStyle name="20% - Accent5 2 5 15" xfId="27200" xr:uid="{8DE08F29-2224-4043-9F2F-6792DF4FD292}"/>
    <cellStyle name="20% - Accent5 2 5 16" xfId="29090" xr:uid="{85DB6C15-6C4C-4C7B-9DF4-27E4DBF0A9DC}"/>
    <cellStyle name="20% - Accent5 2 5 17" xfId="30980" xr:uid="{DDECEC44-FB8F-4512-9A37-5ACF27CA730C}"/>
    <cellStyle name="20% - Accent5 2 5 18" xfId="32870" xr:uid="{509141B9-29CA-4163-8A78-2811054D41D4}"/>
    <cellStyle name="20% - Accent5 2 5 19" xfId="34760" xr:uid="{55B9B065-AA38-4CCA-AB54-14E214094B5D}"/>
    <cellStyle name="20% - Accent5 2 5 2" xfId="2630" xr:uid="{AED1281B-92F9-4F5E-934D-3DA14BD7D998}"/>
    <cellStyle name="20% - Accent5 2 5 20" xfId="36650" xr:uid="{736C691C-5A6A-4EC1-BF85-81C4957C4406}"/>
    <cellStyle name="20% - Accent5 2 5 21" xfId="38540" xr:uid="{B9F78A05-6B1B-47D4-BD09-5749DB35237F}"/>
    <cellStyle name="20% - Accent5 2 5 22" xfId="40431" xr:uid="{3D92007F-142A-40E3-87A1-7A614BD1D149}"/>
    <cellStyle name="20% - Accent5 2 5 3" xfId="4520" xr:uid="{BF5AB41A-9345-4B89-85FA-D0DA08F9AA12}"/>
    <cellStyle name="20% - Accent5 2 5 4" xfId="6410" xr:uid="{EF5F9EB9-3B93-4A91-8CE3-C5569DC08BC6}"/>
    <cellStyle name="20% - Accent5 2 5 5" xfId="8300" xr:uid="{26212E09-2163-482E-81E9-E7894A72A445}"/>
    <cellStyle name="20% - Accent5 2 5 6" xfId="10190" xr:uid="{28EDC055-2D24-43B2-B9EF-D02B18AC2AF0}"/>
    <cellStyle name="20% - Accent5 2 5 7" xfId="12080" xr:uid="{26A99408-D809-4F38-A8A6-CEA1FF47FDCB}"/>
    <cellStyle name="20% - Accent5 2 5 8" xfId="13970" xr:uid="{184D1170-B113-471D-8D97-64998C38CB5F}"/>
    <cellStyle name="20% - Accent5 2 5 9" xfId="15860" xr:uid="{BFCC4634-8C09-4B33-A4D9-8182EAFFD274}"/>
    <cellStyle name="20% - Accent5 2 6" xfId="1370" xr:uid="{BC39ABEB-A8CB-45A6-8D17-81A81E2348B6}"/>
    <cellStyle name="20% - Accent5 2 6 10" xfId="18380" xr:uid="{7E81D5DE-AB6A-422A-89DD-823CCD65D556}"/>
    <cellStyle name="20% - Accent5 2 6 11" xfId="20270" xr:uid="{1F694822-9DA7-4029-92F5-6AD086B9ACFC}"/>
    <cellStyle name="20% - Accent5 2 6 12" xfId="22160" xr:uid="{8111D90A-8C01-4EA0-A662-8231D9C9232E}"/>
    <cellStyle name="20% - Accent5 2 6 13" xfId="24050" xr:uid="{F14566DD-8575-4F47-9243-B4D614DED80D}"/>
    <cellStyle name="20% - Accent5 2 6 14" xfId="25940" xr:uid="{3653F680-7679-497A-B078-D34DB3E502E6}"/>
    <cellStyle name="20% - Accent5 2 6 15" xfId="27830" xr:uid="{06722086-19BE-4C17-9B1C-7900D0463F6A}"/>
    <cellStyle name="20% - Accent5 2 6 16" xfId="29720" xr:uid="{08E8CCCD-E000-4668-AB15-E971CAC310FB}"/>
    <cellStyle name="20% - Accent5 2 6 17" xfId="31610" xr:uid="{5EEA0140-078C-43AF-88E7-5B56F00289F0}"/>
    <cellStyle name="20% - Accent5 2 6 18" xfId="33500" xr:uid="{FCBB428F-A1DF-489C-BB98-E2E926C691F0}"/>
    <cellStyle name="20% - Accent5 2 6 19" xfId="35390" xr:uid="{D13F9CC7-4516-4D99-B21D-F13042EEBCBD}"/>
    <cellStyle name="20% - Accent5 2 6 2" xfId="3260" xr:uid="{AEDA836F-5E39-4AAC-81F7-68C873C6478A}"/>
    <cellStyle name="20% - Accent5 2 6 20" xfId="37280" xr:uid="{AC8D0A44-FCE5-4E27-87DB-3B575194FEC0}"/>
    <cellStyle name="20% - Accent5 2 6 21" xfId="39170" xr:uid="{74AD699D-00FA-45A4-89DB-088C7E9FDF33}"/>
    <cellStyle name="20% - Accent5 2 6 22" xfId="41061" xr:uid="{484C5955-AD03-4382-BD87-1CBF438855AE}"/>
    <cellStyle name="20% - Accent5 2 6 3" xfId="5150" xr:uid="{4F923526-DEE2-4651-B337-ECC5DA1EF7E7}"/>
    <cellStyle name="20% - Accent5 2 6 4" xfId="7040" xr:uid="{67E68A4F-21A2-497B-9882-269210C84B75}"/>
    <cellStyle name="20% - Accent5 2 6 5" xfId="8930" xr:uid="{634AC231-6EB2-4B17-89D2-C05D3504B64D}"/>
    <cellStyle name="20% - Accent5 2 6 6" xfId="10820" xr:uid="{BE802939-0024-4C61-8FCE-0E4A754E8FAF}"/>
    <cellStyle name="20% - Accent5 2 6 7" xfId="12710" xr:uid="{10083EB9-FB2B-4ECB-AB9F-E667522B8468}"/>
    <cellStyle name="20% - Accent5 2 6 8" xfId="14600" xr:uid="{29852258-4EE2-4D91-B116-CB48170AD177}"/>
    <cellStyle name="20% - Accent5 2 6 9" xfId="16490" xr:uid="{6BC157F8-A562-4647-B85A-5CB1DF9B3A7E}"/>
    <cellStyle name="20% - Accent5 2 7" xfId="2000" xr:uid="{0B371E2F-826C-471B-A3D0-D3B51FB819CC}"/>
    <cellStyle name="20% - Accent5 2 8" xfId="3890" xr:uid="{46EF42EB-5622-46C3-AEE0-CB3509568F5A}"/>
    <cellStyle name="20% - Accent5 2 9" xfId="5780" xr:uid="{4B40D557-F464-4908-92B6-0B9E50899B2C}"/>
    <cellStyle name="20% - Accent5 20" xfId="22768" xr:uid="{AEE0DBA5-A91A-4C01-9C21-998E8F266B53}"/>
    <cellStyle name="20% - Accent5 21" xfId="24658" xr:uid="{5261BF91-E15C-4096-9FEB-86166A337215}"/>
    <cellStyle name="20% - Accent5 22" xfId="26548" xr:uid="{00A86F18-CD10-432C-8D53-EBA47BF6A070}"/>
    <cellStyle name="20% - Accent5 23" xfId="28438" xr:uid="{A4D9153B-BE47-4938-BC75-E67CEE3D5523}"/>
    <cellStyle name="20% - Accent5 24" xfId="30328" xr:uid="{CE5A95BF-5DEE-4ADC-B931-BF8E6C78D203}"/>
    <cellStyle name="20% - Accent5 25" xfId="32218" xr:uid="{4AE3E3B8-0A7C-4D5E-8CD8-DBCB0E769362}"/>
    <cellStyle name="20% - Accent5 26" xfId="34108" xr:uid="{5228478A-44EF-4E6E-B8ED-929FD8C00603}"/>
    <cellStyle name="20% - Accent5 27" xfId="35998" xr:uid="{C4B5516C-A7C4-4CCA-A283-03D7F19E5D2F}"/>
    <cellStyle name="20% - Accent5 28" xfId="37888" xr:uid="{86D5A614-BB48-405F-ADE8-8DDE44065678}"/>
    <cellStyle name="20% - Accent5 29" xfId="39779" xr:uid="{9365D483-3708-4C9D-8D8C-4B84E998CFD1}"/>
    <cellStyle name="20% - Accent5 3" xfId="130" xr:uid="{57586426-FFB9-44A5-9E8C-2B7167524801}"/>
    <cellStyle name="20% - Accent5 3 10" xfId="7690" xr:uid="{67F32C9F-81D2-48A1-BD00-BBC2BA44F0CA}"/>
    <cellStyle name="20% - Accent5 3 11" xfId="9580" xr:uid="{A277DDE1-A329-416B-9552-F7536E9808D0}"/>
    <cellStyle name="20% - Accent5 3 12" xfId="11470" xr:uid="{AAC7B599-7E4B-4A25-99C0-8D76FDD54242}"/>
    <cellStyle name="20% - Accent5 3 13" xfId="13360" xr:uid="{BA2A7E16-CEE2-4D0E-9959-F479DABB211E}"/>
    <cellStyle name="20% - Accent5 3 14" xfId="15250" xr:uid="{B9D4CDD4-1DB1-4B2C-8ABB-9FE9E9A852E1}"/>
    <cellStyle name="20% - Accent5 3 15" xfId="17140" xr:uid="{2A6A94F4-89D7-46AB-A56C-0429D743A500}"/>
    <cellStyle name="20% - Accent5 3 16" xfId="19030" xr:uid="{A74D0E81-FFAB-49B9-B00F-B8E25039000F}"/>
    <cellStyle name="20% - Accent5 3 17" xfId="20920" xr:uid="{C4ACE16E-5C3F-41BD-BDB8-189CA8C569EB}"/>
    <cellStyle name="20% - Accent5 3 18" xfId="22810" xr:uid="{D158F0FC-4D3E-4C47-9445-E0D0BDBA12CA}"/>
    <cellStyle name="20% - Accent5 3 19" xfId="24700" xr:uid="{2505A83D-BB06-41F7-B1F4-C66FB01E2728}"/>
    <cellStyle name="20% - Accent5 3 2" xfId="235" xr:uid="{7500E795-E723-4966-977F-399EEE52335C}"/>
    <cellStyle name="20% - Accent5 3 2 10" xfId="9685" xr:uid="{4DB1E7B5-339D-4BF2-8FF2-BA8713F10C63}"/>
    <cellStyle name="20% - Accent5 3 2 11" xfId="11575" xr:uid="{2532F4F1-4E6B-4167-9ED4-D724CE3B37C3}"/>
    <cellStyle name="20% - Accent5 3 2 12" xfId="13465" xr:uid="{B0F22CAC-5BB7-442D-A6D4-881C15225D8B}"/>
    <cellStyle name="20% - Accent5 3 2 13" xfId="15355" xr:uid="{79529604-D696-4636-A425-153D5F52F92A}"/>
    <cellStyle name="20% - Accent5 3 2 14" xfId="17245" xr:uid="{11215274-A13B-4D84-B0B3-7C20F7811E01}"/>
    <cellStyle name="20% - Accent5 3 2 15" xfId="19135" xr:uid="{FA9EA703-69B9-460B-94D3-9A27395543B0}"/>
    <cellStyle name="20% - Accent5 3 2 16" xfId="21025" xr:uid="{806DEC18-94DF-4A46-9477-E6C737E44990}"/>
    <cellStyle name="20% - Accent5 3 2 17" xfId="22915" xr:uid="{D5409AE7-8877-4FCE-8F5F-74C6DB1DAE0C}"/>
    <cellStyle name="20% - Accent5 3 2 18" xfId="24805" xr:uid="{0041B18C-4F55-46B7-AE07-E16E7B542C39}"/>
    <cellStyle name="20% - Accent5 3 2 19" xfId="26695" xr:uid="{369CD629-948A-4B15-A4B0-A116901AD2FD}"/>
    <cellStyle name="20% - Accent5 3 2 2" xfId="445" xr:uid="{8B584CED-517E-4A2D-BEEA-30BB3B45956F}"/>
    <cellStyle name="20% - Accent5 3 2 2 10" xfId="13675" xr:uid="{37B3D7CB-990D-483F-9F82-47317B421CD7}"/>
    <cellStyle name="20% - Accent5 3 2 2 11" xfId="15565" xr:uid="{8AF5ED60-6D3E-44F3-B3CA-BFD7EBFA69C7}"/>
    <cellStyle name="20% - Accent5 3 2 2 12" xfId="17455" xr:uid="{43DB1BCB-BA1B-4EE6-B398-1070F0A0EFD3}"/>
    <cellStyle name="20% - Accent5 3 2 2 13" xfId="19345" xr:uid="{4B11C356-BDBD-4BD4-8BF3-4217F7B49726}"/>
    <cellStyle name="20% - Accent5 3 2 2 14" xfId="21235" xr:uid="{61354062-E992-4E08-BC32-02521587ACCD}"/>
    <cellStyle name="20% - Accent5 3 2 2 15" xfId="23125" xr:uid="{60547D9E-09DC-4F3E-BC79-120E6AA8A842}"/>
    <cellStyle name="20% - Accent5 3 2 2 16" xfId="25015" xr:uid="{10FE4F03-2E6F-4992-859D-AB80925D6313}"/>
    <cellStyle name="20% - Accent5 3 2 2 17" xfId="26905" xr:uid="{6215D14C-2CF0-4688-B247-BB963E6B4C1F}"/>
    <cellStyle name="20% - Accent5 3 2 2 18" xfId="28795" xr:uid="{5AA72517-E08E-48CF-AF3F-00A8DF06790C}"/>
    <cellStyle name="20% - Accent5 3 2 2 19" xfId="30685" xr:uid="{06F2244D-6B20-4FD6-9D56-E17243594D2C}"/>
    <cellStyle name="20% - Accent5 3 2 2 2" xfId="1075" xr:uid="{DA3C1364-F601-4F5D-A1BF-807F5C9CEB10}"/>
    <cellStyle name="20% - Accent5 3 2 2 2 10" xfId="18085" xr:uid="{17F1E8B8-4A18-4FB5-8A2E-EC205B2F1A41}"/>
    <cellStyle name="20% - Accent5 3 2 2 2 11" xfId="19975" xr:uid="{6E146DB4-55FB-4A98-8D1A-33623FBC62A9}"/>
    <cellStyle name="20% - Accent5 3 2 2 2 12" xfId="21865" xr:uid="{CC1B77DA-061C-4C29-AEFD-BAD04247373C}"/>
    <cellStyle name="20% - Accent5 3 2 2 2 13" xfId="23755" xr:uid="{77951E11-87DF-4384-8F1E-847AB5EDE6F5}"/>
    <cellStyle name="20% - Accent5 3 2 2 2 14" xfId="25645" xr:uid="{151E129F-B089-4553-BBDF-B8A4854FDFD0}"/>
    <cellStyle name="20% - Accent5 3 2 2 2 15" xfId="27535" xr:uid="{22915902-0225-493B-A76C-2DA9D21FD427}"/>
    <cellStyle name="20% - Accent5 3 2 2 2 16" xfId="29425" xr:uid="{298769E2-CE13-4AA9-824D-D0B8112FF54E}"/>
    <cellStyle name="20% - Accent5 3 2 2 2 17" xfId="31315" xr:uid="{BBE20733-C8D3-4D44-B23C-50FF38D3F0FB}"/>
    <cellStyle name="20% - Accent5 3 2 2 2 18" xfId="33205" xr:uid="{D9AF85EC-5BED-4EC7-AD1B-62082DD4E81A}"/>
    <cellStyle name="20% - Accent5 3 2 2 2 19" xfId="35095" xr:uid="{1BC31F6E-4825-4E8B-A014-435661AE01E5}"/>
    <cellStyle name="20% - Accent5 3 2 2 2 2" xfId="2965" xr:uid="{01A9B0DA-6C6B-4A76-B595-0F9C99F3EB9C}"/>
    <cellStyle name="20% - Accent5 3 2 2 2 20" xfId="36985" xr:uid="{6718EAE1-3EBB-421B-B14A-7C484C054FAD}"/>
    <cellStyle name="20% - Accent5 3 2 2 2 21" xfId="38875" xr:uid="{359173E5-0819-4210-B90D-F57C5AD048EA}"/>
    <cellStyle name="20% - Accent5 3 2 2 2 22" xfId="40766" xr:uid="{19F5D829-4809-44B3-B77B-396F78953E26}"/>
    <cellStyle name="20% - Accent5 3 2 2 2 3" xfId="4855" xr:uid="{2F48ACDD-04FA-4D5C-8533-25199A8F33AE}"/>
    <cellStyle name="20% - Accent5 3 2 2 2 4" xfId="6745" xr:uid="{95C228C8-C886-4839-A97A-9DA2AB5879AB}"/>
    <cellStyle name="20% - Accent5 3 2 2 2 5" xfId="8635" xr:uid="{D3BE6510-0C4A-4BDC-ADF3-DDAEA1222F74}"/>
    <cellStyle name="20% - Accent5 3 2 2 2 6" xfId="10525" xr:uid="{A0045DD6-0062-4A89-872B-86AA943E1E3F}"/>
    <cellStyle name="20% - Accent5 3 2 2 2 7" xfId="12415" xr:uid="{C7E51111-1CE7-44B5-9167-FA6488CD3CAB}"/>
    <cellStyle name="20% - Accent5 3 2 2 2 8" xfId="14305" xr:uid="{61595EAE-6283-4D1C-ADE7-109235638584}"/>
    <cellStyle name="20% - Accent5 3 2 2 2 9" xfId="16195" xr:uid="{1D26C029-6BCF-4F2D-9115-7E3EE60CD8BE}"/>
    <cellStyle name="20% - Accent5 3 2 2 20" xfId="32575" xr:uid="{F045113D-7BCB-41C6-909D-E50790ACF8CD}"/>
    <cellStyle name="20% - Accent5 3 2 2 21" xfId="34465" xr:uid="{B102E5C0-E673-4BF6-A45D-13646835D4E5}"/>
    <cellStyle name="20% - Accent5 3 2 2 22" xfId="36355" xr:uid="{A07FF265-7E36-436A-9C7C-8724CB225069}"/>
    <cellStyle name="20% - Accent5 3 2 2 23" xfId="38245" xr:uid="{1EA0BA1F-57B0-4408-BAB2-C309FA5EC01C}"/>
    <cellStyle name="20% - Accent5 3 2 2 24" xfId="40136" xr:uid="{6A2C33DE-3CC5-47E2-89EA-B278971FFB39}"/>
    <cellStyle name="20% - Accent5 3 2 2 3" xfId="1705" xr:uid="{73336709-1DB5-41F9-97F7-047E72760588}"/>
    <cellStyle name="20% - Accent5 3 2 2 3 10" xfId="18715" xr:uid="{71B174F0-72BE-4C64-99C1-CC333A1FA19A}"/>
    <cellStyle name="20% - Accent5 3 2 2 3 11" xfId="20605" xr:uid="{9747F8FA-0D86-43CF-ABA7-C0BDF6DD1A0C}"/>
    <cellStyle name="20% - Accent5 3 2 2 3 12" xfId="22495" xr:uid="{87D7E12E-97A5-4176-96C5-9354B6906DBD}"/>
    <cellStyle name="20% - Accent5 3 2 2 3 13" xfId="24385" xr:uid="{5E6A7EC0-E90B-47CC-9171-55109877A8C7}"/>
    <cellStyle name="20% - Accent5 3 2 2 3 14" xfId="26275" xr:uid="{6D83A839-93A8-469E-B06B-62DE5F0A9409}"/>
    <cellStyle name="20% - Accent5 3 2 2 3 15" xfId="28165" xr:uid="{398ACB10-1891-47E1-8918-A4E333130489}"/>
    <cellStyle name="20% - Accent5 3 2 2 3 16" xfId="30055" xr:uid="{DF660377-79A5-4D3D-BBBF-36A5132CE55D}"/>
    <cellStyle name="20% - Accent5 3 2 2 3 17" xfId="31945" xr:uid="{0DD373E3-A487-4625-A9A7-0252B6154041}"/>
    <cellStyle name="20% - Accent5 3 2 2 3 18" xfId="33835" xr:uid="{68869A72-E302-4951-821A-5B4027D3FAE7}"/>
    <cellStyle name="20% - Accent5 3 2 2 3 19" xfId="35725" xr:uid="{7552154E-A258-4CE8-8939-0922A701D7D4}"/>
    <cellStyle name="20% - Accent5 3 2 2 3 2" xfId="3595" xr:uid="{90860E37-F5BD-44B3-AE1E-49AF0B3EA1B2}"/>
    <cellStyle name="20% - Accent5 3 2 2 3 20" xfId="37615" xr:uid="{56F36903-7D1F-4CF8-BF3E-F7994EE12359}"/>
    <cellStyle name="20% - Accent5 3 2 2 3 21" xfId="39505" xr:uid="{E01356FF-10E7-47FF-B34B-925FE189B0DE}"/>
    <cellStyle name="20% - Accent5 3 2 2 3 22" xfId="41396" xr:uid="{D094DA80-79CF-4A7E-B9E1-2DD4861005B8}"/>
    <cellStyle name="20% - Accent5 3 2 2 3 3" xfId="5485" xr:uid="{468323D3-85E5-4456-B667-050E789E1FAA}"/>
    <cellStyle name="20% - Accent5 3 2 2 3 4" xfId="7375" xr:uid="{6739831F-878A-4097-B425-2F7AD8E3CE20}"/>
    <cellStyle name="20% - Accent5 3 2 2 3 5" xfId="9265" xr:uid="{BC1AE0F7-EFE5-4C4A-97C0-87CB4EAD72B7}"/>
    <cellStyle name="20% - Accent5 3 2 2 3 6" xfId="11155" xr:uid="{BB51B731-C571-4743-8E07-CDB0592249D0}"/>
    <cellStyle name="20% - Accent5 3 2 2 3 7" xfId="13045" xr:uid="{C1E1442F-EAB2-4AA3-89AF-CDE93F4C6CFB}"/>
    <cellStyle name="20% - Accent5 3 2 2 3 8" xfId="14935" xr:uid="{0A8BE307-B13A-4F0D-92A1-124601E925E3}"/>
    <cellStyle name="20% - Accent5 3 2 2 3 9" xfId="16825" xr:uid="{BED0897B-94F6-4295-B687-5E3A17E1EF5F}"/>
    <cellStyle name="20% - Accent5 3 2 2 4" xfId="2335" xr:uid="{4291B3D4-6557-4BE7-8772-750AB2EF90D6}"/>
    <cellStyle name="20% - Accent5 3 2 2 5" xfId="4225" xr:uid="{5B30FEDC-C42C-4AD6-9575-FEF789A806A5}"/>
    <cellStyle name="20% - Accent5 3 2 2 6" xfId="6115" xr:uid="{31BE0172-64FB-4C69-B8F6-6772522CC077}"/>
    <cellStyle name="20% - Accent5 3 2 2 7" xfId="8005" xr:uid="{71B74E4C-94C3-465C-A745-AA31E4582B4A}"/>
    <cellStyle name="20% - Accent5 3 2 2 8" xfId="9895" xr:uid="{73AE549B-5FBA-4549-A98F-4C8FBE1B02A3}"/>
    <cellStyle name="20% - Accent5 3 2 2 9" xfId="11785" xr:uid="{5CBFBB6C-907F-4155-A535-19957D2FD739}"/>
    <cellStyle name="20% - Accent5 3 2 20" xfId="28585" xr:uid="{5E36C9ED-2F9D-4EC2-9815-4DA80DFA749D}"/>
    <cellStyle name="20% - Accent5 3 2 21" xfId="30475" xr:uid="{EC314105-65D4-4B27-931C-505BEC8E56CF}"/>
    <cellStyle name="20% - Accent5 3 2 22" xfId="32365" xr:uid="{40A24C98-F0D8-4D65-A4FA-1B67326BF1B1}"/>
    <cellStyle name="20% - Accent5 3 2 23" xfId="34255" xr:uid="{A4CF674E-313A-4A45-A2F7-121E50A2C99C}"/>
    <cellStyle name="20% - Accent5 3 2 24" xfId="36145" xr:uid="{61678A14-1BD7-42C5-8795-2CBB1693C8DF}"/>
    <cellStyle name="20% - Accent5 3 2 25" xfId="38035" xr:uid="{4FDEB069-00D6-4B40-A801-3E826840BB19}"/>
    <cellStyle name="20% - Accent5 3 2 26" xfId="39926" xr:uid="{7E600575-3B25-4AAD-8C61-84CA084482A7}"/>
    <cellStyle name="20% - Accent5 3 2 3" xfId="655" xr:uid="{8C3BDA9D-DA84-49F2-A07B-1404B8447EFD}"/>
    <cellStyle name="20% - Accent5 3 2 3 10" xfId="13885" xr:uid="{D9B6AC42-9C36-41BB-A832-E1916E94B52C}"/>
    <cellStyle name="20% - Accent5 3 2 3 11" xfId="15775" xr:uid="{20CAFF07-291F-4BE2-AF63-8D52F0063A8F}"/>
    <cellStyle name="20% - Accent5 3 2 3 12" xfId="17665" xr:uid="{2A5959BE-17F0-4613-8073-E123E114FEAC}"/>
    <cellStyle name="20% - Accent5 3 2 3 13" xfId="19555" xr:uid="{A4973D9E-7E83-4BDF-9390-B1F3990DB19D}"/>
    <cellStyle name="20% - Accent5 3 2 3 14" xfId="21445" xr:uid="{BBF09162-D9C6-48AB-A831-96A05FC09E7F}"/>
    <cellStyle name="20% - Accent5 3 2 3 15" xfId="23335" xr:uid="{D1707E52-C0E5-4376-B84A-C4DC2B706A9E}"/>
    <cellStyle name="20% - Accent5 3 2 3 16" xfId="25225" xr:uid="{9D54255E-94B6-4024-BDA8-0A06F2DDFA89}"/>
    <cellStyle name="20% - Accent5 3 2 3 17" xfId="27115" xr:uid="{0169C0DE-7861-4D22-83AC-ACF687E41913}"/>
    <cellStyle name="20% - Accent5 3 2 3 18" xfId="29005" xr:uid="{ECEB3F36-0292-4D96-9E33-FB99C9D0C4F3}"/>
    <cellStyle name="20% - Accent5 3 2 3 19" xfId="30895" xr:uid="{01211621-9360-4F83-8DBC-9E2B01B71C54}"/>
    <cellStyle name="20% - Accent5 3 2 3 2" xfId="1285" xr:uid="{9BAC8425-092A-4EF3-AC19-1CB22D9635FE}"/>
    <cellStyle name="20% - Accent5 3 2 3 2 10" xfId="18295" xr:uid="{074C170A-B600-4BA1-8987-A1917819CA0A}"/>
    <cellStyle name="20% - Accent5 3 2 3 2 11" xfId="20185" xr:uid="{4F2F9970-871A-453C-AF13-F4F49BDC7995}"/>
    <cellStyle name="20% - Accent5 3 2 3 2 12" xfId="22075" xr:uid="{F7DA0863-FBED-4178-B9E7-6E905D2A1D5A}"/>
    <cellStyle name="20% - Accent5 3 2 3 2 13" xfId="23965" xr:uid="{2F43BF68-5532-40BB-818A-8187BF243894}"/>
    <cellStyle name="20% - Accent5 3 2 3 2 14" xfId="25855" xr:uid="{7F964ECB-11BE-49FA-A0B6-3CD5CD8D3C98}"/>
    <cellStyle name="20% - Accent5 3 2 3 2 15" xfId="27745" xr:uid="{E6DFDA39-F8A7-4626-BFB8-09BC875F2517}"/>
    <cellStyle name="20% - Accent5 3 2 3 2 16" xfId="29635" xr:uid="{25F0C043-C751-498A-A1DB-9A37C5E0BD3A}"/>
    <cellStyle name="20% - Accent5 3 2 3 2 17" xfId="31525" xr:uid="{D575FE01-896F-466D-B706-61BCC330F50D}"/>
    <cellStyle name="20% - Accent5 3 2 3 2 18" xfId="33415" xr:uid="{C46E74BE-48B1-429D-A318-F67E88732A35}"/>
    <cellStyle name="20% - Accent5 3 2 3 2 19" xfId="35305" xr:uid="{BB464BDB-7C00-4C9D-A8B0-887C37AC422A}"/>
    <cellStyle name="20% - Accent5 3 2 3 2 2" xfId="3175" xr:uid="{B5838663-45DA-4218-947B-03DFF7E6C16C}"/>
    <cellStyle name="20% - Accent5 3 2 3 2 20" xfId="37195" xr:uid="{31CFDA80-A075-41E2-B271-F42D6C4125C3}"/>
    <cellStyle name="20% - Accent5 3 2 3 2 21" xfId="39085" xr:uid="{91ACEC92-A6A3-4CAA-99B6-24AA7A125F38}"/>
    <cellStyle name="20% - Accent5 3 2 3 2 22" xfId="40976" xr:uid="{7CE49282-095B-4F74-9C32-3AAE4C03F2FB}"/>
    <cellStyle name="20% - Accent5 3 2 3 2 3" xfId="5065" xr:uid="{ABC17FF4-0FA4-4DB8-BAE6-B9C085E3C845}"/>
    <cellStyle name="20% - Accent5 3 2 3 2 4" xfId="6955" xr:uid="{63C2EA18-5D95-40F2-BF0D-9E85946346FD}"/>
    <cellStyle name="20% - Accent5 3 2 3 2 5" xfId="8845" xr:uid="{02C6DC02-64D4-4058-9DDA-6C4F93A10A78}"/>
    <cellStyle name="20% - Accent5 3 2 3 2 6" xfId="10735" xr:uid="{C0C827F1-F5ED-4D6B-81E9-5429CAE6E2AA}"/>
    <cellStyle name="20% - Accent5 3 2 3 2 7" xfId="12625" xr:uid="{DB00F373-9F89-417E-BDBB-5515338B702F}"/>
    <cellStyle name="20% - Accent5 3 2 3 2 8" xfId="14515" xr:uid="{3612DB73-5F7B-4F2D-8CFD-5EA614517348}"/>
    <cellStyle name="20% - Accent5 3 2 3 2 9" xfId="16405" xr:uid="{D7266587-EE1A-4797-BCDC-C2BC094F999A}"/>
    <cellStyle name="20% - Accent5 3 2 3 20" xfId="32785" xr:uid="{3F363728-B010-46FB-B464-C7A8B0D0B11B}"/>
    <cellStyle name="20% - Accent5 3 2 3 21" xfId="34675" xr:uid="{EDB75468-BC47-40CD-94E7-FC36417F3004}"/>
    <cellStyle name="20% - Accent5 3 2 3 22" xfId="36565" xr:uid="{1B7FD763-0225-436E-B758-E5355801CA62}"/>
    <cellStyle name="20% - Accent5 3 2 3 23" xfId="38455" xr:uid="{37FFFFB8-D474-4BF0-8039-0F6896EFE339}"/>
    <cellStyle name="20% - Accent5 3 2 3 24" xfId="40346" xr:uid="{5483EB76-6F71-4D0D-A67C-22C6C2A9035E}"/>
    <cellStyle name="20% - Accent5 3 2 3 3" xfId="1915" xr:uid="{42B9139D-6916-440C-8E05-25E01A7C4EA2}"/>
    <cellStyle name="20% - Accent5 3 2 3 3 10" xfId="18925" xr:uid="{1E6181BA-1826-403A-BA2B-D90A532662D0}"/>
    <cellStyle name="20% - Accent5 3 2 3 3 11" xfId="20815" xr:uid="{9CBD0116-7A31-4A40-A636-C35EA80D38BB}"/>
    <cellStyle name="20% - Accent5 3 2 3 3 12" xfId="22705" xr:uid="{EE86618E-2ACB-4C6C-BBA8-67A1FC2E617C}"/>
    <cellStyle name="20% - Accent5 3 2 3 3 13" xfId="24595" xr:uid="{4FEE7F5D-8C93-433A-9C1A-3EAB688265E0}"/>
    <cellStyle name="20% - Accent5 3 2 3 3 14" xfId="26485" xr:uid="{8FEC9685-E01F-4C9B-BA41-74DF01F2A350}"/>
    <cellStyle name="20% - Accent5 3 2 3 3 15" xfId="28375" xr:uid="{512E60A4-7FD1-4FCB-BFDD-FC6056FA580B}"/>
    <cellStyle name="20% - Accent5 3 2 3 3 16" xfId="30265" xr:uid="{BACEB122-4965-4726-ADCA-796CC063F56B}"/>
    <cellStyle name="20% - Accent5 3 2 3 3 17" xfId="32155" xr:uid="{1FF4BAC6-A226-4943-B3C8-6E4B5D61B14F}"/>
    <cellStyle name="20% - Accent5 3 2 3 3 18" xfId="34045" xr:uid="{CF2334C6-4C14-4EED-9054-51BF05EE36BE}"/>
    <cellStyle name="20% - Accent5 3 2 3 3 19" xfId="35935" xr:uid="{A519BF16-93B9-4D0A-8B03-7A15E85362FE}"/>
    <cellStyle name="20% - Accent5 3 2 3 3 2" xfId="3805" xr:uid="{D125FFE7-0E47-4274-BA96-F3005B2B3002}"/>
    <cellStyle name="20% - Accent5 3 2 3 3 20" xfId="37825" xr:uid="{7B529587-B1AD-43A3-BB84-C5ACD7FFFCA4}"/>
    <cellStyle name="20% - Accent5 3 2 3 3 21" xfId="39715" xr:uid="{1BF920C6-F5C9-4539-8A6F-4DF230AE59B4}"/>
    <cellStyle name="20% - Accent5 3 2 3 3 22" xfId="41606" xr:uid="{301F1057-1089-4A61-AD7C-C6585B150429}"/>
    <cellStyle name="20% - Accent5 3 2 3 3 3" xfId="5695" xr:uid="{7F49B75B-73E8-40CC-A4AB-D5E04C9192C2}"/>
    <cellStyle name="20% - Accent5 3 2 3 3 4" xfId="7585" xr:uid="{4D7FE76C-D54E-4E2F-8E5E-8D9CE267354C}"/>
    <cellStyle name="20% - Accent5 3 2 3 3 5" xfId="9475" xr:uid="{945D32F1-0334-46F0-8BDF-77972DB5034B}"/>
    <cellStyle name="20% - Accent5 3 2 3 3 6" xfId="11365" xr:uid="{947ABA48-5E48-48F8-8065-C6BFFAF566F3}"/>
    <cellStyle name="20% - Accent5 3 2 3 3 7" xfId="13255" xr:uid="{CC1F3681-80B1-4E93-ACF8-C4EFF9817A13}"/>
    <cellStyle name="20% - Accent5 3 2 3 3 8" xfId="15145" xr:uid="{4CB27480-2195-4620-8C3C-18C575D446C3}"/>
    <cellStyle name="20% - Accent5 3 2 3 3 9" xfId="17035" xr:uid="{60FB1306-1021-4C9F-9EA9-A2C573D6D090}"/>
    <cellStyle name="20% - Accent5 3 2 3 4" xfId="2545" xr:uid="{E1177764-C3AA-4A49-9EB8-D1ED5FF0E78F}"/>
    <cellStyle name="20% - Accent5 3 2 3 5" xfId="4435" xr:uid="{C250DFD5-D968-4295-8724-A4F7F4528EF1}"/>
    <cellStyle name="20% - Accent5 3 2 3 6" xfId="6325" xr:uid="{55952D0D-F1BD-4C6C-AEB7-37464D0E83FF}"/>
    <cellStyle name="20% - Accent5 3 2 3 7" xfId="8215" xr:uid="{340ED9AE-1169-4E91-A87F-26FD5126C25A}"/>
    <cellStyle name="20% - Accent5 3 2 3 8" xfId="10105" xr:uid="{900456B8-A4B0-4EEA-9FFF-76F35A0D2BDB}"/>
    <cellStyle name="20% - Accent5 3 2 3 9" xfId="11995" xr:uid="{502608D6-CF66-4D41-AC12-7DAFC8D43B63}"/>
    <cellStyle name="20% - Accent5 3 2 4" xfId="865" xr:uid="{39DF215F-7F35-408F-9A2D-D2D0CDAB7010}"/>
    <cellStyle name="20% - Accent5 3 2 4 10" xfId="17875" xr:uid="{5016A450-8B80-4505-8D78-504CECB15DC7}"/>
    <cellStyle name="20% - Accent5 3 2 4 11" xfId="19765" xr:uid="{A226BEC0-9B51-4BBE-A8B0-0D18FBF4B809}"/>
    <cellStyle name="20% - Accent5 3 2 4 12" xfId="21655" xr:uid="{8F6F3E72-4F6E-4561-BF6E-9E1812FA1A86}"/>
    <cellStyle name="20% - Accent5 3 2 4 13" xfId="23545" xr:uid="{37E4EF55-8491-4140-A233-E96B95DBE24B}"/>
    <cellStyle name="20% - Accent5 3 2 4 14" xfId="25435" xr:uid="{D45BC357-DA45-46D3-843B-CF262DD188F2}"/>
    <cellStyle name="20% - Accent5 3 2 4 15" xfId="27325" xr:uid="{EA28C097-452A-4F9E-A859-D11956E329A7}"/>
    <cellStyle name="20% - Accent5 3 2 4 16" xfId="29215" xr:uid="{D2D9A50C-2894-47B7-8D36-37426932D21A}"/>
    <cellStyle name="20% - Accent5 3 2 4 17" xfId="31105" xr:uid="{E70DD4B7-C76A-4B8F-9773-33073044D678}"/>
    <cellStyle name="20% - Accent5 3 2 4 18" xfId="32995" xr:uid="{766889A4-6AB7-4C2B-B145-D0638ABF595E}"/>
    <cellStyle name="20% - Accent5 3 2 4 19" xfId="34885" xr:uid="{3CE03620-8D5E-4ADD-B389-FFA54F922752}"/>
    <cellStyle name="20% - Accent5 3 2 4 2" xfId="2755" xr:uid="{F6A76FFA-30FA-4EC7-9F40-CA1F7FA38959}"/>
    <cellStyle name="20% - Accent5 3 2 4 20" xfId="36775" xr:uid="{7A1FE584-9818-4523-A51E-295CAB1E78E4}"/>
    <cellStyle name="20% - Accent5 3 2 4 21" xfId="38665" xr:uid="{5780BBA0-5F4C-4D7D-AA3B-2320E950829F}"/>
    <cellStyle name="20% - Accent5 3 2 4 22" xfId="40556" xr:uid="{CD0DDF89-E6C7-4823-93A9-AAFDADFB16A6}"/>
    <cellStyle name="20% - Accent5 3 2 4 3" xfId="4645" xr:uid="{060BCB5F-0376-4AD3-904C-C36A9D16442F}"/>
    <cellStyle name="20% - Accent5 3 2 4 4" xfId="6535" xr:uid="{F653DFA8-7C8D-4DF6-B25B-350D307AEC4F}"/>
    <cellStyle name="20% - Accent5 3 2 4 5" xfId="8425" xr:uid="{ED255359-267F-40A4-9986-82A373C3D218}"/>
    <cellStyle name="20% - Accent5 3 2 4 6" xfId="10315" xr:uid="{8D0D305B-2F27-4572-BF1B-C54CB8558223}"/>
    <cellStyle name="20% - Accent5 3 2 4 7" xfId="12205" xr:uid="{7A6DEDBD-7EE6-4378-A497-65B144086307}"/>
    <cellStyle name="20% - Accent5 3 2 4 8" xfId="14095" xr:uid="{ED31528B-B627-4213-8D00-262E57A3BED7}"/>
    <cellStyle name="20% - Accent5 3 2 4 9" xfId="15985" xr:uid="{19512848-86CD-47E5-BECC-0C6DC7FC5ED7}"/>
    <cellStyle name="20% - Accent5 3 2 5" xfId="1495" xr:uid="{7DF4961A-51B9-4915-872F-45EE8FF25F15}"/>
    <cellStyle name="20% - Accent5 3 2 5 10" xfId="18505" xr:uid="{0E54EEA7-4B95-4CC8-A09C-FCA9895D1B17}"/>
    <cellStyle name="20% - Accent5 3 2 5 11" xfId="20395" xr:uid="{7E30CC2F-D561-4695-9420-848BE4EEA077}"/>
    <cellStyle name="20% - Accent5 3 2 5 12" xfId="22285" xr:uid="{D51B5F26-0738-498A-9E0A-3C055189605C}"/>
    <cellStyle name="20% - Accent5 3 2 5 13" xfId="24175" xr:uid="{2C6C054F-C3AE-4B3D-B5F5-7CD2508468DD}"/>
    <cellStyle name="20% - Accent5 3 2 5 14" xfId="26065" xr:uid="{1986EB4C-1977-43E0-AA5C-029D87D50AFD}"/>
    <cellStyle name="20% - Accent5 3 2 5 15" xfId="27955" xr:uid="{9B3BAE9A-6EA1-4D3E-8213-554113239CC6}"/>
    <cellStyle name="20% - Accent5 3 2 5 16" xfId="29845" xr:uid="{AFBF2EF4-2CBA-47AD-BC88-48D44E8FD722}"/>
    <cellStyle name="20% - Accent5 3 2 5 17" xfId="31735" xr:uid="{B452599C-E39B-4FDA-9653-0C08C713AF37}"/>
    <cellStyle name="20% - Accent5 3 2 5 18" xfId="33625" xr:uid="{256886B7-09E4-487C-B94B-84D98DD6A9F4}"/>
    <cellStyle name="20% - Accent5 3 2 5 19" xfId="35515" xr:uid="{C24D39BA-9BFF-4CF6-8ACD-9F7ED1418F71}"/>
    <cellStyle name="20% - Accent5 3 2 5 2" xfId="3385" xr:uid="{895B8F18-C02B-4E6F-8C20-4C6E3885B46B}"/>
    <cellStyle name="20% - Accent5 3 2 5 20" xfId="37405" xr:uid="{263E9165-84B8-4EDB-81D8-D75512FCFE73}"/>
    <cellStyle name="20% - Accent5 3 2 5 21" xfId="39295" xr:uid="{9DC6B9E3-975F-45E6-9837-1DE799546828}"/>
    <cellStyle name="20% - Accent5 3 2 5 22" xfId="41186" xr:uid="{1370E69E-27F0-4F03-811B-C09EDC7CFC52}"/>
    <cellStyle name="20% - Accent5 3 2 5 3" xfId="5275" xr:uid="{BA8B14D5-68DA-4278-9727-3B170CA97822}"/>
    <cellStyle name="20% - Accent5 3 2 5 4" xfId="7165" xr:uid="{6C0B1C37-7B26-4C36-8E44-3468E2F47795}"/>
    <cellStyle name="20% - Accent5 3 2 5 5" xfId="9055" xr:uid="{A57B4145-4FB2-4889-BA1B-5DEA995849E7}"/>
    <cellStyle name="20% - Accent5 3 2 5 6" xfId="10945" xr:uid="{1B5CA5D5-FCB5-4402-BA77-47D8E236C3EF}"/>
    <cellStyle name="20% - Accent5 3 2 5 7" xfId="12835" xr:uid="{22FD5963-E922-488A-8924-3BA9B5971B94}"/>
    <cellStyle name="20% - Accent5 3 2 5 8" xfId="14725" xr:uid="{26429D62-647E-430C-86A1-99D53C90F97C}"/>
    <cellStyle name="20% - Accent5 3 2 5 9" xfId="16615" xr:uid="{CC72D4A2-4DCD-4D8B-8253-7A3154D9E42D}"/>
    <cellStyle name="20% - Accent5 3 2 6" xfId="2125" xr:uid="{F7755359-1480-440C-9FA3-4CE7C697F4AC}"/>
    <cellStyle name="20% - Accent5 3 2 7" xfId="4015" xr:uid="{00CE7BB0-DE30-4F84-8CFA-AFF85EE1A505}"/>
    <cellStyle name="20% - Accent5 3 2 8" xfId="5905" xr:uid="{9D1B6481-665F-453B-9ED6-1BA05F990AF4}"/>
    <cellStyle name="20% - Accent5 3 2 9" xfId="7795" xr:uid="{ABDB9684-13EE-4C90-B73B-FD12E0B4905C}"/>
    <cellStyle name="20% - Accent5 3 20" xfId="26590" xr:uid="{255EF4DC-DB67-4E5B-9167-E0721EB8F665}"/>
    <cellStyle name="20% - Accent5 3 21" xfId="28480" xr:uid="{1B9B98D0-C2D2-45C7-BAB6-AE3CC5537B47}"/>
    <cellStyle name="20% - Accent5 3 22" xfId="30370" xr:uid="{BEE2B440-7593-4E15-B49A-CCA0AE8F722B}"/>
    <cellStyle name="20% - Accent5 3 23" xfId="32260" xr:uid="{D82A3A0B-C712-4262-9429-E1DC93F03456}"/>
    <cellStyle name="20% - Accent5 3 24" xfId="34150" xr:uid="{C43B1224-24AB-4F87-9422-69E12AC831B6}"/>
    <cellStyle name="20% - Accent5 3 25" xfId="36040" xr:uid="{B6F3D3E8-9C21-4B6E-B7A9-D39AFFA8DD9E}"/>
    <cellStyle name="20% - Accent5 3 26" xfId="37930" xr:uid="{013E4D47-EE0C-4F60-A84D-1431A351DCA8}"/>
    <cellStyle name="20% - Accent5 3 27" xfId="39821" xr:uid="{8719CE09-2E4F-4C19-A5EF-F62403F4121F}"/>
    <cellStyle name="20% - Accent5 3 3" xfId="340" xr:uid="{E0B348F2-11C0-4D5F-A140-87C4C36DFFB0}"/>
    <cellStyle name="20% - Accent5 3 3 10" xfId="13570" xr:uid="{2E6337CD-6C81-4FFE-9119-C11AA31CE32B}"/>
    <cellStyle name="20% - Accent5 3 3 11" xfId="15460" xr:uid="{2968C463-E92D-4B5A-B08C-C2BE396EDF0D}"/>
    <cellStyle name="20% - Accent5 3 3 12" xfId="17350" xr:uid="{F79BB737-D736-4AA0-A9E5-4DB52EBF89AA}"/>
    <cellStyle name="20% - Accent5 3 3 13" xfId="19240" xr:uid="{27599F4A-4B55-46DD-B01D-A14111D9CECB}"/>
    <cellStyle name="20% - Accent5 3 3 14" xfId="21130" xr:uid="{88120B56-86D1-4F04-839E-3B8E0EAA0F24}"/>
    <cellStyle name="20% - Accent5 3 3 15" xfId="23020" xr:uid="{63320D5D-EE6B-46D6-B933-C099F82F141E}"/>
    <cellStyle name="20% - Accent5 3 3 16" xfId="24910" xr:uid="{2515F855-D746-4207-922B-51611C188E21}"/>
    <cellStyle name="20% - Accent5 3 3 17" xfId="26800" xr:uid="{3F091418-2A56-4EA7-A353-50F7FD094E22}"/>
    <cellStyle name="20% - Accent5 3 3 18" xfId="28690" xr:uid="{FADA8924-0D9C-4AE7-9227-5AE0518E2FFA}"/>
    <cellStyle name="20% - Accent5 3 3 19" xfId="30580" xr:uid="{94DF6723-4445-4046-A72C-72ADC77C87BD}"/>
    <cellStyle name="20% - Accent5 3 3 2" xfId="970" xr:uid="{C0AC8553-7E6D-443D-81CD-7B7C5D26AECC}"/>
    <cellStyle name="20% - Accent5 3 3 2 10" xfId="17980" xr:uid="{7ECF4686-4032-43B8-BF86-B8A13499C0AB}"/>
    <cellStyle name="20% - Accent5 3 3 2 11" xfId="19870" xr:uid="{AAEDE77C-BADC-4C47-863C-78E58FFBFA77}"/>
    <cellStyle name="20% - Accent5 3 3 2 12" xfId="21760" xr:uid="{ABC16CED-3DE8-4270-88F8-402A7E5658B3}"/>
    <cellStyle name="20% - Accent5 3 3 2 13" xfId="23650" xr:uid="{085647AC-EB6F-4FA8-B290-3867EBFE0949}"/>
    <cellStyle name="20% - Accent5 3 3 2 14" xfId="25540" xr:uid="{C15AE8DA-8BF4-4E72-94A3-DBBE5D389FF9}"/>
    <cellStyle name="20% - Accent5 3 3 2 15" xfId="27430" xr:uid="{A39768A9-4E98-46FA-BEDD-643AD501D584}"/>
    <cellStyle name="20% - Accent5 3 3 2 16" xfId="29320" xr:uid="{E00E91B5-2788-41D0-B23E-7E7C76EAA96B}"/>
    <cellStyle name="20% - Accent5 3 3 2 17" xfId="31210" xr:uid="{26717393-66E1-4931-AB68-9A13640BCB6E}"/>
    <cellStyle name="20% - Accent5 3 3 2 18" xfId="33100" xr:uid="{37FA844E-CDB4-42CC-9F88-746E38A684E5}"/>
    <cellStyle name="20% - Accent5 3 3 2 19" xfId="34990" xr:uid="{7E00ED67-61E1-407E-87D6-BBCE1DA396EC}"/>
    <cellStyle name="20% - Accent5 3 3 2 2" xfId="2860" xr:uid="{E9A50B75-AE00-4779-B0F8-6EF9B8A64504}"/>
    <cellStyle name="20% - Accent5 3 3 2 20" xfId="36880" xr:uid="{CDDFB031-7427-41E7-A976-1D8933D5E771}"/>
    <cellStyle name="20% - Accent5 3 3 2 21" xfId="38770" xr:uid="{09993433-9B76-4904-A075-4A89417515F1}"/>
    <cellStyle name="20% - Accent5 3 3 2 22" xfId="40661" xr:uid="{B3170B73-1BA7-4898-853D-BABBD636127F}"/>
    <cellStyle name="20% - Accent5 3 3 2 3" xfId="4750" xr:uid="{C1D3323B-6DF9-45C8-BADD-AEB9D7EB3C96}"/>
    <cellStyle name="20% - Accent5 3 3 2 4" xfId="6640" xr:uid="{4C3A68EA-9A97-4728-B1FD-7DF1068F6B3C}"/>
    <cellStyle name="20% - Accent5 3 3 2 5" xfId="8530" xr:uid="{6461628F-ED80-4985-94BA-465AD64C967B}"/>
    <cellStyle name="20% - Accent5 3 3 2 6" xfId="10420" xr:uid="{78AE3101-099D-406F-ABD9-F39BEE111029}"/>
    <cellStyle name="20% - Accent5 3 3 2 7" xfId="12310" xr:uid="{16FA3AAF-9AF0-4ADF-9DA9-7D010D166A45}"/>
    <cellStyle name="20% - Accent5 3 3 2 8" xfId="14200" xr:uid="{37481BBE-9A37-40D3-8A72-D9745E1007DE}"/>
    <cellStyle name="20% - Accent5 3 3 2 9" xfId="16090" xr:uid="{37142740-2F23-490C-A37C-279289457930}"/>
    <cellStyle name="20% - Accent5 3 3 20" xfId="32470" xr:uid="{257E8CAD-95BB-4FF9-B487-58A85A5F215C}"/>
    <cellStyle name="20% - Accent5 3 3 21" xfId="34360" xr:uid="{A0255AD5-A012-439B-BB3D-ADB0D6347EC0}"/>
    <cellStyle name="20% - Accent5 3 3 22" xfId="36250" xr:uid="{7476E3C6-513C-4FDB-B766-5C80A3BE6AAC}"/>
    <cellStyle name="20% - Accent5 3 3 23" xfId="38140" xr:uid="{C19296C0-FFA1-4FA5-801F-F5412F710148}"/>
    <cellStyle name="20% - Accent5 3 3 24" xfId="40031" xr:uid="{8C0F04F0-BE23-490E-965F-CD913BA8E07D}"/>
    <cellStyle name="20% - Accent5 3 3 3" xfId="1600" xr:uid="{848A4639-83A0-49B2-A56E-F8C3C1865D19}"/>
    <cellStyle name="20% - Accent5 3 3 3 10" xfId="18610" xr:uid="{BAEAE73A-2985-4884-8B6A-B73D419F4AD4}"/>
    <cellStyle name="20% - Accent5 3 3 3 11" xfId="20500" xr:uid="{64338D7F-D88F-4FAC-BD91-B47C8BF40068}"/>
    <cellStyle name="20% - Accent5 3 3 3 12" xfId="22390" xr:uid="{BE39E28B-6118-4579-B97E-DFF4FEB2E2C1}"/>
    <cellStyle name="20% - Accent5 3 3 3 13" xfId="24280" xr:uid="{F672070E-ACAE-4949-86ED-03FCC5579D1B}"/>
    <cellStyle name="20% - Accent5 3 3 3 14" xfId="26170" xr:uid="{2AB796BA-1A57-40D0-87FD-394BC081B3E1}"/>
    <cellStyle name="20% - Accent5 3 3 3 15" xfId="28060" xr:uid="{CEE5718D-2E53-4D0D-A2C5-ED496C5E6F29}"/>
    <cellStyle name="20% - Accent5 3 3 3 16" xfId="29950" xr:uid="{305967BC-A31A-4B8B-90ED-3BEAD875BD88}"/>
    <cellStyle name="20% - Accent5 3 3 3 17" xfId="31840" xr:uid="{A1C91279-6AD1-434C-8036-1C3ED678E79D}"/>
    <cellStyle name="20% - Accent5 3 3 3 18" xfId="33730" xr:uid="{04829C94-87C7-4B77-BC4C-EED3EF877260}"/>
    <cellStyle name="20% - Accent5 3 3 3 19" xfId="35620" xr:uid="{DE9D40F0-3A40-4E8A-BBC7-68A4FAEC6187}"/>
    <cellStyle name="20% - Accent5 3 3 3 2" xfId="3490" xr:uid="{F5B64285-56B0-4247-B0E1-5B781F0010B9}"/>
    <cellStyle name="20% - Accent5 3 3 3 20" xfId="37510" xr:uid="{70AB0AA1-1508-46C4-B226-F6398974343A}"/>
    <cellStyle name="20% - Accent5 3 3 3 21" xfId="39400" xr:uid="{3D51D6E5-36D9-4430-B3EE-44AF7176F90A}"/>
    <cellStyle name="20% - Accent5 3 3 3 22" xfId="41291" xr:uid="{61B909FB-CD00-4802-B377-4D51A6D10A6C}"/>
    <cellStyle name="20% - Accent5 3 3 3 3" xfId="5380" xr:uid="{C84111B7-43A4-42F0-979B-F21B6074F504}"/>
    <cellStyle name="20% - Accent5 3 3 3 4" xfId="7270" xr:uid="{7AA2331E-F31F-4127-8943-3EE9835C8507}"/>
    <cellStyle name="20% - Accent5 3 3 3 5" xfId="9160" xr:uid="{A0876310-4148-4136-BD64-22C81E4BC6A2}"/>
    <cellStyle name="20% - Accent5 3 3 3 6" xfId="11050" xr:uid="{69BF3E5C-02C0-4297-BCCD-58576AA612CE}"/>
    <cellStyle name="20% - Accent5 3 3 3 7" xfId="12940" xr:uid="{9B292D2D-C55A-4833-B268-09A603AE13A2}"/>
    <cellStyle name="20% - Accent5 3 3 3 8" xfId="14830" xr:uid="{32C4F9B6-E837-49F0-993A-270AED09C2CB}"/>
    <cellStyle name="20% - Accent5 3 3 3 9" xfId="16720" xr:uid="{6704E888-B764-4A1A-BAD0-3CA045CEC9A0}"/>
    <cellStyle name="20% - Accent5 3 3 4" xfId="2230" xr:uid="{11FCD2A1-8AD5-49D0-9AF2-C337731D108B}"/>
    <cellStyle name="20% - Accent5 3 3 5" xfId="4120" xr:uid="{AC3A4422-FFD9-4AD3-8F89-196284A9BEE8}"/>
    <cellStyle name="20% - Accent5 3 3 6" xfId="6010" xr:uid="{8C3993E2-055C-4E57-B106-869505FFD9A5}"/>
    <cellStyle name="20% - Accent5 3 3 7" xfId="7900" xr:uid="{552900F2-045E-4EF2-83F9-7279FE2E4AF1}"/>
    <cellStyle name="20% - Accent5 3 3 8" xfId="9790" xr:uid="{194E0E2F-F9BC-46A8-82F5-A5B3DDA368F3}"/>
    <cellStyle name="20% - Accent5 3 3 9" xfId="11680" xr:uid="{4353B94E-BB1D-4A19-A39F-DEBF16E4C18C}"/>
    <cellStyle name="20% - Accent5 3 4" xfId="550" xr:uid="{38154C4D-0EE1-4F59-8B45-8F8F16E52478}"/>
    <cellStyle name="20% - Accent5 3 4 10" xfId="13780" xr:uid="{B93BD471-F189-47AE-8448-2CE7D61E2E50}"/>
    <cellStyle name="20% - Accent5 3 4 11" xfId="15670" xr:uid="{BDCD2978-8571-46EE-818F-A92B581F5BEE}"/>
    <cellStyle name="20% - Accent5 3 4 12" xfId="17560" xr:uid="{E1742D8A-28ED-4F39-9BA7-8A04EC4ADD27}"/>
    <cellStyle name="20% - Accent5 3 4 13" xfId="19450" xr:uid="{CDD7BDB3-AD8B-44A6-BB69-D3A2BD1E02F0}"/>
    <cellStyle name="20% - Accent5 3 4 14" xfId="21340" xr:uid="{1FB39CFF-6165-4470-B802-12BD1A2C8CE6}"/>
    <cellStyle name="20% - Accent5 3 4 15" xfId="23230" xr:uid="{F30DB9F4-FAA1-4C07-839F-F6A4749FC374}"/>
    <cellStyle name="20% - Accent5 3 4 16" xfId="25120" xr:uid="{A87583A9-4CCC-4688-BB41-F445ADEF27FC}"/>
    <cellStyle name="20% - Accent5 3 4 17" xfId="27010" xr:uid="{CAE2535A-F235-44D1-8A66-BEF906EA2F8A}"/>
    <cellStyle name="20% - Accent5 3 4 18" xfId="28900" xr:uid="{92421108-EFFF-48E4-AA77-AF6B0D6BF9BE}"/>
    <cellStyle name="20% - Accent5 3 4 19" xfId="30790" xr:uid="{78AC19E3-9084-4D85-897B-5B4B7A4EF739}"/>
    <cellStyle name="20% - Accent5 3 4 2" xfId="1180" xr:uid="{08B0BCF6-79EE-46D9-BB1B-9A267BFC37FC}"/>
    <cellStyle name="20% - Accent5 3 4 2 10" xfId="18190" xr:uid="{79E2640E-9A9D-435A-AB67-AA296D47695B}"/>
    <cellStyle name="20% - Accent5 3 4 2 11" xfId="20080" xr:uid="{BECB0756-0B04-4594-9A3C-C87CED9CBE9B}"/>
    <cellStyle name="20% - Accent5 3 4 2 12" xfId="21970" xr:uid="{4B961280-D2F5-4E29-8D31-8962393620DF}"/>
    <cellStyle name="20% - Accent5 3 4 2 13" xfId="23860" xr:uid="{E4223042-F8E8-419B-A4DB-DF7BC15F415C}"/>
    <cellStyle name="20% - Accent5 3 4 2 14" xfId="25750" xr:uid="{267D3697-89D6-4F7C-8E5B-C9496E09922F}"/>
    <cellStyle name="20% - Accent5 3 4 2 15" xfId="27640" xr:uid="{AD29FE44-6F7C-43E2-87CA-B8BF0866FD3E}"/>
    <cellStyle name="20% - Accent5 3 4 2 16" xfId="29530" xr:uid="{F344E1EF-7F74-4591-866C-02376F4F60E5}"/>
    <cellStyle name="20% - Accent5 3 4 2 17" xfId="31420" xr:uid="{9BA9EEAC-03BE-40A6-8C61-0FFAED0A45B1}"/>
    <cellStyle name="20% - Accent5 3 4 2 18" xfId="33310" xr:uid="{B8038AD1-E843-4B5C-90A9-B396026DE12F}"/>
    <cellStyle name="20% - Accent5 3 4 2 19" xfId="35200" xr:uid="{036DDF1B-8C8F-4C8F-9480-0867D0BD1C73}"/>
    <cellStyle name="20% - Accent5 3 4 2 2" xfId="3070" xr:uid="{05C9422C-4C60-41CD-AC09-1919229DE534}"/>
    <cellStyle name="20% - Accent5 3 4 2 20" xfId="37090" xr:uid="{FF6B0112-04F1-4716-B168-5FCFCBC68824}"/>
    <cellStyle name="20% - Accent5 3 4 2 21" xfId="38980" xr:uid="{DB55A3CC-7925-40C1-8385-39FB24FC928E}"/>
    <cellStyle name="20% - Accent5 3 4 2 22" xfId="40871" xr:uid="{B4290CA2-BB7A-467C-B8B0-A925066C362A}"/>
    <cellStyle name="20% - Accent5 3 4 2 3" xfId="4960" xr:uid="{44AEF1E8-51A7-49BD-9877-DC05AA2E9752}"/>
    <cellStyle name="20% - Accent5 3 4 2 4" xfId="6850" xr:uid="{8F58A2B4-9359-4E0B-B72E-7DCBEA042F50}"/>
    <cellStyle name="20% - Accent5 3 4 2 5" xfId="8740" xr:uid="{E1070074-F67F-4F4A-8A98-C6E46B2C964E}"/>
    <cellStyle name="20% - Accent5 3 4 2 6" xfId="10630" xr:uid="{D5750EF0-EC15-46B8-98BA-52B0D833F830}"/>
    <cellStyle name="20% - Accent5 3 4 2 7" xfId="12520" xr:uid="{980EEC28-2151-4EED-BA07-AC249197F067}"/>
    <cellStyle name="20% - Accent5 3 4 2 8" xfId="14410" xr:uid="{28BB1FB8-F793-4A46-93CF-5B50E8524112}"/>
    <cellStyle name="20% - Accent5 3 4 2 9" xfId="16300" xr:uid="{D3C9E0C2-5B33-493F-91A6-BA376EEB963D}"/>
    <cellStyle name="20% - Accent5 3 4 20" xfId="32680" xr:uid="{75AB52C5-FAC4-49BD-9DD8-4DC375306C42}"/>
    <cellStyle name="20% - Accent5 3 4 21" xfId="34570" xr:uid="{1B665427-3AAC-4587-B189-9D34C13E543E}"/>
    <cellStyle name="20% - Accent5 3 4 22" xfId="36460" xr:uid="{F2081070-5AF5-485A-ABDC-8845479307F1}"/>
    <cellStyle name="20% - Accent5 3 4 23" xfId="38350" xr:uid="{7DDEFC85-33C1-47A7-B8BC-832CECBCBF62}"/>
    <cellStyle name="20% - Accent5 3 4 24" xfId="40241" xr:uid="{F42AEB39-44E5-45FC-B664-7619F746C950}"/>
    <cellStyle name="20% - Accent5 3 4 3" xfId="1810" xr:uid="{0C398D60-618B-425C-9F51-781C5447A1EA}"/>
    <cellStyle name="20% - Accent5 3 4 3 10" xfId="18820" xr:uid="{CABBC82E-720C-4E80-BEAA-22F103D2A51C}"/>
    <cellStyle name="20% - Accent5 3 4 3 11" xfId="20710" xr:uid="{9219D1E8-780E-47DA-AC96-45F5138F68BD}"/>
    <cellStyle name="20% - Accent5 3 4 3 12" xfId="22600" xr:uid="{C7769B4E-3D9A-4889-92D0-E6C2294F9EAC}"/>
    <cellStyle name="20% - Accent5 3 4 3 13" xfId="24490" xr:uid="{27294FE0-D261-44FC-90A3-F69472E2A92A}"/>
    <cellStyle name="20% - Accent5 3 4 3 14" xfId="26380" xr:uid="{49A96492-D05E-4023-B8D3-24D627E5F87C}"/>
    <cellStyle name="20% - Accent5 3 4 3 15" xfId="28270" xr:uid="{F5E447B4-FC94-438F-882C-579350B706CF}"/>
    <cellStyle name="20% - Accent5 3 4 3 16" xfId="30160" xr:uid="{B9BE2B26-961F-4AD1-9F04-91458BEC233D}"/>
    <cellStyle name="20% - Accent5 3 4 3 17" xfId="32050" xr:uid="{BDF97678-2EE9-46E6-854B-5A16E3F8D2AE}"/>
    <cellStyle name="20% - Accent5 3 4 3 18" xfId="33940" xr:uid="{977A235A-D24F-476C-8649-DB63E11A5B7B}"/>
    <cellStyle name="20% - Accent5 3 4 3 19" xfId="35830" xr:uid="{CD540012-EDF4-40AF-B465-BCF21FF08C03}"/>
    <cellStyle name="20% - Accent5 3 4 3 2" xfId="3700" xr:uid="{E6155A82-D77F-44A6-A528-90817D57DB53}"/>
    <cellStyle name="20% - Accent5 3 4 3 20" xfId="37720" xr:uid="{69990591-23D9-41A0-BD47-62E7BC7CF1EF}"/>
    <cellStyle name="20% - Accent5 3 4 3 21" xfId="39610" xr:uid="{47E54CCD-8FBA-4522-B710-44DA52DC9378}"/>
    <cellStyle name="20% - Accent5 3 4 3 22" xfId="41501" xr:uid="{5AAD1D16-A380-43E9-8EC7-969A070E66CE}"/>
    <cellStyle name="20% - Accent5 3 4 3 3" xfId="5590" xr:uid="{EFC9036E-CCC3-4978-A3AB-8367D953593F}"/>
    <cellStyle name="20% - Accent5 3 4 3 4" xfId="7480" xr:uid="{1EF71009-5213-4166-B693-9C62E768B1D2}"/>
    <cellStyle name="20% - Accent5 3 4 3 5" xfId="9370" xr:uid="{3D030557-1BD2-46A1-8216-920D8ED02C8B}"/>
    <cellStyle name="20% - Accent5 3 4 3 6" xfId="11260" xr:uid="{D10304E2-FC1B-4F58-BE03-8F2932371141}"/>
    <cellStyle name="20% - Accent5 3 4 3 7" xfId="13150" xr:uid="{6870D036-0A17-4F83-BFC3-32EFDA811F9B}"/>
    <cellStyle name="20% - Accent5 3 4 3 8" xfId="15040" xr:uid="{ABA88780-49E2-4B54-8342-A1C1F142129A}"/>
    <cellStyle name="20% - Accent5 3 4 3 9" xfId="16930" xr:uid="{8695ED6D-6250-49E4-A4A6-F9F3EA1E9BD9}"/>
    <cellStyle name="20% - Accent5 3 4 4" xfId="2440" xr:uid="{8D7C7A81-55A9-495C-B0E3-693F3D04E6B5}"/>
    <cellStyle name="20% - Accent5 3 4 5" xfId="4330" xr:uid="{58849413-0392-4CA8-BC66-DEE3E5EF3860}"/>
    <cellStyle name="20% - Accent5 3 4 6" xfId="6220" xr:uid="{E68451A0-89E4-47D6-9374-75BC88E507E6}"/>
    <cellStyle name="20% - Accent5 3 4 7" xfId="8110" xr:uid="{D25FFA20-396E-49F3-AF71-6E61DC239995}"/>
    <cellStyle name="20% - Accent5 3 4 8" xfId="10000" xr:uid="{70E3CEE7-CE39-443A-8A4A-6CC7698EA165}"/>
    <cellStyle name="20% - Accent5 3 4 9" xfId="11890" xr:uid="{A7988CCB-EF5A-4D99-B4FA-374ADDD8246E}"/>
    <cellStyle name="20% - Accent5 3 5" xfId="760" xr:uid="{3383EB7C-930F-41CC-825D-8919CEA01432}"/>
    <cellStyle name="20% - Accent5 3 5 10" xfId="17770" xr:uid="{75B9ECEE-19D2-4A21-B7A5-3114DB2B5B27}"/>
    <cellStyle name="20% - Accent5 3 5 11" xfId="19660" xr:uid="{19288DCA-310C-498D-8B63-41A80219EA85}"/>
    <cellStyle name="20% - Accent5 3 5 12" xfId="21550" xr:uid="{FC5DB600-B9F3-49B1-8EEF-2E6FF5B6F075}"/>
    <cellStyle name="20% - Accent5 3 5 13" xfId="23440" xr:uid="{C0153BDA-DCEC-4B43-8E62-6D932666A93F}"/>
    <cellStyle name="20% - Accent5 3 5 14" xfId="25330" xr:uid="{3116908B-15EC-47BE-82D3-EF7B7E4B4E56}"/>
    <cellStyle name="20% - Accent5 3 5 15" xfId="27220" xr:uid="{2ED22EF6-C24E-43AB-B7A4-37A29608A02E}"/>
    <cellStyle name="20% - Accent5 3 5 16" xfId="29110" xr:uid="{48DB750B-AE3B-4603-A4CF-7300550558EF}"/>
    <cellStyle name="20% - Accent5 3 5 17" xfId="31000" xr:uid="{CD0DA287-2C13-4AE2-9806-ADA016F557EB}"/>
    <cellStyle name="20% - Accent5 3 5 18" xfId="32890" xr:uid="{1FAFA634-E11E-4408-A2B4-8D556B65C3EC}"/>
    <cellStyle name="20% - Accent5 3 5 19" xfId="34780" xr:uid="{11BF21EA-C40F-4CD2-8B04-1B05364381BB}"/>
    <cellStyle name="20% - Accent5 3 5 2" xfId="2650" xr:uid="{AA2646F9-B9E0-4DC6-AC6F-E17906E6F323}"/>
    <cellStyle name="20% - Accent5 3 5 20" xfId="36670" xr:uid="{CDAE57F8-2F2F-4FA7-8659-4F0BCDC7F8B3}"/>
    <cellStyle name="20% - Accent5 3 5 21" xfId="38560" xr:uid="{9581AEB1-C02F-40A9-9216-62E2E3BE7564}"/>
    <cellStyle name="20% - Accent5 3 5 22" xfId="40451" xr:uid="{AD50E237-396E-4DF3-8F3C-CAEB9D6A52FF}"/>
    <cellStyle name="20% - Accent5 3 5 3" xfId="4540" xr:uid="{A0217A95-FE3F-4F4F-B348-04962486D7C3}"/>
    <cellStyle name="20% - Accent5 3 5 4" xfId="6430" xr:uid="{BC2BBA41-329F-466E-A4F4-0DF9FD41143D}"/>
    <cellStyle name="20% - Accent5 3 5 5" xfId="8320" xr:uid="{0733147C-D209-4DB2-BA22-A3331AEA0813}"/>
    <cellStyle name="20% - Accent5 3 5 6" xfId="10210" xr:uid="{3C265E67-28B8-4B97-8BC1-BD1CDDBA62F7}"/>
    <cellStyle name="20% - Accent5 3 5 7" xfId="12100" xr:uid="{52EB13EF-AFDC-46C7-B92C-7E9BCB3C7A59}"/>
    <cellStyle name="20% - Accent5 3 5 8" xfId="13990" xr:uid="{5C091CEF-B244-4B0C-B810-4AECDF576122}"/>
    <cellStyle name="20% - Accent5 3 5 9" xfId="15880" xr:uid="{5B410949-4BB8-4714-B728-B4152A51FF9D}"/>
    <cellStyle name="20% - Accent5 3 6" xfId="1390" xr:uid="{0D1D5C43-26B9-47B0-9BF0-2A249B5BDF46}"/>
    <cellStyle name="20% - Accent5 3 6 10" xfId="18400" xr:uid="{78694E26-4737-428C-BAB1-6FBF35B7BCF3}"/>
    <cellStyle name="20% - Accent5 3 6 11" xfId="20290" xr:uid="{BE24F1B9-0817-41C7-9BDA-CAA3CB49C1DF}"/>
    <cellStyle name="20% - Accent5 3 6 12" xfId="22180" xr:uid="{E36A3D99-F620-40B0-9F31-5A4988BAC12C}"/>
    <cellStyle name="20% - Accent5 3 6 13" xfId="24070" xr:uid="{48197FE2-7C97-4BCF-954E-8F41289B1406}"/>
    <cellStyle name="20% - Accent5 3 6 14" xfId="25960" xr:uid="{89F9C270-433B-43D2-827C-AE10ED715433}"/>
    <cellStyle name="20% - Accent5 3 6 15" xfId="27850" xr:uid="{00F0FC95-E9B7-4EB6-A026-9823C4D48CC6}"/>
    <cellStyle name="20% - Accent5 3 6 16" xfId="29740" xr:uid="{BF362DE6-1A6B-4913-922D-9686DCE27C95}"/>
    <cellStyle name="20% - Accent5 3 6 17" xfId="31630" xr:uid="{B8814365-DC6F-462B-B966-907C09A57763}"/>
    <cellStyle name="20% - Accent5 3 6 18" xfId="33520" xr:uid="{54531CEC-B729-4E15-B13F-47D9FFCD717A}"/>
    <cellStyle name="20% - Accent5 3 6 19" xfId="35410" xr:uid="{413B9CC3-0A7B-4D1B-923A-38AFA8F29690}"/>
    <cellStyle name="20% - Accent5 3 6 2" xfId="3280" xr:uid="{F46AE19F-29D8-4926-9DEA-BDEEF71F74D0}"/>
    <cellStyle name="20% - Accent5 3 6 20" xfId="37300" xr:uid="{C24AF9E2-EA0A-43AE-B406-74ACC917C8DE}"/>
    <cellStyle name="20% - Accent5 3 6 21" xfId="39190" xr:uid="{C1CF9B50-A763-4BA0-85CF-02573DF7B21A}"/>
    <cellStyle name="20% - Accent5 3 6 22" xfId="41081" xr:uid="{47D71EF7-59B5-4DFA-955C-9509EB57B7DA}"/>
    <cellStyle name="20% - Accent5 3 6 3" xfId="5170" xr:uid="{2F29BB30-52DD-42E4-BD61-3301F667D4AF}"/>
    <cellStyle name="20% - Accent5 3 6 4" xfId="7060" xr:uid="{D230AEB3-0CE8-45C9-B9C9-37E5CD631E3B}"/>
    <cellStyle name="20% - Accent5 3 6 5" xfId="8950" xr:uid="{FBA063A4-4AAE-4420-84C3-980ABDA7F3DE}"/>
    <cellStyle name="20% - Accent5 3 6 6" xfId="10840" xr:uid="{44D7F30A-CB7C-4241-AF3C-D0E305796FE8}"/>
    <cellStyle name="20% - Accent5 3 6 7" xfId="12730" xr:uid="{E95C07D7-DCEE-4368-A5F4-5A03F1761EE6}"/>
    <cellStyle name="20% - Accent5 3 6 8" xfId="14620" xr:uid="{298743DD-220D-436C-B0D7-066EE5E78915}"/>
    <cellStyle name="20% - Accent5 3 6 9" xfId="16510" xr:uid="{4D31171D-4D08-41D6-AFFF-EA18552BFD90}"/>
    <cellStyle name="20% - Accent5 3 7" xfId="2020" xr:uid="{D089744D-130A-4204-8237-10A2E2850A67}"/>
    <cellStyle name="20% - Accent5 3 8" xfId="3910" xr:uid="{8A9E359A-7F9B-4FE0-815E-90CEEC8943F0}"/>
    <cellStyle name="20% - Accent5 3 9" xfId="5800" xr:uid="{403ED6D0-DBAD-48A3-9783-1EED00C584B5}"/>
    <cellStyle name="20% - Accent5 4" xfId="193" xr:uid="{CF4125EE-9E19-453C-8204-BF95C6CB3363}"/>
    <cellStyle name="20% - Accent5 4 10" xfId="9643" xr:uid="{DC706FF3-0902-4709-A5CE-EF72AF220D13}"/>
    <cellStyle name="20% - Accent5 4 11" xfId="11533" xr:uid="{B19501B7-CE5E-442C-BFB5-0B300DEEB14D}"/>
    <cellStyle name="20% - Accent5 4 12" xfId="13423" xr:uid="{6D44F131-DB3E-4726-80EE-9EC87E4FDE9C}"/>
    <cellStyle name="20% - Accent5 4 13" xfId="15313" xr:uid="{970A1514-57BD-44EE-9F52-F5BB858299B5}"/>
    <cellStyle name="20% - Accent5 4 14" xfId="17203" xr:uid="{230A98D5-C43B-4667-943E-3344DCB2EE6C}"/>
    <cellStyle name="20% - Accent5 4 15" xfId="19093" xr:uid="{0CB053ED-E6F6-4B91-B46D-A6CEE67339C8}"/>
    <cellStyle name="20% - Accent5 4 16" xfId="20983" xr:uid="{030A3804-C8DD-4075-BEE4-421D4DE4E09D}"/>
    <cellStyle name="20% - Accent5 4 17" xfId="22873" xr:uid="{1F8529D4-07F2-4A0C-84A0-B7CBD731D14A}"/>
    <cellStyle name="20% - Accent5 4 18" xfId="24763" xr:uid="{1980A14F-4495-4F59-8187-370318BBB7FC}"/>
    <cellStyle name="20% - Accent5 4 19" xfId="26653" xr:uid="{9B8861CA-F1B0-4A6E-A7A3-9013187AA1DD}"/>
    <cellStyle name="20% - Accent5 4 2" xfId="403" xr:uid="{6AD03B11-D9F2-4C5B-B897-624155E5C9CC}"/>
    <cellStyle name="20% - Accent5 4 2 10" xfId="13633" xr:uid="{E3EA17DD-9D87-4737-AE50-EF537268FEEA}"/>
    <cellStyle name="20% - Accent5 4 2 11" xfId="15523" xr:uid="{635C9799-0966-4586-8523-CF337641D291}"/>
    <cellStyle name="20% - Accent5 4 2 12" xfId="17413" xr:uid="{8BE46E7A-8BC7-4F8F-AB7E-3B2B57DDE4B4}"/>
    <cellStyle name="20% - Accent5 4 2 13" xfId="19303" xr:uid="{7C442ABE-ACCE-4B1D-ACA7-C368581D3880}"/>
    <cellStyle name="20% - Accent5 4 2 14" xfId="21193" xr:uid="{05EDC0A3-8A00-4DBF-AEF8-0A8DED732EA9}"/>
    <cellStyle name="20% - Accent5 4 2 15" xfId="23083" xr:uid="{1463F646-21A0-4C2E-A3F4-B7A9FC12C733}"/>
    <cellStyle name="20% - Accent5 4 2 16" xfId="24973" xr:uid="{6312DA13-6E03-420A-9AF1-B7CCFF3DA812}"/>
    <cellStyle name="20% - Accent5 4 2 17" xfId="26863" xr:uid="{1E686BD0-77CB-4E11-815D-27B10E49D96C}"/>
    <cellStyle name="20% - Accent5 4 2 18" xfId="28753" xr:uid="{BD446AAE-AC67-46DF-A37C-E20E6EA4580B}"/>
    <cellStyle name="20% - Accent5 4 2 19" xfId="30643" xr:uid="{DBA95387-8344-4372-8DCC-0584353489DF}"/>
    <cellStyle name="20% - Accent5 4 2 2" xfId="1033" xr:uid="{09A25DB5-B473-4390-B1E0-034608731D83}"/>
    <cellStyle name="20% - Accent5 4 2 2 10" xfId="18043" xr:uid="{5282B7B4-AA80-4612-A845-9A9D59237E8B}"/>
    <cellStyle name="20% - Accent5 4 2 2 11" xfId="19933" xr:uid="{886AC0A4-8CB4-4A20-852E-48C965D30126}"/>
    <cellStyle name="20% - Accent5 4 2 2 12" xfId="21823" xr:uid="{A94B9E94-FEE9-477D-89EE-C0F6904B277F}"/>
    <cellStyle name="20% - Accent5 4 2 2 13" xfId="23713" xr:uid="{ADB9C6C4-DBDA-4A6A-AC29-E9975EAF0BE6}"/>
    <cellStyle name="20% - Accent5 4 2 2 14" xfId="25603" xr:uid="{B52F5BFC-1910-48A6-B2DA-42065BA64E75}"/>
    <cellStyle name="20% - Accent5 4 2 2 15" xfId="27493" xr:uid="{B3374296-6CD6-42C5-856F-344D41E768B8}"/>
    <cellStyle name="20% - Accent5 4 2 2 16" xfId="29383" xr:uid="{9B9B6DE5-D573-4843-B601-31586F818ADA}"/>
    <cellStyle name="20% - Accent5 4 2 2 17" xfId="31273" xr:uid="{1CE00FC3-2902-41B4-B3EE-D494C807E0FA}"/>
    <cellStyle name="20% - Accent5 4 2 2 18" xfId="33163" xr:uid="{EB741479-AD4D-4253-B4A2-3F2D77A34B1D}"/>
    <cellStyle name="20% - Accent5 4 2 2 19" xfId="35053" xr:uid="{44671860-93BD-4326-BEF4-C0DA463EF452}"/>
    <cellStyle name="20% - Accent5 4 2 2 2" xfId="2923" xr:uid="{FC986B80-39A3-4997-BF56-BAC568571916}"/>
    <cellStyle name="20% - Accent5 4 2 2 20" xfId="36943" xr:uid="{AC1BB3B9-F931-4C7D-89FB-E5DD8C2B4BB9}"/>
    <cellStyle name="20% - Accent5 4 2 2 21" xfId="38833" xr:uid="{E0B61A5D-49DB-4553-B456-E9054B7AB52B}"/>
    <cellStyle name="20% - Accent5 4 2 2 22" xfId="40724" xr:uid="{B70D2BAD-FDA1-44D9-A031-B492274D759C}"/>
    <cellStyle name="20% - Accent5 4 2 2 3" xfId="4813" xr:uid="{CFCC7C83-F390-429C-A86A-F0D7DEB11C73}"/>
    <cellStyle name="20% - Accent5 4 2 2 4" xfId="6703" xr:uid="{CB6B3240-7D0C-4B1D-BC1A-3DD059D0F9BB}"/>
    <cellStyle name="20% - Accent5 4 2 2 5" xfId="8593" xr:uid="{09C1B872-55FF-4FC8-A67B-37E5D8958151}"/>
    <cellStyle name="20% - Accent5 4 2 2 6" xfId="10483" xr:uid="{42E82811-8F8A-4F00-AC33-708F18E5A732}"/>
    <cellStyle name="20% - Accent5 4 2 2 7" xfId="12373" xr:uid="{18EC7C28-9C9D-428D-B833-96E89EC1FCB1}"/>
    <cellStyle name="20% - Accent5 4 2 2 8" xfId="14263" xr:uid="{29347F19-AE30-4101-97FD-4A8F1E114B47}"/>
    <cellStyle name="20% - Accent5 4 2 2 9" xfId="16153" xr:uid="{ABE4ED72-99E3-4584-AB43-45859EFABA8D}"/>
    <cellStyle name="20% - Accent5 4 2 20" xfId="32533" xr:uid="{52543937-4E38-43CB-A700-FE90D28D8748}"/>
    <cellStyle name="20% - Accent5 4 2 21" xfId="34423" xr:uid="{99197102-30EE-4381-AD9D-BB1624AE0DD4}"/>
    <cellStyle name="20% - Accent5 4 2 22" xfId="36313" xr:uid="{CA96F280-D946-480C-AF15-F8BCBC4DF6E7}"/>
    <cellStyle name="20% - Accent5 4 2 23" xfId="38203" xr:uid="{1F1662F5-13CC-4EC5-9D0F-7B964A11889B}"/>
    <cellStyle name="20% - Accent5 4 2 24" xfId="40094" xr:uid="{4CBE3A37-3945-4F12-9469-16AB910096DA}"/>
    <cellStyle name="20% - Accent5 4 2 3" xfId="1663" xr:uid="{E891896E-E576-4F7A-9BA4-095C8AA5ABB6}"/>
    <cellStyle name="20% - Accent5 4 2 3 10" xfId="18673" xr:uid="{C61C61BB-D800-4977-BC9C-E2322180DE05}"/>
    <cellStyle name="20% - Accent5 4 2 3 11" xfId="20563" xr:uid="{9406BABB-A37E-45C5-AAEF-334D89CD7B32}"/>
    <cellStyle name="20% - Accent5 4 2 3 12" xfId="22453" xr:uid="{E6D50BB9-181C-4B5B-9D60-D1AA02118E9F}"/>
    <cellStyle name="20% - Accent5 4 2 3 13" xfId="24343" xr:uid="{DF87389B-02FA-40DC-98CB-FE4683531242}"/>
    <cellStyle name="20% - Accent5 4 2 3 14" xfId="26233" xr:uid="{A0EF2CC1-1611-4375-8BFA-2936C52970D4}"/>
    <cellStyle name="20% - Accent5 4 2 3 15" xfId="28123" xr:uid="{FFE11F55-7571-461E-820E-4AAC93B21236}"/>
    <cellStyle name="20% - Accent5 4 2 3 16" xfId="30013" xr:uid="{C811A074-6D96-494D-B82B-0C0AD925B086}"/>
    <cellStyle name="20% - Accent5 4 2 3 17" xfId="31903" xr:uid="{C34E8672-A821-4F96-8B04-F57F1EE5603D}"/>
    <cellStyle name="20% - Accent5 4 2 3 18" xfId="33793" xr:uid="{585A15C8-ECE7-4262-9F62-1C389D8B1888}"/>
    <cellStyle name="20% - Accent5 4 2 3 19" xfId="35683" xr:uid="{05667315-80ED-419A-B121-0B777BDA8612}"/>
    <cellStyle name="20% - Accent5 4 2 3 2" xfId="3553" xr:uid="{2128E496-B8F5-4167-BEA2-5623629AC074}"/>
    <cellStyle name="20% - Accent5 4 2 3 20" xfId="37573" xr:uid="{931EC852-222F-4CA1-83CA-DFBC725C195B}"/>
    <cellStyle name="20% - Accent5 4 2 3 21" xfId="39463" xr:uid="{02EC33E8-C153-4BDF-A8CA-28C219FBB48D}"/>
    <cellStyle name="20% - Accent5 4 2 3 22" xfId="41354" xr:uid="{908A4FA2-23C0-47CD-8E01-2B84D503EB70}"/>
    <cellStyle name="20% - Accent5 4 2 3 3" xfId="5443" xr:uid="{83287846-9B07-4B2B-9716-201CE735F56C}"/>
    <cellStyle name="20% - Accent5 4 2 3 4" xfId="7333" xr:uid="{C57E440A-D37C-4B67-BCD1-4413A399B284}"/>
    <cellStyle name="20% - Accent5 4 2 3 5" xfId="9223" xr:uid="{6566FB67-9513-4337-9768-270DE5F78AE9}"/>
    <cellStyle name="20% - Accent5 4 2 3 6" xfId="11113" xr:uid="{8A3940C2-3F9D-4680-BFE5-70EDBF3AD4D1}"/>
    <cellStyle name="20% - Accent5 4 2 3 7" xfId="13003" xr:uid="{4D39A380-CA9D-484B-80EF-34DC43909291}"/>
    <cellStyle name="20% - Accent5 4 2 3 8" xfId="14893" xr:uid="{59F568A2-5721-4764-B3C8-04353EEDDF80}"/>
    <cellStyle name="20% - Accent5 4 2 3 9" xfId="16783" xr:uid="{F4518867-C7B0-4949-959E-36CD3B1D2607}"/>
    <cellStyle name="20% - Accent5 4 2 4" xfId="2293" xr:uid="{8152CFCE-73E6-4391-81E1-6634113C5AA6}"/>
    <cellStyle name="20% - Accent5 4 2 5" xfId="4183" xr:uid="{0108082C-06A5-4B96-B254-CB61DE7E426F}"/>
    <cellStyle name="20% - Accent5 4 2 6" xfId="6073" xr:uid="{2AD79B79-EDC6-420F-AA50-62DC8D4DFE93}"/>
    <cellStyle name="20% - Accent5 4 2 7" xfId="7963" xr:uid="{D93F8E72-D6C8-4B97-8685-BD451624A237}"/>
    <cellStyle name="20% - Accent5 4 2 8" xfId="9853" xr:uid="{748465E0-5FF5-4D5B-AC57-32979286FD34}"/>
    <cellStyle name="20% - Accent5 4 2 9" xfId="11743" xr:uid="{00E0BBEF-4B99-4758-9685-273B2D9495C4}"/>
    <cellStyle name="20% - Accent5 4 20" xfId="28543" xr:uid="{36E97B6D-71F3-4B8F-A746-73934EC8D1A5}"/>
    <cellStyle name="20% - Accent5 4 21" xfId="30433" xr:uid="{4A4C643B-79A7-4C89-B305-93DE67DF99D9}"/>
    <cellStyle name="20% - Accent5 4 22" xfId="32323" xr:uid="{134FC206-199F-41B6-B4D0-5230F6E8E627}"/>
    <cellStyle name="20% - Accent5 4 23" xfId="34213" xr:uid="{984ACB53-80DE-4BE2-BE55-2BFBA6BB8278}"/>
    <cellStyle name="20% - Accent5 4 24" xfId="36103" xr:uid="{ACF5EA60-3DD9-4C34-ACEA-3D293B021323}"/>
    <cellStyle name="20% - Accent5 4 25" xfId="37993" xr:uid="{FCBC9863-6355-4EB1-AAE5-6E393A681E75}"/>
    <cellStyle name="20% - Accent5 4 26" xfId="39884" xr:uid="{3685BEA3-0949-45ED-9B05-BDF228D7EFBA}"/>
    <cellStyle name="20% - Accent5 4 3" xfId="613" xr:uid="{674663ED-C37B-4B4A-90FE-08226EB0E6B2}"/>
    <cellStyle name="20% - Accent5 4 3 10" xfId="13843" xr:uid="{EE0EC607-A315-49F5-A895-A78A835F1EA2}"/>
    <cellStyle name="20% - Accent5 4 3 11" xfId="15733" xr:uid="{0158C9EB-0258-4893-8C63-2FB8323E2D39}"/>
    <cellStyle name="20% - Accent5 4 3 12" xfId="17623" xr:uid="{AE0858AB-EB6B-4BC7-8594-6795B96F66A7}"/>
    <cellStyle name="20% - Accent5 4 3 13" xfId="19513" xr:uid="{41958A0B-A8BA-44EF-BADC-D833B0DC200D}"/>
    <cellStyle name="20% - Accent5 4 3 14" xfId="21403" xr:uid="{11494A43-5BC6-4AE3-9199-07069C902F1D}"/>
    <cellStyle name="20% - Accent5 4 3 15" xfId="23293" xr:uid="{5A29736E-2158-4049-8BC4-01E3F9B5A8D8}"/>
    <cellStyle name="20% - Accent5 4 3 16" xfId="25183" xr:uid="{76F87058-397B-49AB-AFEB-816D71D579B3}"/>
    <cellStyle name="20% - Accent5 4 3 17" xfId="27073" xr:uid="{4D81ABF1-FADB-4AEA-BF56-C6724A69EF63}"/>
    <cellStyle name="20% - Accent5 4 3 18" xfId="28963" xr:uid="{1040AC63-6F46-4FD3-B126-A9146AA56A39}"/>
    <cellStyle name="20% - Accent5 4 3 19" xfId="30853" xr:uid="{DAE1C356-BAF6-4663-A4A7-5B71F706F7F4}"/>
    <cellStyle name="20% - Accent5 4 3 2" xfId="1243" xr:uid="{22CBA4A5-D9CA-43C9-BE05-D3B3498F516D}"/>
    <cellStyle name="20% - Accent5 4 3 2 10" xfId="18253" xr:uid="{07013EB2-2E3A-4746-B72E-C8C3F5D0AFF9}"/>
    <cellStyle name="20% - Accent5 4 3 2 11" xfId="20143" xr:uid="{BB28ED37-3C0E-41FF-9AEF-91328554D369}"/>
    <cellStyle name="20% - Accent5 4 3 2 12" xfId="22033" xr:uid="{20B96788-C442-458D-B918-57DFFD526054}"/>
    <cellStyle name="20% - Accent5 4 3 2 13" xfId="23923" xr:uid="{FE6F9892-E29B-4DAE-B297-8DFA3F49C132}"/>
    <cellStyle name="20% - Accent5 4 3 2 14" xfId="25813" xr:uid="{24313C77-2560-43F2-86EE-8852E9D7DCE0}"/>
    <cellStyle name="20% - Accent5 4 3 2 15" xfId="27703" xr:uid="{978904EE-2A16-49E5-BF9F-F27BF6B5F0F9}"/>
    <cellStyle name="20% - Accent5 4 3 2 16" xfId="29593" xr:uid="{7EC84EF7-460E-444C-880E-B3EE9E042B02}"/>
    <cellStyle name="20% - Accent5 4 3 2 17" xfId="31483" xr:uid="{5D4D5898-8BF9-4F96-9352-8179A04148BA}"/>
    <cellStyle name="20% - Accent5 4 3 2 18" xfId="33373" xr:uid="{8DB7EEC9-F955-4E72-B950-72137FD91887}"/>
    <cellStyle name="20% - Accent5 4 3 2 19" xfId="35263" xr:uid="{387EF970-1DDC-4A4F-992E-0F28083F8633}"/>
    <cellStyle name="20% - Accent5 4 3 2 2" xfId="3133" xr:uid="{B65A869A-D615-4D28-8A1A-7CCDD6054205}"/>
    <cellStyle name="20% - Accent5 4 3 2 20" xfId="37153" xr:uid="{76CBE5A2-D2AA-4A37-96B7-4EA56B1D17D3}"/>
    <cellStyle name="20% - Accent5 4 3 2 21" xfId="39043" xr:uid="{7D2BB50B-6BB9-4E96-977F-61EC7712F782}"/>
    <cellStyle name="20% - Accent5 4 3 2 22" xfId="40934" xr:uid="{174BF553-CB10-4085-9810-966450B6B94B}"/>
    <cellStyle name="20% - Accent5 4 3 2 3" xfId="5023" xr:uid="{3122FAD8-E224-456F-99C8-0A16F51618E8}"/>
    <cellStyle name="20% - Accent5 4 3 2 4" xfId="6913" xr:uid="{65B4D4F0-D1BE-4B1B-8C3E-13448FD2CA3A}"/>
    <cellStyle name="20% - Accent5 4 3 2 5" xfId="8803" xr:uid="{B536B591-1AD6-415E-98BB-034CB696FE30}"/>
    <cellStyle name="20% - Accent5 4 3 2 6" xfId="10693" xr:uid="{175744DB-1C9B-45B1-9BD5-265E3F38A4DA}"/>
    <cellStyle name="20% - Accent5 4 3 2 7" xfId="12583" xr:uid="{0E1CC976-BB50-4F5F-B727-79AE05319581}"/>
    <cellStyle name="20% - Accent5 4 3 2 8" xfId="14473" xr:uid="{8C061389-BD6B-4763-8D93-5D9BA1712815}"/>
    <cellStyle name="20% - Accent5 4 3 2 9" xfId="16363" xr:uid="{340F7335-9158-4A62-9313-2D9B5666913E}"/>
    <cellStyle name="20% - Accent5 4 3 20" xfId="32743" xr:uid="{078B83BB-5429-48DC-A36F-51CC14E72330}"/>
    <cellStyle name="20% - Accent5 4 3 21" xfId="34633" xr:uid="{4A592756-7CC3-436E-95A0-12BA2CFCFDDD}"/>
    <cellStyle name="20% - Accent5 4 3 22" xfId="36523" xr:uid="{11200DEE-0EB5-4F7D-A4B4-E2AEBF4FA1BC}"/>
    <cellStyle name="20% - Accent5 4 3 23" xfId="38413" xr:uid="{5181021B-7467-4F44-8015-077704C1C060}"/>
    <cellStyle name="20% - Accent5 4 3 24" xfId="40304" xr:uid="{0F2647A2-4EED-4EFF-91DB-BD4C2F33AD58}"/>
    <cellStyle name="20% - Accent5 4 3 3" xfId="1873" xr:uid="{3ED3354C-B632-4724-8BE0-42FB454EB747}"/>
    <cellStyle name="20% - Accent5 4 3 3 10" xfId="18883" xr:uid="{C1BBDDDF-4CC1-4DEB-B48F-0B120BAE9179}"/>
    <cellStyle name="20% - Accent5 4 3 3 11" xfId="20773" xr:uid="{62BF89B2-380B-46BD-B652-06246491D572}"/>
    <cellStyle name="20% - Accent5 4 3 3 12" xfId="22663" xr:uid="{3E789F83-F532-425E-AF51-91F87FB67F69}"/>
    <cellStyle name="20% - Accent5 4 3 3 13" xfId="24553" xr:uid="{A4CFAFFF-9951-4421-96D5-7420D333E754}"/>
    <cellStyle name="20% - Accent5 4 3 3 14" xfId="26443" xr:uid="{F04F52AE-5E3C-464C-8605-251FCD084631}"/>
    <cellStyle name="20% - Accent5 4 3 3 15" xfId="28333" xr:uid="{9458D957-E4EF-46A2-BA51-B66C3AB6A9AD}"/>
    <cellStyle name="20% - Accent5 4 3 3 16" xfId="30223" xr:uid="{32576ABF-A0BB-4E3C-BAAC-B271B0ACFFC3}"/>
    <cellStyle name="20% - Accent5 4 3 3 17" xfId="32113" xr:uid="{1505ECBD-28F9-441D-B9A2-7EA997CD6F28}"/>
    <cellStyle name="20% - Accent5 4 3 3 18" xfId="34003" xr:uid="{0CF4C27B-7BBD-4843-8A8A-6B04867F60A1}"/>
    <cellStyle name="20% - Accent5 4 3 3 19" xfId="35893" xr:uid="{62DBA0C2-F76B-4718-AFBF-264A041AA0EE}"/>
    <cellStyle name="20% - Accent5 4 3 3 2" xfId="3763" xr:uid="{4E4A459E-5388-4751-A139-B84EF0B01CBF}"/>
    <cellStyle name="20% - Accent5 4 3 3 20" xfId="37783" xr:uid="{21A6E00B-7D19-484B-B012-CED5CF2F0B45}"/>
    <cellStyle name="20% - Accent5 4 3 3 21" xfId="39673" xr:uid="{1C33D559-0826-46CC-8DB2-283DA2D0F107}"/>
    <cellStyle name="20% - Accent5 4 3 3 22" xfId="41564" xr:uid="{E19E320F-6CC4-40DA-8FFE-8AD8FBC9B10C}"/>
    <cellStyle name="20% - Accent5 4 3 3 3" xfId="5653" xr:uid="{E451726F-B492-40FB-8FC6-9DD6B1633C91}"/>
    <cellStyle name="20% - Accent5 4 3 3 4" xfId="7543" xr:uid="{E45C6D90-0914-466F-A6A7-AAE04ED46DCB}"/>
    <cellStyle name="20% - Accent5 4 3 3 5" xfId="9433" xr:uid="{BAC47CCD-45C7-4180-ADFE-FE5550C7BA0E}"/>
    <cellStyle name="20% - Accent5 4 3 3 6" xfId="11323" xr:uid="{853BB62A-A6D5-4D31-A3A9-112C13B40FC8}"/>
    <cellStyle name="20% - Accent5 4 3 3 7" xfId="13213" xr:uid="{39CFD0CE-D04E-4307-ACE1-99B89610E04F}"/>
    <cellStyle name="20% - Accent5 4 3 3 8" xfId="15103" xr:uid="{739C1469-AF8B-433D-8DD4-244FE36254C5}"/>
    <cellStyle name="20% - Accent5 4 3 3 9" xfId="16993" xr:uid="{A34ECEA5-E802-4566-A059-3E06FA24186F}"/>
    <cellStyle name="20% - Accent5 4 3 4" xfId="2503" xr:uid="{5847E670-4980-4D63-8133-ADA844A19ADD}"/>
    <cellStyle name="20% - Accent5 4 3 5" xfId="4393" xr:uid="{49B5AD1F-6305-4E48-9971-B26DF8C1C7C7}"/>
    <cellStyle name="20% - Accent5 4 3 6" xfId="6283" xr:uid="{03936111-7B5F-435D-9572-450B88B57413}"/>
    <cellStyle name="20% - Accent5 4 3 7" xfId="8173" xr:uid="{09E4F933-62B6-4FC0-A5E4-EEB5A33DAB80}"/>
    <cellStyle name="20% - Accent5 4 3 8" xfId="10063" xr:uid="{E8355A46-13F3-4250-A6F8-7A6EAF22455D}"/>
    <cellStyle name="20% - Accent5 4 3 9" xfId="11953" xr:uid="{42364DFE-DFF4-49F0-A4BC-2E0144E5929B}"/>
    <cellStyle name="20% - Accent5 4 4" xfId="823" xr:uid="{B5045016-D2E2-4EC5-B1C4-26FADE35E280}"/>
    <cellStyle name="20% - Accent5 4 4 10" xfId="17833" xr:uid="{894126D3-4070-4A79-9073-4A875AB231C3}"/>
    <cellStyle name="20% - Accent5 4 4 11" xfId="19723" xr:uid="{0EE43955-084F-4569-8159-85E2FB9ECB78}"/>
    <cellStyle name="20% - Accent5 4 4 12" xfId="21613" xr:uid="{8B657C78-67F6-4CD2-A117-A4E42F569B76}"/>
    <cellStyle name="20% - Accent5 4 4 13" xfId="23503" xr:uid="{993B131C-8A63-4289-958E-1A2B17C17446}"/>
    <cellStyle name="20% - Accent5 4 4 14" xfId="25393" xr:uid="{9E0F0509-EBFB-4B28-8E0F-355EA60D0CE6}"/>
    <cellStyle name="20% - Accent5 4 4 15" xfId="27283" xr:uid="{9F44EB0D-B44C-4ED8-B90B-558DDB6F3FCF}"/>
    <cellStyle name="20% - Accent5 4 4 16" xfId="29173" xr:uid="{8813CD6D-63EB-4ADB-920C-0FB2294881B2}"/>
    <cellStyle name="20% - Accent5 4 4 17" xfId="31063" xr:uid="{67BEF702-D962-4005-B253-BBC086B80075}"/>
    <cellStyle name="20% - Accent5 4 4 18" xfId="32953" xr:uid="{3BDB7DD0-0C0F-433F-9AE8-285E3B7716C3}"/>
    <cellStyle name="20% - Accent5 4 4 19" xfId="34843" xr:uid="{9449524B-FB2D-4BD2-A1A9-B2778D54FA5F}"/>
    <cellStyle name="20% - Accent5 4 4 2" xfId="2713" xr:uid="{B9DE0F6A-7937-4966-AA18-E6A5BF0C755B}"/>
    <cellStyle name="20% - Accent5 4 4 20" xfId="36733" xr:uid="{788E14F8-AC3D-4FE3-9858-A75420DB26AE}"/>
    <cellStyle name="20% - Accent5 4 4 21" xfId="38623" xr:uid="{37AF9F78-D81C-4C21-B413-B83911B0B1B8}"/>
    <cellStyle name="20% - Accent5 4 4 22" xfId="40514" xr:uid="{DE25FBF1-5A67-43EE-9122-6AF7B0EB2325}"/>
    <cellStyle name="20% - Accent5 4 4 3" xfId="4603" xr:uid="{FD9B33C2-7D7C-4F87-B6D0-0506FE7A15E9}"/>
    <cellStyle name="20% - Accent5 4 4 4" xfId="6493" xr:uid="{798B37FF-3EE6-4BAA-9799-16F2B8FFE5E7}"/>
    <cellStyle name="20% - Accent5 4 4 5" xfId="8383" xr:uid="{7B7549C5-5FFB-40A7-B30D-C6C897E3BC8E}"/>
    <cellStyle name="20% - Accent5 4 4 6" xfId="10273" xr:uid="{07EE293A-3F54-4EAB-B19B-E0E6405B4DD2}"/>
    <cellStyle name="20% - Accent5 4 4 7" xfId="12163" xr:uid="{E6B9990C-B2C1-4F20-8192-F0D15AC94EDB}"/>
    <cellStyle name="20% - Accent5 4 4 8" xfId="14053" xr:uid="{87D0E6AD-6406-4B09-B4F3-1561FBE8B926}"/>
    <cellStyle name="20% - Accent5 4 4 9" xfId="15943" xr:uid="{E56DBABF-B86F-4137-B789-8A25C97EFF37}"/>
    <cellStyle name="20% - Accent5 4 5" xfId="1453" xr:uid="{E2684835-FD20-4D8F-8390-5B44147A3C9F}"/>
    <cellStyle name="20% - Accent5 4 5 10" xfId="18463" xr:uid="{BB59BBCF-B184-4CE0-AC4D-D90D7F5CA524}"/>
    <cellStyle name="20% - Accent5 4 5 11" xfId="20353" xr:uid="{5E47BE6E-F0E5-455C-B5CC-E19F4DC3DEBD}"/>
    <cellStyle name="20% - Accent5 4 5 12" xfId="22243" xr:uid="{FC2F0562-DD1B-4EC8-BD40-2E2187159FE7}"/>
    <cellStyle name="20% - Accent5 4 5 13" xfId="24133" xr:uid="{80650D55-DEFE-4860-B0A7-767E5D7F9CFC}"/>
    <cellStyle name="20% - Accent5 4 5 14" xfId="26023" xr:uid="{81ECBB0C-D332-4AD2-8BC4-71C101FB68ED}"/>
    <cellStyle name="20% - Accent5 4 5 15" xfId="27913" xr:uid="{2498DDFF-77D9-4904-A1C7-B7AECE2C4C5B}"/>
    <cellStyle name="20% - Accent5 4 5 16" xfId="29803" xr:uid="{187FD968-1CD9-48D6-A5D1-570ABD079C17}"/>
    <cellStyle name="20% - Accent5 4 5 17" xfId="31693" xr:uid="{CD99EF6E-C2B9-433F-A85F-21C326E379CA}"/>
    <cellStyle name="20% - Accent5 4 5 18" xfId="33583" xr:uid="{FAF6669A-CBF1-49F5-BFD9-CB874D5D81D3}"/>
    <cellStyle name="20% - Accent5 4 5 19" xfId="35473" xr:uid="{91DA695B-28B3-4913-AB94-F274503F8CFA}"/>
    <cellStyle name="20% - Accent5 4 5 2" xfId="3343" xr:uid="{4F8C5983-056C-453B-9A88-3F46E6475AE4}"/>
    <cellStyle name="20% - Accent5 4 5 20" xfId="37363" xr:uid="{7AD8A1C8-0F96-4FFF-A106-86244CEACE2C}"/>
    <cellStyle name="20% - Accent5 4 5 21" xfId="39253" xr:uid="{E1983302-C03A-487F-9D9C-71CB730064A4}"/>
    <cellStyle name="20% - Accent5 4 5 22" xfId="41144" xr:uid="{C72CA5C7-EE47-4662-9DA2-24180E8F300F}"/>
    <cellStyle name="20% - Accent5 4 5 3" xfId="5233" xr:uid="{7C341F7D-60D4-46B0-9BB4-0571DD697F04}"/>
    <cellStyle name="20% - Accent5 4 5 4" xfId="7123" xr:uid="{86894D26-9021-4A6A-9FFE-25EFCC084BCD}"/>
    <cellStyle name="20% - Accent5 4 5 5" xfId="9013" xr:uid="{D12887E7-6F1D-4345-AC31-CBBB3F97CB79}"/>
    <cellStyle name="20% - Accent5 4 5 6" xfId="10903" xr:uid="{7EE7249E-02BF-462B-A432-FBEBDD45EC82}"/>
    <cellStyle name="20% - Accent5 4 5 7" xfId="12793" xr:uid="{AB0DD808-0684-474B-AD34-C9550E0A05B4}"/>
    <cellStyle name="20% - Accent5 4 5 8" xfId="14683" xr:uid="{DE14872D-B668-4936-89DE-6B1FFB1BDC1E}"/>
    <cellStyle name="20% - Accent5 4 5 9" xfId="16573" xr:uid="{3E2CA5E1-2B1F-48D2-A9E7-9D2B569D6C07}"/>
    <cellStyle name="20% - Accent5 4 6" xfId="2083" xr:uid="{66463302-5BFF-47F0-8559-A97033266242}"/>
    <cellStyle name="20% - Accent5 4 7" xfId="3973" xr:uid="{86B5990D-84F2-4CDB-B3F1-67BD21B28D8A}"/>
    <cellStyle name="20% - Accent5 4 8" xfId="5863" xr:uid="{E2E68149-5474-4C92-B70E-951681A508B6}"/>
    <cellStyle name="20% - Accent5 4 9" xfId="7753" xr:uid="{A970E954-CCE3-496D-BDDE-7FC0C203F13A}"/>
    <cellStyle name="20% - Accent5 5" xfId="298" xr:uid="{91E53802-4310-4284-B099-637EABC3FE95}"/>
    <cellStyle name="20% - Accent5 5 10" xfId="13528" xr:uid="{71BFC249-22BF-485F-AF96-92540D73B699}"/>
    <cellStyle name="20% - Accent5 5 11" xfId="15418" xr:uid="{B2DE3855-BAF8-447E-AB40-CF9384B149B5}"/>
    <cellStyle name="20% - Accent5 5 12" xfId="17308" xr:uid="{0E0D210A-7521-4437-AE7A-C9454C2EFBC3}"/>
    <cellStyle name="20% - Accent5 5 13" xfId="19198" xr:uid="{5551796D-35FF-49DD-842C-DD80EFF3BD85}"/>
    <cellStyle name="20% - Accent5 5 14" xfId="21088" xr:uid="{8E1C295E-8AFA-4B31-9E93-424E1888F109}"/>
    <cellStyle name="20% - Accent5 5 15" xfId="22978" xr:uid="{665171BA-91D4-4966-BF2E-3F3452502259}"/>
    <cellStyle name="20% - Accent5 5 16" xfId="24868" xr:uid="{C1EA8069-5E8B-43E4-9EEA-7BB7E5E551C0}"/>
    <cellStyle name="20% - Accent5 5 17" xfId="26758" xr:uid="{70EE3A3E-D9C0-45DF-85CF-5E8B68F82122}"/>
    <cellStyle name="20% - Accent5 5 18" xfId="28648" xr:uid="{60008470-B0D2-4FBC-A4D8-E599AF6BD399}"/>
    <cellStyle name="20% - Accent5 5 19" xfId="30538" xr:uid="{93A9D7DF-0673-4B2C-8E82-FFC987E087DC}"/>
    <cellStyle name="20% - Accent5 5 2" xfId="928" xr:uid="{054DC459-8854-4C79-BAE1-A5525CA749C1}"/>
    <cellStyle name="20% - Accent5 5 2 10" xfId="17938" xr:uid="{B579F5BE-C254-4FB1-97B1-7AA5625E19AB}"/>
    <cellStyle name="20% - Accent5 5 2 11" xfId="19828" xr:uid="{5EA9FBE4-6774-4ACC-84FE-E7C35208B843}"/>
    <cellStyle name="20% - Accent5 5 2 12" xfId="21718" xr:uid="{A0BBAFE8-9FE8-4A53-AB72-399973BC89BC}"/>
    <cellStyle name="20% - Accent5 5 2 13" xfId="23608" xr:uid="{4CFA67CB-290A-4320-AF39-D589BF1E70BD}"/>
    <cellStyle name="20% - Accent5 5 2 14" xfId="25498" xr:uid="{0DCB4664-36C9-4BE4-BAF4-C2DAD46A07ED}"/>
    <cellStyle name="20% - Accent5 5 2 15" xfId="27388" xr:uid="{0AFC2390-AA9D-4EEC-99C5-2521A7835BAD}"/>
    <cellStyle name="20% - Accent5 5 2 16" xfId="29278" xr:uid="{369707C6-A962-4B2D-A3BE-3555FA63C30C}"/>
    <cellStyle name="20% - Accent5 5 2 17" xfId="31168" xr:uid="{7096D436-65F9-4444-82FE-1173EE8192D5}"/>
    <cellStyle name="20% - Accent5 5 2 18" xfId="33058" xr:uid="{BA9E6DE6-898D-4691-B207-640D97ACEEBD}"/>
    <cellStyle name="20% - Accent5 5 2 19" xfId="34948" xr:uid="{C9A6B2F8-AA0A-43CB-BCCE-1348DE996E7C}"/>
    <cellStyle name="20% - Accent5 5 2 2" xfId="2818" xr:uid="{C0C87E25-9485-49B9-80DF-B7BC8F4C8A44}"/>
    <cellStyle name="20% - Accent5 5 2 20" xfId="36838" xr:uid="{26515605-DC3E-424E-B62B-A555080CB97E}"/>
    <cellStyle name="20% - Accent5 5 2 21" xfId="38728" xr:uid="{52A15EFB-C6B9-4065-9E59-776687AFF8D6}"/>
    <cellStyle name="20% - Accent5 5 2 22" xfId="40619" xr:uid="{9184C621-B089-4517-B07A-9884225B6EF1}"/>
    <cellStyle name="20% - Accent5 5 2 3" xfId="4708" xr:uid="{B3CBAF9C-1246-4969-BB88-520DA2FC50A2}"/>
    <cellStyle name="20% - Accent5 5 2 4" xfId="6598" xr:uid="{0C3D2348-226B-4F24-BCF0-6781CB0538CE}"/>
    <cellStyle name="20% - Accent5 5 2 5" xfId="8488" xr:uid="{46CB0B9F-9A6D-414C-A091-6A4A6449C372}"/>
    <cellStyle name="20% - Accent5 5 2 6" xfId="10378" xr:uid="{30832867-5BDD-4439-8087-A2F841CF7BE8}"/>
    <cellStyle name="20% - Accent5 5 2 7" xfId="12268" xr:uid="{07B8E73F-3ABB-4256-ABB4-C6C59536D184}"/>
    <cellStyle name="20% - Accent5 5 2 8" xfId="14158" xr:uid="{A071A970-45C8-4630-A6EA-9EF67EAB5C1B}"/>
    <cellStyle name="20% - Accent5 5 2 9" xfId="16048" xr:uid="{1F19D880-07AE-4B4E-BC04-4C644B7CACFC}"/>
    <cellStyle name="20% - Accent5 5 20" xfId="32428" xr:uid="{3CEBBC11-8FB1-4654-A3B7-69E5AB8C4B18}"/>
    <cellStyle name="20% - Accent5 5 21" xfId="34318" xr:uid="{6884243D-0730-4C00-8D48-480E0DBE1E12}"/>
    <cellStyle name="20% - Accent5 5 22" xfId="36208" xr:uid="{340EA26B-9BCC-460D-90E0-04400E15DDAC}"/>
    <cellStyle name="20% - Accent5 5 23" xfId="38098" xr:uid="{8D89B957-83F7-4ECD-8E69-7E688E2F8F9C}"/>
    <cellStyle name="20% - Accent5 5 24" xfId="39989" xr:uid="{AC238A17-6E3E-4E0A-9C4B-8B741147AB26}"/>
    <cellStyle name="20% - Accent5 5 3" xfId="1558" xr:uid="{1AE905D9-BF55-4987-A4D3-107AAD345C86}"/>
    <cellStyle name="20% - Accent5 5 3 10" xfId="18568" xr:uid="{FDA0CCE8-743E-4443-84A3-B680DF714664}"/>
    <cellStyle name="20% - Accent5 5 3 11" xfId="20458" xr:uid="{137CDE67-6403-4A21-95B1-788C190B5B85}"/>
    <cellStyle name="20% - Accent5 5 3 12" xfId="22348" xr:uid="{ECD19565-B6AE-40E5-92E7-232CDA3DE604}"/>
    <cellStyle name="20% - Accent5 5 3 13" xfId="24238" xr:uid="{E3C5CD00-52D7-4099-8E2B-849EE01604E4}"/>
    <cellStyle name="20% - Accent5 5 3 14" xfId="26128" xr:uid="{B7C1E617-73BC-4C8E-AA4B-2CA05F78E626}"/>
    <cellStyle name="20% - Accent5 5 3 15" xfId="28018" xr:uid="{330DDE13-E160-48B1-A5FD-E8D4EF3B77EE}"/>
    <cellStyle name="20% - Accent5 5 3 16" xfId="29908" xr:uid="{0A6F5C4D-FFDF-42F1-8D9C-6D47061F9D3D}"/>
    <cellStyle name="20% - Accent5 5 3 17" xfId="31798" xr:uid="{22D8A9B3-1416-4A5D-8D82-01A05B15D8C2}"/>
    <cellStyle name="20% - Accent5 5 3 18" xfId="33688" xr:uid="{3D39DFA2-18E1-4B46-8C8A-284B00B66C4D}"/>
    <cellStyle name="20% - Accent5 5 3 19" xfId="35578" xr:uid="{0620FD97-B420-4FC2-9AE8-772E225D3E31}"/>
    <cellStyle name="20% - Accent5 5 3 2" xfId="3448" xr:uid="{7447263A-9396-4908-AFD8-0EF527A9FB8D}"/>
    <cellStyle name="20% - Accent5 5 3 20" xfId="37468" xr:uid="{C91C527A-AC6E-410C-98E1-1D12F5003AC2}"/>
    <cellStyle name="20% - Accent5 5 3 21" xfId="39358" xr:uid="{5D211C7B-C31E-46FA-9B18-B517BACCFE35}"/>
    <cellStyle name="20% - Accent5 5 3 22" xfId="41249" xr:uid="{3EC512A2-9826-4C54-AECD-DA133CA51DB8}"/>
    <cellStyle name="20% - Accent5 5 3 3" xfId="5338" xr:uid="{666F4D84-3D71-462D-A5ED-F4965F7D0BD3}"/>
    <cellStyle name="20% - Accent5 5 3 4" xfId="7228" xr:uid="{CE3C744C-8D71-4007-8A47-423F8A872C31}"/>
    <cellStyle name="20% - Accent5 5 3 5" xfId="9118" xr:uid="{1C241DA3-872B-46B0-8BAC-9C448CECD441}"/>
    <cellStyle name="20% - Accent5 5 3 6" xfId="11008" xr:uid="{74513AB8-ADEB-4454-AA62-809610F585E9}"/>
    <cellStyle name="20% - Accent5 5 3 7" xfId="12898" xr:uid="{15CEE2D8-DC10-47C1-AE53-E062151EBECC}"/>
    <cellStyle name="20% - Accent5 5 3 8" xfId="14788" xr:uid="{C3DEB815-4BB3-413E-9E51-D1AE4E4DF381}"/>
    <cellStyle name="20% - Accent5 5 3 9" xfId="16678" xr:uid="{45757423-910F-4203-906A-558798257282}"/>
    <cellStyle name="20% - Accent5 5 4" xfId="2188" xr:uid="{FC23C66B-2607-4515-AED8-7C17B419637A}"/>
    <cellStyle name="20% - Accent5 5 5" xfId="4078" xr:uid="{5E069819-E53F-4380-B903-CAEB6A9191D3}"/>
    <cellStyle name="20% - Accent5 5 6" xfId="5968" xr:uid="{BBDB98CA-9A0A-4DA6-A075-19054CB51F15}"/>
    <cellStyle name="20% - Accent5 5 7" xfId="7858" xr:uid="{F9C63E63-E97D-43E4-BE63-1FAE99F9D0C5}"/>
    <cellStyle name="20% - Accent5 5 8" xfId="9748" xr:uid="{1CDD431B-D206-4DE5-B61E-2107A95B2615}"/>
    <cellStyle name="20% - Accent5 5 9" xfId="11638" xr:uid="{4DF12F45-286A-4BA5-8847-8D7871BE9834}"/>
    <cellStyle name="20% - Accent5 6" xfId="508" xr:uid="{F0CB80FC-F93D-466D-91E0-DDA41CC8313E}"/>
    <cellStyle name="20% - Accent5 6 10" xfId="13738" xr:uid="{01E73E63-6643-4620-B689-C606418B0B05}"/>
    <cellStyle name="20% - Accent5 6 11" xfId="15628" xr:uid="{E15E2964-9E86-49CF-AAED-78E053C2306E}"/>
    <cellStyle name="20% - Accent5 6 12" xfId="17518" xr:uid="{780D398E-33C0-40A5-8C18-A647F879AA86}"/>
    <cellStyle name="20% - Accent5 6 13" xfId="19408" xr:uid="{4CED4533-0766-4F09-BE61-B40DFF635B9A}"/>
    <cellStyle name="20% - Accent5 6 14" xfId="21298" xr:uid="{97691D27-6698-489A-9B3B-446FB5F208D3}"/>
    <cellStyle name="20% - Accent5 6 15" xfId="23188" xr:uid="{8A372B58-06F7-402B-8FA7-4BC57A449326}"/>
    <cellStyle name="20% - Accent5 6 16" xfId="25078" xr:uid="{44653700-385A-43DE-AE9B-5FF825F5803E}"/>
    <cellStyle name="20% - Accent5 6 17" xfId="26968" xr:uid="{A7D645AA-CB0E-40F4-AB54-82B4FFE7F7D3}"/>
    <cellStyle name="20% - Accent5 6 18" xfId="28858" xr:uid="{D984A098-3981-421F-AA51-09C0230CD3B3}"/>
    <cellStyle name="20% - Accent5 6 19" xfId="30748" xr:uid="{66CB32DD-E0F5-4E75-9A62-1B9B538E86CD}"/>
    <cellStyle name="20% - Accent5 6 2" xfId="1138" xr:uid="{1EF79024-3147-47D5-8F67-7B144FE90E79}"/>
    <cellStyle name="20% - Accent5 6 2 10" xfId="18148" xr:uid="{3B9C5FED-A7B9-485D-A2B6-1954443D9AA3}"/>
    <cellStyle name="20% - Accent5 6 2 11" xfId="20038" xr:uid="{B86D06BB-9C43-4323-9C0F-965DD1202232}"/>
    <cellStyle name="20% - Accent5 6 2 12" xfId="21928" xr:uid="{178F6EAB-A925-4207-9AB1-E3527B7C4BD8}"/>
    <cellStyle name="20% - Accent5 6 2 13" xfId="23818" xr:uid="{CE7D4449-E9D5-4731-9E5A-3663354DFC16}"/>
    <cellStyle name="20% - Accent5 6 2 14" xfId="25708" xr:uid="{D96C69C7-06DF-41F2-8249-A1553BE2296C}"/>
    <cellStyle name="20% - Accent5 6 2 15" xfId="27598" xr:uid="{261D54AF-F845-4169-9299-A989448672E5}"/>
    <cellStyle name="20% - Accent5 6 2 16" xfId="29488" xr:uid="{FB85ECAC-65C1-4353-BDCD-D6D1C0C753D1}"/>
    <cellStyle name="20% - Accent5 6 2 17" xfId="31378" xr:uid="{72F0C293-628C-49F6-BA75-4257E6597488}"/>
    <cellStyle name="20% - Accent5 6 2 18" xfId="33268" xr:uid="{C804C9AD-7A86-4A17-BEE6-A58A2480B76C}"/>
    <cellStyle name="20% - Accent5 6 2 19" xfId="35158" xr:uid="{11F8445D-5807-42C8-BBE1-E519F67E473F}"/>
    <cellStyle name="20% - Accent5 6 2 2" xfId="3028" xr:uid="{D9843C32-347F-484E-88E8-09999CF4390A}"/>
    <cellStyle name="20% - Accent5 6 2 20" xfId="37048" xr:uid="{7B971D51-A7F2-4848-818E-40E0E30A6E7A}"/>
    <cellStyle name="20% - Accent5 6 2 21" xfId="38938" xr:uid="{B226E2EB-7069-42C3-A2F7-0A633A2A8FF8}"/>
    <cellStyle name="20% - Accent5 6 2 22" xfId="40829" xr:uid="{5530B6ED-EA2B-4AA2-B005-975647154ED9}"/>
    <cellStyle name="20% - Accent5 6 2 3" xfId="4918" xr:uid="{03FC2309-8E7A-4A60-AE90-979C1C98998B}"/>
    <cellStyle name="20% - Accent5 6 2 4" xfId="6808" xr:uid="{6C8EB0A5-FF9D-42A8-94CF-0107C882A214}"/>
    <cellStyle name="20% - Accent5 6 2 5" xfId="8698" xr:uid="{DE8CFD72-64AE-42EC-AA1D-4C56FFB1C152}"/>
    <cellStyle name="20% - Accent5 6 2 6" xfId="10588" xr:uid="{80663639-D752-4B7B-B9B8-76D8FA45D312}"/>
    <cellStyle name="20% - Accent5 6 2 7" xfId="12478" xr:uid="{385CA183-DEA2-43D3-83DB-C350302E7848}"/>
    <cellStyle name="20% - Accent5 6 2 8" xfId="14368" xr:uid="{B6222169-76F8-4709-A9BC-1800FEE6BE81}"/>
    <cellStyle name="20% - Accent5 6 2 9" xfId="16258" xr:uid="{1B67CBCB-20A1-425B-8785-59EF0A3C397F}"/>
    <cellStyle name="20% - Accent5 6 20" xfId="32638" xr:uid="{5E2CA90A-1FC2-4C1E-BC45-C776F678E877}"/>
    <cellStyle name="20% - Accent5 6 21" xfId="34528" xr:uid="{89599834-426E-4C29-82C2-B20A5CA03E17}"/>
    <cellStyle name="20% - Accent5 6 22" xfId="36418" xr:uid="{737233D6-353A-481A-995D-F5DFDE60E439}"/>
    <cellStyle name="20% - Accent5 6 23" xfId="38308" xr:uid="{FCAF42F4-2F15-4D1F-A8E9-C43055242691}"/>
    <cellStyle name="20% - Accent5 6 24" xfId="40199" xr:uid="{FCFDF694-193B-4B29-ADE0-0E12F6CD229E}"/>
    <cellStyle name="20% - Accent5 6 3" xfId="1768" xr:uid="{829AD692-F1E3-4037-9470-4BC5F3F9EFBB}"/>
    <cellStyle name="20% - Accent5 6 3 10" xfId="18778" xr:uid="{5F3D4007-90C3-42F0-B59D-B82A015F75A9}"/>
    <cellStyle name="20% - Accent5 6 3 11" xfId="20668" xr:uid="{A7388762-71DD-44A1-B2F3-965FB092DEC6}"/>
    <cellStyle name="20% - Accent5 6 3 12" xfId="22558" xr:uid="{6BC527EF-4A88-476A-9955-AECD9DB3D4AE}"/>
    <cellStyle name="20% - Accent5 6 3 13" xfId="24448" xr:uid="{EACB9247-BA63-489A-9443-6C6E3E878738}"/>
    <cellStyle name="20% - Accent5 6 3 14" xfId="26338" xr:uid="{3F94AC83-4B0C-40D3-BE82-2258A9F5FA90}"/>
    <cellStyle name="20% - Accent5 6 3 15" xfId="28228" xr:uid="{D4819723-3161-4D96-BECC-AD4A938E6165}"/>
    <cellStyle name="20% - Accent5 6 3 16" xfId="30118" xr:uid="{40F1CBB8-A0F6-4259-B978-A9BD31B54E1E}"/>
    <cellStyle name="20% - Accent5 6 3 17" xfId="32008" xr:uid="{225D0B95-08F9-4EC9-9490-2655309694B6}"/>
    <cellStyle name="20% - Accent5 6 3 18" xfId="33898" xr:uid="{2346FFC4-6C82-4A0F-A05A-9D7ADE1D7FA5}"/>
    <cellStyle name="20% - Accent5 6 3 19" xfId="35788" xr:uid="{FB20D6DC-800A-4700-94D7-0547870AD6EB}"/>
    <cellStyle name="20% - Accent5 6 3 2" xfId="3658" xr:uid="{A9F88294-EC14-4498-939A-1F27F0F48E40}"/>
    <cellStyle name="20% - Accent5 6 3 20" xfId="37678" xr:uid="{F44B5857-9A15-4F88-9E40-E8D8F7AEBB2E}"/>
    <cellStyle name="20% - Accent5 6 3 21" xfId="39568" xr:uid="{67E61273-02EE-4C6E-A070-5271B2D97CC1}"/>
    <cellStyle name="20% - Accent5 6 3 22" xfId="41459" xr:uid="{7F2FC08C-B494-4368-97A4-24E27E9645F2}"/>
    <cellStyle name="20% - Accent5 6 3 3" xfId="5548" xr:uid="{64F85EB8-3161-490F-98B6-F3772F33D50A}"/>
    <cellStyle name="20% - Accent5 6 3 4" xfId="7438" xr:uid="{30EC5F49-371A-4C3F-ACE1-644F0B3A38C5}"/>
    <cellStyle name="20% - Accent5 6 3 5" xfId="9328" xr:uid="{5EAB58F2-A825-4A32-A587-2808B1CDEE88}"/>
    <cellStyle name="20% - Accent5 6 3 6" xfId="11218" xr:uid="{280F0167-4534-409A-BA62-1EAF3A43B5C5}"/>
    <cellStyle name="20% - Accent5 6 3 7" xfId="13108" xr:uid="{2EF2453C-90A0-445F-AC4F-0529AA70C002}"/>
    <cellStyle name="20% - Accent5 6 3 8" xfId="14998" xr:uid="{76F47E23-B23E-4D94-92A6-D5553FCA1C42}"/>
    <cellStyle name="20% - Accent5 6 3 9" xfId="16888" xr:uid="{C9A22609-32B1-4F29-BDD3-8803BCA62696}"/>
    <cellStyle name="20% - Accent5 6 4" xfId="2398" xr:uid="{64C41A40-724D-4F51-8355-1EAFBD3B98D8}"/>
    <cellStyle name="20% - Accent5 6 5" xfId="4288" xr:uid="{E5881051-4DC1-47C3-B765-AE62ACE3C7F8}"/>
    <cellStyle name="20% - Accent5 6 6" xfId="6178" xr:uid="{6237AAC4-D996-442C-8DCD-C55F797DFDC1}"/>
    <cellStyle name="20% - Accent5 6 7" xfId="8068" xr:uid="{12C065D4-CDD4-481C-8983-1DCDBCD7DA27}"/>
    <cellStyle name="20% - Accent5 6 8" xfId="9958" xr:uid="{6D2B0BA5-E322-438A-AE94-58A5DA9BBE98}"/>
    <cellStyle name="20% - Accent5 6 9" xfId="11848" xr:uid="{2B9EF331-3648-4EFD-B7DF-73E69233E579}"/>
    <cellStyle name="20% - Accent5 7" xfId="718" xr:uid="{A370A5A2-2928-4377-BE68-D77D71B8C980}"/>
    <cellStyle name="20% - Accent5 7 10" xfId="17728" xr:uid="{CDAED0C7-7D81-436D-8BC7-02AC3ACA6EBA}"/>
    <cellStyle name="20% - Accent5 7 11" xfId="19618" xr:uid="{07812C70-B0F5-416B-A8DA-E99AEB86AC8C}"/>
    <cellStyle name="20% - Accent5 7 12" xfId="21508" xr:uid="{874CD748-DD65-4A74-8AA8-6248A4455967}"/>
    <cellStyle name="20% - Accent5 7 13" xfId="23398" xr:uid="{43905C57-429A-4A18-B3E3-3509A8018941}"/>
    <cellStyle name="20% - Accent5 7 14" xfId="25288" xr:uid="{5EF784EE-0037-4447-AA0F-83F8EE4FC4C9}"/>
    <cellStyle name="20% - Accent5 7 15" xfId="27178" xr:uid="{6A4E9B79-F9D3-4B54-B8E3-BE888F09AAA1}"/>
    <cellStyle name="20% - Accent5 7 16" xfId="29068" xr:uid="{5D72A0F6-75D9-4BAC-84D1-28678E6EF1F2}"/>
    <cellStyle name="20% - Accent5 7 17" xfId="30958" xr:uid="{31E0B5D0-00EF-46E7-9FE5-7CFF2ABFDD73}"/>
    <cellStyle name="20% - Accent5 7 18" xfId="32848" xr:uid="{4CFE7947-3C75-4B97-91D4-5637DF860999}"/>
    <cellStyle name="20% - Accent5 7 19" xfId="34738" xr:uid="{465B9D27-297E-4EB4-B602-3B2073933FD2}"/>
    <cellStyle name="20% - Accent5 7 2" xfId="2608" xr:uid="{844C3A0F-572B-4C67-B5FD-5CD3AE2ABF83}"/>
    <cellStyle name="20% - Accent5 7 20" xfId="36628" xr:uid="{25C13B3B-18C5-4E25-B55B-F08D9045E081}"/>
    <cellStyle name="20% - Accent5 7 21" xfId="38518" xr:uid="{E7B21724-A76F-4DA0-86CE-A0E9A4A71EF8}"/>
    <cellStyle name="20% - Accent5 7 22" xfId="40409" xr:uid="{D7332E80-B9A7-4EEB-994B-1AA776A68CCA}"/>
    <cellStyle name="20% - Accent5 7 3" xfId="4498" xr:uid="{CC984C57-8420-4906-8620-63C51172D9BE}"/>
    <cellStyle name="20% - Accent5 7 4" xfId="6388" xr:uid="{CADE50D3-B31D-4CD5-A6B7-55EC18F3C4CF}"/>
    <cellStyle name="20% - Accent5 7 5" xfId="8278" xr:uid="{EF8FB543-0628-4322-8E2C-3BDFE67DC3E4}"/>
    <cellStyle name="20% - Accent5 7 6" xfId="10168" xr:uid="{23D950A8-58B2-4612-95B2-B9AD0AD930F0}"/>
    <cellStyle name="20% - Accent5 7 7" xfId="12058" xr:uid="{5B8BA331-B2FE-43E5-9C1F-816928DDCD81}"/>
    <cellStyle name="20% - Accent5 7 8" xfId="13948" xr:uid="{B06AE95F-A552-4595-8812-CF8B00E90797}"/>
    <cellStyle name="20% - Accent5 7 9" xfId="15838" xr:uid="{46303531-4D2A-4A09-A9E3-251F89FEE955}"/>
    <cellStyle name="20% - Accent5 8" xfId="1348" xr:uid="{00EFBB95-7F78-48DC-ACFD-8906FA01EC5F}"/>
    <cellStyle name="20% - Accent5 8 10" xfId="18358" xr:uid="{C9505BEB-3BAF-41FC-81B2-74A88CDD55A2}"/>
    <cellStyle name="20% - Accent5 8 11" xfId="20248" xr:uid="{12C24B57-2D3F-4A2B-847C-D0FA41CA7BC8}"/>
    <cellStyle name="20% - Accent5 8 12" xfId="22138" xr:uid="{6D63F402-D8B4-44FF-9DEA-CBE05DCBB2E8}"/>
    <cellStyle name="20% - Accent5 8 13" xfId="24028" xr:uid="{48366A38-DB45-42E6-A545-17084EE069DF}"/>
    <cellStyle name="20% - Accent5 8 14" xfId="25918" xr:uid="{E543B8AA-AD0D-4EC4-B10E-25A8D459D977}"/>
    <cellStyle name="20% - Accent5 8 15" xfId="27808" xr:uid="{0F2E8A69-2989-4AC1-A043-5C2A97BB1FE9}"/>
    <cellStyle name="20% - Accent5 8 16" xfId="29698" xr:uid="{D59D96BC-738F-4CD6-8724-5318E265392D}"/>
    <cellStyle name="20% - Accent5 8 17" xfId="31588" xr:uid="{1E136923-2E9C-4B12-8CC4-FD31530C2BD6}"/>
    <cellStyle name="20% - Accent5 8 18" xfId="33478" xr:uid="{F3DA1618-6FD5-431C-956C-C4ECAD18A032}"/>
    <cellStyle name="20% - Accent5 8 19" xfId="35368" xr:uid="{5845D1D3-79B7-44E9-886F-FDEBA6ABE7D5}"/>
    <cellStyle name="20% - Accent5 8 2" xfId="3238" xr:uid="{D44C2694-189F-4026-AEFE-C0147B2F81A5}"/>
    <cellStyle name="20% - Accent5 8 20" xfId="37258" xr:uid="{02C62D0C-D239-45BE-996B-FA081E7101E7}"/>
    <cellStyle name="20% - Accent5 8 21" xfId="39148" xr:uid="{9A0A5E0A-C156-46BA-8297-46765D91FB46}"/>
    <cellStyle name="20% - Accent5 8 22" xfId="41039" xr:uid="{2BA941D5-D925-424E-B5FE-1C188C581E28}"/>
    <cellStyle name="20% - Accent5 8 3" xfId="5128" xr:uid="{3DC36E33-529B-41AF-A0BA-6B1DB84F5851}"/>
    <cellStyle name="20% - Accent5 8 4" xfId="7018" xr:uid="{B0D78BBF-B710-45DB-A9D3-C906B62AA7B5}"/>
    <cellStyle name="20% - Accent5 8 5" xfId="8908" xr:uid="{0EA16886-C968-498F-94AF-01A6204290E1}"/>
    <cellStyle name="20% - Accent5 8 6" xfId="10798" xr:uid="{9A717D73-E755-4645-9DEE-95789145F93B}"/>
    <cellStyle name="20% - Accent5 8 7" xfId="12688" xr:uid="{EDF9C63A-4612-40CC-999E-F8A453926E2C}"/>
    <cellStyle name="20% - Accent5 8 8" xfId="14578" xr:uid="{D79BCC9D-3C36-4818-80B1-E4718E692E32}"/>
    <cellStyle name="20% - Accent5 8 9" xfId="16468" xr:uid="{A6361E5B-026A-4800-92F7-CB8F1B8114A8}"/>
    <cellStyle name="20% - Accent5 9" xfId="1978" xr:uid="{BBF81335-8F23-4702-A427-B5847DE2203B}"/>
    <cellStyle name="20% - Accent6" xfId="91" builtinId="50" customBuiltin="1"/>
    <cellStyle name="20% - Accent6 10" xfId="3871" xr:uid="{C2C5B3F5-F50B-47F7-A718-E87604ED5523}"/>
    <cellStyle name="20% - Accent6 11" xfId="5761" xr:uid="{52FA684E-AE9A-4E37-B825-17F751AC9AE0}"/>
    <cellStyle name="20% - Accent6 12" xfId="7651" xr:uid="{39F6F1ED-E186-4090-9E83-34BD69E64519}"/>
    <cellStyle name="20% - Accent6 13" xfId="9541" xr:uid="{BD7086E6-27B5-4B64-8A47-A1DD3FF23101}"/>
    <cellStyle name="20% - Accent6 14" xfId="11431" xr:uid="{012F819D-4BF4-4147-9072-525FF629BB1D}"/>
    <cellStyle name="20% - Accent6 15" xfId="13321" xr:uid="{C52A586A-0DB6-4CE1-B69A-CFF410CD8ECC}"/>
    <cellStyle name="20% - Accent6 16" xfId="15211" xr:uid="{FB77CDBB-9137-4F2A-AF70-9A51805C534A}"/>
    <cellStyle name="20% - Accent6 17" xfId="17101" xr:uid="{E987EADA-3E1A-4E54-8F69-CFE690971678}"/>
    <cellStyle name="20% - Accent6 18" xfId="18991" xr:uid="{2B38AFD9-1CD0-4B55-BD99-7934B7A5978D}"/>
    <cellStyle name="20% - Accent6 19" xfId="20881" xr:uid="{DDD256A3-FD66-4FFF-B47A-FC2E3A5F448B}"/>
    <cellStyle name="20% - Accent6 2" xfId="113" xr:uid="{B30FEACE-0CED-4B7A-943F-E64962B84122}"/>
    <cellStyle name="20% - Accent6 2 10" xfId="7673" xr:uid="{F0E0F144-6F28-43E5-877F-8BFA3295A5C4}"/>
    <cellStyle name="20% - Accent6 2 11" xfId="9563" xr:uid="{B21D9F04-D4B9-497D-9420-5D8DCB7E644E}"/>
    <cellStyle name="20% - Accent6 2 12" xfId="11453" xr:uid="{A73C4CAB-DACD-4732-A393-9083D33E45FA}"/>
    <cellStyle name="20% - Accent6 2 13" xfId="13343" xr:uid="{051952F7-F2C5-4B48-B88A-124DDD0D6BCB}"/>
    <cellStyle name="20% - Accent6 2 14" xfId="15233" xr:uid="{FC948C21-DAE4-477A-B387-19E84B80FD61}"/>
    <cellStyle name="20% - Accent6 2 15" xfId="17123" xr:uid="{D43FEC44-976C-43E3-8301-FB0D5BBEAF48}"/>
    <cellStyle name="20% - Accent6 2 16" xfId="19013" xr:uid="{0F3C0FEA-EAE8-439C-82EA-8DE8A92E048A}"/>
    <cellStyle name="20% - Accent6 2 17" xfId="20903" xr:uid="{0AC494C1-7597-46C6-8500-B51D83944424}"/>
    <cellStyle name="20% - Accent6 2 18" xfId="22793" xr:uid="{64D0E454-450E-4941-ADD5-DFF3FC6A2EB3}"/>
    <cellStyle name="20% - Accent6 2 19" xfId="24683" xr:uid="{07625EB9-5FFC-4D1D-ACCE-7E723B2982A0}"/>
    <cellStyle name="20% - Accent6 2 2" xfId="218" xr:uid="{DACAD516-0E48-4637-8AF2-2EC56766FAE3}"/>
    <cellStyle name="20% - Accent6 2 2 10" xfId="9668" xr:uid="{EC10A364-C7CF-4C00-902F-104E518E12E2}"/>
    <cellStyle name="20% - Accent6 2 2 11" xfId="11558" xr:uid="{D88E163A-7FC8-4C17-B298-C67F5014A542}"/>
    <cellStyle name="20% - Accent6 2 2 12" xfId="13448" xr:uid="{FD4B3073-828E-48A7-9BC4-73EA65D2A8A1}"/>
    <cellStyle name="20% - Accent6 2 2 13" xfId="15338" xr:uid="{0B2FB298-ACB5-419D-B525-9EB33574AB83}"/>
    <cellStyle name="20% - Accent6 2 2 14" xfId="17228" xr:uid="{EFC8F964-DAB3-4B36-A232-CFC5423DB834}"/>
    <cellStyle name="20% - Accent6 2 2 15" xfId="19118" xr:uid="{2B87163D-A112-48E7-832D-676C7561CE5F}"/>
    <cellStyle name="20% - Accent6 2 2 16" xfId="21008" xr:uid="{EDF014EC-D5D6-4C09-944A-D6A6AFD39876}"/>
    <cellStyle name="20% - Accent6 2 2 17" xfId="22898" xr:uid="{952D2D43-3A53-4EED-8E0D-697C91375660}"/>
    <cellStyle name="20% - Accent6 2 2 18" xfId="24788" xr:uid="{E4222ECA-4A3D-41B8-AD4C-FF889959589E}"/>
    <cellStyle name="20% - Accent6 2 2 19" xfId="26678" xr:uid="{FB136A06-001D-4B3C-BE39-D3B3C445CF14}"/>
    <cellStyle name="20% - Accent6 2 2 2" xfId="428" xr:uid="{424D1DBE-749E-4AF4-98F3-35FBD1993F9E}"/>
    <cellStyle name="20% - Accent6 2 2 2 10" xfId="13658" xr:uid="{BBFD8233-96A8-45BC-9064-9DCCC9A34300}"/>
    <cellStyle name="20% - Accent6 2 2 2 11" xfId="15548" xr:uid="{134963A3-6E7E-4B65-8B68-89889D814EEA}"/>
    <cellStyle name="20% - Accent6 2 2 2 12" xfId="17438" xr:uid="{044D575E-27E9-47F6-81C6-E85887DB61CC}"/>
    <cellStyle name="20% - Accent6 2 2 2 13" xfId="19328" xr:uid="{7FE4F418-E6C3-417B-ADE4-A3401556ECE7}"/>
    <cellStyle name="20% - Accent6 2 2 2 14" xfId="21218" xr:uid="{709715EE-C6AB-48D6-AD2C-0DC283BEA44B}"/>
    <cellStyle name="20% - Accent6 2 2 2 15" xfId="23108" xr:uid="{EC733062-51F2-4323-9671-C84719FCE1DF}"/>
    <cellStyle name="20% - Accent6 2 2 2 16" xfId="24998" xr:uid="{A94930C8-6F76-4184-B5FF-1EDA4AEE381E}"/>
    <cellStyle name="20% - Accent6 2 2 2 17" xfId="26888" xr:uid="{917AC6EB-2071-469B-86DE-BC7C06E1A44C}"/>
    <cellStyle name="20% - Accent6 2 2 2 18" xfId="28778" xr:uid="{EB490881-931B-4508-9E4A-3E987168AE9A}"/>
    <cellStyle name="20% - Accent6 2 2 2 19" xfId="30668" xr:uid="{93B5CD65-6CD6-483B-9DB1-7C54B8119009}"/>
    <cellStyle name="20% - Accent6 2 2 2 2" xfId="1058" xr:uid="{3BEC0AAA-B4FC-4395-A0DA-C7BBF0697EA3}"/>
    <cellStyle name="20% - Accent6 2 2 2 2 10" xfId="18068" xr:uid="{FA387887-6120-414C-9D28-EEDFE824834F}"/>
    <cellStyle name="20% - Accent6 2 2 2 2 11" xfId="19958" xr:uid="{C5F71A75-F993-4124-B55C-F153A78100E6}"/>
    <cellStyle name="20% - Accent6 2 2 2 2 12" xfId="21848" xr:uid="{79697835-4DF9-4562-8555-7E13918F7415}"/>
    <cellStyle name="20% - Accent6 2 2 2 2 13" xfId="23738" xr:uid="{4809A918-9BEA-4C1E-8B30-3D579FA13AEB}"/>
    <cellStyle name="20% - Accent6 2 2 2 2 14" xfId="25628" xr:uid="{8A2283A0-BAB8-400C-9EC4-C3BBFE5A66E5}"/>
    <cellStyle name="20% - Accent6 2 2 2 2 15" xfId="27518" xr:uid="{96532275-D2FE-4D1D-A77C-5A0A3B78B584}"/>
    <cellStyle name="20% - Accent6 2 2 2 2 16" xfId="29408" xr:uid="{7B870FAF-F3D5-4878-96AE-5A794F04DC66}"/>
    <cellStyle name="20% - Accent6 2 2 2 2 17" xfId="31298" xr:uid="{AB62947E-ABA3-4CDF-BB36-9D45C5580EB0}"/>
    <cellStyle name="20% - Accent6 2 2 2 2 18" xfId="33188" xr:uid="{5709FA1E-C905-432A-A914-33EE2FF5FF1C}"/>
    <cellStyle name="20% - Accent6 2 2 2 2 19" xfId="35078" xr:uid="{DBEF479E-5333-4892-8BC2-1CBB61E7DE9D}"/>
    <cellStyle name="20% - Accent6 2 2 2 2 2" xfId="2948" xr:uid="{A0E1A89B-005E-464D-9E36-41B471113D7F}"/>
    <cellStyle name="20% - Accent6 2 2 2 2 20" xfId="36968" xr:uid="{6A61276E-BB3D-41B5-A1CD-EBA1D340FD1F}"/>
    <cellStyle name="20% - Accent6 2 2 2 2 21" xfId="38858" xr:uid="{65DE8189-452E-4604-B66A-2748B87384A2}"/>
    <cellStyle name="20% - Accent6 2 2 2 2 22" xfId="40749" xr:uid="{2C6C45DF-AF16-45BB-8DF1-12DE9D91E898}"/>
    <cellStyle name="20% - Accent6 2 2 2 2 3" xfId="4838" xr:uid="{A9CD5F0D-2D98-4C9A-8868-376F1B84E20B}"/>
    <cellStyle name="20% - Accent6 2 2 2 2 4" xfId="6728" xr:uid="{F25EC2F8-3B2D-46D5-A629-A97188C4DDF8}"/>
    <cellStyle name="20% - Accent6 2 2 2 2 5" xfId="8618" xr:uid="{131E8CFF-AF6B-42F7-A239-7F0ECE6B073E}"/>
    <cellStyle name="20% - Accent6 2 2 2 2 6" xfId="10508" xr:uid="{FCEEC6C4-3609-4502-AB81-CD05604DAC50}"/>
    <cellStyle name="20% - Accent6 2 2 2 2 7" xfId="12398" xr:uid="{498FEE8C-BB55-47A4-BA43-89995931ACC8}"/>
    <cellStyle name="20% - Accent6 2 2 2 2 8" xfId="14288" xr:uid="{C56F47E2-50D0-4D76-9FB9-723E0D59C2C3}"/>
    <cellStyle name="20% - Accent6 2 2 2 2 9" xfId="16178" xr:uid="{53C9FF2B-E4D2-42DB-803F-487E46EB1F73}"/>
    <cellStyle name="20% - Accent6 2 2 2 20" xfId="32558" xr:uid="{7C0E275A-3F97-4E07-B387-B6B281922591}"/>
    <cellStyle name="20% - Accent6 2 2 2 21" xfId="34448" xr:uid="{34B3C022-CF7F-4E0C-B259-4130BB62F170}"/>
    <cellStyle name="20% - Accent6 2 2 2 22" xfId="36338" xr:uid="{AF67AB14-B73B-402F-930E-E658CF01A0A5}"/>
    <cellStyle name="20% - Accent6 2 2 2 23" xfId="38228" xr:uid="{62AC016B-9338-4945-8052-850724859706}"/>
    <cellStyle name="20% - Accent6 2 2 2 24" xfId="40119" xr:uid="{8D0DA880-336B-4D30-BF5B-3DDBD1F62E31}"/>
    <cellStyle name="20% - Accent6 2 2 2 3" xfId="1688" xr:uid="{DB42146F-180F-4F5B-A7DD-0D35AFC56A75}"/>
    <cellStyle name="20% - Accent6 2 2 2 3 10" xfId="18698" xr:uid="{CBEB1879-1814-40BC-8818-86D7243202C3}"/>
    <cellStyle name="20% - Accent6 2 2 2 3 11" xfId="20588" xr:uid="{5B429848-2513-4A66-AF91-1C72107DE7AB}"/>
    <cellStyle name="20% - Accent6 2 2 2 3 12" xfId="22478" xr:uid="{EF8E2EE3-9A68-421F-A10E-E6C9AEFA1189}"/>
    <cellStyle name="20% - Accent6 2 2 2 3 13" xfId="24368" xr:uid="{7AB7468D-E5D9-4479-99E3-DED4E67193D8}"/>
    <cellStyle name="20% - Accent6 2 2 2 3 14" xfId="26258" xr:uid="{B1800A60-7828-4FC4-881B-D375C9887D31}"/>
    <cellStyle name="20% - Accent6 2 2 2 3 15" xfId="28148" xr:uid="{19E613FC-E33D-4A2D-9063-9C7B84ECE880}"/>
    <cellStyle name="20% - Accent6 2 2 2 3 16" xfId="30038" xr:uid="{361C499A-974E-4B2F-AF50-5B6EEB43F20E}"/>
    <cellStyle name="20% - Accent6 2 2 2 3 17" xfId="31928" xr:uid="{B3BD69CD-9869-4C4A-98AC-CE1C3E2C065D}"/>
    <cellStyle name="20% - Accent6 2 2 2 3 18" xfId="33818" xr:uid="{D5DCE444-48B8-43F2-90C1-C9DF39AC74E6}"/>
    <cellStyle name="20% - Accent6 2 2 2 3 19" xfId="35708" xr:uid="{5EDA0474-7F30-4112-B5C4-112264171A10}"/>
    <cellStyle name="20% - Accent6 2 2 2 3 2" xfId="3578" xr:uid="{0E1A5B11-F3F7-40C5-90F8-19FB1D565383}"/>
    <cellStyle name="20% - Accent6 2 2 2 3 20" xfId="37598" xr:uid="{96072687-C98C-4029-8C46-D6D03C83894A}"/>
    <cellStyle name="20% - Accent6 2 2 2 3 21" xfId="39488" xr:uid="{8D624A00-E050-4EBD-8402-53ED482E08A9}"/>
    <cellStyle name="20% - Accent6 2 2 2 3 22" xfId="41379" xr:uid="{425C7CA5-0134-4E51-8C8A-FA0F67892F4C}"/>
    <cellStyle name="20% - Accent6 2 2 2 3 3" xfId="5468" xr:uid="{C2915ED2-1365-49B3-ABFA-9537A65F7B79}"/>
    <cellStyle name="20% - Accent6 2 2 2 3 4" xfId="7358" xr:uid="{D7F553D2-ECD8-4185-BC1A-38758AA058F1}"/>
    <cellStyle name="20% - Accent6 2 2 2 3 5" xfId="9248" xr:uid="{C5704D69-3305-436E-B264-A2FBEA8D5BFD}"/>
    <cellStyle name="20% - Accent6 2 2 2 3 6" xfId="11138" xr:uid="{99288B04-152E-484F-99BA-872EB57E1DAA}"/>
    <cellStyle name="20% - Accent6 2 2 2 3 7" xfId="13028" xr:uid="{F6C61B74-D639-475D-B542-61F5DA3B1ECD}"/>
    <cellStyle name="20% - Accent6 2 2 2 3 8" xfId="14918" xr:uid="{241C44FF-D398-4B41-B0ED-9C9007E3CCD0}"/>
    <cellStyle name="20% - Accent6 2 2 2 3 9" xfId="16808" xr:uid="{E7068B66-18BE-48C9-A736-A806647F8A49}"/>
    <cellStyle name="20% - Accent6 2 2 2 4" xfId="2318" xr:uid="{59EE29BB-6D81-44CF-8CB6-2EC6ACD01789}"/>
    <cellStyle name="20% - Accent6 2 2 2 5" xfId="4208" xr:uid="{A79C7D75-2CD4-4C49-937D-C584B715D895}"/>
    <cellStyle name="20% - Accent6 2 2 2 6" xfId="6098" xr:uid="{868AA32C-6A20-44AC-8ED9-37463F2382E3}"/>
    <cellStyle name="20% - Accent6 2 2 2 7" xfId="7988" xr:uid="{FBF58D44-77F3-45BD-BF37-4D91784B94AB}"/>
    <cellStyle name="20% - Accent6 2 2 2 8" xfId="9878" xr:uid="{C511D6DA-3B18-478B-B779-F62211B5B6AB}"/>
    <cellStyle name="20% - Accent6 2 2 2 9" xfId="11768" xr:uid="{36335DC5-554F-4E34-8119-C255AF7E7063}"/>
    <cellStyle name="20% - Accent6 2 2 20" xfId="28568" xr:uid="{C9327D34-ED87-488C-B6EC-84032BF4D297}"/>
    <cellStyle name="20% - Accent6 2 2 21" xfId="30458" xr:uid="{B056E90E-B89F-4268-A28A-FB8875BF2F7D}"/>
    <cellStyle name="20% - Accent6 2 2 22" xfId="32348" xr:uid="{E858FC67-83F6-4E9F-9673-ED0B567DD321}"/>
    <cellStyle name="20% - Accent6 2 2 23" xfId="34238" xr:uid="{18857394-7128-4A19-94B4-559FFEEFBEFC}"/>
    <cellStyle name="20% - Accent6 2 2 24" xfId="36128" xr:uid="{8B07F5FC-4D37-45FE-A795-B582DC4DF041}"/>
    <cellStyle name="20% - Accent6 2 2 25" xfId="38018" xr:uid="{CA96B0B6-CC09-40C8-8C38-D2389B06BCA7}"/>
    <cellStyle name="20% - Accent6 2 2 26" xfId="39909" xr:uid="{6673C10C-6ECE-407B-BF3E-6AA01F1F38B3}"/>
    <cellStyle name="20% - Accent6 2 2 3" xfId="638" xr:uid="{23A17AED-3BD4-43DE-BE6F-AA39FB31E94A}"/>
    <cellStyle name="20% - Accent6 2 2 3 10" xfId="13868" xr:uid="{8EA87C8E-6211-4F66-A513-3EF3AEA7CE8D}"/>
    <cellStyle name="20% - Accent6 2 2 3 11" xfId="15758" xr:uid="{51332189-2A45-49A0-91E6-62B48DE85BA8}"/>
    <cellStyle name="20% - Accent6 2 2 3 12" xfId="17648" xr:uid="{2B89BB65-0D22-4C55-8EF2-8DEA042D9F77}"/>
    <cellStyle name="20% - Accent6 2 2 3 13" xfId="19538" xr:uid="{537E2761-C9C0-46D7-9CE2-106EAD6D6E06}"/>
    <cellStyle name="20% - Accent6 2 2 3 14" xfId="21428" xr:uid="{D1348812-452C-4423-9CB5-B485E1C60988}"/>
    <cellStyle name="20% - Accent6 2 2 3 15" xfId="23318" xr:uid="{5EA50BD5-546A-4705-A8C6-D3D97CB78952}"/>
    <cellStyle name="20% - Accent6 2 2 3 16" xfId="25208" xr:uid="{DF55A904-FDE5-4759-9EB6-B552B3A7F664}"/>
    <cellStyle name="20% - Accent6 2 2 3 17" xfId="27098" xr:uid="{2623BC48-8CE5-4C9C-A2E7-DEDAF72406F6}"/>
    <cellStyle name="20% - Accent6 2 2 3 18" xfId="28988" xr:uid="{9B8FB825-B160-415B-A9B9-A875724EFC17}"/>
    <cellStyle name="20% - Accent6 2 2 3 19" xfId="30878" xr:uid="{1D3A7802-C85E-4C5A-9940-2D3B8FE2FA1D}"/>
    <cellStyle name="20% - Accent6 2 2 3 2" xfId="1268" xr:uid="{569D0A16-9A87-4B59-85AD-53DD92C46AA0}"/>
    <cellStyle name="20% - Accent6 2 2 3 2 10" xfId="18278" xr:uid="{6FBFEF5E-D436-4E0C-B00E-77EE1568AA53}"/>
    <cellStyle name="20% - Accent6 2 2 3 2 11" xfId="20168" xr:uid="{CF8B2F91-BCD5-45FC-8692-96ADA528536F}"/>
    <cellStyle name="20% - Accent6 2 2 3 2 12" xfId="22058" xr:uid="{9662A8B9-3B76-4C0C-9493-590F4340A6FF}"/>
    <cellStyle name="20% - Accent6 2 2 3 2 13" xfId="23948" xr:uid="{4F07A518-D4AB-4E4A-819E-279EAB06AE09}"/>
    <cellStyle name="20% - Accent6 2 2 3 2 14" xfId="25838" xr:uid="{AE019034-E474-4C8C-B20F-AFDB6AF71A23}"/>
    <cellStyle name="20% - Accent6 2 2 3 2 15" xfId="27728" xr:uid="{45809070-06EE-470B-895A-2541C9289D17}"/>
    <cellStyle name="20% - Accent6 2 2 3 2 16" xfId="29618" xr:uid="{8EE9543E-1603-4DC5-A35A-32013E32B0A1}"/>
    <cellStyle name="20% - Accent6 2 2 3 2 17" xfId="31508" xr:uid="{D9E74F63-4493-4BAC-AD7B-654790526DCF}"/>
    <cellStyle name="20% - Accent6 2 2 3 2 18" xfId="33398" xr:uid="{086A265F-3C8A-448B-BB8F-82F5A972F6CE}"/>
    <cellStyle name="20% - Accent6 2 2 3 2 19" xfId="35288" xr:uid="{84F5FF78-6D0E-4057-9DD0-8563E93FF442}"/>
    <cellStyle name="20% - Accent6 2 2 3 2 2" xfId="3158" xr:uid="{ED6C161A-E566-46BA-BA46-484CC1316BB6}"/>
    <cellStyle name="20% - Accent6 2 2 3 2 20" xfId="37178" xr:uid="{3D6B7F5D-AAC4-4EDD-98C9-8F653F0097BA}"/>
    <cellStyle name="20% - Accent6 2 2 3 2 21" xfId="39068" xr:uid="{5ADA8977-A73F-4193-982E-0B92565F4A15}"/>
    <cellStyle name="20% - Accent6 2 2 3 2 22" xfId="40959" xr:uid="{5220B922-DAE0-43DD-923A-D931C3E42E86}"/>
    <cellStyle name="20% - Accent6 2 2 3 2 3" xfId="5048" xr:uid="{DF2A1DC3-85DA-4FE2-ABC6-35CE56EB528E}"/>
    <cellStyle name="20% - Accent6 2 2 3 2 4" xfId="6938" xr:uid="{C489F87D-BC3A-4C54-B0C2-292AEDE3859A}"/>
    <cellStyle name="20% - Accent6 2 2 3 2 5" xfId="8828" xr:uid="{B2A32195-10D6-49EB-8CCF-0DE9B6895DB9}"/>
    <cellStyle name="20% - Accent6 2 2 3 2 6" xfId="10718" xr:uid="{96BD3950-5317-419E-AE44-7D372DB5CC96}"/>
    <cellStyle name="20% - Accent6 2 2 3 2 7" xfId="12608" xr:uid="{9A0051A5-CD51-4077-A09F-92B7789C33A6}"/>
    <cellStyle name="20% - Accent6 2 2 3 2 8" xfId="14498" xr:uid="{05798C69-C17C-4278-8A61-3D2F8400A145}"/>
    <cellStyle name="20% - Accent6 2 2 3 2 9" xfId="16388" xr:uid="{59042F27-DB8B-432D-A23B-D07B3FFC0376}"/>
    <cellStyle name="20% - Accent6 2 2 3 20" xfId="32768" xr:uid="{5E8BEB95-FBA2-47ED-8BA9-E3C59B4382EA}"/>
    <cellStyle name="20% - Accent6 2 2 3 21" xfId="34658" xr:uid="{E1E6B271-E6E4-4C06-85BB-2BB03E059EE1}"/>
    <cellStyle name="20% - Accent6 2 2 3 22" xfId="36548" xr:uid="{FD2F7F1C-4CC2-4982-97D5-6E775D3FDE35}"/>
    <cellStyle name="20% - Accent6 2 2 3 23" xfId="38438" xr:uid="{0D6E6554-AB80-4B18-9975-13341582A54E}"/>
    <cellStyle name="20% - Accent6 2 2 3 24" xfId="40329" xr:uid="{0D77EE46-4079-40C6-8C37-9657391D1047}"/>
    <cellStyle name="20% - Accent6 2 2 3 3" xfId="1898" xr:uid="{1234E107-6847-413F-A2DB-69EF7A205D8A}"/>
    <cellStyle name="20% - Accent6 2 2 3 3 10" xfId="18908" xr:uid="{5EF4EF1B-D2D2-4A1E-9034-4B10C3C1166F}"/>
    <cellStyle name="20% - Accent6 2 2 3 3 11" xfId="20798" xr:uid="{D73F410A-9CAA-4EBE-AEF4-67B9A47AC514}"/>
    <cellStyle name="20% - Accent6 2 2 3 3 12" xfId="22688" xr:uid="{2DF1EA9F-FD6E-44CE-8D03-2A9AB08CD615}"/>
    <cellStyle name="20% - Accent6 2 2 3 3 13" xfId="24578" xr:uid="{60D82C24-5642-425E-B2FA-FF6C9AA70E3E}"/>
    <cellStyle name="20% - Accent6 2 2 3 3 14" xfId="26468" xr:uid="{946E7C3C-FE73-4D29-B4AB-465F4BEA37F5}"/>
    <cellStyle name="20% - Accent6 2 2 3 3 15" xfId="28358" xr:uid="{53FD9108-3B9E-4E3A-B59B-6FAB80A8526F}"/>
    <cellStyle name="20% - Accent6 2 2 3 3 16" xfId="30248" xr:uid="{7F3C8F2D-6334-4935-A44C-A44F0A3903A4}"/>
    <cellStyle name="20% - Accent6 2 2 3 3 17" xfId="32138" xr:uid="{E75D4FAC-8680-4250-9DB7-3B99AA4EBC91}"/>
    <cellStyle name="20% - Accent6 2 2 3 3 18" xfId="34028" xr:uid="{64BB179E-7726-43C0-80AF-8754DEE7F490}"/>
    <cellStyle name="20% - Accent6 2 2 3 3 19" xfId="35918" xr:uid="{133C4E36-9136-410E-BBEF-4719EB3D9982}"/>
    <cellStyle name="20% - Accent6 2 2 3 3 2" xfId="3788" xr:uid="{B399C327-2503-4331-9ADC-D452DE942021}"/>
    <cellStyle name="20% - Accent6 2 2 3 3 20" xfId="37808" xr:uid="{8BA746DB-A60D-490A-8DE0-D37DE5554A30}"/>
    <cellStyle name="20% - Accent6 2 2 3 3 21" xfId="39698" xr:uid="{70E7B1FC-850C-49FC-BBC8-00997A1CA425}"/>
    <cellStyle name="20% - Accent6 2 2 3 3 22" xfId="41589" xr:uid="{D24AD3C4-937E-435C-955B-5A3F12B3A26E}"/>
    <cellStyle name="20% - Accent6 2 2 3 3 3" xfId="5678" xr:uid="{F8CFE323-5C11-44E4-84C6-97A01A53064B}"/>
    <cellStyle name="20% - Accent6 2 2 3 3 4" xfId="7568" xr:uid="{8291C051-A022-4ACD-ABF7-FA2545A601E6}"/>
    <cellStyle name="20% - Accent6 2 2 3 3 5" xfId="9458" xr:uid="{D10494B8-6176-4221-BA07-B6BC52A1ACAC}"/>
    <cellStyle name="20% - Accent6 2 2 3 3 6" xfId="11348" xr:uid="{6ADBA81E-F769-41EF-86F5-300BBFDBA238}"/>
    <cellStyle name="20% - Accent6 2 2 3 3 7" xfId="13238" xr:uid="{9E49FBFC-CD99-42BA-9963-7650218A9F16}"/>
    <cellStyle name="20% - Accent6 2 2 3 3 8" xfId="15128" xr:uid="{2FEAEAF0-A407-4B9E-92E3-D12536DAD3A2}"/>
    <cellStyle name="20% - Accent6 2 2 3 3 9" xfId="17018" xr:uid="{741B540E-02B7-41F7-A3D6-F86D533F64C4}"/>
    <cellStyle name="20% - Accent6 2 2 3 4" xfId="2528" xr:uid="{22E6CBA5-9BAD-4895-BE3C-8DA7901CE21F}"/>
    <cellStyle name="20% - Accent6 2 2 3 5" xfId="4418" xr:uid="{53505CA4-22A2-4AA6-8C18-C298C35AA711}"/>
    <cellStyle name="20% - Accent6 2 2 3 6" xfId="6308" xr:uid="{3577EFFD-2D72-4854-B462-646CBAE696EF}"/>
    <cellStyle name="20% - Accent6 2 2 3 7" xfId="8198" xr:uid="{F64A8472-2DFB-4501-98C4-EFF13317277A}"/>
    <cellStyle name="20% - Accent6 2 2 3 8" xfId="10088" xr:uid="{D20750A2-2A7A-4BC2-9E29-07FCEF03AF02}"/>
    <cellStyle name="20% - Accent6 2 2 3 9" xfId="11978" xr:uid="{D11DF95D-B973-4DE7-9537-B65F2ED7EDD2}"/>
    <cellStyle name="20% - Accent6 2 2 4" xfId="848" xr:uid="{4DB8C814-840C-43E9-BB67-4976A1BA485C}"/>
    <cellStyle name="20% - Accent6 2 2 4 10" xfId="17858" xr:uid="{A9D720C2-D49A-41DB-A7C7-4A28AAB774AC}"/>
    <cellStyle name="20% - Accent6 2 2 4 11" xfId="19748" xr:uid="{7CE4E9FF-632D-41B8-A33A-C107D7A0C995}"/>
    <cellStyle name="20% - Accent6 2 2 4 12" xfId="21638" xr:uid="{6622726B-1A8F-47FA-9EE7-D9E1A6BA9514}"/>
    <cellStyle name="20% - Accent6 2 2 4 13" xfId="23528" xr:uid="{1FE2D3CA-4B7A-49DB-BA82-11A515925D30}"/>
    <cellStyle name="20% - Accent6 2 2 4 14" xfId="25418" xr:uid="{FF8C0F52-0917-447B-AA0C-DEF369CC8DAD}"/>
    <cellStyle name="20% - Accent6 2 2 4 15" xfId="27308" xr:uid="{E6EB48B0-07E7-4181-8E0B-33B9B2280FA8}"/>
    <cellStyle name="20% - Accent6 2 2 4 16" xfId="29198" xr:uid="{E64090EE-1CBF-491D-8745-E2A10F2C92C5}"/>
    <cellStyle name="20% - Accent6 2 2 4 17" xfId="31088" xr:uid="{DC4F2524-695E-4AF6-B5E9-2A81C410AE93}"/>
    <cellStyle name="20% - Accent6 2 2 4 18" xfId="32978" xr:uid="{FEA4FDAF-F696-4993-9671-D3D4AF25AA2F}"/>
    <cellStyle name="20% - Accent6 2 2 4 19" xfId="34868" xr:uid="{CF821A47-AEDE-48CC-8D4E-667C26FC2CFD}"/>
    <cellStyle name="20% - Accent6 2 2 4 2" xfId="2738" xr:uid="{ECC91A4A-967D-4DAF-9045-C032366C8586}"/>
    <cellStyle name="20% - Accent6 2 2 4 20" xfId="36758" xr:uid="{68496C62-0DD9-4F3C-B236-F39331B0C4C3}"/>
    <cellStyle name="20% - Accent6 2 2 4 21" xfId="38648" xr:uid="{D5389C8F-5C6C-46EF-AC5A-A8B3FE722C3E}"/>
    <cellStyle name="20% - Accent6 2 2 4 22" xfId="40539" xr:uid="{BD821E9B-EBE6-475A-9675-6526E0A6817A}"/>
    <cellStyle name="20% - Accent6 2 2 4 3" xfId="4628" xr:uid="{4E166CBA-EB61-4446-865E-116E443173E7}"/>
    <cellStyle name="20% - Accent6 2 2 4 4" xfId="6518" xr:uid="{3B965815-E11C-420F-800A-6264420D916A}"/>
    <cellStyle name="20% - Accent6 2 2 4 5" xfId="8408" xr:uid="{7979D007-7C4C-462A-B549-930F3B16C276}"/>
    <cellStyle name="20% - Accent6 2 2 4 6" xfId="10298" xr:uid="{C39D1D44-4652-4D51-AC82-B4F6D06C22BD}"/>
    <cellStyle name="20% - Accent6 2 2 4 7" xfId="12188" xr:uid="{E135ABEE-D4B8-4DD5-9FE9-58737AD30D00}"/>
    <cellStyle name="20% - Accent6 2 2 4 8" xfId="14078" xr:uid="{8258C550-2C81-4D37-8981-E20775362D26}"/>
    <cellStyle name="20% - Accent6 2 2 4 9" xfId="15968" xr:uid="{19BFC5E4-EF7D-4FC7-B0F3-59C67C5D2198}"/>
    <cellStyle name="20% - Accent6 2 2 5" xfId="1478" xr:uid="{F21C4E6D-4BCE-4202-A32E-BB1E9A6B7F8E}"/>
    <cellStyle name="20% - Accent6 2 2 5 10" xfId="18488" xr:uid="{30E2757E-7CBB-4463-931F-2B69B9F4FD8D}"/>
    <cellStyle name="20% - Accent6 2 2 5 11" xfId="20378" xr:uid="{87685720-0200-4229-84EF-ED3FFFEB741C}"/>
    <cellStyle name="20% - Accent6 2 2 5 12" xfId="22268" xr:uid="{08807865-043E-4033-95CF-D368F133F0B2}"/>
    <cellStyle name="20% - Accent6 2 2 5 13" xfId="24158" xr:uid="{237E2DAB-EE88-4760-922D-5ACAAB9B64D3}"/>
    <cellStyle name="20% - Accent6 2 2 5 14" xfId="26048" xr:uid="{4F6EA8A9-8AE0-4034-923D-F1B1CE514C9B}"/>
    <cellStyle name="20% - Accent6 2 2 5 15" xfId="27938" xr:uid="{F9A01C90-77AE-42E5-AF2F-6E7B60781524}"/>
    <cellStyle name="20% - Accent6 2 2 5 16" xfId="29828" xr:uid="{FCA566F5-2380-46F0-B7EF-C7E57FB0BA42}"/>
    <cellStyle name="20% - Accent6 2 2 5 17" xfId="31718" xr:uid="{51FDFBDC-558A-4969-BDCF-7A8DEE3B50FC}"/>
    <cellStyle name="20% - Accent6 2 2 5 18" xfId="33608" xr:uid="{7E00317A-0409-474C-9BC1-AA52DFE95475}"/>
    <cellStyle name="20% - Accent6 2 2 5 19" xfId="35498" xr:uid="{F4474832-6954-4DA8-BBB8-E1D6214BDAA4}"/>
    <cellStyle name="20% - Accent6 2 2 5 2" xfId="3368" xr:uid="{44DD1688-1DED-4853-B568-99CA3DA0495D}"/>
    <cellStyle name="20% - Accent6 2 2 5 20" xfId="37388" xr:uid="{74B346F0-7D9B-4CA8-9911-FEF7A95C656A}"/>
    <cellStyle name="20% - Accent6 2 2 5 21" xfId="39278" xr:uid="{D0D67B49-5096-403A-9792-0C2F56CFEF35}"/>
    <cellStyle name="20% - Accent6 2 2 5 22" xfId="41169" xr:uid="{288CAA1C-EA9F-44BB-97EE-383D5256F624}"/>
    <cellStyle name="20% - Accent6 2 2 5 3" xfId="5258" xr:uid="{EB863BB2-4816-4F3C-982B-7C053070B5B6}"/>
    <cellStyle name="20% - Accent6 2 2 5 4" xfId="7148" xr:uid="{6F1946CE-9F5F-4F19-8FE6-9A3F3729FC2F}"/>
    <cellStyle name="20% - Accent6 2 2 5 5" xfId="9038" xr:uid="{B196B88E-1BB7-4994-A12C-F60A908F6758}"/>
    <cellStyle name="20% - Accent6 2 2 5 6" xfId="10928" xr:uid="{0680E1FA-CBB5-437F-8A9B-415DEFC399AB}"/>
    <cellStyle name="20% - Accent6 2 2 5 7" xfId="12818" xr:uid="{622C2DB1-4DDE-462C-A0ED-F8AC815BE76E}"/>
    <cellStyle name="20% - Accent6 2 2 5 8" xfId="14708" xr:uid="{25079F1C-DEF2-4147-8D93-FB3FF0C1C80D}"/>
    <cellStyle name="20% - Accent6 2 2 5 9" xfId="16598" xr:uid="{EFE40C50-45F3-4D5F-8ED6-ADEBA369CBC1}"/>
    <cellStyle name="20% - Accent6 2 2 6" xfId="2108" xr:uid="{88686189-4A1B-4B94-B701-24DA900C32E8}"/>
    <cellStyle name="20% - Accent6 2 2 7" xfId="3998" xr:uid="{DD835915-CAC8-48EF-983C-D8D1E184D4F3}"/>
    <cellStyle name="20% - Accent6 2 2 8" xfId="5888" xr:uid="{12C57A8A-AFF6-4D99-95FC-62406F4A7EC8}"/>
    <cellStyle name="20% - Accent6 2 2 9" xfId="7778" xr:uid="{1EC6FF25-082A-498C-A2FA-20FD6F8D4CBF}"/>
    <cellStyle name="20% - Accent6 2 20" xfId="26573" xr:uid="{8B02FBCC-32EC-43C9-8A17-963D6B289481}"/>
    <cellStyle name="20% - Accent6 2 21" xfId="28463" xr:uid="{42BBF459-FD0F-45C9-B292-EE781A28E73F}"/>
    <cellStyle name="20% - Accent6 2 22" xfId="30353" xr:uid="{3E338CB0-09C9-47FC-8D55-F3E2483CE8D3}"/>
    <cellStyle name="20% - Accent6 2 23" xfId="32243" xr:uid="{F6E2E098-9E4D-45BF-9133-73701DF35A55}"/>
    <cellStyle name="20% - Accent6 2 24" xfId="34133" xr:uid="{91ECE20F-D738-4212-A6CD-BAF08DE185AC}"/>
    <cellStyle name="20% - Accent6 2 25" xfId="36023" xr:uid="{3A3195C9-C92B-4F2D-AFAC-40A90EDC661F}"/>
    <cellStyle name="20% - Accent6 2 26" xfId="37913" xr:uid="{5E2762E6-44ED-4FA4-843F-C2C15D6C7597}"/>
    <cellStyle name="20% - Accent6 2 27" xfId="39804" xr:uid="{9C16572D-5ACC-4B07-8E61-6A6211916FDB}"/>
    <cellStyle name="20% - Accent6 2 3" xfId="323" xr:uid="{5DD09B67-85AD-4788-93DE-A679C969D49A}"/>
    <cellStyle name="20% - Accent6 2 3 10" xfId="13553" xr:uid="{B9E35D34-E769-4A68-AB56-65695991CCDE}"/>
    <cellStyle name="20% - Accent6 2 3 11" xfId="15443" xr:uid="{0CD1DD23-A39C-4FA6-8C17-3808C06EDD3E}"/>
    <cellStyle name="20% - Accent6 2 3 12" xfId="17333" xr:uid="{FC79F9C3-A326-454C-AA8C-2B194E52F13D}"/>
    <cellStyle name="20% - Accent6 2 3 13" xfId="19223" xr:uid="{612298B6-B541-43D2-B2E6-7E84CC93B5C9}"/>
    <cellStyle name="20% - Accent6 2 3 14" xfId="21113" xr:uid="{5F729EBE-7E1C-44D8-A4B1-53BC242DE7F8}"/>
    <cellStyle name="20% - Accent6 2 3 15" xfId="23003" xr:uid="{30A7D8AA-9CD1-4048-9035-7907CC4622C0}"/>
    <cellStyle name="20% - Accent6 2 3 16" xfId="24893" xr:uid="{F46F7F14-561C-4842-8810-67509E3B1DF7}"/>
    <cellStyle name="20% - Accent6 2 3 17" xfId="26783" xr:uid="{32CD0B56-6941-4E84-B8F4-AE9359358500}"/>
    <cellStyle name="20% - Accent6 2 3 18" xfId="28673" xr:uid="{5578DEE7-E1FE-4615-9F24-90639A10297D}"/>
    <cellStyle name="20% - Accent6 2 3 19" xfId="30563" xr:uid="{8453E84D-DF57-4625-8E4B-5A282A54AD97}"/>
    <cellStyle name="20% - Accent6 2 3 2" xfId="953" xr:uid="{8BAB11E5-822B-4BB9-B1F5-2D5D6FCB5EB9}"/>
    <cellStyle name="20% - Accent6 2 3 2 10" xfId="17963" xr:uid="{75922F87-89D3-4E9A-8662-11EAA029308A}"/>
    <cellStyle name="20% - Accent6 2 3 2 11" xfId="19853" xr:uid="{53D3E296-9A45-42AA-B0B9-F5B73283C1AD}"/>
    <cellStyle name="20% - Accent6 2 3 2 12" xfId="21743" xr:uid="{33D4D813-740D-43C9-AD8F-F6316D6ECFEB}"/>
    <cellStyle name="20% - Accent6 2 3 2 13" xfId="23633" xr:uid="{FABBAD4D-7F1A-4A09-9DCF-B0C3F5B1DFB4}"/>
    <cellStyle name="20% - Accent6 2 3 2 14" xfId="25523" xr:uid="{2D620728-95D7-4745-B9FC-0B18DF5A0A1E}"/>
    <cellStyle name="20% - Accent6 2 3 2 15" xfId="27413" xr:uid="{400B53E7-81F6-450B-AD47-5BEB9B2EA719}"/>
    <cellStyle name="20% - Accent6 2 3 2 16" xfId="29303" xr:uid="{16B3CFCE-7122-4081-99D1-F9D5E5384B3C}"/>
    <cellStyle name="20% - Accent6 2 3 2 17" xfId="31193" xr:uid="{86CDB76F-AD0F-42AA-BD24-3EEAD07CCDFD}"/>
    <cellStyle name="20% - Accent6 2 3 2 18" xfId="33083" xr:uid="{C7F82132-38E1-4291-8B95-A27BC9078BF2}"/>
    <cellStyle name="20% - Accent6 2 3 2 19" xfId="34973" xr:uid="{F2EBB5D5-437F-4C60-B7FB-E2676A426883}"/>
    <cellStyle name="20% - Accent6 2 3 2 2" xfId="2843" xr:uid="{7857F4E1-CBBB-4A4C-B860-377894B2165E}"/>
    <cellStyle name="20% - Accent6 2 3 2 20" xfId="36863" xr:uid="{739F1983-C2EE-4EE1-A92D-0FF94B3B2570}"/>
    <cellStyle name="20% - Accent6 2 3 2 21" xfId="38753" xr:uid="{0F88FBC2-115A-4C58-8CBE-4E531B665300}"/>
    <cellStyle name="20% - Accent6 2 3 2 22" xfId="40644" xr:uid="{4412B682-C377-45EA-A1E4-AD01D0D52267}"/>
    <cellStyle name="20% - Accent6 2 3 2 3" xfId="4733" xr:uid="{CD504E99-E112-4D15-AD4F-E4610EEAAC96}"/>
    <cellStyle name="20% - Accent6 2 3 2 4" xfId="6623" xr:uid="{4FBE63E3-D1DC-412C-A09A-C5D586D5DA08}"/>
    <cellStyle name="20% - Accent6 2 3 2 5" xfId="8513" xr:uid="{33FE5741-7B46-4FBF-94F5-2F4D66727F75}"/>
    <cellStyle name="20% - Accent6 2 3 2 6" xfId="10403" xr:uid="{FFF23684-2353-4895-A9D6-4C2F1BB0AA94}"/>
    <cellStyle name="20% - Accent6 2 3 2 7" xfId="12293" xr:uid="{AC34EC09-6E8C-4C0C-875A-26418BCD82BF}"/>
    <cellStyle name="20% - Accent6 2 3 2 8" xfId="14183" xr:uid="{CA17F4C8-014E-4A37-B488-9383AAED3FBE}"/>
    <cellStyle name="20% - Accent6 2 3 2 9" xfId="16073" xr:uid="{D26D2CFD-58BB-4FBB-B051-79B283C6A323}"/>
    <cellStyle name="20% - Accent6 2 3 20" xfId="32453" xr:uid="{07773532-6F4C-431D-A2D0-6EF2C788E636}"/>
    <cellStyle name="20% - Accent6 2 3 21" xfId="34343" xr:uid="{0C2FCBC9-11D8-4719-B41A-0E3894FC9486}"/>
    <cellStyle name="20% - Accent6 2 3 22" xfId="36233" xr:uid="{71968664-0230-42BF-9C7A-F69209615F9D}"/>
    <cellStyle name="20% - Accent6 2 3 23" xfId="38123" xr:uid="{3AF052ED-0D52-43B4-92B3-98FC882AF5B5}"/>
    <cellStyle name="20% - Accent6 2 3 24" xfId="40014" xr:uid="{8C03C970-1550-4D74-A23D-4470FB2ED91D}"/>
    <cellStyle name="20% - Accent6 2 3 3" xfId="1583" xr:uid="{B5C3A106-DA58-4919-9E6B-CAAE7C7A8F26}"/>
    <cellStyle name="20% - Accent6 2 3 3 10" xfId="18593" xr:uid="{050E3EA2-D806-4417-B43D-18AF25D84975}"/>
    <cellStyle name="20% - Accent6 2 3 3 11" xfId="20483" xr:uid="{9E536807-7E6E-40BA-A8EA-E8AB17A83A58}"/>
    <cellStyle name="20% - Accent6 2 3 3 12" xfId="22373" xr:uid="{B1691C33-325A-4A23-9278-69853DF6BDCC}"/>
    <cellStyle name="20% - Accent6 2 3 3 13" xfId="24263" xr:uid="{C7B10269-61FC-47EF-8488-CF1E4B5D66F9}"/>
    <cellStyle name="20% - Accent6 2 3 3 14" xfId="26153" xr:uid="{A8A4DF55-D5C5-4660-92AB-BE471812BA8C}"/>
    <cellStyle name="20% - Accent6 2 3 3 15" xfId="28043" xr:uid="{B38FC46C-88C7-4802-A21E-B537202FC120}"/>
    <cellStyle name="20% - Accent6 2 3 3 16" xfId="29933" xr:uid="{6D5B221C-321A-476A-B0C1-D9B085C331AA}"/>
    <cellStyle name="20% - Accent6 2 3 3 17" xfId="31823" xr:uid="{65E17AC3-44B2-46DB-840D-AAAAB7523957}"/>
    <cellStyle name="20% - Accent6 2 3 3 18" xfId="33713" xr:uid="{5A6F5822-E88E-4E4F-8681-521157828392}"/>
    <cellStyle name="20% - Accent6 2 3 3 19" xfId="35603" xr:uid="{21CFFED4-34ED-49EF-91A0-95D2742223F6}"/>
    <cellStyle name="20% - Accent6 2 3 3 2" xfId="3473" xr:uid="{B6185DCD-2A4F-4D79-8DCB-8BC36339D5AB}"/>
    <cellStyle name="20% - Accent6 2 3 3 20" xfId="37493" xr:uid="{3D53F6DD-8A76-4CDB-B0AC-4EF4CD2D7676}"/>
    <cellStyle name="20% - Accent6 2 3 3 21" xfId="39383" xr:uid="{40BF1586-085B-4AF6-AE3C-8C1EEB801433}"/>
    <cellStyle name="20% - Accent6 2 3 3 22" xfId="41274" xr:uid="{6A6FCE39-6984-480B-BD87-00DE06427399}"/>
    <cellStyle name="20% - Accent6 2 3 3 3" xfId="5363" xr:uid="{21670645-8E8A-474B-8EE9-7F7475963A65}"/>
    <cellStyle name="20% - Accent6 2 3 3 4" xfId="7253" xr:uid="{8C29DA95-CF7E-4808-A4BB-A7C9A6C24FE0}"/>
    <cellStyle name="20% - Accent6 2 3 3 5" xfId="9143" xr:uid="{059FE5AA-9DFE-44AB-9A65-ECF38B7AFA97}"/>
    <cellStyle name="20% - Accent6 2 3 3 6" xfId="11033" xr:uid="{E06629D2-C6A3-40E3-9F44-9522705D90D7}"/>
    <cellStyle name="20% - Accent6 2 3 3 7" xfId="12923" xr:uid="{5C98F1BE-6E67-4826-8F9C-364B683EB04F}"/>
    <cellStyle name="20% - Accent6 2 3 3 8" xfId="14813" xr:uid="{3B3AEDCB-17D0-42D6-A489-56E879F6D5DA}"/>
    <cellStyle name="20% - Accent6 2 3 3 9" xfId="16703" xr:uid="{363EBA91-B5C3-450C-829A-E7F768990B04}"/>
    <cellStyle name="20% - Accent6 2 3 4" xfId="2213" xr:uid="{0C24F394-DBED-4CE3-A29F-60A3EF76AD30}"/>
    <cellStyle name="20% - Accent6 2 3 5" xfId="4103" xr:uid="{A28F36F5-DB2C-486C-A543-F44A5F390768}"/>
    <cellStyle name="20% - Accent6 2 3 6" xfId="5993" xr:uid="{C422DB2A-6657-43F8-A733-0CA48C8303CE}"/>
    <cellStyle name="20% - Accent6 2 3 7" xfId="7883" xr:uid="{1F18E3D3-8AA2-4325-86FD-1A372BEDE527}"/>
    <cellStyle name="20% - Accent6 2 3 8" xfId="9773" xr:uid="{69194168-339E-4DE9-91DA-7E76833FB1CF}"/>
    <cellStyle name="20% - Accent6 2 3 9" xfId="11663" xr:uid="{1123AF7D-DC87-489D-8C03-4C8C37B3B087}"/>
    <cellStyle name="20% - Accent6 2 4" xfId="533" xr:uid="{F1F56751-B203-47EB-A6E8-AD8686EFEFB2}"/>
    <cellStyle name="20% - Accent6 2 4 10" xfId="13763" xr:uid="{387F5AC0-2C09-4675-9635-A5001DA2814F}"/>
    <cellStyle name="20% - Accent6 2 4 11" xfId="15653" xr:uid="{9D57A9F4-D2A0-4C82-AD58-FE96B2112363}"/>
    <cellStyle name="20% - Accent6 2 4 12" xfId="17543" xr:uid="{453976B2-7B5D-4915-8FE0-D2BCED13F5F7}"/>
    <cellStyle name="20% - Accent6 2 4 13" xfId="19433" xr:uid="{27D6C6AF-C552-4C3B-BF5F-53E884F9A6C5}"/>
    <cellStyle name="20% - Accent6 2 4 14" xfId="21323" xr:uid="{D85EE6A2-8895-4796-A472-0623624795AF}"/>
    <cellStyle name="20% - Accent6 2 4 15" xfId="23213" xr:uid="{06B4DA0F-71DD-43D1-B60F-3806CEF8B08D}"/>
    <cellStyle name="20% - Accent6 2 4 16" xfId="25103" xr:uid="{6DFE99CE-041C-49BD-9E7A-6380988398D1}"/>
    <cellStyle name="20% - Accent6 2 4 17" xfId="26993" xr:uid="{D4325204-D7D1-4201-AAB5-3F8E04EAFDB0}"/>
    <cellStyle name="20% - Accent6 2 4 18" xfId="28883" xr:uid="{5BC58C8B-9713-4BEA-8BB5-31E8F4E9B3E1}"/>
    <cellStyle name="20% - Accent6 2 4 19" xfId="30773" xr:uid="{54378B41-FBB4-4BE6-B38C-9941193088F6}"/>
    <cellStyle name="20% - Accent6 2 4 2" xfId="1163" xr:uid="{D9D7DBCE-322C-4080-8BD3-8C5679F3A74D}"/>
    <cellStyle name="20% - Accent6 2 4 2 10" xfId="18173" xr:uid="{604C21B2-7EAA-4849-95A4-BDDE0CC15D74}"/>
    <cellStyle name="20% - Accent6 2 4 2 11" xfId="20063" xr:uid="{97A51ED1-57D5-4F93-97AE-5FFB5B92D96E}"/>
    <cellStyle name="20% - Accent6 2 4 2 12" xfId="21953" xr:uid="{A4BFF41B-439E-49AB-8EFA-E10394B438F8}"/>
    <cellStyle name="20% - Accent6 2 4 2 13" xfId="23843" xr:uid="{E9AD06D4-FEC7-4A3D-BBCE-BD79E61AEB2F}"/>
    <cellStyle name="20% - Accent6 2 4 2 14" xfId="25733" xr:uid="{84137056-2B1D-40C7-A583-8C1587D7E1D7}"/>
    <cellStyle name="20% - Accent6 2 4 2 15" xfId="27623" xr:uid="{ED14C98A-ED66-465B-AD71-69CEF32CD038}"/>
    <cellStyle name="20% - Accent6 2 4 2 16" xfId="29513" xr:uid="{6B3339AE-7426-4552-9097-8796894DC9AA}"/>
    <cellStyle name="20% - Accent6 2 4 2 17" xfId="31403" xr:uid="{6AB678B8-9536-41B4-91CA-C1BE34DEF8EC}"/>
    <cellStyle name="20% - Accent6 2 4 2 18" xfId="33293" xr:uid="{16BA7D9A-D252-4341-B304-FB3883EB0A3F}"/>
    <cellStyle name="20% - Accent6 2 4 2 19" xfId="35183" xr:uid="{356C6D6E-58DF-4A44-A918-A45C710BF1FE}"/>
    <cellStyle name="20% - Accent6 2 4 2 2" xfId="3053" xr:uid="{9F4ED5DB-0661-4CE1-A305-9E3DF33F0634}"/>
    <cellStyle name="20% - Accent6 2 4 2 20" xfId="37073" xr:uid="{2316A0AA-0F52-426E-9ACB-06F9B8F786B0}"/>
    <cellStyle name="20% - Accent6 2 4 2 21" xfId="38963" xr:uid="{2841569E-8EA3-413D-9A64-569B32177DE1}"/>
    <cellStyle name="20% - Accent6 2 4 2 22" xfId="40854" xr:uid="{4DB48B6C-71C8-4F44-AAC4-2692BCFCF691}"/>
    <cellStyle name="20% - Accent6 2 4 2 3" xfId="4943" xr:uid="{91D1C94E-CB15-4E39-9D57-0B551FE34B9F}"/>
    <cellStyle name="20% - Accent6 2 4 2 4" xfId="6833" xr:uid="{14EBDB58-BCBF-4C5E-9650-E560C7466486}"/>
    <cellStyle name="20% - Accent6 2 4 2 5" xfId="8723" xr:uid="{9A53B927-C4B4-41EB-88D8-980D23286124}"/>
    <cellStyle name="20% - Accent6 2 4 2 6" xfId="10613" xr:uid="{FABB87E4-1263-4DB1-B4E3-7319629FDD53}"/>
    <cellStyle name="20% - Accent6 2 4 2 7" xfId="12503" xr:uid="{E35625CD-CD62-4B97-9A55-7433CA1B204E}"/>
    <cellStyle name="20% - Accent6 2 4 2 8" xfId="14393" xr:uid="{BD37C47A-4758-412F-8BA9-4C0D85276CC8}"/>
    <cellStyle name="20% - Accent6 2 4 2 9" xfId="16283" xr:uid="{8B496F8D-2468-4F3D-AEBE-A5F409B740A9}"/>
    <cellStyle name="20% - Accent6 2 4 20" xfId="32663" xr:uid="{C9EB8CD4-6713-4CD9-8D05-66DC241108B4}"/>
    <cellStyle name="20% - Accent6 2 4 21" xfId="34553" xr:uid="{B2D8FEEC-877C-4BF6-A480-5A7FCC8982D2}"/>
    <cellStyle name="20% - Accent6 2 4 22" xfId="36443" xr:uid="{F8EEA143-F3A0-4388-BE45-C8807A74C5C8}"/>
    <cellStyle name="20% - Accent6 2 4 23" xfId="38333" xr:uid="{2D1ABAF0-87A7-4E15-A99C-F6E57D388C94}"/>
    <cellStyle name="20% - Accent6 2 4 24" xfId="40224" xr:uid="{8E1AC9A9-B730-45A6-8140-3EF5390408DE}"/>
    <cellStyle name="20% - Accent6 2 4 3" xfId="1793" xr:uid="{00B3CAA8-AA50-4AC8-8376-491B23F56E2B}"/>
    <cellStyle name="20% - Accent6 2 4 3 10" xfId="18803" xr:uid="{DB423D19-6295-44CB-8519-4CD5EE85E046}"/>
    <cellStyle name="20% - Accent6 2 4 3 11" xfId="20693" xr:uid="{8C5AC57D-9A99-416A-B472-A33F8C62C4BE}"/>
    <cellStyle name="20% - Accent6 2 4 3 12" xfId="22583" xr:uid="{9F340717-EAE5-4B81-8662-25BE7E721D27}"/>
    <cellStyle name="20% - Accent6 2 4 3 13" xfId="24473" xr:uid="{AA1A506B-A3B4-4B09-A394-27E5BE6AC1FF}"/>
    <cellStyle name="20% - Accent6 2 4 3 14" xfId="26363" xr:uid="{3EDC0EB4-2B2F-4A5C-B18E-C5DD6A220661}"/>
    <cellStyle name="20% - Accent6 2 4 3 15" xfId="28253" xr:uid="{CF0F280A-135F-45E3-9009-64A5AC5AA841}"/>
    <cellStyle name="20% - Accent6 2 4 3 16" xfId="30143" xr:uid="{FB490F50-3F3A-4A90-A54E-9D05D3E096A1}"/>
    <cellStyle name="20% - Accent6 2 4 3 17" xfId="32033" xr:uid="{C0F4693B-A32F-4A1A-98AD-71E06CD0E3A7}"/>
    <cellStyle name="20% - Accent6 2 4 3 18" xfId="33923" xr:uid="{F1C3DF56-22A6-4A7B-87BF-C86C084377E9}"/>
    <cellStyle name="20% - Accent6 2 4 3 19" xfId="35813" xr:uid="{F45C7D4E-09C8-4590-A2D4-9BA00B75AD96}"/>
    <cellStyle name="20% - Accent6 2 4 3 2" xfId="3683" xr:uid="{59E5F9D4-C0DB-499F-B260-D24FFA13F56B}"/>
    <cellStyle name="20% - Accent6 2 4 3 20" xfId="37703" xr:uid="{8394CF89-C7DD-429E-B6EC-8E319ECAF48F}"/>
    <cellStyle name="20% - Accent6 2 4 3 21" xfId="39593" xr:uid="{FF761DEC-03DC-4A57-9E21-C69259637C86}"/>
    <cellStyle name="20% - Accent6 2 4 3 22" xfId="41484" xr:uid="{3F951C57-CCEB-49C0-9481-720B2383AF12}"/>
    <cellStyle name="20% - Accent6 2 4 3 3" xfId="5573" xr:uid="{BA02F266-5C2E-4A03-8AA0-CF6452D61290}"/>
    <cellStyle name="20% - Accent6 2 4 3 4" xfId="7463" xr:uid="{3F88E620-810E-492B-A05D-C6AE32D8DD49}"/>
    <cellStyle name="20% - Accent6 2 4 3 5" xfId="9353" xr:uid="{BA383B32-388B-4ABF-9763-82FB177EC7E0}"/>
    <cellStyle name="20% - Accent6 2 4 3 6" xfId="11243" xr:uid="{1F3590B9-A67E-4430-815A-91B02BA62EF8}"/>
    <cellStyle name="20% - Accent6 2 4 3 7" xfId="13133" xr:uid="{F4763764-2AD9-42E3-8F45-B3DCEEC1CB9B}"/>
    <cellStyle name="20% - Accent6 2 4 3 8" xfId="15023" xr:uid="{0202267B-7790-4C68-9AE6-E3EF2C8AB203}"/>
    <cellStyle name="20% - Accent6 2 4 3 9" xfId="16913" xr:uid="{2BD63260-047D-4F24-A33E-4F3293F9E98C}"/>
    <cellStyle name="20% - Accent6 2 4 4" xfId="2423" xr:uid="{D4369AFC-19FC-46AE-8C92-8A96C1BD8037}"/>
    <cellStyle name="20% - Accent6 2 4 5" xfId="4313" xr:uid="{34597F8B-6A19-408A-9C35-2F668DF35609}"/>
    <cellStyle name="20% - Accent6 2 4 6" xfId="6203" xr:uid="{EE9BCFF6-D874-493A-8657-007E31C8EBE6}"/>
    <cellStyle name="20% - Accent6 2 4 7" xfId="8093" xr:uid="{D95DFFFB-9F20-4F66-9D9F-1933ECC0397F}"/>
    <cellStyle name="20% - Accent6 2 4 8" xfId="9983" xr:uid="{55B4E0A9-FFD7-4D7D-BA24-0F7DB0D300D2}"/>
    <cellStyle name="20% - Accent6 2 4 9" xfId="11873" xr:uid="{CE4AA310-C8FC-493E-BB95-22BC0A656E31}"/>
    <cellStyle name="20% - Accent6 2 5" xfId="743" xr:uid="{A512E7A9-9EBA-448E-989D-5D9B02A60D39}"/>
    <cellStyle name="20% - Accent6 2 5 10" xfId="17753" xr:uid="{4227016E-706D-4E6E-A7FF-4C6312D0BF1F}"/>
    <cellStyle name="20% - Accent6 2 5 11" xfId="19643" xr:uid="{B395419B-CD65-4DAA-BA37-9FC969702220}"/>
    <cellStyle name="20% - Accent6 2 5 12" xfId="21533" xr:uid="{83DEF44C-440E-4F1D-B6F2-34D8CEEA240E}"/>
    <cellStyle name="20% - Accent6 2 5 13" xfId="23423" xr:uid="{1FF77D6A-2D80-4C6D-9569-5A49854A6FB1}"/>
    <cellStyle name="20% - Accent6 2 5 14" xfId="25313" xr:uid="{660BBF28-DC85-47C2-8F86-4DDD77EA880E}"/>
    <cellStyle name="20% - Accent6 2 5 15" xfId="27203" xr:uid="{50C7B598-C61B-46D9-A377-94108A1DE9BA}"/>
    <cellStyle name="20% - Accent6 2 5 16" xfId="29093" xr:uid="{81813437-5A7F-439A-999E-B82AF2A1ED1A}"/>
    <cellStyle name="20% - Accent6 2 5 17" xfId="30983" xr:uid="{4DC8227A-30B0-46BF-917B-75F43F10A212}"/>
    <cellStyle name="20% - Accent6 2 5 18" xfId="32873" xr:uid="{C15F392E-C8FB-422C-9382-A44F05864013}"/>
    <cellStyle name="20% - Accent6 2 5 19" xfId="34763" xr:uid="{5C2B425F-8322-457F-AE1A-E160D673941B}"/>
    <cellStyle name="20% - Accent6 2 5 2" xfId="2633" xr:uid="{846C9AF0-E071-46FF-84CB-C5391C7CFA17}"/>
    <cellStyle name="20% - Accent6 2 5 20" xfId="36653" xr:uid="{53E73098-1381-4D71-8228-EB0ADE2D2F57}"/>
    <cellStyle name="20% - Accent6 2 5 21" xfId="38543" xr:uid="{469B4AAD-6DE2-4207-8337-0208F63488C1}"/>
    <cellStyle name="20% - Accent6 2 5 22" xfId="40434" xr:uid="{B60E96BB-DFFF-4BAA-97BA-54C8E4BA9354}"/>
    <cellStyle name="20% - Accent6 2 5 3" xfId="4523" xr:uid="{FC0E7B2B-4763-4E24-8860-1BE571885F03}"/>
    <cellStyle name="20% - Accent6 2 5 4" xfId="6413" xr:uid="{820B0DD2-CE2A-434B-A5D7-7191DB66CC3C}"/>
    <cellStyle name="20% - Accent6 2 5 5" xfId="8303" xr:uid="{F3D712E9-97E5-4631-AA1F-D8075B17E89D}"/>
    <cellStyle name="20% - Accent6 2 5 6" xfId="10193" xr:uid="{A6ECAEEF-D1FF-4631-9587-729069B66FEF}"/>
    <cellStyle name="20% - Accent6 2 5 7" xfId="12083" xr:uid="{6F8C78C0-E6B6-4F86-BCF2-C9984E22B7D1}"/>
    <cellStyle name="20% - Accent6 2 5 8" xfId="13973" xr:uid="{0FAD1B68-1573-481D-BD8E-3818460D4C63}"/>
    <cellStyle name="20% - Accent6 2 5 9" xfId="15863" xr:uid="{6B6A7464-E92A-48A2-9C52-EC41C7BEF330}"/>
    <cellStyle name="20% - Accent6 2 6" xfId="1373" xr:uid="{551A000A-33E2-481B-8683-796F3A6FBF42}"/>
    <cellStyle name="20% - Accent6 2 6 10" xfId="18383" xr:uid="{9736A18A-91E1-4F15-A2D6-6832602C2A0D}"/>
    <cellStyle name="20% - Accent6 2 6 11" xfId="20273" xr:uid="{9D4AC608-DCC6-44E0-ACFC-6BB13EA812AD}"/>
    <cellStyle name="20% - Accent6 2 6 12" xfId="22163" xr:uid="{7595A979-1829-46EF-A2DC-D4824F939751}"/>
    <cellStyle name="20% - Accent6 2 6 13" xfId="24053" xr:uid="{FB7A8B3C-F914-4013-A9E8-2A6D47765D71}"/>
    <cellStyle name="20% - Accent6 2 6 14" xfId="25943" xr:uid="{7C09D83F-F98C-40B8-88FA-827486C6CBF1}"/>
    <cellStyle name="20% - Accent6 2 6 15" xfId="27833" xr:uid="{2D62864D-9778-4433-B832-D3286A545E8A}"/>
    <cellStyle name="20% - Accent6 2 6 16" xfId="29723" xr:uid="{BF0FBEC1-F9CC-4E97-8881-CF67E3DB6C89}"/>
    <cellStyle name="20% - Accent6 2 6 17" xfId="31613" xr:uid="{4D908C89-9A36-42EF-82C5-BD7D23F7B706}"/>
    <cellStyle name="20% - Accent6 2 6 18" xfId="33503" xr:uid="{E421F3B2-22A4-4DC5-A815-B2479548F0CC}"/>
    <cellStyle name="20% - Accent6 2 6 19" xfId="35393" xr:uid="{2D95E28F-BC2F-45BD-A969-28BF38ED7444}"/>
    <cellStyle name="20% - Accent6 2 6 2" xfId="3263" xr:uid="{E652D131-5E96-4AF8-8D21-35C576A3D0B0}"/>
    <cellStyle name="20% - Accent6 2 6 20" xfId="37283" xr:uid="{BA312F2C-4CDE-43BB-8B3F-32B1A79D3B73}"/>
    <cellStyle name="20% - Accent6 2 6 21" xfId="39173" xr:uid="{69065232-C415-4A01-AC3A-E8A476F151CC}"/>
    <cellStyle name="20% - Accent6 2 6 22" xfId="41064" xr:uid="{AB7DDFA3-4A6B-4C74-8F24-81C148CFFC59}"/>
    <cellStyle name="20% - Accent6 2 6 3" xfId="5153" xr:uid="{B13E7FF4-9EA6-4719-8D46-21CB2C349651}"/>
    <cellStyle name="20% - Accent6 2 6 4" xfId="7043" xr:uid="{F1085A10-2AFF-4D36-8575-C7E7FEFB2BBC}"/>
    <cellStyle name="20% - Accent6 2 6 5" xfId="8933" xr:uid="{004AB15B-4EDB-496F-B60E-FF7B044A3C39}"/>
    <cellStyle name="20% - Accent6 2 6 6" xfId="10823" xr:uid="{2C54E1B7-167B-4F84-AB4F-FEAC4B629BBB}"/>
    <cellStyle name="20% - Accent6 2 6 7" xfId="12713" xr:uid="{0EA8399F-B1A2-41AA-B9D2-3DB52DD5DCF5}"/>
    <cellStyle name="20% - Accent6 2 6 8" xfId="14603" xr:uid="{4D160BEC-CE5C-4D88-A50A-B961215B0D0B}"/>
    <cellStyle name="20% - Accent6 2 6 9" xfId="16493" xr:uid="{5C46E1F4-1E96-43B6-9518-81009BD40793}"/>
    <cellStyle name="20% - Accent6 2 7" xfId="2003" xr:uid="{04310678-5BE9-40EF-B1D1-E8243C5DDB93}"/>
    <cellStyle name="20% - Accent6 2 8" xfId="3893" xr:uid="{22C11E94-F246-4BF9-A051-8E0F8201440A}"/>
    <cellStyle name="20% - Accent6 2 9" xfId="5783" xr:uid="{BD479BE0-99AE-408B-8D83-97E23FD6B10B}"/>
    <cellStyle name="20% - Accent6 20" xfId="22771" xr:uid="{F181F3EC-B5D7-49DA-89CB-D4CAF1B6B701}"/>
    <cellStyle name="20% - Accent6 21" xfId="24661" xr:uid="{954A12CE-BF71-44C9-8F4E-7D0628FD230F}"/>
    <cellStyle name="20% - Accent6 22" xfId="26551" xr:uid="{B72FF3C8-30A0-4583-9FEC-330822B9A1C2}"/>
    <cellStyle name="20% - Accent6 23" xfId="28441" xr:uid="{0E0CC154-708A-49C8-A446-5CFD4DD71860}"/>
    <cellStyle name="20% - Accent6 24" xfId="30331" xr:uid="{B157E2B6-DA62-48B4-A183-B5B83BC82880}"/>
    <cellStyle name="20% - Accent6 25" xfId="32221" xr:uid="{DC5EF2F6-A74B-491F-B0FC-13277D63ACD6}"/>
    <cellStyle name="20% - Accent6 26" xfId="34111" xr:uid="{C81EFB9F-D85D-4197-BEF3-CE1E01A6D8D1}"/>
    <cellStyle name="20% - Accent6 27" xfId="36001" xr:uid="{F95E2524-6CDB-49A0-AF13-033CEF4E6E72}"/>
    <cellStyle name="20% - Accent6 28" xfId="37891" xr:uid="{0C1F0326-0B90-4798-9E73-F4AFB9242AE4}"/>
    <cellStyle name="20% - Accent6 29" xfId="39782" xr:uid="{A897355C-C2F3-4790-9E0C-D9E3F1987318}"/>
    <cellStyle name="20% - Accent6 3" xfId="133" xr:uid="{B971B897-C8B0-48EC-9027-EF4CC51D260C}"/>
    <cellStyle name="20% - Accent6 3 10" xfId="7693" xr:uid="{7C4BA833-CC8F-4944-BD56-1A4D77EDF8B1}"/>
    <cellStyle name="20% - Accent6 3 11" xfId="9583" xr:uid="{AAF98471-3B76-46C2-AD18-C05EBC4C22E2}"/>
    <cellStyle name="20% - Accent6 3 12" xfId="11473" xr:uid="{6399E167-D4E6-49C3-83F8-A47640397631}"/>
    <cellStyle name="20% - Accent6 3 13" xfId="13363" xr:uid="{633FB093-7476-4954-BA76-B4265961E9B8}"/>
    <cellStyle name="20% - Accent6 3 14" xfId="15253" xr:uid="{0B29EE2D-9F62-4977-BAF0-250EBE529D02}"/>
    <cellStyle name="20% - Accent6 3 15" xfId="17143" xr:uid="{A6CA5176-E325-4345-AD69-F551B42478FA}"/>
    <cellStyle name="20% - Accent6 3 16" xfId="19033" xr:uid="{20E6AB91-98E3-4EA6-A037-FF27198E8C70}"/>
    <cellStyle name="20% - Accent6 3 17" xfId="20923" xr:uid="{4A552762-383D-4F6D-9291-5A4507201E29}"/>
    <cellStyle name="20% - Accent6 3 18" xfId="22813" xr:uid="{CF2763D1-3AEB-4DC6-863C-E03E9A7C16FD}"/>
    <cellStyle name="20% - Accent6 3 19" xfId="24703" xr:uid="{7CD6FD3F-BF5D-439E-8E49-1D4627E21151}"/>
    <cellStyle name="20% - Accent6 3 2" xfId="238" xr:uid="{140143C6-BA7A-4F15-B533-EBDD14B279AB}"/>
    <cellStyle name="20% - Accent6 3 2 10" xfId="9688" xr:uid="{0530A64B-B0F8-4217-9048-D0EC60CA4D4C}"/>
    <cellStyle name="20% - Accent6 3 2 11" xfId="11578" xr:uid="{FBBCBD13-8E32-48C9-ABAA-166D5CD6F3F2}"/>
    <cellStyle name="20% - Accent6 3 2 12" xfId="13468" xr:uid="{C3CB2E97-F5EC-4BB4-A22B-137BDC549371}"/>
    <cellStyle name="20% - Accent6 3 2 13" xfId="15358" xr:uid="{E737D600-CEBB-4F10-9BD0-BB1B38775A6F}"/>
    <cellStyle name="20% - Accent6 3 2 14" xfId="17248" xr:uid="{DC72AD3E-CDBC-44EA-B100-42118B441699}"/>
    <cellStyle name="20% - Accent6 3 2 15" xfId="19138" xr:uid="{54EF5018-31CE-4257-9EEE-AB22B61E9F97}"/>
    <cellStyle name="20% - Accent6 3 2 16" xfId="21028" xr:uid="{2B552F03-3823-4CC1-BE14-42AB336AB60E}"/>
    <cellStyle name="20% - Accent6 3 2 17" xfId="22918" xr:uid="{873209D9-4389-4E94-9635-6980453A1230}"/>
    <cellStyle name="20% - Accent6 3 2 18" xfId="24808" xr:uid="{437317BA-B57C-452E-9889-C453CF09AC2A}"/>
    <cellStyle name="20% - Accent6 3 2 19" xfId="26698" xr:uid="{64634244-2466-480A-B973-619BF71BDBB0}"/>
    <cellStyle name="20% - Accent6 3 2 2" xfId="448" xr:uid="{8430C135-ABE2-40E7-907E-AFA4848ED05C}"/>
    <cellStyle name="20% - Accent6 3 2 2 10" xfId="13678" xr:uid="{35714D63-4970-4D4D-9787-7FAB31F1B323}"/>
    <cellStyle name="20% - Accent6 3 2 2 11" xfId="15568" xr:uid="{984339A1-456B-4D05-A4E1-E54D175C82FB}"/>
    <cellStyle name="20% - Accent6 3 2 2 12" xfId="17458" xr:uid="{CBCC30B2-ABA5-4899-83F8-6EDC9C15A001}"/>
    <cellStyle name="20% - Accent6 3 2 2 13" xfId="19348" xr:uid="{3E92A537-A79C-449D-A966-2F02622AC3FD}"/>
    <cellStyle name="20% - Accent6 3 2 2 14" xfId="21238" xr:uid="{BCF78E9D-26EF-4AEA-A9F9-5A0F308928B9}"/>
    <cellStyle name="20% - Accent6 3 2 2 15" xfId="23128" xr:uid="{13C8C174-E387-43EE-B6FE-C55231C31889}"/>
    <cellStyle name="20% - Accent6 3 2 2 16" xfId="25018" xr:uid="{AB10FCA5-71B0-4172-9A0F-E2DA148B1E12}"/>
    <cellStyle name="20% - Accent6 3 2 2 17" xfId="26908" xr:uid="{15D4F6FD-33D5-4627-82E8-BE46FAC29465}"/>
    <cellStyle name="20% - Accent6 3 2 2 18" xfId="28798" xr:uid="{7579DA6A-6A0B-455B-999D-E52ECB84D29F}"/>
    <cellStyle name="20% - Accent6 3 2 2 19" xfId="30688" xr:uid="{1C9F3863-8FFC-4429-911E-C4CF4DF5B55D}"/>
    <cellStyle name="20% - Accent6 3 2 2 2" xfId="1078" xr:uid="{744C69C0-1414-4F2B-A155-4F41C21D7AFE}"/>
    <cellStyle name="20% - Accent6 3 2 2 2 10" xfId="18088" xr:uid="{C53FCBD8-1DD6-49E0-B86F-B41056432950}"/>
    <cellStyle name="20% - Accent6 3 2 2 2 11" xfId="19978" xr:uid="{E0E1AEE7-8D26-4992-8D6D-186275A9F92D}"/>
    <cellStyle name="20% - Accent6 3 2 2 2 12" xfId="21868" xr:uid="{57179C11-316D-4A76-96A0-C75C1FC28AB0}"/>
    <cellStyle name="20% - Accent6 3 2 2 2 13" xfId="23758" xr:uid="{A3D0597C-2137-4D0B-BFC8-4E981465D5BE}"/>
    <cellStyle name="20% - Accent6 3 2 2 2 14" xfId="25648" xr:uid="{4B752247-12F8-4223-A9EE-4D38EA9A0892}"/>
    <cellStyle name="20% - Accent6 3 2 2 2 15" xfId="27538" xr:uid="{131619A6-5EFF-40AB-BE6B-78B97CD34357}"/>
    <cellStyle name="20% - Accent6 3 2 2 2 16" xfId="29428" xr:uid="{80F10EFD-FBAA-470E-8BA8-A6D9391DEA54}"/>
    <cellStyle name="20% - Accent6 3 2 2 2 17" xfId="31318" xr:uid="{216A31E7-810E-4E1E-86AF-CA6E21075DF9}"/>
    <cellStyle name="20% - Accent6 3 2 2 2 18" xfId="33208" xr:uid="{CD798160-B2DE-4686-AA82-56528112FD65}"/>
    <cellStyle name="20% - Accent6 3 2 2 2 19" xfId="35098" xr:uid="{892ADF85-2D6B-4B3A-B5B3-4DDC8E3EFB78}"/>
    <cellStyle name="20% - Accent6 3 2 2 2 2" xfId="2968" xr:uid="{DEE2BBC2-CCD8-40C3-96B8-57566B3891D3}"/>
    <cellStyle name="20% - Accent6 3 2 2 2 20" xfId="36988" xr:uid="{12E07972-70B0-4BAD-AEF2-B1C7BBE3726E}"/>
    <cellStyle name="20% - Accent6 3 2 2 2 21" xfId="38878" xr:uid="{DB10A4A6-552A-4913-A94E-EACA9332BED2}"/>
    <cellStyle name="20% - Accent6 3 2 2 2 22" xfId="40769" xr:uid="{E681F1B3-2900-4A84-97D7-1BC35EBC48A4}"/>
    <cellStyle name="20% - Accent6 3 2 2 2 3" xfId="4858" xr:uid="{03D956BA-5B5A-410B-B507-48A3D395687F}"/>
    <cellStyle name="20% - Accent6 3 2 2 2 4" xfId="6748" xr:uid="{C1053F59-BE9B-44D7-8F7B-9CEFCA2DBC56}"/>
    <cellStyle name="20% - Accent6 3 2 2 2 5" xfId="8638" xr:uid="{351CE5E4-B708-452E-8357-C0E43BBDFEF2}"/>
    <cellStyle name="20% - Accent6 3 2 2 2 6" xfId="10528" xr:uid="{16B8BA05-B077-42B7-BE38-B3771CF38778}"/>
    <cellStyle name="20% - Accent6 3 2 2 2 7" xfId="12418" xr:uid="{47DC5F4E-99FE-4BC0-B17D-A46C4DA2B67D}"/>
    <cellStyle name="20% - Accent6 3 2 2 2 8" xfId="14308" xr:uid="{70E75792-4788-48C6-9494-DB2168666815}"/>
    <cellStyle name="20% - Accent6 3 2 2 2 9" xfId="16198" xr:uid="{7EDB8536-BB42-4C01-9351-6F5DEBBB476F}"/>
    <cellStyle name="20% - Accent6 3 2 2 20" xfId="32578" xr:uid="{64777059-AE27-4E24-8C85-36300B36A8E3}"/>
    <cellStyle name="20% - Accent6 3 2 2 21" xfId="34468" xr:uid="{1FF77B28-F4C7-40C1-9746-7F8163704496}"/>
    <cellStyle name="20% - Accent6 3 2 2 22" xfId="36358" xr:uid="{7AE76469-6373-4D93-AE52-478BB5B3A736}"/>
    <cellStyle name="20% - Accent6 3 2 2 23" xfId="38248" xr:uid="{9D25A7F8-ACEB-4730-8F8D-A6FCD016BB5C}"/>
    <cellStyle name="20% - Accent6 3 2 2 24" xfId="40139" xr:uid="{46821CA4-BDDE-4187-BFD4-AE67FC7B4E3A}"/>
    <cellStyle name="20% - Accent6 3 2 2 3" xfId="1708" xr:uid="{7B362698-7D90-4E8F-9349-D4A26C41A970}"/>
    <cellStyle name="20% - Accent6 3 2 2 3 10" xfId="18718" xr:uid="{64E2777E-BBA1-465D-81FE-A90F4FE4D1C2}"/>
    <cellStyle name="20% - Accent6 3 2 2 3 11" xfId="20608" xr:uid="{338A44FA-57BD-4BE1-857B-05EEDC1F0BA0}"/>
    <cellStyle name="20% - Accent6 3 2 2 3 12" xfId="22498" xr:uid="{BDF741A3-EBA6-4ABA-838A-6A51C6B25EB5}"/>
    <cellStyle name="20% - Accent6 3 2 2 3 13" xfId="24388" xr:uid="{A06BCDAE-F732-45E5-8CE7-4089EA0C9A3B}"/>
    <cellStyle name="20% - Accent6 3 2 2 3 14" xfId="26278" xr:uid="{13A581A2-E781-4815-9652-BFD57E0842B6}"/>
    <cellStyle name="20% - Accent6 3 2 2 3 15" xfId="28168" xr:uid="{2D340B0A-BE5D-426C-8E06-857B0447B882}"/>
    <cellStyle name="20% - Accent6 3 2 2 3 16" xfId="30058" xr:uid="{E25FCE24-ABF9-4881-A26B-4C04325F1EB2}"/>
    <cellStyle name="20% - Accent6 3 2 2 3 17" xfId="31948" xr:uid="{C4BC7A5B-6817-4772-9350-0493AE2F0879}"/>
    <cellStyle name="20% - Accent6 3 2 2 3 18" xfId="33838" xr:uid="{7D538DA2-1BA9-4230-AE37-502D7343C2AE}"/>
    <cellStyle name="20% - Accent6 3 2 2 3 19" xfId="35728" xr:uid="{98FA3EA5-5FC2-4A5B-9F1D-CA3EDE32EDC5}"/>
    <cellStyle name="20% - Accent6 3 2 2 3 2" xfId="3598" xr:uid="{E239F0AE-AD9E-4DB3-B576-4FE8907317E1}"/>
    <cellStyle name="20% - Accent6 3 2 2 3 20" xfId="37618" xr:uid="{8A936D0B-7F2E-4B33-9BED-86AE7025E72A}"/>
    <cellStyle name="20% - Accent6 3 2 2 3 21" xfId="39508" xr:uid="{A599C96D-7FEB-44B4-9EE3-A1F934E6A591}"/>
    <cellStyle name="20% - Accent6 3 2 2 3 22" xfId="41399" xr:uid="{6E5DD3C9-609E-4D67-8303-E5F520827F2E}"/>
    <cellStyle name="20% - Accent6 3 2 2 3 3" xfId="5488" xr:uid="{4FC22B62-4A15-4E21-B88B-ECE263294E16}"/>
    <cellStyle name="20% - Accent6 3 2 2 3 4" xfId="7378" xr:uid="{AD3F4EC0-6ED8-40C8-BEB6-704440AF648F}"/>
    <cellStyle name="20% - Accent6 3 2 2 3 5" xfId="9268" xr:uid="{834081A6-B887-41B6-9594-8895F779FDCD}"/>
    <cellStyle name="20% - Accent6 3 2 2 3 6" xfId="11158" xr:uid="{8D376B9C-185D-40AE-9308-62FD06AEA376}"/>
    <cellStyle name="20% - Accent6 3 2 2 3 7" xfId="13048" xr:uid="{34465CA4-DB3A-4C68-AB7A-324FC48D7DEE}"/>
    <cellStyle name="20% - Accent6 3 2 2 3 8" xfId="14938" xr:uid="{6F08B3D4-20EE-44DC-9CEC-7D81598A6E36}"/>
    <cellStyle name="20% - Accent6 3 2 2 3 9" xfId="16828" xr:uid="{588A94F4-617B-4782-ACB9-ACABBFA5E9C8}"/>
    <cellStyle name="20% - Accent6 3 2 2 4" xfId="2338" xr:uid="{F3795C72-C2B6-40FB-AE13-8211AD2A5605}"/>
    <cellStyle name="20% - Accent6 3 2 2 5" xfId="4228" xr:uid="{6E2AEC16-3FFA-47E4-BE7F-834FC442FF24}"/>
    <cellStyle name="20% - Accent6 3 2 2 6" xfId="6118" xr:uid="{A54D0ABA-6159-4C28-83AD-F3B8352F7BCF}"/>
    <cellStyle name="20% - Accent6 3 2 2 7" xfId="8008" xr:uid="{00FF5208-5A3B-4206-BDB2-60D245E76D12}"/>
    <cellStyle name="20% - Accent6 3 2 2 8" xfId="9898" xr:uid="{491C7848-35B8-4E09-B8DE-34FDA37E9C83}"/>
    <cellStyle name="20% - Accent6 3 2 2 9" xfId="11788" xr:uid="{0713C9F9-D722-48D9-AB5C-CDE07F005654}"/>
    <cellStyle name="20% - Accent6 3 2 20" xfId="28588" xr:uid="{D1DA50C6-7070-43CF-B537-9735EAF75C29}"/>
    <cellStyle name="20% - Accent6 3 2 21" xfId="30478" xr:uid="{FA4B3F28-DE26-48FF-A6FD-13AB951842E5}"/>
    <cellStyle name="20% - Accent6 3 2 22" xfId="32368" xr:uid="{F577F615-490B-49EC-BD3B-DB0798865B85}"/>
    <cellStyle name="20% - Accent6 3 2 23" xfId="34258" xr:uid="{5E8ECBB4-8E45-4FBA-AA68-891320ABA3A0}"/>
    <cellStyle name="20% - Accent6 3 2 24" xfId="36148" xr:uid="{2BC1EF2C-24F1-4CDE-9A23-925D6A85570B}"/>
    <cellStyle name="20% - Accent6 3 2 25" xfId="38038" xr:uid="{D7283E39-38D9-48A3-BE12-C20C054D7523}"/>
    <cellStyle name="20% - Accent6 3 2 26" xfId="39929" xr:uid="{714FB6F2-9316-41BA-A89C-2F48A13E4B4F}"/>
    <cellStyle name="20% - Accent6 3 2 3" xfId="658" xr:uid="{DE9329F8-1446-4A36-9DEB-679863699731}"/>
    <cellStyle name="20% - Accent6 3 2 3 10" xfId="13888" xr:uid="{EFA98325-E363-4988-A533-98C1285E1536}"/>
    <cellStyle name="20% - Accent6 3 2 3 11" xfId="15778" xr:uid="{A5DDAFA9-C497-49B1-95BB-AF0A67EE6E72}"/>
    <cellStyle name="20% - Accent6 3 2 3 12" xfId="17668" xr:uid="{F2FBDD4F-45BA-4C63-82F5-80A3D29C07A8}"/>
    <cellStyle name="20% - Accent6 3 2 3 13" xfId="19558" xr:uid="{675657B2-1563-4E4D-8DA1-EA43C57F87F0}"/>
    <cellStyle name="20% - Accent6 3 2 3 14" xfId="21448" xr:uid="{ADEF866A-86E3-4B22-9FE6-02C2F715A2A5}"/>
    <cellStyle name="20% - Accent6 3 2 3 15" xfId="23338" xr:uid="{D997FDDD-0013-4A4D-B52A-9BB825D42021}"/>
    <cellStyle name="20% - Accent6 3 2 3 16" xfId="25228" xr:uid="{8846D720-0586-4E45-BC45-2002AACB6A67}"/>
    <cellStyle name="20% - Accent6 3 2 3 17" xfId="27118" xr:uid="{55C7CD38-E298-4074-8F16-0F2F76ACBF34}"/>
    <cellStyle name="20% - Accent6 3 2 3 18" xfId="29008" xr:uid="{0F346D06-7F6F-436F-A6B3-DC864CED34ED}"/>
    <cellStyle name="20% - Accent6 3 2 3 19" xfId="30898" xr:uid="{8820F644-76EB-4D89-8A94-AF7ED5DB2E24}"/>
    <cellStyle name="20% - Accent6 3 2 3 2" xfId="1288" xr:uid="{6053AD1B-66C7-43E3-B601-28CE48F90683}"/>
    <cellStyle name="20% - Accent6 3 2 3 2 10" xfId="18298" xr:uid="{6E0C40AC-61F1-449F-89BE-FB35A32BE044}"/>
    <cellStyle name="20% - Accent6 3 2 3 2 11" xfId="20188" xr:uid="{C84F7FC1-ED1A-43D9-96C8-54EDFA2E39BF}"/>
    <cellStyle name="20% - Accent6 3 2 3 2 12" xfId="22078" xr:uid="{B4ED64DA-124A-4B30-9F94-AFEE5CFBA146}"/>
    <cellStyle name="20% - Accent6 3 2 3 2 13" xfId="23968" xr:uid="{B159D598-6E17-44A0-9BBE-D7F7C59A5154}"/>
    <cellStyle name="20% - Accent6 3 2 3 2 14" xfId="25858" xr:uid="{29060C6C-CBE7-441A-BDEB-B239F5B70FC8}"/>
    <cellStyle name="20% - Accent6 3 2 3 2 15" xfId="27748" xr:uid="{68717A2C-183B-4CDF-93CC-3723B6FB406B}"/>
    <cellStyle name="20% - Accent6 3 2 3 2 16" xfId="29638" xr:uid="{9EAAEF66-A33A-498F-A80A-E3F5C63CA510}"/>
    <cellStyle name="20% - Accent6 3 2 3 2 17" xfId="31528" xr:uid="{79B40712-E49B-43EE-93EE-83DEA07168B4}"/>
    <cellStyle name="20% - Accent6 3 2 3 2 18" xfId="33418" xr:uid="{80540ADB-AA25-4B42-A46F-DE583288541C}"/>
    <cellStyle name="20% - Accent6 3 2 3 2 19" xfId="35308" xr:uid="{9FB1F1E1-88CF-4C97-BA5C-6736598DA242}"/>
    <cellStyle name="20% - Accent6 3 2 3 2 2" xfId="3178" xr:uid="{E3C39269-4B30-4FBC-9C7F-968F1D687344}"/>
    <cellStyle name="20% - Accent6 3 2 3 2 20" xfId="37198" xr:uid="{4604963D-A514-4EC6-8C9E-0C360C89ED20}"/>
    <cellStyle name="20% - Accent6 3 2 3 2 21" xfId="39088" xr:uid="{DC1B22DA-A21B-491C-99A7-087D7CED34D6}"/>
    <cellStyle name="20% - Accent6 3 2 3 2 22" xfId="40979" xr:uid="{0AE3F345-D881-4BAA-A0A9-DEA3586479DE}"/>
    <cellStyle name="20% - Accent6 3 2 3 2 3" xfId="5068" xr:uid="{AB1C378D-0D7D-41D0-9739-5592A4FFCF3A}"/>
    <cellStyle name="20% - Accent6 3 2 3 2 4" xfId="6958" xr:uid="{A5BDA880-5960-48F8-9C77-F0CA1F1B6F6D}"/>
    <cellStyle name="20% - Accent6 3 2 3 2 5" xfId="8848" xr:uid="{84139090-3888-4FF5-9875-2E5EE1813446}"/>
    <cellStyle name="20% - Accent6 3 2 3 2 6" xfId="10738" xr:uid="{6DE9CDAD-68DF-4B3E-B71D-34B8BBED1677}"/>
    <cellStyle name="20% - Accent6 3 2 3 2 7" xfId="12628" xr:uid="{83210DD1-24E0-4231-B753-41F2A01F6FB1}"/>
    <cellStyle name="20% - Accent6 3 2 3 2 8" xfId="14518" xr:uid="{72187554-DACF-4D8A-8365-C73C94323633}"/>
    <cellStyle name="20% - Accent6 3 2 3 2 9" xfId="16408" xr:uid="{F749345E-0433-4894-A28E-8BF9DE4C4793}"/>
    <cellStyle name="20% - Accent6 3 2 3 20" xfId="32788" xr:uid="{21391015-59B8-4522-980B-8D33878010BE}"/>
    <cellStyle name="20% - Accent6 3 2 3 21" xfId="34678" xr:uid="{7660E470-930F-4011-8F6C-622761F52ABB}"/>
    <cellStyle name="20% - Accent6 3 2 3 22" xfId="36568" xr:uid="{ED79EDB3-CD95-474F-9E09-852E7D6EFCAD}"/>
    <cellStyle name="20% - Accent6 3 2 3 23" xfId="38458" xr:uid="{2FEBE4EC-0F04-4C3C-B51F-9328CEEE1123}"/>
    <cellStyle name="20% - Accent6 3 2 3 24" xfId="40349" xr:uid="{D08AD655-3137-432B-AFD2-E130744A7055}"/>
    <cellStyle name="20% - Accent6 3 2 3 3" xfId="1918" xr:uid="{248891AA-C46B-4A0B-A87B-2DBDF8EF9C01}"/>
    <cellStyle name="20% - Accent6 3 2 3 3 10" xfId="18928" xr:uid="{9217ED17-A78F-42ED-BEE7-07BA33ADCAFA}"/>
    <cellStyle name="20% - Accent6 3 2 3 3 11" xfId="20818" xr:uid="{C3C44EB8-D977-4DC9-B15A-B7ADB4C5EC2E}"/>
    <cellStyle name="20% - Accent6 3 2 3 3 12" xfId="22708" xr:uid="{C7BADEF3-DFA1-44E9-B9BC-06CDA80D769E}"/>
    <cellStyle name="20% - Accent6 3 2 3 3 13" xfId="24598" xr:uid="{8EAD39EB-430D-47F5-9AE0-D63104FBCDDC}"/>
    <cellStyle name="20% - Accent6 3 2 3 3 14" xfId="26488" xr:uid="{377B4D79-8E2F-42F7-8300-2D4C4C1818FE}"/>
    <cellStyle name="20% - Accent6 3 2 3 3 15" xfId="28378" xr:uid="{964C13B2-0BDF-4899-81BD-81BDDF7E6CD0}"/>
    <cellStyle name="20% - Accent6 3 2 3 3 16" xfId="30268" xr:uid="{AD62207F-A99C-4BAF-9347-CC59F7F4B134}"/>
    <cellStyle name="20% - Accent6 3 2 3 3 17" xfId="32158" xr:uid="{DEC0B01C-E578-4D13-9DC3-F4614A251045}"/>
    <cellStyle name="20% - Accent6 3 2 3 3 18" xfId="34048" xr:uid="{F447C1B2-D0BF-4CAD-9437-4A20B5709A02}"/>
    <cellStyle name="20% - Accent6 3 2 3 3 19" xfId="35938" xr:uid="{05B86665-16F4-4494-B7E2-35B24A36AB1D}"/>
    <cellStyle name="20% - Accent6 3 2 3 3 2" xfId="3808" xr:uid="{6ED38EFF-0F08-4A1E-BC9E-4AF4F5827069}"/>
    <cellStyle name="20% - Accent6 3 2 3 3 20" xfId="37828" xr:uid="{36CFE82D-55B0-4C5D-8BFD-86FF70C7596F}"/>
    <cellStyle name="20% - Accent6 3 2 3 3 21" xfId="39718" xr:uid="{2F292F12-69A5-488E-8991-2444AEF075EC}"/>
    <cellStyle name="20% - Accent6 3 2 3 3 22" xfId="41609" xr:uid="{1172BC9B-47C1-491C-99D2-F61C386B6278}"/>
    <cellStyle name="20% - Accent6 3 2 3 3 3" xfId="5698" xr:uid="{81FBFD53-FCBA-4634-B993-ED0ECCD46324}"/>
    <cellStyle name="20% - Accent6 3 2 3 3 4" xfId="7588" xr:uid="{F23E1E94-8860-443E-BDFD-DDE1A601EB4E}"/>
    <cellStyle name="20% - Accent6 3 2 3 3 5" xfId="9478" xr:uid="{75FBE0D4-F877-479E-A2A2-EBEE611A24F6}"/>
    <cellStyle name="20% - Accent6 3 2 3 3 6" xfId="11368" xr:uid="{CF45DFC9-DA17-4B4A-A43C-6A9F2159E731}"/>
    <cellStyle name="20% - Accent6 3 2 3 3 7" xfId="13258" xr:uid="{EB75BC80-CECF-4F1A-A8FF-EB563DA50C63}"/>
    <cellStyle name="20% - Accent6 3 2 3 3 8" xfId="15148" xr:uid="{80C73246-7D5A-42EE-AE23-E82926D693E8}"/>
    <cellStyle name="20% - Accent6 3 2 3 3 9" xfId="17038" xr:uid="{72A7C572-71A0-4716-A774-0F52E0443AEB}"/>
    <cellStyle name="20% - Accent6 3 2 3 4" xfId="2548" xr:uid="{B1E6C71C-565E-4892-8A2C-5471B2FFE952}"/>
    <cellStyle name="20% - Accent6 3 2 3 5" xfId="4438" xr:uid="{2992E684-CFA4-4D6D-9844-F4F919C6583C}"/>
    <cellStyle name="20% - Accent6 3 2 3 6" xfId="6328" xr:uid="{93254046-747A-4645-81AF-59FB7A4C9E08}"/>
    <cellStyle name="20% - Accent6 3 2 3 7" xfId="8218" xr:uid="{BDED7461-3547-4EE8-820D-B5F769A04A5D}"/>
    <cellStyle name="20% - Accent6 3 2 3 8" xfId="10108" xr:uid="{1DD05775-26DE-43AC-948D-CD8B6220458D}"/>
    <cellStyle name="20% - Accent6 3 2 3 9" xfId="11998" xr:uid="{DAD7A9E1-3163-42CF-A834-5C31B4443BED}"/>
    <cellStyle name="20% - Accent6 3 2 4" xfId="868" xr:uid="{8C0FAB4D-4FF6-420B-B395-A8FB3BC119E8}"/>
    <cellStyle name="20% - Accent6 3 2 4 10" xfId="17878" xr:uid="{9CF3769A-3FD3-45F6-A73B-4CB3B778B87E}"/>
    <cellStyle name="20% - Accent6 3 2 4 11" xfId="19768" xr:uid="{2C65D23C-44DF-4D5C-B481-646105463BC5}"/>
    <cellStyle name="20% - Accent6 3 2 4 12" xfId="21658" xr:uid="{099042FA-25D8-4A78-B5EB-4EAB81C2E7EE}"/>
    <cellStyle name="20% - Accent6 3 2 4 13" xfId="23548" xr:uid="{2D102665-0F33-4290-B1B8-C6C92D66D32D}"/>
    <cellStyle name="20% - Accent6 3 2 4 14" xfId="25438" xr:uid="{93F9A709-970C-44B3-82F8-45D6AC8A7F6A}"/>
    <cellStyle name="20% - Accent6 3 2 4 15" xfId="27328" xr:uid="{AB2D769E-5759-4A30-AF0D-B35DE218BE3E}"/>
    <cellStyle name="20% - Accent6 3 2 4 16" xfId="29218" xr:uid="{302972DD-5F63-484C-B398-AD02738DD75D}"/>
    <cellStyle name="20% - Accent6 3 2 4 17" xfId="31108" xr:uid="{AF816F1B-2232-4752-A629-1A1B14304481}"/>
    <cellStyle name="20% - Accent6 3 2 4 18" xfId="32998" xr:uid="{42C994F6-AAB4-46AC-AA97-2C4E12BAF231}"/>
    <cellStyle name="20% - Accent6 3 2 4 19" xfId="34888" xr:uid="{D907B6C9-0E72-499F-98C0-DADF281A1949}"/>
    <cellStyle name="20% - Accent6 3 2 4 2" xfId="2758" xr:uid="{875F367B-DA22-42CD-9BBB-532C6F08EB4F}"/>
    <cellStyle name="20% - Accent6 3 2 4 20" xfId="36778" xr:uid="{C4B4D409-8FC4-476B-AFD1-32C78FF292D9}"/>
    <cellStyle name="20% - Accent6 3 2 4 21" xfId="38668" xr:uid="{2C795995-6AF6-4A0C-A059-785CA9E3AFB5}"/>
    <cellStyle name="20% - Accent6 3 2 4 22" xfId="40559" xr:uid="{5141DE49-E138-4299-BEA1-E1CF3E9522BA}"/>
    <cellStyle name="20% - Accent6 3 2 4 3" xfId="4648" xr:uid="{CFCA5785-6E0E-4647-AFA9-CE891247F0BF}"/>
    <cellStyle name="20% - Accent6 3 2 4 4" xfId="6538" xr:uid="{ED32E6C1-250D-4EDA-8A98-D9B464D211B3}"/>
    <cellStyle name="20% - Accent6 3 2 4 5" xfId="8428" xr:uid="{72F7F1C0-18E0-4C67-9080-93DC21C84D76}"/>
    <cellStyle name="20% - Accent6 3 2 4 6" xfId="10318" xr:uid="{3665CE88-8588-4768-B22D-DAF5B70A0AA9}"/>
    <cellStyle name="20% - Accent6 3 2 4 7" xfId="12208" xr:uid="{3F8944F8-7FC9-489A-BC54-C3DBF4C594AE}"/>
    <cellStyle name="20% - Accent6 3 2 4 8" xfId="14098" xr:uid="{8B8D974D-1816-4F48-BDFB-F23CD4225739}"/>
    <cellStyle name="20% - Accent6 3 2 4 9" xfId="15988" xr:uid="{C73EAD3C-F411-49ED-AA07-869945854071}"/>
    <cellStyle name="20% - Accent6 3 2 5" xfId="1498" xr:uid="{90F5D62B-8FCF-4956-A7AD-FF7BF1A0FA20}"/>
    <cellStyle name="20% - Accent6 3 2 5 10" xfId="18508" xr:uid="{ED87FDC5-9BBC-4CE4-947D-4F604BDAFDE3}"/>
    <cellStyle name="20% - Accent6 3 2 5 11" xfId="20398" xr:uid="{A138EE66-9E67-463A-A237-86C472DF5204}"/>
    <cellStyle name="20% - Accent6 3 2 5 12" xfId="22288" xr:uid="{5C6708E9-6CEA-426C-AF2C-12F4B626B2F9}"/>
    <cellStyle name="20% - Accent6 3 2 5 13" xfId="24178" xr:uid="{192D3765-CC14-4232-A444-CB3458950D75}"/>
    <cellStyle name="20% - Accent6 3 2 5 14" xfId="26068" xr:uid="{4889AE29-C564-461A-A3B0-A02FD460DEAE}"/>
    <cellStyle name="20% - Accent6 3 2 5 15" xfId="27958" xr:uid="{88FC5B48-7C81-4150-943A-FD828752C3E0}"/>
    <cellStyle name="20% - Accent6 3 2 5 16" xfId="29848" xr:uid="{41C91C51-C757-4E9A-A11F-7970BA9650E9}"/>
    <cellStyle name="20% - Accent6 3 2 5 17" xfId="31738" xr:uid="{D33DEB28-00CD-4A9B-9FF8-D05B47AA6576}"/>
    <cellStyle name="20% - Accent6 3 2 5 18" xfId="33628" xr:uid="{910A74E9-BAF3-47CB-954C-35C2A8413C31}"/>
    <cellStyle name="20% - Accent6 3 2 5 19" xfId="35518" xr:uid="{8C1996CB-6638-4BF4-942B-6C80D977FB47}"/>
    <cellStyle name="20% - Accent6 3 2 5 2" xfId="3388" xr:uid="{0974D013-D296-4CFC-8469-CA1DA30ACACA}"/>
    <cellStyle name="20% - Accent6 3 2 5 20" xfId="37408" xr:uid="{2D86E153-3DA9-4E1C-AB7C-60CBEBB9189A}"/>
    <cellStyle name="20% - Accent6 3 2 5 21" xfId="39298" xr:uid="{EF9CD435-E501-4D0E-9D32-C87841239442}"/>
    <cellStyle name="20% - Accent6 3 2 5 22" xfId="41189" xr:uid="{5878A86F-B3EE-445B-B6E8-6A1533C6E481}"/>
    <cellStyle name="20% - Accent6 3 2 5 3" xfId="5278" xr:uid="{AEF0F079-DCE3-46C8-AFB8-C319AE658126}"/>
    <cellStyle name="20% - Accent6 3 2 5 4" xfId="7168" xr:uid="{7EE22EB6-09BD-4885-B94A-5B7023D0BCD0}"/>
    <cellStyle name="20% - Accent6 3 2 5 5" xfId="9058" xr:uid="{C9EC420D-0AEC-45A2-B95D-D3A5C5733628}"/>
    <cellStyle name="20% - Accent6 3 2 5 6" xfId="10948" xr:uid="{DFC68BEC-F1F5-4014-800B-E03CE286762A}"/>
    <cellStyle name="20% - Accent6 3 2 5 7" xfId="12838" xr:uid="{038BF6C8-1B64-446F-B99C-5027D9C95B38}"/>
    <cellStyle name="20% - Accent6 3 2 5 8" xfId="14728" xr:uid="{2F96D3B7-5A73-48E5-9BF5-65365ACF60EC}"/>
    <cellStyle name="20% - Accent6 3 2 5 9" xfId="16618" xr:uid="{4A5E8E78-8CC4-4CE0-90A2-0FEAA3E3E89E}"/>
    <cellStyle name="20% - Accent6 3 2 6" xfId="2128" xr:uid="{B210D89D-5E79-436A-80F0-ED218433D2BB}"/>
    <cellStyle name="20% - Accent6 3 2 7" xfId="4018" xr:uid="{237BFB1A-7F56-4334-B799-71E44BF36DE0}"/>
    <cellStyle name="20% - Accent6 3 2 8" xfId="5908" xr:uid="{D6152F71-DEF8-41A3-988A-C6EAF691B1E1}"/>
    <cellStyle name="20% - Accent6 3 2 9" xfId="7798" xr:uid="{A14AF51B-9430-4263-8374-CD77BF16F254}"/>
    <cellStyle name="20% - Accent6 3 20" xfId="26593" xr:uid="{AA77ABE2-54F6-4542-B51C-A4D871151824}"/>
    <cellStyle name="20% - Accent6 3 21" xfId="28483" xr:uid="{BFEEB211-4332-4FB5-BF61-46A35C77691D}"/>
    <cellStyle name="20% - Accent6 3 22" xfId="30373" xr:uid="{2CE3C734-03EF-4DD4-96C1-C72874DC8ED0}"/>
    <cellStyle name="20% - Accent6 3 23" xfId="32263" xr:uid="{B07DED8B-6B22-4A50-8594-4B5175F44A3E}"/>
    <cellStyle name="20% - Accent6 3 24" xfId="34153" xr:uid="{53D58767-644F-4660-A5D5-803F023EFBD5}"/>
    <cellStyle name="20% - Accent6 3 25" xfId="36043" xr:uid="{71003AEE-CBA7-42CD-945E-EAE7D7103A50}"/>
    <cellStyle name="20% - Accent6 3 26" xfId="37933" xr:uid="{A2D8C439-7EB0-43A1-AC18-0103E25A75DB}"/>
    <cellStyle name="20% - Accent6 3 27" xfId="39824" xr:uid="{D5BD639C-CF49-419E-828F-D09720942D55}"/>
    <cellStyle name="20% - Accent6 3 3" xfId="343" xr:uid="{D6B33A66-2CEC-4F33-97F2-6C825F3FED66}"/>
    <cellStyle name="20% - Accent6 3 3 10" xfId="13573" xr:uid="{00A39846-9B0E-4F7A-BFED-586BFF5B6AE4}"/>
    <cellStyle name="20% - Accent6 3 3 11" xfId="15463" xr:uid="{073C4CF4-F1D7-4CDD-AD22-FDA156874FB8}"/>
    <cellStyle name="20% - Accent6 3 3 12" xfId="17353" xr:uid="{C6D90846-4EE2-4DD0-89C4-A1FC6B6EBBBE}"/>
    <cellStyle name="20% - Accent6 3 3 13" xfId="19243" xr:uid="{857F6152-C4D7-457B-A3DA-25021B288322}"/>
    <cellStyle name="20% - Accent6 3 3 14" xfId="21133" xr:uid="{D015D8D9-0A7E-426C-B11D-2DF1218A04F1}"/>
    <cellStyle name="20% - Accent6 3 3 15" xfId="23023" xr:uid="{274B185E-5325-4AB0-8FD5-35A7F0B55648}"/>
    <cellStyle name="20% - Accent6 3 3 16" xfId="24913" xr:uid="{07C5B7D1-F86E-4B18-814B-54585632BB0D}"/>
    <cellStyle name="20% - Accent6 3 3 17" xfId="26803" xr:uid="{1787A418-108E-4B63-AA1C-15668CFB5769}"/>
    <cellStyle name="20% - Accent6 3 3 18" xfId="28693" xr:uid="{E2574BC9-B916-4E79-A009-B5B0BCC4A3D6}"/>
    <cellStyle name="20% - Accent6 3 3 19" xfId="30583" xr:uid="{3FE10C0C-2644-4F41-BA94-F34E8AAC9001}"/>
    <cellStyle name="20% - Accent6 3 3 2" xfId="973" xr:uid="{26D19C69-E58A-4912-AF0F-BA1BA44187EA}"/>
    <cellStyle name="20% - Accent6 3 3 2 10" xfId="17983" xr:uid="{927A5DA8-6809-4137-9F57-208516956F96}"/>
    <cellStyle name="20% - Accent6 3 3 2 11" xfId="19873" xr:uid="{59AA039D-F900-44D2-8CA9-65CB56C63057}"/>
    <cellStyle name="20% - Accent6 3 3 2 12" xfId="21763" xr:uid="{858D23F2-6EBA-4395-845C-4FC96C4A091B}"/>
    <cellStyle name="20% - Accent6 3 3 2 13" xfId="23653" xr:uid="{03C4B2C2-A438-427A-B10B-64C60C3E95B1}"/>
    <cellStyle name="20% - Accent6 3 3 2 14" xfId="25543" xr:uid="{0517AF82-D042-4E75-A2C2-2184FF08CDBC}"/>
    <cellStyle name="20% - Accent6 3 3 2 15" xfId="27433" xr:uid="{8BAAF132-D194-4717-ADB6-4E7B71ADB7C7}"/>
    <cellStyle name="20% - Accent6 3 3 2 16" xfId="29323" xr:uid="{55C90598-2902-49AD-9EF3-BF759FAF0408}"/>
    <cellStyle name="20% - Accent6 3 3 2 17" xfId="31213" xr:uid="{346D6022-0A70-4A56-8EDE-5B443E415821}"/>
    <cellStyle name="20% - Accent6 3 3 2 18" xfId="33103" xr:uid="{B4111661-9F42-439B-8C8E-AB570A7C1E49}"/>
    <cellStyle name="20% - Accent6 3 3 2 19" xfId="34993" xr:uid="{B11A35DF-31F6-4D7B-B714-BB87EB330989}"/>
    <cellStyle name="20% - Accent6 3 3 2 2" xfId="2863" xr:uid="{7AA466F9-C7F2-4433-B3CD-8DFA621A4774}"/>
    <cellStyle name="20% - Accent6 3 3 2 20" xfId="36883" xr:uid="{2EDB772E-5B12-4897-A97F-7D5EE18C021C}"/>
    <cellStyle name="20% - Accent6 3 3 2 21" xfId="38773" xr:uid="{E8BC8AA1-653F-497D-88D0-0517C4F01291}"/>
    <cellStyle name="20% - Accent6 3 3 2 22" xfId="40664" xr:uid="{077EB1EA-634A-4E05-8D6A-6CB4E6B27B42}"/>
    <cellStyle name="20% - Accent6 3 3 2 3" xfId="4753" xr:uid="{AB91D945-1B36-41DF-8EF6-4F6F3B7B2A8A}"/>
    <cellStyle name="20% - Accent6 3 3 2 4" xfId="6643" xr:uid="{3D120FE7-BF3E-4F2A-BFB8-39AEC5749776}"/>
    <cellStyle name="20% - Accent6 3 3 2 5" xfId="8533" xr:uid="{15B37C33-8920-4460-A5DE-3AAD2A4A2DEF}"/>
    <cellStyle name="20% - Accent6 3 3 2 6" xfId="10423" xr:uid="{DE5C706D-B0AB-4967-B64A-FEC29F5384F8}"/>
    <cellStyle name="20% - Accent6 3 3 2 7" xfId="12313" xr:uid="{1ADAE53F-E3CE-4A56-922C-A129C92CAC07}"/>
    <cellStyle name="20% - Accent6 3 3 2 8" xfId="14203" xr:uid="{AC9EE269-B213-4C0A-9AB9-31EAF661AD18}"/>
    <cellStyle name="20% - Accent6 3 3 2 9" xfId="16093" xr:uid="{89624ECA-AD09-4C98-AA2A-635529C27424}"/>
    <cellStyle name="20% - Accent6 3 3 20" xfId="32473" xr:uid="{2FF9229A-39FF-40BF-9EA6-B75B38A213D1}"/>
    <cellStyle name="20% - Accent6 3 3 21" xfId="34363" xr:uid="{108E4DB8-801F-4B80-85B4-2C317DFED09A}"/>
    <cellStyle name="20% - Accent6 3 3 22" xfId="36253" xr:uid="{ED7175E8-AC77-46C7-9555-CA6D12345304}"/>
    <cellStyle name="20% - Accent6 3 3 23" xfId="38143" xr:uid="{30B9DB62-67DD-4385-8A31-1EBF37A1A157}"/>
    <cellStyle name="20% - Accent6 3 3 24" xfId="40034" xr:uid="{B566A882-6DD6-402E-B6F8-38652C678E66}"/>
    <cellStyle name="20% - Accent6 3 3 3" xfId="1603" xr:uid="{16D42E53-1ABB-4B34-A828-EA95D5044C58}"/>
    <cellStyle name="20% - Accent6 3 3 3 10" xfId="18613" xr:uid="{7BB336ED-4887-4D1D-B9F0-2918532A8212}"/>
    <cellStyle name="20% - Accent6 3 3 3 11" xfId="20503" xr:uid="{54E0C835-7506-4685-8369-035EF2B7A620}"/>
    <cellStyle name="20% - Accent6 3 3 3 12" xfId="22393" xr:uid="{CF9FF347-65C5-4B80-94A5-6B639870B0AE}"/>
    <cellStyle name="20% - Accent6 3 3 3 13" xfId="24283" xr:uid="{E936430C-1CAA-4830-96DE-76166BC4C6AB}"/>
    <cellStyle name="20% - Accent6 3 3 3 14" xfId="26173" xr:uid="{C64DEE8D-A4B6-4B35-9F5F-0596891425B2}"/>
    <cellStyle name="20% - Accent6 3 3 3 15" xfId="28063" xr:uid="{1293759D-9FD9-44C2-BBB5-958C5DD69BDB}"/>
    <cellStyle name="20% - Accent6 3 3 3 16" xfId="29953" xr:uid="{19CF1C80-7326-4139-98A8-464262D0B006}"/>
    <cellStyle name="20% - Accent6 3 3 3 17" xfId="31843" xr:uid="{6A59F1AB-CBFA-49EB-A453-A949437C9159}"/>
    <cellStyle name="20% - Accent6 3 3 3 18" xfId="33733" xr:uid="{4B546D05-60F2-40C5-ACB3-52FB1486E11E}"/>
    <cellStyle name="20% - Accent6 3 3 3 19" xfId="35623" xr:uid="{A145080C-C4E3-42EB-AD02-518C6DDAA5D9}"/>
    <cellStyle name="20% - Accent6 3 3 3 2" xfId="3493" xr:uid="{3940E0C6-B56A-4D32-A60E-5C3FE2E70AD8}"/>
    <cellStyle name="20% - Accent6 3 3 3 20" xfId="37513" xr:uid="{733305C7-B40A-4A2A-808F-CD2DD9BB96AC}"/>
    <cellStyle name="20% - Accent6 3 3 3 21" xfId="39403" xr:uid="{59DBCA27-A756-42A4-A3F7-B13F8EEAFDD2}"/>
    <cellStyle name="20% - Accent6 3 3 3 22" xfId="41294" xr:uid="{CA649344-9588-4A42-9721-853EF647F6C5}"/>
    <cellStyle name="20% - Accent6 3 3 3 3" xfId="5383" xr:uid="{884A5F51-D7AE-4D9B-A520-8381BE6830B9}"/>
    <cellStyle name="20% - Accent6 3 3 3 4" xfId="7273" xr:uid="{FA685C20-2A4D-4E50-90E3-39CD8DCB3515}"/>
    <cellStyle name="20% - Accent6 3 3 3 5" xfId="9163" xr:uid="{0461E608-AA32-4691-B800-9AD9CBF0371F}"/>
    <cellStyle name="20% - Accent6 3 3 3 6" xfId="11053" xr:uid="{40BC31AD-CD0F-49FD-807E-D7024ED4D0FA}"/>
    <cellStyle name="20% - Accent6 3 3 3 7" xfId="12943" xr:uid="{B36989E9-02DD-4ECE-ACEB-BF4CD55EF2D8}"/>
    <cellStyle name="20% - Accent6 3 3 3 8" xfId="14833" xr:uid="{609AB002-DC72-48E6-B023-54E633E091BC}"/>
    <cellStyle name="20% - Accent6 3 3 3 9" xfId="16723" xr:uid="{33AF41F9-928E-476A-8420-E2EFA618964A}"/>
    <cellStyle name="20% - Accent6 3 3 4" xfId="2233" xr:uid="{1E3F72E2-F729-45E8-9C18-E4148A4BF3D1}"/>
    <cellStyle name="20% - Accent6 3 3 5" xfId="4123" xr:uid="{A4C44179-6394-49FA-A307-A5DEB9FBA1CB}"/>
    <cellStyle name="20% - Accent6 3 3 6" xfId="6013" xr:uid="{644DE1F0-1209-4C18-AA52-FD98E829A291}"/>
    <cellStyle name="20% - Accent6 3 3 7" xfId="7903" xr:uid="{6F1090B0-7152-4CEB-87C4-7EB52A7F609C}"/>
    <cellStyle name="20% - Accent6 3 3 8" xfId="9793" xr:uid="{E7BBA1DA-EC1D-488F-B8ED-35BD9C3E33F6}"/>
    <cellStyle name="20% - Accent6 3 3 9" xfId="11683" xr:uid="{DD8EC75D-4FBB-40DB-ABAC-D6B6474FB096}"/>
    <cellStyle name="20% - Accent6 3 4" xfId="553" xr:uid="{B02B11E0-2F38-4238-8863-0ADC32BCE233}"/>
    <cellStyle name="20% - Accent6 3 4 10" xfId="13783" xr:uid="{15BAF33E-F963-425A-90FF-CDBC31C5B400}"/>
    <cellStyle name="20% - Accent6 3 4 11" xfId="15673" xr:uid="{43B6FF81-B9AF-462B-B8D8-F9399A6FE87B}"/>
    <cellStyle name="20% - Accent6 3 4 12" xfId="17563" xr:uid="{3C2E0278-B34D-4361-AB0D-38193618CEDE}"/>
    <cellStyle name="20% - Accent6 3 4 13" xfId="19453" xr:uid="{8B71C1EE-9FDB-4164-841C-EC3C2B806522}"/>
    <cellStyle name="20% - Accent6 3 4 14" xfId="21343" xr:uid="{0BF3B8B2-F6AA-4658-AA69-7E412CAB7FE7}"/>
    <cellStyle name="20% - Accent6 3 4 15" xfId="23233" xr:uid="{FF662128-38BF-4B5A-8D17-C506594B3B1F}"/>
    <cellStyle name="20% - Accent6 3 4 16" xfId="25123" xr:uid="{42A016EC-7F94-4767-826D-6285A5A24A23}"/>
    <cellStyle name="20% - Accent6 3 4 17" xfId="27013" xr:uid="{BDD57054-2F44-4FE4-9AD5-37C5AF7DB1BA}"/>
    <cellStyle name="20% - Accent6 3 4 18" xfId="28903" xr:uid="{1B8D58F5-E40F-47F4-B292-6D3D1BF177C7}"/>
    <cellStyle name="20% - Accent6 3 4 19" xfId="30793" xr:uid="{5D131BDE-956A-4F0F-88EE-81E7EC98F533}"/>
    <cellStyle name="20% - Accent6 3 4 2" xfId="1183" xr:uid="{FEFFD4AB-863C-4247-9D9D-D5C02986911A}"/>
    <cellStyle name="20% - Accent6 3 4 2 10" xfId="18193" xr:uid="{0D4ADE6F-868E-4D2E-84F7-B40C6495FA9E}"/>
    <cellStyle name="20% - Accent6 3 4 2 11" xfId="20083" xr:uid="{A1D8BE8E-A08F-4FB4-ABFC-07F11CEAD17B}"/>
    <cellStyle name="20% - Accent6 3 4 2 12" xfId="21973" xr:uid="{02E04DFF-2221-4285-A39A-06E9E2EB7D3E}"/>
    <cellStyle name="20% - Accent6 3 4 2 13" xfId="23863" xr:uid="{01553B33-8093-4028-847B-AB3B218DCEE7}"/>
    <cellStyle name="20% - Accent6 3 4 2 14" xfId="25753" xr:uid="{83E3105B-B084-479F-A432-0AB7DEBC2029}"/>
    <cellStyle name="20% - Accent6 3 4 2 15" xfId="27643" xr:uid="{8707BDA1-BF7B-4EAD-B7CC-D3E8524C0BFD}"/>
    <cellStyle name="20% - Accent6 3 4 2 16" xfId="29533" xr:uid="{7BB45BC2-35E9-4636-BB99-4D2C8CD9C30B}"/>
    <cellStyle name="20% - Accent6 3 4 2 17" xfId="31423" xr:uid="{ABC5B47F-6374-4532-B208-CE8FE5572074}"/>
    <cellStyle name="20% - Accent6 3 4 2 18" xfId="33313" xr:uid="{6247EEE6-3C2C-41D6-B298-C373D4F5CF84}"/>
    <cellStyle name="20% - Accent6 3 4 2 19" xfId="35203" xr:uid="{AD10B55E-6A0B-49E8-914B-D0558CA292F7}"/>
    <cellStyle name="20% - Accent6 3 4 2 2" xfId="3073" xr:uid="{2B277835-D972-464F-8998-56EAF148E7F3}"/>
    <cellStyle name="20% - Accent6 3 4 2 20" xfId="37093" xr:uid="{0C4B0120-764D-4394-8F44-2E3E2ECFF116}"/>
    <cellStyle name="20% - Accent6 3 4 2 21" xfId="38983" xr:uid="{40C159D8-9C2F-4DA3-BA9D-37DAE84F925C}"/>
    <cellStyle name="20% - Accent6 3 4 2 22" xfId="40874" xr:uid="{3DEFD74C-2735-4E6A-BCE5-B838DAADD59B}"/>
    <cellStyle name="20% - Accent6 3 4 2 3" xfId="4963" xr:uid="{0590E19B-3AA0-4112-A828-B3F503A0B4E3}"/>
    <cellStyle name="20% - Accent6 3 4 2 4" xfId="6853" xr:uid="{7B2B855A-9E8A-442D-9085-D9661CA4B2AF}"/>
    <cellStyle name="20% - Accent6 3 4 2 5" xfId="8743" xr:uid="{7009E6AC-6641-4224-98F5-CB64A0135AB4}"/>
    <cellStyle name="20% - Accent6 3 4 2 6" xfId="10633" xr:uid="{1249F9E5-2984-4183-B0DE-DD7141D33DE0}"/>
    <cellStyle name="20% - Accent6 3 4 2 7" xfId="12523" xr:uid="{2DDBBD44-A42F-4E57-8C8D-31245327EF7D}"/>
    <cellStyle name="20% - Accent6 3 4 2 8" xfId="14413" xr:uid="{C6D654E2-04ED-46F2-92E0-6CD859543743}"/>
    <cellStyle name="20% - Accent6 3 4 2 9" xfId="16303" xr:uid="{6C5C8848-469E-43BA-9266-D990354261A3}"/>
    <cellStyle name="20% - Accent6 3 4 20" xfId="32683" xr:uid="{DD1D8FF8-5FBA-41D5-B22D-788E6B35EEEF}"/>
    <cellStyle name="20% - Accent6 3 4 21" xfId="34573" xr:uid="{823C4416-13CE-4696-BC52-296FD92429C1}"/>
    <cellStyle name="20% - Accent6 3 4 22" xfId="36463" xr:uid="{CBEC3CD2-A582-4513-84A3-F9AF4C1D2988}"/>
    <cellStyle name="20% - Accent6 3 4 23" xfId="38353" xr:uid="{E507B071-240C-44CF-A2E3-D8C48123C437}"/>
    <cellStyle name="20% - Accent6 3 4 24" xfId="40244" xr:uid="{ECB6DEF8-C27D-4922-B911-B123B1146286}"/>
    <cellStyle name="20% - Accent6 3 4 3" xfId="1813" xr:uid="{6046E75E-266A-4628-A118-98CB7266B4C9}"/>
    <cellStyle name="20% - Accent6 3 4 3 10" xfId="18823" xr:uid="{8EF5E7CC-3667-4BD5-8545-0D8C2E4F6EA4}"/>
    <cellStyle name="20% - Accent6 3 4 3 11" xfId="20713" xr:uid="{91F4DCCA-230B-46A4-928D-F2EE9968579B}"/>
    <cellStyle name="20% - Accent6 3 4 3 12" xfId="22603" xr:uid="{F5E165F5-7361-4B02-9832-B4BFD34E46F9}"/>
    <cellStyle name="20% - Accent6 3 4 3 13" xfId="24493" xr:uid="{F768A892-F802-489E-BBB1-9163A6EDB3C5}"/>
    <cellStyle name="20% - Accent6 3 4 3 14" xfId="26383" xr:uid="{1850D96D-B58D-437F-ADDE-17892DCC1FBA}"/>
    <cellStyle name="20% - Accent6 3 4 3 15" xfId="28273" xr:uid="{4C0D57DC-E734-40EA-B2C7-5B2FFCB1A374}"/>
    <cellStyle name="20% - Accent6 3 4 3 16" xfId="30163" xr:uid="{B087FC69-F52A-492E-8284-72993F25B4FC}"/>
    <cellStyle name="20% - Accent6 3 4 3 17" xfId="32053" xr:uid="{0F8AC848-113E-4646-926C-A16280660AB6}"/>
    <cellStyle name="20% - Accent6 3 4 3 18" xfId="33943" xr:uid="{674F8B72-3590-48E2-AB53-5266F8EF4E66}"/>
    <cellStyle name="20% - Accent6 3 4 3 19" xfId="35833" xr:uid="{548A534B-494C-4A9C-8692-780BBBB450C3}"/>
    <cellStyle name="20% - Accent6 3 4 3 2" xfId="3703" xr:uid="{04CF131A-0AC8-4DE8-80B4-0E8B5D23903B}"/>
    <cellStyle name="20% - Accent6 3 4 3 20" xfId="37723" xr:uid="{A1B729B9-5C29-4794-AA38-462163FE6D7B}"/>
    <cellStyle name="20% - Accent6 3 4 3 21" xfId="39613" xr:uid="{B73ADE7B-DADD-49A9-A685-3A792E742E40}"/>
    <cellStyle name="20% - Accent6 3 4 3 22" xfId="41504" xr:uid="{19D08E86-D25B-4A8F-BE56-A3D050B1D428}"/>
    <cellStyle name="20% - Accent6 3 4 3 3" xfId="5593" xr:uid="{49F59827-5DA4-47DE-B668-C4B0B46D2520}"/>
    <cellStyle name="20% - Accent6 3 4 3 4" xfId="7483" xr:uid="{F758ECB5-5D00-470F-B260-C83BD7DA2DDB}"/>
    <cellStyle name="20% - Accent6 3 4 3 5" xfId="9373" xr:uid="{F0116FF2-6322-4398-BEF0-A9E64827894E}"/>
    <cellStyle name="20% - Accent6 3 4 3 6" xfId="11263" xr:uid="{3F0579C4-E02D-41CC-B61E-D470455EDF07}"/>
    <cellStyle name="20% - Accent6 3 4 3 7" xfId="13153" xr:uid="{7D3DE32A-3A23-413E-8F2E-A9F77AE35D21}"/>
    <cellStyle name="20% - Accent6 3 4 3 8" xfId="15043" xr:uid="{BA23FE67-E813-4E97-9DB3-FADA87AFBEA0}"/>
    <cellStyle name="20% - Accent6 3 4 3 9" xfId="16933" xr:uid="{3B29A42E-0790-4DE3-8389-755B32A17792}"/>
    <cellStyle name="20% - Accent6 3 4 4" xfId="2443" xr:uid="{F6165BE9-23BD-4F35-ADB2-63A91D5DC67D}"/>
    <cellStyle name="20% - Accent6 3 4 5" xfId="4333" xr:uid="{C43A7EAF-7EB2-42A9-BB8B-CAF73353FF7A}"/>
    <cellStyle name="20% - Accent6 3 4 6" xfId="6223" xr:uid="{58B5653C-5230-490C-8600-2992064C9B8C}"/>
    <cellStyle name="20% - Accent6 3 4 7" xfId="8113" xr:uid="{017E2A09-BBA2-4348-83F2-4E11110A30BE}"/>
    <cellStyle name="20% - Accent6 3 4 8" xfId="10003" xr:uid="{079D223B-9C3D-4398-9A5C-E97C3EFD18C1}"/>
    <cellStyle name="20% - Accent6 3 4 9" xfId="11893" xr:uid="{FA3C196D-08B2-4EF3-9239-7848AA1516F8}"/>
    <cellStyle name="20% - Accent6 3 5" xfId="763" xr:uid="{A9B6DDD7-9359-49CD-B991-565E7BCF0186}"/>
    <cellStyle name="20% - Accent6 3 5 10" xfId="17773" xr:uid="{BB891F5F-61FC-4640-ACB8-96F1E5927754}"/>
    <cellStyle name="20% - Accent6 3 5 11" xfId="19663" xr:uid="{F7C25983-E52B-40AA-B0B0-19C73FC5383A}"/>
    <cellStyle name="20% - Accent6 3 5 12" xfId="21553" xr:uid="{78A28416-B86F-4947-9732-38330F2E768E}"/>
    <cellStyle name="20% - Accent6 3 5 13" xfId="23443" xr:uid="{B63B9C6D-9D7D-4ABF-A1DC-E1EF9E94A795}"/>
    <cellStyle name="20% - Accent6 3 5 14" xfId="25333" xr:uid="{954E3D37-4AD3-449D-BBA4-43170C829C34}"/>
    <cellStyle name="20% - Accent6 3 5 15" xfId="27223" xr:uid="{29E1090E-3767-4ACE-9927-BDF89E32D531}"/>
    <cellStyle name="20% - Accent6 3 5 16" xfId="29113" xr:uid="{DFAD8AEE-BBBE-4141-825C-CF48238EC65E}"/>
    <cellStyle name="20% - Accent6 3 5 17" xfId="31003" xr:uid="{3CCFE6D2-F854-43B7-8A5E-AA11B4F007EB}"/>
    <cellStyle name="20% - Accent6 3 5 18" xfId="32893" xr:uid="{6A34A9AE-B398-4571-AAD5-0171935CD26E}"/>
    <cellStyle name="20% - Accent6 3 5 19" xfId="34783" xr:uid="{4E26B24B-D352-41DF-B9DE-7882EA4DBC55}"/>
    <cellStyle name="20% - Accent6 3 5 2" xfId="2653" xr:uid="{FF51849F-BE68-4DEE-8AF3-F100D9D340A9}"/>
    <cellStyle name="20% - Accent6 3 5 20" xfId="36673" xr:uid="{97E83D11-AF3A-48A0-8FE7-A33DB4BB4803}"/>
    <cellStyle name="20% - Accent6 3 5 21" xfId="38563" xr:uid="{B9A41532-C6D6-4FE9-869A-BCC147A40DB4}"/>
    <cellStyle name="20% - Accent6 3 5 22" xfId="40454" xr:uid="{55BC4B1A-AEFD-4F46-BD60-00E55EC255CC}"/>
    <cellStyle name="20% - Accent6 3 5 3" xfId="4543" xr:uid="{9B4DEC3C-1579-44E2-9F86-E3284BDBA4CD}"/>
    <cellStyle name="20% - Accent6 3 5 4" xfId="6433" xr:uid="{2C4ED0BB-B5C5-421D-9156-06EC56BED2C1}"/>
    <cellStyle name="20% - Accent6 3 5 5" xfId="8323" xr:uid="{9791D951-1191-4337-B40A-78B81757D26D}"/>
    <cellStyle name="20% - Accent6 3 5 6" xfId="10213" xr:uid="{03EE9E10-40B7-4D3E-A001-FBEC33EDB26E}"/>
    <cellStyle name="20% - Accent6 3 5 7" xfId="12103" xr:uid="{48AD6E1A-B162-4953-8C23-F165D1BCC5BC}"/>
    <cellStyle name="20% - Accent6 3 5 8" xfId="13993" xr:uid="{B1711796-809B-45A1-A483-1AF02C1D2B47}"/>
    <cellStyle name="20% - Accent6 3 5 9" xfId="15883" xr:uid="{58CE6919-65CD-46E4-986C-A4AF4A445668}"/>
    <cellStyle name="20% - Accent6 3 6" xfId="1393" xr:uid="{BFD7EB8A-DF58-471E-A150-9272F99A4DE7}"/>
    <cellStyle name="20% - Accent6 3 6 10" xfId="18403" xr:uid="{3D9C03AD-886A-4877-B74C-92FB9D3DC64C}"/>
    <cellStyle name="20% - Accent6 3 6 11" xfId="20293" xr:uid="{DDD5072B-A518-465D-92E4-F8A3B9097E3D}"/>
    <cellStyle name="20% - Accent6 3 6 12" xfId="22183" xr:uid="{C00FE64D-5DFE-4122-A2DC-A15454D1FA59}"/>
    <cellStyle name="20% - Accent6 3 6 13" xfId="24073" xr:uid="{A56CAA31-7C55-43C1-BB53-6040B59AC79A}"/>
    <cellStyle name="20% - Accent6 3 6 14" xfId="25963" xr:uid="{D74A9D69-30EC-474F-804F-4234234AA3F7}"/>
    <cellStyle name="20% - Accent6 3 6 15" xfId="27853" xr:uid="{08264AE5-9954-4DCD-AE68-833BE59BC06F}"/>
    <cellStyle name="20% - Accent6 3 6 16" xfId="29743" xr:uid="{DB258917-9A12-4D54-978E-5801B28EAE27}"/>
    <cellStyle name="20% - Accent6 3 6 17" xfId="31633" xr:uid="{52D99B1D-52DA-456C-8752-9A1803B96BBB}"/>
    <cellStyle name="20% - Accent6 3 6 18" xfId="33523" xr:uid="{8F34637F-C52A-450F-ACBC-318C85DA5BE7}"/>
    <cellStyle name="20% - Accent6 3 6 19" xfId="35413" xr:uid="{5EFFE066-2955-4520-9748-F38C29BF014E}"/>
    <cellStyle name="20% - Accent6 3 6 2" xfId="3283" xr:uid="{DBA2D2DA-EA5E-48B0-AB08-703777DB7BC2}"/>
    <cellStyle name="20% - Accent6 3 6 20" xfId="37303" xr:uid="{1137256F-1782-4E64-9D65-8CE4DC2F9C4C}"/>
    <cellStyle name="20% - Accent6 3 6 21" xfId="39193" xr:uid="{D3CC26B7-4B1B-4149-98B6-55534BB092DA}"/>
    <cellStyle name="20% - Accent6 3 6 22" xfId="41084" xr:uid="{A7E0B8AD-78E3-4871-A519-02D570FE6AD5}"/>
    <cellStyle name="20% - Accent6 3 6 3" xfId="5173" xr:uid="{EA4CE1F8-F570-4984-A6DE-8DB4D93D8676}"/>
    <cellStyle name="20% - Accent6 3 6 4" xfId="7063" xr:uid="{2DD68315-6AA2-4727-A516-4FA86B802721}"/>
    <cellStyle name="20% - Accent6 3 6 5" xfId="8953" xr:uid="{17CF4CCC-3ACE-4A6C-BCD1-802D5CAD84A3}"/>
    <cellStyle name="20% - Accent6 3 6 6" xfId="10843" xr:uid="{A591E426-8103-4D16-89AD-E2372BFEE76B}"/>
    <cellStyle name="20% - Accent6 3 6 7" xfId="12733" xr:uid="{2BAD9BC7-DD14-4939-9675-B961CDBBE4B8}"/>
    <cellStyle name="20% - Accent6 3 6 8" xfId="14623" xr:uid="{5682D666-7BF8-4935-8304-03427372FBBE}"/>
    <cellStyle name="20% - Accent6 3 6 9" xfId="16513" xr:uid="{BC055DD6-50E1-4839-9DBC-CD12C4800D74}"/>
    <cellStyle name="20% - Accent6 3 7" xfId="2023" xr:uid="{24194B8A-1AF3-41B9-8B74-B5E99D826192}"/>
    <cellStyle name="20% - Accent6 3 8" xfId="3913" xr:uid="{FB6137C0-9425-4477-A81A-CDB3E5A827F3}"/>
    <cellStyle name="20% - Accent6 3 9" xfId="5803" xr:uid="{371B6EDC-E941-45C2-BDB6-A086FD4FD516}"/>
    <cellStyle name="20% - Accent6 4" xfId="196" xr:uid="{699DC260-BB7F-4681-8FFE-902881BD229C}"/>
    <cellStyle name="20% - Accent6 4 10" xfId="9646" xr:uid="{CC453A5F-84BE-4568-8780-314E635C2F9C}"/>
    <cellStyle name="20% - Accent6 4 11" xfId="11536" xr:uid="{E6FC8986-8EF6-4505-BB58-35F7C9D29479}"/>
    <cellStyle name="20% - Accent6 4 12" xfId="13426" xr:uid="{B6470285-24D5-4D36-A569-04D04BEB13DA}"/>
    <cellStyle name="20% - Accent6 4 13" xfId="15316" xr:uid="{D9E5031B-4670-4F25-AF7A-3434F40D6B4E}"/>
    <cellStyle name="20% - Accent6 4 14" xfId="17206" xr:uid="{DAC6D648-AA11-4C53-A767-F5975E3A21A9}"/>
    <cellStyle name="20% - Accent6 4 15" xfId="19096" xr:uid="{5B496A58-8B7A-4BE0-92BD-AE9B22CEC997}"/>
    <cellStyle name="20% - Accent6 4 16" xfId="20986" xr:uid="{63CD8947-4879-4134-89D8-7EEDA303C059}"/>
    <cellStyle name="20% - Accent6 4 17" xfId="22876" xr:uid="{033EB89A-828E-461C-ABCF-8336586DB0D6}"/>
    <cellStyle name="20% - Accent6 4 18" xfId="24766" xr:uid="{AE654F7B-99D2-4A53-98B4-6F3106AB1726}"/>
    <cellStyle name="20% - Accent6 4 19" xfId="26656" xr:uid="{B86E0566-138D-43FA-AE5C-BD9C8373D174}"/>
    <cellStyle name="20% - Accent6 4 2" xfId="406" xr:uid="{9D41C0FF-49D5-48A6-87B7-EBEEDE6395F6}"/>
    <cellStyle name="20% - Accent6 4 2 10" xfId="13636" xr:uid="{657F3247-15A9-4FAF-AE84-305473D3B8FD}"/>
    <cellStyle name="20% - Accent6 4 2 11" xfId="15526" xr:uid="{A3EA268D-D240-41E8-B68C-6810021CE787}"/>
    <cellStyle name="20% - Accent6 4 2 12" xfId="17416" xr:uid="{A104E969-3B85-48B6-8DAE-BEBAB2C96C71}"/>
    <cellStyle name="20% - Accent6 4 2 13" xfId="19306" xr:uid="{B405885B-66E9-4380-BC54-A2DC5B1A7202}"/>
    <cellStyle name="20% - Accent6 4 2 14" xfId="21196" xr:uid="{DFA1B370-115B-4A9C-AC07-30A736960AB4}"/>
    <cellStyle name="20% - Accent6 4 2 15" xfId="23086" xr:uid="{28AFF4BF-D95B-4DDD-94FA-6775E153D566}"/>
    <cellStyle name="20% - Accent6 4 2 16" xfId="24976" xr:uid="{20510F12-C551-4037-BAF4-BC214681A116}"/>
    <cellStyle name="20% - Accent6 4 2 17" xfId="26866" xr:uid="{B5DE644C-6427-42E6-917B-838695A583CA}"/>
    <cellStyle name="20% - Accent6 4 2 18" xfId="28756" xr:uid="{FCE249CA-D917-4D7C-AF1C-28FF78BB5774}"/>
    <cellStyle name="20% - Accent6 4 2 19" xfId="30646" xr:uid="{D4F7F6CE-2FF7-43CF-871A-3C948A95C2E6}"/>
    <cellStyle name="20% - Accent6 4 2 2" xfId="1036" xr:uid="{4366ED1A-0B07-4D53-89C2-0A688226C951}"/>
    <cellStyle name="20% - Accent6 4 2 2 10" xfId="18046" xr:uid="{FF310CF4-E6E8-4D1E-90E9-2000DA24AAA4}"/>
    <cellStyle name="20% - Accent6 4 2 2 11" xfId="19936" xr:uid="{5C8104CD-5A0D-43B5-B32E-C705E462D5EF}"/>
    <cellStyle name="20% - Accent6 4 2 2 12" xfId="21826" xr:uid="{D15D8915-E141-4CCF-976A-9D5463957F15}"/>
    <cellStyle name="20% - Accent6 4 2 2 13" xfId="23716" xr:uid="{A817A5BA-E324-4DDB-90DF-340EA699BE95}"/>
    <cellStyle name="20% - Accent6 4 2 2 14" xfId="25606" xr:uid="{AF372F45-0F56-4F69-A1E7-5226BE9C2080}"/>
    <cellStyle name="20% - Accent6 4 2 2 15" xfId="27496" xr:uid="{5B1A2E3F-6EF7-453C-9F17-1D5131CB7192}"/>
    <cellStyle name="20% - Accent6 4 2 2 16" xfId="29386" xr:uid="{F8265AD2-41AB-4331-827F-91C083BEB676}"/>
    <cellStyle name="20% - Accent6 4 2 2 17" xfId="31276" xr:uid="{56127AF1-AC51-46EE-812C-F4D46E8D4CFE}"/>
    <cellStyle name="20% - Accent6 4 2 2 18" xfId="33166" xr:uid="{FA64362E-3384-4807-9F7A-778D5C104470}"/>
    <cellStyle name="20% - Accent6 4 2 2 19" xfId="35056" xr:uid="{263E6D60-40D8-4F18-9FA0-C603D26054BF}"/>
    <cellStyle name="20% - Accent6 4 2 2 2" xfId="2926" xr:uid="{67C38962-CDAC-4E5D-ACF7-AA3DA51DBC58}"/>
    <cellStyle name="20% - Accent6 4 2 2 20" xfId="36946" xr:uid="{0C6203A6-D843-4369-B780-0481F39B886B}"/>
    <cellStyle name="20% - Accent6 4 2 2 21" xfId="38836" xr:uid="{27E5A8DC-CD77-4ABE-B724-5B6FB329E8DD}"/>
    <cellStyle name="20% - Accent6 4 2 2 22" xfId="40727" xr:uid="{744DA256-A9DA-4500-9B4A-7A2C985859E1}"/>
    <cellStyle name="20% - Accent6 4 2 2 3" xfId="4816" xr:uid="{848E294F-77D9-4BCE-928C-BE3B2CB8D15D}"/>
    <cellStyle name="20% - Accent6 4 2 2 4" xfId="6706" xr:uid="{9B9E33DD-CBC0-4F3B-8095-9F750690DCDC}"/>
    <cellStyle name="20% - Accent6 4 2 2 5" xfId="8596" xr:uid="{B1D529FD-B5EF-40BA-A6D4-49BDDEC77FB4}"/>
    <cellStyle name="20% - Accent6 4 2 2 6" xfId="10486" xr:uid="{2BE96FE2-9C61-4FDE-BD6D-FF0B829077FA}"/>
    <cellStyle name="20% - Accent6 4 2 2 7" xfId="12376" xr:uid="{042666D5-D4C2-4CA0-93D7-5FB568F34B2A}"/>
    <cellStyle name="20% - Accent6 4 2 2 8" xfId="14266" xr:uid="{5E3052F9-D493-4082-A105-DCE926BB294B}"/>
    <cellStyle name="20% - Accent6 4 2 2 9" xfId="16156" xr:uid="{A668BF0C-4975-4853-BCDF-256033655F2E}"/>
    <cellStyle name="20% - Accent6 4 2 20" xfId="32536" xr:uid="{6BECED5B-C103-494B-B5F1-07821B827BA9}"/>
    <cellStyle name="20% - Accent6 4 2 21" xfId="34426" xr:uid="{4F8CE583-CF67-464D-9E63-61E116CE5604}"/>
    <cellStyle name="20% - Accent6 4 2 22" xfId="36316" xr:uid="{5074A079-652A-452A-9881-1805DA6BC4AA}"/>
    <cellStyle name="20% - Accent6 4 2 23" xfId="38206" xr:uid="{2176AA55-E519-416C-878D-EC40C3EB7A33}"/>
    <cellStyle name="20% - Accent6 4 2 24" xfId="40097" xr:uid="{33CB91C5-D78B-4078-86F3-C6F337DC3E68}"/>
    <cellStyle name="20% - Accent6 4 2 3" xfId="1666" xr:uid="{A6DA34CE-2099-4EDD-8297-DEEF46126424}"/>
    <cellStyle name="20% - Accent6 4 2 3 10" xfId="18676" xr:uid="{7BFF9A91-8CF5-4AD2-8CA1-7CA837C632B4}"/>
    <cellStyle name="20% - Accent6 4 2 3 11" xfId="20566" xr:uid="{187A9CBB-2882-466A-947B-4022B773FA8E}"/>
    <cellStyle name="20% - Accent6 4 2 3 12" xfId="22456" xr:uid="{691FDD68-FFB0-4689-8953-0B18AC63444D}"/>
    <cellStyle name="20% - Accent6 4 2 3 13" xfId="24346" xr:uid="{1BDB408A-97EA-4167-B6B4-C57A0601409C}"/>
    <cellStyle name="20% - Accent6 4 2 3 14" xfId="26236" xr:uid="{9E947E1B-0B17-441B-AE37-AB674058EC8E}"/>
    <cellStyle name="20% - Accent6 4 2 3 15" xfId="28126" xr:uid="{099B7D01-E9BE-49DA-B3FA-1D0A448E4F20}"/>
    <cellStyle name="20% - Accent6 4 2 3 16" xfId="30016" xr:uid="{57FFB827-BCDA-4099-B573-B62C2A7D37DB}"/>
    <cellStyle name="20% - Accent6 4 2 3 17" xfId="31906" xr:uid="{05915BC6-EDCD-4E6E-B638-F2AE634A2B4F}"/>
    <cellStyle name="20% - Accent6 4 2 3 18" xfId="33796" xr:uid="{CBFE69AA-CDCF-4FB9-836C-C67994EBB7E7}"/>
    <cellStyle name="20% - Accent6 4 2 3 19" xfId="35686" xr:uid="{6E11C4E0-7144-4C8B-832B-2FB2C92105C4}"/>
    <cellStyle name="20% - Accent6 4 2 3 2" xfId="3556" xr:uid="{74965420-3256-4320-A2BD-EA5A5AF82514}"/>
    <cellStyle name="20% - Accent6 4 2 3 20" xfId="37576" xr:uid="{A9E9370B-B01B-4DE0-9A42-18FC6EA0C869}"/>
    <cellStyle name="20% - Accent6 4 2 3 21" xfId="39466" xr:uid="{56BCE0F1-189F-41D3-B8F6-C57289900B26}"/>
    <cellStyle name="20% - Accent6 4 2 3 22" xfId="41357" xr:uid="{A4666B79-B7FD-40B8-A531-753125279179}"/>
    <cellStyle name="20% - Accent6 4 2 3 3" xfId="5446" xr:uid="{6D47A349-DA79-436B-91FF-6FB6F72F8819}"/>
    <cellStyle name="20% - Accent6 4 2 3 4" xfId="7336" xr:uid="{5464869A-840A-4782-AF14-6E3E5ED55999}"/>
    <cellStyle name="20% - Accent6 4 2 3 5" xfId="9226" xr:uid="{46B95ADC-740C-45A2-BEB6-191CF36D8AFB}"/>
    <cellStyle name="20% - Accent6 4 2 3 6" xfId="11116" xr:uid="{8EBBE57A-1FC8-42DD-9FC8-F8D328707640}"/>
    <cellStyle name="20% - Accent6 4 2 3 7" xfId="13006" xr:uid="{DEDB959A-354D-4E0C-B739-15FC4C4461CB}"/>
    <cellStyle name="20% - Accent6 4 2 3 8" xfId="14896" xr:uid="{A76BE994-8AE6-4F39-9767-3CEC9B31E8C9}"/>
    <cellStyle name="20% - Accent6 4 2 3 9" xfId="16786" xr:uid="{22EE484D-75D1-484E-9F44-FE6092BD5A37}"/>
    <cellStyle name="20% - Accent6 4 2 4" xfId="2296" xr:uid="{850EBB26-ABF9-4780-934E-990A51D97CBB}"/>
    <cellStyle name="20% - Accent6 4 2 5" xfId="4186" xr:uid="{1A4969FC-15A8-4CE3-97CA-2F3AC509B3D2}"/>
    <cellStyle name="20% - Accent6 4 2 6" xfId="6076" xr:uid="{D62435A0-77D1-41A4-A81C-9878BF60B38D}"/>
    <cellStyle name="20% - Accent6 4 2 7" xfId="7966" xr:uid="{6ACBA308-EAD8-4171-854D-F1C98F65B313}"/>
    <cellStyle name="20% - Accent6 4 2 8" xfId="9856" xr:uid="{F4CFC7A0-D664-4974-A846-541C92ABB0AE}"/>
    <cellStyle name="20% - Accent6 4 2 9" xfId="11746" xr:uid="{8AFF204F-7915-4C9B-B61B-872C76D2B539}"/>
    <cellStyle name="20% - Accent6 4 20" xfId="28546" xr:uid="{506406A3-CCDD-4C3D-9270-382CC7DEB243}"/>
    <cellStyle name="20% - Accent6 4 21" xfId="30436" xr:uid="{8DA4C869-AF33-487C-A17A-E4FE645CBDE1}"/>
    <cellStyle name="20% - Accent6 4 22" xfId="32326" xr:uid="{B77BD04F-8193-4D92-9776-5841629194AF}"/>
    <cellStyle name="20% - Accent6 4 23" xfId="34216" xr:uid="{503A6688-B80F-4DFB-91AF-279D65AC66C6}"/>
    <cellStyle name="20% - Accent6 4 24" xfId="36106" xr:uid="{3EF5E2F1-69F1-42A0-AEDF-C31E92E53F82}"/>
    <cellStyle name="20% - Accent6 4 25" xfId="37996" xr:uid="{19629B54-C8E0-4D6D-AABB-3E86AF5B186E}"/>
    <cellStyle name="20% - Accent6 4 26" xfId="39887" xr:uid="{9C535D64-AED0-4E80-93EF-0B5ABFC98E09}"/>
    <cellStyle name="20% - Accent6 4 3" xfId="616" xr:uid="{77C421B0-5D30-4577-9865-DF9610F1A8E8}"/>
    <cellStyle name="20% - Accent6 4 3 10" xfId="13846" xr:uid="{3DED1CF1-ACB3-4672-8B31-7ED489BCA441}"/>
    <cellStyle name="20% - Accent6 4 3 11" xfId="15736" xr:uid="{89509855-66F9-4F6A-BB3E-76DCBF811335}"/>
    <cellStyle name="20% - Accent6 4 3 12" xfId="17626" xr:uid="{A88BBD19-1066-49AB-A1FA-4A373895997C}"/>
    <cellStyle name="20% - Accent6 4 3 13" xfId="19516" xr:uid="{AFAE408C-798F-4A09-8EA2-22EB2792E6FB}"/>
    <cellStyle name="20% - Accent6 4 3 14" xfId="21406" xr:uid="{B4B2DB48-C0EF-411B-9B9E-05A298F73742}"/>
    <cellStyle name="20% - Accent6 4 3 15" xfId="23296" xr:uid="{073B03D5-5907-424F-89A7-B1E152F161B6}"/>
    <cellStyle name="20% - Accent6 4 3 16" xfId="25186" xr:uid="{736C3BB3-1E26-4F11-B817-C60E3F6E77A8}"/>
    <cellStyle name="20% - Accent6 4 3 17" xfId="27076" xr:uid="{89911D25-CCEB-4D0C-B130-BFECF80B5EC2}"/>
    <cellStyle name="20% - Accent6 4 3 18" xfId="28966" xr:uid="{0712B478-D48E-4460-9AA6-82089CA8FEB5}"/>
    <cellStyle name="20% - Accent6 4 3 19" xfId="30856" xr:uid="{200A9D43-7906-46E3-80B9-7816456C12AA}"/>
    <cellStyle name="20% - Accent6 4 3 2" xfId="1246" xr:uid="{78A468DE-F98C-4243-BC8C-7A87C28F1548}"/>
    <cellStyle name="20% - Accent6 4 3 2 10" xfId="18256" xr:uid="{97F27E5B-5175-4F6F-A3F9-402E11E69111}"/>
    <cellStyle name="20% - Accent6 4 3 2 11" xfId="20146" xr:uid="{FC33118D-7C30-4CAB-A39B-18C66A0A50B2}"/>
    <cellStyle name="20% - Accent6 4 3 2 12" xfId="22036" xr:uid="{071611A3-1D91-4799-B9AD-2EEC737B5FB9}"/>
    <cellStyle name="20% - Accent6 4 3 2 13" xfId="23926" xr:uid="{DEE44C97-82BA-424E-A64F-E4A0CEDE5640}"/>
    <cellStyle name="20% - Accent6 4 3 2 14" xfId="25816" xr:uid="{832B3DEA-F226-40E2-9CAC-525576552E49}"/>
    <cellStyle name="20% - Accent6 4 3 2 15" xfId="27706" xr:uid="{FFE50CE4-07E0-44BD-9533-1911043B0FFF}"/>
    <cellStyle name="20% - Accent6 4 3 2 16" xfId="29596" xr:uid="{B0AE0091-DA80-44B8-B397-D448DBBCBC4F}"/>
    <cellStyle name="20% - Accent6 4 3 2 17" xfId="31486" xr:uid="{1421FD5B-CCDF-44B9-9577-1309B582D7EF}"/>
    <cellStyle name="20% - Accent6 4 3 2 18" xfId="33376" xr:uid="{721967F4-F38A-4743-ABF4-2CEEAECB5075}"/>
    <cellStyle name="20% - Accent6 4 3 2 19" xfId="35266" xr:uid="{C59D6D32-B421-434C-B857-53F213953624}"/>
    <cellStyle name="20% - Accent6 4 3 2 2" xfId="3136" xr:uid="{B80B4800-2B89-425B-99D6-A75EDF206DF9}"/>
    <cellStyle name="20% - Accent6 4 3 2 20" xfId="37156" xr:uid="{792B9675-0D88-488D-9626-355FD44D58E4}"/>
    <cellStyle name="20% - Accent6 4 3 2 21" xfId="39046" xr:uid="{839CBEE9-5A83-4302-AB48-0B7CAEB2F1AD}"/>
    <cellStyle name="20% - Accent6 4 3 2 22" xfId="40937" xr:uid="{29C188F5-54FD-4A65-A53A-311BC34181F9}"/>
    <cellStyle name="20% - Accent6 4 3 2 3" xfId="5026" xr:uid="{D0B1032D-8C53-4D5A-A6B6-04621E89E867}"/>
    <cellStyle name="20% - Accent6 4 3 2 4" xfId="6916" xr:uid="{F09154DE-A148-46DB-82D6-50FAC8E17E11}"/>
    <cellStyle name="20% - Accent6 4 3 2 5" xfId="8806" xr:uid="{406B2967-3B5A-47E3-A240-1C24A5C6DCF5}"/>
    <cellStyle name="20% - Accent6 4 3 2 6" xfId="10696" xr:uid="{69C8141F-CA8B-4F8A-91F9-C7628A14255B}"/>
    <cellStyle name="20% - Accent6 4 3 2 7" xfId="12586" xr:uid="{835FA70F-9E2A-4874-8099-A82224552B90}"/>
    <cellStyle name="20% - Accent6 4 3 2 8" xfId="14476" xr:uid="{296C3E27-DE9D-4300-A508-08576B18E4E0}"/>
    <cellStyle name="20% - Accent6 4 3 2 9" xfId="16366" xr:uid="{343D2CBF-5125-46F1-B5B6-A66CC344E224}"/>
    <cellStyle name="20% - Accent6 4 3 20" xfId="32746" xr:uid="{A504F614-E658-4FF2-BF4A-98DD24B02979}"/>
    <cellStyle name="20% - Accent6 4 3 21" xfId="34636" xr:uid="{24082CBE-FBB4-4C55-8477-B1A9D52517B3}"/>
    <cellStyle name="20% - Accent6 4 3 22" xfId="36526" xr:uid="{55964633-F65C-4289-8FB3-6EDC5E8E740B}"/>
    <cellStyle name="20% - Accent6 4 3 23" xfId="38416" xr:uid="{16FE684F-2BCF-412A-B739-BE023A893E69}"/>
    <cellStyle name="20% - Accent6 4 3 24" xfId="40307" xr:uid="{64CBC913-4656-4E49-8B9D-B80D9BC4DA0C}"/>
    <cellStyle name="20% - Accent6 4 3 3" xfId="1876" xr:uid="{A7EF92BC-3708-42A9-B1E9-3E16E24D0BFE}"/>
    <cellStyle name="20% - Accent6 4 3 3 10" xfId="18886" xr:uid="{A139255A-D4C8-4468-B6E7-63A9B4496BBF}"/>
    <cellStyle name="20% - Accent6 4 3 3 11" xfId="20776" xr:uid="{80A6D6C9-E7DB-40A6-9D64-281E34CAF28E}"/>
    <cellStyle name="20% - Accent6 4 3 3 12" xfId="22666" xr:uid="{466C4FF3-12AC-4CBD-94B9-D38BB547A556}"/>
    <cellStyle name="20% - Accent6 4 3 3 13" xfId="24556" xr:uid="{7E032BC8-5907-4245-AA23-9E65FFA5E78B}"/>
    <cellStyle name="20% - Accent6 4 3 3 14" xfId="26446" xr:uid="{270BFA72-DFA2-403D-BF84-DD1AEE2A78B9}"/>
    <cellStyle name="20% - Accent6 4 3 3 15" xfId="28336" xr:uid="{ED5F6362-6D24-410D-B622-46DD3C0C59FE}"/>
    <cellStyle name="20% - Accent6 4 3 3 16" xfId="30226" xr:uid="{3BECF438-230C-45C7-A79F-706160FEDFD1}"/>
    <cellStyle name="20% - Accent6 4 3 3 17" xfId="32116" xr:uid="{3F08597A-1F9A-4EC6-B163-3A54E050DF09}"/>
    <cellStyle name="20% - Accent6 4 3 3 18" xfId="34006" xr:uid="{990368A4-D14A-4476-98E9-A0C5CDD7FAD5}"/>
    <cellStyle name="20% - Accent6 4 3 3 19" xfId="35896" xr:uid="{FC3D47B0-7D56-431A-A1E4-7CDCFAFE1CA3}"/>
    <cellStyle name="20% - Accent6 4 3 3 2" xfId="3766" xr:uid="{834DD9DD-E6C3-4146-AA93-2F2F73D8EE8A}"/>
    <cellStyle name="20% - Accent6 4 3 3 20" xfId="37786" xr:uid="{E371131C-B8E4-4D2A-8418-31C4E374A5B9}"/>
    <cellStyle name="20% - Accent6 4 3 3 21" xfId="39676" xr:uid="{F5AFF60E-52DA-4508-A27B-2021629F7ADE}"/>
    <cellStyle name="20% - Accent6 4 3 3 22" xfId="41567" xr:uid="{9219EE4F-238C-47CB-B75B-FC0CE5BE4744}"/>
    <cellStyle name="20% - Accent6 4 3 3 3" xfId="5656" xr:uid="{CDA2C114-2665-41F7-A6CE-BDDF5141C29E}"/>
    <cellStyle name="20% - Accent6 4 3 3 4" xfId="7546" xr:uid="{899E31FA-C420-4831-BBC2-C016BD250BD5}"/>
    <cellStyle name="20% - Accent6 4 3 3 5" xfId="9436" xr:uid="{B6F9EBBB-90F6-43CC-826E-AD2376709E45}"/>
    <cellStyle name="20% - Accent6 4 3 3 6" xfId="11326" xr:uid="{A4A7EFC9-B9AB-42D0-A8A9-07CA257F1551}"/>
    <cellStyle name="20% - Accent6 4 3 3 7" xfId="13216" xr:uid="{81C8FC93-9106-4F30-BFD4-77BE98BB3580}"/>
    <cellStyle name="20% - Accent6 4 3 3 8" xfId="15106" xr:uid="{C941D010-FA82-40E1-BE70-EC4E9B3265F3}"/>
    <cellStyle name="20% - Accent6 4 3 3 9" xfId="16996" xr:uid="{017352BE-9B2B-4015-A2D2-AAE1BF51ED8D}"/>
    <cellStyle name="20% - Accent6 4 3 4" xfId="2506" xr:uid="{5801AC0E-CA37-4070-8A88-A05A5BBCE6DF}"/>
    <cellStyle name="20% - Accent6 4 3 5" xfId="4396" xr:uid="{9973A715-4697-437A-A299-C256F4903E8D}"/>
    <cellStyle name="20% - Accent6 4 3 6" xfId="6286" xr:uid="{5F40B5ED-ED93-4E6B-8A00-F091A5E143B8}"/>
    <cellStyle name="20% - Accent6 4 3 7" xfId="8176" xr:uid="{87A3568B-F5F6-467C-827F-396539D2A672}"/>
    <cellStyle name="20% - Accent6 4 3 8" xfId="10066" xr:uid="{B6CE6A62-CB0C-4D48-B244-03129CF15619}"/>
    <cellStyle name="20% - Accent6 4 3 9" xfId="11956" xr:uid="{E51E1D9B-0161-4DFE-AFDB-78F350BDF252}"/>
    <cellStyle name="20% - Accent6 4 4" xfId="826" xr:uid="{D774712C-C140-4C1C-A6ED-31BECD3E3D23}"/>
    <cellStyle name="20% - Accent6 4 4 10" xfId="17836" xr:uid="{A872A95D-38B5-4844-85CE-5DD97C61D6B2}"/>
    <cellStyle name="20% - Accent6 4 4 11" xfId="19726" xr:uid="{64C47E41-A7E2-41A8-A796-1B061C4F5352}"/>
    <cellStyle name="20% - Accent6 4 4 12" xfId="21616" xr:uid="{E9B256C2-4992-457F-A921-A529EE4D6F4C}"/>
    <cellStyle name="20% - Accent6 4 4 13" xfId="23506" xr:uid="{EE067826-620D-49BB-93A8-FB3FA3AF5327}"/>
    <cellStyle name="20% - Accent6 4 4 14" xfId="25396" xr:uid="{0CA535C1-B901-4949-878D-509BACFC2CDC}"/>
    <cellStyle name="20% - Accent6 4 4 15" xfId="27286" xr:uid="{67796756-0965-4860-816B-9C59B2BCA0BE}"/>
    <cellStyle name="20% - Accent6 4 4 16" xfId="29176" xr:uid="{7813BF8B-F847-4422-BBF6-AF92E8268AE6}"/>
    <cellStyle name="20% - Accent6 4 4 17" xfId="31066" xr:uid="{2B440D5A-D452-4F3D-A0F3-7CA56AD91945}"/>
    <cellStyle name="20% - Accent6 4 4 18" xfId="32956" xr:uid="{A75589FF-A7DA-4FBC-B30B-F3729F3AEADA}"/>
    <cellStyle name="20% - Accent6 4 4 19" xfId="34846" xr:uid="{B6EF2633-0BEB-44FE-8210-1A56155D424B}"/>
    <cellStyle name="20% - Accent6 4 4 2" xfId="2716" xr:uid="{EF495E2F-81E7-475A-9379-7735ED3C9D15}"/>
    <cellStyle name="20% - Accent6 4 4 20" xfId="36736" xr:uid="{4AB60711-5BA3-417E-A986-801B0542F760}"/>
    <cellStyle name="20% - Accent6 4 4 21" xfId="38626" xr:uid="{B3869EC6-1246-45AC-8232-45830682B7F3}"/>
    <cellStyle name="20% - Accent6 4 4 22" xfId="40517" xr:uid="{0B859445-8435-4645-8A71-589CCF01D6FC}"/>
    <cellStyle name="20% - Accent6 4 4 3" xfId="4606" xr:uid="{246A79D0-FBBB-4181-8A2D-C92E966BE015}"/>
    <cellStyle name="20% - Accent6 4 4 4" xfId="6496" xr:uid="{404021D0-00C5-486F-867F-9FC8728FF13F}"/>
    <cellStyle name="20% - Accent6 4 4 5" xfId="8386" xr:uid="{0A981532-BB80-4B2A-9C43-D111C03F0F40}"/>
    <cellStyle name="20% - Accent6 4 4 6" xfId="10276" xr:uid="{65C7667E-EA5D-4EB6-AADC-95A8615C029E}"/>
    <cellStyle name="20% - Accent6 4 4 7" xfId="12166" xr:uid="{ECD0B128-1909-49A3-ABC0-23AE2DF116C0}"/>
    <cellStyle name="20% - Accent6 4 4 8" xfId="14056" xr:uid="{CC9DFF13-009B-469D-8CBC-0B5E255B9CFB}"/>
    <cellStyle name="20% - Accent6 4 4 9" xfId="15946" xr:uid="{1C55030F-D145-4760-A7FC-F837EA817E06}"/>
    <cellStyle name="20% - Accent6 4 5" xfId="1456" xr:uid="{FC10B72B-CA6B-4AAB-8F3D-DD27C5CAECE3}"/>
    <cellStyle name="20% - Accent6 4 5 10" xfId="18466" xr:uid="{602E1F31-4CE8-41CC-8473-0E3FCA206A3E}"/>
    <cellStyle name="20% - Accent6 4 5 11" xfId="20356" xr:uid="{725CC185-035A-46C2-90D8-8CAAF4B88979}"/>
    <cellStyle name="20% - Accent6 4 5 12" xfId="22246" xr:uid="{7113A1EB-86EA-4FE3-8AA5-268AFB8641F5}"/>
    <cellStyle name="20% - Accent6 4 5 13" xfId="24136" xr:uid="{DF2B756E-C957-4D34-B655-9BED090E5EF2}"/>
    <cellStyle name="20% - Accent6 4 5 14" xfId="26026" xr:uid="{4A6C6801-1499-445B-8E1E-07A519981CA1}"/>
    <cellStyle name="20% - Accent6 4 5 15" xfId="27916" xr:uid="{9CBB97CC-FEAC-4DBB-85A3-B327505EBFF7}"/>
    <cellStyle name="20% - Accent6 4 5 16" xfId="29806" xr:uid="{BF7A5ECE-F8D1-46F3-95CC-BCFA6546DFC8}"/>
    <cellStyle name="20% - Accent6 4 5 17" xfId="31696" xr:uid="{84D8C8C2-C94B-4678-9D0A-51E4F0E99318}"/>
    <cellStyle name="20% - Accent6 4 5 18" xfId="33586" xr:uid="{7C89A7B6-BD91-4482-8A4D-B11A1757CF1A}"/>
    <cellStyle name="20% - Accent6 4 5 19" xfId="35476" xr:uid="{4002A3BE-2106-4FB8-B5CB-1E43BC631CB8}"/>
    <cellStyle name="20% - Accent6 4 5 2" xfId="3346" xr:uid="{A9E88931-8992-4A78-AFF1-E898FDC137E4}"/>
    <cellStyle name="20% - Accent6 4 5 20" xfId="37366" xr:uid="{3DE02294-8857-4E66-8BAC-F3237FBA4235}"/>
    <cellStyle name="20% - Accent6 4 5 21" xfId="39256" xr:uid="{629230EE-E544-4294-BE99-0C1D858E1133}"/>
    <cellStyle name="20% - Accent6 4 5 22" xfId="41147" xr:uid="{F7E280FD-FEAB-4157-8816-45E3DFC01A57}"/>
    <cellStyle name="20% - Accent6 4 5 3" xfId="5236" xr:uid="{A3312823-59D5-4E5A-AA0D-40B9448FEAF4}"/>
    <cellStyle name="20% - Accent6 4 5 4" xfId="7126" xr:uid="{3B4BD57D-2214-4909-B5C6-4E716FC1F451}"/>
    <cellStyle name="20% - Accent6 4 5 5" xfId="9016" xr:uid="{86575EC8-CCAB-4339-ADBF-412D84F28823}"/>
    <cellStyle name="20% - Accent6 4 5 6" xfId="10906" xr:uid="{9AF826C9-D319-4CA6-A07E-EA317A20E75F}"/>
    <cellStyle name="20% - Accent6 4 5 7" xfId="12796" xr:uid="{6846AD07-A9C5-4353-B775-22CE654CA935}"/>
    <cellStyle name="20% - Accent6 4 5 8" xfId="14686" xr:uid="{0DD59471-8B81-4832-A597-9209E43D1FD3}"/>
    <cellStyle name="20% - Accent6 4 5 9" xfId="16576" xr:uid="{F90C4DFF-C19A-4A99-960F-FF44B3B80D88}"/>
    <cellStyle name="20% - Accent6 4 6" xfId="2086" xr:uid="{6F8D7790-62CC-4E21-80E6-D1F54AE59091}"/>
    <cellStyle name="20% - Accent6 4 7" xfId="3976" xr:uid="{B2F19AFD-E711-4793-BD8D-A70F145CFE63}"/>
    <cellStyle name="20% - Accent6 4 8" xfId="5866" xr:uid="{2CA59710-B1BB-4DEB-AAB1-EC62194C3308}"/>
    <cellStyle name="20% - Accent6 4 9" xfId="7756" xr:uid="{C3CE35E0-AC80-469D-B9F3-B28CDE9F95F4}"/>
    <cellStyle name="20% - Accent6 5" xfId="301" xr:uid="{A4297E2F-1150-404F-AADD-F384B2779BBB}"/>
    <cellStyle name="20% - Accent6 5 10" xfId="13531" xr:uid="{9A2A0D47-A6BB-4CB3-8388-A40FED341184}"/>
    <cellStyle name="20% - Accent6 5 11" xfId="15421" xr:uid="{9B8AAD8D-68F2-4896-B085-7A1DE12C13E5}"/>
    <cellStyle name="20% - Accent6 5 12" xfId="17311" xr:uid="{40F1D2A3-11B8-4E79-888D-EB50A517A7B2}"/>
    <cellStyle name="20% - Accent6 5 13" xfId="19201" xr:uid="{3EC1C034-A68B-4BB9-9F1E-D3A97CD08E0F}"/>
    <cellStyle name="20% - Accent6 5 14" xfId="21091" xr:uid="{5F5DAA26-9ACB-4BB1-89F8-6494EA3E6EDF}"/>
    <cellStyle name="20% - Accent6 5 15" xfId="22981" xr:uid="{F4E38732-BC23-4919-B4F6-FF9F9D756C9C}"/>
    <cellStyle name="20% - Accent6 5 16" xfId="24871" xr:uid="{7679811B-3617-4B95-882C-88FE8D3E1EAE}"/>
    <cellStyle name="20% - Accent6 5 17" xfId="26761" xr:uid="{21B1FA1C-590D-4F6E-B429-3965CA85D8DD}"/>
    <cellStyle name="20% - Accent6 5 18" xfId="28651" xr:uid="{90764C95-1DC6-4EAA-93C4-E392DEE2A079}"/>
    <cellStyle name="20% - Accent6 5 19" xfId="30541" xr:uid="{02FF340B-814E-4FCF-98B0-FB845854D581}"/>
    <cellStyle name="20% - Accent6 5 2" xfId="931" xr:uid="{278B0151-8F37-40B6-870E-F7EC5FA1FE8B}"/>
    <cellStyle name="20% - Accent6 5 2 10" xfId="17941" xr:uid="{92558EC6-1A7A-4BDD-90D2-C69830A6E60F}"/>
    <cellStyle name="20% - Accent6 5 2 11" xfId="19831" xr:uid="{F797F593-DB14-4C4C-A5EF-E466F292157C}"/>
    <cellStyle name="20% - Accent6 5 2 12" xfId="21721" xr:uid="{2040034A-BE21-4F39-AD89-E482BEC2139D}"/>
    <cellStyle name="20% - Accent6 5 2 13" xfId="23611" xr:uid="{41829717-44C5-478F-9832-6CE94EE0FDA7}"/>
    <cellStyle name="20% - Accent6 5 2 14" xfId="25501" xr:uid="{9736F2CD-AAB7-4501-BFA0-3A86150B3779}"/>
    <cellStyle name="20% - Accent6 5 2 15" xfId="27391" xr:uid="{B69E9692-0ADE-46BC-9A57-DB6372F91B42}"/>
    <cellStyle name="20% - Accent6 5 2 16" xfId="29281" xr:uid="{E92F8C29-C271-4678-8B0F-D05A7687A1A3}"/>
    <cellStyle name="20% - Accent6 5 2 17" xfId="31171" xr:uid="{AAE5CD2F-BD86-4DF4-BBA0-D62F275331DA}"/>
    <cellStyle name="20% - Accent6 5 2 18" xfId="33061" xr:uid="{1841A177-2A3C-47B8-BE81-E5B538B93638}"/>
    <cellStyle name="20% - Accent6 5 2 19" xfId="34951" xr:uid="{C8600FDA-D375-49EA-85E3-DED4FF0D43DC}"/>
    <cellStyle name="20% - Accent6 5 2 2" xfId="2821" xr:uid="{D36000FC-C70E-463E-93AF-D4645E63AF3E}"/>
    <cellStyle name="20% - Accent6 5 2 20" xfId="36841" xr:uid="{4C0319CD-4CE5-46DD-BA99-D98E5459E7E5}"/>
    <cellStyle name="20% - Accent6 5 2 21" xfId="38731" xr:uid="{11DDA616-117C-4416-9EFE-1EF006A835C1}"/>
    <cellStyle name="20% - Accent6 5 2 22" xfId="40622" xr:uid="{349F5641-3B70-4DD4-AD71-729FF6436E89}"/>
    <cellStyle name="20% - Accent6 5 2 3" xfId="4711" xr:uid="{7B52E9DF-71B0-4E25-85BC-CE470A964898}"/>
    <cellStyle name="20% - Accent6 5 2 4" xfId="6601" xr:uid="{97A099AD-0F5F-4B05-8F96-8E73AE53EBE6}"/>
    <cellStyle name="20% - Accent6 5 2 5" xfId="8491" xr:uid="{E0006F45-E768-4CDF-AB6D-9B583830387D}"/>
    <cellStyle name="20% - Accent6 5 2 6" xfId="10381" xr:uid="{E5B19773-E60F-410D-B9C8-8964FB60CAD0}"/>
    <cellStyle name="20% - Accent6 5 2 7" xfId="12271" xr:uid="{9D0A4836-3898-4F22-BB7C-F27C22E43974}"/>
    <cellStyle name="20% - Accent6 5 2 8" xfId="14161" xr:uid="{1747DCA5-ECAF-4ABC-93DE-92A740D3806B}"/>
    <cellStyle name="20% - Accent6 5 2 9" xfId="16051" xr:uid="{CC0983D4-07A0-4641-8ABE-1CEFB515A368}"/>
    <cellStyle name="20% - Accent6 5 20" xfId="32431" xr:uid="{306559DA-E826-4C42-8C2E-C329974B6B81}"/>
    <cellStyle name="20% - Accent6 5 21" xfId="34321" xr:uid="{A2FF2611-1D04-42EC-9541-FD1A33C8AE6A}"/>
    <cellStyle name="20% - Accent6 5 22" xfId="36211" xr:uid="{2B4E1EC3-D619-4F48-8BE3-3E757EE4AC2E}"/>
    <cellStyle name="20% - Accent6 5 23" xfId="38101" xr:uid="{EC8A0DCE-A65E-472E-A70C-43600B0500EA}"/>
    <cellStyle name="20% - Accent6 5 24" xfId="39992" xr:uid="{49AB777A-8904-464E-9F65-547E0ED50C42}"/>
    <cellStyle name="20% - Accent6 5 3" xfId="1561" xr:uid="{24E8CF7F-BE1B-4EA5-A14F-7521AB76854A}"/>
    <cellStyle name="20% - Accent6 5 3 10" xfId="18571" xr:uid="{D647F6DA-605A-4FFD-8EAF-21BAFC364545}"/>
    <cellStyle name="20% - Accent6 5 3 11" xfId="20461" xr:uid="{ED708630-92FE-4E16-B049-671A66A11133}"/>
    <cellStyle name="20% - Accent6 5 3 12" xfId="22351" xr:uid="{AB420B2B-9F74-4B04-803D-1F8877BA5506}"/>
    <cellStyle name="20% - Accent6 5 3 13" xfId="24241" xr:uid="{74A102D6-1EC1-4653-BC3A-86570B833535}"/>
    <cellStyle name="20% - Accent6 5 3 14" xfId="26131" xr:uid="{A43425F7-F354-46C1-8539-73FDDAE7250D}"/>
    <cellStyle name="20% - Accent6 5 3 15" xfId="28021" xr:uid="{3FFF1E17-DCDD-431F-9A0A-D16513C75E99}"/>
    <cellStyle name="20% - Accent6 5 3 16" xfId="29911" xr:uid="{D822ACC2-E49B-4680-9BC9-1C996742CDC8}"/>
    <cellStyle name="20% - Accent6 5 3 17" xfId="31801" xr:uid="{611303A5-0410-4599-B132-C93B327F40DE}"/>
    <cellStyle name="20% - Accent6 5 3 18" xfId="33691" xr:uid="{240C1D57-6736-45B5-A77D-12F273FA67E9}"/>
    <cellStyle name="20% - Accent6 5 3 19" xfId="35581" xr:uid="{45D81912-1D00-4AF4-A758-BF137E3F8158}"/>
    <cellStyle name="20% - Accent6 5 3 2" xfId="3451" xr:uid="{AC8BC30A-EAF2-4248-8878-188B736A0319}"/>
    <cellStyle name="20% - Accent6 5 3 20" xfId="37471" xr:uid="{041BBDF3-C17E-4FD5-9D6F-6E7E3384B029}"/>
    <cellStyle name="20% - Accent6 5 3 21" xfId="39361" xr:uid="{326EA9D0-D6CD-4D46-A520-3443A7740EF8}"/>
    <cellStyle name="20% - Accent6 5 3 22" xfId="41252" xr:uid="{718C0CCD-F3FB-405D-8951-B5DC2B4359B4}"/>
    <cellStyle name="20% - Accent6 5 3 3" xfId="5341" xr:uid="{D9A47513-CFB4-4472-B240-3932D2937500}"/>
    <cellStyle name="20% - Accent6 5 3 4" xfId="7231" xr:uid="{20E70DD8-AD40-41E1-A6FD-532229592206}"/>
    <cellStyle name="20% - Accent6 5 3 5" xfId="9121" xr:uid="{D7ED4ED9-540D-432B-8290-A2A5DF1AEC2E}"/>
    <cellStyle name="20% - Accent6 5 3 6" xfId="11011" xr:uid="{33DF8297-7EC1-4321-8E79-A3543F3C2328}"/>
    <cellStyle name="20% - Accent6 5 3 7" xfId="12901" xr:uid="{07ED5A2F-823B-4F4B-BE0F-41DB43BFE092}"/>
    <cellStyle name="20% - Accent6 5 3 8" xfId="14791" xr:uid="{84FF9C97-2AC8-4908-8BAF-40337EB44AEB}"/>
    <cellStyle name="20% - Accent6 5 3 9" xfId="16681" xr:uid="{207AEC9B-0C7D-4730-89FC-5C8553659A8E}"/>
    <cellStyle name="20% - Accent6 5 4" xfId="2191" xr:uid="{26BA3ABC-C4FC-447C-9C4F-BDE4278E2E31}"/>
    <cellStyle name="20% - Accent6 5 5" xfId="4081" xr:uid="{13D86DB4-C777-4C93-91E3-F3D0B007F68D}"/>
    <cellStyle name="20% - Accent6 5 6" xfId="5971" xr:uid="{C348FF73-141E-4B7A-ABA0-C2D63CA8F8D6}"/>
    <cellStyle name="20% - Accent6 5 7" xfId="7861" xr:uid="{2F085942-6FB8-493F-B097-3988044423DF}"/>
    <cellStyle name="20% - Accent6 5 8" xfId="9751" xr:uid="{E81F7D50-9E0C-4C17-AA38-A4239D6F3206}"/>
    <cellStyle name="20% - Accent6 5 9" xfId="11641" xr:uid="{DBFA3BD5-45E1-46E1-8EE3-EEB5F15DE5F7}"/>
    <cellStyle name="20% - Accent6 6" xfId="511" xr:uid="{5E869C7B-5A7B-41BA-AAB4-105A4E943731}"/>
    <cellStyle name="20% - Accent6 6 10" xfId="13741" xr:uid="{9175FE86-903E-4DB4-B004-57C253F94C95}"/>
    <cellStyle name="20% - Accent6 6 11" xfId="15631" xr:uid="{9A2B937B-9266-4A2B-85CC-625B1F6F0B9F}"/>
    <cellStyle name="20% - Accent6 6 12" xfId="17521" xr:uid="{45D10C13-228C-4690-9F65-6C0D806DE792}"/>
    <cellStyle name="20% - Accent6 6 13" xfId="19411" xr:uid="{C739148F-2E9B-4F3A-A0B5-8ED787AB3929}"/>
    <cellStyle name="20% - Accent6 6 14" xfId="21301" xr:uid="{72D746FF-AA50-4632-B40F-77C174FD7156}"/>
    <cellStyle name="20% - Accent6 6 15" xfId="23191" xr:uid="{59F3D3AC-7787-495A-982C-BB9FBEFEEFC1}"/>
    <cellStyle name="20% - Accent6 6 16" xfId="25081" xr:uid="{1DF70197-4280-42B9-AC1F-6D83923ACF92}"/>
    <cellStyle name="20% - Accent6 6 17" xfId="26971" xr:uid="{276A2E20-F461-441C-A421-51DEB7C6C9F8}"/>
    <cellStyle name="20% - Accent6 6 18" xfId="28861" xr:uid="{E24499B7-DBAE-423E-8844-84578193F3A1}"/>
    <cellStyle name="20% - Accent6 6 19" xfId="30751" xr:uid="{495E07C9-1C44-4C31-BB79-2DAF03CD38EC}"/>
    <cellStyle name="20% - Accent6 6 2" xfId="1141" xr:uid="{9F0F9D20-814E-4F72-8BEE-9C54C42E73D4}"/>
    <cellStyle name="20% - Accent6 6 2 10" xfId="18151" xr:uid="{62E785CB-82F6-4318-98AF-8052AA42860C}"/>
    <cellStyle name="20% - Accent6 6 2 11" xfId="20041" xr:uid="{435B2F6A-0AE6-46B1-9944-64C5D66E842F}"/>
    <cellStyle name="20% - Accent6 6 2 12" xfId="21931" xr:uid="{DB10F214-16B5-4C66-A161-4D8B9BFC7B5C}"/>
    <cellStyle name="20% - Accent6 6 2 13" xfId="23821" xr:uid="{D939B7D2-DE31-46F3-869E-A3CD71785F3E}"/>
    <cellStyle name="20% - Accent6 6 2 14" xfId="25711" xr:uid="{73BADED6-2911-401F-B9D8-7A2648756AFA}"/>
    <cellStyle name="20% - Accent6 6 2 15" xfId="27601" xr:uid="{4A0FAE27-63F7-44A2-991E-71C6267EBFFE}"/>
    <cellStyle name="20% - Accent6 6 2 16" xfId="29491" xr:uid="{B5E1D7C0-653F-4C60-87B0-95967538C6ED}"/>
    <cellStyle name="20% - Accent6 6 2 17" xfId="31381" xr:uid="{1B2F86C1-D38E-4141-8A3E-F553082815F0}"/>
    <cellStyle name="20% - Accent6 6 2 18" xfId="33271" xr:uid="{C1C134D7-9C9F-47AB-95F8-270E2ED89E1E}"/>
    <cellStyle name="20% - Accent6 6 2 19" xfId="35161" xr:uid="{EA684BE3-03F7-4FAE-9C6C-A50EEF935A40}"/>
    <cellStyle name="20% - Accent6 6 2 2" xfId="3031" xr:uid="{245F04EA-3904-4272-8545-D60F85302D6E}"/>
    <cellStyle name="20% - Accent6 6 2 20" xfId="37051" xr:uid="{E094E047-8678-471B-B404-A029888CBA76}"/>
    <cellStyle name="20% - Accent6 6 2 21" xfId="38941" xr:uid="{F8710527-0849-4BFF-BB46-B077BD10FC31}"/>
    <cellStyle name="20% - Accent6 6 2 22" xfId="40832" xr:uid="{BEC2A8C1-CA8A-4C5D-BED8-DC4A07767D33}"/>
    <cellStyle name="20% - Accent6 6 2 3" xfId="4921" xr:uid="{433DD1C4-4E27-4EFF-AEB7-5C5FE3C13B58}"/>
    <cellStyle name="20% - Accent6 6 2 4" xfId="6811" xr:uid="{0D2C9587-EA16-41DF-A955-3B4DFD765A18}"/>
    <cellStyle name="20% - Accent6 6 2 5" xfId="8701" xr:uid="{83FE98BB-A58B-4BD8-B00E-D8F21F465250}"/>
    <cellStyle name="20% - Accent6 6 2 6" xfId="10591" xr:uid="{C3F94DF0-054F-450F-8799-914C66DC26A5}"/>
    <cellStyle name="20% - Accent6 6 2 7" xfId="12481" xr:uid="{446C0E06-305A-46CC-BD87-4E7004193932}"/>
    <cellStyle name="20% - Accent6 6 2 8" xfId="14371" xr:uid="{2776DA0F-93E6-432F-BA89-15D327EEAC28}"/>
    <cellStyle name="20% - Accent6 6 2 9" xfId="16261" xr:uid="{ADD61E30-848A-4A34-ADD4-A9BA0ED20880}"/>
    <cellStyle name="20% - Accent6 6 20" xfId="32641" xr:uid="{C025D459-9495-4968-B4B1-168684FB759A}"/>
    <cellStyle name="20% - Accent6 6 21" xfId="34531" xr:uid="{40AFF352-9037-48F7-8752-82470AEE0E13}"/>
    <cellStyle name="20% - Accent6 6 22" xfId="36421" xr:uid="{FAE35AE4-D532-4143-A0C1-0566212F6DA3}"/>
    <cellStyle name="20% - Accent6 6 23" xfId="38311" xr:uid="{7DE96E9E-40D3-4E1F-86B5-63990E749C22}"/>
    <cellStyle name="20% - Accent6 6 24" xfId="40202" xr:uid="{D05D3300-2DFE-4820-8F28-8312F98C7ACB}"/>
    <cellStyle name="20% - Accent6 6 3" xfId="1771" xr:uid="{FE1CC9D2-FFF8-4141-8C37-DE2B2D2C3312}"/>
    <cellStyle name="20% - Accent6 6 3 10" xfId="18781" xr:uid="{AFE90220-01E6-4378-B513-47F7A027E783}"/>
    <cellStyle name="20% - Accent6 6 3 11" xfId="20671" xr:uid="{2AD68744-1563-45BA-A28F-C8230F5A21F3}"/>
    <cellStyle name="20% - Accent6 6 3 12" xfId="22561" xr:uid="{75A5B28D-0602-4572-BAC7-002907CF0473}"/>
    <cellStyle name="20% - Accent6 6 3 13" xfId="24451" xr:uid="{3979DA6E-FFD1-447F-8B20-1B7040A0F787}"/>
    <cellStyle name="20% - Accent6 6 3 14" xfId="26341" xr:uid="{867D606C-6A8A-443A-A2E8-9D6EBD3BF128}"/>
    <cellStyle name="20% - Accent6 6 3 15" xfId="28231" xr:uid="{A64B0391-8F43-41DA-AD8A-FA8EE5EC7173}"/>
    <cellStyle name="20% - Accent6 6 3 16" xfId="30121" xr:uid="{7D942FC1-88A6-42B7-BCDF-305BDAD0B8E4}"/>
    <cellStyle name="20% - Accent6 6 3 17" xfId="32011" xr:uid="{6CFA178E-4E10-42DE-BB74-98F134853A60}"/>
    <cellStyle name="20% - Accent6 6 3 18" xfId="33901" xr:uid="{1678ACFC-69B5-44D8-A2A4-F244BE713C49}"/>
    <cellStyle name="20% - Accent6 6 3 19" xfId="35791" xr:uid="{2042FB4C-AC3B-43DC-903D-366D7725717F}"/>
    <cellStyle name="20% - Accent6 6 3 2" xfId="3661" xr:uid="{4188D7D4-EA96-448D-8203-11264D58B2A8}"/>
    <cellStyle name="20% - Accent6 6 3 20" xfId="37681" xr:uid="{1B7D22FF-4B6D-4963-B1BD-33181FA07F02}"/>
    <cellStyle name="20% - Accent6 6 3 21" xfId="39571" xr:uid="{725E005F-32C0-4506-9E66-C64F15ED771D}"/>
    <cellStyle name="20% - Accent6 6 3 22" xfId="41462" xr:uid="{DD201743-7362-4E96-B8D1-850A32C2A47B}"/>
    <cellStyle name="20% - Accent6 6 3 3" xfId="5551" xr:uid="{037DD59C-3163-4C06-94B1-089FF8569203}"/>
    <cellStyle name="20% - Accent6 6 3 4" xfId="7441" xr:uid="{C4A1500A-512B-48A7-84E0-397BB8291B0B}"/>
    <cellStyle name="20% - Accent6 6 3 5" xfId="9331" xr:uid="{B03FE6E3-A122-416F-B072-79232F67457A}"/>
    <cellStyle name="20% - Accent6 6 3 6" xfId="11221" xr:uid="{16BC8515-B986-440A-8671-D1B26354C559}"/>
    <cellStyle name="20% - Accent6 6 3 7" xfId="13111" xr:uid="{56DF4858-2414-49C9-9E90-754069005A2D}"/>
    <cellStyle name="20% - Accent6 6 3 8" xfId="15001" xr:uid="{C26E7427-6019-41F9-A10E-0FE7B8D10C70}"/>
    <cellStyle name="20% - Accent6 6 3 9" xfId="16891" xr:uid="{748280A7-DFDD-4621-8CDD-81D598F01941}"/>
    <cellStyle name="20% - Accent6 6 4" xfId="2401" xr:uid="{B1A3002D-9BAB-4DE4-B8A5-C658DE68C65F}"/>
    <cellStyle name="20% - Accent6 6 5" xfId="4291" xr:uid="{D44239B8-2340-490C-9212-C5E985639523}"/>
    <cellStyle name="20% - Accent6 6 6" xfId="6181" xr:uid="{24973435-D228-4587-938A-AF40BB233C93}"/>
    <cellStyle name="20% - Accent6 6 7" xfId="8071" xr:uid="{2C0117EC-A9C7-48E6-9999-33A4C31F5C85}"/>
    <cellStyle name="20% - Accent6 6 8" xfId="9961" xr:uid="{6C733353-0199-4150-862C-771053CB7B57}"/>
    <cellStyle name="20% - Accent6 6 9" xfId="11851" xr:uid="{B72D423F-F919-4D98-B9F7-DC7D080C4DB7}"/>
    <cellStyle name="20% - Accent6 7" xfId="721" xr:uid="{684BEAAA-9E1B-41B5-A6F9-C11704CB0722}"/>
    <cellStyle name="20% - Accent6 7 10" xfId="17731" xr:uid="{45AA333B-0FFC-4791-A950-9662643503F0}"/>
    <cellStyle name="20% - Accent6 7 11" xfId="19621" xr:uid="{AFB56231-0FE2-490F-8187-22FE4F07F937}"/>
    <cellStyle name="20% - Accent6 7 12" xfId="21511" xr:uid="{7FC88C69-8629-409B-A703-0AE4932621CE}"/>
    <cellStyle name="20% - Accent6 7 13" xfId="23401" xr:uid="{DE0C4019-A6DF-47F0-B743-3293AF76C7DD}"/>
    <cellStyle name="20% - Accent6 7 14" xfId="25291" xr:uid="{39806A42-C0F3-4B29-A3B9-4D4215D742D5}"/>
    <cellStyle name="20% - Accent6 7 15" xfId="27181" xr:uid="{A6CB9DA7-7C74-41B6-ABA3-9F323150D8FB}"/>
    <cellStyle name="20% - Accent6 7 16" xfId="29071" xr:uid="{E513054E-4E8E-4182-BC0C-06D0253FBF1E}"/>
    <cellStyle name="20% - Accent6 7 17" xfId="30961" xr:uid="{0A510434-E1ED-4C6B-9DAF-B463A3B714E1}"/>
    <cellStyle name="20% - Accent6 7 18" xfId="32851" xr:uid="{C4C6A023-0FE7-48C5-A4F5-2B66BCF21CE7}"/>
    <cellStyle name="20% - Accent6 7 19" xfId="34741" xr:uid="{6A942F88-2005-4AFA-884C-F36ECF12B768}"/>
    <cellStyle name="20% - Accent6 7 2" xfId="2611" xr:uid="{EE1EF661-0BB0-454A-83FC-8D8EE122A86D}"/>
    <cellStyle name="20% - Accent6 7 20" xfId="36631" xr:uid="{85B7FDB9-FE50-4BF3-B21B-E4933E1DC331}"/>
    <cellStyle name="20% - Accent6 7 21" xfId="38521" xr:uid="{2D2CDCED-E684-4D81-AAF2-1FEF0DB56875}"/>
    <cellStyle name="20% - Accent6 7 22" xfId="40412" xr:uid="{FDE4366A-90BA-433A-B64A-039A85F468F0}"/>
    <cellStyle name="20% - Accent6 7 3" xfId="4501" xr:uid="{9C6DA6CC-C96C-433B-B86E-BAA0DE9B0FE1}"/>
    <cellStyle name="20% - Accent6 7 4" xfId="6391" xr:uid="{950702C3-B34C-4F3C-9D34-75B88B9F068D}"/>
    <cellStyle name="20% - Accent6 7 5" xfId="8281" xr:uid="{5A8F3422-496F-475A-92CB-8448E7AEA965}"/>
    <cellStyle name="20% - Accent6 7 6" xfId="10171" xr:uid="{BA6FE443-D1AE-4CA3-9B6C-759EFD5EC555}"/>
    <cellStyle name="20% - Accent6 7 7" xfId="12061" xr:uid="{861F61BD-3F52-4DE4-A138-30C299B392A3}"/>
    <cellStyle name="20% - Accent6 7 8" xfId="13951" xr:uid="{57BC8727-E5EA-4F03-8F06-1F69E2E4B744}"/>
    <cellStyle name="20% - Accent6 7 9" xfId="15841" xr:uid="{A8165349-396C-4AB0-BC5C-41EE6744AD3A}"/>
    <cellStyle name="20% - Accent6 8" xfId="1351" xr:uid="{2B29D02D-C1BD-464F-A142-EBB39E738726}"/>
    <cellStyle name="20% - Accent6 8 10" xfId="18361" xr:uid="{F4A05D0B-7967-4023-8150-470CFC581EF2}"/>
    <cellStyle name="20% - Accent6 8 11" xfId="20251" xr:uid="{957C8460-6121-4E83-ACEA-E25233DC5FCD}"/>
    <cellStyle name="20% - Accent6 8 12" xfId="22141" xr:uid="{DB301225-513F-4356-BEA3-7CAC14B67C70}"/>
    <cellStyle name="20% - Accent6 8 13" xfId="24031" xr:uid="{3E26D488-F6B9-4F75-AAF8-ADA2E24B2FFE}"/>
    <cellStyle name="20% - Accent6 8 14" xfId="25921" xr:uid="{2BEE374B-4761-484D-A39C-872272F6F116}"/>
    <cellStyle name="20% - Accent6 8 15" xfId="27811" xr:uid="{47010150-4C10-41D1-890A-388F47A3CBC2}"/>
    <cellStyle name="20% - Accent6 8 16" xfId="29701" xr:uid="{77EA5ABF-8282-4337-8CB0-7669722F6765}"/>
    <cellStyle name="20% - Accent6 8 17" xfId="31591" xr:uid="{C52E1795-7CD2-4055-BFB7-A34207F661DE}"/>
    <cellStyle name="20% - Accent6 8 18" xfId="33481" xr:uid="{35ADE734-890A-4D8D-AA43-04420C56283D}"/>
    <cellStyle name="20% - Accent6 8 19" xfId="35371" xr:uid="{754AC39B-CC98-4DA3-B0FA-FA87868C56BA}"/>
    <cellStyle name="20% - Accent6 8 2" xfId="3241" xr:uid="{8223EBBE-2591-415D-BE7A-563E1632484B}"/>
    <cellStyle name="20% - Accent6 8 20" xfId="37261" xr:uid="{7F2ABC1C-9C0E-4A43-819F-405DE60BEAA7}"/>
    <cellStyle name="20% - Accent6 8 21" xfId="39151" xr:uid="{0270A0CD-A172-42D0-9CEC-5D2FC249668D}"/>
    <cellStyle name="20% - Accent6 8 22" xfId="41042" xr:uid="{4B5E6520-18BA-440E-A888-030FBE7CC686}"/>
    <cellStyle name="20% - Accent6 8 3" xfId="5131" xr:uid="{64771740-C984-49C6-ACFD-76246D4A1A8A}"/>
    <cellStyle name="20% - Accent6 8 4" xfId="7021" xr:uid="{3A5DA35B-CF40-4C6B-B6AD-C7967FD72E10}"/>
    <cellStyle name="20% - Accent6 8 5" xfId="8911" xr:uid="{A744AAC6-C12B-4C32-99FD-834F73A7FF2D}"/>
    <cellStyle name="20% - Accent6 8 6" xfId="10801" xr:uid="{B435619D-8B77-43CF-921D-D08214BA1C58}"/>
    <cellStyle name="20% - Accent6 8 7" xfId="12691" xr:uid="{30767A6A-F40D-48E1-9120-D6FD4AED7EED}"/>
    <cellStyle name="20% - Accent6 8 8" xfId="14581" xr:uid="{713AE3A6-3BD2-4EAA-932F-1D6A2DCD4468}"/>
    <cellStyle name="20% - Accent6 8 9" xfId="16471" xr:uid="{138F3BF6-CB26-416B-81A2-4E6707981BF2}"/>
    <cellStyle name="20% - Accent6 9" xfId="1981" xr:uid="{18CC44F8-01CE-4F6F-9B2B-B302637BD2FF}"/>
    <cellStyle name="40% - Accent1" xfId="72" builtinId="31" customBuiltin="1"/>
    <cellStyle name="40% - Accent1 10" xfId="3857" xr:uid="{255C6BF1-7D32-4C13-8802-B82112A55589}"/>
    <cellStyle name="40% - Accent1 11" xfId="5747" xr:uid="{229249FA-D4F5-4383-86CF-AEEE0AC81C40}"/>
    <cellStyle name="40% - Accent1 12" xfId="7637" xr:uid="{49AC85D2-F225-4573-9A1C-8281A9F903BA}"/>
    <cellStyle name="40% - Accent1 13" xfId="9527" xr:uid="{8DC4A094-157F-454F-B119-E646C0F8E54D}"/>
    <cellStyle name="40% - Accent1 14" xfId="11417" xr:uid="{E531DF64-0BF8-489C-A06A-49666B33EBB8}"/>
    <cellStyle name="40% - Accent1 15" xfId="13307" xr:uid="{3A78A603-E603-4BAB-959E-5B986F032C00}"/>
    <cellStyle name="40% - Accent1 16" xfId="15197" xr:uid="{7A7506E9-D200-4828-8706-F10BB1A39E1C}"/>
    <cellStyle name="40% - Accent1 17" xfId="17087" xr:uid="{B3EB1175-0C2C-4F50-99B8-4B410C2726DE}"/>
    <cellStyle name="40% - Accent1 18" xfId="18977" xr:uid="{2680E13D-5A57-4BAA-9556-A80463329267}"/>
    <cellStyle name="40% - Accent1 19" xfId="20867" xr:uid="{EFE7CF62-3270-41C3-B143-19C995B99047}"/>
    <cellStyle name="40% - Accent1 2" xfId="99" xr:uid="{AADEAEF8-DA53-45F2-B965-367E924B0FC9}"/>
    <cellStyle name="40% - Accent1 2 10" xfId="7659" xr:uid="{469B34B1-0094-47C0-BE0F-8DB4020E8905}"/>
    <cellStyle name="40% - Accent1 2 11" xfId="9549" xr:uid="{7462ACAC-CC5F-489F-9532-AD6D546F2077}"/>
    <cellStyle name="40% - Accent1 2 12" xfId="11439" xr:uid="{F4A9A49C-2954-4463-9569-D08BDA87986A}"/>
    <cellStyle name="40% - Accent1 2 13" xfId="13329" xr:uid="{575094F8-901C-41BD-A6DE-6ED4CD52D3ED}"/>
    <cellStyle name="40% - Accent1 2 14" xfId="15219" xr:uid="{175662E3-FF82-460D-A5A9-DCDB4D7A9E4F}"/>
    <cellStyle name="40% - Accent1 2 15" xfId="17109" xr:uid="{D7A10719-7CAC-4FF3-BD4F-EFA5B3B3795C}"/>
    <cellStyle name="40% - Accent1 2 16" xfId="18999" xr:uid="{DB007DE3-F84D-4AEB-98C2-776A5E1FED24}"/>
    <cellStyle name="40% - Accent1 2 17" xfId="20889" xr:uid="{E974ECA9-0CD2-4A88-AE22-B04A5E0DA4E5}"/>
    <cellStyle name="40% - Accent1 2 18" xfId="22779" xr:uid="{AC780905-7F26-4896-AC58-9D0823178C4D}"/>
    <cellStyle name="40% - Accent1 2 19" xfId="24669" xr:uid="{7E739D6C-1F3F-4A63-B2E5-2653D8EA2D37}"/>
    <cellStyle name="40% - Accent1 2 2" xfId="204" xr:uid="{F942E2AF-C8EA-46DE-BB2F-888FD50F467C}"/>
    <cellStyle name="40% - Accent1 2 2 10" xfId="9654" xr:uid="{CE537978-B78E-466F-89D6-ADFD019CB943}"/>
    <cellStyle name="40% - Accent1 2 2 11" xfId="11544" xr:uid="{49E61467-3E56-42EF-9595-C4AF9A122923}"/>
    <cellStyle name="40% - Accent1 2 2 12" xfId="13434" xr:uid="{3E88B913-AFA2-44D1-A09D-D69BC80F18DC}"/>
    <cellStyle name="40% - Accent1 2 2 13" xfId="15324" xr:uid="{EC45095D-28F7-4387-BF9A-40977F3C8A28}"/>
    <cellStyle name="40% - Accent1 2 2 14" xfId="17214" xr:uid="{DBB1A862-266E-42F4-8DC0-C71D05765D8B}"/>
    <cellStyle name="40% - Accent1 2 2 15" xfId="19104" xr:uid="{28F55C7A-4ADD-420B-998F-BEE74536DD80}"/>
    <cellStyle name="40% - Accent1 2 2 16" xfId="20994" xr:uid="{B6D03A93-30C3-4F57-9584-5CB0EEEDB555}"/>
    <cellStyle name="40% - Accent1 2 2 17" xfId="22884" xr:uid="{3C8D0509-EB8D-4858-9905-45B59309D498}"/>
    <cellStyle name="40% - Accent1 2 2 18" xfId="24774" xr:uid="{83A5E612-B728-429C-B22A-CAEB94D67E4C}"/>
    <cellStyle name="40% - Accent1 2 2 19" xfId="26664" xr:uid="{EDDB57B7-415F-4D8F-AF4E-C019E9C64657}"/>
    <cellStyle name="40% - Accent1 2 2 2" xfId="414" xr:uid="{F639E2F5-B526-4FFE-ACE5-E0F934DE51F4}"/>
    <cellStyle name="40% - Accent1 2 2 2 10" xfId="13644" xr:uid="{2FB88512-6FED-45BF-B914-67D4A7ABE574}"/>
    <cellStyle name="40% - Accent1 2 2 2 11" xfId="15534" xr:uid="{19D04298-8B1E-496E-A877-A01AF09E4E64}"/>
    <cellStyle name="40% - Accent1 2 2 2 12" xfId="17424" xr:uid="{CC2DA950-9E1D-45FC-A33D-D38E49809584}"/>
    <cellStyle name="40% - Accent1 2 2 2 13" xfId="19314" xr:uid="{D92E4CFF-4E8D-4600-99C4-928139BC6E30}"/>
    <cellStyle name="40% - Accent1 2 2 2 14" xfId="21204" xr:uid="{4C683D9A-0D65-4AC6-A458-B2555EC14BB5}"/>
    <cellStyle name="40% - Accent1 2 2 2 15" xfId="23094" xr:uid="{1602205E-8AF0-4227-BF89-2159028B08CE}"/>
    <cellStyle name="40% - Accent1 2 2 2 16" xfId="24984" xr:uid="{A7395780-B4A9-4DB2-99F7-3822676A8334}"/>
    <cellStyle name="40% - Accent1 2 2 2 17" xfId="26874" xr:uid="{F0A6DA77-31F3-4414-A787-7B0D705FEF9E}"/>
    <cellStyle name="40% - Accent1 2 2 2 18" xfId="28764" xr:uid="{E5B022F1-F831-4406-B643-6903F6246F32}"/>
    <cellStyle name="40% - Accent1 2 2 2 19" xfId="30654" xr:uid="{80CC5D32-82CA-4936-B8CA-D8AA890AB5E0}"/>
    <cellStyle name="40% - Accent1 2 2 2 2" xfId="1044" xr:uid="{73C0BDA5-49BD-4F51-A0BB-BB6C2A0F455B}"/>
    <cellStyle name="40% - Accent1 2 2 2 2 10" xfId="18054" xr:uid="{6852E3AA-1DE6-4036-AA61-8EFE4CD9E1EB}"/>
    <cellStyle name="40% - Accent1 2 2 2 2 11" xfId="19944" xr:uid="{D1F4FB81-BA06-4DD4-AFF8-9FA6EAE504A0}"/>
    <cellStyle name="40% - Accent1 2 2 2 2 12" xfId="21834" xr:uid="{756FBA58-D59D-4CA4-95DD-08081819E7CF}"/>
    <cellStyle name="40% - Accent1 2 2 2 2 13" xfId="23724" xr:uid="{E3FA7636-29B5-4F8D-A66E-BAD162BCDA9E}"/>
    <cellStyle name="40% - Accent1 2 2 2 2 14" xfId="25614" xr:uid="{38A38498-D500-441A-872A-AF324D4581C8}"/>
    <cellStyle name="40% - Accent1 2 2 2 2 15" xfId="27504" xr:uid="{2227DD62-23B4-4EA9-B908-FC3DCEC25CB9}"/>
    <cellStyle name="40% - Accent1 2 2 2 2 16" xfId="29394" xr:uid="{482A4F81-03EE-4265-8D05-645B03372F23}"/>
    <cellStyle name="40% - Accent1 2 2 2 2 17" xfId="31284" xr:uid="{01CCDC8D-7760-4E54-AA86-6C318CD6E7D3}"/>
    <cellStyle name="40% - Accent1 2 2 2 2 18" xfId="33174" xr:uid="{28EB54DA-DF05-492B-8C70-009DF1862D90}"/>
    <cellStyle name="40% - Accent1 2 2 2 2 19" xfId="35064" xr:uid="{FC7162BC-83BE-44C9-A555-800D1B358AF2}"/>
    <cellStyle name="40% - Accent1 2 2 2 2 2" xfId="2934" xr:uid="{0685D44E-DDDD-4C0D-AF45-F2C9F656368F}"/>
    <cellStyle name="40% - Accent1 2 2 2 2 20" xfId="36954" xr:uid="{1EA938C2-D0F1-4FC7-866D-A9063E4299FF}"/>
    <cellStyle name="40% - Accent1 2 2 2 2 21" xfId="38844" xr:uid="{CDB8FBEA-B228-4E97-914B-0A908DB44CC5}"/>
    <cellStyle name="40% - Accent1 2 2 2 2 22" xfId="40735" xr:uid="{2DF4ED4A-5B16-437E-902B-D6EA8D9DFC68}"/>
    <cellStyle name="40% - Accent1 2 2 2 2 3" xfId="4824" xr:uid="{A92A77AC-A533-45F5-9C9F-43D29D5E9328}"/>
    <cellStyle name="40% - Accent1 2 2 2 2 4" xfId="6714" xr:uid="{66E2F800-ECFF-4223-93CC-626FB177805A}"/>
    <cellStyle name="40% - Accent1 2 2 2 2 5" xfId="8604" xr:uid="{104E2670-3D26-452F-BB24-B7501673C2AE}"/>
    <cellStyle name="40% - Accent1 2 2 2 2 6" xfId="10494" xr:uid="{09A85E0D-FE56-40CA-B921-C6832D15DBFA}"/>
    <cellStyle name="40% - Accent1 2 2 2 2 7" xfId="12384" xr:uid="{AD491DE7-63EC-43F7-9481-7D6D991BA8EC}"/>
    <cellStyle name="40% - Accent1 2 2 2 2 8" xfId="14274" xr:uid="{5D59D2BB-A09D-4321-8FEF-7C58B3B583B9}"/>
    <cellStyle name="40% - Accent1 2 2 2 2 9" xfId="16164" xr:uid="{A65A9C40-6B18-43EE-BD6F-1AEA959FAFDF}"/>
    <cellStyle name="40% - Accent1 2 2 2 20" xfId="32544" xr:uid="{1E415B6C-B191-4CC2-B795-581B11D32C5B}"/>
    <cellStyle name="40% - Accent1 2 2 2 21" xfId="34434" xr:uid="{AE76468E-9CED-47C5-9DA4-0331618DCF5C}"/>
    <cellStyle name="40% - Accent1 2 2 2 22" xfId="36324" xr:uid="{65BC2A16-DB44-471F-BC7F-3D9F24077DE1}"/>
    <cellStyle name="40% - Accent1 2 2 2 23" xfId="38214" xr:uid="{AED5D560-FC5D-46A5-BEB9-9CA97A4C64F6}"/>
    <cellStyle name="40% - Accent1 2 2 2 24" xfId="40105" xr:uid="{6E34B5B6-DDF2-4EBB-A9AC-29A6ECDFACB1}"/>
    <cellStyle name="40% - Accent1 2 2 2 3" xfId="1674" xr:uid="{33F3BCF4-3819-4B89-A073-9D8A821F855A}"/>
    <cellStyle name="40% - Accent1 2 2 2 3 10" xfId="18684" xr:uid="{4ABAB8CE-0E87-4684-865C-7C6016CCABF0}"/>
    <cellStyle name="40% - Accent1 2 2 2 3 11" xfId="20574" xr:uid="{6BA2285E-CBAB-4804-AB75-38401456A288}"/>
    <cellStyle name="40% - Accent1 2 2 2 3 12" xfId="22464" xr:uid="{270D5584-5150-49CE-81A8-50712D5BE236}"/>
    <cellStyle name="40% - Accent1 2 2 2 3 13" xfId="24354" xr:uid="{8EB45210-720C-4E2C-885F-E528D5BB9EAE}"/>
    <cellStyle name="40% - Accent1 2 2 2 3 14" xfId="26244" xr:uid="{5F7FDAF0-F454-4F9D-9FC2-B2BAB37EBA9B}"/>
    <cellStyle name="40% - Accent1 2 2 2 3 15" xfId="28134" xr:uid="{935B6791-E116-47CF-9788-4134E2102CB8}"/>
    <cellStyle name="40% - Accent1 2 2 2 3 16" xfId="30024" xr:uid="{6D7A5C01-952A-4823-8F40-E6C2AF7E2EB2}"/>
    <cellStyle name="40% - Accent1 2 2 2 3 17" xfId="31914" xr:uid="{8EA93B93-CFF8-40F4-9B49-7AC65E104E5E}"/>
    <cellStyle name="40% - Accent1 2 2 2 3 18" xfId="33804" xr:uid="{9806A16C-381A-40B3-9C14-812CD79CAE8D}"/>
    <cellStyle name="40% - Accent1 2 2 2 3 19" xfId="35694" xr:uid="{E817B107-A481-4723-829C-3D7B48AD518B}"/>
    <cellStyle name="40% - Accent1 2 2 2 3 2" xfId="3564" xr:uid="{CA404EB7-B7F5-48DC-B561-7E19E398A9D7}"/>
    <cellStyle name="40% - Accent1 2 2 2 3 20" xfId="37584" xr:uid="{48C84A55-0E9D-4E8D-878C-9A29E20A7B46}"/>
    <cellStyle name="40% - Accent1 2 2 2 3 21" xfId="39474" xr:uid="{8DA6966D-CF00-4FA4-AA95-DA8934BB1562}"/>
    <cellStyle name="40% - Accent1 2 2 2 3 22" xfId="41365" xr:uid="{0CD5410F-2D0F-45C3-AD70-FF14D3C1EBE9}"/>
    <cellStyle name="40% - Accent1 2 2 2 3 3" xfId="5454" xr:uid="{766273D4-2FB9-4CEF-9E20-01A096F1480C}"/>
    <cellStyle name="40% - Accent1 2 2 2 3 4" xfId="7344" xr:uid="{8E7708C7-64D5-4A68-9A18-41FE87EF30C0}"/>
    <cellStyle name="40% - Accent1 2 2 2 3 5" xfId="9234" xr:uid="{43901A95-387D-4E64-BCEF-9369070014D0}"/>
    <cellStyle name="40% - Accent1 2 2 2 3 6" xfId="11124" xr:uid="{D207E8A4-78B9-4C14-A5F5-9C586AF567D6}"/>
    <cellStyle name="40% - Accent1 2 2 2 3 7" xfId="13014" xr:uid="{2A86B521-5DF2-4C71-8E7D-F0112C8192AC}"/>
    <cellStyle name="40% - Accent1 2 2 2 3 8" xfId="14904" xr:uid="{E01374EF-9B60-4368-93D1-183D416CBEA7}"/>
    <cellStyle name="40% - Accent1 2 2 2 3 9" xfId="16794" xr:uid="{283F0A78-EC99-40E3-8F55-FF57CAD81A93}"/>
    <cellStyle name="40% - Accent1 2 2 2 4" xfId="2304" xr:uid="{E8F81D15-4160-4DA2-8487-B42E5AB3302C}"/>
    <cellStyle name="40% - Accent1 2 2 2 5" xfId="4194" xr:uid="{1CB4B443-A741-450D-8434-2DC69D5F4E8E}"/>
    <cellStyle name="40% - Accent1 2 2 2 6" xfId="6084" xr:uid="{944F4854-CE87-416F-8B37-4D97B9BF3B3F}"/>
    <cellStyle name="40% - Accent1 2 2 2 7" xfId="7974" xr:uid="{B07CCC24-2AA2-4994-8998-17306B484EA4}"/>
    <cellStyle name="40% - Accent1 2 2 2 8" xfId="9864" xr:uid="{97A3E8AD-A3E4-4BD2-BB8D-F49D099F2264}"/>
    <cellStyle name="40% - Accent1 2 2 2 9" xfId="11754" xr:uid="{26CBE72F-E873-4ED5-A06E-B23F983E4C96}"/>
    <cellStyle name="40% - Accent1 2 2 20" xfId="28554" xr:uid="{F92FAC84-0EF9-4276-95DE-A68F9CAD35F8}"/>
    <cellStyle name="40% - Accent1 2 2 21" xfId="30444" xr:uid="{D2447E7A-5803-4734-8553-A8B4CB68882D}"/>
    <cellStyle name="40% - Accent1 2 2 22" xfId="32334" xr:uid="{452255C3-4279-4E40-9757-211F4DE959EC}"/>
    <cellStyle name="40% - Accent1 2 2 23" xfId="34224" xr:uid="{35266E69-DF7A-4D25-8B1B-DBB96E8798FF}"/>
    <cellStyle name="40% - Accent1 2 2 24" xfId="36114" xr:uid="{F1B5FFEA-6000-4B64-8751-8CA0F91CA8CD}"/>
    <cellStyle name="40% - Accent1 2 2 25" xfId="38004" xr:uid="{7C065668-B9BD-4067-890F-64A575E814A8}"/>
    <cellStyle name="40% - Accent1 2 2 26" xfId="39895" xr:uid="{CAEE0015-4E9E-4374-8352-E8505D72ECA9}"/>
    <cellStyle name="40% - Accent1 2 2 3" xfId="624" xr:uid="{9FCA0901-B9E0-484F-B578-BC28B0E07B01}"/>
    <cellStyle name="40% - Accent1 2 2 3 10" xfId="13854" xr:uid="{476F5778-C95E-4B0D-AE84-1E3675F1C679}"/>
    <cellStyle name="40% - Accent1 2 2 3 11" xfId="15744" xr:uid="{967B4504-990C-461F-92FE-9433D39D9AC7}"/>
    <cellStyle name="40% - Accent1 2 2 3 12" xfId="17634" xr:uid="{7AEBF825-CE22-43E2-A619-619A09E0C8E2}"/>
    <cellStyle name="40% - Accent1 2 2 3 13" xfId="19524" xr:uid="{B1151D3D-2C74-4DC3-A5D4-3757FF53A305}"/>
    <cellStyle name="40% - Accent1 2 2 3 14" xfId="21414" xr:uid="{99B38D1F-D5C9-44D6-B05A-1009DE302E72}"/>
    <cellStyle name="40% - Accent1 2 2 3 15" xfId="23304" xr:uid="{A7A90511-F25E-4E07-8D1A-08CE03E87E34}"/>
    <cellStyle name="40% - Accent1 2 2 3 16" xfId="25194" xr:uid="{31A11A03-1B5D-413E-B6C2-2AA5EF97C951}"/>
    <cellStyle name="40% - Accent1 2 2 3 17" xfId="27084" xr:uid="{569C8EAE-788F-4F4F-B923-21AEE1CC991D}"/>
    <cellStyle name="40% - Accent1 2 2 3 18" xfId="28974" xr:uid="{12103A5B-A3CD-4B1F-AE5F-DCDCD068973A}"/>
    <cellStyle name="40% - Accent1 2 2 3 19" xfId="30864" xr:uid="{1C251F0A-FB6D-48F0-838E-07D62128E8DE}"/>
    <cellStyle name="40% - Accent1 2 2 3 2" xfId="1254" xr:uid="{72591DCF-E5F6-466E-B38B-CCDEA94716B6}"/>
    <cellStyle name="40% - Accent1 2 2 3 2 10" xfId="18264" xr:uid="{8A60FB98-1090-4138-A291-FDCAC75886DC}"/>
    <cellStyle name="40% - Accent1 2 2 3 2 11" xfId="20154" xr:uid="{9190F861-E642-41F3-9B64-C958D264ACCF}"/>
    <cellStyle name="40% - Accent1 2 2 3 2 12" xfId="22044" xr:uid="{AF0B556A-3089-40D4-8F1D-EBE71049C5F9}"/>
    <cellStyle name="40% - Accent1 2 2 3 2 13" xfId="23934" xr:uid="{F6C1D660-661C-4033-AD87-D4D46B380CC0}"/>
    <cellStyle name="40% - Accent1 2 2 3 2 14" xfId="25824" xr:uid="{055631C2-BD03-4F14-A308-274108DA73FC}"/>
    <cellStyle name="40% - Accent1 2 2 3 2 15" xfId="27714" xr:uid="{01ABF018-221C-4B39-99AE-7AB8F51BD3DA}"/>
    <cellStyle name="40% - Accent1 2 2 3 2 16" xfId="29604" xr:uid="{FC4F334E-B47E-4220-89AE-506656AD3463}"/>
    <cellStyle name="40% - Accent1 2 2 3 2 17" xfId="31494" xr:uid="{10A96A9A-CDC6-4398-B1C4-D3BCBAC4E535}"/>
    <cellStyle name="40% - Accent1 2 2 3 2 18" xfId="33384" xr:uid="{748C787D-F8EE-4266-A911-5340625EF9F1}"/>
    <cellStyle name="40% - Accent1 2 2 3 2 19" xfId="35274" xr:uid="{D5EA4C21-9D11-4385-87B5-EE5B431E94FB}"/>
    <cellStyle name="40% - Accent1 2 2 3 2 2" xfId="3144" xr:uid="{1D99E29B-D1E8-4116-8C43-E3EB87B5436B}"/>
    <cellStyle name="40% - Accent1 2 2 3 2 20" xfId="37164" xr:uid="{CA70BA34-A1D4-4ACD-A34B-3E53C3E4777A}"/>
    <cellStyle name="40% - Accent1 2 2 3 2 21" xfId="39054" xr:uid="{8DD782BC-E83B-470E-8C01-C8390B34A74F}"/>
    <cellStyle name="40% - Accent1 2 2 3 2 22" xfId="40945" xr:uid="{42D11D0A-90E9-4EB6-9946-2E52E129D6FF}"/>
    <cellStyle name="40% - Accent1 2 2 3 2 3" xfId="5034" xr:uid="{F6764FE3-5464-4A26-996E-F46F23800551}"/>
    <cellStyle name="40% - Accent1 2 2 3 2 4" xfId="6924" xr:uid="{EEC4EAB4-704D-4433-8878-9EB688209D97}"/>
    <cellStyle name="40% - Accent1 2 2 3 2 5" xfId="8814" xr:uid="{BE3F2121-FE02-4AE3-A487-AFE7174AD21D}"/>
    <cellStyle name="40% - Accent1 2 2 3 2 6" xfId="10704" xr:uid="{72641409-A32A-4D62-8947-F15CF1C4CD4C}"/>
    <cellStyle name="40% - Accent1 2 2 3 2 7" xfId="12594" xr:uid="{5C8505FB-9875-4608-A8E9-923541DD0266}"/>
    <cellStyle name="40% - Accent1 2 2 3 2 8" xfId="14484" xr:uid="{5914B8A5-9956-4D6B-848E-1A7B31239192}"/>
    <cellStyle name="40% - Accent1 2 2 3 2 9" xfId="16374" xr:uid="{54C2040E-972C-4353-8E93-AD79C7AD7403}"/>
    <cellStyle name="40% - Accent1 2 2 3 20" xfId="32754" xr:uid="{AC44F2DB-6A68-4649-9F6B-0F6CAC0ED9BB}"/>
    <cellStyle name="40% - Accent1 2 2 3 21" xfId="34644" xr:uid="{CE219851-8E15-48BF-86AA-A269003813FB}"/>
    <cellStyle name="40% - Accent1 2 2 3 22" xfId="36534" xr:uid="{33E5599D-62F5-4978-8B15-4A4068AF5627}"/>
    <cellStyle name="40% - Accent1 2 2 3 23" xfId="38424" xr:uid="{CC316EA5-C01B-4E7E-83FF-60CCF59429AC}"/>
    <cellStyle name="40% - Accent1 2 2 3 24" xfId="40315" xr:uid="{0B93B720-A193-4C9A-AC1B-08147EB30410}"/>
    <cellStyle name="40% - Accent1 2 2 3 3" xfId="1884" xr:uid="{E2CDE8FB-8293-44C2-B1A8-F051AE3B7286}"/>
    <cellStyle name="40% - Accent1 2 2 3 3 10" xfId="18894" xr:uid="{0DC43E1E-A768-4E6F-86FF-D06985B6FDAA}"/>
    <cellStyle name="40% - Accent1 2 2 3 3 11" xfId="20784" xr:uid="{6A36D2E7-203B-4677-9DBC-5D6CAA829169}"/>
    <cellStyle name="40% - Accent1 2 2 3 3 12" xfId="22674" xr:uid="{9F168A95-B91E-4DB5-940E-CBCC3BAE7D0D}"/>
    <cellStyle name="40% - Accent1 2 2 3 3 13" xfId="24564" xr:uid="{B52AA2BB-A686-4A43-90A4-FC6EF852FD91}"/>
    <cellStyle name="40% - Accent1 2 2 3 3 14" xfId="26454" xr:uid="{2CE994E6-FFF9-4087-8434-29D5ED51ED60}"/>
    <cellStyle name="40% - Accent1 2 2 3 3 15" xfId="28344" xr:uid="{B950E82F-C135-4897-8DB7-3340E1EAC5CC}"/>
    <cellStyle name="40% - Accent1 2 2 3 3 16" xfId="30234" xr:uid="{1BA23118-B295-4F18-AF9C-3E0D61EE76D4}"/>
    <cellStyle name="40% - Accent1 2 2 3 3 17" xfId="32124" xr:uid="{380A7016-EFC0-4DB5-BFF2-20821EB3C5A2}"/>
    <cellStyle name="40% - Accent1 2 2 3 3 18" xfId="34014" xr:uid="{30B9B9CB-6E92-4A4B-98D4-ED2A92A37245}"/>
    <cellStyle name="40% - Accent1 2 2 3 3 19" xfId="35904" xr:uid="{0CC9E3B0-44F5-470A-8B30-C04AE2E4D896}"/>
    <cellStyle name="40% - Accent1 2 2 3 3 2" xfId="3774" xr:uid="{80D27B5E-A188-432B-A15A-B901E7FCA525}"/>
    <cellStyle name="40% - Accent1 2 2 3 3 20" xfId="37794" xr:uid="{5285FFA1-1AB2-4436-94EA-94F563CEDC27}"/>
    <cellStyle name="40% - Accent1 2 2 3 3 21" xfId="39684" xr:uid="{1806AA5A-5F89-4250-8B2C-7B5F225475B2}"/>
    <cellStyle name="40% - Accent1 2 2 3 3 22" xfId="41575" xr:uid="{49C8C338-086E-4363-9C4B-3173EE39075B}"/>
    <cellStyle name="40% - Accent1 2 2 3 3 3" xfId="5664" xr:uid="{2EF8DC82-8FDA-4099-B9F3-DE47F541EEE0}"/>
    <cellStyle name="40% - Accent1 2 2 3 3 4" xfId="7554" xr:uid="{1C00BC17-6785-49E7-B0FE-8C016463051A}"/>
    <cellStyle name="40% - Accent1 2 2 3 3 5" xfId="9444" xr:uid="{907254DA-D068-4811-A8CE-E053B3101D3D}"/>
    <cellStyle name="40% - Accent1 2 2 3 3 6" xfId="11334" xr:uid="{F46828F9-C7A2-420D-BABF-7FFFA8547345}"/>
    <cellStyle name="40% - Accent1 2 2 3 3 7" xfId="13224" xr:uid="{B03A34F2-4CED-4CCF-A511-76C78A12D790}"/>
    <cellStyle name="40% - Accent1 2 2 3 3 8" xfId="15114" xr:uid="{2B3C4C99-3EC2-4421-9DEA-365439EC4115}"/>
    <cellStyle name="40% - Accent1 2 2 3 3 9" xfId="17004" xr:uid="{35B0544D-76EE-4578-B214-573F18B4C7B2}"/>
    <cellStyle name="40% - Accent1 2 2 3 4" xfId="2514" xr:uid="{60728396-9E5C-4628-A1F1-3FC93FF6E8F9}"/>
    <cellStyle name="40% - Accent1 2 2 3 5" xfId="4404" xr:uid="{243AA78C-EA9B-4A83-8668-684FB3B7BACE}"/>
    <cellStyle name="40% - Accent1 2 2 3 6" xfId="6294" xr:uid="{224EF887-4CE2-4423-A372-12F98D95FCEA}"/>
    <cellStyle name="40% - Accent1 2 2 3 7" xfId="8184" xr:uid="{B015B8E9-3C3F-4C32-ABC6-C92BB339F099}"/>
    <cellStyle name="40% - Accent1 2 2 3 8" xfId="10074" xr:uid="{0577DB97-1558-47A7-A0B8-5738E1CF9BD7}"/>
    <cellStyle name="40% - Accent1 2 2 3 9" xfId="11964" xr:uid="{42637BF1-BA62-48F4-81AE-320E5509F8D4}"/>
    <cellStyle name="40% - Accent1 2 2 4" xfId="834" xr:uid="{FDDEBF44-E299-49DF-9358-1E3871807A6A}"/>
    <cellStyle name="40% - Accent1 2 2 4 10" xfId="17844" xr:uid="{E361AA15-0247-43FF-B56A-1F5D9CF6BCC4}"/>
    <cellStyle name="40% - Accent1 2 2 4 11" xfId="19734" xr:uid="{3F26D6A5-0D98-4DFC-AD4E-5A5379A16FAF}"/>
    <cellStyle name="40% - Accent1 2 2 4 12" xfId="21624" xr:uid="{C09DB2E5-2DB9-4D81-9567-9EA60BC6B0F1}"/>
    <cellStyle name="40% - Accent1 2 2 4 13" xfId="23514" xr:uid="{B67D934C-8001-4194-A4CC-D186B9F49802}"/>
    <cellStyle name="40% - Accent1 2 2 4 14" xfId="25404" xr:uid="{F6D92432-69B9-408F-A107-958ACD2EB808}"/>
    <cellStyle name="40% - Accent1 2 2 4 15" xfId="27294" xr:uid="{C37152DF-58A2-4343-A987-0E8958334D5F}"/>
    <cellStyle name="40% - Accent1 2 2 4 16" xfId="29184" xr:uid="{24EC4C66-B431-4688-946B-05F64D971A92}"/>
    <cellStyle name="40% - Accent1 2 2 4 17" xfId="31074" xr:uid="{5E9EECF8-DE9C-4841-B07F-8D0FA81CBB3F}"/>
    <cellStyle name="40% - Accent1 2 2 4 18" xfId="32964" xr:uid="{A86387B5-8E55-49F5-A93F-FCB8321D9C24}"/>
    <cellStyle name="40% - Accent1 2 2 4 19" xfId="34854" xr:uid="{5C0A4CD5-A851-4BF2-9FB1-EAD1DA385540}"/>
    <cellStyle name="40% - Accent1 2 2 4 2" xfId="2724" xr:uid="{35F0FEAB-DC1B-4CCF-927A-A2A9C77318B2}"/>
    <cellStyle name="40% - Accent1 2 2 4 20" xfId="36744" xr:uid="{E8434AC1-BDCA-492B-BF34-A6689A3600AF}"/>
    <cellStyle name="40% - Accent1 2 2 4 21" xfId="38634" xr:uid="{7A335090-EB42-4A60-AFFF-FDAEE5A8E8E9}"/>
    <cellStyle name="40% - Accent1 2 2 4 22" xfId="40525" xr:uid="{A3E67F31-CA0D-4879-A169-9F5DEF15E323}"/>
    <cellStyle name="40% - Accent1 2 2 4 3" xfId="4614" xr:uid="{2189B7A6-35E8-4CBB-B7AA-2B412E90C4FE}"/>
    <cellStyle name="40% - Accent1 2 2 4 4" xfId="6504" xr:uid="{8388F37F-9BCD-42F6-A683-7AE89062C1AD}"/>
    <cellStyle name="40% - Accent1 2 2 4 5" xfId="8394" xr:uid="{E9F21166-4E4B-4037-ADF2-50D56609E615}"/>
    <cellStyle name="40% - Accent1 2 2 4 6" xfId="10284" xr:uid="{4113A386-D97D-4915-8898-2505800FB281}"/>
    <cellStyle name="40% - Accent1 2 2 4 7" xfId="12174" xr:uid="{2819C3A7-DDB2-42F5-99C5-9EE751F46BC7}"/>
    <cellStyle name="40% - Accent1 2 2 4 8" xfId="14064" xr:uid="{FF33250A-0947-4EAD-BC70-5E0390F52845}"/>
    <cellStyle name="40% - Accent1 2 2 4 9" xfId="15954" xr:uid="{3BE3053F-4BD3-41BE-A893-D4572258A201}"/>
    <cellStyle name="40% - Accent1 2 2 5" xfId="1464" xr:uid="{9303B030-7408-498C-8165-D7D61B2094E6}"/>
    <cellStyle name="40% - Accent1 2 2 5 10" xfId="18474" xr:uid="{B4868018-2829-42E6-A65F-466DBD981F5E}"/>
    <cellStyle name="40% - Accent1 2 2 5 11" xfId="20364" xr:uid="{023BD135-C4BC-4639-85E5-AF9AD1954897}"/>
    <cellStyle name="40% - Accent1 2 2 5 12" xfId="22254" xr:uid="{E099BB2D-D2DD-484C-B37C-447952D17E06}"/>
    <cellStyle name="40% - Accent1 2 2 5 13" xfId="24144" xr:uid="{60CF79D2-3356-4AC9-8C47-36CE8A6CE0E5}"/>
    <cellStyle name="40% - Accent1 2 2 5 14" xfId="26034" xr:uid="{FFDCD1D1-F43D-4454-B712-F28409F02808}"/>
    <cellStyle name="40% - Accent1 2 2 5 15" xfId="27924" xr:uid="{058455BD-CE72-4482-90E4-F2FA38DB70AB}"/>
    <cellStyle name="40% - Accent1 2 2 5 16" xfId="29814" xr:uid="{67A7CE39-B850-43B9-94A8-C17B800A25AC}"/>
    <cellStyle name="40% - Accent1 2 2 5 17" xfId="31704" xr:uid="{AB02B95A-5258-4349-BF9D-83771E3FE2D7}"/>
    <cellStyle name="40% - Accent1 2 2 5 18" xfId="33594" xr:uid="{43E1F187-7348-438D-95EC-2A76231832B7}"/>
    <cellStyle name="40% - Accent1 2 2 5 19" xfId="35484" xr:uid="{FCFE51EA-56C9-4720-8C17-A905BC568802}"/>
    <cellStyle name="40% - Accent1 2 2 5 2" xfId="3354" xr:uid="{21BEDB47-7AFD-4234-A960-0F2FBBD00077}"/>
    <cellStyle name="40% - Accent1 2 2 5 20" xfId="37374" xr:uid="{F436622A-A644-4356-85F8-2EEBB299E1CB}"/>
    <cellStyle name="40% - Accent1 2 2 5 21" xfId="39264" xr:uid="{A857AE50-2FA9-4399-B130-58440B7658A9}"/>
    <cellStyle name="40% - Accent1 2 2 5 22" xfId="41155" xr:uid="{0BF0D982-6336-4284-973F-106FEC9102FB}"/>
    <cellStyle name="40% - Accent1 2 2 5 3" xfId="5244" xr:uid="{1DADE87D-98C1-4974-B75B-29633099B003}"/>
    <cellStyle name="40% - Accent1 2 2 5 4" xfId="7134" xr:uid="{A43C9152-7345-4DD9-8DB1-AD29FA6ADB90}"/>
    <cellStyle name="40% - Accent1 2 2 5 5" xfId="9024" xr:uid="{1EB5E57E-C2A4-4709-931C-2BA885631161}"/>
    <cellStyle name="40% - Accent1 2 2 5 6" xfId="10914" xr:uid="{8A6BDD69-1E03-40EC-8C63-31F803C31EF4}"/>
    <cellStyle name="40% - Accent1 2 2 5 7" xfId="12804" xr:uid="{16210CDC-9585-43F0-811A-82FD435558DD}"/>
    <cellStyle name="40% - Accent1 2 2 5 8" xfId="14694" xr:uid="{0DF7FB1C-3606-4EE8-A159-E49801786836}"/>
    <cellStyle name="40% - Accent1 2 2 5 9" xfId="16584" xr:uid="{CF607AD3-5DFD-4C0C-A097-718D7F1931BE}"/>
    <cellStyle name="40% - Accent1 2 2 6" xfId="2094" xr:uid="{648A0BE7-2BD2-4BDA-A4B0-CFCFAC1DD5E8}"/>
    <cellStyle name="40% - Accent1 2 2 7" xfId="3984" xr:uid="{A5EA9310-1178-41AD-AA87-EFE49EDA8E90}"/>
    <cellStyle name="40% - Accent1 2 2 8" xfId="5874" xr:uid="{B97DBA7F-96C9-4442-B7EB-FFA252576420}"/>
    <cellStyle name="40% - Accent1 2 2 9" xfId="7764" xr:uid="{47F61C18-6481-49EC-A03D-4CF13DB4FC38}"/>
    <cellStyle name="40% - Accent1 2 20" xfId="26559" xr:uid="{32A686FC-352A-4BED-8819-3B2E2581FC9A}"/>
    <cellStyle name="40% - Accent1 2 21" xfId="28449" xr:uid="{28F890CA-13F1-4206-9F10-BB24E125AE8D}"/>
    <cellStyle name="40% - Accent1 2 22" xfId="30339" xr:uid="{FD0E4650-8D96-43A7-9686-991DDE713BA7}"/>
    <cellStyle name="40% - Accent1 2 23" xfId="32229" xr:uid="{731A9414-ACD0-4072-915C-3B5572530BB6}"/>
    <cellStyle name="40% - Accent1 2 24" xfId="34119" xr:uid="{B7FC392A-ABBD-4848-9495-FA311FEBD6AA}"/>
    <cellStyle name="40% - Accent1 2 25" xfId="36009" xr:uid="{0E452400-5F56-444F-9B0E-9C18E1CC26DC}"/>
    <cellStyle name="40% - Accent1 2 26" xfId="37899" xr:uid="{120DE09A-C5A9-45D7-830A-F993746C637C}"/>
    <cellStyle name="40% - Accent1 2 27" xfId="39790" xr:uid="{4BB8E5AE-09FA-4E2F-BD5B-9C1CA965AEA1}"/>
    <cellStyle name="40% - Accent1 2 3" xfId="309" xr:uid="{2AACE9DE-D1D2-4A89-B258-6C457AFA3914}"/>
    <cellStyle name="40% - Accent1 2 3 10" xfId="13539" xr:uid="{5A11BB8A-8EAD-45F7-AF85-4CB35D9E3512}"/>
    <cellStyle name="40% - Accent1 2 3 11" xfId="15429" xr:uid="{5EE4022B-F167-45B7-A6E2-FB18B292423B}"/>
    <cellStyle name="40% - Accent1 2 3 12" xfId="17319" xr:uid="{E0BA87CE-CCE5-4274-9C06-45E3BE8DF16E}"/>
    <cellStyle name="40% - Accent1 2 3 13" xfId="19209" xr:uid="{22549E6F-3689-4EB8-9974-465E43A53615}"/>
    <cellStyle name="40% - Accent1 2 3 14" xfId="21099" xr:uid="{F370A448-513C-4031-AE62-85E75AA8A6B2}"/>
    <cellStyle name="40% - Accent1 2 3 15" xfId="22989" xr:uid="{9FC20EBD-125F-46AB-BBC0-69E2FACDD496}"/>
    <cellStyle name="40% - Accent1 2 3 16" xfId="24879" xr:uid="{F294D5AA-910E-4F1E-9F84-9013B4CCBFE7}"/>
    <cellStyle name="40% - Accent1 2 3 17" xfId="26769" xr:uid="{F8AB2157-08F6-48A0-93C8-2FAF2D3586B7}"/>
    <cellStyle name="40% - Accent1 2 3 18" xfId="28659" xr:uid="{F89B2946-7C5E-45FC-BBE1-74B232762335}"/>
    <cellStyle name="40% - Accent1 2 3 19" xfId="30549" xr:uid="{BACB68C1-B4C9-404F-8377-EDFFE0FB336A}"/>
    <cellStyle name="40% - Accent1 2 3 2" xfId="939" xr:uid="{28B693F6-3338-4F8C-845E-532BC691A4DF}"/>
    <cellStyle name="40% - Accent1 2 3 2 10" xfId="17949" xr:uid="{86F50FB6-3A88-4338-82AC-A86519B6A8E8}"/>
    <cellStyle name="40% - Accent1 2 3 2 11" xfId="19839" xr:uid="{5CAECAD3-D774-4686-AB76-E62F9F267547}"/>
    <cellStyle name="40% - Accent1 2 3 2 12" xfId="21729" xr:uid="{7F03FC93-E6A4-4843-834A-349652234CF6}"/>
    <cellStyle name="40% - Accent1 2 3 2 13" xfId="23619" xr:uid="{3A03C2E6-2CD1-4F5B-A28C-7E5E003A8224}"/>
    <cellStyle name="40% - Accent1 2 3 2 14" xfId="25509" xr:uid="{A394DBBA-F379-4C46-8754-BD374F077288}"/>
    <cellStyle name="40% - Accent1 2 3 2 15" xfId="27399" xr:uid="{B4032433-4A32-4CBB-A87E-B5A39F627BB5}"/>
    <cellStyle name="40% - Accent1 2 3 2 16" xfId="29289" xr:uid="{8B8C8D63-536C-4918-AFDB-31B667763661}"/>
    <cellStyle name="40% - Accent1 2 3 2 17" xfId="31179" xr:uid="{BE0D009B-53D2-4C26-85A4-9F84F8427B50}"/>
    <cellStyle name="40% - Accent1 2 3 2 18" xfId="33069" xr:uid="{D44D2DF4-44EF-402F-BC03-35B3EB27F099}"/>
    <cellStyle name="40% - Accent1 2 3 2 19" xfId="34959" xr:uid="{3A67358D-48CD-4299-9C85-AA1B73A754E4}"/>
    <cellStyle name="40% - Accent1 2 3 2 2" xfId="2829" xr:uid="{6551968B-5EF7-4684-A454-7B878A503E52}"/>
    <cellStyle name="40% - Accent1 2 3 2 20" xfId="36849" xr:uid="{907DE4C8-C4C4-4BD9-A7C7-AEC3619CB941}"/>
    <cellStyle name="40% - Accent1 2 3 2 21" xfId="38739" xr:uid="{068A6C8D-35D5-4B2F-A7C0-B59666879521}"/>
    <cellStyle name="40% - Accent1 2 3 2 22" xfId="40630" xr:uid="{3C9A0B67-1E82-467F-A99A-2DADD6D9BFA4}"/>
    <cellStyle name="40% - Accent1 2 3 2 3" xfId="4719" xr:uid="{10D95ED0-7BCC-4481-81D4-430AE60E2A82}"/>
    <cellStyle name="40% - Accent1 2 3 2 4" xfId="6609" xr:uid="{6CE19A51-FF1F-49E0-9F24-BBFC3C9E3479}"/>
    <cellStyle name="40% - Accent1 2 3 2 5" xfId="8499" xr:uid="{1DD1A75A-5491-4266-8E33-F1646C755F60}"/>
    <cellStyle name="40% - Accent1 2 3 2 6" xfId="10389" xr:uid="{545CDAD8-EEA0-4BE4-A121-9C777EFCDE79}"/>
    <cellStyle name="40% - Accent1 2 3 2 7" xfId="12279" xr:uid="{012CA2DD-49E2-4F14-879F-2B42C8617E86}"/>
    <cellStyle name="40% - Accent1 2 3 2 8" xfId="14169" xr:uid="{0CE83E1D-8936-42E0-BA73-3771137B856A}"/>
    <cellStyle name="40% - Accent1 2 3 2 9" xfId="16059" xr:uid="{E1ED0825-9125-4CA9-AAC4-FDCC013047C5}"/>
    <cellStyle name="40% - Accent1 2 3 20" xfId="32439" xr:uid="{0D38F8C7-4D0E-480F-858A-4A251833639F}"/>
    <cellStyle name="40% - Accent1 2 3 21" xfId="34329" xr:uid="{F2FE38EE-0FDF-453F-9B57-0281D6FEF542}"/>
    <cellStyle name="40% - Accent1 2 3 22" xfId="36219" xr:uid="{E9596241-FF46-4C45-9FE1-DA98F0957201}"/>
    <cellStyle name="40% - Accent1 2 3 23" xfId="38109" xr:uid="{0745AA41-4A0C-4E3A-B850-569717D0472C}"/>
    <cellStyle name="40% - Accent1 2 3 24" xfId="40000" xr:uid="{AFCC528C-39A4-4D73-BD62-F38D382600A1}"/>
    <cellStyle name="40% - Accent1 2 3 3" xfId="1569" xr:uid="{B2359484-42B5-410F-BFCB-5C11C7A7732C}"/>
    <cellStyle name="40% - Accent1 2 3 3 10" xfId="18579" xr:uid="{43328710-2075-400C-AB86-9AD27A7D287B}"/>
    <cellStyle name="40% - Accent1 2 3 3 11" xfId="20469" xr:uid="{04D4EB8C-748C-4FB1-9D84-FFDA053F3FAB}"/>
    <cellStyle name="40% - Accent1 2 3 3 12" xfId="22359" xr:uid="{C6182DDB-134F-4469-A009-A2A4BB246B7D}"/>
    <cellStyle name="40% - Accent1 2 3 3 13" xfId="24249" xr:uid="{DED4DD62-F244-47F8-8981-D09066B9683B}"/>
    <cellStyle name="40% - Accent1 2 3 3 14" xfId="26139" xr:uid="{ED94E8E0-7BFE-4D49-8916-DD7200CF72E9}"/>
    <cellStyle name="40% - Accent1 2 3 3 15" xfId="28029" xr:uid="{B408045A-819B-4670-AF65-C405190D40D6}"/>
    <cellStyle name="40% - Accent1 2 3 3 16" xfId="29919" xr:uid="{7468E5A1-B5C3-4F3B-B92E-775798E5025E}"/>
    <cellStyle name="40% - Accent1 2 3 3 17" xfId="31809" xr:uid="{F3AE2890-8C78-42C0-9CF1-ADD0DF4220BD}"/>
    <cellStyle name="40% - Accent1 2 3 3 18" xfId="33699" xr:uid="{B735D2D1-81C0-4DE0-95B1-7AD440358CB0}"/>
    <cellStyle name="40% - Accent1 2 3 3 19" xfId="35589" xr:uid="{5A0F0BD7-0717-488B-A145-D0A780D09103}"/>
    <cellStyle name="40% - Accent1 2 3 3 2" xfId="3459" xr:uid="{51F9100E-1357-4422-A315-92643E454B4E}"/>
    <cellStyle name="40% - Accent1 2 3 3 20" xfId="37479" xr:uid="{E9A77769-1E10-4AA7-998B-9E94D748DB09}"/>
    <cellStyle name="40% - Accent1 2 3 3 21" xfId="39369" xr:uid="{42F023F8-3F71-497E-8129-656F6E96F0F9}"/>
    <cellStyle name="40% - Accent1 2 3 3 22" xfId="41260" xr:uid="{48C1D3A7-DA6C-4051-8210-A8C9A188D5A1}"/>
    <cellStyle name="40% - Accent1 2 3 3 3" xfId="5349" xr:uid="{C4EDC3C5-B46A-4AB3-80D3-1B92B36B37C0}"/>
    <cellStyle name="40% - Accent1 2 3 3 4" xfId="7239" xr:uid="{ED640202-6F6B-471A-BC48-A53091411191}"/>
    <cellStyle name="40% - Accent1 2 3 3 5" xfId="9129" xr:uid="{84537CB1-E14A-4620-AA04-0CD3612CA21D}"/>
    <cellStyle name="40% - Accent1 2 3 3 6" xfId="11019" xr:uid="{2BFA341F-6F61-4EF5-BF09-E64BFADDBEF0}"/>
    <cellStyle name="40% - Accent1 2 3 3 7" xfId="12909" xr:uid="{93C2D80A-F153-4A00-9A9A-C2BE053875A0}"/>
    <cellStyle name="40% - Accent1 2 3 3 8" xfId="14799" xr:uid="{E8DAC40D-A293-44D7-8D7A-0108C3AE5049}"/>
    <cellStyle name="40% - Accent1 2 3 3 9" xfId="16689" xr:uid="{225ECC0B-98C5-49F6-A016-897B347BA360}"/>
    <cellStyle name="40% - Accent1 2 3 4" xfId="2199" xr:uid="{5F733A3A-40F1-4CB9-BFD7-6D686AEDE212}"/>
    <cellStyle name="40% - Accent1 2 3 5" xfId="4089" xr:uid="{E94FBAF7-C0C8-4916-AC40-C38A0F3B23A8}"/>
    <cellStyle name="40% - Accent1 2 3 6" xfId="5979" xr:uid="{B73D05A7-4120-4A7C-A30A-B9AD129AF723}"/>
    <cellStyle name="40% - Accent1 2 3 7" xfId="7869" xr:uid="{AAD8917F-A7D0-4402-ADF4-B7162E536174}"/>
    <cellStyle name="40% - Accent1 2 3 8" xfId="9759" xr:uid="{D6C4723A-A17C-4484-9A72-59E3E56ED00A}"/>
    <cellStyle name="40% - Accent1 2 3 9" xfId="11649" xr:uid="{61A19B59-8021-41DE-A491-58DB19E5EA65}"/>
    <cellStyle name="40% - Accent1 2 4" xfId="519" xr:uid="{A7CC04ED-751A-43EC-9D89-7388F84668F4}"/>
    <cellStyle name="40% - Accent1 2 4 10" xfId="13749" xr:uid="{E0A015FC-6226-43EF-83C6-B029863B89D3}"/>
    <cellStyle name="40% - Accent1 2 4 11" xfId="15639" xr:uid="{9E5D0E90-F3B4-4A9D-B901-DC4960064A46}"/>
    <cellStyle name="40% - Accent1 2 4 12" xfId="17529" xr:uid="{F77EA6A6-5578-463C-A95E-4CFF143F37D0}"/>
    <cellStyle name="40% - Accent1 2 4 13" xfId="19419" xr:uid="{5FF031AB-165B-434A-86EC-DBF6166E78B6}"/>
    <cellStyle name="40% - Accent1 2 4 14" xfId="21309" xr:uid="{3F730569-158D-4B2A-AF62-114DE81AF286}"/>
    <cellStyle name="40% - Accent1 2 4 15" xfId="23199" xr:uid="{DA6D3712-E1AA-453D-9B7D-01B17B0BD242}"/>
    <cellStyle name="40% - Accent1 2 4 16" xfId="25089" xr:uid="{5AB83391-D881-4F97-8E11-5213D7D2E584}"/>
    <cellStyle name="40% - Accent1 2 4 17" xfId="26979" xr:uid="{5A23D696-A0E5-4785-9008-1B1D832F753B}"/>
    <cellStyle name="40% - Accent1 2 4 18" xfId="28869" xr:uid="{A283FDEF-5844-4002-9B39-07E2D8959777}"/>
    <cellStyle name="40% - Accent1 2 4 19" xfId="30759" xr:uid="{1DAFFC59-E025-4F4D-A01B-7CB476A4FED6}"/>
    <cellStyle name="40% - Accent1 2 4 2" xfId="1149" xr:uid="{D9B8DDE7-9A0B-43C9-B629-61E18C8457D0}"/>
    <cellStyle name="40% - Accent1 2 4 2 10" xfId="18159" xr:uid="{E03DD58D-67EA-4D66-961C-542E81B59D1A}"/>
    <cellStyle name="40% - Accent1 2 4 2 11" xfId="20049" xr:uid="{8EAFF5A3-69D1-4ADA-BEDC-C6943C54626E}"/>
    <cellStyle name="40% - Accent1 2 4 2 12" xfId="21939" xr:uid="{F7C4314E-F0F5-4B51-B0B1-A781465521D3}"/>
    <cellStyle name="40% - Accent1 2 4 2 13" xfId="23829" xr:uid="{6EF7EC63-73C9-4B67-97AB-DEBCC8FCE204}"/>
    <cellStyle name="40% - Accent1 2 4 2 14" xfId="25719" xr:uid="{2A09152F-C62B-4B4B-9049-BC239B8C9F78}"/>
    <cellStyle name="40% - Accent1 2 4 2 15" xfId="27609" xr:uid="{DF45504C-8395-48BA-89BF-294244E208D3}"/>
    <cellStyle name="40% - Accent1 2 4 2 16" xfId="29499" xr:uid="{FC5FB161-16CB-4F7F-BBAB-73F5F4EEAFF1}"/>
    <cellStyle name="40% - Accent1 2 4 2 17" xfId="31389" xr:uid="{DC09AA8A-464C-400A-8EB5-BCA100316ADB}"/>
    <cellStyle name="40% - Accent1 2 4 2 18" xfId="33279" xr:uid="{36BDB202-73F9-44AE-83BF-F32EDF6B4CAA}"/>
    <cellStyle name="40% - Accent1 2 4 2 19" xfId="35169" xr:uid="{DD316F17-2CBF-4FEA-8D63-962E9A1FE237}"/>
    <cellStyle name="40% - Accent1 2 4 2 2" xfId="3039" xr:uid="{123DFA2C-D48E-4E38-8AD9-C4D456555EF4}"/>
    <cellStyle name="40% - Accent1 2 4 2 20" xfId="37059" xr:uid="{6942D0B4-45BE-4CE6-BBAB-17FE831ED360}"/>
    <cellStyle name="40% - Accent1 2 4 2 21" xfId="38949" xr:uid="{C76E55A8-AD16-43C4-BC09-64B9E49A6812}"/>
    <cellStyle name="40% - Accent1 2 4 2 22" xfId="40840" xr:uid="{9E0B7353-52EB-44E9-825F-22BCB0B7B6C9}"/>
    <cellStyle name="40% - Accent1 2 4 2 3" xfId="4929" xr:uid="{D5F11A96-9652-4EFF-BCD3-102FF7B3170A}"/>
    <cellStyle name="40% - Accent1 2 4 2 4" xfId="6819" xr:uid="{1D752C6F-C243-4E6C-8F7F-188E9A9767C4}"/>
    <cellStyle name="40% - Accent1 2 4 2 5" xfId="8709" xr:uid="{D0F24770-253E-4136-A780-09BCB1C8B4A8}"/>
    <cellStyle name="40% - Accent1 2 4 2 6" xfId="10599" xr:uid="{3727AA9C-99FB-4CB0-B611-59EA7F1260C9}"/>
    <cellStyle name="40% - Accent1 2 4 2 7" xfId="12489" xr:uid="{7D95A369-0C88-4A3C-936F-3A2E764A4C1D}"/>
    <cellStyle name="40% - Accent1 2 4 2 8" xfId="14379" xr:uid="{C67BDF14-CE6C-4F5A-A7D6-1D18F14D3085}"/>
    <cellStyle name="40% - Accent1 2 4 2 9" xfId="16269" xr:uid="{E834EC42-DE0E-41D0-8F8C-AE9B827C210C}"/>
    <cellStyle name="40% - Accent1 2 4 20" xfId="32649" xr:uid="{43DB22FB-D46B-42D8-901B-A66A6E64C4D3}"/>
    <cellStyle name="40% - Accent1 2 4 21" xfId="34539" xr:uid="{BC68A86D-F2D7-4E6D-A4E8-A012A578C72D}"/>
    <cellStyle name="40% - Accent1 2 4 22" xfId="36429" xr:uid="{6B649CCA-D16B-4507-9E82-A73334340228}"/>
    <cellStyle name="40% - Accent1 2 4 23" xfId="38319" xr:uid="{E7F6DC13-A381-4FC2-BC8C-668F01C5C4D7}"/>
    <cellStyle name="40% - Accent1 2 4 24" xfId="40210" xr:uid="{C6F9BBB4-C343-4C4C-84F1-40BE6E30AF2A}"/>
    <cellStyle name="40% - Accent1 2 4 3" xfId="1779" xr:uid="{4979CE6C-46CB-43EB-98F8-4A737B17F64C}"/>
    <cellStyle name="40% - Accent1 2 4 3 10" xfId="18789" xr:uid="{D7C9C774-6F6E-4CDC-87B5-5838A22A40D1}"/>
    <cellStyle name="40% - Accent1 2 4 3 11" xfId="20679" xr:uid="{F39CA2BE-450B-4B2D-94A2-54B9F8609A86}"/>
    <cellStyle name="40% - Accent1 2 4 3 12" xfId="22569" xr:uid="{FF31260A-ED17-4FE9-B514-525158D7F7FE}"/>
    <cellStyle name="40% - Accent1 2 4 3 13" xfId="24459" xr:uid="{3A18B462-E31B-4155-8249-55ED7147FE8C}"/>
    <cellStyle name="40% - Accent1 2 4 3 14" xfId="26349" xr:uid="{6826D6AC-40EE-435D-AEF2-0F45A53762D5}"/>
    <cellStyle name="40% - Accent1 2 4 3 15" xfId="28239" xr:uid="{D61A58AD-BF75-479F-96C4-79D3E8CE8FCB}"/>
    <cellStyle name="40% - Accent1 2 4 3 16" xfId="30129" xr:uid="{B6E80BBA-2322-4C7B-A894-FC2BAAB988B8}"/>
    <cellStyle name="40% - Accent1 2 4 3 17" xfId="32019" xr:uid="{9334EF35-ED43-4338-813E-57A90F9B0B5F}"/>
    <cellStyle name="40% - Accent1 2 4 3 18" xfId="33909" xr:uid="{13E4E59E-6AF5-4CEB-B3F7-5E831354E35D}"/>
    <cellStyle name="40% - Accent1 2 4 3 19" xfId="35799" xr:uid="{EAA710BF-A32A-4481-8B3F-2C51202DB2F1}"/>
    <cellStyle name="40% - Accent1 2 4 3 2" xfId="3669" xr:uid="{1CB057FD-3216-4423-979A-E03C70DAE0EE}"/>
    <cellStyle name="40% - Accent1 2 4 3 20" xfId="37689" xr:uid="{FE4E7656-66E5-4DB8-96A6-C36D58F8859D}"/>
    <cellStyle name="40% - Accent1 2 4 3 21" xfId="39579" xr:uid="{E1640DF1-CD0F-46FA-90FB-718D433BFB9E}"/>
    <cellStyle name="40% - Accent1 2 4 3 22" xfId="41470" xr:uid="{A6FF2A9C-CC18-4CB3-A3C9-F08F0D3F7B92}"/>
    <cellStyle name="40% - Accent1 2 4 3 3" xfId="5559" xr:uid="{681183D2-6A0D-41EB-BEE1-5B0C5B5BF70A}"/>
    <cellStyle name="40% - Accent1 2 4 3 4" xfId="7449" xr:uid="{29CA27C2-33CF-4AB7-9DA7-1C2D59999490}"/>
    <cellStyle name="40% - Accent1 2 4 3 5" xfId="9339" xr:uid="{DEFFA3DC-A85B-492A-AD88-65EDFEB8C2A8}"/>
    <cellStyle name="40% - Accent1 2 4 3 6" xfId="11229" xr:uid="{B0C96BB6-0B8A-4C6B-927B-9C3E682CF3FD}"/>
    <cellStyle name="40% - Accent1 2 4 3 7" xfId="13119" xr:uid="{F1785734-6004-4395-BABE-DC2676B3247E}"/>
    <cellStyle name="40% - Accent1 2 4 3 8" xfId="15009" xr:uid="{3AA31AD0-6CCF-48EE-99DC-884CD4A25C0E}"/>
    <cellStyle name="40% - Accent1 2 4 3 9" xfId="16899" xr:uid="{72885B88-B5FE-4AAE-A95F-0C59B33D05CA}"/>
    <cellStyle name="40% - Accent1 2 4 4" xfId="2409" xr:uid="{31847739-4BAA-415E-83EB-1AEBD7DCCBD3}"/>
    <cellStyle name="40% - Accent1 2 4 5" xfId="4299" xr:uid="{EF8EA302-7F5D-4772-9460-AAAAEC8F91CC}"/>
    <cellStyle name="40% - Accent1 2 4 6" xfId="6189" xr:uid="{0AAC5AB8-B813-4C5B-AB66-0F18F6147273}"/>
    <cellStyle name="40% - Accent1 2 4 7" xfId="8079" xr:uid="{27DA0B97-FD00-4736-B756-12D0197754BF}"/>
    <cellStyle name="40% - Accent1 2 4 8" xfId="9969" xr:uid="{4770A599-45E6-4726-8B42-3093D68EEAF4}"/>
    <cellStyle name="40% - Accent1 2 4 9" xfId="11859" xr:uid="{C0039B89-814D-4812-A7C0-DD0E6FDC65FA}"/>
    <cellStyle name="40% - Accent1 2 5" xfId="729" xr:uid="{A16D0A46-F15F-4385-AA7A-C3E3DA210CC4}"/>
    <cellStyle name="40% - Accent1 2 5 10" xfId="17739" xr:uid="{2E1AF56C-C6EC-4039-A594-49323355E316}"/>
    <cellStyle name="40% - Accent1 2 5 11" xfId="19629" xr:uid="{94394BBC-667F-4C34-99A7-968306A31A54}"/>
    <cellStyle name="40% - Accent1 2 5 12" xfId="21519" xr:uid="{F0197D4F-4CB0-457F-8E1E-ACB5704B433E}"/>
    <cellStyle name="40% - Accent1 2 5 13" xfId="23409" xr:uid="{DF82BBDF-BDD4-457C-9BFC-C650168DAD7B}"/>
    <cellStyle name="40% - Accent1 2 5 14" xfId="25299" xr:uid="{ADDBBCFD-4744-4A82-9901-42159E293BD7}"/>
    <cellStyle name="40% - Accent1 2 5 15" xfId="27189" xr:uid="{54B72DCA-6BFF-477C-B71D-64DBB9388C35}"/>
    <cellStyle name="40% - Accent1 2 5 16" xfId="29079" xr:uid="{1CAE83B8-1814-4D59-894D-17057A326773}"/>
    <cellStyle name="40% - Accent1 2 5 17" xfId="30969" xr:uid="{D39AE424-9B87-40B7-9777-0B0E179D7814}"/>
    <cellStyle name="40% - Accent1 2 5 18" xfId="32859" xr:uid="{7911E881-0ED8-403C-AD33-042BC73D0A8A}"/>
    <cellStyle name="40% - Accent1 2 5 19" xfId="34749" xr:uid="{2390653A-EDF1-43D3-ABC6-BF5A52B396A3}"/>
    <cellStyle name="40% - Accent1 2 5 2" xfId="2619" xr:uid="{98DE010B-C034-4AFA-90C6-06ABB46469C7}"/>
    <cellStyle name="40% - Accent1 2 5 20" xfId="36639" xr:uid="{85F7429F-9EEF-476F-B75A-8C8BF3214B31}"/>
    <cellStyle name="40% - Accent1 2 5 21" xfId="38529" xr:uid="{32F4E4D3-70FD-4421-97E1-E4082EC933C8}"/>
    <cellStyle name="40% - Accent1 2 5 22" xfId="40420" xr:uid="{A0809257-ABE2-404E-BD74-414D0A3AE344}"/>
    <cellStyle name="40% - Accent1 2 5 3" xfId="4509" xr:uid="{05CDA310-E2D7-41C1-A654-78EAB1883673}"/>
    <cellStyle name="40% - Accent1 2 5 4" xfId="6399" xr:uid="{46BB6C5B-4C7D-4C84-97A0-B572CEB3D4C7}"/>
    <cellStyle name="40% - Accent1 2 5 5" xfId="8289" xr:uid="{EEE17799-2DAA-47A4-BA5E-2DAE7C0A7E93}"/>
    <cellStyle name="40% - Accent1 2 5 6" xfId="10179" xr:uid="{DC15E41B-6151-43F7-A61A-76A8E2C8E520}"/>
    <cellStyle name="40% - Accent1 2 5 7" xfId="12069" xr:uid="{E02AF5B3-D7F8-4760-A022-231C7C3A29E2}"/>
    <cellStyle name="40% - Accent1 2 5 8" xfId="13959" xr:uid="{1B568F55-D3C4-4290-836F-412CDF8F420B}"/>
    <cellStyle name="40% - Accent1 2 5 9" xfId="15849" xr:uid="{BE25A478-A23A-4742-B0A8-1DFC02B665CE}"/>
    <cellStyle name="40% - Accent1 2 6" xfId="1359" xr:uid="{073C6264-DE86-48AD-9EA2-7266A5668C20}"/>
    <cellStyle name="40% - Accent1 2 6 10" xfId="18369" xr:uid="{7DF89FE3-97E2-4AE2-B041-EA635184ECE7}"/>
    <cellStyle name="40% - Accent1 2 6 11" xfId="20259" xr:uid="{FE62B87D-3801-4BF1-967D-4E1A627ED9BB}"/>
    <cellStyle name="40% - Accent1 2 6 12" xfId="22149" xr:uid="{AA9A29E7-56C5-4F89-8AFB-47A7DC56FF3D}"/>
    <cellStyle name="40% - Accent1 2 6 13" xfId="24039" xr:uid="{6CFE4C2F-1A46-411E-8126-A71B7564287B}"/>
    <cellStyle name="40% - Accent1 2 6 14" xfId="25929" xr:uid="{E15D36CC-EF7E-4FB5-ADF8-65EBB99A2F03}"/>
    <cellStyle name="40% - Accent1 2 6 15" xfId="27819" xr:uid="{5EE3A5EB-C961-4C6A-9361-960E2270F090}"/>
    <cellStyle name="40% - Accent1 2 6 16" xfId="29709" xr:uid="{5AE0EAE6-5425-423D-9019-93A844DDA61A}"/>
    <cellStyle name="40% - Accent1 2 6 17" xfId="31599" xr:uid="{BAC691F2-598A-4680-9303-DFC97174E254}"/>
    <cellStyle name="40% - Accent1 2 6 18" xfId="33489" xr:uid="{61D83D82-43BA-41A1-8232-76196DE2B52D}"/>
    <cellStyle name="40% - Accent1 2 6 19" xfId="35379" xr:uid="{233407F7-50C9-411D-859C-DA82592781A0}"/>
    <cellStyle name="40% - Accent1 2 6 2" xfId="3249" xr:uid="{9772A927-65C5-4B89-A112-F2484DB248BF}"/>
    <cellStyle name="40% - Accent1 2 6 20" xfId="37269" xr:uid="{1F009A7D-4F4F-49BE-AC8B-7A8692591DAB}"/>
    <cellStyle name="40% - Accent1 2 6 21" xfId="39159" xr:uid="{E25FA2E0-1BC2-4FE9-B21F-BDB86B102CA0}"/>
    <cellStyle name="40% - Accent1 2 6 22" xfId="41050" xr:uid="{EB7E286B-0E0F-4D5D-A646-BE33E669ACDC}"/>
    <cellStyle name="40% - Accent1 2 6 3" xfId="5139" xr:uid="{16A3ABB4-2201-4911-B494-C1518BA7731A}"/>
    <cellStyle name="40% - Accent1 2 6 4" xfId="7029" xr:uid="{96113C13-0621-42D8-8520-2978107A09C2}"/>
    <cellStyle name="40% - Accent1 2 6 5" xfId="8919" xr:uid="{D5C7ECE3-03B8-46F1-86E6-37694FA08E07}"/>
    <cellStyle name="40% - Accent1 2 6 6" xfId="10809" xr:uid="{9D64810B-1874-426F-95E6-5958E1CA0B94}"/>
    <cellStyle name="40% - Accent1 2 6 7" xfId="12699" xr:uid="{FA1C0BED-0822-4C28-AF59-B4B8B8529D83}"/>
    <cellStyle name="40% - Accent1 2 6 8" xfId="14589" xr:uid="{2CCFF926-2645-4527-A302-982CC9B3F121}"/>
    <cellStyle name="40% - Accent1 2 6 9" xfId="16479" xr:uid="{72E3BD20-3795-4C45-AA8B-8D526BEE27C5}"/>
    <cellStyle name="40% - Accent1 2 7" xfId="1989" xr:uid="{270A21E4-E97E-4FE7-A402-AC94F78AA0AD}"/>
    <cellStyle name="40% - Accent1 2 8" xfId="3879" xr:uid="{457A5C45-60A1-400D-B3A7-1B92BEAFF33C}"/>
    <cellStyle name="40% - Accent1 2 9" xfId="5769" xr:uid="{E4579FB9-1160-413A-8410-B06F239B52B6}"/>
    <cellStyle name="40% - Accent1 20" xfId="22757" xr:uid="{8A864E06-1164-4431-8480-ADEF64CAE76C}"/>
    <cellStyle name="40% - Accent1 21" xfId="24647" xr:uid="{17730633-FB39-448C-8515-F3B5A7BAE22F}"/>
    <cellStyle name="40% - Accent1 22" xfId="26537" xr:uid="{3A1DCB84-C254-41E2-A2A1-902969D2406F}"/>
    <cellStyle name="40% - Accent1 23" xfId="28427" xr:uid="{810EAD8A-E019-4848-8324-5D1A6FDD70AA}"/>
    <cellStyle name="40% - Accent1 24" xfId="30317" xr:uid="{CD512203-4837-4319-91FE-A1A4D186868D}"/>
    <cellStyle name="40% - Accent1 25" xfId="32207" xr:uid="{299FB6D1-461A-4717-959E-2490C82E0EA8}"/>
    <cellStyle name="40% - Accent1 26" xfId="34097" xr:uid="{0B8413A1-C9B1-45BF-88C5-3B61FDEF1E91}"/>
    <cellStyle name="40% - Accent1 27" xfId="35987" xr:uid="{DF6DC05D-4F96-4D78-AF92-1ED17833DFB4}"/>
    <cellStyle name="40% - Accent1 28" xfId="37877" xr:uid="{EF59BC07-7B5A-4083-940F-B50EA8EC93D9}"/>
    <cellStyle name="40% - Accent1 29" xfId="39768" xr:uid="{98ED68BD-934F-4775-BBF8-4D1CBB426445}"/>
    <cellStyle name="40% - Accent1 3" xfId="119" xr:uid="{D147DC8F-7D7C-4995-B10E-04D7F55A7F22}"/>
    <cellStyle name="40% - Accent1 3 10" xfId="7679" xr:uid="{EE13E935-011B-4D16-AC8F-C3D248685B07}"/>
    <cellStyle name="40% - Accent1 3 11" xfId="9569" xr:uid="{84D078FD-D6CC-4C0E-80AF-6A6FB33A69B2}"/>
    <cellStyle name="40% - Accent1 3 12" xfId="11459" xr:uid="{FB948065-BA3E-4C15-8BB6-A00D19CC36CA}"/>
    <cellStyle name="40% - Accent1 3 13" xfId="13349" xr:uid="{55DDFE4C-5FB6-4718-AA0E-4DE3FD0B2D59}"/>
    <cellStyle name="40% - Accent1 3 14" xfId="15239" xr:uid="{7223137C-449C-49F1-A794-05520DA873DA}"/>
    <cellStyle name="40% - Accent1 3 15" xfId="17129" xr:uid="{C8DEEBDA-294D-4792-B97A-C7B5F6ECCD65}"/>
    <cellStyle name="40% - Accent1 3 16" xfId="19019" xr:uid="{C783D715-0528-4ABF-B085-00103B637EAA}"/>
    <cellStyle name="40% - Accent1 3 17" xfId="20909" xr:uid="{8A02C695-21B9-4BAB-A6E0-EB8337C9EE78}"/>
    <cellStyle name="40% - Accent1 3 18" xfId="22799" xr:uid="{909AC239-D53D-4D6E-A819-13C542E698FB}"/>
    <cellStyle name="40% - Accent1 3 19" xfId="24689" xr:uid="{9B8C6FFE-7DDF-4FF3-B43F-520E2523F70F}"/>
    <cellStyle name="40% - Accent1 3 2" xfId="224" xr:uid="{07C3D03F-B9F8-4761-A8B1-E7ED0DC60B43}"/>
    <cellStyle name="40% - Accent1 3 2 10" xfId="9674" xr:uid="{5B684280-6CEC-4E07-AA6F-FEB02C2BD2D5}"/>
    <cellStyle name="40% - Accent1 3 2 11" xfId="11564" xr:uid="{EA581D15-3416-424F-A935-9FC279EA1FB1}"/>
    <cellStyle name="40% - Accent1 3 2 12" xfId="13454" xr:uid="{C0619DC9-4EBF-49E8-A9FF-44F0B8BB58D2}"/>
    <cellStyle name="40% - Accent1 3 2 13" xfId="15344" xr:uid="{55DF40B1-D22E-4C77-B9A1-3C59523E642B}"/>
    <cellStyle name="40% - Accent1 3 2 14" xfId="17234" xr:uid="{FB20847B-633A-4B41-B120-271FE9426EBC}"/>
    <cellStyle name="40% - Accent1 3 2 15" xfId="19124" xr:uid="{83D3193D-D7E2-4C41-8C0C-B7B528BF6B41}"/>
    <cellStyle name="40% - Accent1 3 2 16" xfId="21014" xr:uid="{B04463AC-2C17-48FE-8E7F-3954FBE1780E}"/>
    <cellStyle name="40% - Accent1 3 2 17" xfId="22904" xr:uid="{0A035DB4-AC12-4087-8F40-17489E3B5136}"/>
    <cellStyle name="40% - Accent1 3 2 18" xfId="24794" xr:uid="{3BB5D740-2A3D-4988-9862-C0E0455CAC1B}"/>
    <cellStyle name="40% - Accent1 3 2 19" xfId="26684" xr:uid="{2983A61C-B02D-4E5A-A3CC-AAE997A7E097}"/>
    <cellStyle name="40% - Accent1 3 2 2" xfId="434" xr:uid="{938662E0-3E42-42F0-8391-DBF8B27D488F}"/>
    <cellStyle name="40% - Accent1 3 2 2 10" xfId="13664" xr:uid="{D77EE548-0206-47BF-833C-ED09843001C5}"/>
    <cellStyle name="40% - Accent1 3 2 2 11" xfId="15554" xr:uid="{0898B68C-A19E-4281-BDDE-8C25BB6E1AB0}"/>
    <cellStyle name="40% - Accent1 3 2 2 12" xfId="17444" xr:uid="{80AE1F4D-F2FA-4273-9053-491D956FFF8D}"/>
    <cellStyle name="40% - Accent1 3 2 2 13" xfId="19334" xr:uid="{7CA9B51A-E079-4DFE-AF68-9182EF48CB67}"/>
    <cellStyle name="40% - Accent1 3 2 2 14" xfId="21224" xr:uid="{F15A65E8-B73C-4E41-85DD-7822A664A2CA}"/>
    <cellStyle name="40% - Accent1 3 2 2 15" xfId="23114" xr:uid="{B6565CE6-CDDC-41DF-8DB3-79C68288882D}"/>
    <cellStyle name="40% - Accent1 3 2 2 16" xfId="25004" xr:uid="{CD17302E-2C5C-45E8-ABD1-5E959B65C24B}"/>
    <cellStyle name="40% - Accent1 3 2 2 17" xfId="26894" xr:uid="{73B78ACF-2576-4F7C-BADB-E1F2E315DD25}"/>
    <cellStyle name="40% - Accent1 3 2 2 18" xfId="28784" xr:uid="{5535EC15-8126-410D-A863-C96A87913A6A}"/>
    <cellStyle name="40% - Accent1 3 2 2 19" xfId="30674" xr:uid="{6210C8EC-98B6-4557-879D-7148CFFFD437}"/>
    <cellStyle name="40% - Accent1 3 2 2 2" xfId="1064" xr:uid="{72C0A615-C2B1-4FC1-90AD-C7ECB395FE7F}"/>
    <cellStyle name="40% - Accent1 3 2 2 2 10" xfId="18074" xr:uid="{50740295-C58C-4741-AD00-47F99AF6F642}"/>
    <cellStyle name="40% - Accent1 3 2 2 2 11" xfId="19964" xr:uid="{41B18C3C-08F8-46E6-9E1E-962379D6D986}"/>
    <cellStyle name="40% - Accent1 3 2 2 2 12" xfId="21854" xr:uid="{8E4C8E0A-C44D-4686-85EE-457CBDB6DF22}"/>
    <cellStyle name="40% - Accent1 3 2 2 2 13" xfId="23744" xr:uid="{B4BFA65C-6F55-4E8D-885A-8048C059F672}"/>
    <cellStyle name="40% - Accent1 3 2 2 2 14" xfId="25634" xr:uid="{E757999E-FA4C-4C54-A759-2CB33ADB633A}"/>
    <cellStyle name="40% - Accent1 3 2 2 2 15" xfId="27524" xr:uid="{C801D63E-F967-49E1-9163-D09D18A932C4}"/>
    <cellStyle name="40% - Accent1 3 2 2 2 16" xfId="29414" xr:uid="{DCB19831-5608-425D-822E-B0660B5B8C06}"/>
    <cellStyle name="40% - Accent1 3 2 2 2 17" xfId="31304" xr:uid="{717E8330-89B5-4F7A-829C-EA0D2D28B970}"/>
    <cellStyle name="40% - Accent1 3 2 2 2 18" xfId="33194" xr:uid="{A1698A10-2EB9-4C47-91BE-3A514ABC0F6B}"/>
    <cellStyle name="40% - Accent1 3 2 2 2 19" xfId="35084" xr:uid="{8BED6A78-F28E-46BE-9AE0-B0573599A377}"/>
    <cellStyle name="40% - Accent1 3 2 2 2 2" xfId="2954" xr:uid="{15EA56E2-22C1-4882-9346-1742D49F011B}"/>
    <cellStyle name="40% - Accent1 3 2 2 2 20" xfId="36974" xr:uid="{3E701B4D-815B-498D-8084-1EAA0EFEE9E8}"/>
    <cellStyle name="40% - Accent1 3 2 2 2 21" xfId="38864" xr:uid="{652B0D32-1D5C-4033-83CB-CBC5A5046B27}"/>
    <cellStyle name="40% - Accent1 3 2 2 2 22" xfId="40755" xr:uid="{6454946C-4238-4E24-9FEF-956CE70332B9}"/>
    <cellStyle name="40% - Accent1 3 2 2 2 3" xfId="4844" xr:uid="{766FE84F-FF2B-4C5D-90C4-892EBF3EE128}"/>
    <cellStyle name="40% - Accent1 3 2 2 2 4" xfId="6734" xr:uid="{2416A58F-B0AD-4FFE-9116-E6F83F1CEB36}"/>
    <cellStyle name="40% - Accent1 3 2 2 2 5" xfId="8624" xr:uid="{6CFE6956-C165-443D-8681-A6CFE52A3B34}"/>
    <cellStyle name="40% - Accent1 3 2 2 2 6" xfId="10514" xr:uid="{D8F7DEFE-54A6-4027-9C1F-83C4738F951B}"/>
    <cellStyle name="40% - Accent1 3 2 2 2 7" xfId="12404" xr:uid="{77FDE774-959D-4B1A-9CF2-9A382F4F1E2A}"/>
    <cellStyle name="40% - Accent1 3 2 2 2 8" xfId="14294" xr:uid="{04C4FF2E-50F2-46F6-A1EF-F5D41CF5E5E9}"/>
    <cellStyle name="40% - Accent1 3 2 2 2 9" xfId="16184" xr:uid="{E819C45F-1ED4-4387-8434-91CB475D89B5}"/>
    <cellStyle name="40% - Accent1 3 2 2 20" xfId="32564" xr:uid="{14501F0D-E3E9-4C45-90F2-D81980B8024D}"/>
    <cellStyle name="40% - Accent1 3 2 2 21" xfId="34454" xr:uid="{6261E26C-9503-4FCE-BB90-033FEB17A0B8}"/>
    <cellStyle name="40% - Accent1 3 2 2 22" xfId="36344" xr:uid="{E2527839-B71F-4A40-A563-131AA2F305CC}"/>
    <cellStyle name="40% - Accent1 3 2 2 23" xfId="38234" xr:uid="{32C98344-0070-48A6-83ED-D40D5BD6D939}"/>
    <cellStyle name="40% - Accent1 3 2 2 24" xfId="40125" xr:uid="{4EB7731F-A3F9-4B61-9844-771C7BAE1483}"/>
    <cellStyle name="40% - Accent1 3 2 2 3" xfId="1694" xr:uid="{5E37BC5F-5D47-478B-A8FA-098582C0D8F0}"/>
    <cellStyle name="40% - Accent1 3 2 2 3 10" xfId="18704" xr:uid="{A7A83EAF-0297-45CB-ABE5-50D9CCD85973}"/>
    <cellStyle name="40% - Accent1 3 2 2 3 11" xfId="20594" xr:uid="{49338984-0D89-46D1-B043-93C14ABB6984}"/>
    <cellStyle name="40% - Accent1 3 2 2 3 12" xfId="22484" xr:uid="{D855144D-4333-4E86-A881-544769C44C5D}"/>
    <cellStyle name="40% - Accent1 3 2 2 3 13" xfId="24374" xr:uid="{283A700B-22C5-4C6A-A57C-1CD239B3ECCB}"/>
    <cellStyle name="40% - Accent1 3 2 2 3 14" xfId="26264" xr:uid="{E4C4F5FF-96DF-48C9-924E-4A5CE2C478CE}"/>
    <cellStyle name="40% - Accent1 3 2 2 3 15" xfId="28154" xr:uid="{3D6CF128-C3D1-4AEC-80EE-982F007B1B8E}"/>
    <cellStyle name="40% - Accent1 3 2 2 3 16" xfId="30044" xr:uid="{C0D39537-E41A-4B50-919A-AAA2A3240F87}"/>
    <cellStyle name="40% - Accent1 3 2 2 3 17" xfId="31934" xr:uid="{C27CDA4B-08AE-460C-AA1A-B1AE0D9D11F5}"/>
    <cellStyle name="40% - Accent1 3 2 2 3 18" xfId="33824" xr:uid="{1B393BED-D5B5-483B-97F6-4704A9814482}"/>
    <cellStyle name="40% - Accent1 3 2 2 3 19" xfId="35714" xr:uid="{70E9AE35-59F4-4F97-A4A7-A40DC7595C18}"/>
    <cellStyle name="40% - Accent1 3 2 2 3 2" xfId="3584" xr:uid="{A8D26486-2A1C-4DD1-B5D5-0DB1FFBB823B}"/>
    <cellStyle name="40% - Accent1 3 2 2 3 20" xfId="37604" xr:uid="{FB2C16D9-8E53-45CA-9389-C4A47BA3A32D}"/>
    <cellStyle name="40% - Accent1 3 2 2 3 21" xfId="39494" xr:uid="{5F8A0527-D2A7-4A1E-B996-DA46841F3290}"/>
    <cellStyle name="40% - Accent1 3 2 2 3 22" xfId="41385" xr:uid="{6F654149-B225-42EF-BB15-E85C60D62437}"/>
    <cellStyle name="40% - Accent1 3 2 2 3 3" xfId="5474" xr:uid="{36629136-44D4-444A-B496-03E09B68C42A}"/>
    <cellStyle name="40% - Accent1 3 2 2 3 4" xfId="7364" xr:uid="{7B2344A1-A45C-4942-9969-D2BCB6823E3F}"/>
    <cellStyle name="40% - Accent1 3 2 2 3 5" xfId="9254" xr:uid="{47F34116-85DF-49B0-9591-C40D6490DEDE}"/>
    <cellStyle name="40% - Accent1 3 2 2 3 6" xfId="11144" xr:uid="{3BEDB04B-B338-4D8B-9929-DD2D7D12A1C3}"/>
    <cellStyle name="40% - Accent1 3 2 2 3 7" xfId="13034" xr:uid="{E6A44C11-3EED-4B82-89F8-AF342CBFEC5D}"/>
    <cellStyle name="40% - Accent1 3 2 2 3 8" xfId="14924" xr:uid="{28CF3FF7-9E41-4C81-9485-459D44C3A788}"/>
    <cellStyle name="40% - Accent1 3 2 2 3 9" xfId="16814" xr:uid="{C95512FE-9125-418A-A0A2-9B0A4C362DCB}"/>
    <cellStyle name="40% - Accent1 3 2 2 4" xfId="2324" xr:uid="{0AAF2147-E9BA-48E1-8404-F6DED6B9F86F}"/>
    <cellStyle name="40% - Accent1 3 2 2 5" xfId="4214" xr:uid="{2A64DE6F-6F5C-4455-BD20-8B21B6B4E162}"/>
    <cellStyle name="40% - Accent1 3 2 2 6" xfId="6104" xr:uid="{55D365D5-1DB3-4082-B807-B85FC1B9506A}"/>
    <cellStyle name="40% - Accent1 3 2 2 7" xfId="7994" xr:uid="{648989CD-53DC-47D6-B915-F7BB0C2139DE}"/>
    <cellStyle name="40% - Accent1 3 2 2 8" xfId="9884" xr:uid="{7C37CA27-B489-4709-B8FA-A4B3C2694699}"/>
    <cellStyle name="40% - Accent1 3 2 2 9" xfId="11774" xr:uid="{93DA1879-25C5-4213-ADAE-16A20448D148}"/>
    <cellStyle name="40% - Accent1 3 2 20" xfId="28574" xr:uid="{718A694A-BE7A-4E3E-95A1-08E28CEAC971}"/>
    <cellStyle name="40% - Accent1 3 2 21" xfId="30464" xr:uid="{2A88B7E0-0858-4EA0-8B4C-BC55756304D0}"/>
    <cellStyle name="40% - Accent1 3 2 22" xfId="32354" xr:uid="{2CBB8FBD-933A-4B76-BE18-BACF0C59C8E5}"/>
    <cellStyle name="40% - Accent1 3 2 23" xfId="34244" xr:uid="{2BCCCBF7-0DAF-49E4-AF4D-DE497145F9A8}"/>
    <cellStyle name="40% - Accent1 3 2 24" xfId="36134" xr:uid="{A2677328-7F62-42A2-B795-E5B4F2779589}"/>
    <cellStyle name="40% - Accent1 3 2 25" xfId="38024" xr:uid="{9F643A0F-FB1C-45CB-A82A-798767C9D01E}"/>
    <cellStyle name="40% - Accent1 3 2 26" xfId="39915" xr:uid="{63A8EEAA-1463-43FB-8475-65D4CB2A6D48}"/>
    <cellStyle name="40% - Accent1 3 2 3" xfId="644" xr:uid="{C737203C-65A2-4EE0-9779-057AF2462EE2}"/>
    <cellStyle name="40% - Accent1 3 2 3 10" xfId="13874" xr:uid="{6C894F6A-05AC-41EB-9CC4-80D55CB67AAF}"/>
    <cellStyle name="40% - Accent1 3 2 3 11" xfId="15764" xr:uid="{4712F62C-825F-44C8-8F5E-E04895477EEC}"/>
    <cellStyle name="40% - Accent1 3 2 3 12" xfId="17654" xr:uid="{E2E54218-D945-4193-9CE8-C5241EB69D5D}"/>
    <cellStyle name="40% - Accent1 3 2 3 13" xfId="19544" xr:uid="{85837024-AECC-46D9-B123-243820655D9B}"/>
    <cellStyle name="40% - Accent1 3 2 3 14" xfId="21434" xr:uid="{5BBA0598-FFD7-485D-ADA7-ABD7E1C90208}"/>
    <cellStyle name="40% - Accent1 3 2 3 15" xfId="23324" xr:uid="{B8D8C18E-030B-4AAB-880D-58BACFEBFF8C}"/>
    <cellStyle name="40% - Accent1 3 2 3 16" xfId="25214" xr:uid="{A0483E18-535F-49EA-9891-EAAF44DD3880}"/>
    <cellStyle name="40% - Accent1 3 2 3 17" xfId="27104" xr:uid="{4985D1F9-A374-42DB-A7AF-EF4E62F15D33}"/>
    <cellStyle name="40% - Accent1 3 2 3 18" xfId="28994" xr:uid="{0D34BF6F-BF8D-4367-A4E0-8814C73CFBA0}"/>
    <cellStyle name="40% - Accent1 3 2 3 19" xfId="30884" xr:uid="{07F07DD5-E2E4-4BE0-A7EB-3303AD9D279E}"/>
    <cellStyle name="40% - Accent1 3 2 3 2" xfId="1274" xr:uid="{5869C03D-56EE-4B22-A625-19081AFD164C}"/>
    <cellStyle name="40% - Accent1 3 2 3 2 10" xfId="18284" xr:uid="{F778C711-64BC-4922-B4D7-3C2931D87D70}"/>
    <cellStyle name="40% - Accent1 3 2 3 2 11" xfId="20174" xr:uid="{8B23EAEE-6B14-4B39-88A2-0FDD33A7E987}"/>
    <cellStyle name="40% - Accent1 3 2 3 2 12" xfId="22064" xr:uid="{08C8F8E1-B5AB-42B3-8964-D77179D1E98C}"/>
    <cellStyle name="40% - Accent1 3 2 3 2 13" xfId="23954" xr:uid="{D55C0A38-56CE-4CC2-B7D1-F2E2BDD7757B}"/>
    <cellStyle name="40% - Accent1 3 2 3 2 14" xfId="25844" xr:uid="{5F835FD0-DAE3-4281-B00B-6EB6AA21CE8D}"/>
    <cellStyle name="40% - Accent1 3 2 3 2 15" xfId="27734" xr:uid="{E8714675-A7C7-46EA-B75A-5A93C5195DEC}"/>
    <cellStyle name="40% - Accent1 3 2 3 2 16" xfId="29624" xr:uid="{DCB849B9-DD32-48A9-B2C4-C319DDF97ADE}"/>
    <cellStyle name="40% - Accent1 3 2 3 2 17" xfId="31514" xr:uid="{605361C7-8168-461F-B16D-8B78B22FDC1A}"/>
    <cellStyle name="40% - Accent1 3 2 3 2 18" xfId="33404" xr:uid="{0590B972-6EA2-4D46-8C07-8B30F984FCEE}"/>
    <cellStyle name="40% - Accent1 3 2 3 2 19" xfId="35294" xr:uid="{4080186B-C2E4-4F60-B732-C43ACFFA4911}"/>
    <cellStyle name="40% - Accent1 3 2 3 2 2" xfId="3164" xr:uid="{5E611ACF-66DF-415F-893D-20007D095C1B}"/>
    <cellStyle name="40% - Accent1 3 2 3 2 20" xfId="37184" xr:uid="{FE5054F4-0182-433D-8892-1F0530A4936E}"/>
    <cellStyle name="40% - Accent1 3 2 3 2 21" xfId="39074" xr:uid="{CB4E0D32-C6D7-4C1F-9B48-3E9F5EEC6B51}"/>
    <cellStyle name="40% - Accent1 3 2 3 2 22" xfId="40965" xr:uid="{A345B254-5907-4A3C-8291-8EE09186E186}"/>
    <cellStyle name="40% - Accent1 3 2 3 2 3" xfId="5054" xr:uid="{4E07F593-FAE9-4E63-B245-2D55539561E5}"/>
    <cellStyle name="40% - Accent1 3 2 3 2 4" xfId="6944" xr:uid="{58E29688-E88A-44EE-B477-DFCCCDECE6FF}"/>
    <cellStyle name="40% - Accent1 3 2 3 2 5" xfId="8834" xr:uid="{23FBE554-28AF-4E55-AB96-952E7D12C33D}"/>
    <cellStyle name="40% - Accent1 3 2 3 2 6" xfId="10724" xr:uid="{8C895766-AF97-44A8-91A8-21AE4D104DAE}"/>
    <cellStyle name="40% - Accent1 3 2 3 2 7" xfId="12614" xr:uid="{99ADAC4C-407F-4F01-B4B7-69CC5DF1F1A7}"/>
    <cellStyle name="40% - Accent1 3 2 3 2 8" xfId="14504" xr:uid="{57DE48F0-A3EC-4EE1-8906-35CBF8DC740E}"/>
    <cellStyle name="40% - Accent1 3 2 3 2 9" xfId="16394" xr:uid="{FF14E072-87A0-4D9D-AE39-BFD506EF16BD}"/>
    <cellStyle name="40% - Accent1 3 2 3 20" xfId="32774" xr:uid="{1A637BCE-3314-43BB-98E1-010129FBD6AE}"/>
    <cellStyle name="40% - Accent1 3 2 3 21" xfId="34664" xr:uid="{6FF90D6D-CA62-4AF6-9CAC-2B50A3062EAB}"/>
    <cellStyle name="40% - Accent1 3 2 3 22" xfId="36554" xr:uid="{5F5E1C3C-20B3-404D-A01D-F9C1EC6E35F8}"/>
    <cellStyle name="40% - Accent1 3 2 3 23" xfId="38444" xr:uid="{2BCDFCFA-640B-43AC-9C1C-48D638A289DA}"/>
    <cellStyle name="40% - Accent1 3 2 3 24" xfId="40335" xr:uid="{FBA34232-8B8A-4556-B499-F3B60BC101B8}"/>
    <cellStyle name="40% - Accent1 3 2 3 3" xfId="1904" xr:uid="{361445AE-53A5-40D8-B271-143B360E9E7F}"/>
    <cellStyle name="40% - Accent1 3 2 3 3 10" xfId="18914" xr:uid="{E9421D8C-0B18-4731-940A-73CAB4E5ADA8}"/>
    <cellStyle name="40% - Accent1 3 2 3 3 11" xfId="20804" xr:uid="{0D876480-49C8-4E6D-96AE-5311EE60E8F4}"/>
    <cellStyle name="40% - Accent1 3 2 3 3 12" xfId="22694" xr:uid="{373B3006-15A8-4C10-91E4-D098647149CC}"/>
    <cellStyle name="40% - Accent1 3 2 3 3 13" xfId="24584" xr:uid="{F55462FE-B12E-4A97-8C87-54734AD88129}"/>
    <cellStyle name="40% - Accent1 3 2 3 3 14" xfId="26474" xr:uid="{43D9BD10-EAC0-47B9-9581-B5EBF8DDA06A}"/>
    <cellStyle name="40% - Accent1 3 2 3 3 15" xfId="28364" xr:uid="{5AD7FBF2-D503-4342-89EF-30505C17EAED}"/>
    <cellStyle name="40% - Accent1 3 2 3 3 16" xfId="30254" xr:uid="{4A8A89DC-015D-4ECB-90EB-106D04A82FFC}"/>
    <cellStyle name="40% - Accent1 3 2 3 3 17" xfId="32144" xr:uid="{F7587E21-FDBF-481D-AFAF-617D918FA918}"/>
    <cellStyle name="40% - Accent1 3 2 3 3 18" xfId="34034" xr:uid="{2A898FE1-0728-4384-B6CC-5E7C39ED2249}"/>
    <cellStyle name="40% - Accent1 3 2 3 3 19" xfId="35924" xr:uid="{63120734-74E8-4144-9748-57C22183A672}"/>
    <cellStyle name="40% - Accent1 3 2 3 3 2" xfId="3794" xr:uid="{11AA5360-3DEB-4A24-8925-CE01D239F988}"/>
    <cellStyle name="40% - Accent1 3 2 3 3 20" xfId="37814" xr:uid="{BA9E1996-6174-4BB3-B61F-2B55B8DA5DC8}"/>
    <cellStyle name="40% - Accent1 3 2 3 3 21" xfId="39704" xr:uid="{EE1AE320-F0D2-4104-A4FB-E2A148FA3545}"/>
    <cellStyle name="40% - Accent1 3 2 3 3 22" xfId="41595" xr:uid="{E49B4DF4-D988-49AE-BECA-FA6F61228A93}"/>
    <cellStyle name="40% - Accent1 3 2 3 3 3" xfId="5684" xr:uid="{0A168C8F-7C3F-4377-9663-811931754637}"/>
    <cellStyle name="40% - Accent1 3 2 3 3 4" xfId="7574" xr:uid="{99C8C7E9-37D1-44E8-9C90-026758BF229A}"/>
    <cellStyle name="40% - Accent1 3 2 3 3 5" xfId="9464" xr:uid="{FE8EAF2B-B631-4812-AD13-69A97DB25CC5}"/>
    <cellStyle name="40% - Accent1 3 2 3 3 6" xfId="11354" xr:uid="{EFF219D0-05B7-4065-8D7E-7B5E8064AF5F}"/>
    <cellStyle name="40% - Accent1 3 2 3 3 7" xfId="13244" xr:uid="{1E1BACAA-BFB0-446F-9886-266D29A76F46}"/>
    <cellStyle name="40% - Accent1 3 2 3 3 8" xfId="15134" xr:uid="{CBA42F5F-50C1-44FF-BEB5-5BFCAB986589}"/>
    <cellStyle name="40% - Accent1 3 2 3 3 9" xfId="17024" xr:uid="{66FDA825-0776-420B-AF0E-E5E8ED4CC729}"/>
    <cellStyle name="40% - Accent1 3 2 3 4" xfId="2534" xr:uid="{901E4DE4-906F-4D2D-A7C4-FE037375E7E1}"/>
    <cellStyle name="40% - Accent1 3 2 3 5" xfId="4424" xr:uid="{68A05D32-41B9-41FE-BBE9-D1FF7E8D927D}"/>
    <cellStyle name="40% - Accent1 3 2 3 6" xfId="6314" xr:uid="{23C0BAD6-BDB7-49C7-8A2B-27D187300E04}"/>
    <cellStyle name="40% - Accent1 3 2 3 7" xfId="8204" xr:uid="{40688564-8A66-4D06-9F11-30F3C91A1DC9}"/>
    <cellStyle name="40% - Accent1 3 2 3 8" xfId="10094" xr:uid="{33618092-79DE-4F86-B9B8-F5AA1CBE0265}"/>
    <cellStyle name="40% - Accent1 3 2 3 9" xfId="11984" xr:uid="{BAFDF7B0-26C0-4F68-B127-D78CEF47DC31}"/>
    <cellStyle name="40% - Accent1 3 2 4" xfId="854" xr:uid="{FFA95E16-9879-4361-9CA1-4CA5074D90F9}"/>
    <cellStyle name="40% - Accent1 3 2 4 10" xfId="17864" xr:uid="{8E825450-867A-48CC-9332-5D2BB17BE433}"/>
    <cellStyle name="40% - Accent1 3 2 4 11" xfId="19754" xr:uid="{E1A62255-5F00-4A0C-9348-D5ACC68ADF72}"/>
    <cellStyle name="40% - Accent1 3 2 4 12" xfId="21644" xr:uid="{72188570-BF64-4794-8E0A-1A20A84482B3}"/>
    <cellStyle name="40% - Accent1 3 2 4 13" xfId="23534" xr:uid="{4981065C-898B-4B50-A613-A70675AF542A}"/>
    <cellStyle name="40% - Accent1 3 2 4 14" xfId="25424" xr:uid="{5239A7D5-EA4A-453A-AE01-9E0FFE59FDC7}"/>
    <cellStyle name="40% - Accent1 3 2 4 15" xfId="27314" xr:uid="{D148970D-FF5C-4EA6-8E50-FB3F7968E2CA}"/>
    <cellStyle name="40% - Accent1 3 2 4 16" xfId="29204" xr:uid="{09822353-6656-4B5E-8DEE-2823E7A2C8D8}"/>
    <cellStyle name="40% - Accent1 3 2 4 17" xfId="31094" xr:uid="{59C90D34-5E46-494E-8B8D-3C9B8B957AB4}"/>
    <cellStyle name="40% - Accent1 3 2 4 18" xfId="32984" xr:uid="{592C85C1-9501-4A06-A24F-98F3AC3C7536}"/>
    <cellStyle name="40% - Accent1 3 2 4 19" xfId="34874" xr:uid="{1282FAF7-4EB1-4B09-B98F-9A8144C03FFC}"/>
    <cellStyle name="40% - Accent1 3 2 4 2" xfId="2744" xr:uid="{7B337CEE-F0FA-4470-BA33-173AC984FF8A}"/>
    <cellStyle name="40% - Accent1 3 2 4 20" xfId="36764" xr:uid="{96C8B1FB-EAAC-46FE-AD42-99F358BFFA1F}"/>
    <cellStyle name="40% - Accent1 3 2 4 21" xfId="38654" xr:uid="{4B4FE3D9-40EE-4D28-BDB0-86880833D702}"/>
    <cellStyle name="40% - Accent1 3 2 4 22" xfId="40545" xr:uid="{7EA40269-081E-4668-857A-AEE84DDC2208}"/>
    <cellStyle name="40% - Accent1 3 2 4 3" xfId="4634" xr:uid="{0BB799C1-323F-41F5-ABAE-9D962F410F1D}"/>
    <cellStyle name="40% - Accent1 3 2 4 4" xfId="6524" xr:uid="{526D9375-864E-4628-8874-3BD388B68908}"/>
    <cellStyle name="40% - Accent1 3 2 4 5" xfId="8414" xr:uid="{40BA7E5B-6526-46C3-9E59-0AC5F437916C}"/>
    <cellStyle name="40% - Accent1 3 2 4 6" xfId="10304" xr:uid="{8B3EA19F-4167-4574-9A9E-3E25062C2877}"/>
    <cellStyle name="40% - Accent1 3 2 4 7" xfId="12194" xr:uid="{8AEF5F6C-61E1-43D3-B061-F965E03D62D6}"/>
    <cellStyle name="40% - Accent1 3 2 4 8" xfId="14084" xr:uid="{B5D764F2-FA33-48D9-940A-9C83E1A4D46B}"/>
    <cellStyle name="40% - Accent1 3 2 4 9" xfId="15974" xr:uid="{09724A2F-72AC-4A93-A35A-BB374FDF78B1}"/>
    <cellStyle name="40% - Accent1 3 2 5" xfId="1484" xr:uid="{F5CF21F0-8B15-4BBF-B5B6-B7EC1A1DA25C}"/>
    <cellStyle name="40% - Accent1 3 2 5 10" xfId="18494" xr:uid="{676FA59E-C3C3-47D3-94D6-77C36CB92A03}"/>
    <cellStyle name="40% - Accent1 3 2 5 11" xfId="20384" xr:uid="{67F34F87-F0EC-4529-8E27-36BC9756C18D}"/>
    <cellStyle name="40% - Accent1 3 2 5 12" xfId="22274" xr:uid="{8F359832-A44E-4CFA-9F9D-D9D48D0F1530}"/>
    <cellStyle name="40% - Accent1 3 2 5 13" xfId="24164" xr:uid="{8967402C-85DA-4AA4-9F33-04BA89B8F911}"/>
    <cellStyle name="40% - Accent1 3 2 5 14" xfId="26054" xr:uid="{48E4D01B-E058-4C1C-BE77-CD5D6F8363DA}"/>
    <cellStyle name="40% - Accent1 3 2 5 15" xfId="27944" xr:uid="{C448E736-AD96-4B50-87C8-B3DB0928F1A5}"/>
    <cellStyle name="40% - Accent1 3 2 5 16" xfId="29834" xr:uid="{C4330273-764A-4801-A7A5-792441FD34C6}"/>
    <cellStyle name="40% - Accent1 3 2 5 17" xfId="31724" xr:uid="{576DD555-DF69-41D4-BDDA-F85D81317C49}"/>
    <cellStyle name="40% - Accent1 3 2 5 18" xfId="33614" xr:uid="{9692BC54-0D40-4DD1-B1C0-D3458D3FA787}"/>
    <cellStyle name="40% - Accent1 3 2 5 19" xfId="35504" xr:uid="{21B6B3CA-DF57-42BE-8263-43BB74B7F2D6}"/>
    <cellStyle name="40% - Accent1 3 2 5 2" xfId="3374" xr:uid="{8794EE62-F344-4EE2-A340-8677DD705C57}"/>
    <cellStyle name="40% - Accent1 3 2 5 20" xfId="37394" xr:uid="{B6D1DDCA-E66A-40B2-926D-B89B8EF4D4B4}"/>
    <cellStyle name="40% - Accent1 3 2 5 21" xfId="39284" xr:uid="{5C8CED0B-1927-40C1-AE44-397462BDC687}"/>
    <cellStyle name="40% - Accent1 3 2 5 22" xfId="41175" xr:uid="{A1466417-D6D9-4DB3-87A4-7E47E2FCC2FF}"/>
    <cellStyle name="40% - Accent1 3 2 5 3" xfId="5264" xr:uid="{07A3C5C1-053A-419B-95D5-3F0E41F76C82}"/>
    <cellStyle name="40% - Accent1 3 2 5 4" xfId="7154" xr:uid="{C67617D7-B90A-42E1-B242-50B7632C7AD1}"/>
    <cellStyle name="40% - Accent1 3 2 5 5" xfId="9044" xr:uid="{646B7D38-3009-43AD-B5D8-847EB0D7A7B7}"/>
    <cellStyle name="40% - Accent1 3 2 5 6" xfId="10934" xr:uid="{71E7564B-22FE-4E94-B83B-8AAF37634195}"/>
    <cellStyle name="40% - Accent1 3 2 5 7" xfId="12824" xr:uid="{18AC460E-162D-493B-BAF6-4AC2AF46CCB2}"/>
    <cellStyle name="40% - Accent1 3 2 5 8" xfId="14714" xr:uid="{C0A6B437-ECC0-4295-95BA-4D44BBCF8604}"/>
    <cellStyle name="40% - Accent1 3 2 5 9" xfId="16604" xr:uid="{02411976-EE1F-4EEB-881F-5BE665EC686C}"/>
    <cellStyle name="40% - Accent1 3 2 6" xfId="2114" xr:uid="{DD90EE3F-F20A-4BF3-82D3-2D91F9082F9A}"/>
    <cellStyle name="40% - Accent1 3 2 7" xfId="4004" xr:uid="{F1CBF6E8-1BFB-4ADA-AAD1-DF78D8C31C80}"/>
    <cellStyle name="40% - Accent1 3 2 8" xfId="5894" xr:uid="{A8F985FF-D85F-4CF8-8564-A795FE072D9C}"/>
    <cellStyle name="40% - Accent1 3 2 9" xfId="7784" xr:uid="{10CC9915-A6DE-4EB6-8142-BDE09363499A}"/>
    <cellStyle name="40% - Accent1 3 20" xfId="26579" xr:uid="{9BD51CA5-1A5E-4363-8433-CC75B9703C4D}"/>
    <cellStyle name="40% - Accent1 3 21" xfId="28469" xr:uid="{3AC7C1F3-D4B6-4F1B-A56F-48A37503E429}"/>
    <cellStyle name="40% - Accent1 3 22" xfId="30359" xr:uid="{046EE8C0-8B8B-46EF-AAAE-EFAE7F9738CB}"/>
    <cellStyle name="40% - Accent1 3 23" xfId="32249" xr:uid="{B7F1C140-8E92-4BEA-B7C3-11BBCD610047}"/>
    <cellStyle name="40% - Accent1 3 24" xfId="34139" xr:uid="{34929C32-6D19-4D25-9F69-6A2B8655B067}"/>
    <cellStyle name="40% - Accent1 3 25" xfId="36029" xr:uid="{5E230339-0F61-4444-A731-321B96F07932}"/>
    <cellStyle name="40% - Accent1 3 26" xfId="37919" xr:uid="{637375C0-311A-43F5-BEE7-B80469E1A09F}"/>
    <cellStyle name="40% - Accent1 3 27" xfId="39810" xr:uid="{1B920152-F993-40D1-BFB8-B11B6AF33FFC}"/>
    <cellStyle name="40% - Accent1 3 3" xfId="329" xr:uid="{A75DCAB6-1461-4FCF-877C-B015A87EEAA3}"/>
    <cellStyle name="40% - Accent1 3 3 10" xfId="13559" xr:uid="{7407CCF4-9824-4A66-B321-9160050231D3}"/>
    <cellStyle name="40% - Accent1 3 3 11" xfId="15449" xr:uid="{E62484FC-9767-4890-92D0-EBD863215931}"/>
    <cellStyle name="40% - Accent1 3 3 12" xfId="17339" xr:uid="{19D536EB-EB75-4F2F-BCA6-5381E23767D2}"/>
    <cellStyle name="40% - Accent1 3 3 13" xfId="19229" xr:uid="{D4953474-8FD8-4333-A670-BB14A7A458D3}"/>
    <cellStyle name="40% - Accent1 3 3 14" xfId="21119" xr:uid="{E971E9AA-890B-4D7A-A369-8EE30537B92B}"/>
    <cellStyle name="40% - Accent1 3 3 15" xfId="23009" xr:uid="{2B1EC862-E8FD-4604-B2B1-A2399BC923F9}"/>
    <cellStyle name="40% - Accent1 3 3 16" xfId="24899" xr:uid="{015A0388-6D16-43A4-A9E7-C62CCFCDF581}"/>
    <cellStyle name="40% - Accent1 3 3 17" xfId="26789" xr:uid="{57D42019-22C3-48D0-A229-C4E2853EDD86}"/>
    <cellStyle name="40% - Accent1 3 3 18" xfId="28679" xr:uid="{2492B983-4A23-47DC-9B91-542F18CCA9C2}"/>
    <cellStyle name="40% - Accent1 3 3 19" xfId="30569" xr:uid="{344E5D34-56AE-4A65-AD76-A1F8137BC03B}"/>
    <cellStyle name="40% - Accent1 3 3 2" xfId="959" xr:uid="{54D0B53E-CA98-4C30-84BC-476A7B365155}"/>
    <cellStyle name="40% - Accent1 3 3 2 10" xfId="17969" xr:uid="{016E33D5-F49A-40DD-8FF7-33E301CBA795}"/>
    <cellStyle name="40% - Accent1 3 3 2 11" xfId="19859" xr:uid="{C76688F3-7CDD-4CE8-8C3C-162352D3F3EF}"/>
    <cellStyle name="40% - Accent1 3 3 2 12" xfId="21749" xr:uid="{1FBDB029-F9CD-4720-A48D-B26ED4D5A091}"/>
    <cellStyle name="40% - Accent1 3 3 2 13" xfId="23639" xr:uid="{62993D9D-6205-4122-80C6-BA8E0A98E919}"/>
    <cellStyle name="40% - Accent1 3 3 2 14" xfId="25529" xr:uid="{BE8BA411-A0DE-4898-99B7-82FC5403C315}"/>
    <cellStyle name="40% - Accent1 3 3 2 15" xfId="27419" xr:uid="{EE0E4FEF-CA3E-45DB-B70B-19BF0C3B97F0}"/>
    <cellStyle name="40% - Accent1 3 3 2 16" xfId="29309" xr:uid="{6845BBF7-4E0B-4C7A-8023-A6A3E2C76817}"/>
    <cellStyle name="40% - Accent1 3 3 2 17" xfId="31199" xr:uid="{2C4AD077-210B-47CA-B0CF-D58C422F7085}"/>
    <cellStyle name="40% - Accent1 3 3 2 18" xfId="33089" xr:uid="{7AA3F77F-E5F9-4A28-9FB5-FFAD12212F95}"/>
    <cellStyle name="40% - Accent1 3 3 2 19" xfId="34979" xr:uid="{BE83A2A2-4F6F-435E-BADD-21FB38BE9591}"/>
    <cellStyle name="40% - Accent1 3 3 2 2" xfId="2849" xr:uid="{5C2937AE-799F-4A21-B282-73E977886465}"/>
    <cellStyle name="40% - Accent1 3 3 2 20" xfId="36869" xr:uid="{0E044E6C-FEF3-465F-B07F-61352DF36772}"/>
    <cellStyle name="40% - Accent1 3 3 2 21" xfId="38759" xr:uid="{03EBC86C-F4F2-40F2-AB01-7598B49F2699}"/>
    <cellStyle name="40% - Accent1 3 3 2 22" xfId="40650" xr:uid="{DA982FDF-60A1-4A78-B039-7EB04F3162B6}"/>
    <cellStyle name="40% - Accent1 3 3 2 3" xfId="4739" xr:uid="{B0FF0D01-E403-48F6-AC7C-0FC545FCA074}"/>
    <cellStyle name="40% - Accent1 3 3 2 4" xfId="6629" xr:uid="{19272E76-180E-4852-8572-34B0E05785BE}"/>
    <cellStyle name="40% - Accent1 3 3 2 5" xfId="8519" xr:uid="{0354C784-2290-402D-846B-4A43549A1021}"/>
    <cellStyle name="40% - Accent1 3 3 2 6" xfId="10409" xr:uid="{93401BF4-E696-4464-8C08-13AEBC4D7485}"/>
    <cellStyle name="40% - Accent1 3 3 2 7" xfId="12299" xr:uid="{9337E2C6-77ED-47D2-8DD1-52BFC2745596}"/>
    <cellStyle name="40% - Accent1 3 3 2 8" xfId="14189" xr:uid="{A23E8A67-A491-4504-8C66-FB0D7E3DBA3B}"/>
    <cellStyle name="40% - Accent1 3 3 2 9" xfId="16079" xr:uid="{A1962D5D-07FA-4EB2-8E00-088B7E660AA1}"/>
    <cellStyle name="40% - Accent1 3 3 20" xfId="32459" xr:uid="{ADA9DFDC-023B-46FE-95D2-81D265CB8501}"/>
    <cellStyle name="40% - Accent1 3 3 21" xfId="34349" xr:uid="{D2AECB1E-67B3-46CA-8B78-53C8855FBE44}"/>
    <cellStyle name="40% - Accent1 3 3 22" xfId="36239" xr:uid="{0EA667D4-D50A-4523-A1F8-CF2E6E3ECEC0}"/>
    <cellStyle name="40% - Accent1 3 3 23" xfId="38129" xr:uid="{22A0A5E6-BDDF-45AE-B578-57F933A33339}"/>
    <cellStyle name="40% - Accent1 3 3 24" xfId="40020" xr:uid="{6DDC76E4-F4BE-4421-8342-265F8BDD11A5}"/>
    <cellStyle name="40% - Accent1 3 3 3" xfId="1589" xr:uid="{4463FD9B-E639-4CAF-BC3E-8F695CC30B51}"/>
    <cellStyle name="40% - Accent1 3 3 3 10" xfId="18599" xr:uid="{6A2DD507-7370-47E1-996F-85AF10396801}"/>
    <cellStyle name="40% - Accent1 3 3 3 11" xfId="20489" xr:uid="{163D3885-128E-46DC-9301-CB27A15A534E}"/>
    <cellStyle name="40% - Accent1 3 3 3 12" xfId="22379" xr:uid="{1FF8502B-D2C8-463E-89A4-1CA9DE768672}"/>
    <cellStyle name="40% - Accent1 3 3 3 13" xfId="24269" xr:uid="{14986672-B462-4C9E-9675-D2311EE54A60}"/>
    <cellStyle name="40% - Accent1 3 3 3 14" xfId="26159" xr:uid="{20F6FE65-CD19-4C48-A57A-98330C3BE16C}"/>
    <cellStyle name="40% - Accent1 3 3 3 15" xfId="28049" xr:uid="{CDC6FE3A-AA8A-4BDE-8D94-CE7D3115AF9B}"/>
    <cellStyle name="40% - Accent1 3 3 3 16" xfId="29939" xr:uid="{8B7A05AE-B9B9-40E2-9FA5-53F1035E8E3E}"/>
    <cellStyle name="40% - Accent1 3 3 3 17" xfId="31829" xr:uid="{56ADCCFF-5E84-4183-BD24-9D440B7FE914}"/>
    <cellStyle name="40% - Accent1 3 3 3 18" xfId="33719" xr:uid="{092E0396-48E4-4CAB-AF5A-5D011B99CC6A}"/>
    <cellStyle name="40% - Accent1 3 3 3 19" xfId="35609" xr:uid="{1350780A-C058-4D5A-8E28-9EA1D39E5307}"/>
    <cellStyle name="40% - Accent1 3 3 3 2" xfId="3479" xr:uid="{84EDCCA4-35D9-4502-B35B-F5129155808B}"/>
    <cellStyle name="40% - Accent1 3 3 3 20" xfId="37499" xr:uid="{5870DD55-E9B6-4978-94E6-568FED0753F2}"/>
    <cellStyle name="40% - Accent1 3 3 3 21" xfId="39389" xr:uid="{4BB223AD-D51D-41B2-9C49-1A007D11BB62}"/>
    <cellStyle name="40% - Accent1 3 3 3 22" xfId="41280" xr:uid="{1E8510B4-053C-4764-BF7E-C2E43ED7944F}"/>
    <cellStyle name="40% - Accent1 3 3 3 3" xfId="5369" xr:uid="{4D3CAD11-7B7F-4D4F-8057-EB5AAD8F4392}"/>
    <cellStyle name="40% - Accent1 3 3 3 4" xfId="7259" xr:uid="{8AF3E46C-A386-4B02-8B5E-B261D7A746D9}"/>
    <cellStyle name="40% - Accent1 3 3 3 5" xfId="9149" xr:uid="{E47775B4-3C43-46A5-9FEE-7A2981860E10}"/>
    <cellStyle name="40% - Accent1 3 3 3 6" xfId="11039" xr:uid="{C9304F15-771B-40E4-AFD6-E9145BC3CD22}"/>
    <cellStyle name="40% - Accent1 3 3 3 7" xfId="12929" xr:uid="{49457B0B-C8E5-4E73-9903-522AF4DDA384}"/>
    <cellStyle name="40% - Accent1 3 3 3 8" xfId="14819" xr:uid="{2F019013-65AF-4140-B1D3-4E2B4AED8BB6}"/>
    <cellStyle name="40% - Accent1 3 3 3 9" xfId="16709" xr:uid="{F7FE4168-D6D5-4743-8790-EEABFA63486B}"/>
    <cellStyle name="40% - Accent1 3 3 4" xfId="2219" xr:uid="{2BC8B354-9CD6-41A7-862E-9216FBEF428C}"/>
    <cellStyle name="40% - Accent1 3 3 5" xfId="4109" xr:uid="{FD22F598-CEDF-42BD-92C8-217A2B6EFC56}"/>
    <cellStyle name="40% - Accent1 3 3 6" xfId="5999" xr:uid="{11F08767-4D54-4386-A578-A8FF523E7A4D}"/>
    <cellStyle name="40% - Accent1 3 3 7" xfId="7889" xr:uid="{A5B6845E-C87E-43A6-9A8F-828E38E63C70}"/>
    <cellStyle name="40% - Accent1 3 3 8" xfId="9779" xr:uid="{B8A19A17-AA9A-4615-96C0-F50CB39D2F48}"/>
    <cellStyle name="40% - Accent1 3 3 9" xfId="11669" xr:uid="{01A992CE-569A-4DC9-B073-E69747A13260}"/>
    <cellStyle name="40% - Accent1 3 4" xfId="539" xr:uid="{C513B1F6-6AF6-48FC-93A6-432F0B2735C6}"/>
    <cellStyle name="40% - Accent1 3 4 10" xfId="13769" xr:uid="{2FD2F879-32CC-404D-B464-8B3B37D210E4}"/>
    <cellStyle name="40% - Accent1 3 4 11" xfId="15659" xr:uid="{E4DE1191-BB46-409F-9D6E-FF47CFC7596C}"/>
    <cellStyle name="40% - Accent1 3 4 12" xfId="17549" xr:uid="{14A09346-68B0-4FE7-95A6-3A51B712E0ED}"/>
    <cellStyle name="40% - Accent1 3 4 13" xfId="19439" xr:uid="{C7705FE0-7E3A-46C2-BA03-3F6D2FD6FD28}"/>
    <cellStyle name="40% - Accent1 3 4 14" xfId="21329" xr:uid="{350CF219-3810-4D44-8035-A4CAB7C1A066}"/>
    <cellStyle name="40% - Accent1 3 4 15" xfId="23219" xr:uid="{7B418F0B-8C12-4A28-B1E0-F2AE04913959}"/>
    <cellStyle name="40% - Accent1 3 4 16" xfId="25109" xr:uid="{101B837C-1819-4E7D-9566-488CE45E63F2}"/>
    <cellStyle name="40% - Accent1 3 4 17" xfId="26999" xr:uid="{2180681E-96E2-473C-81D0-2CFFD00365F4}"/>
    <cellStyle name="40% - Accent1 3 4 18" xfId="28889" xr:uid="{CED54867-AFF5-4B22-95EA-EE46E26B7B68}"/>
    <cellStyle name="40% - Accent1 3 4 19" xfId="30779" xr:uid="{275E1438-D77A-4029-AE7C-9FAD09CCB81D}"/>
    <cellStyle name="40% - Accent1 3 4 2" xfId="1169" xr:uid="{EF151719-B01F-47A5-BF4D-F1FDDCFD9C77}"/>
    <cellStyle name="40% - Accent1 3 4 2 10" xfId="18179" xr:uid="{469CDD89-5941-4A4C-8EEB-D0CF6B46BEDD}"/>
    <cellStyle name="40% - Accent1 3 4 2 11" xfId="20069" xr:uid="{6FA81A30-2CFE-4E3C-8B6E-829CD739EA1B}"/>
    <cellStyle name="40% - Accent1 3 4 2 12" xfId="21959" xr:uid="{B3B06B2C-0D00-458F-A7F6-8A0C09076AF9}"/>
    <cellStyle name="40% - Accent1 3 4 2 13" xfId="23849" xr:uid="{BFF5C8DD-D36F-47B9-B3B3-2ACFFFA4CEF7}"/>
    <cellStyle name="40% - Accent1 3 4 2 14" xfId="25739" xr:uid="{F69B6937-4295-49A7-8C4A-DF39C8D012E3}"/>
    <cellStyle name="40% - Accent1 3 4 2 15" xfId="27629" xr:uid="{A8406E6B-B640-4840-BEDF-531343A0F6C0}"/>
    <cellStyle name="40% - Accent1 3 4 2 16" xfId="29519" xr:uid="{D10A1455-AC7B-4782-ACDD-2CC156E5BB8A}"/>
    <cellStyle name="40% - Accent1 3 4 2 17" xfId="31409" xr:uid="{4286609B-EECE-4E43-8F7D-C9874F8C36EB}"/>
    <cellStyle name="40% - Accent1 3 4 2 18" xfId="33299" xr:uid="{94183F45-BAB6-4D04-861E-529E9D895FC7}"/>
    <cellStyle name="40% - Accent1 3 4 2 19" xfId="35189" xr:uid="{0BD20AFC-90B9-4327-B333-66086DD2129A}"/>
    <cellStyle name="40% - Accent1 3 4 2 2" xfId="3059" xr:uid="{E4863507-96CC-4185-A4FC-B00E77C3D636}"/>
    <cellStyle name="40% - Accent1 3 4 2 20" xfId="37079" xr:uid="{76922325-859F-4F56-8ECD-E56670783737}"/>
    <cellStyle name="40% - Accent1 3 4 2 21" xfId="38969" xr:uid="{E2360841-4CC4-4856-8A8C-F4E7F8BC7EFB}"/>
    <cellStyle name="40% - Accent1 3 4 2 22" xfId="40860" xr:uid="{3322DF53-FF01-4867-B242-B63087A9F210}"/>
    <cellStyle name="40% - Accent1 3 4 2 3" xfId="4949" xr:uid="{E35A1483-2389-4B2C-9FAB-0FBBB149418D}"/>
    <cellStyle name="40% - Accent1 3 4 2 4" xfId="6839" xr:uid="{0987B595-DB77-4446-9130-C0E7AF9E2BA7}"/>
    <cellStyle name="40% - Accent1 3 4 2 5" xfId="8729" xr:uid="{344A3C34-10F0-4E43-AB2B-56BF46C680C5}"/>
    <cellStyle name="40% - Accent1 3 4 2 6" xfId="10619" xr:uid="{2F641856-0EA7-4475-9107-910582BBFF8D}"/>
    <cellStyle name="40% - Accent1 3 4 2 7" xfId="12509" xr:uid="{006B8B7B-9BAD-4F26-8D86-EABF44647169}"/>
    <cellStyle name="40% - Accent1 3 4 2 8" xfId="14399" xr:uid="{4C0E45C2-F867-453F-9B3C-B7E82DD44F40}"/>
    <cellStyle name="40% - Accent1 3 4 2 9" xfId="16289" xr:uid="{316F8DFB-1F09-4022-A862-36AE2861DC4B}"/>
    <cellStyle name="40% - Accent1 3 4 20" xfId="32669" xr:uid="{E5F011FE-0A9F-4F65-BC1B-DB33990CE476}"/>
    <cellStyle name="40% - Accent1 3 4 21" xfId="34559" xr:uid="{E0C7A51A-8CC7-429A-90F3-ACF6F68014E9}"/>
    <cellStyle name="40% - Accent1 3 4 22" xfId="36449" xr:uid="{DD458E8E-42C4-42FE-B98B-06FD83FFC265}"/>
    <cellStyle name="40% - Accent1 3 4 23" xfId="38339" xr:uid="{36FCA911-A39E-4092-A0D3-7C654A52D5AA}"/>
    <cellStyle name="40% - Accent1 3 4 24" xfId="40230" xr:uid="{09B8ABE9-88B0-4185-B38C-FED6DA4A0C4E}"/>
    <cellStyle name="40% - Accent1 3 4 3" xfId="1799" xr:uid="{0266BB10-E514-4085-B292-6F5B17FA3BAA}"/>
    <cellStyle name="40% - Accent1 3 4 3 10" xfId="18809" xr:uid="{D616AFBB-90FE-4F2B-BEEA-FA4EBFB7D9B3}"/>
    <cellStyle name="40% - Accent1 3 4 3 11" xfId="20699" xr:uid="{76AAD828-512D-427B-B006-C8DA634C64DD}"/>
    <cellStyle name="40% - Accent1 3 4 3 12" xfId="22589" xr:uid="{6F30F92E-5843-4478-868A-D78EB0AAE891}"/>
    <cellStyle name="40% - Accent1 3 4 3 13" xfId="24479" xr:uid="{EC114CB5-056F-4BEE-84A5-E4168D2CC7CC}"/>
    <cellStyle name="40% - Accent1 3 4 3 14" xfId="26369" xr:uid="{614771A8-D7C1-44E2-B1D8-D141B9D960E8}"/>
    <cellStyle name="40% - Accent1 3 4 3 15" xfId="28259" xr:uid="{EBC27104-BD76-4045-B24E-FA7BA60F7BB5}"/>
    <cellStyle name="40% - Accent1 3 4 3 16" xfId="30149" xr:uid="{7D0D6374-0A09-4706-A2A0-42C934AD2BB6}"/>
    <cellStyle name="40% - Accent1 3 4 3 17" xfId="32039" xr:uid="{2AED4695-8082-4E7A-B9A0-C6B39AE74B28}"/>
    <cellStyle name="40% - Accent1 3 4 3 18" xfId="33929" xr:uid="{0FB44B75-76A7-41D6-98C4-A44742570A67}"/>
    <cellStyle name="40% - Accent1 3 4 3 19" xfId="35819" xr:uid="{0E925693-57A2-4E2A-AE40-435D3A3B5A5F}"/>
    <cellStyle name="40% - Accent1 3 4 3 2" xfId="3689" xr:uid="{2EED70F3-5A26-4A42-8DE7-BCB708D1D349}"/>
    <cellStyle name="40% - Accent1 3 4 3 20" xfId="37709" xr:uid="{B251A264-4836-4B02-BF61-2A264EB84527}"/>
    <cellStyle name="40% - Accent1 3 4 3 21" xfId="39599" xr:uid="{049B70FB-6DB4-4ED5-8CD9-B512BD55AD7F}"/>
    <cellStyle name="40% - Accent1 3 4 3 22" xfId="41490" xr:uid="{833FFC1C-4514-42DE-AE27-4E06B8355A1A}"/>
    <cellStyle name="40% - Accent1 3 4 3 3" xfId="5579" xr:uid="{537CBB98-29CC-4BC2-BD0E-C0CFEB99F279}"/>
    <cellStyle name="40% - Accent1 3 4 3 4" xfId="7469" xr:uid="{2BF3D4F3-0415-47BC-B20D-4ED2B4B5D16D}"/>
    <cellStyle name="40% - Accent1 3 4 3 5" xfId="9359" xr:uid="{F2890C22-0C93-45E6-B171-6CC8931B8074}"/>
    <cellStyle name="40% - Accent1 3 4 3 6" xfId="11249" xr:uid="{294B2046-EF2B-4E56-8E84-83A0496D705A}"/>
    <cellStyle name="40% - Accent1 3 4 3 7" xfId="13139" xr:uid="{9E7521C0-DE28-46B6-A2E5-8CB464BED324}"/>
    <cellStyle name="40% - Accent1 3 4 3 8" xfId="15029" xr:uid="{F9FE825B-BADD-4FED-919B-63AC8FCAA062}"/>
    <cellStyle name="40% - Accent1 3 4 3 9" xfId="16919" xr:uid="{B7F9AAE7-B40A-4AC4-846E-771AF0976C2B}"/>
    <cellStyle name="40% - Accent1 3 4 4" xfId="2429" xr:uid="{D85E089B-1112-42A1-A229-7573E9DB3B02}"/>
    <cellStyle name="40% - Accent1 3 4 5" xfId="4319" xr:uid="{2EC341A2-BFF0-4500-81CD-D0A3C0E5F81D}"/>
    <cellStyle name="40% - Accent1 3 4 6" xfId="6209" xr:uid="{DD5B1BDA-6D09-4379-8F68-D0BDC8F99A08}"/>
    <cellStyle name="40% - Accent1 3 4 7" xfId="8099" xr:uid="{132B3A85-7127-488A-BFC7-BEDC715943B2}"/>
    <cellStyle name="40% - Accent1 3 4 8" xfId="9989" xr:uid="{EAC5622E-A4BD-4D00-B262-B45A4EA4D445}"/>
    <cellStyle name="40% - Accent1 3 4 9" xfId="11879" xr:uid="{0A4A1605-88A1-4326-AED5-34430ABE649D}"/>
    <cellStyle name="40% - Accent1 3 5" xfId="749" xr:uid="{FE817FE2-5A60-4BAC-B88B-9BA06AE465F2}"/>
    <cellStyle name="40% - Accent1 3 5 10" xfId="17759" xr:uid="{BC9773E9-B71A-48A4-91BB-AC6768949D77}"/>
    <cellStyle name="40% - Accent1 3 5 11" xfId="19649" xr:uid="{A99AB5DE-B461-4D61-AAC6-5493F7717C01}"/>
    <cellStyle name="40% - Accent1 3 5 12" xfId="21539" xr:uid="{DFC6D07F-BF80-4AFA-A83B-FFE0B07B07FC}"/>
    <cellStyle name="40% - Accent1 3 5 13" xfId="23429" xr:uid="{35604FC1-F681-42EA-B409-0DF003677298}"/>
    <cellStyle name="40% - Accent1 3 5 14" xfId="25319" xr:uid="{335BEBEB-E3D1-4D58-A5A0-9C56DE77CBEB}"/>
    <cellStyle name="40% - Accent1 3 5 15" xfId="27209" xr:uid="{896458DE-A88F-4AB1-BCF9-63B38C5EF105}"/>
    <cellStyle name="40% - Accent1 3 5 16" xfId="29099" xr:uid="{1726FD6E-EBF0-46FB-8062-39F3EB9155A4}"/>
    <cellStyle name="40% - Accent1 3 5 17" xfId="30989" xr:uid="{215DF524-DFED-4D1C-ABC1-EA18A54EF3E7}"/>
    <cellStyle name="40% - Accent1 3 5 18" xfId="32879" xr:uid="{E64C359A-B2B7-4B5A-84E9-792D19DF69A3}"/>
    <cellStyle name="40% - Accent1 3 5 19" xfId="34769" xr:uid="{AD848ADA-0E8A-4198-8729-7D1182F2BA28}"/>
    <cellStyle name="40% - Accent1 3 5 2" xfId="2639" xr:uid="{8C88B754-7C5C-4021-92CA-737B3B339281}"/>
    <cellStyle name="40% - Accent1 3 5 20" xfId="36659" xr:uid="{18A4EAE3-6903-4030-AD0D-393410130460}"/>
    <cellStyle name="40% - Accent1 3 5 21" xfId="38549" xr:uid="{C36E12E1-CB9A-4963-8879-6AAA7B3841F6}"/>
    <cellStyle name="40% - Accent1 3 5 22" xfId="40440" xr:uid="{7F86AF75-2E23-4847-9213-E9FC45DCC160}"/>
    <cellStyle name="40% - Accent1 3 5 3" xfId="4529" xr:uid="{F12269B2-B7D5-45A7-81E1-1EBDA289D104}"/>
    <cellStyle name="40% - Accent1 3 5 4" xfId="6419" xr:uid="{99C589DF-F2EC-41DA-BD88-4BC28E787A9F}"/>
    <cellStyle name="40% - Accent1 3 5 5" xfId="8309" xr:uid="{4F74C00E-226C-4550-882B-416BB4C56AEC}"/>
    <cellStyle name="40% - Accent1 3 5 6" xfId="10199" xr:uid="{24B653E8-66A3-4D44-8CDB-BC6B541C9FD8}"/>
    <cellStyle name="40% - Accent1 3 5 7" xfId="12089" xr:uid="{3989A6CB-ED75-4B50-AE91-8095595857C7}"/>
    <cellStyle name="40% - Accent1 3 5 8" xfId="13979" xr:uid="{741973EA-352D-4877-AE18-3FE35CE68C4A}"/>
    <cellStyle name="40% - Accent1 3 5 9" xfId="15869" xr:uid="{B0F6FCEE-BC19-4331-8E83-0AC58A120F55}"/>
    <cellStyle name="40% - Accent1 3 6" xfId="1379" xr:uid="{3B846C2A-3619-4E1F-B246-1838C1E384F8}"/>
    <cellStyle name="40% - Accent1 3 6 10" xfId="18389" xr:uid="{08EADA88-304C-4A47-A321-190AD1A2E3FF}"/>
    <cellStyle name="40% - Accent1 3 6 11" xfId="20279" xr:uid="{261EF1E2-B108-48D0-B27D-AEB9E751F83E}"/>
    <cellStyle name="40% - Accent1 3 6 12" xfId="22169" xr:uid="{F7531A34-2387-4F5D-BAE4-33F6E83A08B5}"/>
    <cellStyle name="40% - Accent1 3 6 13" xfId="24059" xr:uid="{D3EEE7CF-9D6C-485C-AC3F-D2C55AD6198C}"/>
    <cellStyle name="40% - Accent1 3 6 14" xfId="25949" xr:uid="{066E810F-539D-43BF-8CCC-8D6649DE025B}"/>
    <cellStyle name="40% - Accent1 3 6 15" xfId="27839" xr:uid="{E98E2488-39B9-4ECA-9074-68228223989D}"/>
    <cellStyle name="40% - Accent1 3 6 16" xfId="29729" xr:uid="{B9D3817D-32A8-4A2B-B279-822B363A1DC2}"/>
    <cellStyle name="40% - Accent1 3 6 17" xfId="31619" xr:uid="{952B7E96-1391-41D8-920E-E5BBB5CDB116}"/>
    <cellStyle name="40% - Accent1 3 6 18" xfId="33509" xr:uid="{817E365E-BF13-47A9-92F9-37439CA35152}"/>
    <cellStyle name="40% - Accent1 3 6 19" xfId="35399" xr:uid="{37D9C449-A8E2-4DF8-B88B-F046B2847CCF}"/>
    <cellStyle name="40% - Accent1 3 6 2" xfId="3269" xr:uid="{25F06FE2-F6DF-47E2-9435-E3618AF9FCCD}"/>
    <cellStyle name="40% - Accent1 3 6 20" xfId="37289" xr:uid="{3EB80087-4245-41E1-A1C7-49DED07A23A5}"/>
    <cellStyle name="40% - Accent1 3 6 21" xfId="39179" xr:uid="{4F339E22-CA7C-497C-857B-F86495D8AB22}"/>
    <cellStyle name="40% - Accent1 3 6 22" xfId="41070" xr:uid="{28C304BB-9D81-48D9-998A-DAC20F350F98}"/>
    <cellStyle name="40% - Accent1 3 6 3" xfId="5159" xr:uid="{87093C25-253D-4FA0-9040-8F470E49AE8D}"/>
    <cellStyle name="40% - Accent1 3 6 4" xfId="7049" xr:uid="{D0954E90-5518-4750-BF10-1B9E8E8B436B}"/>
    <cellStyle name="40% - Accent1 3 6 5" xfId="8939" xr:uid="{19DB3410-2096-42DB-8049-21E454E566CD}"/>
    <cellStyle name="40% - Accent1 3 6 6" xfId="10829" xr:uid="{1DB43553-B7A8-456A-9F25-373C24569599}"/>
    <cellStyle name="40% - Accent1 3 6 7" xfId="12719" xr:uid="{5C287D3B-1A4F-405D-A2F4-D317B76B41E2}"/>
    <cellStyle name="40% - Accent1 3 6 8" xfId="14609" xr:uid="{3481BCAF-69C4-47EA-B7B7-E0678BE1F6B0}"/>
    <cellStyle name="40% - Accent1 3 6 9" xfId="16499" xr:uid="{DECE63B6-8494-47DA-9D70-35AD7DABADCB}"/>
    <cellStyle name="40% - Accent1 3 7" xfId="2009" xr:uid="{50C08E8D-7473-4E94-B8EE-33A27BEB4E89}"/>
    <cellStyle name="40% - Accent1 3 8" xfId="3899" xr:uid="{2FC98615-2C60-436F-9BAA-F9DEF917F2ED}"/>
    <cellStyle name="40% - Accent1 3 9" xfId="5789" xr:uid="{BC776718-526A-4E2C-853F-FA4392D747B8}"/>
    <cellStyle name="40% - Accent1 4" xfId="182" xr:uid="{6937D0C8-2349-4D0D-B408-1977EF3A1932}"/>
    <cellStyle name="40% - Accent1 4 10" xfId="9632" xr:uid="{BB9825D5-8C9F-41CF-80BC-2D8F8FD3C5AA}"/>
    <cellStyle name="40% - Accent1 4 11" xfId="11522" xr:uid="{0F7BBEDF-EDE6-496C-9136-B2673149A04C}"/>
    <cellStyle name="40% - Accent1 4 12" xfId="13412" xr:uid="{247EEC19-03B3-4381-A2F9-615F26A8AB52}"/>
    <cellStyle name="40% - Accent1 4 13" xfId="15302" xr:uid="{51976070-33D5-4AAA-883D-FEA28EEC7048}"/>
    <cellStyle name="40% - Accent1 4 14" xfId="17192" xr:uid="{9C78EA7A-D43A-4035-83C9-3E83A32EF460}"/>
    <cellStyle name="40% - Accent1 4 15" xfId="19082" xr:uid="{20B35F33-6487-4CC3-B03C-6778F5CA4A4F}"/>
    <cellStyle name="40% - Accent1 4 16" xfId="20972" xr:uid="{6EB6010B-ED62-4493-A49D-EA46A7C66560}"/>
    <cellStyle name="40% - Accent1 4 17" xfId="22862" xr:uid="{B7F97115-DA0D-483F-991E-50B8E5BBD449}"/>
    <cellStyle name="40% - Accent1 4 18" xfId="24752" xr:uid="{0BDE6C21-3F4D-49F3-9F33-E2E6C0DC753E}"/>
    <cellStyle name="40% - Accent1 4 19" xfId="26642" xr:uid="{5C11FF92-4873-41C0-A827-249AE67CD8E6}"/>
    <cellStyle name="40% - Accent1 4 2" xfId="392" xr:uid="{723DF020-D7FA-4FFC-8E34-B812CE0C39F2}"/>
    <cellStyle name="40% - Accent1 4 2 10" xfId="13622" xr:uid="{8E7775CC-9FC8-4B66-96BF-D2AADDD73012}"/>
    <cellStyle name="40% - Accent1 4 2 11" xfId="15512" xr:uid="{4D4BD6F2-99BC-4DD3-8899-F9241EA06346}"/>
    <cellStyle name="40% - Accent1 4 2 12" xfId="17402" xr:uid="{91B031BC-814A-4DFD-A49D-90836BEA7F71}"/>
    <cellStyle name="40% - Accent1 4 2 13" xfId="19292" xr:uid="{A6867965-901F-4CFE-979F-8B160C5529EB}"/>
    <cellStyle name="40% - Accent1 4 2 14" xfId="21182" xr:uid="{770870A2-5E0E-4951-AE28-962E6DDA4C4E}"/>
    <cellStyle name="40% - Accent1 4 2 15" xfId="23072" xr:uid="{2D3215F9-15A0-4214-B497-24FED70380DE}"/>
    <cellStyle name="40% - Accent1 4 2 16" xfId="24962" xr:uid="{0C820910-58B1-407F-923C-76515AAA578F}"/>
    <cellStyle name="40% - Accent1 4 2 17" xfId="26852" xr:uid="{9AED4759-43E0-415A-8AFC-BAF40907F864}"/>
    <cellStyle name="40% - Accent1 4 2 18" xfId="28742" xr:uid="{68F6CBD6-2FE8-46D9-AA31-4982C2293F5C}"/>
    <cellStyle name="40% - Accent1 4 2 19" xfId="30632" xr:uid="{5FA3EED2-8967-4B07-90AE-535135A42DF9}"/>
    <cellStyle name="40% - Accent1 4 2 2" xfId="1022" xr:uid="{E7D3A1C4-9175-423F-9984-85A7C54A35AA}"/>
    <cellStyle name="40% - Accent1 4 2 2 10" xfId="18032" xr:uid="{34601FC7-6DD1-423A-9F87-CAFEEEB5234B}"/>
    <cellStyle name="40% - Accent1 4 2 2 11" xfId="19922" xr:uid="{0268930D-4CCC-41BF-9890-C00C509F9ADE}"/>
    <cellStyle name="40% - Accent1 4 2 2 12" xfId="21812" xr:uid="{92FAFBC3-6423-4FD7-9618-EF321A27ECC1}"/>
    <cellStyle name="40% - Accent1 4 2 2 13" xfId="23702" xr:uid="{E5224F5E-A49B-47F5-B47C-79143EB4A147}"/>
    <cellStyle name="40% - Accent1 4 2 2 14" xfId="25592" xr:uid="{F0B88A4D-2EAF-447C-B2D8-9AB8E15AA1AD}"/>
    <cellStyle name="40% - Accent1 4 2 2 15" xfId="27482" xr:uid="{F0C329F5-5F53-4AF3-8F0E-715065BB75A0}"/>
    <cellStyle name="40% - Accent1 4 2 2 16" xfId="29372" xr:uid="{58D9BAA7-8873-42AA-8B3E-6002AE80B552}"/>
    <cellStyle name="40% - Accent1 4 2 2 17" xfId="31262" xr:uid="{74D7953A-D08C-4E3A-911F-631F392A5B9F}"/>
    <cellStyle name="40% - Accent1 4 2 2 18" xfId="33152" xr:uid="{35E07C90-2F0C-4972-8700-921D8575E9CF}"/>
    <cellStyle name="40% - Accent1 4 2 2 19" xfId="35042" xr:uid="{34D1B310-FEB3-4D38-88A1-0CB77309F02F}"/>
    <cellStyle name="40% - Accent1 4 2 2 2" xfId="2912" xr:uid="{45365B87-6204-49D4-B5DC-D69EDF6B723D}"/>
    <cellStyle name="40% - Accent1 4 2 2 20" xfId="36932" xr:uid="{74C45567-F42E-43CE-B45B-82D70E426DB3}"/>
    <cellStyle name="40% - Accent1 4 2 2 21" xfId="38822" xr:uid="{7C5BE63C-1973-4113-84AA-27A3556C5A28}"/>
    <cellStyle name="40% - Accent1 4 2 2 22" xfId="40713" xr:uid="{0204194A-A61E-4015-A4BA-4A52262FA183}"/>
    <cellStyle name="40% - Accent1 4 2 2 3" xfId="4802" xr:uid="{0912BDA7-A46E-4210-9368-F9445812E19E}"/>
    <cellStyle name="40% - Accent1 4 2 2 4" xfId="6692" xr:uid="{89820C16-6EC3-47C6-9145-6B7902C90D45}"/>
    <cellStyle name="40% - Accent1 4 2 2 5" xfId="8582" xr:uid="{2D0D7224-BE88-436E-B7C8-90BA50803FD6}"/>
    <cellStyle name="40% - Accent1 4 2 2 6" xfId="10472" xr:uid="{4C243495-FFBE-4F59-9930-066F1DB7D2E5}"/>
    <cellStyle name="40% - Accent1 4 2 2 7" xfId="12362" xr:uid="{102F2C54-5687-477D-9A29-CDF808919386}"/>
    <cellStyle name="40% - Accent1 4 2 2 8" xfId="14252" xr:uid="{98E0CAF0-C6EE-4225-9C2D-210FE6F62B95}"/>
    <cellStyle name="40% - Accent1 4 2 2 9" xfId="16142" xr:uid="{E583BD1C-BF8E-445F-B32B-709FD60E9B8B}"/>
    <cellStyle name="40% - Accent1 4 2 20" xfId="32522" xr:uid="{9BA7D90E-9B2C-47CE-AAAE-8B83EBDA596B}"/>
    <cellStyle name="40% - Accent1 4 2 21" xfId="34412" xr:uid="{3A2F892D-53EA-42F1-9C29-5DA24A9631E2}"/>
    <cellStyle name="40% - Accent1 4 2 22" xfId="36302" xr:uid="{94703131-566D-4B99-9593-E4E13520C8B3}"/>
    <cellStyle name="40% - Accent1 4 2 23" xfId="38192" xr:uid="{34F7E772-70B7-4AD3-BB41-19A03B6D2DA5}"/>
    <cellStyle name="40% - Accent1 4 2 24" xfId="40083" xr:uid="{C3739CCE-21F7-4586-8E71-4EA99208A606}"/>
    <cellStyle name="40% - Accent1 4 2 3" xfId="1652" xr:uid="{97A56A43-97BC-4AA0-A892-A2ACB7F8B7B5}"/>
    <cellStyle name="40% - Accent1 4 2 3 10" xfId="18662" xr:uid="{9C0E930C-665D-4F17-BB22-5AC9661822E2}"/>
    <cellStyle name="40% - Accent1 4 2 3 11" xfId="20552" xr:uid="{DCE7811A-385A-47B7-88AF-B50449C7A143}"/>
    <cellStyle name="40% - Accent1 4 2 3 12" xfId="22442" xr:uid="{D9EB5FFC-39ED-4AD0-BB71-04027344B15F}"/>
    <cellStyle name="40% - Accent1 4 2 3 13" xfId="24332" xr:uid="{E5650CCD-5086-4D47-B6FF-0B84B5C16B10}"/>
    <cellStyle name="40% - Accent1 4 2 3 14" xfId="26222" xr:uid="{1214975B-5C26-4A36-9F7E-60C6B812F022}"/>
    <cellStyle name="40% - Accent1 4 2 3 15" xfId="28112" xr:uid="{86F1BD60-DEF7-4BCC-9D2A-024F66FE344B}"/>
    <cellStyle name="40% - Accent1 4 2 3 16" xfId="30002" xr:uid="{7C0E940B-308E-4C50-AFFB-B3063CB84325}"/>
    <cellStyle name="40% - Accent1 4 2 3 17" xfId="31892" xr:uid="{62F1E1A6-2800-49F9-B56A-98BC286124FB}"/>
    <cellStyle name="40% - Accent1 4 2 3 18" xfId="33782" xr:uid="{215E49EF-828E-46B5-80C0-5A371DBFD7EC}"/>
    <cellStyle name="40% - Accent1 4 2 3 19" xfId="35672" xr:uid="{7A85A58A-8A04-4884-A47C-9BFC47B258D3}"/>
    <cellStyle name="40% - Accent1 4 2 3 2" xfId="3542" xr:uid="{34BFA15E-31BA-4B5C-A1C1-CFCB545DE373}"/>
    <cellStyle name="40% - Accent1 4 2 3 20" xfId="37562" xr:uid="{7A50AD13-D394-4093-894D-2D51DBCA0831}"/>
    <cellStyle name="40% - Accent1 4 2 3 21" xfId="39452" xr:uid="{BC49D50D-B3AB-4415-971E-A7136926B79B}"/>
    <cellStyle name="40% - Accent1 4 2 3 22" xfId="41343" xr:uid="{4D9D2478-30FD-44C9-8BD3-5EFFE60E310B}"/>
    <cellStyle name="40% - Accent1 4 2 3 3" xfId="5432" xr:uid="{D554EB5B-FFA3-4B62-97E8-98DD24B41CFB}"/>
    <cellStyle name="40% - Accent1 4 2 3 4" xfId="7322" xr:uid="{46C677A2-5761-4A3A-B430-710AEEC2FB71}"/>
    <cellStyle name="40% - Accent1 4 2 3 5" xfId="9212" xr:uid="{53E6801D-F96E-4B45-A396-3B88BC434870}"/>
    <cellStyle name="40% - Accent1 4 2 3 6" xfId="11102" xr:uid="{F1076BEA-F286-4599-BC8A-4D8503F1F348}"/>
    <cellStyle name="40% - Accent1 4 2 3 7" xfId="12992" xr:uid="{310F2349-9014-400F-9545-75D8FE047189}"/>
    <cellStyle name="40% - Accent1 4 2 3 8" xfId="14882" xr:uid="{D38E3EF3-AA73-4159-A6B6-29952339CBB7}"/>
    <cellStyle name="40% - Accent1 4 2 3 9" xfId="16772" xr:uid="{9FD7CD4A-2116-4DF0-B213-DC15FFBE8431}"/>
    <cellStyle name="40% - Accent1 4 2 4" xfId="2282" xr:uid="{3E455010-4BB5-407F-B2CB-2A2E6B49FD2C}"/>
    <cellStyle name="40% - Accent1 4 2 5" xfId="4172" xr:uid="{90277583-A7FC-495C-AD01-69CA01FFFF4C}"/>
    <cellStyle name="40% - Accent1 4 2 6" xfId="6062" xr:uid="{7EC0F753-4234-4EEE-A3D7-79EAB66A8227}"/>
    <cellStyle name="40% - Accent1 4 2 7" xfId="7952" xr:uid="{F968DDD5-9562-4E74-9BD7-AA0DB5E97C12}"/>
    <cellStyle name="40% - Accent1 4 2 8" xfId="9842" xr:uid="{50A1F3A8-4830-4BC8-81EB-8917083ED5DC}"/>
    <cellStyle name="40% - Accent1 4 2 9" xfId="11732" xr:uid="{E86DEE14-0A6D-48DC-9F2A-6AD8E6FA36EB}"/>
    <cellStyle name="40% - Accent1 4 20" xfId="28532" xr:uid="{31942D13-7C48-4A15-ABA0-9296B516F831}"/>
    <cellStyle name="40% - Accent1 4 21" xfId="30422" xr:uid="{948E7925-427F-405E-81B9-4366400691C9}"/>
    <cellStyle name="40% - Accent1 4 22" xfId="32312" xr:uid="{67403369-343D-4742-AD18-9E29B488362C}"/>
    <cellStyle name="40% - Accent1 4 23" xfId="34202" xr:uid="{684EB781-F927-4A90-8FFD-D017A2463717}"/>
    <cellStyle name="40% - Accent1 4 24" xfId="36092" xr:uid="{AB98108E-FA73-487D-BC0F-3AC840B31688}"/>
    <cellStyle name="40% - Accent1 4 25" xfId="37982" xr:uid="{A2101864-485B-46D2-8DB0-4E0EE0E9B55A}"/>
    <cellStyle name="40% - Accent1 4 26" xfId="39873" xr:uid="{A054E7F1-9B6A-4608-98FB-B83C9D0FC517}"/>
    <cellStyle name="40% - Accent1 4 3" xfId="602" xr:uid="{202B09F9-AC23-46C2-821B-2B565FED3897}"/>
    <cellStyle name="40% - Accent1 4 3 10" xfId="13832" xr:uid="{A4B16239-0BD9-4D86-8E92-327C74397B9E}"/>
    <cellStyle name="40% - Accent1 4 3 11" xfId="15722" xr:uid="{C19D31ED-1133-401E-98FB-55E3583FF906}"/>
    <cellStyle name="40% - Accent1 4 3 12" xfId="17612" xr:uid="{2524009F-AA03-4466-8D86-104D2BA83439}"/>
    <cellStyle name="40% - Accent1 4 3 13" xfId="19502" xr:uid="{4C2B58C1-34BE-4DB4-A722-B1DDF82272E4}"/>
    <cellStyle name="40% - Accent1 4 3 14" xfId="21392" xr:uid="{55DF4213-0C55-4513-9FFF-A0E706581E0C}"/>
    <cellStyle name="40% - Accent1 4 3 15" xfId="23282" xr:uid="{7137BADA-49E1-4950-87E8-8475899658CF}"/>
    <cellStyle name="40% - Accent1 4 3 16" xfId="25172" xr:uid="{93F68B92-F080-4994-9553-8B0AEAF805D7}"/>
    <cellStyle name="40% - Accent1 4 3 17" xfId="27062" xr:uid="{48B1F530-9E60-4CE1-A58A-A6D4957E97E5}"/>
    <cellStyle name="40% - Accent1 4 3 18" xfId="28952" xr:uid="{40214A23-7C3E-426D-91BC-CF42A321539D}"/>
    <cellStyle name="40% - Accent1 4 3 19" xfId="30842" xr:uid="{144A9CAE-68AE-4DB0-938C-12E9EAB7A302}"/>
    <cellStyle name="40% - Accent1 4 3 2" xfId="1232" xr:uid="{4D33013C-76BA-4951-941B-3B0033250426}"/>
    <cellStyle name="40% - Accent1 4 3 2 10" xfId="18242" xr:uid="{ED1AF085-9D2E-4C8B-8A24-387BB31DAFDD}"/>
    <cellStyle name="40% - Accent1 4 3 2 11" xfId="20132" xr:uid="{006AF8BF-6218-4510-96C6-AFC6420E8A9A}"/>
    <cellStyle name="40% - Accent1 4 3 2 12" xfId="22022" xr:uid="{4BFA2E86-8532-465C-92F4-3E98D6355C40}"/>
    <cellStyle name="40% - Accent1 4 3 2 13" xfId="23912" xr:uid="{D41C744A-1040-4694-8FA2-289FF7CCB3C4}"/>
    <cellStyle name="40% - Accent1 4 3 2 14" xfId="25802" xr:uid="{EC5408CC-6ED5-4E11-97AB-16A55A1CFD91}"/>
    <cellStyle name="40% - Accent1 4 3 2 15" xfId="27692" xr:uid="{B17383AF-5619-4E94-AA4F-DE113D28D1ED}"/>
    <cellStyle name="40% - Accent1 4 3 2 16" xfId="29582" xr:uid="{7CA948F2-BE91-467C-848B-7D69B1B8E6CA}"/>
    <cellStyle name="40% - Accent1 4 3 2 17" xfId="31472" xr:uid="{DC6C457C-5D0E-4DDB-8DDC-31D5AD9F4EDD}"/>
    <cellStyle name="40% - Accent1 4 3 2 18" xfId="33362" xr:uid="{6C3FA922-4B55-490D-B6F7-55A3BD860DC1}"/>
    <cellStyle name="40% - Accent1 4 3 2 19" xfId="35252" xr:uid="{808BC668-AE4D-4FCD-A905-DBFD2AC92A87}"/>
    <cellStyle name="40% - Accent1 4 3 2 2" xfId="3122" xr:uid="{D9A00C6E-44BC-4960-B852-E11543870A42}"/>
    <cellStyle name="40% - Accent1 4 3 2 20" xfId="37142" xr:uid="{D0CF8DCB-5D1F-4EB6-A1E5-CE1591F28C1B}"/>
    <cellStyle name="40% - Accent1 4 3 2 21" xfId="39032" xr:uid="{4C227192-D52E-49EB-9B7D-B9154306DF86}"/>
    <cellStyle name="40% - Accent1 4 3 2 22" xfId="40923" xr:uid="{094D2E8E-CB92-469F-BD56-06A1B7C5DB37}"/>
    <cellStyle name="40% - Accent1 4 3 2 3" xfId="5012" xr:uid="{572C3DA0-7749-4639-8E24-A9C40FDE180E}"/>
    <cellStyle name="40% - Accent1 4 3 2 4" xfId="6902" xr:uid="{157AE438-271C-4F1F-BE25-53B12FC4D88F}"/>
    <cellStyle name="40% - Accent1 4 3 2 5" xfId="8792" xr:uid="{8B1F51F4-0C7D-4B7F-B531-28963681E18B}"/>
    <cellStyle name="40% - Accent1 4 3 2 6" xfId="10682" xr:uid="{8CD0C26E-6B66-43D9-91FB-8D5C3EBA67E3}"/>
    <cellStyle name="40% - Accent1 4 3 2 7" xfId="12572" xr:uid="{29142E13-A26E-472D-97EC-C93C34F8BA13}"/>
    <cellStyle name="40% - Accent1 4 3 2 8" xfId="14462" xr:uid="{1AFC884B-CFEA-4E2F-80F5-9FC059F60DE3}"/>
    <cellStyle name="40% - Accent1 4 3 2 9" xfId="16352" xr:uid="{2E214BD8-8FF0-4E02-9277-EA5CA7C6BE96}"/>
    <cellStyle name="40% - Accent1 4 3 20" xfId="32732" xr:uid="{3C892854-FF86-424B-9692-903E375F5A66}"/>
    <cellStyle name="40% - Accent1 4 3 21" xfId="34622" xr:uid="{8BE9F81A-FEF6-40DA-8182-D853CEF879AD}"/>
    <cellStyle name="40% - Accent1 4 3 22" xfId="36512" xr:uid="{E78CC464-2600-4BB9-A8B3-18E063755878}"/>
    <cellStyle name="40% - Accent1 4 3 23" xfId="38402" xr:uid="{BBAE1E29-6EA1-4371-B4F6-4AA132E7236C}"/>
    <cellStyle name="40% - Accent1 4 3 24" xfId="40293" xr:uid="{A24498A1-78C2-474B-8583-7D564A873E34}"/>
    <cellStyle name="40% - Accent1 4 3 3" xfId="1862" xr:uid="{4CC25C45-73A9-4F9C-8162-AA15C0B5BA44}"/>
    <cellStyle name="40% - Accent1 4 3 3 10" xfId="18872" xr:uid="{827ECBF7-E72C-4723-98D8-6BAEECCC2187}"/>
    <cellStyle name="40% - Accent1 4 3 3 11" xfId="20762" xr:uid="{AD3B270A-7E73-42BA-AF4E-1D5BB8163ACD}"/>
    <cellStyle name="40% - Accent1 4 3 3 12" xfId="22652" xr:uid="{D756CDF5-3A9E-40DF-9278-161145248C79}"/>
    <cellStyle name="40% - Accent1 4 3 3 13" xfId="24542" xr:uid="{79E309C2-C21E-4913-B70A-1D9270F1C198}"/>
    <cellStyle name="40% - Accent1 4 3 3 14" xfId="26432" xr:uid="{60CFABDF-8D11-4368-98AF-996706ACE5FF}"/>
    <cellStyle name="40% - Accent1 4 3 3 15" xfId="28322" xr:uid="{7CF791D6-9F47-46B6-885A-5A331E387402}"/>
    <cellStyle name="40% - Accent1 4 3 3 16" xfId="30212" xr:uid="{BECA54E4-D4E5-40D0-BC8E-273CCC83CFA8}"/>
    <cellStyle name="40% - Accent1 4 3 3 17" xfId="32102" xr:uid="{8FA2ED53-C5EE-4ACE-830A-F10999629E90}"/>
    <cellStyle name="40% - Accent1 4 3 3 18" xfId="33992" xr:uid="{356C82EF-302E-4304-8C55-0179FB34578F}"/>
    <cellStyle name="40% - Accent1 4 3 3 19" xfId="35882" xr:uid="{9A530E7C-CEA1-403F-B83F-6FA0E29119B5}"/>
    <cellStyle name="40% - Accent1 4 3 3 2" xfId="3752" xr:uid="{B4912659-ECE7-4D16-9B5A-89A8541BD29B}"/>
    <cellStyle name="40% - Accent1 4 3 3 20" xfId="37772" xr:uid="{8B17DCAA-C086-4861-ADF7-D711CF325D6D}"/>
    <cellStyle name="40% - Accent1 4 3 3 21" xfId="39662" xr:uid="{657CA2ED-FF72-4F83-BAC6-2EE75904491D}"/>
    <cellStyle name="40% - Accent1 4 3 3 22" xfId="41553" xr:uid="{2D4F260F-B92F-47FD-9D8B-46CD9727C100}"/>
    <cellStyle name="40% - Accent1 4 3 3 3" xfId="5642" xr:uid="{A5289FD1-2A81-4301-9C03-9F0556593994}"/>
    <cellStyle name="40% - Accent1 4 3 3 4" xfId="7532" xr:uid="{4A56B168-DA73-48D3-90EA-353CC14B0BE2}"/>
    <cellStyle name="40% - Accent1 4 3 3 5" xfId="9422" xr:uid="{6153DBAE-695F-46A7-9FA4-99D3CC80668C}"/>
    <cellStyle name="40% - Accent1 4 3 3 6" xfId="11312" xr:uid="{30A0CDFD-E99A-4AB6-BD6C-D809E8614983}"/>
    <cellStyle name="40% - Accent1 4 3 3 7" xfId="13202" xr:uid="{21320772-5338-46AF-9E67-C619B860CFBF}"/>
    <cellStyle name="40% - Accent1 4 3 3 8" xfId="15092" xr:uid="{CF1A68B2-6141-45BB-A913-7E1DE947B057}"/>
    <cellStyle name="40% - Accent1 4 3 3 9" xfId="16982" xr:uid="{8FDF87F8-192D-412F-ABB1-F245520AE45B}"/>
    <cellStyle name="40% - Accent1 4 3 4" xfId="2492" xr:uid="{F58F5BAF-6D69-4BDB-BF0C-09B6D4F35489}"/>
    <cellStyle name="40% - Accent1 4 3 5" xfId="4382" xr:uid="{443E32CE-0C57-4E22-AA11-859A26A10A43}"/>
    <cellStyle name="40% - Accent1 4 3 6" xfId="6272" xr:uid="{C2485578-B8C4-4DFE-9150-0A6E9DA795A7}"/>
    <cellStyle name="40% - Accent1 4 3 7" xfId="8162" xr:uid="{106790FC-A3F8-429C-9467-801B3F5E9F0C}"/>
    <cellStyle name="40% - Accent1 4 3 8" xfId="10052" xr:uid="{22DC3D1C-1BE5-4438-A61C-3F3D989F5F1A}"/>
    <cellStyle name="40% - Accent1 4 3 9" xfId="11942" xr:uid="{292C5367-4824-49F1-9FA7-C72998FFAB28}"/>
    <cellStyle name="40% - Accent1 4 4" xfId="812" xr:uid="{7909DC36-FA9B-4301-A739-0B49390AB139}"/>
    <cellStyle name="40% - Accent1 4 4 10" xfId="17822" xr:uid="{87D765DF-B0C8-4E3F-9220-172C38A3E03B}"/>
    <cellStyle name="40% - Accent1 4 4 11" xfId="19712" xr:uid="{951A09CF-8C84-448F-A0B9-24114E1D3C7D}"/>
    <cellStyle name="40% - Accent1 4 4 12" xfId="21602" xr:uid="{F0C64642-FC4E-4850-8EFD-447EE6C82AFA}"/>
    <cellStyle name="40% - Accent1 4 4 13" xfId="23492" xr:uid="{D1F93F23-1A1B-44FF-B7BB-22A29638E559}"/>
    <cellStyle name="40% - Accent1 4 4 14" xfId="25382" xr:uid="{C61779B4-71A1-4075-B3E4-BC7521C0103A}"/>
    <cellStyle name="40% - Accent1 4 4 15" xfId="27272" xr:uid="{5A54A1E8-7F89-4754-A629-3965CE68E393}"/>
    <cellStyle name="40% - Accent1 4 4 16" xfId="29162" xr:uid="{ACBE766E-809E-4360-873A-B9EF3B8B7599}"/>
    <cellStyle name="40% - Accent1 4 4 17" xfId="31052" xr:uid="{4E35EAAF-E278-451F-9DB3-05D70E2B9C75}"/>
    <cellStyle name="40% - Accent1 4 4 18" xfId="32942" xr:uid="{9BCDDE3C-FD09-4BDE-AD70-9B141146C122}"/>
    <cellStyle name="40% - Accent1 4 4 19" xfId="34832" xr:uid="{FE099341-FFDD-4820-BC0F-D629A61E12E5}"/>
    <cellStyle name="40% - Accent1 4 4 2" xfId="2702" xr:uid="{0A8F80C4-43D6-42B8-8459-E6E130F9BA8F}"/>
    <cellStyle name="40% - Accent1 4 4 20" xfId="36722" xr:uid="{48269478-61DF-4BEE-BD31-383C76CEE4A0}"/>
    <cellStyle name="40% - Accent1 4 4 21" xfId="38612" xr:uid="{E64FB127-054E-4530-9FBD-D7410BE21EC3}"/>
    <cellStyle name="40% - Accent1 4 4 22" xfId="40503" xr:uid="{FCFA27AB-E69F-4031-BB22-8ADDC8C42D43}"/>
    <cellStyle name="40% - Accent1 4 4 3" xfId="4592" xr:uid="{84C98F8E-24A8-4686-A590-C0678E0E8EAE}"/>
    <cellStyle name="40% - Accent1 4 4 4" xfId="6482" xr:uid="{55A594CC-3CEB-45CA-9929-BB02FAD8F3AD}"/>
    <cellStyle name="40% - Accent1 4 4 5" xfId="8372" xr:uid="{48B2DA06-64E5-4147-972C-3F64B4FF0B73}"/>
    <cellStyle name="40% - Accent1 4 4 6" xfId="10262" xr:uid="{3325C109-1942-4533-B53E-C6B1D1F645D4}"/>
    <cellStyle name="40% - Accent1 4 4 7" xfId="12152" xr:uid="{CC9C3947-D5B9-481C-8E21-65D4EA851F18}"/>
    <cellStyle name="40% - Accent1 4 4 8" xfId="14042" xr:uid="{EB381A65-430C-49AE-8697-952238FFC5C8}"/>
    <cellStyle name="40% - Accent1 4 4 9" xfId="15932" xr:uid="{04FADE59-8916-43E9-A0FF-4B8BC8E24515}"/>
    <cellStyle name="40% - Accent1 4 5" xfId="1442" xr:uid="{704473CA-CBD9-4483-84A9-664EB956469A}"/>
    <cellStyle name="40% - Accent1 4 5 10" xfId="18452" xr:uid="{254C7966-4E39-43EA-9BC9-9FB8E179DC57}"/>
    <cellStyle name="40% - Accent1 4 5 11" xfId="20342" xr:uid="{0C574A3D-4B89-4F3F-ACCD-57B5EEE24D8D}"/>
    <cellStyle name="40% - Accent1 4 5 12" xfId="22232" xr:uid="{103F1686-32AC-43AB-BEC8-D4797D41E4BC}"/>
    <cellStyle name="40% - Accent1 4 5 13" xfId="24122" xr:uid="{384508A1-8076-4106-8947-BE68EA2F45DD}"/>
    <cellStyle name="40% - Accent1 4 5 14" xfId="26012" xr:uid="{AF95D078-2FC8-4DC9-9A56-851493B4F8D2}"/>
    <cellStyle name="40% - Accent1 4 5 15" xfId="27902" xr:uid="{485F6F83-F19B-4263-BCD7-5B2ADC0ADD13}"/>
    <cellStyle name="40% - Accent1 4 5 16" xfId="29792" xr:uid="{E536B56B-54A5-4318-82D5-4929D37F6747}"/>
    <cellStyle name="40% - Accent1 4 5 17" xfId="31682" xr:uid="{B43B0BA4-7EB2-492A-87D1-E1001E6E9CAC}"/>
    <cellStyle name="40% - Accent1 4 5 18" xfId="33572" xr:uid="{17951916-648F-4E13-B0D3-B9372B252E32}"/>
    <cellStyle name="40% - Accent1 4 5 19" xfId="35462" xr:uid="{01238335-58F4-4BB8-BC44-74FD551C5559}"/>
    <cellStyle name="40% - Accent1 4 5 2" xfId="3332" xr:uid="{FA546C77-5B73-4C68-B73A-EC018DA4F560}"/>
    <cellStyle name="40% - Accent1 4 5 20" xfId="37352" xr:uid="{628E7883-FFBD-4877-AC4B-17DC26227178}"/>
    <cellStyle name="40% - Accent1 4 5 21" xfId="39242" xr:uid="{63A6E770-9F4F-43D9-B89B-56A3CEFC0330}"/>
    <cellStyle name="40% - Accent1 4 5 22" xfId="41133" xr:uid="{71DD1DAE-8CAB-4E99-B638-3E61451D50DA}"/>
    <cellStyle name="40% - Accent1 4 5 3" xfId="5222" xr:uid="{50BED14F-30A5-4CED-8560-2A1197F06D2A}"/>
    <cellStyle name="40% - Accent1 4 5 4" xfId="7112" xr:uid="{3AB4E3B4-40CD-40D2-97C9-631D7EAF860B}"/>
    <cellStyle name="40% - Accent1 4 5 5" xfId="9002" xr:uid="{30EE18BF-776F-43DE-BA09-814B506D4762}"/>
    <cellStyle name="40% - Accent1 4 5 6" xfId="10892" xr:uid="{AB4DFCD1-298B-4FB5-9BF0-88E05C61DE87}"/>
    <cellStyle name="40% - Accent1 4 5 7" xfId="12782" xr:uid="{67BFF873-EFBE-40DD-8F5E-CE9E64393755}"/>
    <cellStyle name="40% - Accent1 4 5 8" xfId="14672" xr:uid="{BC603D91-104F-4CE7-A2AE-579D525C59D7}"/>
    <cellStyle name="40% - Accent1 4 5 9" xfId="16562" xr:uid="{43C63E12-9164-4B8B-B90D-C7B3CFF42031}"/>
    <cellStyle name="40% - Accent1 4 6" xfId="2072" xr:uid="{2CD3C52C-FA2C-4E8F-932A-1811B3330E44}"/>
    <cellStyle name="40% - Accent1 4 7" xfId="3962" xr:uid="{46B387B2-91E8-4D21-AD19-7BA182F3F3CB}"/>
    <cellStyle name="40% - Accent1 4 8" xfId="5852" xr:uid="{CAD9FFAF-1717-4695-8C3E-982F9D6189C3}"/>
    <cellStyle name="40% - Accent1 4 9" xfId="7742" xr:uid="{67450A32-AE7A-4642-A1A0-BF3C25954AC7}"/>
    <cellStyle name="40% - Accent1 5" xfId="287" xr:uid="{562DB7F1-FC29-4A8F-AEE1-542DEEC36100}"/>
    <cellStyle name="40% - Accent1 5 10" xfId="13517" xr:uid="{133A5AEC-D80F-4A78-A3F1-523D69C65B3A}"/>
    <cellStyle name="40% - Accent1 5 11" xfId="15407" xr:uid="{DED6FA87-0893-46B1-9827-483FBFF96C88}"/>
    <cellStyle name="40% - Accent1 5 12" xfId="17297" xr:uid="{853EE230-F955-4F2E-BBA5-65E958722AB0}"/>
    <cellStyle name="40% - Accent1 5 13" xfId="19187" xr:uid="{89EB80DD-46EF-4AD3-BA52-F0A2A2D5248D}"/>
    <cellStyle name="40% - Accent1 5 14" xfId="21077" xr:uid="{4DB37B8D-8279-4732-B49D-305BA7FC33B4}"/>
    <cellStyle name="40% - Accent1 5 15" xfId="22967" xr:uid="{BEB20776-5852-4E28-B92F-E937C92551AE}"/>
    <cellStyle name="40% - Accent1 5 16" xfId="24857" xr:uid="{15625D93-2337-456A-A8E0-C4FDA1EDCDB9}"/>
    <cellStyle name="40% - Accent1 5 17" xfId="26747" xr:uid="{97816703-D2CB-4EC6-8D3A-F20C685AFA3B}"/>
    <cellStyle name="40% - Accent1 5 18" xfId="28637" xr:uid="{48135526-6CAB-46E0-B08B-EE2CF26C2051}"/>
    <cellStyle name="40% - Accent1 5 19" xfId="30527" xr:uid="{CCA13BDD-385B-417C-8C59-6A5DF1DD3D63}"/>
    <cellStyle name="40% - Accent1 5 2" xfId="917" xr:uid="{71E8D463-A63B-4E92-89C8-464B5520D3DC}"/>
    <cellStyle name="40% - Accent1 5 2 10" xfId="17927" xr:uid="{B0DD056B-CDFE-4DA4-BC14-F0C5D397515A}"/>
    <cellStyle name="40% - Accent1 5 2 11" xfId="19817" xr:uid="{24EAEA8B-7561-4B28-A4F5-2CA09743F126}"/>
    <cellStyle name="40% - Accent1 5 2 12" xfId="21707" xr:uid="{27A89C4C-6103-4C66-BAD1-0E5E5645C76A}"/>
    <cellStyle name="40% - Accent1 5 2 13" xfId="23597" xr:uid="{FBEF239B-15ED-40F4-B299-07A0D08D6D36}"/>
    <cellStyle name="40% - Accent1 5 2 14" xfId="25487" xr:uid="{F7A42380-0C55-404C-B9F2-8BB21BACFC72}"/>
    <cellStyle name="40% - Accent1 5 2 15" xfId="27377" xr:uid="{3C079FA1-8E23-4136-9572-18E389127782}"/>
    <cellStyle name="40% - Accent1 5 2 16" xfId="29267" xr:uid="{1F230EC0-C540-4C56-B71B-350132234A26}"/>
    <cellStyle name="40% - Accent1 5 2 17" xfId="31157" xr:uid="{2C38AD33-8ADB-4C72-A977-687F2439DE89}"/>
    <cellStyle name="40% - Accent1 5 2 18" xfId="33047" xr:uid="{6B578D92-31B5-4C8B-896C-C4D938C55DB2}"/>
    <cellStyle name="40% - Accent1 5 2 19" xfId="34937" xr:uid="{BF9B909E-EF27-4447-B279-CA0311C31ED0}"/>
    <cellStyle name="40% - Accent1 5 2 2" xfId="2807" xr:uid="{EEE159E4-C619-4911-AC0F-A9C65C61B929}"/>
    <cellStyle name="40% - Accent1 5 2 20" xfId="36827" xr:uid="{BB0873EA-5FBB-4D0C-931D-12DA5E955520}"/>
    <cellStyle name="40% - Accent1 5 2 21" xfId="38717" xr:uid="{BC0575AD-6D23-4BB3-AB24-C8970E1850E0}"/>
    <cellStyle name="40% - Accent1 5 2 22" xfId="40608" xr:uid="{581A5EEF-3771-4928-A44C-5FC0F4596412}"/>
    <cellStyle name="40% - Accent1 5 2 3" xfId="4697" xr:uid="{508D9CB6-66C2-4409-ABCF-D69180CFC2F9}"/>
    <cellStyle name="40% - Accent1 5 2 4" xfId="6587" xr:uid="{BA3B66B0-64C3-4985-A1B0-67D12806931E}"/>
    <cellStyle name="40% - Accent1 5 2 5" xfId="8477" xr:uid="{7D70036F-BA4C-456D-B4FC-5DAD75AC443C}"/>
    <cellStyle name="40% - Accent1 5 2 6" xfId="10367" xr:uid="{A2AD8A77-FFF1-44FC-A6FD-290CFA0FAA80}"/>
    <cellStyle name="40% - Accent1 5 2 7" xfId="12257" xr:uid="{CA5E1D98-D68A-4E35-ADAF-7341E900A2F1}"/>
    <cellStyle name="40% - Accent1 5 2 8" xfId="14147" xr:uid="{3EBCDC7D-57C2-47E7-AFA5-EA634F359334}"/>
    <cellStyle name="40% - Accent1 5 2 9" xfId="16037" xr:uid="{DF928951-E297-4CCF-89FB-36FBDFC03435}"/>
    <cellStyle name="40% - Accent1 5 20" xfId="32417" xr:uid="{811B948F-2037-4D9B-8DAA-EBB5B3DED3C4}"/>
    <cellStyle name="40% - Accent1 5 21" xfId="34307" xr:uid="{FC941196-6123-42C0-9ACA-01623DEC9217}"/>
    <cellStyle name="40% - Accent1 5 22" xfId="36197" xr:uid="{A6EEADA3-520B-40F2-9F0E-8EF78B606821}"/>
    <cellStyle name="40% - Accent1 5 23" xfId="38087" xr:uid="{B5637E2E-D0D4-4519-8921-52D37FB21BB6}"/>
    <cellStyle name="40% - Accent1 5 24" xfId="39978" xr:uid="{0E5721A4-C9D2-442E-A712-E1E882AC5779}"/>
    <cellStyle name="40% - Accent1 5 3" xfId="1547" xr:uid="{8CEDE10F-4DCD-4FEF-81F5-A003C8A39CF6}"/>
    <cellStyle name="40% - Accent1 5 3 10" xfId="18557" xr:uid="{BB377170-F4C3-4E97-9B96-461FBC5E2347}"/>
    <cellStyle name="40% - Accent1 5 3 11" xfId="20447" xr:uid="{2774D53A-674B-49E6-8B36-0B5B09D23BF8}"/>
    <cellStyle name="40% - Accent1 5 3 12" xfId="22337" xr:uid="{5D237E2E-B109-47E5-A96E-D6C7B8522F0F}"/>
    <cellStyle name="40% - Accent1 5 3 13" xfId="24227" xr:uid="{50D904AC-FE6B-4EFD-8BDB-68F20EB9A2E9}"/>
    <cellStyle name="40% - Accent1 5 3 14" xfId="26117" xr:uid="{FC45D685-D305-406F-AFC0-79BCC8FCA685}"/>
    <cellStyle name="40% - Accent1 5 3 15" xfId="28007" xr:uid="{22A28CBA-64E8-45F7-8E6A-64A1E3AFF344}"/>
    <cellStyle name="40% - Accent1 5 3 16" xfId="29897" xr:uid="{033EF762-631C-4794-BECE-3298CDF0A945}"/>
    <cellStyle name="40% - Accent1 5 3 17" xfId="31787" xr:uid="{1F07EBB3-24B8-48A5-B2A2-74597C7FDBCC}"/>
    <cellStyle name="40% - Accent1 5 3 18" xfId="33677" xr:uid="{443C7F5C-F5CC-4119-BC1E-AAC9DAE689C2}"/>
    <cellStyle name="40% - Accent1 5 3 19" xfId="35567" xr:uid="{CB6563EF-EDF2-4EEE-93AF-515528B55A71}"/>
    <cellStyle name="40% - Accent1 5 3 2" xfId="3437" xr:uid="{D1EA94E2-C067-4BE3-823B-6DAA832B1E0D}"/>
    <cellStyle name="40% - Accent1 5 3 20" xfId="37457" xr:uid="{3A22A9F5-650B-42F9-B685-A349BFE7993F}"/>
    <cellStyle name="40% - Accent1 5 3 21" xfId="39347" xr:uid="{FB59D031-1E1D-44F5-A32E-F0EF2775A4E1}"/>
    <cellStyle name="40% - Accent1 5 3 22" xfId="41238" xr:uid="{2F12E9CE-2699-4474-A986-B210F7ABC7E2}"/>
    <cellStyle name="40% - Accent1 5 3 3" xfId="5327" xr:uid="{C0FACB3F-D28F-4F0B-922C-C4302D5F7B92}"/>
    <cellStyle name="40% - Accent1 5 3 4" xfId="7217" xr:uid="{3C1C54B8-EA8E-47A2-A32E-3B9E0AE5F65B}"/>
    <cellStyle name="40% - Accent1 5 3 5" xfId="9107" xr:uid="{62025189-6FC2-46A0-8CB7-9FA69CD548CB}"/>
    <cellStyle name="40% - Accent1 5 3 6" xfId="10997" xr:uid="{DD2AD351-4C34-482F-8A19-ADE250B9D7FB}"/>
    <cellStyle name="40% - Accent1 5 3 7" xfId="12887" xr:uid="{91145D78-E390-48DE-B44C-59552562AD5C}"/>
    <cellStyle name="40% - Accent1 5 3 8" xfId="14777" xr:uid="{41D0DC33-859B-485C-808C-460A5C5621A8}"/>
    <cellStyle name="40% - Accent1 5 3 9" xfId="16667" xr:uid="{3B8D06CE-51C0-47D2-985A-92DBA295110B}"/>
    <cellStyle name="40% - Accent1 5 4" xfId="2177" xr:uid="{FA57236F-E7A9-4097-87A8-FF82DD3636E8}"/>
    <cellStyle name="40% - Accent1 5 5" xfId="4067" xr:uid="{F8D77352-3709-4065-9D4B-42ECAFFAFEF7}"/>
    <cellStyle name="40% - Accent1 5 6" xfId="5957" xr:uid="{43E015BE-67F5-419E-8FD1-C52C8707C2B5}"/>
    <cellStyle name="40% - Accent1 5 7" xfId="7847" xr:uid="{5AE387A9-39F2-4353-A93C-F7B29AD9FDC2}"/>
    <cellStyle name="40% - Accent1 5 8" xfId="9737" xr:uid="{1C61BE95-F63C-4E65-87FA-57949BC1DE83}"/>
    <cellStyle name="40% - Accent1 5 9" xfId="11627" xr:uid="{398A747A-B721-455C-AF05-5A7135EF9DF0}"/>
    <cellStyle name="40% - Accent1 6" xfId="497" xr:uid="{38FE1ADE-9AF2-47D9-A352-053106972CD4}"/>
    <cellStyle name="40% - Accent1 6 10" xfId="13727" xr:uid="{705C1472-A748-44A9-8E37-3B4F0EA1BBF3}"/>
    <cellStyle name="40% - Accent1 6 11" xfId="15617" xr:uid="{126765AB-EC42-4117-A6FE-529385D926B3}"/>
    <cellStyle name="40% - Accent1 6 12" xfId="17507" xr:uid="{B2E7621C-2768-4FB7-AC6B-5B570053748B}"/>
    <cellStyle name="40% - Accent1 6 13" xfId="19397" xr:uid="{2E4400A0-6067-4E74-B5EB-3779BA58084E}"/>
    <cellStyle name="40% - Accent1 6 14" xfId="21287" xr:uid="{45D7CCEB-AB46-44A3-A8FA-BAA5DCD522F8}"/>
    <cellStyle name="40% - Accent1 6 15" xfId="23177" xr:uid="{783C68C5-2407-4C30-A858-79BCAEE9CC55}"/>
    <cellStyle name="40% - Accent1 6 16" xfId="25067" xr:uid="{B2CD8765-EEA8-4A9A-B284-5E985CE775A1}"/>
    <cellStyle name="40% - Accent1 6 17" xfId="26957" xr:uid="{65B5EC20-9416-466B-A434-5AFE672D0009}"/>
    <cellStyle name="40% - Accent1 6 18" xfId="28847" xr:uid="{701FAA56-B79D-4F8E-B019-23478ADDC509}"/>
    <cellStyle name="40% - Accent1 6 19" xfId="30737" xr:uid="{3E0E2F7C-E203-4487-8E71-0EA8FEFCACB3}"/>
    <cellStyle name="40% - Accent1 6 2" xfId="1127" xr:uid="{0C71A53B-BE1D-4E6E-9D1D-70AE9D0403E6}"/>
    <cellStyle name="40% - Accent1 6 2 10" xfId="18137" xr:uid="{3A190988-D547-45A3-B07E-E28C8BA57616}"/>
    <cellStyle name="40% - Accent1 6 2 11" xfId="20027" xr:uid="{FD7B4F89-7E01-4E88-82F5-A681B59860F9}"/>
    <cellStyle name="40% - Accent1 6 2 12" xfId="21917" xr:uid="{F7AC24C2-4BAB-4647-AF24-2C03515F682C}"/>
    <cellStyle name="40% - Accent1 6 2 13" xfId="23807" xr:uid="{8D96FB27-871F-45A8-A00F-F8AF1C6EDD52}"/>
    <cellStyle name="40% - Accent1 6 2 14" xfId="25697" xr:uid="{10C6710B-72F7-491E-A281-6E4CD7F57EAC}"/>
    <cellStyle name="40% - Accent1 6 2 15" xfId="27587" xr:uid="{98CB334A-722F-44D5-AA57-A662AC44BC5D}"/>
    <cellStyle name="40% - Accent1 6 2 16" xfId="29477" xr:uid="{C4547D32-0F61-4DA0-9F1A-D096BCDEE71A}"/>
    <cellStyle name="40% - Accent1 6 2 17" xfId="31367" xr:uid="{0AEA2945-8730-4E6A-9029-F4708FD36210}"/>
    <cellStyle name="40% - Accent1 6 2 18" xfId="33257" xr:uid="{FB807B9C-DA45-4CCF-89B5-4CFA6C42BF19}"/>
    <cellStyle name="40% - Accent1 6 2 19" xfId="35147" xr:uid="{C1012165-AA10-4E12-9324-8E36FE03A68C}"/>
    <cellStyle name="40% - Accent1 6 2 2" xfId="3017" xr:uid="{D5002C18-9F38-4FCB-9B58-C59357FBD454}"/>
    <cellStyle name="40% - Accent1 6 2 20" xfId="37037" xr:uid="{4B665F87-53F1-42BD-AEE3-8B6D7CD5BCD4}"/>
    <cellStyle name="40% - Accent1 6 2 21" xfId="38927" xr:uid="{05D432CB-5DA5-46AC-A27F-95196A691F8A}"/>
    <cellStyle name="40% - Accent1 6 2 22" xfId="40818" xr:uid="{3B0456AD-65F0-4D52-9D68-F174DA0EEAA1}"/>
    <cellStyle name="40% - Accent1 6 2 3" xfId="4907" xr:uid="{6A33EBEE-1321-425C-AF4C-FD42EBEF5856}"/>
    <cellStyle name="40% - Accent1 6 2 4" xfId="6797" xr:uid="{2791C39A-53D9-43C6-9C5E-EE4238AC36C8}"/>
    <cellStyle name="40% - Accent1 6 2 5" xfId="8687" xr:uid="{167E2D60-F15C-47BD-96C7-156741D6AE69}"/>
    <cellStyle name="40% - Accent1 6 2 6" xfId="10577" xr:uid="{20E601D9-3587-46EC-AE06-35508DC2A017}"/>
    <cellStyle name="40% - Accent1 6 2 7" xfId="12467" xr:uid="{2C5E3EC7-F176-4AF2-AAD0-CAF488784653}"/>
    <cellStyle name="40% - Accent1 6 2 8" xfId="14357" xr:uid="{4BC7D75D-DEC6-494C-8D27-CBD4FAB412E0}"/>
    <cellStyle name="40% - Accent1 6 2 9" xfId="16247" xr:uid="{22199C72-971B-4375-B47A-41D1963D6D0D}"/>
    <cellStyle name="40% - Accent1 6 20" xfId="32627" xr:uid="{3A4C0729-D1D9-457E-ABC9-A63720C634FF}"/>
    <cellStyle name="40% - Accent1 6 21" xfId="34517" xr:uid="{1173BBD2-71F4-4657-AD49-89D8C5F9EFF3}"/>
    <cellStyle name="40% - Accent1 6 22" xfId="36407" xr:uid="{8C53641E-7DBF-4A14-A46E-0F91D98740B3}"/>
    <cellStyle name="40% - Accent1 6 23" xfId="38297" xr:uid="{1661EEEB-4BB8-418E-B764-01A7CDF9DA88}"/>
    <cellStyle name="40% - Accent1 6 24" xfId="40188" xr:uid="{460E3597-0792-404B-9B09-3B499D41CBAF}"/>
    <cellStyle name="40% - Accent1 6 3" xfId="1757" xr:uid="{E55A2457-A53E-42DA-ACFD-FA23AD4764A4}"/>
    <cellStyle name="40% - Accent1 6 3 10" xfId="18767" xr:uid="{A4F7A25B-245D-4C78-81C9-3381AD27B9C1}"/>
    <cellStyle name="40% - Accent1 6 3 11" xfId="20657" xr:uid="{31EB0169-C8F8-4E9A-AF5C-56AF9F2CE49A}"/>
    <cellStyle name="40% - Accent1 6 3 12" xfId="22547" xr:uid="{D1736272-0721-4141-B679-1EF9A2EB0EFF}"/>
    <cellStyle name="40% - Accent1 6 3 13" xfId="24437" xr:uid="{A7F07704-4392-487D-A6C8-F31AABF0054D}"/>
    <cellStyle name="40% - Accent1 6 3 14" xfId="26327" xr:uid="{353B51C1-BB59-47ED-92E2-27D4BD09BCA6}"/>
    <cellStyle name="40% - Accent1 6 3 15" xfId="28217" xr:uid="{39BEA607-0487-4B85-8453-65FA41C106AC}"/>
    <cellStyle name="40% - Accent1 6 3 16" xfId="30107" xr:uid="{7B5FCF39-FD0B-4CEF-A09F-B12FD6642356}"/>
    <cellStyle name="40% - Accent1 6 3 17" xfId="31997" xr:uid="{294C1D5C-7E90-4D77-B248-6AD75AD468CF}"/>
    <cellStyle name="40% - Accent1 6 3 18" xfId="33887" xr:uid="{B8853CF5-6CF9-40DE-AE3F-213CFDCCE28C}"/>
    <cellStyle name="40% - Accent1 6 3 19" xfId="35777" xr:uid="{A89C6BB5-7BC4-47BA-BB83-2F6C104C1267}"/>
    <cellStyle name="40% - Accent1 6 3 2" xfId="3647" xr:uid="{59282336-A330-45EF-9B57-A9B0A6ADB6DB}"/>
    <cellStyle name="40% - Accent1 6 3 20" xfId="37667" xr:uid="{3BBE6191-BCF4-4CA7-9C4C-2E590BDE4524}"/>
    <cellStyle name="40% - Accent1 6 3 21" xfId="39557" xr:uid="{191EF276-973C-413E-B40F-70D4748C8B90}"/>
    <cellStyle name="40% - Accent1 6 3 22" xfId="41448" xr:uid="{F4A2031B-AB17-454A-9A64-E52BF33AA35E}"/>
    <cellStyle name="40% - Accent1 6 3 3" xfId="5537" xr:uid="{84ACDB7F-85BE-4B13-AF25-46172DAAD607}"/>
    <cellStyle name="40% - Accent1 6 3 4" xfId="7427" xr:uid="{69CBBE53-B2DF-4994-8FF0-7AFF243B78E2}"/>
    <cellStyle name="40% - Accent1 6 3 5" xfId="9317" xr:uid="{49ED7122-5F5B-4E56-BEAA-72934912951E}"/>
    <cellStyle name="40% - Accent1 6 3 6" xfId="11207" xr:uid="{21661F3D-1B82-40F8-AADB-84BE860ED1D8}"/>
    <cellStyle name="40% - Accent1 6 3 7" xfId="13097" xr:uid="{60EBD774-6E93-4B8D-83B3-AB83E5DA48E0}"/>
    <cellStyle name="40% - Accent1 6 3 8" xfId="14987" xr:uid="{F0A15B2B-ECBD-4C6A-8E62-B502CBE6E6A1}"/>
    <cellStyle name="40% - Accent1 6 3 9" xfId="16877" xr:uid="{8AC8AA92-E982-4D4F-955F-D5A1667D28A8}"/>
    <cellStyle name="40% - Accent1 6 4" xfId="2387" xr:uid="{098392C3-7E89-4B77-9C3D-893E795C5760}"/>
    <cellStyle name="40% - Accent1 6 5" xfId="4277" xr:uid="{5F3D648C-B59D-495A-B1EB-5E5C9A2B2D60}"/>
    <cellStyle name="40% - Accent1 6 6" xfId="6167" xr:uid="{FC70370B-7299-459F-A9E4-22B8BF83F4B9}"/>
    <cellStyle name="40% - Accent1 6 7" xfId="8057" xr:uid="{5566E9BB-2902-407B-B9C9-0CED76692CDA}"/>
    <cellStyle name="40% - Accent1 6 8" xfId="9947" xr:uid="{15CE4A67-BF18-4459-B333-7EF99DFCF9DD}"/>
    <cellStyle name="40% - Accent1 6 9" xfId="11837" xr:uid="{3E7C884D-9E5E-484D-95F1-58FB932C5C43}"/>
    <cellStyle name="40% - Accent1 7" xfId="707" xr:uid="{F6075D23-CB78-4C57-8F5E-FECBA93B88CC}"/>
    <cellStyle name="40% - Accent1 7 10" xfId="17717" xr:uid="{E0F49B42-A89D-42CB-AEBE-676BC8345EB3}"/>
    <cellStyle name="40% - Accent1 7 11" xfId="19607" xr:uid="{6E88F846-F0E1-4F6B-98D5-A0F520244596}"/>
    <cellStyle name="40% - Accent1 7 12" xfId="21497" xr:uid="{1DEFD207-C86D-4F41-8567-107D82EC430F}"/>
    <cellStyle name="40% - Accent1 7 13" xfId="23387" xr:uid="{DDC09667-5B66-42BB-9F93-91ECEEB175CB}"/>
    <cellStyle name="40% - Accent1 7 14" xfId="25277" xr:uid="{DB855099-0B60-4394-B786-51727D084153}"/>
    <cellStyle name="40% - Accent1 7 15" xfId="27167" xr:uid="{2E1928DD-55BD-43C0-BD46-7AF3F9700C29}"/>
    <cellStyle name="40% - Accent1 7 16" xfId="29057" xr:uid="{8956A4CE-E029-4A81-8A61-20436B726541}"/>
    <cellStyle name="40% - Accent1 7 17" xfId="30947" xr:uid="{A4327F60-6767-4B50-9936-F6117921CFAC}"/>
    <cellStyle name="40% - Accent1 7 18" xfId="32837" xr:uid="{898F1133-F3BD-4918-9381-96AF684A64FB}"/>
    <cellStyle name="40% - Accent1 7 19" xfId="34727" xr:uid="{07C054B4-E665-4689-942B-A5B51075BA2A}"/>
    <cellStyle name="40% - Accent1 7 2" xfId="2597" xr:uid="{A228AE09-F6CE-4C96-8A6F-8AD9D3140FDF}"/>
    <cellStyle name="40% - Accent1 7 20" xfId="36617" xr:uid="{919BD147-8543-42A7-922F-A5DF7FEB3B62}"/>
    <cellStyle name="40% - Accent1 7 21" xfId="38507" xr:uid="{AD78B8C6-7D06-45D1-8764-18151448541B}"/>
    <cellStyle name="40% - Accent1 7 22" xfId="40398" xr:uid="{8EAA02F7-12EB-416D-9B9D-EC79EF81BA06}"/>
    <cellStyle name="40% - Accent1 7 3" xfId="4487" xr:uid="{6BB06D75-832F-4187-9EC6-321754254A13}"/>
    <cellStyle name="40% - Accent1 7 4" xfId="6377" xr:uid="{043513BD-6CED-425C-BCF5-9A3059FC3C47}"/>
    <cellStyle name="40% - Accent1 7 5" xfId="8267" xr:uid="{33DF24F4-0819-43B3-9A9E-2126081BD18D}"/>
    <cellStyle name="40% - Accent1 7 6" xfId="10157" xr:uid="{1B11496D-311D-4599-B3D4-D5692F3D5B3B}"/>
    <cellStyle name="40% - Accent1 7 7" xfId="12047" xr:uid="{BD2CF5E7-3740-47DA-89AB-4ACCD898B0C6}"/>
    <cellStyle name="40% - Accent1 7 8" xfId="13937" xr:uid="{890F98B0-0B9C-4E04-AA26-9940C511039C}"/>
    <cellStyle name="40% - Accent1 7 9" xfId="15827" xr:uid="{ACE73911-B075-4FFD-9AD2-28B57A478884}"/>
    <cellStyle name="40% - Accent1 8" xfId="1337" xr:uid="{067C2337-2FD3-4F53-81AF-D892CDD5F853}"/>
    <cellStyle name="40% - Accent1 8 10" xfId="18347" xr:uid="{245B0E99-4840-42A8-9A32-AA865D7F5BF9}"/>
    <cellStyle name="40% - Accent1 8 11" xfId="20237" xr:uid="{3BB1D1CA-D515-4349-917F-E661CFD6C796}"/>
    <cellStyle name="40% - Accent1 8 12" xfId="22127" xr:uid="{E52D39D8-742A-413D-97AE-E8AFC9C6E1D9}"/>
    <cellStyle name="40% - Accent1 8 13" xfId="24017" xr:uid="{5FE34AAB-92D4-4FEC-8E45-71D714263B30}"/>
    <cellStyle name="40% - Accent1 8 14" xfId="25907" xr:uid="{8F3B2BF6-E9FD-44FA-84EF-E77E4976F899}"/>
    <cellStyle name="40% - Accent1 8 15" xfId="27797" xr:uid="{E3883EDE-30AE-49AB-82D5-395A2AB6788A}"/>
    <cellStyle name="40% - Accent1 8 16" xfId="29687" xr:uid="{E54F7DDA-ADCE-45DB-B02D-DD38C9F49532}"/>
    <cellStyle name="40% - Accent1 8 17" xfId="31577" xr:uid="{74248ADC-681F-40E8-A2CC-4ADE71CA6839}"/>
    <cellStyle name="40% - Accent1 8 18" xfId="33467" xr:uid="{FE6FBF82-933C-4DE6-86C2-DDC3B4FEF1AD}"/>
    <cellStyle name="40% - Accent1 8 19" xfId="35357" xr:uid="{716A464B-1A59-42B4-88CB-A72A04202737}"/>
    <cellStyle name="40% - Accent1 8 2" xfId="3227" xr:uid="{30462D07-DF0E-4CF6-85F3-3ACEB532EA4C}"/>
    <cellStyle name="40% - Accent1 8 20" xfId="37247" xr:uid="{85FEEA82-52E1-4B7E-BF4A-5A569375BA09}"/>
    <cellStyle name="40% - Accent1 8 21" xfId="39137" xr:uid="{5AC6F8D9-7E78-4660-9DE3-31068798C38A}"/>
    <cellStyle name="40% - Accent1 8 22" xfId="41028" xr:uid="{B09E6C9F-6645-4600-A007-CEF7C78FD6AA}"/>
    <cellStyle name="40% - Accent1 8 3" xfId="5117" xr:uid="{AB4141D6-F450-4A6C-9FBA-DD084F7E8E38}"/>
    <cellStyle name="40% - Accent1 8 4" xfId="7007" xr:uid="{A7829762-160C-457B-A867-8CAD6C19D2D4}"/>
    <cellStyle name="40% - Accent1 8 5" xfId="8897" xr:uid="{76272A4B-DCC1-45D0-9BF2-D8D8352637DB}"/>
    <cellStyle name="40% - Accent1 8 6" xfId="10787" xr:uid="{52D1C500-64B5-4C16-B083-738264CB8C0C}"/>
    <cellStyle name="40% - Accent1 8 7" xfId="12677" xr:uid="{08D32DD0-EDCA-45FB-8BF9-3FDAA4530F52}"/>
    <cellStyle name="40% - Accent1 8 8" xfId="14567" xr:uid="{FB835C64-0CDA-42B3-8B06-742C86D36939}"/>
    <cellStyle name="40% - Accent1 8 9" xfId="16457" xr:uid="{B1421266-9ED4-4A98-88D1-8E9E889579D7}"/>
    <cellStyle name="40% - Accent1 9" xfId="1967" xr:uid="{D06F2511-B797-4694-B306-08150D35DC53}"/>
    <cellStyle name="40% - Accent2" xfId="76" builtinId="35" customBuiltin="1"/>
    <cellStyle name="40% - Accent2 10" xfId="3860" xr:uid="{1E7DE64D-5ACF-46FA-98FA-11753D833E31}"/>
    <cellStyle name="40% - Accent2 11" xfId="5750" xr:uid="{A0CEF8E5-D302-481C-9474-CA6B29681A9C}"/>
    <cellStyle name="40% - Accent2 12" xfId="7640" xr:uid="{AE2F3AEB-7CA3-4098-8D82-5CAEA76F0051}"/>
    <cellStyle name="40% - Accent2 13" xfId="9530" xr:uid="{D5FAEBD0-FEEE-434F-9732-BA2B676F4DDE}"/>
    <cellStyle name="40% - Accent2 14" xfId="11420" xr:uid="{571D7089-0238-4C6F-8647-C4133340958B}"/>
    <cellStyle name="40% - Accent2 15" xfId="13310" xr:uid="{07252729-D260-4C9C-8EFE-DC834EE78C25}"/>
    <cellStyle name="40% - Accent2 16" xfId="15200" xr:uid="{00DF66B9-3907-476E-BE15-F14DEACAF8EA}"/>
    <cellStyle name="40% - Accent2 17" xfId="17090" xr:uid="{7363C53A-066E-4B3C-B336-0205382E5C70}"/>
    <cellStyle name="40% - Accent2 18" xfId="18980" xr:uid="{396BDBB3-57F8-4966-A9E9-352B52048E6D}"/>
    <cellStyle name="40% - Accent2 19" xfId="20870" xr:uid="{F7206FE5-2C0F-47AE-AA9A-D1C880EE5391}"/>
    <cellStyle name="40% - Accent2 2" xfId="102" xr:uid="{4CD79D5C-D461-46E4-A976-D8FBDFBED6E2}"/>
    <cellStyle name="40% - Accent2 2 10" xfId="7662" xr:uid="{88FA63E4-E068-4680-9881-2BFD2264E106}"/>
    <cellStyle name="40% - Accent2 2 11" xfId="9552" xr:uid="{AFEA8AE8-F9A4-42A3-A5DE-28C0971AA375}"/>
    <cellStyle name="40% - Accent2 2 12" xfId="11442" xr:uid="{95EB11B8-90D9-4795-BE2A-8AACF98429C8}"/>
    <cellStyle name="40% - Accent2 2 13" xfId="13332" xr:uid="{2951A919-DB32-4CED-A897-EE733FEC49A6}"/>
    <cellStyle name="40% - Accent2 2 14" xfId="15222" xr:uid="{9A8D02F8-921E-47AD-938E-AB37AF624BC7}"/>
    <cellStyle name="40% - Accent2 2 15" xfId="17112" xr:uid="{BD2E107A-1950-4444-8B68-494E2E03B6F9}"/>
    <cellStyle name="40% - Accent2 2 16" xfId="19002" xr:uid="{04718C90-98D1-4A7B-917E-2EBDFF0D411E}"/>
    <cellStyle name="40% - Accent2 2 17" xfId="20892" xr:uid="{0C7E6508-D028-43BB-8004-3FFEF6B1E571}"/>
    <cellStyle name="40% - Accent2 2 18" xfId="22782" xr:uid="{05594D8A-076A-4F3D-9EBB-C5341873C5CC}"/>
    <cellStyle name="40% - Accent2 2 19" xfId="24672" xr:uid="{5D7BBAB2-2DE0-452F-98CB-981797E41E50}"/>
    <cellStyle name="40% - Accent2 2 2" xfId="207" xr:uid="{EA16B1A3-9174-4820-94EA-E79724452BBF}"/>
    <cellStyle name="40% - Accent2 2 2 10" xfId="9657" xr:uid="{C68E8827-BDB2-45D1-9BDE-F4B14ADF7DAB}"/>
    <cellStyle name="40% - Accent2 2 2 11" xfId="11547" xr:uid="{FD9BDA48-1E93-4615-8C9A-CEF17C45EBC0}"/>
    <cellStyle name="40% - Accent2 2 2 12" xfId="13437" xr:uid="{47990F71-30C2-46F0-8438-BA25AADB8D6A}"/>
    <cellStyle name="40% - Accent2 2 2 13" xfId="15327" xr:uid="{DE271E8D-2AC5-4C31-970F-08D36D5AD6DC}"/>
    <cellStyle name="40% - Accent2 2 2 14" xfId="17217" xr:uid="{015F9C31-C80A-4F9A-B94A-8324E25B1FB9}"/>
    <cellStyle name="40% - Accent2 2 2 15" xfId="19107" xr:uid="{B63F769F-EC20-4D8A-9F60-660F023E2BF2}"/>
    <cellStyle name="40% - Accent2 2 2 16" xfId="20997" xr:uid="{C370E770-E19E-4525-A7CC-0F463EE61FE6}"/>
    <cellStyle name="40% - Accent2 2 2 17" xfId="22887" xr:uid="{5D42904F-2748-462A-B4BC-1771EF6087A7}"/>
    <cellStyle name="40% - Accent2 2 2 18" xfId="24777" xr:uid="{F0D9612C-8546-4CA6-B564-3D756CCC65E9}"/>
    <cellStyle name="40% - Accent2 2 2 19" xfId="26667" xr:uid="{FE04380B-16D9-499F-A3A2-4767E9CB4F65}"/>
    <cellStyle name="40% - Accent2 2 2 2" xfId="417" xr:uid="{06481F55-7067-43BD-A692-A2EE1A5C2AC3}"/>
    <cellStyle name="40% - Accent2 2 2 2 10" xfId="13647" xr:uid="{41FB92E1-9D0C-4E3B-87F9-32F076DC9BE7}"/>
    <cellStyle name="40% - Accent2 2 2 2 11" xfId="15537" xr:uid="{8D4D4403-2126-40EB-BB3E-ED4099EB53B4}"/>
    <cellStyle name="40% - Accent2 2 2 2 12" xfId="17427" xr:uid="{522E404D-15F4-4773-AF1E-7E2002FDE9E3}"/>
    <cellStyle name="40% - Accent2 2 2 2 13" xfId="19317" xr:uid="{72DE2C99-02DD-4F85-B97C-1171C577087A}"/>
    <cellStyle name="40% - Accent2 2 2 2 14" xfId="21207" xr:uid="{4518E8F0-6C34-4B4D-978D-0E56CE3EC7B6}"/>
    <cellStyle name="40% - Accent2 2 2 2 15" xfId="23097" xr:uid="{C60C54FE-5B7A-49C6-BA83-576A75236489}"/>
    <cellStyle name="40% - Accent2 2 2 2 16" xfId="24987" xr:uid="{C2FAEA50-0C1D-460B-9299-111115AD5BAD}"/>
    <cellStyle name="40% - Accent2 2 2 2 17" xfId="26877" xr:uid="{74A953CB-1185-4594-AD0D-F117A3F7E6D5}"/>
    <cellStyle name="40% - Accent2 2 2 2 18" xfId="28767" xr:uid="{522B8842-2A7B-4645-B7A0-0C33BBDC4E5F}"/>
    <cellStyle name="40% - Accent2 2 2 2 19" xfId="30657" xr:uid="{609B6848-5466-452D-ABD4-1473FFDBA18F}"/>
    <cellStyle name="40% - Accent2 2 2 2 2" xfId="1047" xr:uid="{78DE1D0C-2143-4CB7-A85F-24D344314165}"/>
    <cellStyle name="40% - Accent2 2 2 2 2 10" xfId="18057" xr:uid="{3557CB2A-BAC8-44A7-A82D-B86F0AC1CC16}"/>
    <cellStyle name="40% - Accent2 2 2 2 2 11" xfId="19947" xr:uid="{36615A74-4334-4770-8F96-22EB6B2DEED7}"/>
    <cellStyle name="40% - Accent2 2 2 2 2 12" xfId="21837" xr:uid="{5B2EC304-F945-4B36-90B4-18306A0E9FA5}"/>
    <cellStyle name="40% - Accent2 2 2 2 2 13" xfId="23727" xr:uid="{5D006BE4-758E-494F-A3A6-7BDF8C97977F}"/>
    <cellStyle name="40% - Accent2 2 2 2 2 14" xfId="25617" xr:uid="{2C092DC8-778B-465E-882E-D50FE5C909A8}"/>
    <cellStyle name="40% - Accent2 2 2 2 2 15" xfId="27507" xr:uid="{5A112746-CD87-42D3-9EF2-91B153AD83A5}"/>
    <cellStyle name="40% - Accent2 2 2 2 2 16" xfId="29397" xr:uid="{259B038F-FE49-4970-8184-FBB0B7EF7A14}"/>
    <cellStyle name="40% - Accent2 2 2 2 2 17" xfId="31287" xr:uid="{AB82F550-779C-49CF-AA16-C92662ABB875}"/>
    <cellStyle name="40% - Accent2 2 2 2 2 18" xfId="33177" xr:uid="{0C9E012B-309A-462D-B5A5-616312FE2AAE}"/>
    <cellStyle name="40% - Accent2 2 2 2 2 19" xfId="35067" xr:uid="{578625FC-7B7B-415E-AA32-0739699327DC}"/>
    <cellStyle name="40% - Accent2 2 2 2 2 2" xfId="2937" xr:uid="{BD05D907-ED31-4202-9D76-E8C93894AB09}"/>
    <cellStyle name="40% - Accent2 2 2 2 2 20" xfId="36957" xr:uid="{056474C5-3A9E-47B4-B484-53659FCC70DE}"/>
    <cellStyle name="40% - Accent2 2 2 2 2 21" xfId="38847" xr:uid="{29738035-1981-4895-9EDE-8D13DD30D56E}"/>
    <cellStyle name="40% - Accent2 2 2 2 2 22" xfId="40738" xr:uid="{1F7E0C9C-3ECD-475D-B6D5-FC69049C3F42}"/>
    <cellStyle name="40% - Accent2 2 2 2 2 3" xfId="4827" xr:uid="{B510A661-83C6-442A-9DE1-1A4C00211427}"/>
    <cellStyle name="40% - Accent2 2 2 2 2 4" xfId="6717" xr:uid="{2F3B3955-7A5B-4D71-9F99-C5C072D07920}"/>
    <cellStyle name="40% - Accent2 2 2 2 2 5" xfId="8607" xr:uid="{F4F26F9C-DA7E-46EA-9F8D-6A16E5F696A0}"/>
    <cellStyle name="40% - Accent2 2 2 2 2 6" xfId="10497" xr:uid="{2B1A560F-D429-4AC5-A9D6-AD7BF914D076}"/>
    <cellStyle name="40% - Accent2 2 2 2 2 7" xfId="12387" xr:uid="{61A417D7-3A00-40BF-BBA3-B20AF44C8186}"/>
    <cellStyle name="40% - Accent2 2 2 2 2 8" xfId="14277" xr:uid="{D94407B2-A36C-43E9-8E73-BF94AEB550EF}"/>
    <cellStyle name="40% - Accent2 2 2 2 2 9" xfId="16167" xr:uid="{78A69DA2-81BE-4625-9453-ACDE2B7BB2F4}"/>
    <cellStyle name="40% - Accent2 2 2 2 20" xfId="32547" xr:uid="{020FE739-AC33-459E-BF5F-2F3F08B5421C}"/>
    <cellStyle name="40% - Accent2 2 2 2 21" xfId="34437" xr:uid="{7C8105F9-B357-4770-8449-3C8D21F46226}"/>
    <cellStyle name="40% - Accent2 2 2 2 22" xfId="36327" xr:uid="{A031D95D-6DF1-4A06-B7FB-DD2399EBC446}"/>
    <cellStyle name="40% - Accent2 2 2 2 23" xfId="38217" xr:uid="{AE18839D-0C38-4991-8206-4C780E590AE9}"/>
    <cellStyle name="40% - Accent2 2 2 2 24" xfId="40108" xr:uid="{4D032533-6473-4A72-855E-09087765C313}"/>
    <cellStyle name="40% - Accent2 2 2 2 3" xfId="1677" xr:uid="{5961A450-3DF2-4137-8524-B97BA7E79D57}"/>
    <cellStyle name="40% - Accent2 2 2 2 3 10" xfId="18687" xr:uid="{4E59D778-88DA-4B1B-9681-EB5CFA9E00C8}"/>
    <cellStyle name="40% - Accent2 2 2 2 3 11" xfId="20577" xr:uid="{0D36DC7C-2F61-45FB-96DA-9CDB1D5C2F1E}"/>
    <cellStyle name="40% - Accent2 2 2 2 3 12" xfId="22467" xr:uid="{F70858F0-038F-4929-8DCF-C1A4C65F7628}"/>
    <cellStyle name="40% - Accent2 2 2 2 3 13" xfId="24357" xr:uid="{4E681D5A-EBCE-486C-A442-4DFD80B55DCF}"/>
    <cellStyle name="40% - Accent2 2 2 2 3 14" xfId="26247" xr:uid="{EDAA5823-1E74-4A96-BC8C-8D585DDEF2AB}"/>
    <cellStyle name="40% - Accent2 2 2 2 3 15" xfId="28137" xr:uid="{794250B3-8F95-464C-B3E8-FBCBE6A94281}"/>
    <cellStyle name="40% - Accent2 2 2 2 3 16" xfId="30027" xr:uid="{FCFDAD5E-311C-45EC-A29A-4378E407ABD1}"/>
    <cellStyle name="40% - Accent2 2 2 2 3 17" xfId="31917" xr:uid="{A7D3E574-F2A9-4AFB-87DE-F0053CCC7461}"/>
    <cellStyle name="40% - Accent2 2 2 2 3 18" xfId="33807" xr:uid="{228E1797-4A15-4320-8ED7-07BE2858A3C4}"/>
    <cellStyle name="40% - Accent2 2 2 2 3 19" xfId="35697" xr:uid="{C925C244-99A8-4D87-80FB-128410B893F3}"/>
    <cellStyle name="40% - Accent2 2 2 2 3 2" xfId="3567" xr:uid="{00FEEC92-8F6A-4F1E-B495-C82ED44CBD30}"/>
    <cellStyle name="40% - Accent2 2 2 2 3 20" xfId="37587" xr:uid="{78B2738E-EBF3-466A-8CB4-AAE111D771DC}"/>
    <cellStyle name="40% - Accent2 2 2 2 3 21" xfId="39477" xr:uid="{D50F55F8-6A6F-4F4A-AE68-381F769A3A47}"/>
    <cellStyle name="40% - Accent2 2 2 2 3 22" xfId="41368" xr:uid="{3B4F80C0-2FA0-4BF9-8B0F-84293686DF3A}"/>
    <cellStyle name="40% - Accent2 2 2 2 3 3" xfId="5457" xr:uid="{9AAD1C6B-4A70-4588-A7F7-A4BDCDBC8C23}"/>
    <cellStyle name="40% - Accent2 2 2 2 3 4" xfId="7347" xr:uid="{F7C9C77C-2FE3-47D8-AC2E-454697D5AD19}"/>
    <cellStyle name="40% - Accent2 2 2 2 3 5" xfId="9237" xr:uid="{38B0A524-31D7-4620-8F6E-B537D0FD01ED}"/>
    <cellStyle name="40% - Accent2 2 2 2 3 6" xfId="11127" xr:uid="{2F4F16C8-58C0-48A4-98F9-01E5D81BF18A}"/>
    <cellStyle name="40% - Accent2 2 2 2 3 7" xfId="13017" xr:uid="{D85C06A9-E8DA-4AC7-97BE-5F4230CD9AD5}"/>
    <cellStyle name="40% - Accent2 2 2 2 3 8" xfId="14907" xr:uid="{06E7E063-416E-42B5-9C26-E7D36F915FE5}"/>
    <cellStyle name="40% - Accent2 2 2 2 3 9" xfId="16797" xr:uid="{9ECB9D3B-F762-4403-867B-36BEFC43C5BA}"/>
    <cellStyle name="40% - Accent2 2 2 2 4" xfId="2307" xr:uid="{EFB85847-637A-4E58-ACF7-62C5C6A3C96E}"/>
    <cellStyle name="40% - Accent2 2 2 2 5" xfId="4197" xr:uid="{96BA86E0-F8CB-4730-BA15-9A9F4A61027D}"/>
    <cellStyle name="40% - Accent2 2 2 2 6" xfId="6087" xr:uid="{70290188-0213-44EB-B915-C05CE2B3D710}"/>
    <cellStyle name="40% - Accent2 2 2 2 7" xfId="7977" xr:uid="{B5A7564D-BAEA-4166-A0DA-664839B7C8CB}"/>
    <cellStyle name="40% - Accent2 2 2 2 8" xfId="9867" xr:uid="{4DFC66AD-8204-4569-BF56-44A71FFE768F}"/>
    <cellStyle name="40% - Accent2 2 2 2 9" xfId="11757" xr:uid="{DCFB2BE0-26C6-4EBA-91FA-DE64505C5BAE}"/>
    <cellStyle name="40% - Accent2 2 2 20" xfId="28557" xr:uid="{CCA21D8E-9AFE-4C1C-B880-1EFB9A686D69}"/>
    <cellStyle name="40% - Accent2 2 2 21" xfId="30447" xr:uid="{BCFFA482-98EB-4F01-96CA-9E9BC2B2D009}"/>
    <cellStyle name="40% - Accent2 2 2 22" xfId="32337" xr:uid="{6BE88822-F0BC-422A-83E4-67593FE9ABF5}"/>
    <cellStyle name="40% - Accent2 2 2 23" xfId="34227" xr:uid="{D0B47153-22C2-4E98-8195-BDB6C8A42E28}"/>
    <cellStyle name="40% - Accent2 2 2 24" xfId="36117" xr:uid="{B7AE4995-9D81-49C4-BEF1-973B978FE40A}"/>
    <cellStyle name="40% - Accent2 2 2 25" xfId="38007" xr:uid="{CEE4B8F4-1724-48C3-BB09-13050679E92D}"/>
    <cellStyle name="40% - Accent2 2 2 26" xfId="39898" xr:uid="{55797AD6-EF35-4DA9-8202-A27746128F63}"/>
    <cellStyle name="40% - Accent2 2 2 3" xfId="627" xr:uid="{0E8A8E6E-12F5-4A33-878B-9E1CEC947B02}"/>
    <cellStyle name="40% - Accent2 2 2 3 10" xfId="13857" xr:uid="{797A79F6-4442-49BC-B135-50A672AF2CFA}"/>
    <cellStyle name="40% - Accent2 2 2 3 11" xfId="15747" xr:uid="{15614A1E-C136-478D-A633-E6E23A0B1D6A}"/>
    <cellStyle name="40% - Accent2 2 2 3 12" xfId="17637" xr:uid="{229C9FB1-BDEB-4100-BE57-0FE5991CD394}"/>
    <cellStyle name="40% - Accent2 2 2 3 13" xfId="19527" xr:uid="{64E8D1F9-505E-41CF-9B94-64AA8F367527}"/>
    <cellStyle name="40% - Accent2 2 2 3 14" xfId="21417" xr:uid="{A9DBA3A1-CC3E-4259-93F1-D43065AF34B5}"/>
    <cellStyle name="40% - Accent2 2 2 3 15" xfId="23307" xr:uid="{E78F82F3-DD24-40AF-AA2F-E69C0000CE83}"/>
    <cellStyle name="40% - Accent2 2 2 3 16" xfId="25197" xr:uid="{12714629-91B0-4FF1-B338-63487934FD3F}"/>
    <cellStyle name="40% - Accent2 2 2 3 17" xfId="27087" xr:uid="{94A67B8C-7457-42A3-9A31-68E20830E413}"/>
    <cellStyle name="40% - Accent2 2 2 3 18" xfId="28977" xr:uid="{E416D30A-7E2E-4F1D-B997-C014E5DF3D4C}"/>
    <cellStyle name="40% - Accent2 2 2 3 19" xfId="30867" xr:uid="{99C82D54-CAAA-4DE6-B741-341B140EB7DE}"/>
    <cellStyle name="40% - Accent2 2 2 3 2" xfId="1257" xr:uid="{56FE71C2-4356-4C6B-89E9-8587A74C576D}"/>
    <cellStyle name="40% - Accent2 2 2 3 2 10" xfId="18267" xr:uid="{55BEB1D7-0F5E-42A4-8407-D470C04CF2CB}"/>
    <cellStyle name="40% - Accent2 2 2 3 2 11" xfId="20157" xr:uid="{43F58C78-6608-44FA-B05F-9C3A6FE7A050}"/>
    <cellStyle name="40% - Accent2 2 2 3 2 12" xfId="22047" xr:uid="{2A85AA1A-1E09-4A8C-9C0E-932269F7FFFA}"/>
    <cellStyle name="40% - Accent2 2 2 3 2 13" xfId="23937" xr:uid="{1FFEE5F1-D889-409A-B969-928ACE956F40}"/>
    <cellStyle name="40% - Accent2 2 2 3 2 14" xfId="25827" xr:uid="{2CC61301-52FA-4607-B950-838D020122F8}"/>
    <cellStyle name="40% - Accent2 2 2 3 2 15" xfId="27717" xr:uid="{823790F5-6C06-4952-9744-0E2B2B5915FB}"/>
    <cellStyle name="40% - Accent2 2 2 3 2 16" xfId="29607" xr:uid="{138E8283-07B2-41BF-AD7F-8C18E1E1F6EE}"/>
    <cellStyle name="40% - Accent2 2 2 3 2 17" xfId="31497" xr:uid="{7A6BB854-3B2F-49D4-AE65-7C728591C1DE}"/>
    <cellStyle name="40% - Accent2 2 2 3 2 18" xfId="33387" xr:uid="{06E82197-8EF7-403E-A36C-8BB8EFA4B3A7}"/>
    <cellStyle name="40% - Accent2 2 2 3 2 19" xfId="35277" xr:uid="{49F3D1E5-AE30-4150-B2E1-A7239DB2B764}"/>
    <cellStyle name="40% - Accent2 2 2 3 2 2" xfId="3147" xr:uid="{BA778C8B-0A3D-42A1-B870-2CD78E8CEAA3}"/>
    <cellStyle name="40% - Accent2 2 2 3 2 20" xfId="37167" xr:uid="{B1338A30-28DD-4219-822E-089E697F6031}"/>
    <cellStyle name="40% - Accent2 2 2 3 2 21" xfId="39057" xr:uid="{2E3E5FBB-3C22-4FF1-80C9-4C2A2689C3A0}"/>
    <cellStyle name="40% - Accent2 2 2 3 2 22" xfId="40948" xr:uid="{EA41274B-80E9-40FA-A182-F620856F082B}"/>
    <cellStyle name="40% - Accent2 2 2 3 2 3" xfId="5037" xr:uid="{1867A399-D3EA-417D-AB71-346AA07B702A}"/>
    <cellStyle name="40% - Accent2 2 2 3 2 4" xfId="6927" xr:uid="{132C3C02-D703-4331-AA5B-9AF596780935}"/>
    <cellStyle name="40% - Accent2 2 2 3 2 5" xfId="8817" xr:uid="{6840FD35-E4ED-43B5-819E-9D5E53CE77AA}"/>
    <cellStyle name="40% - Accent2 2 2 3 2 6" xfId="10707" xr:uid="{0CB8B84E-4927-4E40-8527-12A5A6A35E5E}"/>
    <cellStyle name="40% - Accent2 2 2 3 2 7" xfId="12597" xr:uid="{F4465984-1173-4A9F-AA86-9B30BDCC91F7}"/>
    <cellStyle name="40% - Accent2 2 2 3 2 8" xfId="14487" xr:uid="{F77C4B91-A6BF-45F1-93D9-308FF6D253F8}"/>
    <cellStyle name="40% - Accent2 2 2 3 2 9" xfId="16377" xr:uid="{FC4FA9DF-C41A-4924-89D8-E09A252F6713}"/>
    <cellStyle name="40% - Accent2 2 2 3 20" xfId="32757" xr:uid="{26EF0D97-E13D-477B-96DF-8DBCA08C2647}"/>
    <cellStyle name="40% - Accent2 2 2 3 21" xfId="34647" xr:uid="{A0C8DBAC-52CA-4933-BBE9-254ECCB9ED12}"/>
    <cellStyle name="40% - Accent2 2 2 3 22" xfId="36537" xr:uid="{79BEF3B2-1AB9-457D-8EC1-45109A0AB9D2}"/>
    <cellStyle name="40% - Accent2 2 2 3 23" xfId="38427" xr:uid="{0CE67EED-4CFE-4B01-B11A-BC837682844F}"/>
    <cellStyle name="40% - Accent2 2 2 3 24" xfId="40318" xr:uid="{B2DC88DB-C606-4362-9D49-9DB325ECC68A}"/>
    <cellStyle name="40% - Accent2 2 2 3 3" xfId="1887" xr:uid="{2E84C0C8-7449-44EA-B9B5-9F3CB49915EB}"/>
    <cellStyle name="40% - Accent2 2 2 3 3 10" xfId="18897" xr:uid="{1A69FB82-3FD9-4A1D-B336-77FA673082FF}"/>
    <cellStyle name="40% - Accent2 2 2 3 3 11" xfId="20787" xr:uid="{731A79C1-3969-474C-9522-8C03E34F4F66}"/>
    <cellStyle name="40% - Accent2 2 2 3 3 12" xfId="22677" xr:uid="{22945214-AB94-42FE-86B9-F6F9CA20B08A}"/>
    <cellStyle name="40% - Accent2 2 2 3 3 13" xfId="24567" xr:uid="{E36BE7A2-1826-40F2-85E9-C329BE14F248}"/>
    <cellStyle name="40% - Accent2 2 2 3 3 14" xfId="26457" xr:uid="{8F70956E-D5DE-460F-B9AA-84CAEF7CC480}"/>
    <cellStyle name="40% - Accent2 2 2 3 3 15" xfId="28347" xr:uid="{2B376615-2164-4FEC-B8A0-AD65980ED156}"/>
    <cellStyle name="40% - Accent2 2 2 3 3 16" xfId="30237" xr:uid="{12568FFB-8E6D-48EF-B897-88CEF82608BA}"/>
    <cellStyle name="40% - Accent2 2 2 3 3 17" xfId="32127" xr:uid="{BAB9C59E-2C94-4B06-9EA7-36E849D2492C}"/>
    <cellStyle name="40% - Accent2 2 2 3 3 18" xfId="34017" xr:uid="{1596D4CE-D334-45A6-A535-62F6BA2DE837}"/>
    <cellStyle name="40% - Accent2 2 2 3 3 19" xfId="35907" xr:uid="{2988849C-47FD-41BF-BE31-D71E4DD202DE}"/>
    <cellStyle name="40% - Accent2 2 2 3 3 2" xfId="3777" xr:uid="{C7018252-65F5-455A-B6B0-79FE08404432}"/>
    <cellStyle name="40% - Accent2 2 2 3 3 20" xfId="37797" xr:uid="{C43C84F0-9F1B-4A4E-B9B0-B4FD7E2CE002}"/>
    <cellStyle name="40% - Accent2 2 2 3 3 21" xfId="39687" xr:uid="{E42E8ED4-0E85-4AF2-A4B3-C23877F97AA8}"/>
    <cellStyle name="40% - Accent2 2 2 3 3 22" xfId="41578" xr:uid="{1815F18D-F178-4E96-9FB7-2F3E3415015F}"/>
    <cellStyle name="40% - Accent2 2 2 3 3 3" xfId="5667" xr:uid="{1154A91B-B867-4487-AD18-D2C04F459B12}"/>
    <cellStyle name="40% - Accent2 2 2 3 3 4" xfId="7557" xr:uid="{D1EFD9B7-6748-49D2-8AE8-584BF8B81DBD}"/>
    <cellStyle name="40% - Accent2 2 2 3 3 5" xfId="9447" xr:uid="{4862DFCE-6CE7-438B-B3B7-BC1AE9473202}"/>
    <cellStyle name="40% - Accent2 2 2 3 3 6" xfId="11337" xr:uid="{1F95DCFE-C710-4AAB-93FC-B2C211941853}"/>
    <cellStyle name="40% - Accent2 2 2 3 3 7" xfId="13227" xr:uid="{4519E578-BC8F-4FF2-872D-8FC3EFDC4ED2}"/>
    <cellStyle name="40% - Accent2 2 2 3 3 8" xfId="15117" xr:uid="{BFD09C8D-052F-46E4-9927-FC813B05FA66}"/>
    <cellStyle name="40% - Accent2 2 2 3 3 9" xfId="17007" xr:uid="{50759D9B-EB8C-4FCF-9441-4A5216AECF03}"/>
    <cellStyle name="40% - Accent2 2 2 3 4" xfId="2517" xr:uid="{C75416F4-C401-4D56-BD8F-71BEDE04F01D}"/>
    <cellStyle name="40% - Accent2 2 2 3 5" xfId="4407" xr:uid="{2D82AD52-2625-4C77-95A5-D1AC2ADB1C60}"/>
    <cellStyle name="40% - Accent2 2 2 3 6" xfId="6297" xr:uid="{41B191C8-8A66-4811-89EB-0D5B6E247FAE}"/>
    <cellStyle name="40% - Accent2 2 2 3 7" xfId="8187" xr:uid="{A1CFBBAC-C227-4D5E-8D7A-5F1268DDED16}"/>
    <cellStyle name="40% - Accent2 2 2 3 8" xfId="10077" xr:uid="{274A753B-15BC-4101-BB77-AC8728B5DD4A}"/>
    <cellStyle name="40% - Accent2 2 2 3 9" xfId="11967" xr:uid="{4FB24015-70D0-49D1-A778-F78250244310}"/>
    <cellStyle name="40% - Accent2 2 2 4" xfId="837" xr:uid="{20F4BE43-FD11-4272-89C7-5F977D548E99}"/>
    <cellStyle name="40% - Accent2 2 2 4 10" xfId="17847" xr:uid="{8D55647A-B121-4AB2-9FC5-B454B480029F}"/>
    <cellStyle name="40% - Accent2 2 2 4 11" xfId="19737" xr:uid="{007A3B55-6039-4F95-8ADB-6AD854512BFF}"/>
    <cellStyle name="40% - Accent2 2 2 4 12" xfId="21627" xr:uid="{EF56B3F1-EC86-47CC-9FDD-B9FCBCFEACE9}"/>
    <cellStyle name="40% - Accent2 2 2 4 13" xfId="23517" xr:uid="{E15A7A45-654A-46AC-B349-6FB3E67E3B83}"/>
    <cellStyle name="40% - Accent2 2 2 4 14" xfId="25407" xr:uid="{1F63D4B7-33D9-4831-90E5-EC3B7729562F}"/>
    <cellStyle name="40% - Accent2 2 2 4 15" xfId="27297" xr:uid="{1D9DC284-61E5-4F76-85EC-1D08EFD7C248}"/>
    <cellStyle name="40% - Accent2 2 2 4 16" xfId="29187" xr:uid="{84497F34-4B2E-4063-B082-E59F1AF2DFE1}"/>
    <cellStyle name="40% - Accent2 2 2 4 17" xfId="31077" xr:uid="{F63892A2-4D11-45FF-B4EF-30B656D018A0}"/>
    <cellStyle name="40% - Accent2 2 2 4 18" xfId="32967" xr:uid="{42CD586E-768C-406C-82DD-42750926DFCC}"/>
    <cellStyle name="40% - Accent2 2 2 4 19" xfId="34857" xr:uid="{7758170B-D864-4CF9-ADBE-2C9EA3409351}"/>
    <cellStyle name="40% - Accent2 2 2 4 2" xfId="2727" xr:uid="{2EB3D0B6-4E99-40E8-A430-5A0E5F05912C}"/>
    <cellStyle name="40% - Accent2 2 2 4 20" xfId="36747" xr:uid="{B71DC567-2F71-4006-AF9A-C14A19B3C067}"/>
    <cellStyle name="40% - Accent2 2 2 4 21" xfId="38637" xr:uid="{F4D8F90F-3B76-472C-853A-703B29A954BE}"/>
    <cellStyle name="40% - Accent2 2 2 4 22" xfId="40528" xr:uid="{3B663331-6DFA-4E53-92E3-A6AA4F1DADD9}"/>
    <cellStyle name="40% - Accent2 2 2 4 3" xfId="4617" xr:uid="{6D454620-80F6-4D91-8ED3-26A245C622DA}"/>
    <cellStyle name="40% - Accent2 2 2 4 4" xfId="6507" xr:uid="{09A9C2FD-7ACA-45B8-9DA6-D26034716A03}"/>
    <cellStyle name="40% - Accent2 2 2 4 5" xfId="8397" xr:uid="{AD2A345E-D555-416E-B559-9549E3BF0D57}"/>
    <cellStyle name="40% - Accent2 2 2 4 6" xfId="10287" xr:uid="{A648B10F-3009-4A20-A3D7-A8DE381E250D}"/>
    <cellStyle name="40% - Accent2 2 2 4 7" xfId="12177" xr:uid="{EDC14714-1BA1-4571-8BD3-2C8F9FEB1C68}"/>
    <cellStyle name="40% - Accent2 2 2 4 8" xfId="14067" xr:uid="{CD8CD889-85F7-4062-A90B-2A8ABB23A83E}"/>
    <cellStyle name="40% - Accent2 2 2 4 9" xfId="15957" xr:uid="{A47D4D2B-9020-4B61-B6E2-69918143791D}"/>
    <cellStyle name="40% - Accent2 2 2 5" xfId="1467" xr:uid="{CFEF803A-1661-487A-8BEB-FAC0416B6E47}"/>
    <cellStyle name="40% - Accent2 2 2 5 10" xfId="18477" xr:uid="{C2089D3D-4C90-488C-817C-7979D25F05AC}"/>
    <cellStyle name="40% - Accent2 2 2 5 11" xfId="20367" xr:uid="{B509A7F0-2417-4052-87BB-EB3E7F9CD457}"/>
    <cellStyle name="40% - Accent2 2 2 5 12" xfId="22257" xr:uid="{4BFF26CE-54DC-4D29-BFED-578A19C80E5B}"/>
    <cellStyle name="40% - Accent2 2 2 5 13" xfId="24147" xr:uid="{B6DB93DA-3E5F-4DED-8458-6FBB63557F6F}"/>
    <cellStyle name="40% - Accent2 2 2 5 14" xfId="26037" xr:uid="{F9B9C3F2-803E-406E-9093-09888D6A47C3}"/>
    <cellStyle name="40% - Accent2 2 2 5 15" xfId="27927" xr:uid="{69C17D54-4C1D-4451-9442-52A942DC4ECF}"/>
    <cellStyle name="40% - Accent2 2 2 5 16" xfId="29817" xr:uid="{8ED83E1B-4DF6-447D-8220-FBE9F2B1FDE2}"/>
    <cellStyle name="40% - Accent2 2 2 5 17" xfId="31707" xr:uid="{52166F4A-11D0-4611-B31C-9F565400C364}"/>
    <cellStyle name="40% - Accent2 2 2 5 18" xfId="33597" xr:uid="{D518EE60-90AA-4A76-BEAF-4C9695B412E2}"/>
    <cellStyle name="40% - Accent2 2 2 5 19" xfId="35487" xr:uid="{A9AEC36D-222F-404A-A006-5D207E217008}"/>
    <cellStyle name="40% - Accent2 2 2 5 2" xfId="3357" xr:uid="{820BF81C-A43F-47DD-851B-583C2155BCEF}"/>
    <cellStyle name="40% - Accent2 2 2 5 20" xfId="37377" xr:uid="{F6E4E628-F327-4163-BD9D-20A7BCDAE554}"/>
    <cellStyle name="40% - Accent2 2 2 5 21" xfId="39267" xr:uid="{8418DB2D-3BAC-4296-9F6E-5028953F45C1}"/>
    <cellStyle name="40% - Accent2 2 2 5 22" xfId="41158" xr:uid="{B5841A3A-ADB6-4158-810E-CE6577DE6419}"/>
    <cellStyle name="40% - Accent2 2 2 5 3" xfId="5247" xr:uid="{39A55E86-6ECF-4DFB-991C-6C13821B0FA2}"/>
    <cellStyle name="40% - Accent2 2 2 5 4" xfId="7137" xr:uid="{52B828C7-DE73-4B97-AE7B-9E94D989ED02}"/>
    <cellStyle name="40% - Accent2 2 2 5 5" xfId="9027" xr:uid="{DD2BB29B-0390-4DAD-A23F-184E8460A1A3}"/>
    <cellStyle name="40% - Accent2 2 2 5 6" xfId="10917" xr:uid="{09DDA02A-A6B5-4697-89C0-1115134586AB}"/>
    <cellStyle name="40% - Accent2 2 2 5 7" xfId="12807" xr:uid="{C1C433D3-1679-41EB-9CF9-EF88AB7D668B}"/>
    <cellStyle name="40% - Accent2 2 2 5 8" xfId="14697" xr:uid="{7959F9B5-7EDF-4890-ACD9-E729839C4D16}"/>
    <cellStyle name="40% - Accent2 2 2 5 9" xfId="16587" xr:uid="{B39261C1-FC49-4A2C-AA9E-25BD5E21FF21}"/>
    <cellStyle name="40% - Accent2 2 2 6" xfId="2097" xr:uid="{D582288B-0963-4248-97A8-3A5F13A3BBBF}"/>
    <cellStyle name="40% - Accent2 2 2 7" xfId="3987" xr:uid="{46C8F6C7-BCD2-408F-99E7-980A73DE96B3}"/>
    <cellStyle name="40% - Accent2 2 2 8" xfId="5877" xr:uid="{A7893240-52D2-4435-8AD5-E44AFA0B3182}"/>
    <cellStyle name="40% - Accent2 2 2 9" xfId="7767" xr:uid="{6C678DFA-D954-4CE9-8DB3-9871FC89A14B}"/>
    <cellStyle name="40% - Accent2 2 20" xfId="26562" xr:uid="{CBB2C022-998A-409C-B983-1372F2718351}"/>
    <cellStyle name="40% - Accent2 2 21" xfId="28452" xr:uid="{685FF7DA-AFBB-4D18-8FCC-13095DE9F05B}"/>
    <cellStyle name="40% - Accent2 2 22" xfId="30342" xr:uid="{94552B26-B52D-442B-9F46-E4153C37D8D4}"/>
    <cellStyle name="40% - Accent2 2 23" xfId="32232" xr:uid="{0F99A1FE-A803-42D9-A8A3-9E5940A10128}"/>
    <cellStyle name="40% - Accent2 2 24" xfId="34122" xr:uid="{DD0A7316-582E-475C-8649-AB0A238D6FED}"/>
    <cellStyle name="40% - Accent2 2 25" xfId="36012" xr:uid="{3DE21E75-3454-471D-9469-EE971CF553C0}"/>
    <cellStyle name="40% - Accent2 2 26" xfId="37902" xr:uid="{6A624937-A399-469D-AC33-0063173A42D9}"/>
    <cellStyle name="40% - Accent2 2 27" xfId="39793" xr:uid="{F05E342E-5E40-4C4C-9927-5A297AC1CC71}"/>
    <cellStyle name="40% - Accent2 2 3" xfId="312" xr:uid="{EC867A64-6762-4EC6-BE6C-D94022CD3DD4}"/>
    <cellStyle name="40% - Accent2 2 3 10" xfId="13542" xr:uid="{0C9E0CFE-58C9-4251-BBF6-072426E34A63}"/>
    <cellStyle name="40% - Accent2 2 3 11" xfId="15432" xr:uid="{FE766EAE-9D49-47D5-829C-819D1E0D0C4E}"/>
    <cellStyle name="40% - Accent2 2 3 12" xfId="17322" xr:uid="{247AE68E-0EEE-4042-A297-00E3015A66BA}"/>
    <cellStyle name="40% - Accent2 2 3 13" xfId="19212" xr:uid="{C844BC13-019F-4F8B-9475-9BAFF69506D1}"/>
    <cellStyle name="40% - Accent2 2 3 14" xfId="21102" xr:uid="{5C792B4C-31BC-4365-B953-5CDB5B0CD675}"/>
    <cellStyle name="40% - Accent2 2 3 15" xfId="22992" xr:uid="{6A3E75DB-6387-45EB-BECD-310E5924F941}"/>
    <cellStyle name="40% - Accent2 2 3 16" xfId="24882" xr:uid="{D9B2EF30-A255-4711-9DC6-BA35FA671BF9}"/>
    <cellStyle name="40% - Accent2 2 3 17" xfId="26772" xr:uid="{E56267CC-6491-4BAF-9959-B37053C8FB00}"/>
    <cellStyle name="40% - Accent2 2 3 18" xfId="28662" xr:uid="{1C551605-9290-40A4-BB56-917C9ABC8A4F}"/>
    <cellStyle name="40% - Accent2 2 3 19" xfId="30552" xr:uid="{3B29B74C-7563-4E9B-8A8C-C8E4083B032B}"/>
    <cellStyle name="40% - Accent2 2 3 2" xfId="942" xr:uid="{4F3DD4E2-BA9A-4875-B735-B32F4D43CCB8}"/>
    <cellStyle name="40% - Accent2 2 3 2 10" xfId="17952" xr:uid="{C109D88A-9B87-4696-9C25-EB1894BF4E7D}"/>
    <cellStyle name="40% - Accent2 2 3 2 11" xfId="19842" xr:uid="{A47FF826-002A-49A9-A64E-19169081504E}"/>
    <cellStyle name="40% - Accent2 2 3 2 12" xfId="21732" xr:uid="{A1780DA0-9BF4-413A-96D7-64DBBA3FCF48}"/>
    <cellStyle name="40% - Accent2 2 3 2 13" xfId="23622" xr:uid="{F97A427A-DE68-48CA-B10A-EC09B6C55A07}"/>
    <cellStyle name="40% - Accent2 2 3 2 14" xfId="25512" xr:uid="{E4006D03-282E-4FDE-90AF-FB2240325132}"/>
    <cellStyle name="40% - Accent2 2 3 2 15" xfId="27402" xr:uid="{7D98E3EF-57E1-4BCE-B55D-7DB8EDB77A0E}"/>
    <cellStyle name="40% - Accent2 2 3 2 16" xfId="29292" xr:uid="{6F15808F-481A-4F57-9B49-0B377C5C7813}"/>
    <cellStyle name="40% - Accent2 2 3 2 17" xfId="31182" xr:uid="{3AD33D02-65DB-4668-A57C-E5D414A50EDF}"/>
    <cellStyle name="40% - Accent2 2 3 2 18" xfId="33072" xr:uid="{1A7386D7-09AA-4191-82AE-F66C33AA1EF0}"/>
    <cellStyle name="40% - Accent2 2 3 2 19" xfId="34962" xr:uid="{CB865F82-2491-46B5-A544-73057B289296}"/>
    <cellStyle name="40% - Accent2 2 3 2 2" xfId="2832" xr:uid="{43C30B67-58A3-449B-BBE6-1EFE003A5042}"/>
    <cellStyle name="40% - Accent2 2 3 2 20" xfId="36852" xr:uid="{F867B4D1-D3DE-4537-AA4F-78B9BB138BE5}"/>
    <cellStyle name="40% - Accent2 2 3 2 21" xfId="38742" xr:uid="{598339B7-938E-46A6-BFCC-4534D4121D08}"/>
    <cellStyle name="40% - Accent2 2 3 2 22" xfId="40633" xr:uid="{BFE0EA6A-4D2F-42DD-834A-E5D75E013342}"/>
    <cellStyle name="40% - Accent2 2 3 2 3" xfId="4722" xr:uid="{9DB8E195-8264-4B4B-85B9-B52F7B375A53}"/>
    <cellStyle name="40% - Accent2 2 3 2 4" xfId="6612" xr:uid="{CDD14CEE-6B84-471C-A237-F264E1062257}"/>
    <cellStyle name="40% - Accent2 2 3 2 5" xfId="8502" xr:uid="{A978CA41-754E-4DE9-B062-EA6910024418}"/>
    <cellStyle name="40% - Accent2 2 3 2 6" xfId="10392" xr:uid="{A71FCDE1-24B8-4E0F-B1CF-7B90AC7D6968}"/>
    <cellStyle name="40% - Accent2 2 3 2 7" xfId="12282" xr:uid="{2A382134-76C8-4C62-9EAA-41520712BA5E}"/>
    <cellStyle name="40% - Accent2 2 3 2 8" xfId="14172" xr:uid="{A756C954-7BD3-41D7-9935-5384A37B1495}"/>
    <cellStyle name="40% - Accent2 2 3 2 9" xfId="16062" xr:uid="{D0A1C183-3E3D-4F4E-8AFC-FC136FEF4FA2}"/>
    <cellStyle name="40% - Accent2 2 3 20" xfId="32442" xr:uid="{23A24BA3-6FC6-4461-B31B-71899C533C0B}"/>
    <cellStyle name="40% - Accent2 2 3 21" xfId="34332" xr:uid="{7FD3824C-B036-4105-A99A-3A778444C878}"/>
    <cellStyle name="40% - Accent2 2 3 22" xfId="36222" xr:uid="{8D9A21B8-89B3-414B-BD33-BE834B34456B}"/>
    <cellStyle name="40% - Accent2 2 3 23" xfId="38112" xr:uid="{E0732B04-8A00-4F02-8792-C9BE68A6EBEA}"/>
    <cellStyle name="40% - Accent2 2 3 24" xfId="40003" xr:uid="{3C271E61-D46D-4003-B67A-CB192F221058}"/>
    <cellStyle name="40% - Accent2 2 3 3" xfId="1572" xr:uid="{F0A36C38-B5C7-4F20-B23E-B8D8966E6298}"/>
    <cellStyle name="40% - Accent2 2 3 3 10" xfId="18582" xr:uid="{3CEA5109-337C-41E3-9849-80888A9FA53F}"/>
    <cellStyle name="40% - Accent2 2 3 3 11" xfId="20472" xr:uid="{CE35A67E-1EDB-4398-A037-1F418D3F8EDB}"/>
    <cellStyle name="40% - Accent2 2 3 3 12" xfId="22362" xr:uid="{5E191271-F4EC-45C3-A13F-2B297665ADD7}"/>
    <cellStyle name="40% - Accent2 2 3 3 13" xfId="24252" xr:uid="{72469EDB-A3F0-47AA-94A7-185B6E9A3CDC}"/>
    <cellStyle name="40% - Accent2 2 3 3 14" xfId="26142" xr:uid="{D0FE7F21-E8E8-46EE-B666-39F536DC1120}"/>
    <cellStyle name="40% - Accent2 2 3 3 15" xfId="28032" xr:uid="{C95CB565-7A7E-425E-9FFC-535F8F7C853F}"/>
    <cellStyle name="40% - Accent2 2 3 3 16" xfId="29922" xr:uid="{81ADDFC7-310E-4BA7-8C9F-B63B73777619}"/>
    <cellStyle name="40% - Accent2 2 3 3 17" xfId="31812" xr:uid="{4DFFAC4F-7BEF-4B77-827F-4BFB4DB84F14}"/>
    <cellStyle name="40% - Accent2 2 3 3 18" xfId="33702" xr:uid="{E54A7199-8776-44EC-A950-2CCF9CE7B048}"/>
    <cellStyle name="40% - Accent2 2 3 3 19" xfId="35592" xr:uid="{483FF649-D7DC-4298-B895-40768FB501AD}"/>
    <cellStyle name="40% - Accent2 2 3 3 2" xfId="3462" xr:uid="{0C7B7D64-BFBE-4461-8B60-EEEBF13E54E9}"/>
    <cellStyle name="40% - Accent2 2 3 3 20" xfId="37482" xr:uid="{80775887-D463-4EE8-A9E5-2F3D37879EFA}"/>
    <cellStyle name="40% - Accent2 2 3 3 21" xfId="39372" xr:uid="{8B8A821B-1D1C-4C52-BDB3-9C38EFCF0567}"/>
    <cellStyle name="40% - Accent2 2 3 3 22" xfId="41263" xr:uid="{B5FC6EC9-9DF6-462E-BD9B-D20BA8C77775}"/>
    <cellStyle name="40% - Accent2 2 3 3 3" xfId="5352" xr:uid="{04B5207A-4BD6-4FA1-91FD-CB1CAF9311A7}"/>
    <cellStyle name="40% - Accent2 2 3 3 4" xfId="7242" xr:uid="{6224D6D8-0CD8-4835-AA82-64D764521CA1}"/>
    <cellStyle name="40% - Accent2 2 3 3 5" xfId="9132" xr:uid="{88EB0F22-CBC6-45F8-9414-FD5AEE8B8DA6}"/>
    <cellStyle name="40% - Accent2 2 3 3 6" xfId="11022" xr:uid="{457BD1BD-32AE-4627-8A8B-C6F600CDEA6B}"/>
    <cellStyle name="40% - Accent2 2 3 3 7" xfId="12912" xr:uid="{B0386CF8-C6CA-4EE0-B849-BB177EAA87AB}"/>
    <cellStyle name="40% - Accent2 2 3 3 8" xfId="14802" xr:uid="{83993D7E-6A5D-46B1-89C0-DCA76F720A9E}"/>
    <cellStyle name="40% - Accent2 2 3 3 9" xfId="16692" xr:uid="{0714F1F4-1701-4DDF-8EE2-71D646A0F8E7}"/>
    <cellStyle name="40% - Accent2 2 3 4" xfId="2202" xr:uid="{868F5845-A6C9-4AF6-BBF2-5E0BC872A9DE}"/>
    <cellStyle name="40% - Accent2 2 3 5" xfId="4092" xr:uid="{0B5AE978-1BCC-4856-ADA5-0665A2351940}"/>
    <cellStyle name="40% - Accent2 2 3 6" xfId="5982" xr:uid="{560ED1FB-A81F-41B1-BD3E-963559A20F65}"/>
    <cellStyle name="40% - Accent2 2 3 7" xfId="7872" xr:uid="{FDE98334-4E5B-43DB-A195-B3779C99FBE1}"/>
    <cellStyle name="40% - Accent2 2 3 8" xfId="9762" xr:uid="{9B6DB3EB-92FD-4D08-A77D-A2E14D3C4EFB}"/>
    <cellStyle name="40% - Accent2 2 3 9" xfId="11652" xr:uid="{AADC2EF5-E43D-4C3E-B1CF-3F9C94D5858C}"/>
    <cellStyle name="40% - Accent2 2 4" xfId="522" xr:uid="{13AC2C0E-601E-4225-96AE-9979A2387DFB}"/>
    <cellStyle name="40% - Accent2 2 4 10" xfId="13752" xr:uid="{4C45B453-93F1-4F8C-81C7-D6AC1A3465B2}"/>
    <cellStyle name="40% - Accent2 2 4 11" xfId="15642" xr:uid="{8574EE13-F0BD-43ED-B551-7933D84FE9DC}"/>
    <cellStyle name="40% - Accent2 2 4 12" xfId="17532" xr:uid="{C24543D0-908E-4F66-A1FA-8AA9155FE9EB}"/>
    <cellStyle name="40% - Accent2 2 4 13" xfId="19422" xr:uid="{A3DFF249-59A1-4ACA-AE16-F3CCDB8E57D2}"/>
    <cellStyle name="40% - Accent2 2 4 14" xfId="21312" xr:uid="{293FBE11-E9CA-4F04-8FC8-C9F8053B2B06}"/>
    <cellStyle name="40% - Accent2 2 4 15" xfId="23202" xr:uid="{E5B9CA01-8012-45D9-AE88-AAA9545D897B}"/>
    <cellStyle name="40% - Accent2 2 4 16" xfId="25092" xr:uid="{949DAD48-12C0-4B0F-9B0B-761C812C8770}"/>
    <cellStyle name="40% - Accent2 2 4 17" xfId="26982" xr:uid="{30666C88-88C9-4697-9E5D-885CA06B2BF1}"/>
    <cellStyle name="40% - Accent2 2 4 18" xfId="28872" xr:uid="{F5D985D0-B1D1-492A-BAA1-0AD2D45F6D67}"/>
    <cellStyle name="40% - Accent2 2 4 19" xfId="30762" xr:uid="{72D033AA-E452-49A4-9E13-CFFE5E032C71}"/>
    <cellStyle name="40% - Accent2 2 4 2" xfId="1152" xr:uid="{5FF15E88-406F-41D7-8596-5B24F3AE7F80}"/>
    <cellStyle name="40% - Accent2 2 4 2 10" xfId="18162" xr:uid="{7E626080-6D65-4D51-B324-EE93FFEAC4B6}"/>
    <cellStyle name="40% - Accent2 2 4 2 11" xfId="20052" xr:uid="{FC244424-849D-4C4C-9A6E-9101E6596105}"/>
    <cellStyle name="40% - Accent2 2 4 2 12" xfId="21942" xr:uid="{5362F63D-B35E-4859-A2B6-97BF43344909}"/>
    <cellStyle name="40% - Accent2 2 4 2 13" xfId="23832" xr:uid="{C2DAC14B-CCB5-419D-AE30-BF1879863865}"/>
    <cellStyle name="40% - Accent2 2 4 2 14" xfId="25722" xr:uid="{C4676F10-C95F-4A34-9282-952DAF9B5CEB}"/>
    <cellStyle name="40% - Accent2 2 4 2 15" xfId="27612" xr:uid="{9398BBB0-4C37-4908-A59F-A749799B9FC8}"/>
    <cellStyle name="40% - Accent2 2 4 2 16" xfId="29502" xr:uid="{87D98A48-6D00-4D1E-A1D7-C59FA78498E7}"/>
    <cellStyle name="40% - Accent2 2 4 2 17" xfId="31392" xr:uid="{367569FA-7EFF-4FDA-88F7-C4CAD1C9B88E}"/>
    <cellStyle name="40% - Accent2 2 4 2 18" xfId="33282" xr:uid="{0B48112D-22DC-469B-AC6A-CA4152B15CD4}"/>
    <cellStyle name="40% - Accent2 2 4 2 19" xfId="35172" xr:uid="{0D1CB6B4-E2E4-47B2-876B-3E6B8F37357B}"/>
    <cellStyle name="40% - Accent2 2 4 2 2" xfId="3042" xr:uid="{6975FC98-0382-492D-B458-C796CC07C092}"/>
    <cellStyle name="40% - Accent2 2 4 2 20" xfId="37062" xr:uid="{9E40C3B0-6414-4D60-8269-624C9639299F}"/>
    <cellStyle name="40% - Accent2 2 4 2 21" xfId="38952" xr:uid="{2D552C93-87B1-49B8-B4CF-6B21240DD1DC}"/>
    <cellStyle name="40% - Accent2 2 4 2 22" xfId="40843" xr:uid="{435E045B-090F-41EA-A7AD-FA8E0B23D55E}"/>
    <cellStyle name="40% - Accent2 2 4 2 3" xfId="4932" xr:uid="{86C48F18-00B8-43A1-83E6-FF2572B7D5F4}"/>
    <cellStyle name="40% - Accent2 2 4 2 4" xfId="6822" xr:uid="{35855E93-A03B-43D9-BB1A-0AE52A26E66A}"/>
    <cellStyle name="40% - Accent2 2 4 2 5" xfId="8712" xr:uid="{27483721-2042-4302-ACEA-2F4F6ACA3CA7}"/>
    <cellStyle name="40% - Accent2 2 4 2 6" xfId="10602" xr:uid="{4F861938-7FFE-4944-B7B7-8124D1137F35}"/>
    <cellStyle name="40% - Accent2 2 4 2 7" xfId="12492" xr:uid="{EA5B80EA-F233-441D-A765-517C44695561}"/>
    <cellStyle name="40% - Accent2 2 4 2 8" xfId="14382" xr:uid="{4BE95B89-9BF7-4558-80DE-77642C478C9D}"/>
    <cellStyle name="40% - Accent2 2 4 2 9" xfId="16272" xr:uid="{44AB5119-EA07-4C6B-91F5-0C08796E01A2}"/>
    <cellStyle name="40% - Accent2 2 4 20" xfId="32652" xr:uid="{18A8C778-679E-42EE-AF82-3972CD61B2DE}"/>
    <cellStyle name="40% - Accent2 2 4 21" xfId="34542" xr:uid="{85890327-D471-4127-8516-0AB7F115E5BC}"/>
    <cellStyle name="40% - Accent2 2 4 22" xfId="36432" xr:uid="{97706781-0551-4194-8F17-F72BB6A18ED1}"/>
    <cellStyle name="40% - Accent2 2 4 23" xfId="38322" xr:uid="{4B4F19FF-6FB8-44D4-B1C7-BFD06188C7CA}"/>
    <cellStyle name="40% - Accent2 2 4 24" xfId="40213" xr:uid="{70EFE2F9-601C-4CA3-84C1-6533EA5E89AF}"/>
    <cellStyle name="40% - Accent2 2 4 3" xfId="1782" xr:uid="{1B2E45D7-71E9-4C56-8AD8-FDC1115A78E5}"/>
    <cellStyle name="40% - Accent2 2 4 3 10" xfId="18792" xr:uid="{4F94EBD2-FEBE-4248-AFAD-2B9DDF43A847}"/>
    <cellStyle name="40% - Accent2 2 4 3 11" xfId="20682" xr:uid="{A3CCD2F6-48FA-458D-AD41-131ABB5E0F06}"/>
    <cellStyle name="40% - Accent2 2 4 3 12" xfId="22572" xr:uid="{DAC94D14-EE1C-41EF-9BCD-3B51C6934A8F}"/>
    <cellStyle name="40% - Accent2 2 4 3 13" xfId="24462" xr:uid="{3BF668BA-7095-426D-A23B-E331AD7FAA75}"/>
    <cellStyle name="40% - Accent2 2 4 3 14" xfId="26352" xr:uid="{EE4CAD14-699B-43DD-8219-CEE2AF2A6EED}"/>
    <cellStyle name="40% - Accent2 2 4 3 15" xfId="28242" xr:uid="{AC933C69-DFF5-4633-8755-73D43F6CAC4E}"/>
    <cellStyle name="40% - Accent2 2 4 3 16" xfId="30132" xr:uid="{A0DCFED4-C8EC-429E-BA59-E25BAF6DFA12}"/>
    <cellStyle name="40% - Accent2 2 4 3 17" xfId="32022" xr:uid="{C9CF0855-FA9D-4F1E-8391-884290AC0738}"/>
    <cellStyle name="40% - Accent2 2 4 3 18" xfId="33912" xr:uid="{22F49E90-D757-42CD-B4A5-08CACAA0EE5D}"/>
    <cellStyle name="40% - Accent2 2 4 3 19" xfId="35802" xr:uid="{336E6212-3475-4636-81A9-843708727D1F}"/>
    <cellStyle name="40% - Accent2 2 4 3 2" xfId="3672" xr:uid="{0124CE11-6D00-4A01-85F8-B26FB12598DF}"/>
    <cellStyle name="40% - Accent2 2 4 3 20" xfId="37692" xr:uid="{EE70EA1C-B942-4420-A2F9-AADEBC2BD270}"/>
    <cellStyle name="40% - Accent2 2 4 3 21" xfId="39582" xr:uid="{BB686145-D979-43B2-8B01-20D2CC441FC6}"/>
    <cellStyle name="40% - Accent2 2 4 3 22" xfId="41473" xr:uid="{D90EC919-0EFD-42AB-A2B0-2A4556CF0CCB}"/>
    <cellStyle name="40% - Accent2 2 4 3 3" xfId="5562" xr:uid="{4A5E4F9D-560A-4404-8672-EDC52DDF0468}"/>
    <cellStyle name="40% - Accent2 2 4 3 4" xfId="7452" xr:uid="{7E1FC9CF-EA72-47E0-B525-34634FB8EB4A}"/>
    <cellStyle name="40% - Accent2 2 4 3 5" xfId="9342" xr:uid="{D75814C4-BE8B-4C1D-82E4-017E9B3BDDB8}"/>
    <cellStyle name="40% - Accent2 2 4 3 6" xfId="11232" xr:uid="{05C66CFB-D7A1-4E0D-8956-678526A301DC}"/>
    <cellStyle name="40% - Accent2 2 4 3 7" xfId="13122" xr:uid="{CF407E39-ED90-4916-A52A-B939E54D935A}"/>
    <cellStyle name="40% - Accent2 2 4 3 8" xfId="15012" xr:uid="{31122DA4-46AA-436E-A754-7FDC8741AA4C}"/>
    <cellStyle name="40% - Accent2 2 4 3 9" xfId="16902" xr:uid="{D9711507-84C2-4453-B3CF-FB434EA0361A}"/>
    <cellStyle name="40% - Accent2 2 4 4" xfId="2412" xr:uid="{4B0E65BB-F952-44E4-B1AA-7A87D1D15DF1}"/>
    <cellStyle name="40% - Accent2 2 4 5" xfId="4302" xr:uid="{DA12A268-2611-4A2A-A9A2-59D910E75999}"/>
    <cellStyle name="40% - Accent2 2 4 6" xfId="6192" xr:uid="{7DAA4730-C717-4CC4-98F4-2DA7C6F203E4}"/>
    <cellStyle name="40% - Accent2 2 4 7" xfId="8082" xr:uid="{8C9EB930-BD7C-4CDE-B4FE-D7E78CD145D3}"/>
    <cellStyle name="40% - Accent2 2 4 8" xfId="9972" xr:uid="{9CA3D118-3A80-4E06-812C-DD07D9FEBDE7}"/>
    <cellStyle name="40% - Accent2 2 4 9" xfId="11862" xr:uid="{15DD9A75-60B7-4BF1-8A4B-4638FBF07A86}"/>
    <cellStyle name="40% - Accent2 2 5" xfId="732" xr:uid="{F5D9BFF9-A2D8-40B8-B02F-F7E8CE280BE3}"/>
    <cellStyle name="40% - Accent2 2 5 10" xfId="17742" xr:uid="{5A00968F-1AF3-4E2F-9D76-4CCB92734568}"/>
    <cellStyle name="40% - Accent2 2 5 11" xfId="19632" xr:uid="{BDE0CBB0-9645-49F3-B557-3AE0FA437054}"/>
    <cellStyle name="40% - Accent2 2 5 12" xfId="21522" xr:uid="{6D9B0666-53A7-4551-BCB4-E1C33348999B}"/>
    <cellStyle name="40% - Accent2 2 5 13" xfId="23412" xr:uid="{46924C07-922B-474B-8D08-2B8F4E6B8237}"/>
    <cellStyle name="40% - Accent2 2 5 14" xfId="25302" xr:uid="{CB07E8A1-E19A-4F48-BCDF-C8F5CF7015FE}"/>
    <cellStyle name="40% - Accent2 2 5 15" xfId="27192" xr:uid="{A32FC6A5-1BA3-479E-A70F-CE52D40CAA0D}"/>
    <cellStyle name="40% - Accent2 2 5 16" xfId="29082" xr:uid="{552EF292-C896-47B5-9B39-AF98F11BE270}"/>
    <cellStyle name="40% - Accent2 2 5 17" xfId="30972" xr:uid="{ED04742E-C3E0-4FC8-9553-B8179877B516}"/>
    <cellStyle name="40% - Accent2 2 5 18" xfId="32862" xr:uid="{D37BE19E-FA9D-4E90-ADCA-22721A32FAE5}"/>
    <cellStyle name="40% - Accent2 2 5 19" xfId="34752" xr:uid="{D7D63F80-1723-489C-99E3-11F1882057C1}"/>
    <cellStyle name="40% - Accent2 2 5 2" xfId="2622" xr:uid="{832D41F2-A211-46BC-8C48-EE3ED2A5252D}"/>
    <cellStyle name="40% - Accent2 2 5 20" xfId="36642" xr:uid="{702BA7F3-1716-453E-AD62-E6E038FB86E4}"/>
    <cellStyle name="40% - Accent2 2 5 21" xfId="38532" xr:uid="{CD924892-532E-497B-86E6-C1834D664DF2}"/>
    <cellStyle name="40% - Accent2 2 5 22" xfId="40423" xr:uid="{6F6469D6-4779-42DB-B31F-C78727A1192D}"/>
    <cellStyle name="40% - Accent2 2 5 3" xfId="4512" xr:uid="{D0ABB868-D4D6-43F6-B277-55017310ED78}"/>
    <cellStyle name="40% - Accent2 2 5 4" xfId="6402" xr:uid="{629D4D9A-2FCC-44D7-B588-381C51906C80}"/>
    <cellStyle name="40% - Accent2 2 5 5" xfId="8292" xr:uid="{7253B128-F444-47AC-A815-C4FEC33CCF8D}"/>
    <cellStyle name="40% - Accent2 2 5 6" xfId="10182" xr:uid="{688C9CED-9CFA-4E0D-A314-908D88C49B5C}"/>
    <cellStyle name="40% - Accent2 2 5 7" xfId="12072" xr:uid="{64E89398-D009-4AD8-95E5-02000FFD5602}"/>
    <cellStyle name="40% - Accent2 2 5 8" xfId="13962" xr:uid="{90E82D0E-85A0-4182-AB56-6354ADB9D1AE}"/>
    <cellStyle name="40% - Accent2 2 5 9" xfId="15852" xr:uid="{6E5BC05E-8821-4657-8768-93134B85F316}"/>
    <cellStyle name="40% - Accent2 2 6" xfId="1362" xr:uid="{FABE45FD-DD15-4660-8AFD-0F93C6CBAECC}"/>
    <cellStyle name="40% - Accent2 2 6 10" xfId="18372" xr:uid="{5B6BBB01-1DF5-45F2-BACE-74141DD57285}"/>
    <cellStyle name="40% - Accent2 2 6 11" xfId="20262" xr:uid="{9B780ECE-36D4-416E-ABEB-9F37CE69651A}"/>
    <cellStyle name="40% - Accent2 2 6 12" xfId="22152" xr:uid="{1224A92C-3342-46C9-8F76-F12DE6DCC5EC}"/>
    <cellStyle name="40% - Accent2 2 6 13" xfId="24042" xr:uid="{B7D40178-98E9-45EC-9BA4-89639DB6B185}"/>
    <cellStyle name="40% - Accent2 2 6 14" xfId="25932" xr:uid="{52B6A40A-49D0-4092-AFA6-5ECACE2AD711}"/>
    <cellStyle name="40% - Accent2 2 6 15" xfId="27822" xr:uid="{88466D1B-3A7D-4CDA-9995-1E989AA5FB53}"/>
    <cellStyle name="40% - Accent2 2 6 16" xfId="29712" xr:uid="{175757B9-E33D-40A3-A7DA-04AFD2D45C8B}"/>
    <cellStyle name="40% - Accent2 2 6 17" xfId="31602" xr:uid="{F5B62E79-5599-4EBB-A0A2-06047FB893E3}"/>
    <cellStyle name="40% - Accent2 2 6 18" xfId="33492" xr:uid="{0BD4AF07-BAF9-4F9B-891B-827FF97C1B71}"/>
    <cellStyle name="40% - Accent2 2 6 19" xfId="35382" xr:uid="{DBC3565F-7CEC-41F9-B517-1B150D58B3F3}"/>
    <cellStyle name="40% - Accent2 2 6 2" xfId="3252" xr:uid="{90360B7B-5691-4A05-BDB2-7B9355A55D44}"/>
    <cellStyle name="40% - Accent2 2 6 20" xfId="37272" xr:uid="{1552C865-E1BB-47DE-8029-2F82A0EE2843}"/>
    <cellStyle name="40% - Accent2 2 6 21" xfId="39162" xr:uid="{0053FF62-587E-4A75-853F-DA998B373C00}"/>
    <cellStyle name="40% - Accent2 2 6 22" xfId="41053" xr:uid="{C691FE9C-920A-4232-B4F5-56CEAE2C20A6}"/>
    <cellStyle name="40% - Accent2 2 6 3" xfId="5142" xr:uid="{1740B9BA-54A3-4132-AF96-BC626A974902}"/>
    <cellStyle name="40% - Accent2 2 6 4" xfId="7032" xr:uid="{40089E0F-E874-4DA9-BDA2-7865D20268A5}"/>
    <cellStyle name="40% - Accent2 2 6 5" xfId="8922" xr:uid="{47EDAD86-B398-4CF4-9E78-9887FBEFECA9}"/>
    <cellStyle name="40% - Accent2 2 6 6" xfId="10812" xr:uid="{E940C0CD-09CF-44B0-B85C-07EFF353A115}"/>
    <cellStyle name="40% - Accent2 2 6 7" xfId="12702" xr:uid="{DD203A38-BE81-4B04-8BC4-5461152A6730}"/>
    <cellStyle name="40% - Accent2 2 6 8" xfId="14592" xr:uid="{BE69DE6A-8F12-4489-8824-F32623482C59}"/>
    <cellStyle name="40% - Accent2 2 6 9" xfId="16482" xr:uid="{F326E100-C3CF-4F0E-A12E-2CD476E5EC8A}"/>
    <cellStyle name="40% - Accent2 2 7" xfId="1992" xr:uid="{5E9DB92D-E2D4-4488-AD1E-FC54700E4FF2}"/>
    <cellStyle name="40% - Accent2 2 8" xfId="3882" xr:uid="{1FA6DFDA-F003-4D30-B879-23BF8A48366B}"/>
    <cellStyle name="40% - Accent2 2 9" xfId="5772" xr:uid="{652FD76D-B3B7-48ED-9A9D-0C5A22E610AC}"/>
    <cellStyle name="40% - Accent2 20" xfId="22760" xr:uid="{C1931977-7E9E-4344-B8B3-E6BAA7BD4C0C}"/>
    <cellStyle name="40% - Accent2 21" xfId="24650" xr:uid="{3728915E-3CCE-4321-9F9A-E8B476AF4AF7}"/>
    <cellStyle name="40% - Accent2 22" xfId="26540" xr:uid="{E63CE50B-8421-4DBF-AEE3-059220567364}"/>
    <cellStyle name="40% - Accent2 23" xfId="28430" xr:uid="{4071BCE0-D6B5-4E7E-97EF-C0F986064403}"/>
    <cellStyle name="40% - Accent2 24" xfId="30320" xr:uid="{6E65E923-7F84-47EE-81AB-D2B3A86715DD}"/>
    <cellStyle name="40% - Accent2 25" xfId="32210" xr:uid="{94DFC978-1B07-43BB-9582-4BA52C417438}"/>
    <cellStyle name="40% - Accent2 26" xfId="34100" xr:uid="{EDE8812B-8C1A-4C67-B0AC-18494C1A0D81}"/>
    <cellStyle name="40% - Accent2 27" xfId="35990" xr:uid="{92386927-0ADD-4D9E-B493-3FF4AFE77F26}"/>
    <cellStyle name="40% - Accent2 28" xfId="37880" xr:uid="{4E72292C-9991-405D-9CB0-E1205D9C50D5}"/>
    <cellStyle name="40% - Accent2 29" xfId="39771" xr:uid="{1737AF5B-4DA0-4431-87AC-F9F68E86AB1A}"/>
    <cellStyle name="40% - Accent2 3" xfId="122" xr:uid="{2866FC0C-C596-4961-B187-3A1B9DCC7315}"/>
    <cellStyle name="40% - Accent2 3 10" xfId="7682" xr:uid="{0600C6E0-5A39-4E00-9D03-6150378828C4}"/>
    <cellStyle name="40% - Accent2 3 11" xfId="9572" xr:uid="{9B899A7D-BAE5-4C5D-9EE5-DA3D24EEBC98}"/>
    <cellStyle name="40% - Accent2 3 12" xfId="11462" xr:uid="{C76424EA-02ED-4CAD-B9D6-E63B854D2E9C}"/>
    <cellStyle name="40% - Accent2 3 13" xfId="13352" xr:uid="{2CD261B1-5427-4355-8F74-60ADEF4240B8}"/>
    <cellStyle name="40% - Accent2 3 14" xfId="15242" xr:uid="{73F18E10-25D4-4553-B827-F9ED3B90A8A1}"/>
    <cellStyle name="40% - Accent2 3 15" xfId="17132" xr:uid="{E8BC2D1D-0953-4E3E-90E9-EFAAC8011497}"/>
    <cellStyle name="40% - Accent2 3 16" xfId="19022" xr:uid="{64B891E2-6B5A-4760-94FE-3C44D823067F}"/>
    <cellStyle name="40% - Accent2 3 17" xfId="20912" xr:uid="{D833A77B-D697-4935-A761-99CE31AECB7C}"/>
    <cellStyle name="40% - Accent2 3 18" xfId="22802" xr:uid="{5F48DF96-3768-4C1D-BB87-A0E2F312A09D}"/>
    <cellStyle name="40% - Accent2 3 19" xfId="24692" xr:uid="{47F597DC-32AC-4DA4-97E8-57BB5E7C5335}"/>
    <cellStyle name="40% - Accent2 3 2" xfId="227" xr:uid="{2EBC0D84-AAC3-4978-902C-8FF3B4759627}"/>
    <cellStyle name="40% - Accent2 3 2 10" xfId="9677" xr:uid="{9B1B2F0D-4A21-4168-853E-566ED132618A}"/>
    <cellStyle name="40% - Accent2 3 2 11" xfId="11567" xr:uid="{38662062-A285-4A83-B279-6DEABF4EBD6E}"/>
    <cellStyle name="40% - Accent2 3 2 12" xfId="13457" xr:uid="{14366A2E-CF00-46B2-925D-AF138F332ACC}"/>
    <cellStyle name="40% - Accent2 3 2 13" xfId="15347" xr:uid="{38823109-1289-4E1E-9D0E-AD28C2774A0A}"/>
    <cellStyle name="40% - Accent2 3 2 14" xfId="17237" xr:uid="{37F11331-F2D6-42C0-AC24-2EA94EC32A75}"/>
    <cellStyle name="40% - Accent2 3 2 15" xfId="19127" xr:uid="{8BEB9D4C-1B57-4484-9EEE-439DB2FC2FF0}"/>
    <cellStyle name="40% - Accent2 3 2 16" xfId="21017" xr:uid="{F6C8EFB4-CB5D-4BE5-B61E-8D1A560C55D2}"/>
    <cellStyle name="40% - Accent2 3 2 17" xfId="22907" xr:uid="{98E77A09-E956-4B02-8FAB-FA5D0F828D99}"/>
    <cellStyle name="40% - Accent2 3 2 18" xfId="24797" xr:uid="{10A38DA6-5EF8-4CDD-B40A-32461EC42E58}"/>
    <cellStyle name="40% - Accent2 3 2 19" xfId="26687" xr:uid="{8499EE38-2BC9-4A03-A0A9-5AC0F6550CF0}"/>
    <cellStyle name="40% - Accent2 3 2 2" xfId="437" xr:uid="{151D4A8A-3D9A-454F-957E-7043DA44E333}"/>
    <cellStyle name="40% - Accent2 3 2 2 10" xfId="13667" xr:uid="{25601B35-974C-4D5E-AE67-D38431BF0DCC}"/>
    <cellStyle name="40% - Accent2 3 2 2 11" xfId="15557" xr:uid="{A9FE0283-010F-46A7-885F-3E5FF7329117}"/>
    <cellStyle name="40% - Accent2 3 2 2 12" xfId="17447" xr:uid="{FCBD256A-0BDD-457A-BD71-9BC0FBFA270D}"/>
    <cellStyle name="40% - Accent2 3 2 2 13" xfId="19337" xr:uid="{0312B708-E1FD-4E06-832D-3730651B2B67}"/>
    <cellStyle name="40% - Accent2 3 2 2 14" xfId="21227" xr:uid="{F93C400E-642B-4D57-B99A-3EDA5F0F7D9A}"/>
    <cellStyle name="40% - Accent2 3 2 2 15" xfId="23117" xr:uid="{19E10642-535F-45F2-801D-12F6AF2823F2}"/>
    <cellStyle name="40% - Accent2 3 2 2 16" xfId="25007" xr:uid="{A3C1AA17-6B2E-4D18-BAFD-DB47FD321696}"/>
    <cellStyle name="40% - Accent2 3 2 2 17" xfId="26897" xr:uid="{1FCAE322-C1F3-4318-8A32-C10C1FA1FF7E}"/>
    <cellStyle name="40% - Accent2 3 2 2 18" xfId="28787" xr:uid="{B57EEFE8-15D2-4CC9-AF16-265C8FB8A813}"/>
    <cellStyle name="40% - Accent2 3 2 2 19" xfId="30677" xr:uid="{2459765B-8F6C-4698-96A3-E16246C66227}"/>
    <cellStyle name="40% - Accent2 3 2 2 2" xfId="1067" xr:uid="{2581E5E4-8A49-4992-A7D5-388F4815F65F}"/>
    <cellStyle name="40% - Accent2 3 2 2 2 10" xfId="18077" xr:uid="{327702A2-198F-4D8F-8886-2DC4E5FB2005}"/>
    <cellStyle name="40% - Accent2 3 2 2 2 11" xfId="19967" xr:uid="{190EC653-785E-4584-8195-D9E29D9A44FD}"/>
    <cellStyle name="40% - Accent2 3 2 2 2 12" xfId="21857" xr:uid="{8F78E3F2-7ED4-45A0-8E57-77FBAEB2D1A4}"/>
    <cellStyle name="40% - Accent2 3 2 2 2 13" xfId="23747" xr:uid="{739A6CB1-6D11-48C6-A88D-7E88652725C7}"/>
    <cellStyle name="40% - Accent2 3 2 2 2 14" xfId="25637" xr:uid="{C9A61175-E680-4C42-B344-3818F0D531FF}"/>
    <cellStyle name="40% - Accent2 3 2 2 2 15" xfId="27527" xr:uid="{8D52596B-F006-40A5-9AD7-FB1E2235D6F7}"/>
    <cellStyle name="40% - Accent2 3 2 2 2 16" xfId="29417" xr:uid="{6FC2D2ED-1954-4D6F-93E7-51BD3DE63CF3}"/>
    <cellStyle name="40% - Accent2 3 2 2 2 17" xfId="31307" xr:uid="{AF39142A-3872-4CB6-86DA-5AA89065795C}"/>
    <cellStyle name="40% - Accent2 3 2 2 2 18" xfId="33197" xr:uid="{C49794C3-4B99-444C-88E7-497182936934}"/>
    <cellStyle name="40% - Accent2 3 2 2 2 19" xfId="35087" xr:uid="{1CCD1157-8F42-42D4-9E52-306769E4E9AE}"/>
    <cellStyle name="40% - Accent2 3 2 2 2 2" xfId="2957" xr:uid="{26EE50A5-8F72-49B3-A312-33A08D2143D7}"/>
    <cellStyle name="40% - Accent2 3 2 2 2 20" xfId="36977" xr:uid="{46209948-1376-40AD-9D6E-A0548F5B6FF2}"/>
    <cellStyle name="40% - Accent2 3 2 2 2 21" xfId="38867" xr:uid="{055E6240-5C51-4C94-B94E-BC0CA4CF0C88}"/>
    <cellStyle name="40% - Accent2 3 2 2 2 22" xfId="40758" xr:uid="{4D947E25-6F08-42A0-A301-65633EAFBBC1}"/>
    <cellStyle name="40% - Accent2 3 2 2 2 3" xfId="4847" xr:uid="{96659E9B-AD13-4DE6-8B76-8993FDC219ED}"/>
    <cellStyle name="40% - Accent2 3 2 2 2 4" xfId="6737" xr:uid="{5A3058AD-78D9-4BE2-B3AA-63B30E53E952}"/>
    <cellStyle name="40% - Accent2 3 2 2 2 5" xfId="8627" xr:uid="{BF91CA76-609E-4936-8ECC-A591432142AB}"/>
    <cellStyle name="40% - Accent2 3 2 2 2 6" xfId="10517" xr:uid="{768018B9-5EC7-4947-B5FE-5397E58F99D3}"/>
    <cellStyle name="40% - Accent2 3 2 2 2 7" xfId="12407" xr:uid="{69C5B10B-40B7-4E6E-9D8B-4BE5FF12048F}"/>
    <cellStyle name="40% - Accent2 3 2 2 2 8" xfId="14297" xr:uid="{677D7275-CF7B-4997-A1AA-080CA1A00976}"/>
    <cellStyle name="40% - Accent2 3 2 2 2 9" xfId="16187" xr:uid="{FD8B09CE-D650-4A86-A27A-6EAF240FCCA4}"/>
    <cellStyle name="40% - Accent2 3 2 2 20" xfId="32567" xr:uid="{CC77D932-37BB-4A70-A910-60B058CC1B34}"/>
    <cellStyle name="40% - Accent2 3 2 2 21" xfId="34457" xr:uid="{D4162F3B-4894-421F-B8AD-0AEE227FAA27}"/>
    <cellStyle name="40% - Accent2 3 2 2 22" xfId="36347" xr:uid="{EB1EFAA2-6E9C-4509-A761-F641C35B7733}"/>
    <cellStyle name="40% - Accent2 3 2 2 23" xfId="38237" xr:uid="{67150A70-9629-444D-A5D6-080A69850871}"/>
    <cellStyle name="40% - Accent2 3 2 2 24" xfId="40128" xr:uid="{9BB3EC17-4AAE-451F-9450-421212D1E72A}"/>
    <cellStyle name="40% - Accent2 3 2 2 3" xfId="1697" xr:uid="{6681BEE2-D3BF-4AD6-B869-F2C88DC4E811}"/>
    <cellStyle name="40% - Accent2 3 2 2 3 10" xfId="18707" xr:uid="{41F1E9E3-59EA-4140-B027-A1C363ACA89D}"/>
    <cellStyle name="40% - Accent2 3 2 2 3 11" xfId="20597" xr:uid="{E3DFCD62-DCA7-4DBD-87F5-892FD682D2A1}"/>
    <cellStyle name="40% - Accent2 3 2 2 3 12" xfId="22487" xr:uid="{282281CA-9037-4979-8E91-9455CC6A125F}"/>
    <cellStyle name="40% - Accent2 3 2 2 3 13" xfId="24377" xr:uid="{CFBBA5F4-2D4A-445F-A2B4-0F1DFB85668C}"/>
    <cellStyle name="40% - Accent2 3 2 2 3 14" xfId="26267" xr:uid="{377A9B15-5CC0-4673-B8A4-F76750995C41}"/>
    <cellStyle name="40% - Accent2 3 2 2 3 15" xfId="28157" xr:uid="{0396A8EB-CFC7-40BF-8A9A-20D652FAF295}"/>
    <cellStyle name="40% - Accent2 3 2 2 3 16" xfId="30047" xr:uid="{2D3A23D4-A50C-4790-A5C9-E623D09458C9}"/>
    <cellStyle name="40% - Accent2 3 2 2 3 17" xfId="31937" xr:uid="{8588EBDB-7924-4514-A732-46874531CF8D}"/>
    <cellStyle name="40% - Accent2 3 2 2 3 18" xfId="33827" xr:uid="{C9F05F3E-EEB2-4D18-82B6-9A4664067599}"/>
    <cellStyle name="40% - Accent2 3 2 2 3 19" xfId="35717" xr:uid="{B32BA262-9404-41B3-8225-D3F2A4660EF2}"/>
    <cellStyle name="40% - Accent2 3 2 2 3 2" xfId="3587" xr:uid="{D4E8C241-510C-43CC-856C-F14BC4F6DB68}"/>
    <cellStyle name="40% - Accent2 3 2 2 3 20" xfId="37607" xr:uid="{2EA34068-4C5E-449B-A318-17988C41B90F}"/>
    <cellStyle name="40% - Accent2 3 2 2 3 21" xfId="39497" xr:uid="{D8628718-A039-43BB-BB86-6C25DBADB075}"/>
    <cellStyle name="40% - Accent2 3 2 2 3 22" xfId="41388" xr:uid="{E1436940-DFCC-4761-9D2D-F77A0CF1B2ED}"/>
    <cellStyle name="40% - Accent2 3 2 2 3 3" xfId="5477" xr:uid="{55406B11-BB3E-4DD8-8467-6CE310B63E20}"/>
    <cellStyle name="40% - Accent2 3 2 2 3 4" xfId="7367" xr:uid="{E147A783-973C-4824-8294-119663B2ABBE}"/>
    <cellStyle name="40% - Accent2 3 2 2 3 5" xfId="9257" xr:uid="{3FA569FA-48A8-4D95-BDF1-95A2551D39EA}"/>
    <cellStyle name="40% - Accent2 3 2 2 3 6" xfId="11147" xr:uid="{0EF5BA3E-DA40-4092-A9E2-8792FC00324E}"/>
    <cellStyle name="40% - Accent2 3 2 2 3 7" xfId="13037" xr:uid="{135F3EE5-29E5-48A5-ACA7-1498034F260C}"/>
    <cellStyle name="40% - Accent2 3 2 2 3 8" xfId="14927" xr:uid="{3FCBB15B-C6DA-40F1-909C-416C69447489}"/>
    <cellStyle name="40% - Accent2 3 2 2 3 9" xfId="16817" xr:uid="{FA057BB9-7048-4B24-BE24-EE0DD2B8625B}"/>
    <cellStyle name="40% - Accent2 3 2 2 4" xfId="2327" xr:uid="{C3F0E69F-6A46-460A-B236-5ACE80859AF2}"/>
    <cellStyle name="40% - Accent2 3 2 2 5" xfId="4217" xr:uid="{1361F1D2-9757-45D5-94B2-0B01078F3961}"/>
    <cellStyle name="40% - Accent2 3 2 2 6" xfId="6107" xr:uid="{4AC56001-EEE2-4BC4-83A5-D4EDFBF2B432}"/>
    <cellStyle name="40% - Accent2 3 2 2 7" xfId="7997" xr:uid="{9F07C257-9796-4C61-806F-03F7945F784A}"/>
    <cellStyle name="40% - Accent2 3 2 2 8" xfId="9887" xr:uid="{D93F075B-54F5-4E18-8471-CCC04E048A91}"/>
    <cellStyle name="40% - Accent2 3 2 2 9" xfId="11777" xr:uid="{E7237A62-01F9-43A1-9C55-BCBF4E4275E0}"/>
    <cellStyle name="40% - Accent2 3 2 20" xfId="28577" xr:uid="{574A1935-B7D5-4AC6-9091-5CFA4D0027AA}"/>
    <cellStyle name="40% - Accent2 3 2 21" xfId="30467" xr:uid="{2991788F-8826-4E2F-945A-16844D64FB0A}"/>
    <cellStyle name="40% - Accent2 3 2 22" xfId="32357" xr:uid="{A6A9EB8B-8EF0-4F1A-A59C-DF791ABEE46B}"/>
    <cellStyle name="40% - Accent2 3 2 23" xfId="34247" xr:uid="{BFBE7D3D-93CC-4180-9274-1CA9B19F1F1E}"/>
    <cellStyle name="40% - Accent2 3 2 24" xfId="36137" xr:uid="{03E78D97-0599-4EB4-884C-C8A80DD29E96}"/>
    <cellStyle name="40% - Accent2 3 2 25" xfId="38027" xr:uid="{9A8521FD-F093-44C2-9833-37B95AA16BA6}"/>
    <cellStyle name="40% - Accent2 3 2 26" xfId="39918" xr:uid="{85E4738E-8C4B-444B-B385-6FCF098867A4}"/>
    <cellStyle name="40% - Accent2 3 2 3" xfId="647" xr:uid="{145FD72D-6ADF-45F4-84D8-921B6D75B09C}"/>
    <cellStyle name="40% - Accent2 3 2 3 10" xfId="13877" xr:uid="{BBEFC1A9-72E4-4958-B1D9-DBC61FDA0634}"/>
    <cellStyle name="40% - Accent2 3 2 3 11" xfId="15767" xr:uid="{1315E01C-69D5-4E8D-9207-EB9F225929FC}"/>
    <cellStyle name="40% - Accent2 3 2 3 12" xfId="17657" xr:uid="{DB743991-23DE-462C-80C2-B6B4C49F24A7}"/>
    <cellStyle name="40% - Accent2 3 2 3 13" xfId="19547" xr:uid="{A7586BE2-8232-433A-BD1B-99BE3706434E}"/>
    <cellStyle name="40% - Accent2 3 2 3 14" xfId="21437" xr:uid="{55F7AA53-384E-47EE-9CAF-69EC93C57936}"/>
    <cellStyle name="40% - Accent2 3 2 3 15" xfId="23327" xr:uid="{8B18A658-0A3B-4C20-BF00-F614E0330DB0}"/>
    <cellStyle name="40% - Accent2 3 2 3 16" xfId="25217" xr:uid="{C045FB2E-B588-47BF-96B2-648D443C851E}"/>
    <cellStyle name="40% - Accent2 3 2 3 17" xfId="27107" xr:uid="{FF7E2ECB-B778-4695-A968-5907791B8193}"/>
    <cellStyle name="40% - Accent2 3 2 3 18" xfId="28997" xr:uid="{E2290AFA-857B-4944-A382-93E5E0AE226F}"/>
    <cellStyle name="40% - Accent2 3 2 3 19" xfId="30887" xr:uid="{823DA915-3BCF-4C50-8D2F-FFA844D824E3}"/>
    <cellStyle name="40% - Accent2 3 2 3 2" xfId="1277" xr:uid="{E8525419-9DF8-403B-9FC4-64572AA6A660}"/>
    <cellStyle name="40% - Accent2 3 2 3 2 10" xfId="18287" xr:uid="{0050D601-9A76-493E-9014-EC784EE7A106}"/>
    <cellStyle name="40% - Accent2 3 2 3 2 11" xfId="20177" xr:uid="{9BCF2FA8-B38A-457E-A8E6-16D6A5AF9509}"/>
    <cellStyle name="40% - Accent2 3 2 3 2 12" xfId="22067" xr:uid="{A22D5097-428E-42EF-843A-65BB0F87C51A}"/>
    <cellStyle name="40% - Accent2 3 2 3 2 13" xfId="23957" xr:uid="{536B2D50-D44A-4485-B356-9EA54619E439}"/>
    <cellStyle name="40% - Accent2 3 2 3 2 14" xfId="25847" xr:uid="{411DFBC9-25CE-4556-B2BF-2BDEBAA6110B}"/>
    <cellStyle name="40% - Accent2 3 2 3 2 15" xfId="27737" xr:uid="{22EE4B5A-885D-40FE-A3F3-774648076D31}"/>
    <cellStyle name="40% - Accent2 3 2 3 2 16" xfId="29627" xr:uid="{80598CF9-2B37-415C-A44E-BAB8F15CBD24}"/>
    <cellStyle name="40% - Accent2 3 2 3 2 17" xfId="31517" xr:uid="{9E3878D8-884C-40DB-A88D-2C66915E22A2}"/>
    <cellStyle name="40% - Accent2 3 2 3 2 18" xfId="33407" xr:uid="{3676E4E0-8292-4A52-B20E-1B128A5E827C}"/>
    <cellStyle name="40% - Accent2 3 2 3 2 19" xfId="35297" xr:uid="{795C0DBE-47F8-4142-8047-7F53982EB153}"/>
    <cellStyle name="40% - Accent2 3 2 3 2 2" xfId="3167" xr:uid="{1EC1AD8F-91AD-47AE-AEF1-1B4965E513B5}"/>
    <cellStyle name="40% - Accent2 3 2 3 2 20" xfId="37187" xr:uid="{1CB55A1C-70F5-4472-A8A3-A17017372189}"/>
    <cellStyle name="40% - Accent2 3 2 3 2 21" xfId="39077" xr:uid="{D0ECCB48-EA71-43B4-9AD0-DAA9CAFB113B}"/>
    <cellStyle name="40% - Accent2 3 2 3 2 22" xfId="40968" xr:uid="{2A8DB466-08A2-46D5-9F3F-DECAD4381D90}"/>
    <cellStyle name="40% - Accent2 3 2 3 2 3" xfId="5057" xr:uid="{9FB6D007-F19A-4EA2-81DA-2F4094CB3F2E}"/>
    <cellStyle name="40% - Accent2 3 2 3 2 4" xfId="6947" xr:uid="{1F805984-3341-4252-92D8-E49C1FF95128}"/>
    <cellStyle name="40% - Accent2 3 2 3 2 5" xfId="8837" xr:uid="{4DF511E7-81C3-41AD-A069-35334318F25A}"/>
    <cellStyle name="40% - Accent2 3 2 3 2 6" xfId="10727" xr:uid="{157F3FE8-3508-4ECE-828C-F3C14B2E28A6}"/>
    <cellStyle name="40% - Accent2 3 2 3 2 7" xfId="12617" xr:uid="{4D17A0CF-757D-4545-A423-597931C90989}"/>
    <cellStyle name="40% - Accent2 3 2 3 2 8" xfId="14507" xr:uid="{287D2787-E7CD-4D37-8165-D4922A1389BB}"/>
    <cellStyle name="40% - Accent2 3 2 3 2 9" xfId="16397" xr:uid="{7F254488-B15A-478D-A873-4A89EC6C3A0C}"/>
    <cellStyle name="40% - Accent2 3 2 3 20" xfId="32777" xr:uid="{F5C69263-FB99-462B-A360-80B98E46F472}"/>
    <cellStyle name="40% - Accent2 3 2 3 21" xfId="34667" xr:uid="{4A87AC5C-1736-4884-8E25-E30989BBFE8D}"/>
    <cellStyle name="40% - Accent2 3 2 3 22" xfId="36557" xr:uid="{FA3BA042-EE30-471A-8E5E-C6218AA7F6C3}"/>
    <cellStyle name="40% - Accent2 3 2 3 23" xfId="38447" xr:uid="{05F212B2-8429-4D97-8827-FC9E54F78830}"/>
    <cellStyle name="40% - Accent2 3 2 3 24" xfId="40338" xr:uid="{4334483D-58BB-44E9-A0FE-99500E833048}"/>
    <cellStyle name="40% - Accent2 3 2 3 3" xfId="1907" xr:uid="{2136EA81-9CA0-4B51-B06C-B6F46A28A674}"/>
    <cellStyle name="40% - Accent2 3 2 3 3 10" xfId="18917" xr:uid="{02E9A058-6C34-4006-92BA-CC58C94296D0}"/>
    <cellStyle name="40% - Accent2 3 2 3 3 11" xfId="20807" xr:uid="{EC81C124-6476-4239-9BA3-DB1572566B6F}"/>
    <cellStyle name="40% - Accent2 3 2 3 3 12" xfId="22697" xr:uid="{778C7AD1-0321-4E66-BDA0-DB803AF7B7E7}"/>
    <cellStyle name="40% - Accent2 3 2 3 3 13" xfId="24587" xr:uid="{E8D759CF-C07E-40FA-9819-1C591EBD88A5}"/>
    <cellStyle name="40% - Accent2 3 2 3 3 14" xfId="26477" xr:uid="{2BD2EFFC-D0E3-41A3-B6FC-7E201D1918CC}"/>
    <cellStyle name="40% - Accent2 3 2 3 3 15" xfId="28367" xr:uid="{A757D98C-9A65-4B95-A44D-3AC898568CBD}"/>
    <cellStyle name="40% - Accent2 3 2 3 3 16" xfId="30257" xr:uid="{821FEC12-596D-4615-82CB-929119C194D6}"/>
    <cellStyle name="40% - Accent2 3 2 3 3 17" xfId="32147" xr:uid="{CD62C3F3-1012-440B-882B-BDBF201805B3}"/>
    <cellStyle name="40% - Accent2 3 2 3 3 18" xfId="34037" xr:uid="{22D8220F-1454-445F-B8EB-5C4965D61653}"/>
    <cellStyle name="40% - Accent2 3 2 3 3 19" xfId="35927" xr:uid="{6B384DB8-9C2F-4FD8-BD26-49914A454BDC}"/>
    <cellStyle name="40% - Accent2 3 2 3 3 2" xfId="3797" xr:uid="{651B766C-6A9B-43DA-B010-65FE6FDCD055}"/>
    <cellStyle name="40% - Accent2 3 2 3 3 20" xfId="37817" xr:uid="{21245971-3367-4AB4-8AF8-387D1EF1CD1E}"/>
    <cellStyle name="40% - Accent2 3 2 3 3 21" xfId="39707" xr:uid="{1E8B43AE-280F-48B8-830F-D10CD3AA4EF7}"/>
    <cellStyle name="40% - Accent2 3 2 3 3 22" xfId="41598" xr:uid="{1F3A3636-A955-4C62-8256-7653323CDBDD}"/>
    <cellStyle name="40% - Accent2 3 2 3 3 3" xfId="5687" xr:uid="{20C540BC-03CA-449A-938F-F234395BBE87}"/>
    <cellStyle name="40% - Accent2 3 2 3 3 4" xfId="7577" xr:uid="{0FB32E1D-DD53-4E12-B202-13AE2E3FB1A7}"/>
    <cellStyle name="40% - Accent2 3 2 3 3 5" xfId="9467" xr:uid="{20D72999-838A-4063-944B-47AD9C0C9D4F}"/>
    <cellStyle name="40% - Accent2 3 2 3 3 6" xfId="11357" xr:uid="{0A7DBB7F-43CF-4F8A-9C00-3CED3B123E17}"/>
    <cellStyle name="40% - Accent2 3 2 3 3 7" xfId="13247" xr:uid="{1451E3E9-099A-4B8F-B77E-B0EF93410CB0}"/>
    <cellStyle name="40% - Accent2 3 2 3 3 8" xfId="15137" xr:uid="{3BE38F18-5B86-48D1-BCFB-D6E09FD170F6}"/>
    <cellStyle name="40% - Accent2 3 2 3 3 9" xfId="17027" xr:uid="{FFC18DE6-66FA-410F-8E9C-DF1B5E7EE8B5}"/>
    <cellStyle name="40% - Accent2 3 2 3 4" xfId="2537" xr:uid="{610DA3C2-FF18-45FF-86C3-E4551C2319A5}"/>
    <cellStyle name="40% - Accent2 3 2 3 5" xfId="4427" xr:uid="{D698D4FE-5DC9-4851-BDAB-A754964FDAF0}"/>
    <cellStyle name="40% - Accent2 3 2 3 6" xfId="6317" xr:uid="{16EC4DA8-C34E-4A35-9B0A-0C9753A91776}"/>
    <cellStyle name="40% - Accent2 3 2 3 7" xfId="8207" xr:uid="{3B90398D-B257-4742-9C7E-28CEF11F25DE}"/>
    <cellStyle name="40% - Accent2 3 2 3 8" xfId="10097" xr:uid="{7459E0A3-9C43-4CF2-8257-49F8BC72EB65}"/>
    <cellStyle name="40% - Accent2 3 2 3 9" xfId="11987" xr:uid="{61460616-56F9-4DD5-8830-7AE089AB5AF9}"/>
    <cellStyle name="40% - Accent2 3 2 4" xfId="857" xr:uid="{FF39ECA0-E975-402F-ABF7-9C0032AD8EED}"/>
    <cellStyle name="40% - Accent2 3 2 4 10" xfId="17867" xr:uid="{6AFADDA5-88BF-4764-9F36-EFEB7D1756ED}"/>
    <cellStyle name="40% - Accent2 3 2 4 11" xfId="19757" xr:uid="{80A8FF65-9264-4906-8B89-639AA5C7E646}"/>
    <cellStyle name="40% - Accent2 3 2 4 12" xfId="21647" xr:uid="{BD960177-4A1B-4C3A-A976-34A7861F6A34}"/>
    <cellStyle name="40% - Accent2 3 2 4 13" xfId="23537" xr:uid="{51258F06-5634-4409-8821-1C66A835B52E}"/>
    <cellStyle name="40% - Accent2 3 2 4 14" xfId="25427" xr:uid="{27A52974-BC64-442F-B590-8E8C311198DB}"/>
    <cellStyle name="40% - Accent2 3 2 4 15" xfId="27317" xr:uid="{EF9CF4E1-B7EE-4231-A655-E12AABF8B09D}"/>
    <cellStyle name="40% - Accent2 3 2 4 16" xfId="29207" xr:uid="{F043B00D-A7D2-4D74-8E8C-3306C605C082}"/>
    <cellStyle name="40% - Accent2 3 2 4 17" xfId="31097" xr:uid="{DAB61656-C5D3-4015-8443-CA04954B272A}"/>
    <cellStyle name="40% - Accent2 3 2 4 18" xfId="32987" xr:uid="{76A63A3A-5E6C-47BE-802A-C2D28F92400B}"/>
    <cellStyle name="40% - Accent2 3 2 4 19" xfId="34877" xr:uid="{13CF4612-7D77-4342-A095-519E141955ED}"/>
    <cellStyle name="40% - Accent2 3 2 4 2" xfId="2747" xr:uid="{186D7842-9BA8-450F-9A8E-04289D0DDE5B}"/>
    <cellStyle name="40% - Accent2 3 2 4 20" xfId="36767" xr:uid="{DF1ACA7D-4E82-48DC-868F-851816503830}"/>
    <cellStyle name="40% - Accent2 3 2 4 21" xfId="38657" xr:uid="{54E9D5C1-E4D0-4882-966C-EC334F67DFFE}"/>
    <cellStyle name="40% - Accent2 3 2 4 22" xfId="40548" xr:uid="{A59C0BA0-D505-4C12-901C-8192C92CF753}"/>
    <cellStyle name="40% - Accent2 3 2 4 3" xfId="4637" xr:uid="{E96B7C76-7DD5-48F5-9BD3-BA5AD7DFB148}"/>
    <cellStyle name="40% - Accent2 3 2 4 4" xfId="6527" xr:uid="{B18C587F-AE42-4AA6-A121-08D7EA840868}"/>
    <cellStyle name="40% - Accent2 3 2 4 5" xfId="8417" xr:uid="{E7F5283B-4FB1-4749-92C4-74DD0243C619}"/>
    <cellStyle name="40% - Accent2 3 2 4 6" xfId="10307" xr:uid="{F3D171D7-F0BE-44B8-99B2-607D7DAE856E}"/>
    <cellStyle name="40% - Accent2 3 2 4 7" xfId="12197" xr:uid="{82B865A8-06DF-40D2-B8BE-32AB0E063E69}"/>
    <cellStyle name="40% - Accent2 3 2 4 8" xfId="14087" xr:uid="{DD0C8167-6731-44F6-8D54-C5E2288243B3}"/>
    <cellStyle name="40% - Accent2 3 2 4 9" xfId="15977" xr:uid="{B67201D3-D5AA-47C6-A851-779288B4DFEE}"/>
    <cellStyle name="40% - Accent2 3 2 5" xfId="1487" xr:uid="{DF5F9CB9-ACCA-49D1-9678-22DAB0A22040}"/>
    <cellStyle name="40% - Accent2 3 2 5 10" xfId="18497" xr:uid="{0F1ECC64-A125-4C28-82A6-26C2A0197504}"/>
    <cellStyle name="40% - Accent2 3 2 5 11" xfId="20387" xr:uid="{FDE1D3F6-49A8-4B8A-845E-55D8FD9AF751}"/>
    <cellStyle name="40% - Accent2 3 2 5 12" xfId="22277" xr:uid="{EE11CD16-7787-4F1C-B838-5B8AA168AA8E}"/>
    <cellStyle name="40% - Accent2 3 2 5 13" xfId="24167" xr:uid="{8E40813E-063A-47AE-98FB-34FB05A7F970}"/>
    <cellStyle name="40% - Accent2 3 2 5 14" xfId="26057" xr:uid="{24C2CBAE-7A35-4AB0-BFB8-A110EC1113EF}"/>
    <cellStyle name="40% - Accent2 3 2 5 15" xfId="27947" xr:uid="{F3715AAE-CBCD-4CBA-8CD9-E6808BCAB2D3}"/>
    <cellStyle name="40% - Accent2 3 2 5 16" xfId="29837" xr:uid="{90EE0AC1-E80A-47C2-93E9-3AA30738F998}"/>
    <cellStyle name="40% - Accent2 3 2 5 17" xfId="31727" xr:uid="{C5F88221-5B2D-4358-B982-B81B628FC1AF}"/>
    <cellStyle name="40% - Accent2 3 2 5 18" xfId="33617" xr:uid="{64C89E6C-6DCB-412A-B4B4-F185D75D6D7F}"/>
    <cellStyle name="40% - Accent2 3 2 5 19" xfId="35507" xr:uid="{C373F401-6327-4C2D-922C-FA3BC1C722E9}"/>
    <cellStyle name="40% - Accent2 3 2 5 2" xfId="3377" xr:uid="{060663F8-5E03-42A9-98FB-1494BB0D7FF2}"/>
    <cellStyle name="40% - Accent2 3 2 5 20" xfId="37397" xr:uid="{A36719EF-433F-4C9B-89EB-2E32A04E84DC}"/>
    <cellStyle name="40% - Accent2 3 2 5 21" xfId="39287" xr:uid="{71E51E9D-D663-4FF7-955B-09D4BAC99959}"/>
    <cellStyle name="40% - Accent2 3 2 5 22" xfId="41178" xr:uid="{40BBC0AB-B2C6-4E0F-A7BB-38B76AE6CF00}"/>
    <cellStyle name="40% - Accent2 3 2 5 3" xfId="5267" xr:uid="{23FF0B6F-F519-4D5D-A661-A51319739CB3}"/>
    <cellStyle name="40% - Accent2 3 2 5 4" xfId="7157" xr:uid="{50D9B65F-0E44-4609-96E3-E8536D081CE2}"/>
    <cellStyle name="40% - Accent2 3 2 5 5" xfId="9047" xr:uid="{DE4B2239-3FB2-4559-B582-536B53F09B93}"/>
    <cellStyle name="40% - Accent2 3 2 5 6" xfId="10937" xr:uid="{0DEFCF1F-D687-46AB-8A90-92B763E4DE96}"/>
    <cellStyle name="40% - Accent2 3 2 5 7" xfId="12827" xr:uid="{0E2CBF80-073C-4E02-A13F-D6FCA3079B1B}"/>
    <cellStyle name="40% - Accent2 3 2 5 8" xfId="14717" xr:uid="{6055C7D4-F677-42F4-B80C-57DB83696450}"/>
    <cellStyle name="40% - Accent2 3 2 5 9" xfId="16607" xr:uid="{4BCC6CC4-DBE0-40DD-8C73-741A5BBF02B2}"/>
    <cellStyle name="40% - Accent2 3 2 6" xfId="2117" xr:uid="{8422BCC5-B4E1-406E-A185-9E5762ED9AEF}"/>
    <cellStyle name="40% - Accent2 3 2 7" xfId="4007" xr:uid="{4B91032C-D00D-4781-88CA-F8FD16A8FA31}"/>
    <cellStyle name="40% - Accent2 3 2 8" xfId="5897" xr:uid="{3EC92003-E9B3-4504-8A65-8ABC8A84D544}"/>
    <cellStyle name="40% - Accent2 3 2 9" xfId="7787" xr:uid="{2AE9C9DC-8BEE-4CAF-AA8F-47BEA8E8684B}"/>
    <cellStyle name="40% - Accent2 3 20" xfId="26582" xr:uid="{63A579A7-5CF4-402A-AD27-6F7CF4D90485}"/>
    <cellStyle name="40% - Accent2 3 21" xfId="28472" xr:uid="{9C381E19-4B0D-40F9-BB6C-DDC19E77D690}"/>
    <cellStyle name="40% - Accent2 3 22" xfId="30362" xr:uid="{556886A5-2FCC-4973-A58B-36B886DDA029}"/>
    <cellStyle name="40% - Accent2 3 23" xfId="32252" xr:uid="{160A1A6A-EAE7-4443-811D-6610E149FBAF}"/>
    <cellStyle name="40% - Accent2 3 24" xfId="34142" xr:uid="{36FE0462-E341-4357-A5F1-F7941A8D60B8}"/>
    <cellStyle name="40% - Accent2 3 25" xfId="36032" xr:uid="{5565AD17-3FB1-48D0-88BA-C3DBCC5EC06F}"/>
    <cellStyle name="40% - Accent2 3 26" xfId="37922" xr:uid="{6FB38189-85AF-442B-868D-63A398FF9F14}"/>
    <cellStyle name="40% - Accent2 3 27" xfId="39813" xr:uid="{E42DE5AC-E8E2-4399-853A-E69756C7FC6B}"/>
    <cellStyle name="40% - Accent2 3 3" xfId="332" xr:uid="{DE7C12DB-BEF6-494E-B7BA-387EFB4D259D}"/>
    <cellStyle name="40% - Accent2 3 3 10" xfId="13562" xr:uid="{1D20B136-01A0-4540-8FA2-B2C993A21EF8}"/>
    <cellStyle name="40% - Accent2 3 3 11" xfId="15452" xr:uid="{4BCD7F6B-F43E-4F1A-8209-15B1EAF2D6CA}"/>
    <cellStyle name="40% - Accent2 3 3 12" xfId="17342" xr:uid="{608A3031-E4A0-4023-820A-562977BA399D}"/>
    <cellStyle name="40% - Accent2 3 3 13" xfId="19232" xr:uid="{C5C283A2-71B6-42CB-87C7-93D5ED7272A3}"/>
    <cellStyle name="40% - Accent2 3 3 14" xfId="21122" xr:uid="{06792196-9E4A-4200-8810-5C295BADD670}"/>
    <cellStyle name="40% - Accent2 3 3 15" xfId="23012" xr:uid="{B90B484C-F25E-461C-BD90-58041C23E2A7}"/>
    <cellStyle name="40% - Accent2 3 3 16" xfId="24902" xr:uid="{058EC642-F83A-44A7-91D3-B92B0FB3F8A2}"/>
    <cellStyle name="40% - Accent2 3 3 17" xfId="26792" xr:uid="{79DC973A-9BD0-40BF-B5A2-F8BE71BFFCFA}"/>
    <cellStyle name="40% - Accent2 3 3 18" xfId="28682" xr:uid="{BA1315F6-03AC-4A2C-AF46-D549DADB3EF6}"/>
    <cellStyle name="40% - Accent2 3 3 19" xfId="30572" xr:uid="{8F875C37-4581-46D5-A3F5-CA99245B740B}"/>
    <cellStyle name="40% - Accent2 3 3 2" xfId="962" xr:uid="{1359F245-3EB0-4BA7-88A7-B147845AF874}"/>
    <cellStyle name="40% - Accent2 3 3 2 10" xfId="17972" xr:uid="{E16155E1-D987-40BE-B168-137E677A9F98}"/>
    <cellStyle name="40% - Accent2 3 3 2 11" xfId="19862" xr:uid="{A0DA713F-7CC8-4B4E-B339-4C6FED112ABB}"/>
    <cellStyle name="40% - Accent2 3 3 2 12" xfId="21752" xr:uid="{C7B7B3B0-4BBD-4F96-A20B-201DBF564855}"/>
    <cellStyle name="40% - Accent2 3 3 2 13" xfId="23642" xr:uid="{D7A46A01-68B9-4621-B692-37C78AE25EAC}"/>
    <cellStyle name="40% - Accent2 3 3 2 14" xfId="25532" xr:uid="{8269C871-9B0B-4A6B-A3E4-80FB63B54023}"/>
    <cellStyle name="40% - Accent2 3 3 2 15" xfId="27422" xr:uid="{ACBCB704-17D7-4858-BEC3-F7EA6E108DEA}"/>
    <cellStyle name="40% - Accent2 3 3 2 16" xfId="29312" xr:uid="{C2B81DF1-0FC4-437A-A851-26DEE6381422}"/>
    <cellStyle name="40% - Accent2 3 3 2 17" xfId="31202" xr:uid="{8EAEC7F1-D2DD-4350-A3FA-41FBFE9F7B74}"/>
    <cellStyle name="40% - Accent2 3 3 2 18" xfId="33092" xr:uid="{76B10F62-A668-49E2-8F0C-2E0061C034ED}"/>
    <cellStyle name="40% - Accent2 3 3 2 19" xfId="34982" xr:uid="{9E0F5E8E-AA85-418F-8C50-F87E81A71498}"/>
    <cellStyle name="40% - Accent2 3 3 2 2" xfId="2852" xr:uid="{374D4A92-DE95-41CC-91C6-FBBD10CFED25}"/>
    <cellStyle name="40% - Accent2 3 3 2 20" xfId="36872" xr:uid="{60D64398-0CE3-43E3-9EF2-889C7971FFD4}"/>
    <cellStyle name="40% - Accent2 3 3 2 21" xfId="38762" xr:uid="{4D861282-630A-4636-84A0-14DBE6EC4AF4}"/>
    <cellStyle name="40% - Accent2 3 3 2 22" xfId="40653" xr:uid="{A826113C-19F6-48AE-A63A-933A111DCD86}"/>
    <cellStyle name="40% - Accent2 3 3 2 3" xfId="4742" xr:uid="{76CE406E-6631-4198-ADF7-7844D24448F2}"/>
    <cellStyle name="40% - Accent2 3 3 2 4" xfId="6632" xr:uid="{7117D0E7-00A2-4893-9F1E-42811FCA6465}"/>
    <cellStyle name="40% - Accent2 3 3 2 5" xfId="8522" xr:uid="{2BFA0E28-6EE0-47B1-83AB-45C65B567462}"/>
    <cellStyle name="40% - Accent2 3 3 2 6" xfId="10412" xr:uid="{89FA59FA-470B-49C0-91BB-C6D5A1F53E3A}"/>
    <cellStyle name="40% - Accent2 3 3 2 7" xfId="12302" xr:uid="{BF225270-9EE6-4221-AB89-CDF3558D1C93}"/>
    <cellStyle name="40% - Accent2 3 3 2 8" xfId="14192" xr:uid="{72026636-3ABA-434C-AD88-EE41C9E9CBF4}"/>
    <cellStyle name="40% - Accent2 3 3 2 9" xfId="16082" xr:uid="{017BD3ED-2B31-4EA3-BCC7-9FF0EF6F2AA9}"/>
    <cellStyle name="40% - Accent2 3 3 20" xfId="32462" xr:uid="{F0367EAD-E3E8-472C-AFC1-020EAD19E656}"/>
    <cellStyle name="40% - Accent2 3 3 21" xfId="34352" xr:uid="{414E782C-54D3-4661-BA9D-61DE9F2C356C}"/>
    <cellStyle name="40% - Accent2 3 3 22" xfId="36242" xr:uid="{0E72D0C2-024E-4E40-96C4-7EC10F2FC951}"/>
    <cellStyle name="40% - Accent2 3 3 23" xfId="38132" xr:uid="{54ADB643-AF82-4159-9883-9271A8B12AD5}"/>
    <cellStyle name="40% - Accent2 3 3 24" xfId="40023" xr:uid="{687150E2-118A-44C9-A52F-E911E14AEAA2}"/>
    <cellStyle name="40% - Accent2 3 3 3" xfId="1592" xr:uid="{538ABE6E-9EAD-4BC4-8CC0-71A4306F7A94}"/>
    <cellStyle name="40% - Accent2 3 3 3 10" xfId="18602" xr:uid="{98D2A04D-3556-4266-B93C-F1D19E986997}"/>
    <cellStyle name="40% - Accent2 3 3 3 11" xfId="20492" xr:uid="{B960FAFE-B500-44F0-8F51-C14CFBDECB31}"/>
    <cellStyle name="40% - Accent2 3 3 3 12" xfId="22382" xr:uid="{FC0FC6E5-6F77-48A6-951B-1A2B1302306D}"/>
    <cellStyle name="40% - Accent2 3 3 3 13" xfId="24272" xr:uid="{5F0DA10D-6A6C-42A9-A457-AEC0CB94FE04}"/>
    <cellStyle name="40% - Accent2 3 3 3 14" xfId="26162" xr:uid="{8493765A-557A-4521-B4C8-A26A8EE48925}"/>
    <cellStyle name="40% - Accent2 3 3 3 15" xfId="28052" xr:uid="{89751D05-A6B4-4E84-BA89-17E49629B8A4}"/>
    <cellStyle name="40% - Accent2 3 3 3 16" xfId="29942" xr:uid="{9D0A6C5A-64F9-4F91-8068-E0FC09317D93}"/>
    <cellStyle name="40% - Accent2 3 3 3 17" xfId="31832" xr:uid="{E7386ED8-2462-478E-8916-38121C49A6B6}"/>
    <cellStyle name="40% - Accent2 3 3 3 18" xfId="33722" xr:uid="{595B521A-705B-4CFE-815B-5930273BA58E}"/>
    <cellStyle name="40% - Accent2 3 3 3 19" xfId="35612" xr:uid="{579F82EE-29AC-480D-9C8C-4597AE732CC4}"/>
    <cellStyle name="40% - Accent2 3 3 3 2" xfId="3482" xr:uid="{EB2304A7-7711-494E-8971-AD662C8E51AC}"/>
    <cellStyle name="40% - Accent2 3 3 3 20" xfId="37502" xr:uid="{1B1046A2-5A5C-4D45-8370-13D021ADE95A}"/>
    <cellStyle name="40% - Accent2 3 3 3 21" xfId="39392" xr:uid="{2A9FDD53-C67E-4D6D-85EC-7DF7FF307BFC}"/>
    <cellStyle name="40% - Accent2 3 3 3 22" xfId="41283" xr:uid="{B6300EA0-D30C-4F5A-8EF7-607BF13E67AD}"/>
    <cellStyle name="40% - Accent2 3 3 3 3" xfId="5372" xr:uid="{4EDCC033-DB90-4B0B-8ED5-EDC58CC69DA9}"/>
    <cellStyle name="40% - Accent2 3 3 3 4" xfId="7262" xr:uid="{2145E40B-661C-457C-8E3B-7766557A7842}"/>
    <cellStyle name="40% - Accent2 3 3 3 5" xfId="9152" xr:uid="{DE3A155D-396D-4A80-B7BB-43807AC593A9}"/>
    <cellStyle name="40% - Accent2 3 3 3 6" xfId="11042" xr:uid="{6E7A9E47-6EE3-4851-9707-6CF45E79491A}"/>
    <cellStyle name="40% - Accent2 3 3 3 7" xfId="12932" xr:uid="{4114E24A-70CF-4679-8E55-9B138985EE91}"/>
    <cellStyle name="40% - Accent2 3 3 3 8" xfId="14822" xr:uid="{187D72AA-F4E5-453B-ABBB-CA8B7055914A}"/>
    <cellStyle name="40% - Accent2 3 3 3 9" xfId="16712" xr:uid="{D0CD726F-30FB-4DBD-B22F-6E91EC15533A}"/>
    <cellStyle name="40% - Accent2 3 3 4" xfId="2222" xr:uid="{A18BF1BE-DBED-46D4-A56B-CD918F6286E9}"/>
    <cellStyle name="40% - Accent2 3 3 5" xfId="4112" xr:uid="{4C377887-8FB4-4652-8F02-25DA642FB9BC}"/>
    <cellStyle name="40% - Accent2 3 3 6" xfId="6002" xr:uid="{C949A7CF-4B50-457D-8857-2B43F6AB0B2A}"/>
    <cellStyle name="40% - Accent2 3 3 7" xfId="7892" xr:uid="{4CBF85CC-A511-4744-80C9-031E7D8A304D}"/>
    <cellStyle name="40% - Accent2 3 3 8" xfId="9782" xr:uid="{2751F260-5116-4D41-AAB8-677F0F432704}"/>
    <cellStyle name="40% - Accent2 3 3 9" xfId="11672" xr:uid="{BB59E796-CFAF-42B7-BEE6-6AB5EC4D178C}"/>
    <cellStyle name="40% - Accent2 3 4" xfId="542" xr:uid="{735867E9-E8C3-4452-9FA5-D3B1EA83F09F}"/>
    <cellStyle name="40% - Accent2 3 4 10" xfId="13772" xr:uid="{7DF36953-D85F-4EE3-A411-4CFEFC435B93}"/>
    <cellStyle name="40% - Accent2 3 4 11" xfId="15662" xr:uid="{FD6A916E-C192-491E-8A0B-E45F2911422D}"/>
    <cellStyle name="40% - Accent2 3 4 12" xfId="17552" xr:uid="{40FF1243-DF6F-4A80-A4A2-A79F9C6F8BB7}"/>
    <cellStyle name="40% - Accent2 3 4 13" xfId="19442" xr:uid="{686292B7-3A5D-443C-9636-B901932A0820}"/>
    <cellStyle name="40% - Accent2 3 4 14" xfId="21332" xr:uid="{AA6F0BCE-6D76-4759-87F9-57E2D7F40924}"/>
    <cellStyle name="40% - Accent2 3 4 15" xfId="23222" xr:uid="{26D7CDB3-6936-4A40-A4E4-E5F6CE27987E}"/>
    <cellStyle name="40% - Accent2 3 4 16" xfId="25112" xr:uid="{C2EA0422-0331-4487-A521-698ED3D54AF6}"/>
    <cellStyle name="40% - Accent2 3 4 17" xfId="27002" xr:uid="{359AFD26-687C-4467-BBA3-D42AAD41D909}"/>
    <cellStyle name="40% - Accent2 3 4 18" xfId="28892" xr:uid="{96676321-C97F-45B5-B3B8-2FDDB5962CD9}"/>
    <cellStyle name="40% - Accent2 3 4 19" xfId="30782" xr:uid="{5744ADDE-6ED8-4290-9542-C27F3B01A3A6}"/>
    <cellStyle name="40% - Accent2 3 4 2" xfId="1172" xr:uid="{A3DC4DC2-9CA0-4A4A-8757-3A31B13C014E}"/>
    <cellStyle name="40% - Accent2 3 4 2 10" xfId="18182" xr:uid="{310639DA-1E6C-487E-B25A-00CDB4821586}"/>
    <cellStyle name="40% - Accent2 3 4 2 11" xfId="20072" xr:uid="{433C264F-7EC3-4487-8DC6-9452E4F645B1}"/>
    <cellStyle name="40% - Accent2 3 4 2 12" xfId="21962" xr:uid="{0C56ADC8-6AAC-47C6-A788-B7B00AF63EED}"/>
    <cellStyle name="40% - Accent2 3 4 2 13" xfId="23852" xr:uid="{3CAA4ACE-99D7-47EB-9861-7242692A103E}"/>
    <cellStyle name="40% - Accent2 3 4 2 14" xfId="25742" xr:uid="{EC746040-04A8-4876-9543-0DABC6D477ED}"/>
    <cellStyle name="40% - Accent2 3 4 2 15" xfId="27632" xr:uid="{78A952BF-8446-46DF-BC3B-971E202A8593}"/>
    <cellStyle name="40% - Accent2 3 4 2 16" xfId="29522" xr:uid="{E01DBAEC-4EB4-4812-AE71-E3B86BE9BE19}"/>
    <cellStyle name="40% - Accent2 3 4 2 17" xfId="31412" xr:uid="{7C589144-394F-4DD9-873F-7173A8828C76}"/>
    <cellStyle name="40% - Accent2 3 4 2 18" xfId="33302" xr:uid="{88DB291E-F76D-402F-96E0-7957F0883CA6}"/>
    <cellStyle name="40% - Accent2 3 4 2 19" xfId="35192" xr:uid="{A80EF7DD-A090-44A4-B010-2B7EA9CA18B8}"/>
    <cellStyle name="40% - Accent2 3 4 2 2" xfId="3062" xr:uid="{4A77FD78-23FA-453D-8A98-4C76E6892EA7}"/>
    <cellStyle name="40% - Accent2 3 4 2 20" xfId="37082" xr:uid="{F78779CF-7369-44EA-BEE0-87B9E3EA83C1}"/>
    <cellStyle name="40% - Accent2 3 4 2 21" xfId="38972" xr:uid="{47C451BE-D807-4F09-A3C7-1F19DBFB6337}"/>
    <cellStyle name="40% - Accent2 3 4 2 22" xfId="40863" xr:uid="{04D854C0-64A6-4F4A-B1B7-B72CBB4DFBF0}"/>
    <cellStyle name="40% - Accent2 3 4 2 3" xfId="4952" xr:uid="{F45B3F69-4F88-481B-8B96-EA2FBA7FE140}"/>
    <cellStyle name="40% - Accent2 3 4 2 4" xfId="6842" xr:uid="{C9CAEF3E-B71B-4163-A019-F7BFB3BE368B}"/>
    <cellStyle name="40% - Accent2 3 4 2 5" xfId="8732" xr:uid="{46D41007-5E34-410C-9213-9322DF978CA5}"/>
    <cellStyle name="40% - Accent2 3 4 2 6" xfId="10622" xr:uid="{2F79CDC1-8062-4E9D-A136-175CBF5CE57C}"/>
    <cellStyle name="40% - Accent2 3 4 2 7" xfId="12512" xr:uid="{4FC1FBCA-472B-4DB9-9292-314F4423A356}"/>
    <cellStyle name="40% - Accent2 3 4 2 8" xfId="14402" xr:uid="{68F4B4C4-B689-48FA-AE4A-FA9CF535D894}"/>
    <cellStyle name="40% - Accent2 3 4 2 9" xfId="16292" xr:uid="{1F4BE3A3-6FEB-4C80-8286-AB80215C8C59}"/>
    <cellStyle name="40% - Accent2 3 4 20" xfId="32672" xr:uid="{6C26731C-5A07-4ECD-B332-C73F02D9AC9C}"/>
    <cellStyle name="40% - Accent2 3 4 21" xfId="34562" xr:uid="{980BE21A-F4D1-475F-A20B-77528BAB40F3}"/>
    <cellStyle name="40% - Accent2 3 4 22" xfId="36452" xr:uid="{31D5C678-4E28-4010-A478-C08BF2E3EE97}"/>
    <cellStyle name="40% - Accent2 3 4 23" xfId="38342" xr:uid="{BC819816-4995-437B-8B53-F74B666901E4}"/>
    <cellStyle name="40% - Accent2 3 4 24" xfId="40233" xr:uid="{60696A1F-1B89-41BD-8EC3-C1551052E198}"/>
    <cellStyle name="40% - Accent2 3 4 3" xfId="1802" xr:uid="{A6391359-E797-4963-B08F-1E5E6F71F0FA}"/>
    <cellStyle name="40% - Accent2 3 4 3 10" xfId="18812" xr:uid="{2D6DDE89-F35C-44FD-9D9A-8990D0A9FF4C}"/>
    <cellStyle name="40% - Accent2 3 4 3 11" xfId="20702" xr:uid="{7214B060-12E9-41B0-B888-20F791CF0E31}"/>
    <cellStyle name="40% - Accent2 3 4 3 12" xfId="22592" xr:uid="{E2E6A402-A632-41FD-8209-2FD20275B3C9}"/>
    <cellStyle name="40% - Accent2 3 4 3 13" xfId="24482" xr:uid="{B0E1DA9F-4E17-47EA-8874-FD6558691566}"/>
    <cellStyle name="40% - Accent2 3 4 3 14" xfId="26372" xr:uid="{EE0177A3-F65A-42DF-ACB3-A5A6273EF980}"/>
    <cellStyle name="40% - Accent2 3 4 3 15" xfId="28262" xr:uid="{F81DB5AF-3D03-499D-9B7B-2F67599B3311}"/>
    <cellStyle name="40% - Accent2 3 4 3 16" xfId="30152" xr:uid="{EAE4B644-5B7B-435A-96E0-CF7260C2151F}"/>
    <cellStyle name="40% - Accent2 3 4 3 17" xfId="32042" xr:uid="{0B821C2D-A183-43C8-A3E1-509BEF49CE48}"/>
    <cellStyle name="40% - Accent2 3 4 3 18" xfId="33932" xr:uid="{584EA308-2046-47A2-AE17-7280F16AC41D}"/>
    <cellStyle name="40% - Accent2 3 4 3 19" xfId="35822" xr:uid="{A3974379-99A9-49D3-BBE6-AEE1B3FECDB1}"/>
    <cellStyle name="40% - Accent2 3 4 3 2" xfId="3692" xr:uid="{6E3BA89C-C29B-4CCB-95A6-1E8948183258}"/>
    <cellStyle name="40% - Accent2 3 4 3 20" xfId="37712" xr:uid="{E20C64FB-AD03-4F5A-843C-84839532E879}"/>
    <cellStyle name="40% - Accent2 3 4 3 21" xfId="39602" xr:uid="{D6CE9FA3-4BD7-4169-BEA3-1105FC45649C}"/>
    <cellStyle name="40% - Accent2 3 4 3 22" xfId="41493" xr:uid="{CEE689E6-B7DC-4245-8658-15E63BFB2619}"/>
    <cellStyle name="40% - Accent2 3 4 3 3" xfId="5582" xr:uid="{F4B2C25D-A9D4-4F8E-BC69-8B4FC573E56A}"/>
    <cellStyle name="40% - Accent2 3 4 3 4" xfId="7472" xr:uid="{79D17104-35C5-46AE-8707-64FCCF2C841E}"/>
    <cellStyle name="40% - Accent2 3 4 3 5" xfId="9362" xr:uid="{B25CAACB-EFD0-48A8-8C32-4BD89E5D6882}"/>
    <cellStyle name="40% - Accent2 3 4 3 6" xfId="11252" xr:uid="{F72CCA2B-F0A6-4018-AB03-8CD0EBF1F694}"/>
    <cellStyle name="40% - Accent2 3 4 3 7" xfId="13142" xr:uid="{7B08E16C-8FE8-42C0-95B1-E2B311818BDF}"/>
    <cellStyle name="40% - Accent2 3 4 3 8" xfId="15032" xr:uid="{BDD75410-550A-4DA0-B005-D571F960E011}"/>
    <cellStyle name="40% - Accent2 3 4 3 9" xfId="16922" xr:uid="{36959BF1-5B3C-4CA0-95BD-1D5633374175}"/>
    <cellStyle name="40% - Accent2 3 4 4" xfId="2432" xr:uid="{54D0948D-2D83-47F6-9E1E-A6D86426D248}"/>
    <cellStyle name="40% - Accent2 3 4 5" xfId="4322" xr:uid="{87380925-7744-4887-A145-2ABAC800ECF9}"/>
    <cellStyle name="40% - Accent2 3 4 6" xfId="6212" xr:uid="{F710C05F-6481-4870-B5CF-1C2AD57BB05C}"/>
    <cellStyle name="40% - Accent2 3 4 7" xfId="8102" xr:uid="{6CD0EEA5-19D3-4C28-9F02-BE0D31EB5170}"/>
    <cellStyle name="40% - Accent2 3 4 8" xfId="9992" xr:uid="{77ABFE64-E8B7-4A3B-BB2D-A189C20EF7AD}"/>
    <cellStyle name="40% - Accent2 3 4 9" xfId="11882" xr:uid="{56D8C935-498B-49B3-B1CA-2C9F5D5C8FCA}"/>
    <cellStyle name="40% - Accent2 3 5" xfId="752" xr:uid="{EBF6FE4B-F43B-4A64-BD33-40B82B5EA074}"/>
    <cellStyle name="40% - Accent2 3 5 10" xfId="17762" xr:uid="{D1AB9047-99D2-49B5-B3C9-A2551838ABD1}"/>
    <cellStyle name="40% - Accent2 3 5 11" xfId="19652" xr:uid="{4EF6DC1B-6A1B-4B29-9542-056F706D261A}"/>
    <cellStyle name="40% - Accent2 3 5 12" xfId="21542" xr:uid="{50C2944C-DF19-40A6-BD77-DBFAA194AFE6}"/>
    <cellStyle name="40% - Accent2 3 5 13" xfId="23432" xr:uid="{5171D95C-644E-4AF2-BAF6-0FCADFF13900}"/>
    <cellStyle name="40% - Accent2 3 5 14" xfId="25322" xr:uid="{57AE4A61-0F3B-4BEF-9B5F-D886BF2BE2E4}"/>
    <cellStyle name="40% - Accent2 3 5 15" xfId="27212" xr:uid="{D7246D89-367D-4D34-BC97-F0319613FE73}"/>
    <cellStyle name="40% - Accent2 3 5 16" xfId="29102" xr:uid="{D71D25B4-DDA1-41FB-8CB1-AE9404FAD881}"/>
    <cellStyle name="40% - Accent2 3 5 17" xfId="30992" xr:uid="{D45358B0-A0F5-45FE-AF5B-661E547FF33A}"/>
    <cellStyle name="40% - Accent2 3 5 18" xfId="32882" xr:uid="{675883CA-1E09-41CE-B49D-3F17EA5F8841}"/>
    <cellStyle name="40% - Accent2 3 5 19" xfId="34772" xr:uid="{6F887190-4750-49DC-81D2-D9F8811BFBB2}"/>
    <cellStyle name="40% - Accent2 3 5 2" xfId="2642" xr:uid="{7653F2CB-7B4A-412B-9E36-A6565176256E}"/>
    <cellStyle name="40% - Accent2 3 5 20" xfId="36662" xr:uid="{A0F5C251-4030-4FDD-A72C-53C9406B95BB}"/>
    <cellStyle name="40% - Accent2 3 5 21" xfId="38552" xr:uid="{A8CE8C83-7C24-45D5-99C5-04308A3D8EF7}"/>
    <cellStyle name="40% - Accent2 3 5 22" xfId="40443" xr:uid="{A261EFE9-28CE-407E-8CD3-963DC697776E}"/>
    <cellStyle name="40% - Accent2 3 5 3" xfId="4532" xr:uid="{021085AA-FFCB-4519-BBB6-E96D98C956FF}"/>
    <cellStyle name="40% - Accent2 3 5 4" xfId="6422" xr:uid="{3C469E70-4351-4E25-94A6-4FAF08052D26}"/>
    <cellStyle name="40% - Accent2 3 5 5" xfId="8312" xr:uid="{A21FF0C6-AD66-4C4E-A1B2-C5236BAE12E0}"/>
    <cellStyle name="40% - Accent2 3 5 6" xfId="10202" xr:uid="{62F94886-AB7E-4EAE-92FB-B27DE3DD5E89}"/>
    <cellStyle name="40% - Accent2 3 5 7" xfId="12092" xr:uid="{ABB761C6-9EF8-4888-9863-979719D11C8F}"/>
    <cellStyle name="40% - Accent2 3 5 8" xfId="13982" xr:uid="{9B254667-4B8D-4465-9528-580286C07DC0}"/>
    <cellStyle name="40% - Accent2 3 5 9" xfId="15872" xr:uid="{C9DB67FB-96AA-4EDB-890F-47731F5E6F9D}"/>
    <cellStyle name="40% - Accent2 3 6" xfId="1382" xr:uid="{D6F56AD3-876E-46E0-AE8C-02A944AE9D09}"/>
    <cellStyle name="40% - Accent2 3 6 10" xfId="18392" xr:uid="{0E558BCA-4302-44D6-9E23-6E7E44B28C29}"/>
    <cellStyle name="40% - Accent2 3 6 11" xfId="20282" xr:uid="{41A62F27-89BA-45F8-AD39-D1F808C54C8E}"/>
    <cellStyle name="40% - Accent2 3 6 12" xfId="22172" xr:uid="{508FA133-61E4-44E2-8DE1-E35961430BD5}"/>
    <cellStyle name="40% - Accent2 3 6 13" xfId="24062" xr:uid="{E7F32EE6-2339-4F9B-A52E-B1BFA8A94ADE}"/>
    <cellStyle name="40% - Accent2 3 6 14" xfId="25952" xr:uid="{82919DE9-A5EC-40E2-91AA-C919879A8553}"/>
    <cellStyle name="40% - Accent2 3 6 15" xfId="27842" xr:uid="{55CDB07B-108D-4067-8B42-7CC24FE270D3}"/>
    <cellStyle name="40% - Accent2 3 6 16" xfId="29732" xr:uid="{24463908-9D42-449E-B4DE-841C8EF93F3E}"/>
    <cellStyle name="40% - Accent2 3 6 17" xfId="31622" xr:uid="{B73DE26E-B22E-4122-B8CF-4D3B824B67EF}"/>
    <cellStyle name="40% - Accent2 3 6 18" xfId="33512" xr:uid="{CE30BDF2-0560-4A3C-83DC-C9088D401D17}"/>
    <cellStyle name="40% - Accent2 3 6 19" xfId="35402" xr:uid="{E91FE5D8-7BED-4767-A385-44F443098EA2}"/>
    <cellStyle name="40% - Accent2 3 6 2" xfId="3272" xr:uid="{3E8B605E-A88C-4553-8D7C-F0790C2B1745}"/>
    <cellStyle name="40% - Accent2 3 6 20" xfId="37292" xr:uid="{EA820616-9869-4551-90E6-0C39AEA2C828}"/>
    <cellStyle name="40% - Accent2 3 6 21" xfId="39182" xr:uid="{3BB664EC-80B5-4626-862F-2C34724CCF44}"/>
    <cellStyle name="40% - Accent2 3 6 22" xfId="41073" xr:uid="{64FB6259-D539-4730-B750-1183AFA6534F}"/>
    <cellStyle name="40% - Accent2 3 6 3" xfId="5162" xr:uid="{872E2C89-76FB-4B5A-B108-B5A327ED88D4}"/>
    <cellStyle name="40% - Accent2 3 6 4" xfId="7052" xr:uid="{FDF7791B-40DC-4F45-8F3B-472363B99262}"/>
    <cellStyle name="40% - Accent2 3 6 5" xfId="8942" xr:uid="{BBE44379-FB31-4E63-92C2-5CF5E80CDE62}"/>
    <cellStyle name="40% - Accent2 3 6 6" xfId="10832" xr:uid="{2ACAAD10-2A32-46AD-A65D-5064825FF40C}"/>
    <cellStyle name="40% - Accent2 3 6 7" xfId="12722" xr:uid="{05E97604-B739-4D86-A936-EAA2CC78F4FC}"/>
    <cellStyle name="40% - Accent2 3 6 8" xfId="14612" xr:uid="{1B70395E-94C2-4959-B62B-3B8A84178050}"/>
    <cellStyle name="40% - Accent2 3 6 9" xfId="16502" xr:uid="{8A05237F-1B88-47BD-B5F1-CE75FF0EAA24}"/>
    <cellStyle name="40% - Accent2 3 7" xfId="2012" xr:uid="{645DE3AB-4833-4DCF-878F-A0DD7077D7B2}"/>
    <cellStyle name="40% - Accent2 3 8" xfId="3902" xr:uid="{10D34C81-1417-46E9-905D-D929CC5A8F6A}"/>
    <cellStyle name="40% - Accent2 3 9" xfId="5792" xr:uid="{062CF5D5-CA24-424E-87B0-F2528AA0A882}"/>
    <cellStyle name="40% - Accent2 4" xfId="185" xr:uid="{88E3C5DF-0C80-46C8-84CB-C972E40CD062}"/>
    <cellStyle name="40% - Accent2 4 10" xfId="9635" xr:uid="{5BE2EE02-B2B9-4D7B-A939-71CF8CF53CBA}"/>
    <cellStyle name="40% - Accent2 4 11" xfId="11525" xr:uid="{5BA403BD-967C-4E26-8091-54CED72ABEDB}"/>
    <cellStyle name="40% - Accent2 4 12" xfId="13415" xr:uid="{F1D848BD-D34A-4B9E-90B1-A2B67A018460}"/>
    <cellStyle name="40% - Accent2 4 13" xfId="15305" xr:uid="{058EC383-5B99-489A-B1A6-1A4EE924646A}"/>
    <cellStyle name="40% - Accent2 4 14" xfId="17195" xr:uid="{69CC56FF-18B1-4D4B-8E4D-EFB6619806CF}"/>
    <cellStyle name="40% - Accent2 4 15" xfId="19085" xr:uid="{C66467A0-5E2A-4FFB-8F98-D1ECDB105D18}"/>
    <cellStyle name="40% - Accent2 4 16" xfId="20975" xr:uid="{C1EBFF9E-E6E4-482E-BCC4-4B99547EB9AF}"/>
    <cellStyle name="40% - Accent2 4 17" xfId="22865" xr:uid="{5FCA0D50-6422-4216-8989-1B40215940F9}"/>
    <cellStyle name="40% - Accent2 4 18" xfId="24755" xr:uid="{F89C14FC-EAB6-4241-9810-2782104BFC30}"/>
    <cellStyle name="40% - Accent2 4 19" xfId="26645" xr:uid="{CB6E6CE6-A4C2-4D78-AC79-711307D3AF7A}"/>
    <cellStyle name="40% - Accent2 4 2" xfId="395" xr:uid="{B68FF0A3-C363-46B0-8147-B3CDD860282A}"/>
    <cellStyle name="40% - Accent2 4 2 10" xfId="13625" xr:uid="{5DE72FF2-1E09-4DF5-BD69-90DAE9DD4345}"/>
    <cellStyle name="40% - Accent2 4 2 11" xfId="15515" xr:uid="{FB4F40F2-026D-43B4-ADEE-502F7964C283}"/>
    <cellStyle name="40% - Accent2 4 2 12" xfId="17405" xr:uid="{F94F695E-B94C-478A-8A0C-4BA11E01008D}"/>
    <cellStyle name="40% - Accent2 4 2 13" xfId="19295" xr:uid="{DC2D2AC7-16F8-45B5-8276-636E014C1CF1}"/>
    <cellStyle name="40% - Accent2 4 2 14" xfId="21185" xr:uid="{192F3528-5A17-48BE-80AF-57B60BE10BE2}"/>
    <cellStyle name="40% - Accent2 4 2 15" xfId="23075" xr:uid="{457C3635-23C4-4687-82EC-3823025B1DF5}"/>
    <cellStyle name="40% - Accent2 4 2 16" xfId="24965" xr:uid="{0A55F359-DFE8-4AF5-A40D-8287B87D53F3}"/>
    <cellStyle name="40% - Accent2 4 2 17" xfId="26855" xr:uid="{93647565-4C23-48A2-8CBB-62B9CA3E6608}"/>
    <cellStyle name="40% - Accent2 4 2 18" xfId="28745" xr:uid="{3408753A-C46F-4D2B-B069-A22257844B5B}"/>
    <cellStyle name="40% - Accent2 4 2 19" xfId="30635" xr:uid="{8434E387-DACF-4407-B298-5D7A28AE56F2}"/>
    <cellStyle name="40% - Accent2 4 2 2" xfId="1025" xr:uid="{F9886F19-6F5F-44F8-B251-6750E567AC67}"/>
    <cellStyle name="40% - Accent2 4 2 2 10" xfId="18035" xr:uid="{E01CCD26-3CFC-4812-86E4-A4D8406FC940}"/>
    <cellStyle name="40% - Accent2 4 2 2 11" xfId="19925" xr:uid="{E4B3D315-8C73-4E25-924D-AE3E6773488E}"/>
    <cellStyle name="40% - Accent2 4 2 2 12" xfId="21815" xr:uid="{4E056A89-8AFF-4775-896E-C49BAFE07476}"/>
    <cellStyle name="40% - Accent2 4 2 2 13" xfId="23705" xr:uid="{FBFCCD83-B3C2-4AD7-AFC4-6764B558E259}"/>
    <cellStyle name="40% - Accent2 4 2 2 14" xfId="25595" xr:uid="{BBAA7CC4-3721-4763-A645-A6967C2B5520}"/>
    <cellStyle name="40% - Accent2 4 2 2 15" xfId="27485" xr:uid="{1FD1B193-F844-4E1C-AD28-3073A80E7AFA}"/>
    <cellStyle name="40% - Accent2 4 2 2 16" xfId="29375" xr:uid="{917C04BC-FFCD-4110-9A44-B0E9BDFA3A10}"/>
    <cellStyle name="40% - Accent2 4 2 2 17" xfId="31265" xr:uid="{47788E4E-4015-4233-8B35-ADA1133241BE}"/>
    <cellStyle name="40% - Accent2 4 2 2 18" xfId="33155" xr:uid="{B66F84F7-0027-4D61-BE4F-FBCA7DC8127F}"/>
    <cellStyle name="40% - Accent2 4 2 2 19" xfId="35045" xr:uid="{2A85F81A-7A7A-48AB-935B-F93864E9E441}"/>
    <cellStyle name="40% - Accent2 4 2 2 2" xfId="2915" xr:uid="{508788EB-F37B-4891-96F3-3ECC627C0E76}"/>
    <cellStyle name="40% - Accent2 4 2 2 20" xfId="36935" xr:uid="{7FA2EC44-3064-4767-B981-FA79332B84E1}"/>
    <cellStyle name="40% - Accent2 4 2 2 21" xfId="38825" xr:uid="{BF242ED2-22DD-4874-8543-74726E0C0222}"/>
    <cellStyle name="40% - Accent2 4 2 2 22" xfId="40716" xr:uid="{5150444D-4A6E-41D3-B642-E3349CCD6085}"/>
    <cellStyle name="40% - Accent2 4 2 2 3" xfId="4805" xr:uid="{5027F5F5-800C-4DD9-A156-2D58D167197E}"/>
    <cellStyle name="40% - Accent2 4 2 2 4" xfId="6695" xr:uid="{8F4C1872-C458-4CB3-9661-68865762A3BC}"/>
    <cellStyle name="40% - Accent2 4 2 2 5" xfId="8585" xr:uid="{D3E1E681-67F9-451A-B768-970604688C8A}"/>
    <cellStyle name="40% - Accent2 4 2 2 6" xfId="10475" xr:uid="{6768EEE7-B995-4069-BC85-19500FA7DAC0}"/>
    <cellStyle name="40% - Accent2 4 2 2 7" xfId="12365" xr:uid="{42E3F1A3-8747-4D93-96B5-9441DD5611C7}"/>
    <cellStyle name="40% - Accent2 4 2 2 8" xfId="14255" xr:uid="{4BFA5FA1-0387-4D30-9BA6-BDB444CB9EF0}"/>
    <cellStyle name="40% - Accent2 4 2 2 9" xfId="16145" xr:uid="{F9558F41-289C-45DD-9B09-4DF8CC0E2D10}"/>
    <cellStyle name="40% - Accent2 4 2 20" xfId="32525" xr:uid="{51FBBAC7-C521-49AC-81EA-40FFE5BCCF74}"/>
    <cellStyle name="40% - Accent2 4 2 21" xfId="34415" xr:uid="{CBB0C168-783F-468E-A6FA-3532E615F51B}"/>
    <cellStyle name="40% - Accent2 4 2 22" xfId="36305" xr:uid="{3827143D-51F3-4481-B86E-6FB42039FD02}"/>
    <cellStyle name="40% - Accent2 4 2 23" xfId="38195" xr:uid="{368BE7FC-7CD7-4386-A22B-52D554AF9A5B}"/>
    <cellStyle name="40% - Accent2 4 2 24" xfId="40086" xr:uid="{C319B4A2-DC19-499F-917C-06CFAD9747D6}"/>
    <cellStyle name="40% - Accent2 4 2 3" xfId="1655" xr:uid="{F8D20A10-2B33-4ED6-BB6E-36B9CBD5675E}"/>
    <cellStyle name="40% - Accent2 4 2 3 10" xfId="18665" xr:uid="{FA592D7A-527C-48D4-860D-CD31BB849FF7}"/>
    <cellStyle name="40% - Accent2 4 2 3 11" xfId="20555" xr:uid="{9BB71A0C-7C12-48BA-9FF4-5BAB6F7D955B}"/>
    <cellStyle name="40% - Accent2 4 2 3 12" xfId="22445" xr:uid="{2C6E1466-990D-4A7F-99D3-AE790F9AEB30}"/>
    <cellStyle name="40% - Accent2 4 2 3 13" xfId="24335" xr:uid="{60E3331C-8141-4C8B-84E5-7268E7855381}"/>
    <cellStyle name="40% - Accent2 4 2 3 14" xfId="26225" xr:uid="{BE9C13FC-CDD7-4E33-926B-CC16EE97977F}"/>
    <cellStyle name="40% - Accent2 4 2 3 15" xfId="28115" xr:uid="{827540ED-FE58-4897-8C5C-D330DE512CD3}"/>
    <cellStyle name="40% - Accent2 4 2 3 16" xfId="30005" xr:uid="{C03FC1E9-F8FD-4D28-80B3-48AEF3CCA8E9}"/>
    <cellStyle name="40% - Accent2 4 2 3 17" xfId="31895" xr:uid="{C2E2DAC5-9BBA-416D-B857-E86FD7BBC601}"/>
    <cellStyle name="40% - Accent2 4 2 3 18" xfId="33785" xr:uid="{E499C8B2-046D-4F87-B328-49E9E4CD9172}"/>
    <cellStyle name="40% - Accent2 4 2 3 19" xfId="35675" xr:uid="{63FD451F-AC8D-4F0C-813D-617FB963890C}"/>
    <cellStyle name="40% - Accent2 4 2 3 2" xfId="3545" xr:uid="{1A7B17F4-2256-48E5-854E-B1B265B75B1E}"/>
    <cellStyle name="40% - Accent2 4 2 3 20" xfId="37565" xr:uid="{EE130CDA-91FC-4E10-A4AD-642772B89673}"/>
    <cellStyle name="40% - Accent2 4 2 3 21" xfId="39455" xr:uid="{C08A9BC0-6C48-44AA-916C-93BF3C2093D2}"/>
    <cellStyle name="40% - Accent2 4 2 3 22" xfId="41346" xr:uid="{23230C10-095B-48C1-8703-F31E903B0497}"/>
    <cellStyle name="40% - Accent2 4 2 3 3" xfId="5435" xr:uid="{0427F31F-2CB0-4EFF-B78C-8BBF9FD4957D}"/>
    <cellStyle name="40% - Accent2 4 2 3 4" xfId="7325" xr:uid="{634BA582-4E34-49A6-B529-77ACE8AA2D0F}"/>
    <cellStyle name="40% - Accent2 4 2 3 5" xfId="9215" xr:uid="{BA2655C2-B552-4EA9-B5C8-CF8DD00F5C9A}"/>
    <cellStyle name="40% - Accent2 4 2 3 6" xfId="11105" xr:uid="{89745DA5-ACBD-4F82-9710-9FB6045419A2}"/>
    <cellStyle name="40% - Accent2 4 2 3 7" xfId="12995" xr:uid="{D0E7DB34-8C74-49D2-92E5-98B40C4B505E}"/>
    <cellStyle name="40% - Accent2 4 2 3 8" xfId="14885" xr:uid="{6C9CC8AD-4228-4030-832D-C6A6297B044F}"/>
    <cellStyle name="40% - Accent2 4 2 3 9" xfId="16775" xr:uid="{A03B5F01-6BC7-4C62-A56F-018C9E5F0231}"/>
    <cellStyle name="40% - Accent2 4 2 4" xfId="2285" xr:uid="{117D34E9-D5A4-430C-BE53-2FCA77E18AF6}"/>
    <cellStyle name="40% - Accent2 4 2 5" xfId="4175" xr:uid="{7A0618E7-FFC1-4B94-B18F-C6473AB183FD}"/>
    <cellStyle name="40% - Accent2 4 2 6" xfId="6065" xr:uid="{840541B8-9EA5-4D8F-BB37-9C773381F23B}"/>
    <cellStyle name="40% - Accent2 4 2 7" xfId="7955" xr:uid="{D2B8F8F5-CD83-4E6C-AF86-86592FBE4378}"/>
    <cellStyle name="40% - Accent2 4 2 8" xfId="9845" xr:uid="{5F6BE5BE-9738-4552-88F6-E7C99E61DF7C}"/>
    <cellStyle name="40% - Accent2 4 2 9" xfId="11735" xr:uid="{3561E189-1795-4802-8D43-B157F979DDC5}"/>
    <cellStyle name="40% - Accent2 4 20" xfId="28535" xr:uid="{DDD79CE6-A352-4C68-94D6-115C1B5DC877}"/>
    <cellStyle name="40% - Accent2 4 21" xfId="30425" xr:uid="{07FB1A53-D3A7-420F-BF9C-FE563F96883F}"/>
    <cellStyle name="40% - Accent2 4 22" xfId="32315" xr:uid="{20D4D4B4-85C2-46EB-AFEE-86BFC60BE66C}"/>
    <cellStyle name="40% - Accent2 4 23" xfId="34205" xr:uid="{94121AA1-132C-4405-8019-89A3DDFBD3A9}"/>
    <cellStyle name="40% - Accent2 4 24" xfId="36095" xr:uid="{F91854B1-9801-4C73-9668-7C849D0DF17C}"/>
    <cellStyle name="40% - Accent2 4 25" xfId="37985" xr:uid="{55775DA6-E199-456D-9937-0C27EFA24260}"/>
    <cellStyle name="40% - Accent2 4 26" xfId="39876" xr:uid="{E0F578F1-9371-4CB2-87BB-AC2B2D91C42F}"/>
    <cellStyle name="40% - Accent2 4 3" xfId="605" xr:uid="{4461C657-71F3-4CD4-9F86-943FE4863449}"/>
    <cellStyle name="40% - Accent2 4 3 10" xfId="13835" xr:uid="{69E8DD2D-FF9D-4234-8629-6520F9B82D43}"/>
    <cellStyle name="40% - Accent2 4 3 11" xfId="15725" xr:uid="{4FB9F402-FFB2-4D9A-95C2-864FC3E09E9F}"/>
    <cellStyle name="40% - Accent2 4 3 12" xfId="17615" xr:uid="{84C6DC11-06E0-426C-81CE-5037CCF06913}"/>
    <cellStyle name="40% - Accent2 4 3 13" xfId="19505" xr:uid="{2369279D-F5B0-46CD-80F4-29920BEBECD8}"/>
    <cellStyle name="40% - Accent2 4 3 14" xfId="21395" xr:uid="{0372129C-85F5-439F-8785-5CEF4C8D409F}"/>
    <cellStyle name="40% - Accent2 4 3 15" xfId="23285" xr:uid="{BEE7FAC0-DB79-4C56-AD06-772F959DEF77}"/>
    <cellStyle name="40% - Accent2 4 3 16" xfId="25175" xr:uid="{8AFDAB52-3A86-4082-9F3D-0E7CFEE0D9BB}"/>
    <cellStyle name="40% - Accent2 4 3 17" xfId="27065" xr:uid="{9507CBA4-833A-4355-8F72-CB8B341CBFF9}"/>
    <cellStyle name="40% - Accent2 4 3 18" xfId="28955" xr:uid="{102062E4-BF94-4C7E-9A2D-5DDA080EA3AF}"/>
    <cellStyle name="40% - Accent2 4 3 19" xfId="30845" xr:uid="{93E3CB9F-C572-4E49-8541-78A864BFEA84}"/>
    <cellStyle name="40% - Accent2 4 3 2" xfId="1235" xr:uid="{4EF60842-5E42-4E42-A414-EEF380205DC1}"/>
    <cellStyle name="40% - Accent2 4 3 2 10" xfId="18245" xr:uid="{F4DA5530-D896-4F9E-9FD1-CD273F67E875}"/>
    <cellStyle name="40% - Accent2 4 3 2 11" xfId="20135" xr:uid="{C55AD953-3066-4A7B-A939-99F75DBB476A}"/>
    <cellStyle name="40% - Accent2 4 3 2 12" xfId="22025" xr:uid="{0FABEA1E-FDF3-4143-96E9-8B4EC9213A70}"/>
    <cellStyle name="40% - Accent2 4 3 2 13" xfId="23915" xr:uid="{0325C550-2D00-4B37-B100-E59462C627A7}"/>
    <cellStyle name="40% - Accent2 4 3 2 14" xfId="25805" xr:uid="{309CCB4A-29E7-43E1-B4AD-FFC719C7A8C3}"/>
    <cellStyle name="40% - Accent2 4 3 2 15" xfId="27695" xr:uid="{2A6B2A7F-CFB2-481A-9A6C-E2C45D28EFF2}"/>
    <cellStyle name="40% - Accent2 4 3 2 16" xfId="29585" xr:uid="{045A8AED-5DD0-4A22-A389-742615B95CF6}"/>
    <cellStyle name="40% - Accent2 4 3 2 17" xfId="31475" xr:uid="{42248117-6C98-403B-9D98-ABD5AAE63F4A}"/>
    <cellStyle name="40% - Accent2 4 3 2 18" xfId="33365" xr:uid="{51FD2713-DA22-4851-A2FE-BD1F74DCBEEB}"/>
    <cellStyle name="40% - Accent2 4 3 2 19" xfId="35255" xr:uid="{0C6830CD-E00E-4B75-9BEC-72F0FB7F9D01}"/>
    <cellStyle name="40% - Accent2 4 3 2 2" xfId="3125" xr:uid="{90AF5545-B5D7-4826-B12B-C9026875137A}"/>
    <cellStyle name="40% - Accent2 4 3 2 20" xfId="37145" xr:uid="{4F3D474D-A6FA-4FCB-9020-5F6C27406030}"/>
    <cellStyle name="40% - Accent2 4 3 2 21" xfId="39035" xr:uid="{D4747C0F-C8D5-49D5-81FA-CD788A79F905}"/>
    <cellStyle name="40% - Accent2 4 3 2 22" xfId="40926" xr:uid="{11FFD22B-6D2C-4F45-BCEE-510282A52FB6}"/>
    <cellStyle name="40% - Accent2 4 3 2 3" xfId="5015" xr:uid="{F26CAEAA-ACD4-4516-A66B-75B36A7348C4}"/>
    <cellStyle name="40% - Accent2 4 3 2 4" xfId="6905" xr:uid="{031C8891-25C7-4B7F-9B08-43E7CE269028}"/>
    <cellStyle name="40% - Accent2 4 3 2 5" xfId="8795" xr:uid="{68BFC24D-9D98-40AA-A68B-0C7E0B488137}"/>
    <cellStyle name="40% - Accent2 4 3 2 6" xfId="10685" xr:uid="{0DEF56A7-FF26-4946-A4FD-EEA524CDD47A}"/>
    <cellStyle name="40% - Accent2 4 3 2 7" xfId="12575" xr:uid="{4A5C63E6-519E-4F36-B225-E6B0178452B0}"/>
    <cellStyle name="40% - Accent2 4 3 2 8" xfId="14465" xr:uid="{D8C227CA-3DB2-4C5B-AB9A-66C73A27A439}"/>
    <cellStyle name="40% - Accent2 4 3 2 9" xfId="16355" xr:uid="{8D016678-7AB4-4C80-AAFB-A8117B14742A}"/>
    <cellStyle name="40% - Accent2 4 3 20" xfId="32735" xr:uid="{4A25C2BE-40FE-4D20-BD1E-E11F1349B97A}"/>
    <cellStyle name="40% - Accent2 4 3 21" xfId="34625" xr:uid="{FC36AE3D-C372-4F00-A074-BF4DE28932A0}"/>
    <cellStyle name="40% - Accent2 4 3 22" xfId="36515" xr:uid="{A4E8CB2D-7E0F-4873-AD1E-67E7B836728B}"/>
    <cellStyle name="40% - Accent2 4 3 23" xfId="38405" xr:uid="{CECB428F-5C91-4BF2-AF82-A196F00991A0}"/>
    <cellStyle name="40% - Accent2 4 3 24" xfId="40296" xr:uid="{6A1511B4-0CAD-4853-8ACE-B9F7F20D1D32}"/>
    <cellStyle name="40% - Accent2 4 3 3" xfId="1865" xr:uid="{38E754ED-E736-4E2D-BF59-0D2EED473AAF}"/>
    <cellStyle name="40% - Accent2 4 3 3 10" xfId="18875" xr:uid="{709B558A-9F39-4014-AA26-8A531B321F92}"/>
    <cellStyle name="40% - Accent2 4 3 3 11" xfId="20765" xr:uid="{6A27235A-348C-4E41-9D5B-1EF67C1C7B70}"/>
    <cellStyle name="40% - Accent2 4 3 3 12" xfId="22655" xr:uid="{EBF264F7-7EC9-4D0A-818B-53CD991B30AD}"/>
    <cellStyle name="40% - Accent2 4 3 3 13" xfId="24545" xr:uid="{E73B71FF-3C34-4E4B-A22B-4F4754E957EA}"/>
    <cellStyle name="40% - Accent2 4 3 3 14" xfId="26435" xr:uid="{6AE044C0-F41D-433B-8F00-8F4439BE3D25}"/>
    <cellStyle name="40% - Accent2 4 3 3 15" xfId="28325" xr:uid="{971B5AD8-55AE-43E3-BF7A-539F2C3A5626}"/>
    <cellStyle name="40% - Accent2 4 3 3 16" xfId="30215" xr:uid="{3199D02C-ACE9-47FA-8F94-1AC75BB076C7}"/>
    <cellStyle name="40% - Accent2 4 3 3 17" xfId="32105" xr:uid="{F341FAEF-0830-4774-A36F-3DCFD83E8F74}"/>
    <cellStyle name="40% - Accent2 4 3 3 18" xfId="33995" xr:uid="{B10FCC2B-0690-4706-B179-E80B55F04944}"/>
    <cellStyle name="40% - Accent2 4 3 3 19" xfId="35885" xr:uid="{38E4C98D-3F8D-483C-8E8D-10B7B67CA274}"/>
    <cellStyle name="40% - Accent2 4 3 3 2" xfId="3755" xr:uid="{679128BC-38AE-469B-8B64-8AE7BFA7D0EE}"/>
    <cellStyle name="40% - Accent2 4 3 3 20" xfId="37775" xr:uid="{CC55E95A-C241-478A-8339-CE056A6FA70E}"/>
    <cellStyle name="40% - Accent2 4 3 3 21" xfId="39665" xr:uid="{756F8EAE-A72B-4933-A7FB-CE5E68B2FCB1}"/>
    <cellStyle name="40% - Accent2 4 3 3 22" xfId="41556" xr:uid="{720C9771-87BE-47EB-9231-871F7379F67F}"/>
    <cellStyle name="40% - Accent2 4 3 3 3" xfId="5645" xr:uid="{FD891897-2022-4761-A95D-90CF86CF9410}"/>
    <cellStyle name="40% - Accent2 4 3 3 4" xfId="7535" xr:uid="{F8F99C3C-BEE5-4E40-9359-4D03C1772B38}"/>
    <cellStyle name="40% - Accent2 4 3 3 5" xfId="9425" xr:uid="{EE9B7038-821C-445A-9982-B51C96998D92}"/>
    <cellStyle name="40% - Accent2 4 3 3 6" xfId="11315" xr:uid="{17649296-9F3C-407E-B576-F69E75AA7EC4}"/>
    <cellStyle name="40% - Accent2 4 3 3 7" xfId="13205" xr:uid="{76CE89DE-72B2-47E3-B5FD-D80EB3D006C9}"/>
    <cellStyle name="40% - Accent2 4 3 3 8" xfId="15095" xr:uid="{7ACDDB09-4BF3-40D6-9FFF-2F03D3EA2C13}"/>
    <cellStyle name="40% - Accent2 4 3 3 9" xfId="16985" xr:uid="{7045E113-D2BA-4DBF-9D20-A1D591FA2CAD}"/>
    <cellStyle name="40% - Accent2 4 3 4" xfId="2495" xr:uid="{08EA1EF9-27F5-40E4-BF10-7173D4A275B3}"/>
    <cellStyle name="40% - Accent2 4 3 5" xfId="4385" xr:uid="{CF578660-080F-4935-B6A6-29AD356DBF3F}"/>
    <cellStyle name="40% - Accent2 4 3 6" xfId="6275" xr:uid="{68036ECA-6E9E-4EC4-B56E-9CFCCAC81B70}"/>
    <cellStyle name="40% - Accent2 4 3 7" xfId="8165" xr:uid="{BE2B13B1-7878-471F-80EE-D174FE0CE2A3}"/>
    <cellStyle name="40% - Accent2 4 3 8" xfId="10055" xr:uid="{96ACBAB4-D7B8-4D94-869C-61EEF423B9E3}"/>
    <cellStyle name="40% - Accent2 4 3 9" xfId="11945" xr:uid="{0584EEA7-AD89-4B2C-8A52-67D7EA2FE6AD}"/>
    <cellStyle name="40% - Accent2 4 4" xfId="815" xr:uid="{D556B7D8-DD23-42C9-8004-841CB76FC3C1}"/>
    <cellStyle name="40% - Accent2 4 4 10" xfId="17825" xr:uid="{4D07F378-9C31-4F3C-97CB-96C70875A7D0}"/>
    <cellStyle name="40% - Accent2 4 4 11" xfId="19715" xr:uid="{1D75DAAE-C9FF-4497-8830-04490EACE755}"/>
    <cellStyle name="40% - Accent2 4 4 12" xfId="21605" xr:uid="{D945B1D5-8AEB-479A-ADFC-3C065CEBA807}"/>
    <cellStyle name="40% - Accent2 4 4 13" xfId="23495" xr:uid="{7BBC5034-C174-459E-BD3A-B5B3AA055A3E}"/>
    <cellStyle name="40% - Accent2 4 4 14" xfId="25385" xr:uid="{F793E221-3934-428B-9114-5030B5EA3D87}"/>
    <cellStyle name="40% - Accent2 4 4 15" xfId="27275" xr:uid="{A806CAEF-8FCB-43A5-94F7-0069B25FDBC4}"/>
    <cellStyle name="40% - Accent2 4 4 16" xfId="29165" xr:uid="{EA459065-7263-47ED-9A92-4B211D9F0E91}"/>
    <cellStyle name="40% - Accent2 4 4 17" xfId="31055" xr:uid="{8A19AB71-748A-41FC-8CAF-13CBD9AFDCEF}"/>
    <cellStyle name="40% - Accent2 4 4 18" xfId="32945" xr:uid="{4D743FB2-651B-4703-9974-ABDB756D214F}"/>
    <cellStyle name="40% - Accent2 4 4 19" xfId="34835" xr:uid="{7797E07C-EDB1-4D68-BB91-94009F8512D8}"/>
    <cellStyle name="40% - Accent2 4 4 2" xfId="2705" xr:uid="{FE39245A-7C6F-4F9E-940F-7D1F56E3AB54}"/>
    <cellStyle name="40% - Accent2 4 4 20" xfId="36725" xr:uid="{6FB0D2C9-D722-48BB-BBD4-4E18948142CF}"/>
    <cellStyle name="40% - Accent2 4 4 21" xfId="38615" xr:uid="{BA663D20-E1B5-46E0-B8E4-62B0CFD3D4CA}"/>
    <cellStyle name="40% - Accent2 4 4 22" xfId="40506" xr:uid="{B056B2B5-BB70-4A93-83F2-F19854071B44}"/>
    <cellStyle name="40% - Accent2 4 4 3" xfId="4595" xr:uid="{4C8ECD3E-9775-45BE-BE84-421EB82A9553}"/>
    <cellStyle name="40% - Accent2 4 4 4" xfId="6485" xr:uid="{34593EB5-9EFE-45F2-9A90-811D8369235B}"/>
    <cellStyle name="40% - Accent2 4 4 5" xfId="8375" xr:uid="{AADD7B38-1482-4C0E-BAE5-033A8765E13C}"/>
    <cellStyle name="40% - Accent2 4 4 6" xfId="10265" xr:uid="{E60E0621-792E-4059-9539-EED83F6FBD32}"/>
    <cellStyle name="40% - Accent2 4 4 7" xfId="12155" xr:uid="{7578A6CD-53FE-4CA7-BC34-CA39B8748A51}"/>
    <cellStyle name="40% - Accent2 4 4 8" xfId="14045" xr:uid="{412947C7-AB4D-425E-9D94-10A3529ADA09}"/>
    <cellStyle name="40% - Accent2 4 4 9" xfId="15935" xr:uid="{D2BF2594-5500-453F-9C51-976BDFE2258B}"/>
    <cellStyle name="40% - Accent2 4 5" xfId="1445" xr:uid="{56464232-CDF0-4AB0-9F2E-8A92171AFE2F}"/>
    <cellStyle name="40% - Accent2 4 5 10" xfId="18455" xr:uid="{C5B3F5E2-AFCE-49FB-BBA0-5B74792536F5}"/>
    <cellStyle name="40% - Accent2 4 5 11" xfId="20345" xr:uid="{06996084-085A-48D8-843B-073D014BAACC}"/>
    <cellStyle name="40% - Accent2 4 5 12" xfId="22235" xr:uid="{5E943BE4-5D3E-48EC-9329-D37845EED2CA}"/>
    <cellStyle name="40% - Accent2 4 5 13" xfId="24125" xr:uid="{6A89F91C-7EC8-4623-871E-9B8892C756A9}"/>
    <cellStyle name="40% - Accent2 4 5 14" xfId="26015" xr:uid="{1DE0AE2D-8FE0-4B1B-8CD0-79381E92FE18}"/>
    <cellStyle name="40% - Accent2 4 5 15" xfId="27905" xr:uid="{00AADA1E-98DD-470D-8BC9-2C862B1053ED}"/>
    <cellStyle name="40% - Accent2 4 5 16" xfId="29795" xr:uid="{40DCA8B1-50F4-4338-A010-3E2BAF25AE2F}"/>
    <cellStyle name="40% - Accent2 4 5 17" xfId="31685" xr:uid="{CCEC4148-E833-4955-8F69-17B56E716112}"/>
    <cellStyle name="40% - Accent2 4 5 18" xfId="33575" xr:uid="{4219456F-5317-428A-926A-F3B788193AD3}"/>
    <cellStyle name="40% - Accent2 4 5 19" xfId="35465" xr:uid="{9C0F3A4C-63F4-4B5B-B57B-F448D511C660}"/>
    <cellStyle name="40% - Accent2 4 5 2" xfId="3335" xr:uid="{3A33EBBD-D3C3-46FD-9646-91489358263B}"/>
    <cellStyle name="40% - Accent2 4 5 20" xfId="37355" xr:uid="{2AA6502F-AAB7-4189-B6A9-AC77BEAACE91}"/>
    <cellStyle name="40% - Accent2 4 5 21" xfId="39245" xr:uid="{7AF7CC10-FD89-4710-A2A8-70752C2605D2}"/>
    <cellStyle name="40% - Accent2 4 5 22" xfId="41136" xr:uid="{F997174B-7B49-4DB9-9293-A5F09CDED325}"/>
    <cellStyle name="40% - Accent2 4 5 3" xfId="5225" xr:uid="{75F421B1-5ACD-46FD-832C-ACA71B093E40}"/>
    <cellStyle name="40% - Accent2 4 5 4" xfId="7115" xr:uid="{9BC022E4-F15E-45CB-A994-8BD0F0B62BAC}"/>
    <cellStyle name="40% - Accent2 4 5 5" xfId="9005" xr:uid="{E0B58D7F-8249-4A28-A854-1D68B52A5E69}"/>
    <cellStyle name="40% - Accent2 4 5 6" xfId="10895" xr:uid="{AFDD8D04-6E73-49EA-9D7C-1A4F3083ED42}"/>
    <cellStyle name="40% - Accent2 4 5 7" xfId="12785" xr:uid="{A8897755-9F73-449D-90B2-F350247678E3}"/>
    <cellStyle name="40% - Accent2 4 5 8" xfId="14675" xr:uid="{CEB92732-1D97-4952-A33F-E87455EDB3A0}"/>
    <cellStyle name="40% - Accent2 4 5 9" xfId="16565" xr:uid="{DEF9E8F9-48E0-47F8-AE05-0D6AC12E3215}"/>
    <cellStyle name="40% - Accent2 4 6" xfId="2075" xr:uid="{A71137D0-4D02-4510-ADA0-4F5E91A7CF1C}"/>
    <cellStyle name="40% - Accent2 4 7" xfId="3965" xr:uid="{A6A3970A-3333-4291-B7B1-09FF2206F1C0}"/>
    <cellStyle name="40% - Accent2 4 8" xfId="5855" xr:uid="{B9133C04-DE62-49AD-8320-AC036F030E9C}"/>
    <cellStyle name="40% - Accent2 4 9" xfId="7745" xr:uid="{63160349-FA93-465F-9180-D1571CC12824}"/>
    <cellStyle name="40% - Accent2 5" xfId="290" xr:uid="{E1234E6C-47BF-4426-9F92-11F8DA66B51D}"/>
    <cellStyle name="40% - Accent2 5 10" xfId="13520" xr:uid="{E9ED5B5C-7A56-4089-93D3-80BDACE48B70}"/>
    <cellStyle name="40% - Accent2 5 11" xfId="15410" xr:uid="{156A65D6-15E5-4C2E-8A46-8E82F85A61B7}"/>
    <cellStyle name="40% - Accent2 5 12" xfId="17300" xr:uid="{F38924EF-C04A-4E9A-9D93-151BDC9DED35}"/>
    <cellStyle name="40% - Accent2 5 13" xfId="19190" xr:uid="{8A1DD630-0DFD-4B1B-B5EE-07744CC461E9}"/>
    <cellStyle name="40% - Accent2 5 14" xfId="21080" xr:uid="{0EBDA413-C18B-40A7-9BB0-502DEEBAB2D8}"/>
    <cellStyle name="40% - Accent2 5 15" xfId="22970" xr:uid="{8BB9FDA7-3A8D-4382-80C1-AAA5282304CB}"/>
    <cellStyle name="40% - Accent2 5 16" xfId="24860" xr:uid="{D3743625-ACF3-4559-8E9F-334C0B783C7B}"/>
    <cellStyle name="40% - Accent2 5 17" xfId="26750" xr:uid="{71EE5E69-0C83-42A5-BA8A-711C834EC755}"/>
    <cellStyle name="40% - Accent2 5 18" xfId="28640" xr:uid="{147FFEED-6786-40CC-B225-4C90805D2E68}"/>
    <cellStyle name="40% - Accent2 5 19" xfId="30530" xr:uid="{6DE419DF-F88D-4615-A0A2-A2A71EA0A86D}"/>
    <cellStyle name="40% - Accent2 5 2" xfId="920" xr:uid="{1323C072-F19E-4C41-BD54-79D37B808638}"/>
    <cellStyle name="40% - Accent2 5 2 10" xfId="17930" xr:uid="{2250DD6D-7ED6-4399-A7DC-F8A7085566DF}"/>
    <cellStyle name="40% - Accent2 5 2 11" xfId="19820" xr:uid="{9014B3B7-39D2-4BA4-8A47-8FA7BE03170E}"/>
    <cellStyle name="40% - Accent2 5 2 12" xfId="21710" xr:uid="{BC99E79F-2694-4F2D-889A-95EC9FA7A4B7}"/>
    <cellStyle name="40% - Accent2 5 2 13" xfId="23600" xr:uid="{36BD293F-DEB5-4C5F-A200-CBFDCBECAF23}"/>
    <cellStyle name="40% - Accent2 5 2 14" xfId="25490" xr:uid="{2FD7D84A-0182-472F-B0D2-28534BE0102D}"/>
    <cellStyle name="40% - Accent2 5 2 15" xfId="27380" xr:uid="{531D5BE7-3006-482A-A860-7F865703ADB6}"/>
    <cellStyle name="40% - Accent2 5 2 16" xfId="29270" xr:uid="{DE8D033B-AD3E-45CD-9044-A68DC28BD9CE}"/>
    <cellStyle name="40% - Accent2 5 2 17" xfId="31160" xr:uid="{65D80CEC-F415-45FA-BFF9-E02F6735EE72}"/>
    <cellStyle name="40% - Accent2 5 2 18" xfId="33050" xr:uid="{13C06B45-9D9E-47BC-8B46-7B9E13C58304}"/>
    <cellStyle name="40% - Accent2 5 2 19" xfId="34940" xr:uid="{1D7A705F-64B8-486A-A92F-E3DC6810EBC3}"/>
    <cellStyle name="40% - Accent2 5 2 2" xfId="2810" xr:uid="{4A1B8AD9-F27F-4EBA-83E7-6FC6F2415523}"/>
    <cellStyle name="40% - Accent2 5 2 20" xfId="36830" xr:uid="{361580D5-FF42-4FA7-B527-D4EFBB096A07}"/>
    <cellStyle name="40% - Accent2 5 2 21" xfId="38720" xr:uid="{A203DA62-9FD7-41B6-8C67-58CF55BBC070}"/>
    <cellStyle name="40% - Accent2 5 2 22" xfId="40611" xr:uid="{2326A35A-B3CC-43E4-B82E-D4525051C7E2}"/>
    <cellStyle name="40% - Accent2 5 2 3" xfId="4700" xr:uid="{8077F3EC-A44D-422C-AB34-BC56F72F9F9B}"/>
    <cellStyle name="40% - Accent2 5 2 4" xfId="6590" xr:uid="{5EBABD82-454C-4169-B375-9206299E3FE8}"/>
    <cellStyle name="40% - Accent2 5 2 5" xfId="8480" xr:uid="{DFED2B43-AD33-4926-BAAE-1FAF0325FA2A}"/>
    <cellStyle name="40% - Accent2 5 2 6" xfId="10370" xr:uid="{34CEDFDD-9B97-4A08-9D1B-0A801957AD6F}"/>
    <cellStyle name="40% - Accent2 5 2 7" xfId="12260" xr:uid="{20991C32-8FB2-4B3C-9F21-F78DB75F0A7F}"/>
    <cellStyle name="40% - Accent2 5 2 8" xfId="14150" xr:uid="{45B61913-6963-43B3-A80E-444B47A6A4BA}"/>
    <cellStyle name="40% - Accent2 5 2 9" xfId="16040" xr:uid="{88803982-BC37-429B-99C0-90BFA497FBA7}"/>
    <cellStyle name="40% - Accent2 5 20" xfId="32420" xr:uid="{390BE30E-5CF9-4AB1-8923-825D309F58DF}"/>
    <cellStyle name="40% - Accent2 5 21" xfId="34310" xr:uid="{924EE44F-BB08-4C65-9BBD-A7D8FB6F1A70}"/>
    <cellStyle name="40% - Accent2 5 22" xfId="36200" xr:uid="{9C7262C3-1094-470D-81B2-1395416A9634}"/>
    <cellStyle name="40% - Accent2 5 23" xfId="38090" xr:uid="{88FA6713-B64E-4ED9-BAB5-584A5A722D65}"/>
    <cellStyle name="40% - Accent2 5 24" xfId="39981" xr:uid="{8CC9B8B5-72BF-4170-A33E-60F308C9BD15}"/>
    <cellStyle name="40% - Accent2 5 3" xfId="1550" xr:uid="{7E14C848-1B95-4846-8383-BEDF733F0EA1}"/>
    <cellStyle name="40% - Accent2 5 3 10" xfId="18560" xr:uid="{217863EC-76A4-4F3E-9603-AB974E673999}"/>
    <cellStyle name="40% - Accent2 5 3 11" xfId="20450" xr:uid="{F39BFC25-BC1D-449B-B05A-ACD3A28A0CF8}"/>
    <cellStyle name="40% - Accent2 5 3 12" xfId="22340" xr:uid="{468F2FC6-E1BA-45CC-9FFB-1AA71C931CE8}"/>
    <cellStyle name="40% - Accent2 5 3 13" xfId="24230" xr:uid="{69C15C89-97B6-4509-8433-20CE37DD3DD1}"/>
    <cellStyle name="40% - Accent2 5 3 14" xfId="26120" xr:uid="{5C0BC93C-5B5C-49FC-8FFF-5DA8AAD5E6DD}"/>
    <cellStyle name="40% - Accent2 5 3 15" xfId="28010" xr:uid="{E15B5794-7282-4914-AC01-BDB8DB7BCB5A}"/>
    <cellStyle name="40% - Accent2 5 3 16" xfId="29900" xr:uid="{F19F5878-5EFE-4175-B850-0771DA1AF121}"/>
    <cellStyle name="40% - Accent2 5 3 17" xfId="31790" xr:uid="{9E090EA0-7BF7-4546-AE55-F549BFA90E1B}"/>
    <cellStyle name="40% - Accent2 5 3 18" xfId="33680" xr:uid="{647E4014-D235-46F5-A7F9-6178C4E6534C}"/>
    <cellStyle name="40% - Accent2 5 3 19" xfId="35570" xr:uid="{CD4F9B5D-41DC-4320-824C-0F6E2E0FE396}"/>
    <cellStyle name="40% - Accent2 5 3 2" xfId="3440" xr:uid="{00D56B2F-796B-43E4-902A-A1C85799F235}"/>
    <cellStyle name="40% - Accent2 5 3 20" xfId="37460" xr:uid="{D216FA3E-1F88-4D7C-8312-77DA833C5532}"/>
    <cellStyle name="40% - Accent2 5 3 21" xfId="39350" xr:uid="{EC73F19D-01EC-4633-9A20-9AC0052E1F13}"/>
    <cellStyle name="40% - Accent2 5 3 22" xfId="41241" xr:uid="{0C1E86B2-899B-4333-92D0-EFDD759E5CA0}"/>
    <cellStyle name="40% - Accent2 5 3 3" xfId="5330" xr:uid="{8129FB82-AD4E-4F82-B194-8E680F98994E}"/>
    <cellStyle name="40% - Accent2 5 3 4" xfId="7220" xr:uid="{64571935-2D82-4533-A93A-98B6796AA362}"/>
    <cellStyle name="40% - Accent2 5 3 5" xfId="9110" xr:uid="{C773EF27-6371-4A29-B7DD-6BC2DC9FE128}"/>
    <cellStyle name="40% - Accent2 5 3 6" xfId="11000" xr:uid="{49B8E06E-8F08-40C7-B1A0-1CAF2469D581}"/>
    <cellStyle name="40% - Accent2 5 3 7" xfId="12890" xr:uid="{DE03189A-62E8-4B93-AA65-823A82D763D5}"/>
    <cellStyle name="40% - Accent2 5 3 8" xfId="14780" xr:uid="{9C9FD8FD-EC40-4E48-8854-D995C33E2D6D}"/>
    <cellStyle name="40% - Accent2 5 3 9" xfId="16670" xr:uid="{5879CC9A-2B31-4AC4-A49C-AAC566B1AFF3}"/>
    <cellStyle name="40% - Accent2 5 4" xfId="2180" xr:uid="{D4E54972-F405-46DC-9A19-13BE00AE8AA0}"/>
    <cellStyle name="40% - Accent2 5 5" xfId="4070" xr:uid="{E461B099-3D76-4B5F-85E3-9391162B28BC}"/>
    <cellStyle name="40% - Accent2 5 6" xfId="5960" xr:uid="{A41CD2A0-BA55-47CD-8E8E-283E71AC7C83}"/>
    <cellStyle name="40% - Accent2 5 7" xfId="7850" xr:uid="{B4373243-43EF-4E5A-A809-BD0786868119}"/>
    <cellStyle name="40% - Accent2 5 8" xfId="9740" xr:uid="{D98F22E9-879F-4594-9133-FE7689F39671}"/>
    <cellStyle name="40% - Accent2 5 9" xfId="11630" xr:uid="{C14E2813-A949-4CD4-A4DC-3D30263016E1}"/>
    <cellStyle name="40% - Accent2 6" xfId="500" xr:uid="{E5BEC1FE-D747-4143-AB74-015E68947D4A}"/>
    <cellStyle name="40% - Accent2 6 10" xfId="13730" xr:uid="{0BCC8387-249D-41F7-BC06-84DA88E8C406}"/>
    <cellStyle name="40% - Accent2 6 11" xfId="15620" xr:uid="{235436FE-7E56-4D73-A95C-018ECD51874B}"/>
    <cellStyle name="40% - Accent2 6 12" xfId="17510" xr:uid="{AA4CC6F4-04AD-42CB-93E5-A6B486B2B74A}"/>
    <cellStyle name="40% - Accent2 6 13" xfId="19400" xr:uid="{2451E04E-3EA5-4B21-BDF7-5F494A831E87}"/>
    <cellStyle name="40% - Accent2 6 14" xfId="21290" xr:uid="{B5D77640-EB42-40DF-B5DF-03D0A72FDA4D}"/>
    <cellStyle name="40% - Accent2 6 15" xfId="23180" xr:uid="{AA435D18-31CA-46CE-B5BE-3452FCF3CF4B}"/>
    <cellStyle name="40% - Accent2 6 16" xfId="25070" xr:uid="{B66942D7-FE76-4AEE-8F5E-4947EC8A5338}"/>
    <cellStyle name="40% - Accent2 6 17" xfId="26960" xr:uid="{7DEB6AEA-D580-44C4-8FE7-DBCAD6415B2B}"/>
    <cellStyle name="40% - Accent2 6 18" xfId="28850" xr:uid="{92B2377F-ED31-4ACC-A22B-A2B283FB4500}"/>
    <cellStyle name="40% - Accent2 6 19" xfId="30740" xr:uid="{16F9BA52-239F-4494-8221-1A73A9BB615A}"/>
    <cellStyle name="40% - Accent2 6 2" xfId="1130" xr:uid="{FBE5309A-F9AD-4D88-A927-727A3B1C7F31}"/>
    <cellStyle name="40% - Accent2 6 2 10" xfId="18140" xr:uid="{4CB6D7A1-9647-4946-B7BA-FC5AA0730F5E}"/>
    <cellStyle name="40% - Accent2 6 2 11" xfId="20030" xr:uid="{2EE61929-9008-4906-9789-3865C4F3A572}"/>
    <cellStyle name="40% - Accent2 6 2 12" xfId="21920" xr:uid="{CB4A43B8-3BCD-451F-A11B-BA5C91B5142B}"/>
    <cellStyle name="40% - Accent2 6 2 13" xfId="23810" xr:uid="{C72815E7-B6CD-4886-8121-A7D46268A983}"/>
    <cellStyle name="40% - Accent2 6 2 14" xfId="25700" xr:uid="{2793841A-0E76-46E4-A5E7-AA473F0DCFAB}"/>
    <cellStyle name="40% - Accent2 6 2 15" xfId="27590" xr:uid="{FE684BF6-8DC9-4519-B21E-F970B20E630B}"/>
    <cellStyle name="40% - Accent2 6 2 16" xfId="29480" xr:uid="{EBFADBB6-C986-44DC-B48B-08BD18551340}"/>
    <cellStyle name="40% - Accent2 6 2 17" xfId="31370" xr:uid="{E8473F0B-74DC-4A00-A816-E9EE3BE2D56D}"/>
    <cellStyle name="40% - Accent2 6 2 18" xfId="33260" xr:uid="{F51E3443-DE46-4EEA-8156-2E60D74B2CBB}"/>
    <cellStyle name="40% - Accent2 6 2 19" xfId="35150" xr:uid="{4AA4669D-E0EC-4FDC-97E4-D89DBF3155D3}"/>
    <cellStyle name="40% - Accent2 6 2 2" xfId="3020" xr:uid="{6FB53E89-2962-4A7B-97DA-488596B5C193}"/>
    <cellStyle name="40% - Accent2 6 2 20" xfId="37040" xr:uid="{D9E736E7-0B39-47F9-95DD-DF9CE7A07B14}"/>
    <cellStyle name="40% - Accent2 6 2 21" xfId="38930" xr:uid="{ACF382E1-7A9A-4D98-B675-847D0C8E774E}"/>
    <cellStyle name="40% - Accent2 6 2 22" xfId="40821" xr:uid="{D1E595E9-CEEA-45C7-AF57-620E3E9AFE00}"/>
    <cellStyle name="40% - Accent2 6 2 3" xfId="4910" xr:uid="{8496F841-3C9E-4578-95A5-8761765A879E}"/>
    <cellStyle name="40% - Accent2 6 2 4" xfId="6800" xr:uid="{259E2F17-A695-4A7D-8FDD-2DCCE055063A}"/>
    <cellStyle name="40% - Accent2 6 2 5" xfId="8690" xr:uid="{2D5C818F-7F62-4916-8E98-0901DB4DCB82}"/>
    <cellStyle name="40% - Accent2 6 2 6" xfId="10580" xr:uid="{0ECC5952-DA77-4556-8449-3CCE7D87F410}"/>
    <cellStyle name="40% - Accent2 6 2 7" xfId="12470" xr:uid="{E8C3BB48-9D51-4BE4-B3A2-8C6005737256}"/>
    <cellStyle name="40% - Accent2 6 2 8" xfId="14360" xr:uid="{93FD559D-0508-4A5F-8D72-4D6741087A8A}"/>
    <cellStyle name="40% - Accent2 6 2 9" xfId="16250" xr:uid="{2F429960-E2B6-4E29-881A-25965567D0CC}"/>
    <cellStyle name="40% - Accent2 6 20" xfId="32630" xr:uid="{48407C40-EA70-44A4-A5DB-B9DF983F825E}"/>
    <cellStyle name="40% - Accent2 6 21" xfId="34520" xr:uid="{A5ED3857-DEF9-430B-83DE-E4362E7C1760}"/>
    <cellStyle name="40% - Accent2 6 22" xfId="36410" xr:uid="{9E325C55-6392-4642-9B27-964FABC17214}"/>
    <cellStyle name="40% - Accent2 6 23" xfId="38300" xr:uid="{F3D749E5-823B-403F-A708-502F6F03355C}"/>
    <cellStyle name="40% - Accent2 6 24" xfId="40191" xr:uid="{2D3BF9C2-BC89-453F-A122-AF6ACFBDF1F8}"/>
    <cellStyle name="40% - Accent2 6 3" xfId="1760" xr:uid="{52808C68-C1A0-442E-8015-AB0CB7796353}"/>
    <cellStyle name="40% - Accent2 6 3 10" xfId="18770" xr:uid="{7EE80B7E-9DA2-40B6-9D26-CF2843D583F0}"/>
    <cellStyle name="40% - Accent2 6 3 11" xfId="20660" xr:uid="{4D659A71-75D5-48EE-98BC-6D0122CDB4C3}"/>
    <cellStyle name="40% - Accent2 6 3 12" xfId="22550" xr:uid="{CE44390F-26D0-4465-8DBC-4AFAE907EE36}"/>
    <cellStyle name="40% - Accent2 6 3 13" xfId="24440" xr:uid="{F8104E27-A8E0-4F1F-A62E-08FD8E3FCAAD}"/>
    <cellStyle name="40% - Accent2 6 3 14" xfId="26330" xr:uid="{4D5AF351-B24F-4C00-861C-B83AEF5BB929}"/>
    <cellStyle name="40% - Accent2 6 3 15" xfId="28220" xr:uid="{8FC58B51-39D9-4F17-966D-F6BB8C0377A9}"/>
    <cellStyle name="40% - Accent2 6 3 16" xfId="30110" xr:uid="{2D392EBE-5272-4E99-B88E-7496023E7E37}"/>
    <cellStyle name="40% - Accent2 6 3 17" xfId="32000" xr:uid="{A0F903BE-E5CC-4D30-8FF8-763C31D0FED8}"/>
    <cellStyle name="40% - Accent2 6 3 18" xfId="33890" xr:uid="{001E4D0B-8A51-4B6E-9552-FEBA4ED38B2C}"/>
    <cellStyle name="40% - Accent2 6 3 19" xfId="35780" xr:uid="{85A4594F-DF69-46E1-9727-E5F2EFD9A152}"/>
    <cellStyle name="40% - Accent2 6 3 2" xfId="3650" xr:uid="{90D0E700-C4FA-492B-91CD-109A52744B19}"/>
    <cellStyle name="40% - Accent2 6 3 20" xfId="37670" xr:uid="{9FBA7B1E-FC03-4691-9267-00D80B80971A}"/>
    <cellStyle name="40% - Accent2 6 3 21" xfId="39560" xr:uid="{DE121DCD-17FE-4196-92AE-CB0CAFB0AA12}"/>
    <cellStyle name="40% - Accent2 6 3 22" xfId="41451" xr:uid="{E9EB4AB2-B6F6-45D4-8B47-C8CF97303FE0}"/>
    <cellStyle name="40% - Accent2 6 3 3" xfId="5540" xr:uid="{B371B7D2-9987-4324-8EDC-667D8F09A422}"/>
    <cellStyle name="40% - Accent2 6 3 4" xfId="7430" xr:uid="{49132A5A-DBC0-48CB-932C-0FC071EA8742}"/>
    <cellStyle name="40% - Accent2 6 3 5" xfId="9320" xr:uid="{6A7E56B1-E4AD-431F-AEA0-2A09160724E6}"/>
    <cellStyle name="40% - Accent2 6 3 6" xfId="11210" xr:uid="{00379AC2-B400-4B5B-B72F-458262E847C4}"/>
    <cellStyle name="40% - Accent2 6 3 7" xfId="13100" xr:uid="{AB6AD64F-48D6-4869-AB3E-885BA16354C5}"/>
    <cellStyle name="40% - Accent2 6 3 8" xfId="14990" xr:uid="{0DAA89D2-23FE-4C37-886C-3C7641C79BE0}"/>
    <cellStyle name="40% - Accent2 6 3 9" xfId="16880" xr:uid="{49791687-6071-40E4-BB54-7EAFFE74D3DF}"/>
    <cellStyle name="40% - Accent2 6 4" xfId="2390" xr:uid="{3E29C0CD-633F-41CE-95E0-B9DC474ECD78}"/>
    <cellStyle name="40% - Accent2 6 5" xfId="4280" xr:uid="{EE5FD4E6-0784-4A9C-A0FB-C9D8AD9F19A3}"/>
    <cellStyle name="40% - Accent2 6 6" xfId="6170" xr:uid="{B46666EB-881C-48BD-87CE-434015E6C438}"/>
    <cellStyle name="40% - Accent2 6 7" xfId="8060" xr:uid="{E3CC32CF-D0D9-4107-AFC0-C02770E5B249}"/>
    <cellStyle name="40% - Accent2 6 8" xfId="9950" xr:uid="{0BF2C9FC-D682-4D48-91DF-79764443416C}"/>
    <cellStyle name="40% - Accent2 6 9" xfId="11840" xr:uid="{691EFB56-3AA9-41D6-867B-8AE925ED4421}"/>
    <cellStyle name="40% - Accent2 7" xfId="710" xr:uid="{935FD9A7-0567-4A28-9C31-83229C309F9D}"/>
    <cellStyle name="40% - Accent2 7 10" xfId="17720" xr:uid="{6232ACDE-D7B1-4462-8B6E-BC4BE9831228}"/>
    <cellStyle name="40% - Accent2 7 11" xfId="19610" xr:uid="{3F1AF2DF-B35C-4437-A68C-822A4BB833F7}"/>
    <cellStyle name="40% - Accent2 7 12" xfId="21500" xr:uid="{178F3D60-6892-4E8C-94C9-0C3157ACEB8C}"/>
    <cellStyle name="40% - Accent2 7 13" xfId="23390" xr:uid="{9E0EF907-2AA0-4B73-9764-11A266A8E99A}"/>
    <cellStyle name="40% - Accent2 7 14" xfId="25280" xr:uid="{687882CB-C858-4468-B63B-9F1E70150E02}"/>
    <cellStyle name="40% - Accent2 7 15" xfId="27170" xr:uid="{232121DB-5D21-4011-9E97-50B1E309BED3}"/>
    <cellStyle name="40% - Accent2 7 16" xfId="29060" xr:uid="{A83427A0-F451-4DD3-8A28-A8DDDBAB1F4D}"/>
    <cellStyle name="40% - Accent2 7 17" xfId="30950" xr:uid="{C7741B78-3A45-4C3E-90B4-E260C3D20330}"/>
    <cellStyle name="40% - Accent2 7 18" xfId="32840" xr:uid="{E273F397-A8A5-493F-BA1B-B29563CF2A14}"/>
    <cellStyle name="40% - Accent2 7 19" xfId="34730" xr:uid="{8EC9DF5C-2302-4BCF-9211-65294A655F69}"/>
    <cellStyle name="40% - Accent2 7 2" xfId="2600" xr:uid="{AB5B646D-D215-44AB-A22F-B8FFBC65AD3C}"/>
    <cellStyle name="40% - Accent2 7 20" xfId="36620" xr:uid="{D29604A3-968C-4370-BF3A-53C429AFB148}"/>
    <cellStyle name="40% - Accent2 7 21" xfId="38510" xr:uid="{E6A368FB-75EF-41C8-8037-A6703C784BC1}"/>
    <cellStyle name="40% - Accent2 7 22" xfId="40401" xr:uid="{5519948D-CCE7-4B96-A6F1-D23D7DD95273}"/>
    <cellStyle name="40% - Accent2 7 3" xfId="4490" xr:uid="{5A84C457-8C46-4875-877B-3FA708A828B0}"/>
    <cellStyle name="40% - Accent2 7 4" xfId="6380" xr:uid="{D9E673B1-C492-46E5-A792-8DBB65E75314}"/>
    <cellStyle name="40% - Accent2 7 5" xfId="8270" xr:uid="{5880C3B3-C25B-4BD1-B624-E0E8CA9AFB3B}"/>
    <cellStyle name="40% - Accent2 7 6" xfId="10160" xr:uid="{D9C4203B-EFE8-4683-B662-F303770EFA1A}"/>
    <cellStyle name="40% - Accent2 7 7" xfId="12050" xr:uid="{B8B36A42-5E35-4636-875D-957858D4EA8A}"/>
    <cellStyle name="40% - Accent2 7 8" xfId="13940" xr:uid="{20DF0CC6-E110-4F89-AD06-E025F59C4F6F}"/>
    <cellStyle name="40% - Accent2 7 9" xfId="15830" xr:uid="{E2C03A57-1630-4236-992C-FE8465184676}"/>
    <cellStyle name="40% - Accent2 8" xfId="1340" xr:uid="{6F2CE46F-9915-4F52-A814-64CAF0847A52}"/>
    <cellStyle name="40% - Accent2 8 10" xfId="18350" xr:uid="{6B543440-F517-4268-AAFB-70487D4040E0}"/>
    <cellStyle name="40% - Accent2 8 11" xfId="20240" xr:uid="{C3F54A25-2508-40D8-8294-AD92D9CF4631}"/>
    <cellStyle name="40% - Accent2 8 12" xfId="22130" xr:uid="{BE3EA2A8-FF87-4642-A180-FFEB1DDB3235}"/>
    <cellStyle name="40% - Accent2 8 13" xfId="24020" xr:uid="{D465C3AD-40CE-4EF7-AFEF-4672F55E43B1}"/>
    <cellStyle name="40% - Accent2 8 14" xfId="25910" xr:uid="{9F3BC1B5-7B5B-4C24-BCBA-D560B1D3A3EF}"/>
    <cellStyle name="40% - Accent2 8 15" xfId="27800" xr:uid="{D81225A4-4439-4552-BC07-FCD37722E6A1}"/>
    <cellStyle name="40% - Accent2 8 16" xfId="29690" xr:uid="{A922AE9E-FD9A-4CEB-BF30-265449044804}"/>
    <cellStyle name="40% - Accent2 8 17" xfId="31580" xr:uid="{56A08746-1E7D-4305-BFE2-C15A50277262}"/>
    <cellStyle name="40% - Accent2 8 18" xfId="33470" xr:uid="{55E885FB-96A5-492B-B11A-9F43476D026E}"/>
    <cellStyle name="40% - Accent2 8 19" xfId="35360" xr:uid="{8644199D-3A7D-4FF0-989D-818FA2A59A9A}"/>
    <cellStyle name="40% - Accent2 8 2" xfId="3230" xr:uid="{662B8214-51E1-48A0-8F96-F3A1C7D2DB0E}"/>
    <cellStyle name="40% - Accent2 8 20" xfId="37250" xr:uid="{5B6B4A44-A761-47DF-A710-52F0974FD3FF}"/>
    <cellStyle name="40% - Accent2 8 21" xfId="39140" xr:uid="{C206A893-79FB-4F9F-96FC-7CB5F4C21323}"/>
    <cellStyle name="40% - Accent2 8 22" xfId="41031" xr:uid="{3271F5C2-2F10-422A-B7D1-8AC8F49C6791}"/>
    <cellStyle name="40% - Accent2 8 3" xfId="5120" xr:uid="{43AD6E06-A704-4C4C-9B0C-A74DE675C18B}"/>
    <cellStyle name="40% - Accent2 8 4" xfId="7010" xr:uid="{03B3BEB1-D87C-4B3C-A47F-C53CB319F150}"/>
    <cellStyle name="40% - Accent2 8 5" xfId="8900" xr:uid="{07103902-86F9-4ED5-8F1F-BE3789D0A860}"/>
    <cellStyle name="40% - Accent2 8 6" xfId="10790" xr:uid="{E8DBBE91-E4B1-4422-9582-03D102F90AD1}"/>
    <cellStyle name="40% - Accent2 8 7" xfId="12680" xr:uid="{B9F0D705-0650-42EB-ADE3-741AF770BE6A}"/>
    <cellStyle name="40% - Accent2 8 8" xfId="14570" xr:uid="{B34C3559-F720-47CC-939B-F93EBAA323DF}"/>
    <cellStyle name="40% - Accent2 8 9" xfId="16460" xr:uid="{17C1AE36-506B-42A0-BD4A-7FFA8BCA6999}"/>
    <cellStyle name="40% - Accent2 9" xfId="1970" xr:uid="{6137C9A8-604F-4730-ADC6-645BBFF5D212}"/>
    <cellStyle name="40% - Accent3" xfId="80" builtinId="39" customBuiltin="1"/>
    <cellStyle name="40% - Accent3 10" xfId="3863" xr:uid="{73D1AF28-5176-4FF5-861F-D26137F248F2}"/>
    <cellStyle name="40% - Accent3 11" xfId="5753" xr:uid="{B304EE43-9B4D-49AC-81E8-FFEC27A42141}"/>
    <cellStyle name="40% - Accent3 12" xfId="7643" xr:uid="{BA8EFC68-3335-418D-8AED-A18D44327F93}"/>
    <cellStyle name="40% - Accent3 13" xfId="9533" xr:uid="{F71B2AA0-BD7F-46E3-92E4-17A9D611375F}"/>
    <cellStyle name="40% - Accent3 14" xfId="11423" xr:uid="{638DB9F7-528D-4C2A-96C9-B41146932917}"/>
    <cellStyle name="40% - Accent3 15" xfId="13313" xr:uid="{66C25072-2339-4E41-A5C8-0D2CCD61392E}"/>
    <cellStyle name="40% - Accent3 16" xfId="15203" xr:uid="{FD94B7E5-8A24-491B-A08D-6553BB21BAA3}"/>
    <cellStyle name="40% - Accent3 17" xfId="17093" xr:uid="{7AFC6026-6572-41B5-9C6B-BAB6005616A2}"/>
    <cellStyle name="40% - Accent3 18" xfId="18983" xr:uid="{A08F3A36-79B2-47FC-8911-ADED71C34B38}"/>
    <cellStyle name="40% - Accent3 19" xfId="20873" xr:uid="{7E03D14C-D0CB-43C8-9FF1-4F8DBF3ABFB2}"/>
    <cellStyle name="40% - Accent3 2" xfId="105" xr:uid="{89A16184-C384-432A-8B82-8803C0441421}"/>
    <cellStyle name="40% - Accent3 2 10" xfId="7665" xr:uid="{78CCEEB5-276A-4B7B-B67F-EDE6AA2FD6E5}"/>
    <cellStyle name="40% - Accent3 2 11" xfId="9555" xr:uid="{7FC6C736-3D84-45F9-96E5-9667046CE5D1}"/>
    <cellStyle name="40% - Accent3 2 12" xfId="11445" xr:uid="{EE8E6EAC-48A5-4375-8F71-A1B93564CE59}"/>
    <cellStyle name="40% - Accent3 2 13" xfId="13335" xr:uid="{69DA843D-F2E3-460F-B419-5448B4A84E44}"/>
    <cellStyle name="40% - Accent3 2 14" xfId="15225" xr:uid="{823F0375-92B6-4154-A9C8-258EDEB157CD}"/>
    <cellStyle name="40% - Accent3 2 15" xfId="17115" xr:uid="{7B6D3C76-485B-4485-8795-BC94BC2CFAC2}"/>
    <cellStyle name="40% - Accent3 2 16" xfId="19005" xr:uid="{92785C3F-81E0-4A88-AB5D-60BB02E40359}"/>
    <cellStyle name="40% - Accent3 2 17" xfId="20895" xr:uid="{3C61AB5C-C9FF-4576-BE8C-ACD2BEDAE53D}"/>
    <cellStyle name="40% - Accent3 2 18" xfId="22785" xr:uid="{CA9470B8-E8AC-477E-A4E6-BAEB59AB3404}"/>
    <cellStyle name="40% - Accent3 2 19" xfId="24675" xr:uid="{64EE6399-C5B4-47D0-B903-1B4F4A789F87}"/>
    <cellStyle name="40% - Accent3 2 2" xfId="210" xr:uid="{B6BD786E-A9C8-4B27-9AE1-07D4596ADE11}"/>
    <cellStyle name="40% - Accent3 2 2 10" xfId="9660" xr:uid="{EA895088-F059-473B-A9CD-FCB48728CDE8}"/>
    <cellStyle name="40% - Accent3 2 2 11" xfId="11550" xr:uid="{0931DE64-5CDB-4C3D-8F0F-B5614053FF42}"/>
    <cellStyle name="40% - Accent3 2 2 12" xfId="13440" xr:uid="{D69EC556-FE5C-4D4D-A90B-1F8EF2CCF1E1}"/>
    <cellStyle name="40% - Accent3 2 2 13" xfId="15330" xr:uid="{62AE31FD-8C18-445F-989F-396CD494CEE9}"/>
    <cellStyle name="40% - Accent3 2 2 14" xfId="17220" xr:uid="{97459250-51F9-4D08-B7C4-93C54063690A}"/>
    <cellStyle name="40% - Accent3 2 2 15" xfId="19110" xr:uid="{774CB7A2-99B9-43C5-9095-44208E0A95D6}"/>
    <cellStyle name="40% - Accent3 2 2 16" xfId="21000" xr:uid="{954F9A26-AA8C-4644-9FB9-0310D896514B}"/>
    <cellStyle name="40% - Accent3 2 2 17" xfId="22890" xr:uid="{73D5DA27-E4B3-46CC-863B-BF8CFD7C0502}"/>
    <cellStyle name="40% - Accent3 2 2 18" xfId="24780" xr:uid="{19C7AE04-4CE4-4337-BCB1-ADBE7DCDE995}"/>
    <cellStyle name="40% - Accent3 2 2 19" xfId="26670" xr:uid="{6FF89D76-F49B-4E1B-A609-31F4D470B19E}"/>
    <cellStyle name="40% - Accent3 2 2 2" xfId="420" xr:uid="{8E3F8121-C002-4B47-AC97-B469B0A8AF02}"/>
    <cellStyle name="40% - Accent3 2 2 2 10" xfId="13650" xr:uid="{1ECDDCE6-8ACE-4CEC-A8BC-96BF2FD2529C}"/>
    <cellStyle name="40% - Accent3 2 2 2 11" xfId="15540" xr:uid="{02544E45-ABED-4CE7-95A0-2A3372A70FA4}"/>
    <cellStyle name="40% - Accent3 2 2 2 12" xfId="17430" xr:uid="{7462E84D-D99C-47B6-912F-A29CF086F596}"/>
    <cellStyle name="40% - Accent3 2 2 2 13" xfId="19320" xr:uid="{360E50E6-3359-4106-93B7-02B8F7B03F43}"/>
    <cellStyle name="40% - Accent3 2 2 2 14" xfId="21210" xr:uid="{2D83F766-56F8-4EF0-9F28-31B999B8A69D}"/>
    <cellStyle name="40% - Accent3 2 2 2 15" xfId="23100" xr:uid="{017A20F9-B376-4FF0-AE30-7BA482FB0427}"/>
    <cellStyle name="40% - Accent3 2 2 2 16" xfId="24990" xr:uid="{AA9A4826-D5A1-4BF0-91F8-7009A244C1B9}"/>
    <cellStyle name="40% - Accent3 2 2 2 17" xfId="26880" xr:uid="{062E9086-1BD4-4869-AB55-A0C44B9776F7}"/>
    <cellStyle name="40% - Accent3 2 2 2 18" xfId="28770" xr:uid="{CFD0BAEA-E01F-4185-8B48-0C23714DAA9F}"/>
    <cellStyle name="40% - Accent3 2 2 2 19" xfId="30660" xr:uid="{615C21E4-C493-4C57-91B6-FB87A591224D}"/>
    <cellStyle name="40% - Accent3 2 2 2 2" xfId="1050" xr:uid="{66B611B8-7B2D-4452-9B96-4FC424BF4BBE}"/>
    <cellStyle name="40% - Accent3 2 2 2 2 10" xfId="18060" xr:uid="{D322B195-60E3-4748-89F4-43D584D957FA}"/>
    <cellStyle name="40% - Accent3 2 2 2 2 11" xfId="19950" xr:uid="{7EE0B1C5-0478-4E9E-A5BE-A2719A1DABC9}"/>
    <cellStyle name="40% - Accent3 2 2 2 2 12" xfId="21840" xr:uid="{0590D7CB-1F43-473C-9779-9BAD3296E746}"/>
    <cellStyle name="40% - Accent3 2 2 2 2 13" xfId="23730" xr:uid="{D2112066-CA16-4B8B-B1C3-EA0931BFCBD3}"/>
    <cellStyle name="40% - Accent3 2 2 2 2 14" xfId="25620" xr:uid="{CF2A6D41-D9AE-48E7-9E4A-DC6D198EECEC}"/>
    <cellStyle name="40% - Accent3 2 2 2 2 15" xfId="27510" xr:uid="{44661ED3-8C2D-458B-957A-191C2DAAE0D4}"/>
    <cellStyle name="40% - Accent3 2 2 2 2 16" xfId="29400" xr:uid="{3FE29906-6CDE-40C9-9E2E-53680CACDFE6}"/>
    <cellStyle name="40% - Accent3 2 2 2 2 17" xfId="31290" xr:uid="{A432866B-ED5F-475A-90D8-6C29E6D48EDB}"/>
    <cellStyle name="40% - Accent3 2 2 2 2 18" xfId="33180" xr:uid="{98AC7681-0355-4B94-8365-37F991219607}"/>
    <cellStyle name="40% - Accent3 2 2 2 2 19" xfId="35070" xr:uid="{B8584F9F-A719-4072-B3AA-A9DFA96A0847}"/>
    <cellStyle name="40% - Accent3 2 2 2 2 2" xfId="2940" xr:uid="{9167C416-D107-4CC7-BD28-AD49031B1E45}"/>
    <cellStyle name="40% - Accent3 2 2 2 2 20" xfId="36960" xr:uid="{C8301263-3397-4923-AD96-88B66CFAC874}"/>
    <cellStyle name="40% - Accent3 2 2 2 2 21" xfId="38850" xr:uid="{F3F80321-035A-46F2-8933-C8CEC9942694}"/>
    <cellStyle name="40% - Accent3 2 2 2 2 22" xfId="40741" xr:uid="{EB7E5B08-2BD9-40B3-8B44-B12B1D8D828B}"/>
    <cellStyle name="40% - Accent3 2 2 2 2 3" xfId="4830" xr:uid="{D794FADA-24ED-472A-8074-7BCAFC1DEF68}"/>
    <cellStyle name="40% - Accent3 2 2 2 2 4" xfId="6720" xr:uid="{9EB8E9A3-8C52-419C-A764-41EEA15F3A22}"/>
    <cellStyle name="40% - Accent3 2 2 2 2 5" xfId="8610" xr:uid="{4DAE3731-97A9-41B6-994A-9C9214BCAC4B}"/>
    <cellStyle name="40% - Accent3 2 2 2 2 6" xfId="10500" xr:uid="{15EB4986-7F2F-44A3-A526-55C3F375B954}"/>
    <cellStyle name="40% - Accent3 2 2 2 2 7" xfId="12390" xr:uid="{E9CA80BF-D74C-402B-9D9F-C5A01F891002}"/>
    <cellStyle name="40% - Accent3 2 2 2 2 8" xfId="14280" xr:uid="{5C11F216-0337-4BAB-927F-E0534C2BF01A}"/>
    <cellStyle name="40% - Accent3 2 2 2 2 9" xfId="16170" xr:uid="{637661FF-8422-43A3-87D8-FECDAE259CD4}"/>
    <cellStyle name="40% - Accent3 2 2 2 20" xfId="32550" xr:uid="{521B8628-DE4E-417B-B833-6E4545D2BD3D}"/>
    <cellStyle name="40% - Accent3 2 2 2 21" xfId="34440" xr:uid="{7478C8BF-A1AE-4EF2-B55F-53356D539E3A}"/>
    <cellStyle name="40% - Accent3 2 2 2 22" xfId="36330" xr:uid="{7F547934-4843-477A-9605-31285F329E4E}"/>
    <cellStyle name="40% - Accent3 2 2 2 23" xfId="38220" xr:uid="{3E1ED8B6-989B-4AFE-8D90-8284A71ABDC4}"/>
    <cellStyle name="40% - Accent3 2 2 2 24" xfId="40111" xr:uid="{E81D32F1-FEC0-4935-9DA6-FCE9799F2DAD}"/>
    <cellStyle name="40% - Accent3 2 2 2 3" xfId="1680" xr:uid="{1E3C3402-1962-47D2-9E09-3581C375E5E5}"/>
    <cellStyle name="40% - Accent3 2 2 2 3 10" xfId="18690" xr:uid="{1BEB64BF-33DD-4C01-926A-63358BC77C32}"/>
    <cellStyle name="40% - Accent3 2 2 2 3 11" xfId="20580" xr:uid="{2A0E69DE-E8BF-47FE-8631-8A65FA95CCE3}"/>
    <cellStyle name="40% - Accent3 2 2 2 3 12" xfId="22470" xr:uid="{12D2E4CA-DDF0-4B63-BBE5-F60FB6D6888A}"/>
    <cellStyle name="40% - Accent3 2 2 2 3 13" xfId="24360" xr:uid="{61C99D9D-FD21-449E-B066-7D948A805E7C}"/>
    <cellStyle name="40% - Accent3 2 2 2 3 14" xfId="26250" xr:uid="{8429B437-14F3-448E-8248-271953896E47}"/>
    <cellStyle name="40% - Accent3 2 2 2 3 15" xfId="28140" xr:uid="{0B29E563-8702-4CF6-AD69-032C19FD8B46}"/>
    <cellStyle name="40% - Accent3 2 2 2 3 16" xfId="30030" xr:uid="{0A0F948B-FD54-4C46-9C33-19A18EC479F9}"/>
    <cellStyle name="40% - Accent3 2 2 2 3 17" xfId="31920" xr:uid="{67FA16B9-E5B7-4F7D-A2D1-49C2A5DD3575}"/>
    <cellStyle name="40% - Accent3 2 2 2 3 18" xfId="33810" xr:uid="{9B235003-F301-448A-AA51-30A5CA4DB65C}"/>
    <cellStyle name="40% - Accent3 2 2 2 3 19" xfId="35700" xr:uid="{5AE95EF4-4E3F-41D1-9BBA-A80B737B473B}"/>
    <cellStyle name="40% - Accent3 2 2 2 3 2" xfId="3570" xr:uid="{11D95DD7-017F-47B6-9EFD-777D4D93FDDA}"/>
    <cellStyle name="40% - Accent3 2 2 2 3 20" xfId="37590" xr:uid="{C850C508-DE40-4647-9218-97FED825B3BA}"/>
    <cellStyle name="40% - Accent3 2 2 2 3 21" xfId="39480" xr:uid="{D3408FD8-C8D2-44DC-954E-C9E3F838C5C2}"/>
    <cellStyle name="40% - Accent3 2 2 2 3 22" xfId="41371" xr:uid="{3F3EF3E4-5235-49D7-8AAA-A4EDE463C0F1}"/>
    <cellStyle name="40% - Accent3 2 2 2 3 3" xfId="5460" xr:uid="{5635AD16-DA07-4EC8-8B10-EA4F192FA718}"/>
    <cellStyle name="40% - Accent3 2 2 2 3 4" xfId="7350" xr:uid="{9E171997-3C4F-4F6D-9956-89F38D3ABF64}"/>
    <cellStyle name="40% - Accent3 2 2 2 3 5" xfId="9240" xr:uid="{B3675A48-F15E-4D99-AE7C-6DC75275EF21}"/>
    <cellStyle name="40% - Accent3 2 2 2 3 6" xfId="11130" xr:uid="{0C764C8B-4EAE-47C9-8314-EBAF679E9B68}"/>
    <cellStyle name="40% - Accent3 2 2 2 3 7" xfId="13020" xr:uid="{454ACE95-113E-48A2-89BB-15C7A955ADF2}"/>
    <cellStyle name="40% - Accent3 2 2 2 3 8" xfId="14910" xr:uid="{EC97C273-D889-4048-BE79-6CAEAA7F4B09}"/>
    <cellStyle name="40% - Accent3 2 2 2 3 9" xfId="16800" xr:uid="{58F89AB9-E70F-4C75-881D-D69ECF8AA08A}"/>
    <cellStyle name="40% - Accent3 2 2 2 4" xfId="2310" xr:uid="{9D10E52D-82FD-4CFF-AD68-F7784AABE7CD}"/>
    <cellStyle name="40% - Accent3 2 2 2 5" xfId="4200" xr:uid="{1BCBDD0E-D9B0-4B7C-BD88-C8C9BDC3CBE1}"/>
    <cellStyle name="40% - Accent3 2 2 2 6" xfId="6090" xr:uid="{2E78224F-C4E6-4B60-A779-2171A52B7C06}"/>
    <cellStyle name="40% - Accent3 2 2 2 7" xfId="7980" xr:uid="{547C8461-D53D-4C53-A93B-E2883B187EEC}"/>
    <cellStyle name="40% - Accent3 2 2 2 8" xfId="9870" xr:uid="{102F6184-4E95-4BDD-9361-F72D51B6798F}"/>
    <cellStyle name="40% - Accent3 2 2 2 9" xfId="11760" xr:uid="{2DC77676-3CD2-4D31-99CE-2E2E33C36F4B}"/>
    <cellStyle name="40% - Accent3 2 2 20" xfId="28560" xr:uid="{98E86458-28C3-44DE-BEDA-3DF6D16A9683}"/>
    <cellStyle name="40% - Accent3 2 2 21" xfId="30450" xr:uid="{CE854F20-A8B4-4313-B9B0-C15145BC1FAA}"/>
    <cellStyle name="40% - Accent3 2 2 22" xfId="32340" xr:uid="{966E98E0-34C5-45E9-8C38-DEE73DD94624}"/>
    <cellStyle name="40% - Accent3 2 2 23" xfId="34230" xr:uid="{E14B7A53-95DC-4F37-9F91-82BCA8093F75}"/>
    <cellStyle name="40% - Accent3 2 2 24" xfId="36120" xr:uid="{6BAD1117-9826-4173-AE7E-D855E0BFA55E}"/>
    <cellStyle name="40% - Accent3 2 2 25" xfId="38010" xr:uid="{84912715-3655-4026-9128-81DFB9A0E7AA}"/>
    <cellStyle name="40% - Accent3 2 2 26" xfId="39901" xr:uid="{5B643936-4699-4AD4-9FE1-DB467D090392}"/>
    <cellStyle name="40% - Accent3 2 2 3" xfId="630" xr:uid="{D2D686FE-6702-4E3E-8194-21E1262C7CF9}"/>
    <cellStyle name="40% - Accent3 2 2 3 10" xfId="13860" xr:uid="{2132CE1D-06A0-423F-BD25-46DCD520DDDD}"/>
    <cellStyle name="40% - Accent3 2 2 3 11" xfId="15750" xr:uid="{1463BC8B-676A-4CB6-8B9A-16EF69C52442}"/>
    <cellStyle name="40% - Accent3 2 2 3 12" xfId="17640" xr:uid="{2D8DE2C6-9D85-4C9E-8673-F36BA30E2EAA}"/>
    <cellStyle name="40% - Accent3 2 2 3 13" xfId="19530" xr:uid="{F5267F29-AF7F-41D4-A612-A00638BB1687}"/>
    <cellStyle name="40% - Accent3 2 2 3 14" xfId="21420" xr:uid="{815CD868-5517-4A1D-B0C6-ABFA819D4321}"/>
    <cellStyle name="40% - Accent3 2 2 3 15" xfId="23310" xr:uid="{91B8D9D1-4093-4C6E-BC28-7C72B283398F}"/>
    <cellStyle name="40% - Accent3 2 2 3 16" xfId="25200" xr:uid="{4A3E68A5-1F30-469F-A8AA-FCECB7C27C9C}"/>
    <cellStyle name="40% - Accent3 2 2 3 17" xfId="27090" xr:uid="{2ED1B30A-99F4-4E32-8439-DC31A0C0C97F}"/>
    <cellStyle name="40% - Accent3 2 2 3 18" xfId="28980" xr:uid="{EA378DEE-66C9-4E88-97DB-18BAD3BDC06B}"/>
    <cellStyle name="40% - Accent3 2 2 3 19" xfId="30870" xr:uid="{7385D5B2-5FA2-498E-A29C-9CFF32576528}"/>
    <cellStyle name="40% - Accent3 2 2 3 2" xfId="1260" xr:uid="{E5B264A9-5B41-422A-9804-CCD121E40EEB}"/>
    <cellStyle name="40% - Accent3 2 2 3 2 10" xfId="18270" xr:uid="{F7EDAF2C-3B9F-45B4-BE64-DD6A30AC1600}"/>
    <cellStyle name="40% - Accent3 2 2 3 2 11" xfId="20160" xr:uid="{49E5AA7F-5642-4E64-BF2D-251AE8099556}"/>
    <cellStyle name="40% - Accent3 2 2 3 2 12" xfId="22050" xr:uid="{AE8B44BF-1C22-4D1A-B6DE-8D208004F8AF}"/>
    <cellStyle name="40% - Accent3 2 2 3 2 13" xfId="23940" xr:uid="{FDAA7ECB-69BA-42CC-AD06-96303DEECBC7}"/>
    <cellStyle name="40% - Accent3 2 2 3 2 14" xfId="25830" xr:uid="{8E654A6B-EFDE-440E-9215-405EC3E3B298}"/>
    <cellStyle name="40% - Accent3 2 2 3 2 15" xfId="27720" xr:uid="{334AD2FF-62C6-4144-BEDB-AE98A57CC1BB}"/>
    <cellStyle name="40% - Accent3 2 2 3 2 16" xfId="29610" xr:uid="{3F9D1E4F-6EA0-4065-A438-C7BFC3D1CD61}"/>
    <cellStyle name="40% - Accent3 2 2 3 2 17" xfId="31500" xr:uid="{59A931E6-A192-4C28-B051-4722F0C3C335}"/>
    <cellStyle name="40% - Accent3 2 2 3 2 18" xfId="33390" xr:uid="{3554A40D-4A9E-4076-9353-1488641582BA}"/>
    <cellStyle name="40% - Accent3 2 2 3 2 19" xfId="35280" xr:uid="{4279D7E9-18A8-4FFC-BF08-993FB1C87532}"/>
    <cellStyle name="40% - Accent3 2 2 3 2 2" xfId="3150" xr:uid="{669D23A4-61F7-443D-B419-E87954E81C72}"/>
    <cellStyle name="40% - Accent3 2 2 3 2 20" xfId="37170" xr:uid="{0DF9C549-89FA-4AE6-90CC-5B3E057F6687}"/>
    <cellStyle name="40% - Accent3 2 2 3 2 21" xfId="39060" xr:uid="{6ED92B2D-B034-4E2F-AF65-961D244D49E6}"/>
    <cellStyle name="40% - Accent3 2 2 3 2 22" xfId="40951" xr:uid="{B58D747B-9C00-4F6F-A062-883D22EA5E49}"/>
    <cellStyle name="40% - Accent3 2 2 3 2 3" xfId="5040" xr:uid="{33E1448E-FDAE-457C-89B3-84FA8A212A0F}"/>
    <cellStyle name="40% - Accent3 2 2 3 2 4" xfId="6930" xr:uid="{95BDFF5C-467F-4BF2-9383-7F622ECA9328}"/>
    <cellStyle name="40% - Accent3 2 2 3 2 5" xfId="8820" xr:uid="{57EE6FB8-8D88-4FDE-88B4-CB5634912362}"/>
    <cellStyle name="40% - Accent3 2 2 3 2 6" xfId="10710" xr:uid="{F1853871-E76B-49E5-BDD2-2FA51DE7CD8D}"/>
    <cellStyle name="40% - Accent3 2 2 3 2 7" xfId="12600" xr:uid="{627428AD-2F0E-4182-A38F-2AFA917C56E8}"/>
    <cellStyle name="40% - Accent3 2 2 3 2 8" xfId="14490" xr:uid="{A1C65D96-62BF-4C9A-BBA3-B3060B428651}"/>
    <cellStyle name="40% - Accent3 2 2 3 2 9" xfId="16380" xr:uid="{D4918DB1-286E-4FA5-B08B-5546E51AA2FD}"/>
    <cellStyle name="40% - Accent3 2 2 3 20" xfId="32760" xr:uid="{55DB09CE-B403-4901-8F72-A431D07D3C65}"/>
    <cellStyle name="40% - Accent3 2 2 3 21" xfId="34650" xr:uid="{64D2A61A-6076-4479-BA10-77362BCB018B}"/>
    <cellStyle name="40% - Accent3 2 2 3 22" xfId="36540" xr:uid="{48512744-1248-4B81-BB38-69E24BFB397F}"/>
    <cellStyle name="40% - Accent3 2 2 3 23" xfId="38430" xr:uid="{CA7D6DAD-4B7A-4DA3-9C86-78EB762DE982}"/>
    <cellStyle name="40% - Accent3 2 2 3 24" xfId="40321" xr:uid="{B22A098C-636B-4C2C-B6BB-33EBB4EB5010}"/>
    <cellStyle name="40% - Accent3 2 2 3 3" xfId="1890" xr:uid="{63BDCE90-1755-44F3-855B-C0E6EEAF3C63}"/>
    <cellStyle name="40% - Accent3 2 2 3 3 10" xfId="18900" xr:uid="{DD1A7C88-A1EC-4AAB-9BDF-2265DD45737A}"/>
    <cellStyle name="40% - Accent3 2 2 3 3 11" xfId="20790" xr:uid="{E15C5D8C-DECB-4FF0-954C-01EA92FDF0E1}"/>
    <cellStyle name="40% - Accent3 2 2 3 3 12" xfId="22680" xr:uid="{F18B8CA3-9991-4F1B-95E2-C26081E6B518}"/>
    <cellStyle name="40% - Accent3 2 2 3 3 13" xfId="24570" xr:uid="{9AF215C4-F859-4993-9AAC-5F190B495200}"/>
    <cellStyle name="40% - Accent3 2 2 3 3 14" xfId="26460" xr:uid="{607BD4AE-AB23-472F-8550-DFE8D003578D}"/>
    <cellStyle name="40% - Accent3 2 2 3 3 15" xfId="28350" xr:uid="{864B7C75-96F3-46DC-9FFD-8DC49275924C}"/>
    <cellStyle name="40% - Accent3 2 2 3 3 16" xfId="30240" xr:uid="{CBE3481B-87E5-4712-A2BD-F07FAE016366}"/>
    <cellStyle name="40% - Accent3 2 2 3 3 17" xfId="32130" xr:uid="{FEA2EA1D-338C-42D7-9F07-8AB42BBC50FB}"/>
    <cellStyle name="40% - Accent3 2 2 3 3 18" xfId="34020" xr:uid="{D6F7159D-621B-4DC8-9A47-BCD7555AD181}"/>
    <cellStyle name="40% - Accent3 2 2 3 3 19" xfId="35910" xr:uid="{DF1905B3-27F4-4F65-A3A3-67A0206B8FD5}"/>
    <cellStyle name="40% - Accent3 2 2 3 3 2" xfId="3780" xr:uid="{7834242B-38D5-4229-B2F3-AD11A80D2035}"/>
    <cellStyle name="40% - Accent3 2 2 3 3 20" xfId="37800" xr:uid="{1BA8784D-015F-48F7-9FD8-1EDC6EDCCA06}"/>
    <cellStyle name="40% - Accent3 2 2 3 3 21" xfId="39690" xr:uid="{1CDC497A-5FC4-4337-9915-24F0A05A4406}"/>
    <cellStyle name="40% - Accent3 2 2 3 3 22" xfId="41581" xr:uid="{BD4CA60C-A012-4F86-863F-15B0D59AEBC9}"/>
    <cellStyle name="40% - Accent3 2 2 3 3 3" xfId="5670" xr:uid="{15286D5D-4FF7-44DF-A960-7FC71380965D}"/>
    <cellStyle name="40% - Accent3 2 2 3 3 4" xfId="7560" xr:uid="{378D9297-64A9-495B-94C1-EB6EE300FC3C}"/>
    <cellStyle name="40% - Accent3 2 2 3 3 5" xfId="9450" xr:uid="{7C922AAB-17ED-4200-BE27-CB39A8780452}"/>
    <cellStyle name="40% - Accent3 2 2 3 3 6" xfId="11340" xr:uid="{D5A42372-81FC-44ED-9B29-1DAE7955A6FD}"/>
    <cellStyle name="40% - Accent3 2 2 3 3 7" xfId="13230" xr:uid="{7F1BDF59-DB3B-4FE5-927D-F590809ABC80}"/>
    <cellStyle name="40% - Accent3 2 2 3 3 8" xfId="15120" xr:uid="{1E83C401-FB7E-4E1D-995D-3C2066A3DFEB}"/>
    <cellStyle name="40% - Accent3 2 2 3 3 9" xfId="17010" xr:uid="{A211133D-354F-424E-AD07-D2BF5D3B128E}"/>
    <cellStyle name="40% - Accent3 2 2 3 4" xfId="2520" xr:uid="{7F97F3C3-0420-4904-93AE-6C1DD6DC5E93}"/>
    <cellStyle name="40% - Accent3 2 2 3 5" xfId="4410" xr:uid="{DF80CC04-D97A-4381-8F58-B0E07B38DC26}"/>
    <cellStyle name="40% - Accent3 2 2 3 6" xfId="6300" xr:uid="{3FF2DE55-DA20-45A0-9423-93784C14A78F}"/>
    <cellStyle name="40% - Accent3 2 2 3 7" xfId="8190" xr:uid="{6B142033-ACE3-4C84-B69B-01B7EC3E2E2D}"/>
    <cellStyle name="40% - Accent3 2 2 3 8" xfId="10080" xr:uid="{D1B70246-3C79-4971-A390-E28E68049BE1}"/>
    <cellStyle name="40% - Accent3 2 2 3 9" xfId="11970" xr:uid="{C80467BF-74F2-4773-BAC2-78E2F50B9ABC}"/>
    <cellStyle name="40% - Accent3 2 2 4" xfId="840" xr:uid="{F5A1158F-7121-419E-9231-1AB386A98D66}"/>
    <cellStyle name="40% - Accent3 2 2 4 10" xfId="17850" xr:uid="{8E1F53F7-6641-4C84-B572-921D8FD075B2}"/>
    <cellStyle name="40% - Accent3 2 2 4 11" xfId="19740" xr:uid="{93BB1908-DCF2-4D3F-8F10-EBF05FC078CF}"/>
    <cellStyle name="40% - Accent3 2 2 4 12" xfId="21630" xr:uid="{F3BEEBDD-5E4A-49D5-A732-291557E6D3E9}"/>
    <cellStyle name="40% - Accent3 2 2 4 13" xfId="23520" xr:uid="{0E0B7D6C-335D-4F45-A9E9-696ECC416A1F}"/>
    <cellStyle name="40% - Accent3 2 2 4 14" xfId="25410" xr:uid="{93B79B01-6411-44CD-ABC5-C68CB698285C}"/>
    <cellStyle name="40% - Accent3 2 2 4 15" xfId="27300" xr:uid="{D8426299-DC68-4048-8730-8EA5BA06E37A}"/>
    <cellStyle name="40% - Accent3 2 2 4 16" xfId="29190" xr:uid="{99261908-27DD-4DC7-9FE5-466549EEA676}"/>
    <cellStyle name="40% - Accent3 2 2 4 17" xfId="31080" xr:uid="{6595EC0F-0AE5-4A8A-92F9-84F7AA2667BC}"/>
    <cellStyle name="40% - Accent3 2 2 4 18" xfId="32970" xr:uid="{E9BE5157-31FD-41E2-B9AB-C7EB8F2888F9}"/>
    <cellStyle name="40% - Accent3 2 2 4 19" xfId="34860" xr:uid="{D6133DAA-36E5-4784-90E9-F3E1D7284151}"/>
    <cellStyle name="40% - Accent3 2 2 4 2" xfId="2730" xr:uid="{2498F26E-031D-4004-AC1C-779BAB8F025E}"/>
    <cellStyle name="40% - Accent3 2 2 4 20" xfId="36750" xr:uid="{59F2B520-9368-4BB3-98BB-FEFD85FDEBEF}"/>
    <cellStyle name="40% - Accent3 2 2 4 21" xfId="38640" xr:uid="{F186E519-1685-4C10-AACA-EF6DF84C92F5}"/>
    <cellStyle name="40% - Accent3 2 2 4 22" xfId="40531" xr:uid="{0B4AFA5C-7CEB-4566-8E25-6C00D291CA95}"/>
    <cellStyle name="40% - Accent3 2 2 4 3" xfId="4620" xr:uid="{3FDE037A-49D2-4F0F-A34A-DC618092BF93}"/>
    <cellStyle name="40% - Accent3 2 2 4 4" xfId="6510" xr:uid="{A42D4452-A1A4-4D7C-A72F-E2D595C9064C}"/>
    <cellStyle name="40% - Accent3 2 2 4 5" xfId="8400" xr:uid="{BC43C807-9831-4A80-9120-990C19A0ED14}"/>
    <cellStyle name="40% - Accent3 2 2 4 6" xfId="10290" xr:uid="{01311DA4-A066-4E5F-A03A-F27CECC9FA6A}"/>
    <cellStyle name="40% - Accent3 2 2 4 7" xfId="12180" xr:uid="{51A57005-24CC-432F-86C9-46554CD4CFE3}"/>
    <cellStyle name="40% - Accent3 2 2 4 8" xfId="14070" xr:uid="{34F3CBB6-0638-4337-B48A-6C5E3CCD88B1}"/>
    <cellStyle name="40% - Accent3 2 2 4 9" xfId="15960" xr:uid="{F29260FE-AB4A-4A83-A578-BBF408740BCD}"/>
    <cellStyle name="40% - Accent3 2 2 5" xfId="1470" xr:uid="{A5807739-ADB7-4492-A59F-4B65FBD7B3DF}"/>
    <cellStyle name="40% - Accent3 2 2 5 10" xfId="18480" xr:uid="{79B2A1C1-918D-40FF-B655-93926DCDC253}"/>
    <cellStyle name="40% - Accent3 2 2 5 11" xfId="20370" xr:uid="{D88F31F5-F678-46D7-936F-86A0F96F4086}"/>
    <cellStyle name="40% - Accent3 2 2 5 12" xfId="22260" xr:uid="{18B5DF3C-B376-4623-A96D-E692EEB0A4F9}"/>
    <cellStyle name="40% - Accent3 2 2 5 13" xfId="24150" xr:uid="{426BE463-D193-4744-B9EB-2E0F93C27F31}"/>
    <cellStyle name="40% - Accent3 2 2 5 14" xfId="26040" xr:uid="{5C9B41E9-956E-46BB-A617-60747B96267A}"/>
    <cellStyle name="40% - Accent3 2 2 5 15" xfId="27930" xr:uid="{3D476580-5AB1-4AC1-865F-0934E443FC83}"/>
    <cellStyle name="40% - Accent3 2 2 5 16" xfId="29820" xr:uid="{38BEA76D-8CF4-4073-9454-02DC9D269CEF}"/>
    <cellStyle name="40% - Accent3 2 2 5 17" xfId="31710" xr:uid="{8F8B0CF0-48C1-4A0A-8FDE-77873DD0521D}"/>
    <cellStyle name="40% - Accent3 2 2 5 18" xfId="33600" xr:uid="{19DCED3C-3C4C-4ACF-941C-CF32BEF34076}"/>
    <cellStyle name="40% - Accent3 2 2 5 19" xfId="35490" xr:uid="{E6B2FBAF-A359-4255-9E34-A489E404B2F3}"/>
    <cellStyle name="40% - Accent3 2 2 5 2" xfId="3360" xr:uid="{BB9893CF-CE30-44B0-8A26-E7B4D95DAA98}"/>
    <cellStyle name="40% - Accent3 2 2 5 20" xfId="37380" xr:uid="{6DBCAA6E-40FA-45B4-9155-D169F23EF6E2}"/>
    <cellStyle name="40% - Accent3 2 2 5 21" xfId="39270" xr:uid="{6E399CBB-4BF7-40C3-9577-E484837981E1}"/>
    <cellStyle name="40% - Accent3 2 2 5 22" xfId="41161" xr:uid="{51EDCC37-DE2C-4BCF-B73F-513864D2EE3D}"/>
    <cellStyle name="40% - Accent3 2 2 5 3" xfId="5250" xr:uid="{05512064-E214-42BF-8D93-3FC7AACA0247}"/>
    <cellStyle name="40% - Accent3 2 2 5 4" xfId="7140" xr:uid="{4E21A91D-A11C-4699-877A-B631F0405EFA}"/>
    <cellStyle name="40% - Accent3 2 2 5 5" xfId="9030" xr:uid="{08C7D144-1F89-44D8-868F-1CA3C8A9067B}"/>
    <cellStyle name="40% - Accent3 2 2 5 6" xfId="10920" xr:uid="{8781D1B4-354E-4B90-A429-8961E0EE8D6D}"/>
    <cellStyle name="40% - Accent3 2 2 5 7" xfId="12810" xr:uid="{8B3D5367-21BD-4C62-9773-90069EFA3F15}"/>
    <cellStyle name="40% - Accent3 2 2 5 8" xfId="14700" xr:uid="{CF0E0780-5CDA-469F-A9F8-39E9698B7FE0}"/>
    <cellStyle name="40% - Accent3 2 2 5 9" xfId="16590" xr:uid="{CADFFC7A-23D8-4E01-8CFF-7E09B4C43814}"/>
    <cellStyle name="40% - Accent3 2 2 6" xfId="2100" xr:uid="{E75ED53B-B562-4C5F-A20D-F4ED43F25CB8}"/>
    <cellStyle name="40% - Accent3 2 2 7" xfId="3990" xr:uid="{C988A54D-94B9-47DF-94F9-C0A60DAB895A}"/>
    <cellStyle name="40% - Accent3 2 2 8" xfId="5880" xr:uid="{60E62CC5-B726-46CD-800B-FB8C3BCB2329}"/>
    <cellStyle name="40% - Accent3 2 2 9" xfId="7770" xr:uid="{B57B2755-1470-4235-82F2-E93DCBE58720}"/>
    <cellStyle name="40% - Accent3 2 20" xfId="26565" xr:uid="{756BDF76-76F5-45DB-9D64-1AD47F0A9E64}"/>
    <cellStyle name="40% - Accent3 2 21" xfId="28455" xr:uid="{D1B992B5-FFC3-472A-8FF4-18C7DDB0D374}"/>
    <cellStyle name="40% - Accent3 2 22" xfId="30345" xr:uid="{4B7F40D0-6BF6-4790-8159-98DEB522DE96}"/>
    <cellStyle name="40% - Accent3 2 23" xfId="32235" xr:uid="{18C7EE33-1AF9-4B52-BBD4-79ACB9A2A7B8}"/>
    <cellStyle name="40% - Accent3 2 24" xfId="34125" xr:uid="{FE6196D9-66B0-4B01-8D27-61FC028C7A64}"/>
    <cellStyle name="40% - Accent3 2 25" xfId="36015" xr:uid="{05DF4070-0DAF-4496-A9CE-733BD2C101D3}"/>
    <cellStyle name="40% - Accent3 2 26" xfId="37905" xr:uid="{04DAACB5-0310-4A7D-AE6E-86DA4EC9D808}"/>
    <cellStyle name="40% - Accent3 2 27" xfId="39796" xr:uid="{B17DFAF1-6B31-4FA4-B81F-76CBF4156FD4}"/>
    <cellStyle name="40% - Accent3 2 3" xfId="315" xr:uid="{FEF48A7D-2F92-46A9-93D6-D480E91F9EE2}"/>
    <cellStyle name="40% - Accent3 2 3 10" xfId="13545" xr:uid="{8945AA79-2599-4C2E-8AE9-E5A4542E228B}"/>
    <cellStyle name="40% - Accent3 2 3 11" xfId="15435" xr:uid="{CB9FE663-D7C2-487B-9CC0-DC2D2DB05684}"/>
    <cellStyle name="40% - Accent3 2 3 12" xfId="17325" xr:uid="{E1C523EB-A231-4937-A753-991831D65F03}"/>
    <cellStyle name="40% - Accent3 2 3 13" xfId="19215" xr:uid="{1D46822F-D832-4992-89D6-E5948E9D67AE}"/>
    <cellStyle name="40% - Accent3 2 3 14" xfId="21105" xr:uid="{1C2BE4D0-CDFE-4F8B-8A70-771A33095C04}"/>
    <cellStyle name="40% - Accent3 2 3 15" xfId="22995" xr:uid="{004E8A00-5E8A-4C88-824C-83B35905EE94}"/>
    <cellStyle name="40% - Accent3 2 3 16" xfId="24885" xr:uid="{7056966C-3C7C-4279-839B-FE430055ECF5}"/>
    <cellStyle name="40% - Accent3 2 3 17" xfId="26775" xr:uid="{E0029418-A908-432F-A01B-E988140D5492}"/>
    <cellStyle name="40% - Accent3 2 3 18" xfId="28665" xr:uid="{11EA8F73-A86C-446C-AB7D-777229E06C89}"/>
    <cellStyle name="40% - Accent3 2 3 19" xfId="30555" xr:uid="{067E9A3A-BB41-41F9-AB0C-437FC195D6C9}"/>
    <cellStyle name="40% - Accent3 2 3 2" xfId="945" xr:uid="{90EA69F0-8E49-4D78-A295-6768F4D41F05}"/>
    <cellStyle name="40% - Accent3 2 3 2 10" xfId="17955" xr:uid="{60442F45-75FA-4A91-8B7C-DE938B505402}"/>
    <cellStyle name="40% - Accent3 2 3 2 11" xfId="19845" xr:uid="{853603DC-8D9C-4ACD-9E46-414DF3A6C5C0}"/>
    <cellStyle name="40% - Accent3 2 3 2 12" xfId="21735" xr:uid="{A4BBF9AA-A3EF-45BF-B87A-450A0FE9DCD8}"/>
    <cellStyle name="40% - Accent3 2 3 2 13" xfId="23625" xr:uid="{93F60FD8-5A04-4398-AB47-75F9982BBC40}"/>
    <cellStyle name="40% - Accent3 2 3 2 14" xfId="25515" xr:uid="{91036D60-CC52-4E18-B5FB-1F016A00A0D6}"/>
    <cellStyle name="40% - Accent3 2 3 2 15" xfId="27405" xr:uid="{685C374A-A077-46AE-A967-991008D9774C}"/>
    <cellStyle name="40% - Accent3 2 3 2 16" xfId="29295" xr:uid="{9454A7F6-E8BE-4690-8855-CBF32394B17A}"/>
    <cellStyle name="40% - Accent3 2 3 2 17" xfId="31185" xr:uid="{67590C29-F184-4B07-A117-480EBE42950E}"/>
    <cellStyle name="40% - Accent3 2 3 2 18" xfId="33075" xr:uid="{CCAB2CB2-1F5C-4EC4-857F-D98EBD6416E8}"/>
    <cellStyle name="40% - Accent3 2 3 2 19" xfId="34965" xr:uid="{24DE33C2-DFA2-4283-8849-C72430C963FD}"/>
    <cellStyle name="40% - Accent3 2 3 2 2" xfId="2835" xr:uid="{0CE9C912-CF13-4DEF-94E9-101E5087AE7A}"/>
    <cellStyle name="40% - Accent3 2 3 2 20" xfId="36855" xr:uid="{789F54E0-A796-437C-A9FF-443F9D774034}"/>
    <cellStyle name="40% - Accent3 2 3 2 21" xfId="38745" xr:uid="{912FC00B-228A-4E70-B2D8-FB0834F25CEE}"/>
    <cellStyle name="40% - Accent3 2 3 2 22" xfId="40636" xr:uid="{5F5CDDA3-D167-4F07-957B-0A027512C1C1}"/>
    <cellStyle name="40% - Accent3 2 3 2 3" xfId="4725" xr:uid="{BC093970-F60D-4ADB-A4A2-4BABC2E2BFA7}"/>
    <cellStyle name="40% - Accent3 2 3 2 4" xfId="6615" xr:uid="{DBF493F7-E3EF-4145-81DA-512B12E525EB}"/>
    <cellStyle name="40% - Accent3 2 3 2 5" xfId="8505" xr:uid="{5F8379BE-1E5F-46F3-A3FC-38FAEB35A96C}"/>
    <cellStyle name="40% - Accent3 2 3 2 6" xfId="10395" xr:uid="{3E6220D9-D6F8-4065-A129-6449A13D1A36}"/>
    <cellStyle name="40% - Accent3 2 3 2 7" xfId="12285" xr:uid="{FC6E4543-402E-4E39-8C6F-B4DB0150974D}"/>
    <cellStyle name="40% - Accent3 2 3 2 8" xfId="14175" xr:uid="{83A71893-5D51-41E1-97D0-054C1153D716}"/>
    <cellStyle name="40% - Accent3 2 3 2 9" xfId="16065" xr:uid="{3B1747FB-C01B-4411-8596-749B6C54C7EC}"/>
    <cellStyle name="40% - Accent3 2 3 20" xfId="32445" xr:uid="{7EDB2D27-9F79-4891-9545-91BC78D705A7}"/>
    <cellStyle name="40% - Accent3 2 3 21" xfId="34335" xr:uid="{D0854A79-8693-4237-BCAA-C2012589DE76}"/>
    <cellStyle name="40% - Accent3 2 3 22" xfId="36225" xr:uid="{FFA323BC-A42A-4233-837D-5BCF5969EA65}"/>
    <cellStyle name="40% - Accent3 2 3 23" xfId="38115" xr:uid="{46F9ED27-53F0-4492-97DF-19B419039EAA}"/>
    <cellStyle name="40% - Accent3 2 3 24" xfId="40006" xr:uid="{09460DA0-2847-4390-8DC4-D725C22EFB26}"/>
    <cellStyle name="40% - Accent3 2 3 3" xfId="1575" xr:uid="{5FF10364-0FDA-49A4-92F1-59BE354BF74F}"/>
    <cellStyle name="40% - Accent3 2 3 3 10" xfId="18585" xr:uid="{598FE7E8-4998-4DFD-8C5D-FC9D90B95845}"/>
    <cellStyle name="40% - Accent3 2 3 3 11" xfId="20475" xr:uid="{76DC755E-F647-4724-8D70-12D2E22F34C6}"/>
    <cellStyle name="40% - Accent3 2 3 3 12" xfId="22365" xr:uid="{79E50ABD-4E06-409F-B928-E748F1F9B519}"/>
    <cellStyle name="40% - Accent3 2 3 3 13" xfId="24255" xr:uid="{9F58079D-015C-4980-98D4-0552503C4308}"/>
    <cellStyle name="40% - Accent3 2 3 3 14" xfId="26145" xr:uid="{AD8E3ADE-FC75-4C1A-9762-772DD04F565C}"/>
    <cellStyle name="40% - Accent3 2 3 3 15" xfId="28035" xr:uid="{788CFDA7-49AC-4C7C-A59D-70B5EA625B58}"/>
    <cellStyle name="40% - Accent3 2 3 3 16" xfId="29925" xr:uid="{116E7BB2-D783-4D03-8DAA-4B94EDE72B86}"/>
    <cellStyle name="40% - Accent3 2 3 3 17" xfId="31815" xr:uid="{B4064AAA-288E-44F3-97EA-F69F232C99A7}"/>
    <cellStyle name="40% - Accent3 2 3 3 18" xfId="33705" xr:uid="{DD5BFD15-684E-4C93-85BC-F03559732D03}"/>
    <cellStyle name="40% - Accent3 2 3 3 19" xfId="35595" xr:uid="{4F060CCD-764E-477B-8C5B-323B4D7DBD8E}"/>
    <cellStyle name="40% - Accent3 2 3 3 2" xfId="3465" xr:uid="{D7AF36DF-58B1-4550-97C4-07B8E8F4D3A3}"/>
    <cellStyle name="40% - Accent3 2 3 3 20" xfId="37485" xr:uid="{248C9DD9-BC33-45A4-AB4D-E8EB1D7D9B44}"/>
    <cellStyle name="40% - Accent3 2 3 3 21" xfId="39375" xr:uid="{58207527-B56B-4D54-8217-DCCA81920C8B}"/>
    <cellStyle name="40% - Accent3 2 3 3 22" xfId="41266" xr:uid="{6B9D5690-320D-403D-BBBE-064AF7ED9860}"/>
    <cellStyle name="40% - Accent3 2 3 3 3" xfId="5355" xr:uid="{61DF2076-50AC-4AD7-A8AD-865FBD454BD3}"/>
    <cellStyle name="40% - Accent3 2 3 3 4" xfId="7245" xr:uid="{B2A6F397-50C0-4A8B-AD85-CE770097B4E8}"/>
    <cellStyle name="40% - Accent3 2 3 3 5" xfId="9135" xr:uid="{20C1C510-EE95-4D7E-BCF0-EFF38A2B24EF}"/>
    <cellStyle name="40% - Accent3 2 3 3 6" xfId="11025" xr:uid="{297B94E6-A5A5-407F-9C7E-7F13392B18D4}"/>
    <cellStyle name="40% - Accent3 2 3 3 7" xfId="12915" xr:uid="{92BFDB5A-7119-4A89-8DD2-79FD3F9B0928}"/>
    <cellStyle name="40% - Accent3 2 3 3 8" xfId="14805" xr:uid="{1D742C24-F293-4C8A-9CC1-A555212FF98A}"/>
    <cellStyle name="40% - Accent3 2 3 3 9" xfId="16695" xr:uid="{4B35EE2B-D8AB-40A7-AFC1-3808214BC4B5}"/>
    <cellStyle name="40% - Accent3 2 3 4" xfId="2205" xr:uid="{7034FDA7-9365-458E-BD6C-F2D7E1794F19}"/>
    <cellStyle name="40% - Accent3 2 3 5" xfId="4095" xr:uid="{DAA6B295-B9A8-4E30-A1B0-807435C86AB7}"/>
    <cellStyle name="40% - Accent3 2 3 6" xfId="5985" xr:uid="{266E88E2-F4CF-443D-AF9C-5B717C6E23E8}"/>
    <cellStyle name="40% - Accent3 2 3 7" xfId="7875" xr:uid="{628D201F-7960-4386-AF10-39F02703EC31}"/>
    <cellStyle name="40% - Accent3 2 3 8" xfId="9765" xr:uid="{1DE11DF9-D3FF-4493-A562-C5913B675CC7}"/>
    <cellStyle name="40% - Accent3 2 3 9" xfId="11655" xr:uid="{D7198B64-B322-42F3-A5CB-8F0FE2BA5C14}"/>
    <cellStyle name="40% - Accent3 2 4" xfId="525" xr:uid="{1F4B0678-5336-42BA-BE19-C22FF0283AB2}"/>
    <cellStyle name="40% - Accent3 2 4 10" xfId="13755" xr:uid="{DF7AC81D-36F1-4336-9095-FB4FC35B689C}"/>
    <cellStyle name="40% - Accent3 2 4 11" xfId="15645" xr:uid="{66CC6CE1-07F1-44FD-ABE1-1047C30570E6}"/>
    <cellStyle name="40% - Accent3 2 4 12" xfId="17535" xr:uid="{B35CA10A-AD2A-4F8B-A9EC-55D8F11362AA}"/>
    <cellStyle name="40% - Accent3 2 4 13" xfId="19425" xr:uid="{193BEEDE-70A4-4FBA-876D-E450A3BE847E}"/>
    <cellStyle name="40% - Accent3 2 4 14" xfId="21315" xr:uid="{FF676D5C-9986-42D8-8D01-7F0014EFABCE}"/>
    <cellStyle name="40% - Accent3 2 4 15" xfId="23205" xr:uid="{37AEBFEF-5A4E-4758-931C-98502F5349A7}"/>
    <cellStyle name="40% - Accent3 2 4 16" xfId="25095" xr:uid="{4EE71DEB-C9A7-42D0-949B-5430AAB11489}"/>
    <cellStyle name="40% - Accent3 2 4 17" xfId="26985" xr:uid="{9CD9C4B0-7FE6-4968-9CC4-E4E2D0F22617}"/>
    <cellStyle name="40% - Accent3 2 4 18" xfId="28875" xr:uid="{0C020989-5813-41F7-A39E-E52BCEF281AA}"/>
    <cellStyle name="40% - Accent3 2 4 19" xfId="30765" xr:uid="{61BD40E9-3A8B-46A5-B3FC-38DD4BDA581A}"/>
    <cellStyle name="40% - Accent3 2 4 2" xfId="1155" xr:uid="{4CCA5735-6891-4464-B658-F5088E6BC09E}"/>
    <cellStyle name="40% - Accent3 2 4 2 10" xfId="18165" xr:uid="{C28135E0-CA33-465D-B6E7-5A90965F7F16}"/>
    <cellStyle name="40% - Accent3 2 4 2 11" xfId="20055" xr:uid="{3F826A83-04B8-48DB-BA10-3AE107430516}"/>
    <cellStyle name="40% - Accent3 2 4 2 12" xfId="21945" xr:uid="{E55A03DC-A688-45A4-9155-57FF0A85AD81}"/>
    <cellStyle name="40% - Accent3 2 4 2 13" xfId="23835" xr:uid="{6C9F86BA-4034-4FC2-A8B8-689679BA2EF3}"/>
    <cellStyle name="40% - Accent3 2 4 2 14" xfId="25725" xr:uid="{3CBBA5C7-6DED-4EAA-BB1F-B1F92F4A4FF2}"/>
    <cellStyle name="40% - Accent3 2 4 2 15" xfId="27615" xr:uid="{53D5A51C-D8ED-4B73-BDA7-A4E71EFF80F7}"/>
    <cellStyle name="40% - Accent3 2 4 2 16" xfId="29505" xr:uid="{E169C9C2-A3DD-4E49-80A2-16B7F189DB44}"/>
    <cellStyle name="40% - Accent3 2 4 2 17" xfId="31395" xr:uid="{9BED3C23-91A7-4348-A686-04C8761C4F83}"/>
    <cellStyle name="40% - Accent3 2 4 2 18" xfId="33285" xr:uid="{2187E323-1AE8-4CAD-9A76-2CDCCE68B62A}"/>
    <cellStyle name="40% - Accent3 2 4 2 19" xfId="35175" xr:uid="{609C4AAE-A581-4EFB-B61A-AF89237F2C32}"/>
    <cellStyle name="40% - Accent3 2 4 2 2" xfId="3045" xr:uid="{5867ECA6-51ED-4969-B5BA-942B97BDF563}"/>
    <cellStyle name="40% - Accent3 2 4 2 20" xfId="37065" xr:uid="{943B35B5-7253-438F-A0AD-9F17A6DB0437}"/>
    <cellStyle name="40% - Accent3 2 4 2 21" xfId="38955" xr:uid="{E8513E5E-36F8-4B83-A3D6-40E6C74FF3FD}"/>
    <cellStyle name="40% - Accent3 2 4 2 22" xfId="40846" xr:uid="{B6322F48-DB1C-4DA0-8143-7FFD42F70E72}"/>
    <cellStyle name="40% - Accent3 2 4 2 3" xfId="4935" xr:uid="{22C71B88-7714-43D2-8967-E1D465311066}"/>
    <cellStyle name="40% - Accent3 2 4 2 4" xfId="6825" xr:uid="{49C5723E-15F2-4F77-B64C-564FFA0D4AB3}"/>
    <cellStyle name="40% - Accent3 2 4 2 5" xfId="8715" xr:uid="{90EE025A-B5C4-40E0-85A9-42E846A07032}"/>
    <cellStyle name="40% - Accent3 2 4 2 6" xfId="10605" xr:uid="{7F6ADC64-6AC2-4029-8DCD-6A427085314B}"/>
    <cellStyle name="40% - Accent3 2 4 2 7" xfId="12495" xr:uid="{B0E660D1-8250-4ACE-8F9F-269081CF5CCD}"/>
    <cellStyle name="40% - Accent3 2 4 2 8" xfId="14385" xr:uid="{83F9AFFB-CA08-4379-8BF5-6AC71A1C2212}"/>
    <cellStyle name="40% - Accent3 2 4 2 9" xfId="16275" xr:uid="{BC98772C-D017-4C84-AAB6-A53CFA0E8005}"/>
    <cellStyle name="40% - Accent3 2 4 20" xfId="32655" xr:uid="{498FA6D4-704D-4309-804B-40EC3FA84232}"/>
    <cellStyle name="40% - Accent3 2 4 21" xfId="34545" xr:uid="{A0F957F3-C768-4ED8-8569-EB88989B1A57}"/>
    <cellStyle name="40% - Accent3 2 4 22" xfId="36435" xr:uid="{9EAAC0F8-FB5D-4451-9051-A9B9EE0E0A4C}"/>
    <cellStyle name="40% - Accent3 2 4 23" xfId="38325" xr:uid="{DCF7F079-5133-49F8-BAAC-B8943383BF3D}"/>
    <cellStyle name="40% - Accent3 2 4 24" xfId="40216" xr:uid="{D9DB7EBF-983A-469C-A095-93066E972E7B}"/>
    <cellStyle name="40% - Accent3 2 4 3" xfId="1785" xr:uid="{568D031D-1C90-4573-810B-27DAEF86B6FB}"/>
    <cellStyle name="40% - Accent3 2 4 3 10" xfId="18795" xr:uid="{BA0DB815-9E49-4576-8CD6-4BC1F57E3EAE}"/>
    <cellStyle name="40% - Accent3 2 4 3 11" xfId="20685" xr:uid="{98B52924-8F2B-467A-9B0B-6AFA9DD47DD4}"/>
    <cellStyle name="40% - Accent3 2 4 3 12" xfId="22575" xr:uid="{32924C0F-7CC6-420E-B541-353B149526E2}"/>
    <cellStyle name="40% - Accent3 2 4 3 13" xfId="24465" xr:uid="{829904C3-A296-4D94-9820-91C62EB76473}"/>
    <cellStyle name="40% - Accent3 2 4 3 14" xfId="26355" xr:uid="{B0ED3CF4-43EB-4314-8129-115872B84743}"/>
    <cellStyle name="40% - Accent3 2 4 3 15" xfId="28245" xr:uid="{6680FE83-8C72-44BF-B81C-A51BB2E03297}"/>
    <cellStyle name="40% - Accent3 2 4 3 16" xfId="30135" xr:uid="{C2D4DD75-AD7C-4869-9EB0-8DF4A1B1987C}"/>
    <cellStyle name="40% - Accent3 2 4 3 17" xfId="32025" xr:uid="{11160365-2CE5-43EE-97E5-338E3DC8A132}"/>
    <cellStyle name="40% - Accent3 2 4 3 18" xfId="33915" xr:uid="{0CBF0DD4-3808-492D-A0B6-CB3B407B36F9}"/>
    <cellStyle name="40% - Accent3 2 4 3 19" xfId="35805" xr:uid="{13A53180-5C9E-4EC8-B04A-8CDC51AC8AB5}"/>
    <cellStyle name="40% - Accent3 2 4 3 2" xfId="3675" xr:uid="{5CA970EA-FE18-4FF5-9890-CE946BF28076}"/>
    <cellStyle name="40% - Accent3 2 4 3 20" xfId="37695" xr:uid="{55F734C8-8DB9-4F7F-B4B7-009B132D5E19}"/>
    <cellStyle name="40% - Accent3 2 4 3 21" xfId="39585" xr:uid="{11AB7376-C23D-4753-96E0-B03688F59B09}"/>
    <cellStyle name="40% - Accent3 2 4 3 22" xfId="41476" xr:uid="{1054B2DC-E9B3-41E1-90E9-DE3D3C4C74CD}"/>
    <cellStyle name="40% - Accent3 2 4 3 3" xfId="5565" xr:uid="{299647C2-2F54-4FF2-84EE-9534CA32617C}"/>
    <cellStyle name="40% - Accent3 2 4 3 4" xfId="7455" xr:uid="{E1454E91-22DD-44AB-BA0F-C7843C92C591}"/>
    <cellStyle name="40% - Accent3 2 4 3 5" xfId="9345" xr:uid="{43EA1F6D-44F2-4258-B3B1-76312D29C976}"/>
    <cellStyle name="40% - Accent3 2 4 3 6" xfId="11235" xr:uid="{274494CE-CAB5-4EDA-8638-A705B880F7F9}"/>
    <cellStyle name="40% - Accent3 2 4 3 7" xfId="13125" xr:uid="{42B1EA4B-A000-46CD-9DB9-040CDE30B8EA}"/>
    <cellStyle name="40% - Accent3 2 4 3 8" xfId="15015" xr:uid="{782A47C6-2470-4790-A263-D70F726C5951}"/>
    <cellStyle name="40% - Accent3 2 4 3 9" xfId="16905" xr:uid="{0692CF8F-25C2-46D7-B74E-E1758692CD5D}"/>
    <cellStyle name="40% - Accent3 2 4 4" xfId="2415" xr:uid="{6F5180FB-824D-4175-A3C8-8AE7432A0821}"/>
    <cellStyle name="40% - Accent3 2 4 5" xfId="4305" xr:uid="{4066FF51-E778-4E5A-9B6C-9EDD8E1DC023}"/>
    <cellStyle name="40% - Accent3 2 4 6" xfId="6195" xr:uid="{91F1C280-881E-4119-BA9D-A2B8D1539573}"/>
    <cellStyle name="40% - Accent3 2 4 7" xfId="8085" xr:uid="{CB2211C1-A4F6-40E6-B91B-E7EFC75901BB}"/>
    <cellStyle name="40% - Accent3 2 4 8" xfId="9975" xr:uid="{75C3F1FC-E7B7-4BD4-8B9B-EE9CCC4904F6}"/>
    <cellStyle name="40% - Accent3 2 4 9" xfId="11865" xr:uid="{A459EA42-3303-4250-B93F-07DAF880EC7B}"/>
    <cellStyle name="40% - Accent3 2 5" xfId="735" xr:uid="{C04BA3BF-A57E-4BAB-98FE-F3C5F7BF9F47}"/>
    <cellStyle name="40% - Accent3 2 5 10" xfId="17745" xr:uid="{55AC1F68-74FC-4B4A-B1B6-76546C78F339}"/>
    <cellStyle name="40% - Accent3 2 5 11" xfId="19635" xr:uid="{73C35F61-BB24-42D7-A1F2-AAD03B71E1F7}"/>
    <cellStyle name="40% - Accent3 2 5 12" xfId="21525" xr:uid="{DAA2C792-D7EA-44E7-A284-2B77BE959705}"/>
    <cellStyle name="40% - Accent3 2 5 13" xfId="23415" xr:uid="{D8646805-AC28-47C5-B33B-59CF1734089A}"/>
    <cellStyle name="40% - Accent3 2 5 14" xfId="25305" xr:uid="{FD02DA8F-C1C7-4B28-AF9E-C3289EECD2FA}"/>
    <cellStyle name="40% - Accent3 2 5 15" xfId="27195" xr:uid="{D3911857-3830-4971-B3DA-F7D9FB762631}"/>
    <cellStyle name="40% - Accent3 2 5 16" xfId="29085" xr:uid="{A5FE770B-C19F-4872-BEFE-B1C4733C8A21}"/>
    <cellStyle name="40% - Accent3 2 5 17" xfId="30975" xr:uid="{7F474DFE-B600-4A5E-8EF8-AF867B30A06F}"/>
    <cellStyle name="40% - Accent3 2 5 18" xfId="32865" xr:uid="{E05A8BD4-1C2E-47F1-9C8A-7997412F0DFD}"/>
    <cellStyle name="40% - Accent3 2 5 19" xfId="34755" xr:uid="{A32292A1-C0AA-427F-A22C-43660B077B48}"/>
    <cellStyle name="40% - Accent3 2 5 2" xfId="2625" xr:uid="{39FED172-07FD-4CA4-AF8C-C0BD5F31AC4D}"/>
    <cellStyle name="40% - Accent3 2 5 20" xfId="36645" xr:uid="{013D5107-72C9-4FA8-9130-E85EA6DEBF12}"/>
    <cellStyle name="40% - Accent3 2 5 21" xfId="38535" xr:uid="{F76EB649-D61B-4E56-A7A3-BBDAFF792AE1}"/>
    <cellStyle name="40% - Accent3 2 5 22" xfId="40426" xr:uid="{FF68663F-24CF-478C-B6CB-B5DA2D3E06BC}"/>
    <cellStyle name="40% - Accent3 2 5 3" xfId="4515" xr:uid="{51FC39AB-CC60-47B3-9EAD-CDADDB4997C2}"/>
    <cellStyle name="40% - Accent3 2 5 4" xfId="6405" xr:uid="{B4BDFDC5-5924-4CCD-846E-AE1C09D2B1BB}"/>
    <cellStyle name="40% - Accent3 2 5 5" xfId="8295" xr:uid="{5A017B80-8B0F-4E89-89BC-7426E11F6AFA}"/>
    <cellStyle name="40% - Accent3 2 5 6" xfId="10185" xr:uid="{2E49E06B-3551-478B-9359-AA64EED3691D}"/>
    <cellStyle name="40% - Accent3 2 5 7" xfId="12075" xr:uid="{4257A600-CE88-4B33-89C6-7B1E4EF321C0}"/>
    <cellStyle name="40% - Accent3 2 5 8" xfId="13965" xr:uid="{036B1F34-60B7-43A0-9C11-BA406F417A11}"/>
    <cellStyle name="40% - Accent3 2 5 9" xfId="15855" xr:uid="{9723884D-3771-4B4C-ABB7-74BA6C0B0260}"/>
    <cellStyle name="40% - Accent3 2 6" xfId="1365" xr:uid="{18BEB4CD-8755-494B-837E-DB639E49DB30}"/>
    <cellStyle name="40% - Accent3 2 6 10" xfId="18375" xr:uid="{CCDA815D-05D1-4426-80C6-68F1E13CA618}"/>
    <cellStyle name="40% - Accent3 2 6 11" xfId="20265" xr:uid="{4FB94475-4C1C-4D32-9ED7-982A57E302E5}"/>
    <cellStyle name="40% - Accent3 2 6 12" xfId="22155" xr:uid="{525DD3FC-FF5A-4700-A5C1-67E193E39122}"/>
    <cellStyle name="40% - Accent3 2 6 13" xfId="24045" xr:uid="{955015F2-CFCE-4812-933B-76E26B222D87}"/>
    <cellStyle name="40% - Accent3 2 6 14" xfId="25935" xr:uid="{C07675C4-69B2-4004-B15B-15A11CC5402E}"/>
    <cellStyle name="40% - Accent3 2 6 15" xfId="27825" xr:uid="{175C86A8-4396-4736-8E95-88EEB90F06BD}"/>
    <cellStyle name="40% - Accent3 2 6 16" xfId="29715" xr:uid="{05E52E5C-CC50-4CA1-A0CE-0BD99B2334F3}"/>
    <cellStyle name="40% - Accent3 2 6 17" xfId="31605" xr:uid="{07C29E49-DAE9-42DF-8722-DFBF30D790D8}"/>
    <cellStyle name="40% - Accent3 2 6 18" xfId="33495" xr:uid="{C05FD787-3A46-4B87-A447-BAA7EC7F97D9}"/>
    <cellStyle name="40% - Accent3 2 6 19" xfId="35385" xr:uid="{49359DEA-C365-4F9B-A3F1-1E6CCBBF4A21}"/>
    <cellStyle name="40% - Accent3 2 6 2" xfId="3255" xr:uid="{F8C646D2-473B-4CBC-9633-4D21A296A7FD}"/>
    <cellStyle name="40% - Accent3 2 6 20" xfId="37275" xr:uid="{F2719A2B-66F8-490A-B1B6-24ECB5C354E9}"/>
    <cellStyle name="40% - Accent3 2 6 21" xfId="39165" xr:uid="{5441614E-89CE-4D14-BB24-6816BA7C97F7}"/>
    <cellStyle name="40% - Accent3 2 6 22" xfId="41056" xr:uid="{534D5146-392A-45B0-8670-947ED8B6F6D5}"/>
    <cellStyle name="40% - Accent3 2 6 3" xfId="5145" xr:uid="{3545ABE0-CD70-4952-8207-6A2FF1F8BB8A}"/>
    <cellStyle name="40% - Accent3 2 6 4" xfId="7035" xr:uid="{18924C37-2FCB-418E-B32A-E13DCA704828}"/>
    <cellStyle name="40% - Accent3 2 6 5" xfId="8925" xr:uid="{B7A64A7C-747D-43EB-B142-3818D71BD8AC}"/>
    <cellStyle name="40% - Accent3 2 6 6" xfId="10815" xr:uid="{8BC3B369-0A40-4F62-927F-D6D4DC93E435}"/>
    <cellStyle name="40% - Accent3 2 6 7" xfId="12705" xr:uid="{426DC9D0-37AE-47F4-A250-80D3FC547412}"/>
    <cellStyle name="40% - Accent3 2 6 8" xfId="14595" xr:uid="{99D20D7A-F4B6-4D69-ABEA-1D084BC2CFE4}"/>
    <cellStyle name="40% - Accent3 2 6 9" xfId="16485" xr:uid="{8A8E8F8A-79D8-4944-ADE9-97FBC22518D8}"/>
    <cellStyle name="40% - Accent3 2 7" xfId="1995" xr:uid="{731A2080-C168-40AD-A3FD-B1B44FFD9C72}"/>
    <cellStyle name="40% - Accent3 2 8" xfId="3885" xr:uid="{2A05DD35-8B50-4905-997C-C8FD81F088CF}"/>
    <cellStyle name="40% - Accent3 2 9" xfId="5775" xr:uid="{F1F1462F-B32B-4410-A26A-EBEDDB6097BA}"/>
    <cellStyle name="40% - Accent3 20" xfId="22763" xr:uid="{4F5272A1-C2EB-473B-AF88-3172D2BCC891}"/>
    <cellStyle name="40% - Accent3 21" xfId="24653" xr:uid="{4FFA4BCC-497B-4E30-BBCD-3ED1B69486AA}"/>
    <cellStyle name="40% - Accent3 22" xfId="26543" xr:uid="{77AB327B-60DE-42A6-8CFF-8ED8BB100A5B}"/>
    <cellStyle name="40% - Accent3 23" xfId="28433" xr:uid="{597E03E3-86D5-4014-953C-D78992780152}"/>
    <cellStyle name="40% - Accent3 24" xfId="30323" xr:uid="{62877545-6E66-40E5-AF52-3FED1694ADCA}"/>
    <cellStyle name="40% - Accent3 25" xfId="32213" xr:uid="{DA83BE9A-6FD2-429C-A24A-BF6AD2E7A06B}"/>
    <cellStyle name="40% - Accent3 26" xfId="34103" xr:uid="{02D3F5AD-92AE-4EFC-9ECA-C7D01793F9B7}"/>
    <cellStyle name="40% - Accent3 27" xfId="35993" xr:uid="{4A9F8F86-586D-4AA7-BAE0-6D1AC65A52E2}"/>
    <cellStyle name="40% - Accent3 28" xfId="37883" xr:uid="{ED4420EE-7CB2-4925-A368-00165D51552A}"/>
    <cellStyle name="40% - Accent3 29" xfId="39774" xr:uid="{699074E2-1E58-40A5-B78F-0CD7D8B7E9B4}"/>
    <cellStyle name="40% - Accent3 3" xfId="125" xr:uid="{E924BE2D-FCE9-460E-8F44-3963F17278E7}"/>
    <cellStyle name="40% - Accent3 3 10" xfId="7685" xr:uid="{0D13AE88-2652-4761-A88C-C5D726D815C7}"/>
    <cellStyle name="40% - Accent3 3 11" xfId="9575" xr:uid="{978E1BF3-5795-4820-BEBA-35E5F66F3D49}"/>
    <cellStyle name="40% - Accent3 3 12" xfId="11465" xr:uid="{B50A598F-D116-424E-BE35-D859DDB0918D}"/>
    <cellStyle name="40% - Accent3 3 13" xfId="13355" xr:uid="{A4FA4800-47F0-4CD7-9030-B142D2EE72B1}"/>
    <cellStyle name="40% - Accent3 3 14" xfId="15245" xr:uid="{29B81E7B-8273-4947-AD22-62791A869ECD}"/>
    <cellStyle name="40% - Accent3 3 15" xfId="17135" xr:uid="{375D6102-C7A9-4866-84F6-B61F67ED25A7}"/>
    <cellStyle name="40% - Accent3 3 16" xfId="19025" xr:uid="{9AD727CA-AACB-4D36-9D1B-15D5FC7A0240}"/>
    <cellStyle name="40% - Accent3 3 17" xfId="20915" xr:uid="{1B9FBD93-C2A1-4F90-9FEC-D4FFE43F07BF}"/>
    <cellStyle name="40% - Accent3 3 18" xfId="22805" xr:uid="{F6504241-778E-47FF-BF41-5A66E98F046D}"/>
    <cellStyle name="40% - Accent3 3 19" xfId="24695" xr:uid="{5A706FF9-58F3-4BC2-AF08-CD8C35F3F67A}"/>
    <cellStyle name="40% - Accent3 3 2" xfId="230" xr:uid="{E0D14757-3E7E-4A14-82B5-4BF3A9FD26A8}"/>
    <cellStyle name="40% - Accent3 3 2 10" xfId="9680" xr:uid="{0B2A04A2-F949-4B86-9A6A-8D9347880498}"/>
    <cellStyle name="40% - Accent3 3 2 11" xfId="11570" xr:uid="{D892DB89-0E85-4604-91F3-69ECA1EDC4BE}"/>
    <cellStyle name="40% - Accent3 3 2 12" xfId="13460" xr:uid="{33F545DF-5B6D-4ABF-80FE-938A6FE6A84F}"/>
    <cellStyle name="40% - Accent3 3 2 13" xfId="15350" xr:uid="{AF5FDA90-CBD0-431E-80C3-FFBFB2ACCF67}"/>
    <cellStyle name="40% - Accent3 3 2 14" xfId="17240" xr:uid="{4418E14C-F79E-43C7-86C5-A9646141CD0B}"/>
    <cellStyle name="40% - Accent3 3 2 15" xfId="19130" xr:uid="{72D88BEF-A665-40B6-B118-52EE18A1E98C}"/>
    <cellStyle name="40% - Accent3 3 2 16" xfId="21020" xr:uid="{5FF604C3-78D8-45A8-835E-D9D287B023E5}"/>
    <cellStyle name="40% - Accent3 3 2 17" xfId="22910" xr:uid="{965F3C5D-2026-4A71-8B69-9FFFC4782F33}"/>
    <cellStyle name="40% - Accent3 3 2 18" xfId="24800" xr:uid="{17B355F2-A544-46BD-8600-12EDA8BF59AD}"/>
    <cellStyle name="40% - Accent3 3 2 19" xfId="26690" xr:uid="{CD7EA24A-048B-420E-9CE8-AC55D0E339C2}"/>
    <cellStyle name="40% - Accent3 3 2 2" xfId="440" xr:uid="{61755A10-B4FF-4F44-BEF2-734243135868}"/>
    <cellStyle name="40% - Accent3 3 2 2 10" xfId="13670" xr:uid="{9DF9E121-A899-41D2-9B6F-91293B5CEE15}"/>
    <cellStyle name="40% - Accent3 3 2 2 11" xfId="15560" xr:uid="{28BBC325-BF56-4C50-A25E-6265515F6CE9}"/>
    <cellStyle name="40% - Accent3 3 2 2 12" xfId="17450" xr:uid="{8FC5B7B8-0F68-435B-9706-D22004075206}"/>
    <cellStyle name="40% - Accent3 3 2 2 13" xfId="19340" xr:uid="{D0DEA8B7-99E4-4BFB-BEAA-A86AF6D407FD}"/>
    <cellStyle name="40% - Accent3 3 2 2 14" xfId="21230" xr:uid="{E48DB24F-3146-434B-9FF6-BC1EAC2F9875}"/>
    <cellStyle name="40% - Accent3 3 2 2 15" xfId="23120" xr:uid="{5C01CA1B-BF5A-48E5-8148-7AD58C0EA62C}"/>
    <cellStyle name="40% - Accent3 3 2 2 16" xfId="25010" xr:uid="{53222055-6A95-413D-AA88-2AF30F4128A1}"/>
    <cellStyle name="40% - Accent3 3 2 2 17" xfId="26900" xr:uid="{B29E9BCB-4966-4D0C-973F-25DD62C8F80F}"/>
    <cellStyle name="40% - Accent3 3 2 2 18" xfId="28790" xr:uid="{481F6BD1-CCF7-49EA-9B63-0872D7117E23}"/>
    <cellStyle name="40% - Accent3 3 2 2 19" xfId="30680" xr:uid="{00196C00-1692-4A11-B6AD-6DDCF30105A2}"/>
    <cellStyle name="40% - Accent3 3 2 2 2" xfId="1070" xr:uid="{D83475C8-4ABF-4E9F-A25F-4C8549DE719F}"/>
    <cellStyle name="40% - Accent3 3 2 2 2 10" xfId="18080" xr:uid="{66D6641F-2A84-4496-84DC-A579F2F29BC9}"/>
    <cellStyle name="40% - Accent3 3 2 2 2 11" xfId="19970" xr:uid="{F052346A-B82C-4321-A208-E7A690B91CB8}"/>
    <cellStyle name="40% - Accent3 3 2 2 2 12" xfId="21860" xr:uid="{AB5DA9AC-3642-4A0D-8AA9-21E987A3798B}"/>
    <cellStyle name="40% - Accent3 3 2 2 2 13" xfId="23750" xr:uid="{D42B5953-5B9B-420C-A093-31D1DA67883E}"/>
    <cellStyle name="40% - Accent3 3 2 2 2 14" xfId="25640" xr:uid="{114329F7-944E-48C5-B6DD-D765D00ACC7D}"/>
    <cellStyle name="40% - Accent3 3 2 2 2 15" xfId="27530" xr:uid="{D0FDD981-6D25-4093-9E82-6BF20AC2EB56}"/>
    <cellStyle name="40% - Accent3 3 2 2 2 16" xfId="29420" xr:uid="{E9A5A4C6-D580-4653-903F-E022E1969671}"/>
    <cellStyle name="40% - Accent3 3 2 2 2 17" xfId="31310" xr:uid="{CB10D50A-8064-4255-93D9-97C84835BB38}"/>
    <cellStyle name="40% - Accent3 3 2 2 2 18" xfId="33200" xr:uid="{9859B32E-E536-4D89-9855-32A01E1C5949}"/>
    <cellStyle name="40% - Accent3 3 2 2 2 19" xfId="35090" xr:uid="{60A7B906-BAB6-49BD-A31D-34D4D501D0C7}"/>
    <cellStyle name="40% - Accent3 3 2 2 2 2" xfId="2960" xr:uid="{EFFD2C13-CF6A-4E45-BE08-31196F7241CD}"/>
    <cellStyle name="40% - Accent3 3 2 2 2 20" xfId="36980" xr:uid="{BFD3D93A-8F75-45B4-9867-CF1E5F530FD6}"/>
    <cellStyle name="40% - Accent3 3 2 2 2 21" xfId="38870" xr:uid="{3A9398DB-B854-4489-9168-A052E4DF5A47}"/>
    <cellStyle name="40% - Accent3 3 2 2 2 22" xfId="40761" xr:uid="{3013B3F7-D64A-422D-890B-1346A5CC597E}"/>
    <cellStyle name="40% - Accent3 3 2 2 2 3" xfId="4850" xr:uid="{71B9FED3-6DEF-48D0-8D02-539713322DB7}"/>
    <cellStyle name="40% - Accent3 3 2 2 2 4" xfId="6740" xr:uid="{85617CE2-8161-4FC0-9CD7-6829486C5860}"/>
    <cellStyle name="40% - Accent3 3 2 2 2 5" xfId="8630" xr:uid="{6370535E-314F-44F9-8CF3-EE5D28266AA2}"/>
    <cellStyle name="40% - Accent3 3 2 2 2 6" xfId="10520" xr:uid="{C227BB26-4A2E-4AA3-9434-C22CFC6507A4}"/>
    <cellStyle name="40% - Accent3 3 2 2 2 7" xfId="12410" xr:uid="{2D238619-C4A4-4484-AE76-013D4070AB67}"/>
    <cellStyle name="40% - Accent3 3 2 2 2 8" xfId="14300" xr:uid="{86BF203C-216C-47D1-90DB-C67E135933DE}"/>
    <cellStyle name="40% - Accent3 3 2 2 2 9" xfId="16190" xr:uid="{F07B17DA-3A9E-4466-B99B-15F4B593AE15}"/>
    <cellStyle name="40% - Accent3 3 2 2 20" xfId="32570" xr:uid="{6E92A47C-78C2-4737-8DC4-E7F5D37F4FFB}"/>
    <cellStyle name="40% - Accent3 3 2 2 21" xfId="34460" xr:uid="{8A6B5C9D-42BF-489B-963C-7E9D27FB25DD}"/>
    <cellStyle name="40% - Accent3 3 2 2 22" xfId="36350" xr:uid="{72CA990D-EC39-46C1-90DF-099D63FDF2E8}"/>
    <cellStyle name="40% - Accent3 3 2 2 23" xfId="38240" xr:uid="{68A473BE-434E-472A-A610-6538492DA43F}"/>
    <cellStyle name="40% - Accent3 3 2 2 24" xfId="40131" xr:uid="{E1E6EAE6-F501-4539-860D-9B8AEB8E7CC8}"/>
    <cellStyle name="40% - Accent3 3 2 2 3" xfId="1700" xr:uid="{96E6CE98-62F0-468D-9B5F-97EA495CA4A1}"/>
    <cellStyle name="40% - Accent3 3 2 2 3 10" xfId="18710" xr:uid="{886BC545-B231-4E72-B295-E7B3809A0D91}"/>
    <cellStyle name="40% - Accent3 3 2 2 3 11" xfId="20600" xr:uid="{67415F85-5D13-4834-BB81-6CD28E3833F0}"/>
    <cellStyle name="40% - Accent3 3 2 2 3 12" xfId="22490" xr:uid="{8BA6F831-2EF2-4EC0-9083-BB176AE204D9}"/>
    <cellStyle name="40% - Accent3 3 2 2 3 13" xfId="24380" xr:uid="{32DA12F7-78C9-43AB-A73D-5E552B610AD6}"/>
    <cellStyle name="40% - Accent3 3 2 2 3 14" xfId="26270" xr:uid="{4E29247A-A4D0-4296-BD24-E9A16AE4B6A0}"/>
    <cellStyle name="40% - Accent3 3 2 2 3 15" xfId="28160" xr:uid="{D0429A20-0B88-4590-AEAB-EF1A34572CE7}"/>
    <cellStyle name="40% - Accent3 3 2 2 3 16" xfId="30050" xr:uid="{1D696695-5B78-4C11-9819-6D2CA5985B33}"/>
    <cellStyle name="40% - Accent3 3 2 2 3 17" xfId="31940" xr:uid="{662EC985-6060-4B87-9F59-6DBC31F6C2DC}"/>
    <cellStyle name="40% - Accent3 3 2 2 3 18" xfId="33830" xr:uid="{B7453284-4241-4F4F-B5A1-642C7F735DE5}"/>
    <cellStyle name="40% - Accent3 3 2 2 3 19" xfId="35720" xr:uid="{211DF23F-1132-4536-82A6-17869D477EE8}"/>
    <cellStyle name="40% - Accent3 3 2 2 3 2" xfId="3590" xr:uid="{A36B1235-1AD4-4241-A20F-238BB6DB1ADB}"/>
    <cellStyle name="40% - Accent3 3 2 2 3 20" xfId="37610" xr:uid="{6695ED01-93E7-4651-A268-670B4CF21D10}"/>
    <cellStyle name="40% - Accent3 3 2 2 3 21" xfId="39500" xr:uid="{4F6DCB8C-4BF6-426C-BB07-70BF29E7D545}"/>
    <cellStyle name="40% - Accent3 3 2 2 3 22" xfId="41391" xr:uid="{F7D31D39-ABAB-46EC-A255-8778447B0327}"/>
    <cellStyle name="40% - Accent3 3 2 2 3 3" xfId="5480" xr:uid="{47D88796-F92E-499E-9849-F8DA19BDC6CB}"/>
    <cellStyle name="40% - Accent3 3 2 2 3 4" xfId="7370" xr:uid="{15C19C77-9987-48F4-BB57-A0E68FB62BEA}"/>
    <cellStyle name="40% - Accent3 3 2 2 3 5" xfId="9260" xr:uid="{044F48C5-0F09-48B8-8960-96E02CA19E93}"/>
    <cellStyle name="40% - Accent3 3 2 2 3 6" xfId="11150" xr:uid="{11F70D5D-C789-4E78-9FEC-B65CC06C9031}"/>
    <cellStyle name="40% - Accent3 3 2 2 3 7" xfId="13040" xr:uid="{F715AC5B-CF7D-46C2-B778-69B91BFFCF9A}"/>
    <cellStyle name="40% - Accent3 3 2 2 3 8" xfId="14930" xr:uid="{0D8C6CA7-0F9D-49FE-A486-0BED3D9BF528}"/>
    <cellStyle name="40% - Accent3 3 2 2 3 9" xfId="16820" xr:uid="{F20CBE09-EACE-4DDB-8B7D-A0C2589858D0}"/>
    <cellStyle name="40% - Accent3 3 2 2 4" xfId="2330" xr:uid="{881B5D0D-7E6D-48C5-8981-0E0420A71BB4}"/>
    <cellStyle name="40% - Accent3 3 2 2 5" xfId="4220" xr:uid="{37802F4C-632D-4E00-9E23-781BDC12B96B}"/>
    <cellStyle name="40% - Accent3 3 2 2 6" xfId="6110" xr:uid="{2CAD34D6-EBD2-44AC-98F3-15D0A05F1708}"/>
    <cellStyle name="40% - Accent3 3 2 2 7" xfId="8000" xr:uid="{4E51498C-88EF-4CB6-97AB-EC00F9E4D3BF}"/>
    <cellStyle name="40% - Accent3 3 2 2 8" xfId="9890" xr:uid="{F538500F-67F2-4A9F-8466-96C876D97E45}"/>
    <cellStyle name="40% - Accent3 3 2 2 9" xfId="11780" xr:uid="{CBA6078B-93B1-4A16-85D0-AAE9F5B0D462}"/>
    <cellStyle name="40% - Accent3 3 2 20" xfId="28580" xr:uid="{57F71216-1207-45F1-BD2D-2BBCB1FA31DA}"/>
    <cellStyle name="40% - Accent3 3 2 21" xfId="30470" xr:uid="{7BA350BE-926A-4423-B84B-60A2CE97B4C2}"/>
    <cellStyle name="40% - Accent3 3 2 22" xfId="32360" xr:uid="{C20FB0D9-E61C-42E7-B970-716116975C15}"/>
    <cellStyle name="40% - Accent3 3 2 23" xfId="34250" xr:uid="{7F5E8E3D-61EF-4ABC-9385-BB44A74180C3}"/>
    <cellStyle name="40% - Accent3 3 2 24" xfId="36140" xr:uid="{A64CEB0B-5E5D-43F2-B13B-9885FEE0EADC}"/>
    <cellStyle name="40% - Accent3 3 2 25" xfId="38030" xr:uid="{00B5F6CF-947A-496D-BBC4-DA2D2556E147}"/>
    <cellStyle name="40% - Accent3 3 2 26" xfId="39921" xr:uid="{8930DDFB-026B-4819-AFFC-178EC4ED9EC6}"/>
    <cellStyle name="40% - Accent3 3 2 3" xfId="650" xr:uid="{E66BDF32-3E49-4108-B67E-FCD54BD326B2}"/>
    <cellStyle name="40% - Accent3 3 2 3 10" xfId="13880" xr:uid="{0FD8D988-851C-4204-99DF-95B90F7FBFF0}"/>
    <cellStyle name="40% - Accent3 3 2 3 11" xfId="15770" xr:uid="{6999E2A4-E834-4A0F-BACB-7CE4473149F0}"/>
    <cellStyle name="40% - Accent3 3 2 3 12" xfId="17660" xr:uid="{AA466334-0D3A-43DA-B547-79571630F8D3}"/>
    <cellStyle name="40% - Accent3 3 2 3 13" xfId="19550" xr:uid="{04AE9D52-B3F2-4EBA-AE2B-A9484CDA419B}"/>
    <cellStyle name="40% - Accent3 3 2 3 14" xfId="21440" xr:uid="{C1CEF3DF-76AD-45ED-BA3A-A5BDA454BAF1}"/>
    <cellStyle name="40% - Accent3 3 2 3 15" xfId="23330" xr:uid="{718AAFA5-D1B1-4041-9387-7A86C203BF85}"/>
    <cellStyle name="40% - Accent3 3 2 3 16" xfId="25220" xr:uid="{87DA9064-552B-40A1-A07B-FA153D4474D9}"/>
    <cellStyle name="40% - Accent3 3 2 3 17" xfId="27110" xr:uid="{5F953E90-9A22-4C9B-BA62-A445F6AAD5F3}"/>
    <cellStyle name="40% - Accent3 3 2 3 18" xfId="29000" xr:uid="{8B009388-2F25-4368-B873-0B4BAADA09CE}"/>
    <cellStyle name="40% - Accent3 3 2 3 19" xfId="30890" xr:uid="{B0E64AE1-5827-453C-9B37-C3E4C87B1387}"/>
    <cellStyle name="40% - Accent3 3 2 3 2" xfId="1280" xr:uid="{8E16CE96-1734-4EB5-A602-623D3B6D3B7E}"/>
    <cellStyle name="40% - Accent3 3 2 3 2 10" xfId="18290" xr:uid="{754FF4AC-02B8-4656-8C8B-D9BECEE34588}"/>
    <cellStyle name="40% - Accent3 3 2 3 2 11" xfId="20180" xr:uid="{4C0CE1AD-D41A-41B3-8FFB-403EC0C166AB}"/>
    <cellStyle name="40% - Accent3 3 2 3 2 12" xfId="22070" xr:uid="{CA5CFDC3-EECB-483E-8F7B-DA8BB416C140}"/>
    <cellStyle name="40% - Accent3 3 2 3 2 13" xfId="23960" xr:uid="{3CAEC9A7-054E-4270-98A5-236FE6C6B03E}"/>
    <cellStyle name="40% - Accent3 3 2 3 2 14" xfId="25850" xr:uid="{8A83297C-C5FB-4CD2-95A9-AB4590DEB11D}"/>
    <cellStyle name="40% - Accent3 3 2 3 2 15" xfId="27740" xr:uid="{7274BB86-0866-4F90-B688-6502B1330453}"/>
    <cellStyle name="40% - Accent3 3 2 3 2 16" xfId="29630" xr:uid="{356393C0-3E4F-4E41-8B67-20BFB94BA49C}"/>
    <cellStyle name="40% - Accent3 3 2 3 2 17" xfId="31520" xr:uid="{184E1F88-2EAC-4665-8A05-80CAB5A7C688}"/>
    <cellStyle name="40% - Accent3 3 2 3 2 18" xfId="33410" xr:uid="{59C403EA-CFC9-4786-84E4-01EF6DAEA7F0}"/>
    <cellStyle name="40% - Accent3 3 2 3 2 19" xfId="35300" xr:uid="{641AD8E3-69F4-458E-A6A6-0A6E958866F8}"/>
    <cellStyle name="40% - Accent3 3 2 3 2 2" xfId="3170" xr:uid="{06F3B8F9-D3B3-4D1D-96DF-8F4AFCB267E5}"/>
    <cellStyle name="40% - Accent3 3 2 3 2 20" xfId="37190" xr:uid="{82BFED74-A008-4E6A-884B-2AC19DA328D9}"/>
    <cellStyle name="40% - Accent3 3 2 3 2 21" xfId="39080" xr:uid="{91AA3BA4-F27A-4537-9C94-EA375D17D66F}"/>
    <cellStyle name="40% - Accent3 3 2 3 2 22" xfId="40971" xr:uid="{852A60D6-2768-47CB-9301-43789C51AB91}"/>
    <cellStyle name="40% - Accent3 3 2 3 2 3" xfId="5060" xr:uid="{8E762B89-313F-4F1A-8916-963F4B9695A0}"/>
    <cellStyle name="40% - Accent3 3 2 3 2 4" xfId="6950" xr:uid="{420F308C-6965-48FA-B3A5-96D8AE7E140E}"/>
    <cellStyle name="40% - Accent3 3 2 3 2 5" xfId="8840" xr:uid="{B0342164-5F71-4C1B-9B37-18AE792D3D9E}"/>
    <cellStyle name="40% - Accent3 3 2 3 2 6" xfId="10730" xr:uid="{316F3332-C644-4AF1-A7AF-D1A0A3F40C40}"/>
    <cellStyle name="40% - Accent3 3 2 3 2 7" xfId="12620" xr:uid="{48050DAA-B255-49FB-8516-26264610A113}"/>
    <cellStyle name="40% - Accent3 3 2 3 2 8" xfId="14510" xr:uid="{BB380957-E677-4434-89B0-33ED5FB631B0}"/>
    <cellStyle name="40% - Accent3 3 2 3 2 9" xfId="16400" xr:uid="{ED4C82CF-FC41-4EFB-8418-77556019745C}"/>
    <cellStyle name="40% - Accent3 3 2 3 20" xfId="32780" xr:uid="{23E03516-5469-49DA-AFD0-5814A9FB6E95}"/>
    <cellStyle name="40% - Accent3 3 2 3 21" xfId="34670" xr:uid="{BFA482C6-5F56-4258-A959-921413B8F3BE}"/>
    <cellStyle name="40% - Accent3 3 2 3 22" xfId="36560" xr:uid="{13B8B95A-F8FA-4F17-A9A1-E7053C2F69CE}"/>
    <cellStyle name="40% - Accent3 3 2 3 23" xfId="38450" xr:uid="{1CE63C57-4E69-4399-BA4A-2BC8FAF438C1}"/>
    <cellStyle name="40% - Accent3 3 2 3 24" xfId="40341" xr:uid="{69616884-4CAD-44DF-9C5E-CE79615614C6}"/>
    <cellStyle name="40% - Accent3 3 2 3 3" xfId="1910" xr:uid="{A72A7AD3-8B9C-4182-85D7-7574A33A6083}"/>
    <cellStyle name="40% - Accent3 3 2 3 3 10" xfId="18920" xr:uid="{662E6242-F7B0-4EAC-B138-2218424BCEA4}"/>
    <cellStyle name="40% - Accent3 3 2 3 3 11" xfId="20810" xr:uid="{2D3EEEB0-5243-41FB-85D3-F92E82504780}"/>
    <cellStyle name="40% - Accent3 3 2 3 3 12" xfId="22700" xr:uid="{39D89673-FA4B-4EDB-A2BF-8DC41F3DEB1F}"/>
    <cellStyle name="40% - Accent3 3 2 3 3 13" xfId="24590" xr:uid="{D94A82BE-1755-47ED-B2BA-D4C2A6A002E2}"/>
    <cellStyle name="40% - Accent3 3 2 3 3 14" xfId="26480" xr:uid="{4F8B216C-893A-43DA-9B73-4C5BB1C43A62}"/>
    <cellStyle name="40% - Accent3 3 2 3 3 15" xfId="28370" xr:uid="{B9B854AC-32B0-4314-BE25-35DCD30376C3}"/>
    <cellStyle name="40% - Accent3 3 2 3 3 16" xfId="30260" xr:uid="{A366F2AA-CF99-4C80-ABB6-126A59F9DAA2}"/>
    <cellStyle name="40% - Accent3 3 2 3 3 17" xfId="32150" xr:uid="{B8A5294E-0C5B-4B87-B66E-837BFD472EBA}"/>
    <cellStyle name="40% - Accent3 3 2 3 3 18" xfId="34040" xr:uid="{4302BEFC-9838-46F8-AD58-D769DD0AB957}"/>
    <cellStyle name="40% - Accent3 3 2 3 3 19" xfId="35930" xr:uid="{C4B27A8D-300E-4845-974E-5BED2BD7906A}"/>
    <cellStyle name="40% - Accent3 3 2 3 3 2" xfId="3800" xr:uid="{D1024A64-AF26-40C4-A366-0E29E74A47E2}"/>
    <cellStyle name="40% - Accent3 3 2 3 3 20" xfId="37820" xr:uid="{DA8A6329-BC5E-483D-8377-4F715DD3DABC}"/>
    <cellStyle name="40% - Accent3 3 2 3 3 21" xfId="39710" xr:uid="{AE05E0BF-B9E6-4F14-B094-AE434E309A79}"/>
    <cellStyle name="40% - Accent3 3 2 3 3 22" xfId="41601" xr:uid="{C27BA678-EB1D-46A9-99E3-2EB434638742}"/>
    <cellStyle name="40% - Accent3 3 2 3 3 3" xfId="5690" xr:uid="{C07F10EB-9FD5-436A-9991-2A8B4BA4E512}"/>
    <cellStyle name="40% - Accent3 3 2 3 3 4" xfId="7580" xr:uid="{05E0CDCB-CF93-483D-BA22-A23A52522CDD}"/>
    <cellStyle name="40% - Accent3 3 2 3 3 5" xfId="9470" xr:uid="{44FAB702-42FF-41B2-BCFF-C14817A94BE4}"/>
    <cellStyle name="40% - Accent3 3 2 3 3 6" xfId="11360" xr:uid="{337D12DF-D930-4B39-9E34-8C1F6CAC8DCB}"/>
    <cellStyle name="40% - Accent3 3 2 3 3 7" xfId="13250" xr:uid="{D03A2041-A94B-4A4F-9A48-28BF23451A03}"/>
    <cellStyle name="40% - Accent3 3 2 3 3 8" xfId="15140" xr:uid="{4852FE96-E1D6-45A3-9253-B8FA4512ADA6}"/>
    <cellStyle name="40% - Accent3 3 2 3 3 9" xfId="17030" xr:uid="{35D82AE7-5856-4E19-B931-24BECE2E6350}"/>
    <cellStyle name="40% - Accent3 3 2 3 4" xfId="2540" xr:uid="{A214C6CE-4646-4AB8-B1A4-2CFD1BD02288}"/>
    <cellStyle name="40% - Accent3 3 2 3 5" xfId="4430" xr:uid="{4F98D116-2760-43E3-8798-F062E8518A40}"/>
    <cellStyle name="40% - Accent3 3 2 3 6" xfId="6320" xr:uid="{9A48DBE8-0D8B-4F78-895B-C4BCFDF70A53}"/>
    <cellStyle name="40% - Accent3 3 2 3 7" xfId="8210" xr:uid="{C5EA6A01-F221-4DD3-91A1-6BAC09AF2EC1}"/>
    <cellStyle name="40% - Accent3 3 2 3 8" xfId="10100" xr:uid="{90873D88-607B-4C4D-9702-7B7DA73E5C33}"/>
    <cellStyle name="40% - Accent3 3 2 3 9" xfId="11990" xr:uid="{89C4C4CF-9E20-46ED-A9AB-B9D3A768FCF4}"/>
    <cellStyle name="40% - Accent3 3 2 4" xfId="860" xr:uid="{1ACE19DD-4DC3-4D00-8F2F-60F5371D7BC5}"/>
    <cellStyle name="40% - Accent3 3 2 4 10" xfId="17870" xr:uid="{598F4186-0974-4D5B-9E38-8BCA163E54BC}"/>
    <cellStyle name="40% - Accent3 3 2 4 11" xfId="19760" xr:uid="{173307B0-EBE7-4D73-AD6F-0783582F148E}"/>
    <cellStyle name="40% - Accent3 3 2 4 12" xfId="21650" xr:uid="{7A7C030E-EC4C-40E8-8758-F50C3CC09F8B}"/>
    <cellStyle name="40% - Accent3 3 2 4 13" xfId="23540" xr:uid="{06C8C5F4-EBB1-428B-8BFF-07EAB9D421E0}"/>
    <cellStyle name="40% - Accent3 3 2 4 14" xfId="25430" xr:uid="{7635859D-44CB-4480-8C9E-2B224230CE3B}"/>
    <cellStyle name="40% - Accent3 3 2 4 15" xfId="27320" xr:uid="{771EC0B0-BF8D-4DE9-B15F-B72A9A4BE8F9}"/>
    <cellStyle name="40% - Accent3 3 2 4 16" xfId="29210" xr:uid="{B8EBC1AE-06B7-4480-9A0C-52DF0134C55F}"/>
    <cellStyle name="40% - Accent3 3 2 4 17" xfId="31100" xr:uid="{27D80DB5-6B32-496E-B3D9-0EBFFE3C7747}"/>
    <cellStyle name="40% - Accent3 3 2 4 18" xfId="32990" xr:uid="{B264AF04-DA1D-45EB-AE5C-31A8ABFCC968}"/>
    <cellStyle name="40% - Accent3 3 2 4 19" xfId="34880" xr:uid="{DC2B91F6-2A0D-4CA4-804B-BC3BF200635B}"/>
    <cellStyle name="40% - Accent3 3 2 4 2" xfId="2750" xr:uid="{5FDDF250-45F5-4BF6-98DD-3BBB437A397A}"/>
    <cellStyle name="40% - Accent3 3 2 4 20" xfId="36770" xr:uid="{84416BE2-A022-4CF0-90E7-5AA4BF17FE64}"/>
    <cellStyle name="40% - Accent3 3 2 4 21" xfId="38660" xr:uid="{72362CE2-0FFD-4684-B78D-5D4B76D0C5E3}"/>
    <cellStyle name="40% - Accent3 3 2 4 22" xfId="40551" xr:uid="{7E46F042-1F83-4122-B6EA-165D31AFDB9C}"/>
    <cellStyle name="40% - Accent3 3 2 4 3" xfId="4640" xr:uid="{9DF8AA11-B66C-4490-939A-08B9C18E7DEE}"/>
    <cellStyle name="40% - Accent3 3 2 4 4" xfId="6530" xr:uid="{0F7E36DD-D435-4F8D-8DF1-0AE17713C5A8}"/>
    <cellStyle name="40% - Accent3 3 2 4 5" xfId="8420" xr:uid="{2637F6BF-D396-4F49-8D05-23D5BC8BA50A}"/>
    <cellStyle name="40% - Accent3 3 2 4 6" xfId="10310" xr:uid="{D317ABF6-F43A-47EE-83B6-5B1ECC04841B}"/>
    <cellStyle name="40% - Accent3 3 2 4 7" xfId="12200" xr:uid="{1A3D1D8B-95E1-4ABC-A010-ABEBF6C112B3}"/>
    <cellStyle name="40% - Accent3 3 2 4 8" xfId="14090" xr:uid="{0B816A5E-3812-4CA5-A83B-ABB714F2611B}"/>
    <cellStyle name="40% - Accent3 3 2 4 9" xfId="15980" xr:uid="{E51F8020-2B46-43CF-BC72-F9EEB9C2E1B7}"/>
    <cellStyle name="40% - Accent3 3 2 5" xfId="1490" xr:uid="{0167FB2B-B78A-432D-B50B-39D65DAF5EF3}"/>
    <cellStyle name="40% - Accent3 3 2 5 10" xfId="18500" xr:uid="{1234FA8D-65A7-48EA-802C-8CBA8792DA69}"/>
    <cellStyle name="40% - Accent3 3 2 5 11" xfId="20390" xr:uid="{B46997EF-37D0-4DA4-BEB2-2707D481DB06}"/>
    <cellStyle name="40% - Accent3 3 2 5 12" xfId="22280" xr:uid="{657CCA0F-6C50-45FD-B9DA-A8162116DEB6}"/>
    <cellStyle name="40% - Accent3 3 2 5 13" xfId="24170" xr:uid="{D03309BD-9CF1-4CD7-94D8-EBD7C1D55E41}"/>
    <cellStyle name="40% - Accent3 3 2 5 14" xfId="26060" xr:uid="{4664B608-6E8B-4D33-B34E-2A906A50A8D9}"/>
    <cellStyle name="40% - Accent3 3 2 5 15" xfId="27950" xr:uid="{11BA7E70-EF7C-4F33-BC5B-C30356F4718E}"/>
    <cellStyle name="40% - Accent3 3 2 5 16" xfId="29840" xr:uid="{9693960D-10F5-4F32-9252-AA15A0C463DA}"/>
    <cellStyle name="40% - Accent3 3 2 5 17" xfId="31730" xr:uid="{9505F5FE-0142-4F32-80AB-09EC11C9933B}"/>
    <cellStyle name="40% - Accent3 3 2 5 18" xfId="33620" xr:uid="{838D1F67-0EA4-45D2-862D-411B1E3909C6}"/>
    <cellStyle name="40% - Accent3 3 2 5 19" xfId="35510" xr:uid="{F529B405-5951-4615-B5D3-007CA0617C91}"/>
    <cellStyle name="40% - Accent3 3 2 5 2" xfId="3380" xr:uid="{19FFCCE2-43AF-4F84-AA38-724A50D6E98E}"/>
    <cellStyle name="40% - Accent3 3 2 5 20" xfId="37400" xr:uid="{66369794-1025-4934-B827-C7A91B7A7C52}"/>
    <cellStyle name="40% - Accent3 3 2 5 21" xfId="39290" xr:uid="{398A91BB-DF3E-48F7-A147-FC71492A835D}"/>
    <cellStyle name="40% - Accent3 3 2 5 22" xfId="41181" xr:uid="{5D004FF4-50FB-429A-8A6F-5B8D3FC5B345}"/>
    <cellStyle name="40% - Accent3 3 2 5 3" xfId="5270" xr:uid="{4EB54249-3350-4E26-877B-0664A089A4A9}"/>
    <cellStyle name="40% - Accent3 3 2 5 4" xfId="7160" xr:uid="{3A3A68A9-C613-43BA-842A-4D3700D522C6}"/>
    <cellStyle name="40% - Accent3 3 2 5 5" xfId="9050" xr:uid="{7135637E-65DB-41E5-A406-5AE27DF03636}"/>
    <cellStyle name="40% - Accent3 3 2 5 6" xfId="10940" xr:uid="{08D30C17-4380-4CE3-88D2-0D32B096D1CD}"/>
    <cellStyle name="40% - Accent3 3 2 5 7" xfId="12830" xr:uid="{C4FF9DF1-47DF-4E8B-B2A7-6A11404E4C11}"/>
    <cellStyle name="40% - Accent3 3 2 5 8" xfId="14720" xr:uid="{E9D37855-77A1-4B71-8EAC-460C3017BCE8}"/>
    <cellStyle name="40% - Accent3 3 2 5 9" xfId="16610" xr:uid="{16E698DE-4979-4AE2-8015-20DFBAF60899}"/>
    <cellStyle name="40% - Accent3 3 2 6" xfId="2120" xr:uid="{5A7C0FF0-7311-425E-A27B-0E5FCE558A3B}"/>
    <cellStyle name="40% - Accent3 3 2 7" xfId="4010" xr:uid="{BBF4F225-D67E-4C79-963C-029D039FA66B}"/>
    <cellStyle name="40% - Accent3 3 2 8" xfId="5900" xr:uid="{2B351D16-0EE9-4B03-9329-82567E57C5A0}"/>
    <cellStyle name="40% - Accent3 3 2 9" xfId="7790" xr:uid="{C5DED47B-951E-4219-AADD-92449BC13FDB}"/>
    <cellStyle name="40% - Accent3 3 20" xfId="26585" xr:uid="{C14FB5BE-2349-4961-A0C8-C8DAE574682E}"/>
    <cellStyle name="40% - Accent3 3 21" xfId="28475" xr:uid="{86621061-56EE-48BC-9C43-A2F9B8A8FD6C}"/>
    <cellStyle name="40% - Accent3 3 22" xfId="30365" xr:uid="{5B11984E-711B-491A-8412-6FC197100AAF}"/>
    <cellStyle name="40% - Accent3 3 23" xfId="32255" xr:uid="{4854FC9C-5FBF-474D-8775-A489FEC1D350}"/>
    <cellStyle name="40% - Accent3 3 24" xfId="34145" xr:uid="{11F20FF4-3A04-4231-A7FB-E4A9D1F79A80}"/>
    <cellStyle name="40% - Accent3 3 25" xfId="36035" xr:uid="{7D1B1240-0773-4F30-B139-D1C8E334B8E5}"/>
    <cellStyle name="40% - Accent3 3 26" xfId="37925" xr:uid="{4D62C1EC-CB11-4B57-A3E7-C32B08EC5A6B}"/>
    <cellStyle name="40% - Accent3 3 27" xfId="39816" xr:uid="{B6D33DD1-E7F4-417C-9D4E-5C16E548CC24}"/>
    <cellStyle name="40% - Accent3 3 3" xfId="335" xr:uid="{222F7C4F-87F6-40D2-A5EA-484183D0417E}"/>
    <cellStyle name="40% - Accent3 3 3 10" xfId="13565" xr:uid="{4EFE34F0-DD3B-4C1B-80F0-0548485365FC}"/>
    <cellStyle name="40% - Accent3 3 3 11" xfId="15455" xr:uid="{6A81F53A-AC00-4E5B-ADEA-5AD5CB8CDC45}"/>
    <cellStyle name="40% - Accent3 3 3 12" xfId="17345" xr:uid="{FF7BE445-05D1-4E3F-9370-77D5329E8BB0}"/>
    <cellStyle name="40% - Accent3 3 3 13" xfId="19235" xr:uid="{F40E7422-0F67-4079-8965-0ACD4350BA81}"/>
    <cellStyle name="40% - Accent3 3 3 14" xfId="21125" xr:uid="{95A0C416-BDF4-4A95-88D7-EECC6746B377}"/>
    <cellStyle name="40% - Accent3 3 3 15" xfId="23015" xr:uid="{E911724F-BDED-4B77-8E46-F8F196EB750C}"/>
    <cellStyle name="40% - Accent3 3 3 16" xfId="24905" xr:uid="{1CC634BB-011D-4B97-8317-B0D0E1560CC2}"/>
    <cellStyle name="40% - Accent3 3 3 17" xfId="26795" xr:uid="{A8F4C410-6870-41B4-9E69-D123C2CD077A}"/>
    <cellStyle name="40% - Accent3 3 3 18" xfId="28685" xr:uid="{C3BBB0B4-16FE-43ED-9D21-D926CDFDBC9D}"/>
    <cellStyle name="40% - Accent3 3 3 19" xfId="30575" xr:uid="{7071FCCD-7EB1-4E15-9749-9B39C6A2C1D1}"/>
    <cellStyle name="40% - Accent3 3 3 2" xfId="965" xr:uid="{CE10B891-4227-4557-8768-859147FABD47}"/>
    <cellStyle name="40% - Accent3 3 3 2 10" xfId="17975" xr:uid="{4DF5E2E9-9A66-44A3-9BBF-0145DF86F095}"/>
    <cellStyle name="40% - Accent3 3 3 2 11" xfId="19865" xr:uid="{55036ADE-DE9D-4F5D-8188-63A1311E8E37}"/>
    <cellStyle name="40% - Accent3 3 3 2 12" xfId="21755" xr:uid="{C94AF9D1-1FDA-46D4-91D7-AEFB2FEC34D4}"/>
    <cellStyle name="40% - Accent3 3 3 2 13" xfId="23645" xr:uid="{A6D5C9E9-BFB4-4A6B-B0AA-25537621F26F}"/>
    <cellStyle name="40% - Accent3 3 3 2 14" xfId="25535" xr:uid="{D2A135A9-6379-4999-AAA9-4C364401D4A4}"/>
    <cellStyle name="40% - Accent3 3 3 2 15" xfId="27425" xr:uid="{0B1E961B-7F83-4B3B-907E-7849366E09EF}"/>
    <cellStyle name="40% - Accent3 3 3 2 16" xfId="29315" xr:uid="{29A3C5C0-D517-4E0F-9BCF-A8B8EA488B12}"/>
    <cellStyle name="40% - Accent3 3 3 2 17" xfId="31205" xr:uid="{186B4936-9C2E-488B-B3FD-E800EA0D0F3B}"/>
    <cellStyle name="40% - Accent3 3 3 2 18" xfId="33095" xr:uid="{CE32C7C7-6FAA-419B-81D3-7762E6EFC5B6}"/>
    <cellStyle name="40% - Accent3 3 3 2 19" xfId="34985" xr:uid="{A3F3F60C-4C33-49A2-9230-E8B2B435C5FE}"/>
    <cellStyle name="40% - Accent3 3 3 2 2" xfId="2855" xr:uid="{6CEECD5C-5E6E-46E1-89E6-D6C7F66F4928}"/>
    <cellStyle name="40% - Accent3 3 3 2 20" xfId="36875" xr:uid="{349B6F6F-6C98-469E-B2BE-A35C8451431A}"/>
    <cellStyle name="40% - Accent3 3 3 2 21" xfId="38765" xr:uid="{F88E79B1-EDA2-4E5E-A31F-B9DA9DCF4CE2}"/>
    <cellStyle name="40% - Accent3 3 3 2 22" xfId="40656" xr:uid="{45342CB9-F0D4-4E1D-B8DE-E3427EBB6388}"/>
    <cellStyle name="40% - Accent3 3 3 2 3" xfId="4745" xr:uid="{B069CC83-0351-4A8B-8CF7-2DC1369A57EE}"/>
    <cellStyle name="40% - Accent3 3 3 2 4" xfId="6635" xr:uid="{BF17BC13-9D20-474A-8A10-1268BDFC28A9}"/>
    <cellStyle name="40% - Accent3 3 3 2 5" xfId="8525" xr:uid="{CDFECBC0-7993-46CC-9352-4D5CB6ABEAB2}"/>
    <cellStyle name="40% - Accent3 3 3 2 6" xfId="10415" xr:uid="{2B932C69-F1AC-4DDC-B509-7466A928DC78}"/>
    <cellStyle name="40% - Accent3 3 3 2 7" xfId="12305" xr:uid="{1F334449-E528-4E39-94FF-B29DA6C86F3D}"/>
    <cellStyle name="40% - Accent3 3 3 2 8" xfId="14195" xr:uid="{CD94A5CD-8784-47D1-B72F-B3E07F563AFE}"/>
    <cellStyle name="40% - Accent3 3 3 2 9" xfId="16085" xr:uid="{067AFDC1-6143-429A-B0C8-22F2902C829E}"/>
    <cellStyle name="40% - Accent3 3 3 20" xfId="32465" xr:uid="{5C377C44-8F32-4B90-9ECD-42A0C2FF2451}"/>
    <cellStyle name="40% - Accent3 3 3 21" xfId="34355" xr:uid="{ED5D6238-56C7-4AA9-9FB4-903188B7C9BE}"/>
    <cellStyle name="40% - Accent3 3 3 22" xfId="36245" xr:uid="{316D3D28-3636-4362-89D5-31D92D3739D8}"/>
    <cellStyle name="40% - Accent3 3 3 23" xfId="38135" xr:uid="{EE446A08-F997-4738-BCDA-A600834F2AFD}"/>
    <cellStyle name="40% - Accent3 3 3 24" xfId="40026" xr:uid="{6C9F28DE-C268-49D9-BB6C-2535D74006D2}"/>
    <cellStyle name="40% - Accent3 3 3 3" xfId="1595" xr:uid="{8C641AB7-0BB8-4B41-B846-1812D27B6E20}"/>
    <cellStyle name="40% - Accent3 3 3 3 10" xfId="18605" xr:uid="{135C2A54-70C4-49F2-9971-26DC00EE409D}"/>
    <cellStyle name="40% - Accent3 3 3 3 11" xfId="20495" xr:uid="{F4E3B14B-BA6F-4F86-A5B8-1B6D9D8660EF}"/>
    <cellStyle name="40% - Accent3 3 3 3 12" xfId="22385" xr:uid="{D8F016E3-9D44-4013-9885-610020829AA8}"/>
    <cellStyle name="40% - Accent3 3 3 3 13" xfId="24275" xr:uid="{DEB65259-2DD9-4761-A6D8-B2FDEA5D5C51}"/>
    <cellStyle name="40% - Accent3 3 3 3 14" xfId="26165" xr:uid="{6498B2C3-FCBB-49E9-A91C-8658DDB54AB1}"/>
    <cellStyle name="40% - Accent3 3 3 3 15" xfId="28055" xr:uid="{B9589901-BC54-49E8-BF7E-196FDB06F539}"/>
    <cellStyle name="40% - Accent3 3 3 3 16" xfId="29945" xr:uid="{238C9E37-69B8-468A-8C9E-BD6BBAE62685}"/>
    <cellStyle name="40% - Accent3 3 3 3 17" xfId="31835" xr:uid="{BB6A1680-D9C4-4A77-9E0E-6178AABC00DC}"/>
    <cellStyle name="40% - Accent3 3 3 3 18" xfId="33725" xr:uid="{D9BADC0A-2C7B-400C-B639-BC08E47FE9C5}"/>
    <cellStyle name="40% - Accent3 3 3 3 19" xfId="35615" xr:uid="{93339FB3-F68A-4993-8466-A9857F93E4AC}"/>
    <cellStyle name="40% - Accent3 3 3 3 2" xfId="3485" xr:uid="{43A153A1-D3D5-4C07-A941-A3594E3321AF}"/>
    <cellStyle name="40% - Accent3 3 3 3 20" xfId="37505" xr:uid="{70AFF88C-2400-4307-942F-E79E1A3CC244}"/>
    <cellStyle name="40% - Accent3 3 3 3 21" xfId="39395" xr:uid="{37EAFDC7-7BE6-4064-8B24-44BC6DF64D17}"/>
    <cellStyle name="40% - Accent3 3 3 3 22" xfId="41286" xr:uid="{8499B0C9-16F5-4154-93C4-7CC2F9A71B29}"/>
    <cellStyle name="40% - Accent3 3 3 3 3" xfId="5375" xr:uid="{29C9C14F-71B4-45A1-95E9-CD5AC2749941}"/>
    <cellStyle name="40% - Accent3 3 3 3 4" xfId="7265" xr:uid="{93E876AC-8846-468A-A406-BE959FF612A9}"/>
    <cellStyle name="40% - Accent3 3 3 3 5" xfId="9155" xr:uid="{51319DB5-DBE8-4F89-ADA4-2DF2D54C4636}"/>
    <cellStyle name="40% - Accent3 3 3 3 6" xfId="11045" xr:uid="{7D4CF9EF-FFB3-42F5-B1E0-6A1F0EB517C6}"/>
    <cellStyle name="40% - Accent3 3 3 3 7" xfId="12935" xr:uid="{E7593259-EC3A-4DAE-BE69-C2838F4219B4}"/>
    <cellStyle name="40% - Accent3 3 3 3 8" xfId="14825" xr:uid="{BCB29C60-6C4A-448A-9EE1-538D6F300999}"/>
    <cellStyle name="40% - Accent3 3 3 3 9" xfId="16715" xr:uid="{6B13D4E0-9EFE-45FF-AF01-4471E3363CD8}"/>
    <cellStyle name="40% - Accent3 3 3 4" xfId="2225" xr:uid="{1B7E28B6-5153-4F6E-861C-DEFC9DF3D1B1}"/>
    <cellStyle name="40% - Accent3 3 3 5" xfId="4115" xr:uid="{E2174F74-2C95-4219-B980-F57A5DC2DF69}"/>
    <cellStyle name="40% - Accent3 3 3 6" xfId="6005" xr:uid="{B18A86C6-0B6F-4AE7-97A1-AA4B21275DEB}"/>
    <cellStyle name="40% - Accent3 3 3 7" xfId="7895" xr:uid="{7EBEAC48-DA56-4517-8C57-1AB56E203464}"/>
    <cellStyle name="40% - Accent3 3 3 8" xfId="9785" xr:uid="{37D31ACB-10F2-42B3-AC50-7E682A5386F0}"/>
    <cellStyle name="40% - Accent3 3 3 9" xfId="11675" xr:uid="{79828708-1F61-43D9-A48A-81D56FEA0C7C}"/>
    <cellStyle name="40% - Accent3 3 4" xfId="545" xr:uid="{74C6B64A-DB60-45C8-81EC-CE59883ED50C}"/>
    <cellStyle name="40% - Accent3 3 4 10" xfId="13775" xr:uid="{B15B61B1-C598-4232-864D-DF95A841EAB8}"/>
    <cellStyle name="40% - Accent3 3 4 11" xfId="15665" xr:uid="{297592E1-ECE8-4F6D-A035-7FDDCC146B58}"/>
    <cellStyle name="40% - Accent3 3 4 12" xfId="17555" xr:uid="{CD7CC394-B743-46D3-8F9A-D4C9D9C47467}"/>
    <cellStyle name="40% - Accent3 3 4 13" xfId="19445" xr:uid="{966A31C2-A250-4E47-89C4-A685A5817E22}"/>
    <cellStyle name="40% - Accent3 3 4 14" xfId="21335" xr:uid="{EC3EC26E-1D6F-4207-8DFD-13FC3635E4C3}"/>
    <cellStyle name="40% - Accent3 3 4 15" xfId="23225" xr:uid="{39260BCF-12A1-4FD2-A2BF-EE793158FBD0}"/>
    <cellStyle name="40% - Accent3 3 4 16" xfId="25115" xr:uid="{A1BC129C-933A-4912-92D1-8171AD62F50A}"/>
    <cellStyle name="40% - Accent3 3 4 17" xfId="27005" xr:uid="{50289D9E-0BBA-4E52-BC83-19636E3D4821}"/>
    <cellStyle name="40% - Accent3 3 4 18" xfId="28895" xr:uid="{A6841B3F-1B5E-437D-BC49-A5F5A8B198A5}"/>
    <cellStyle name="40% - Accent3 3 4 19" xfId="30785" xr:uid="{D5DDFBFE-2543-4FAA-B8E8-EFB82D7ABBE7}"/>
    <cellStyle name="40% - Accent3 3 4 2" xfId="1175" xr:uid="{8B9A4167-E94C-402F-9329-8E27DD382188}"/>
    <cellStyle name="40% - Accent3 3 4 2 10" xfId="18185" xr:uid="{4314F9CD-33D9-471F-ADC9-4FAB0BAF88CE}"/>
    <cellStyle name="40% - Accent3 3 4 2 11" xfId="20075" xr:uid="{496A49B9-C24D-4C1D-AB60-B3E2FFADF47F}"/>
    <cellStyle name="40% - Accent3 3 4 2 12" xfId="21965" xr:uid="{4C8CBC07-2D4B-4D53-A662-737890780CC4}"/>
    <cellStyle name="40% - Accent3 3 4 2 13" xfId="23855" xr:uid="{F1100017-4FBC-416A-9BEE-6539E88BCB35}"/>
    <cellStyle name="40% - Accent3 3 4 2 14" xfId="25745" xr:uid="{74AAC511-EF85-4CC1-96BD-D04DFD8E6199}"/>
    <cellStyle name="40% - Accent3 3 4 2 15" xfId="27635" xr:uid="{D2A02A76-7AF1-4080-8533-12ADE4C9937C}"/>
    <cellStyle name="40% - Accent3 3 4 2 16" xfId="29525" xr:uid="{195824DF-0B21-4FC5-B3D5-ADEB54F1063E}"/>
    <cellStyle name="40% - Accent3 3 4 2 17" xfId="31415" xr:uid="{E7DB88CD-B6B8-4285-8E99-D7505295CE9D}"/>
    <cellStyle name="40% - Accent3 3 4 2 18" xfId="33305" xr:uid="{2C63E309-0236-4735-9ED9-9DD85EC2EE15}"/>
    <cellStyle name="40% - Accent3 3 4 2 19" xfId="35195" xr:uid="{0CD57C13-E6A4-4C0A-972E-245AB991E131}"/>
    <cellStyle name="40% - Accent3 3 4 2 2" xfId="3065" xr:uid="{A1806D2F-B3F7-4E94-B54B-44AFEBF62A31}"/>
    <cellStyle name="40% - Accent3 3 4 2 20" xfId="37085" xr:uid="{185B6CA8-C6EA-4C8E-B774-2524B4904DDD}"/>
    <cellStyle name="40% - Accent3 3 4 2 21" xfId="38975" xr:uid="{08367CB1-6AA9-46B2-9AF0-E8815C271A7E}"/>
    <cellStyle name="40% - Accent3 3 4 2 22" xfId="40866" xr:uid="{9E26F06B-F8F1-46C1-97A6-E9AE392D8F19}"/>
    <cellStyle name="40% - Accent3 3 4 2 3" xfId="4955" xr:uid="{5E254B37-2B7A-43B0-971C-BF4CCD8CEDA8}"/>
    <cellStyle name="40% - Accent3 3 4 2 4" xfId="6845" xr:uid="{E50EB75F-E2C5-4B65-9720-45B333804E20}"/>
    <cellStyle name="40% - Accent3 3 4 2 5" xfId="8735" xr:uid="{0F854D95-CD52-4E76-B975-DDE8D2351DDB}"/>
    <cellStyle name="40% - Accent3 3 4 2 6" xfId="10625" xr:uid="{4FFC853E-4176-43E0-800D-E3B514369373}"/>
    <cellStyle name="40% - Accent3 3 4 2 7" xfId="12515" xr:uid="{9FC9082A-CF85-47D0-A3FF-8E01F65585C9}"/>
    <cellStyle name="40% - Accent3 3 4 2 8" xfId="14405" xr:uid="{DE71757D-51C5-4101-9A63-FBBBC76ABEC8}"/>
    <cellStyle name="40% - Accent3 3 4 2 9" xfId="16295" xr:uid="{5F8E8340-B22F-4859-A128-5A3FCD5FCD6A}"/>
    <cellStyle name="40% - Accent3 3 4 20" xfId="32675" xr:uid="{5264D202-1FE1-4656-8616-8F2A30DA65F4}"/>
    <cellStyle name="40% - Accent3 3 4 21" xfId="34565" xr:uid="{1CC9CAA4-DF4E-46FB-BBED-830B61DB1209}"/>
    <cellStyle name="40% - Accent3 3 4 22" xfId="36455" xr:uid="{93D335A2-3F2D-4984-88F8-C532CC18C977}"/>
    <cellStyle name="40% - Accent3 3 4 23" xfId="38345" xr:uid="{ECF72051-B173-46D5-B3B5-B61580F605FA}"/>
    <cellStyle name="40% - Accent3 3 4 24" xfId="40236" xr:uid="{D22DB1E5-1AC8-4491-8EC6-083E71E60155}"/>
    <cellStyle name="40% - Accent3 3 4 3" xfId="1805" xr:uid="{E1AA1BFE-5F94-4222-85DF-03C5B15CA9AB}"/>
    <cellStyle name="40% - Accent3 3 4 3 10" xfId="18815" xr:uid="{317EED64-DBDC-4629-85B2-1CF0FD8552B6}"/>
    <cellStyle name="40% - Accent3 3 4 3 11" xfId="20705" xr:uid="{3C078E4C-88EF-48AF-BB98-292CF137C39A}"/>
    <cellStyle name="40% - Accent3 3 4 3 12" xfId="22595" xr:uid="{5BB15919-6F28-4B2B-A3DE-556FA9FC90D8}"/>
    <cellStyle name="40% - Accent3 3 4 3 13" xfId="24485" xr:uid="{0B1EA078-EAA9-44C6-AE4C-55214DECBFC3}"/>
    <cellStyle name="40% - Accent3 3 4 3 14" xfId="26375" xr:uid="{0BC5EFFF-4EC6-4609-BC50-284431F6AA7D}"/>
    <cellStyle name="40% - Accent3 3 4 3 15" xfId="28265" xr:uid="{5A28D513-966D-4625-84D9-3270146AFF28}"/>
    <cellStyle name="40% - Accent3 3 4 3 16" xfId="30155" xr:uid="{18FB9D40-1F14-4464-9F60-56392108FFDF}"/>
    <cellStyle name="40% - Accent3 3 4 3 17" xfId="32045" xr:uid="{899F3141-AD33-4CF5-9167-0EDE8B19B011}"/>
    <cellStyle name="40% - Accent3 3 4 3 18" xfId="33935" xr:uid="{CE10974F-07E8-44A9-A695-7337584EBAC3}"/>
    <cellStyle name="40% - Accent3 3 4 3 19" xfId="35825" xr:uid="{F66C7D96-0E6C-482E-9ECE-FAEB532AFE46}"/>
    <cellStyle name="40% - Accent3 3 4 3 2" xfId="3695" xr:uid="{6E31AC86-52A0-4119-8BDB-B396F1EB7B90}"/>
    <cellStyle name="40% - Accent3 3 4 3 20" xfId="37715" xr:uid="{F945A446-D683-4F73-9D42-56A77E8CF138}"/>
    <cellStyle name="40% - Accent3 3 4 3 21" xfId="39605" xr:uid="{EF98B01B-EDE8-45F4-881A-4510A6E969A6}"/>
    <cellStyle name="40% - Accent3 3 4 3 22" xfId="41496" xr:uid="{B63B642A-5561-4B25-94DA-2DD8CFEE3FA2}"/>
    <cellStyle name="40% - Accent3 3 4 3 3" xfId="5585" xr:uid="{FEEE2725-69E2-4065-AF96-2727AB08CD5B}"/>
    <cellStyle name="40% - Accent3 3 4 3 4" xfId="7475" xr:uid="{BBFCB638-4B01-43E9-84C3-813BC0CA6BB2}"/>
    <cellStyle name="40% - Accent3 3 4 3 5" xfId="9365" xr:uid="{0EE60D76-50F9-494A-82CA-0053FC37ABE2}"/>
    <cellStyle name="40% - Accent3 3 4 3 6" xfId="11255" xr:uid="{7CBD6181-A189-4C70-B4F3-EA839F787CE9}"/>
    <cellStyle name="40% - Accent3 3 4 3 7" xfId="13145" xr:uid="{C78D9007-3405-4C0F-8820-60E70341690C}"/>
    <cellStyle name="40% - Accent3 3 4 3 8" xfId="15035" xr:uid="{CCAD250A-27A4-49EA-959F-E0241FD201C2}"/>
    <cellStyle name="40% - Accent3 3 4 3 9" xfId="16925" xr:uid="{3BB69758-8809-416B-BF0B-EEFB75BBC253}"/>
    <cellStyle name="40% - Accent3 3 4 4" xfId="2435" xr:uid="{567FA144-ECF2-46B9-AE50-B5D5A49CE95C}"/>
    <cellStyle name="40% - Accent3 3 4 5" xfId="4325" xr:uid="{7304A65B-2DC7-4608-95B8-E2181334E1DF}"/>
    <cellStyle name="40% - Accent3 3 4 6" xfId="6215" xr:uid="{09CD984D-1DD9-4A22-9F9B-77CA3137C905}"/>
    <cellStyle name="40% - Accent3 3 4 7" xfId="8105" xr:uid="{BB66F35C-394A-4600-9A6C-51C54BBCE4D8}"/>
    <cellStyle name="40% - Accent3 3 4 8" xfId="9995" xr:uid="{98D0A45D-C18E-4DCC-B67E-80794AF479BB}"/>
    <cellStyle name="40% - Accent3 3 4 9" xfId="11885" xr:uid="{9BFB960A-0C67-41CE-AC47-E066BB3D57CC}"/>
    <cellStyle name="40% - Accent3 3 5" xfId="755" xr:uid="{3FE2635F-93CB-4BFC-8139-EC1EDEDAAFAE}"/>
    <cellStyle name="40% - Accent3 3 5 10" xfId="17765" xr:uid="{ACEC03A6-F66F-4992-AD89-EC62BD3CCE22}"/>
    <cellStyle name="40% - Accent3 3 5 11" xfId="19655" xr:uid="{8524C4AA-4326-4711-9436-83344EAEB971}"/>
    <cellStyle name="40% - Accent3 3 5 12" xfId="21545" xr:uid="{0F60B410-6D5B-4ACE-9E57-0273C83ECBB6}"/>
    <cellStyle name="40% - Accent3 3 5 13" xfId="23435" xr:uid="{18F92536-6A2F-4CB6-89DB-FAF6B62CDE4F}"/>
    <cellStyle name="40% - Accent3 3 5 14" xfId="25325" xr:uid="{C0BF96AA-ABEE-4F61-BCDD-A57CB4F24B1D}"/>
    <cellStyle name="40% - Accent3 3 5 15" xfId="27215" xr:uid="{74F05B09-06DD-4990-9556-7B184910FF98}"/>
    <cellStyle name="40% - Accent3 3 5 16" xfId="29105" xr:uid="{F8AEEFD4-2999-49EE-A336-CB8359F36EE1}"/>
    <cellStyle name="40% - Accent3 3 5 17" xfId="30995" xr:uid="{0794EE65-EF51-4850-9474-6DFC26C6D223}"/>
    <cellStyle name="40% - Accent3 3 5 18" xfId="32885" xr:uid="{88179620-0CB6-408F-95DA-3EF79F23BFB3}"/>
    <cellStyle name="40% - Accent3 3 5 19" xfId="34775" xr:uid="{781E57F4-6674-4044-A45B-35F61B250C47}"/>
    <cellStyle name="40% - Accent3 3 5 2" xfId="2645" xr:uid="{AF5DDFD7-A206-4A2A-810D-6E3C643D3EAF}"/>
    <cellStyle name="40% - Accent3 3 5 20" xfId="36665" xr:uid="{BDC7FCCE-B754-46DA-B747-A352171CE5B1}"/>
    <cellStyle name="40% - Accent3 3 5 21" xfId="38555" xr:uid="{5190F610-829B-4659-9F5E-252A16B5C6AA}"/>
    <cellStyle name="40% - Accent3 3 5 22" xfId="40446" xr:uid="{F06CEC3F-4106-4AD0-8008-68E9794C3209}"/>
    <cellStyle name="40% - Accent3 3 5 3" xfId="4535" xr:uid="{2D40E83E-08CF-48F2-9ACB-1C256E4B3C97}"/>
    <cellStyle name="40% - Accent3 3 5 4" xfId="6425" xr:uid="{F5F0FD54-4188-415F-9072-87D51A7F19CA}"/>
    <cellStyle name="40% - Accent3 3 5 5" xfId="8315" xr:uid="{B927C8CD-27EF-47BC-B9C4-2E2C31789E8C}"/>
    <cellStyle name="40% - Accent3 3 5 6" xfId="10205" xr:uid="{8FE9F602-43F4-41FD-B3AB-CF7E00E5EAF4}"/>
    <cellStyle name="40% - Accent3 3 5 7" xfId="12095" xr:uid="{5B97827B-6559-48C7-A0F4-8B62384BEE10}"/>
    <cellStyle name="40% - Accent3 3 5 8" xfId="13985" xr:uid="{43F7B4A6-C7E4-4513-B488-4CB962D9E43F}"/>
    <cellStyle name="40% - Accent3 3 5 9" xfId="15875" xr:uid="{50ACE909-0F0C-42B5-831A-97E53D1B6981}"/>
    <cellStyle name="40% - Accent3 3 6" xfId="1385" xr:uid="{B8B3D50A-E7F0-44F9-9E23-D2F86642B538}"/>
    <cellStyle name="40% - Accent3 3 6 10" xfId="18395" xr:uid="{079C0233-E216-4D20-B99D-5AB39A435A92}"/>
    <cellStyle name="40% - Accent3 3 6 11" xfId="20285" xr:uid="{450A03F6-BA6B-460E-8F28-DCB7D9ADD4A8}"/>
    <cellStyle name="40% - Accent3 3 6 12" xfId="22175" xr:uid="{F85163D8-8991-4332-A1BE-ABE842F27B4E}"/>
    <cellStyle name="40% - Accent3 3 6 13" xfId="24065" xr:uid="{51EA98D3-3727-41C5-A0A9-DC643BB09251}"/>
    <cellStyle name="40% - Accent3 3 6 14" xfId="25955" xr:uid="{BAF2E732-9E84-4412-BEC3-56B3F5D2D782}"/>
    <cellStyle name="40% - Accent3 3 6 15" xfId="27845" xr:uid="{A66D11AD-4C9F-43F4-A052-B0776747D2C5}"/>
    <cellStyle name="40% - Accent3 3 6 16" xfId="29735" xr:uid="{F64982B8-8743-4EF3-BD92-D27EA7E6DF7C}"/>
    <cellStyle name="40% - Accent3 3 6 17" xfId="31625" xr:uid="{F5E0D109-DD5F-47A8-848B-47EC7F83B141}"/>
    <cellStyle name="40% - Accent3 3 6 18" xfId="33515" xr:uid="{B3AD86DC-34A3-466F-BCB9-5769F5015ECD}"/>
    <cellStyle name="40% - Accent3 3 6 19" xfId="35405" xr:uid="{14EDFFC4-D4C6-4A0A-8EC2-28C0E86EFD29}"/>
    <cellStyle name="40% - Accent3 3 6 2" xfId="3275" xr:uid="{4779CBE1-FC41-4FCD-BF0E-643EE8C535E9}"/>
    <cellStyle name="40% - Accent3 3 6 20" xfId="37295" xr:uid="{2DA6F050-E77D-48F8-8981-813E7DE481C1}"/>
    <cellStyle name="40% - Accent3 3 6 21" xfId="39185" xr:uid="{B670A0AA-1DE2-4A4D-BE22-3569962395AD}"/>
    <cellStyle name="40% - Accent3 3 6 22" xfId="41076" xr:uid="{40CFAB8D-366F-40D0-9C0D-AA5D2DCAB1E1}"/>
    <cellStyle name="40% - Accent3 3 6 3" xfId="5165" xr:uid="{8C7BBB70-42EC-429D-8C69-2D7D3766AEFC}"/>
    <cellStyle name="40% - Accent3 3 6 4" xfId="7055" xr:uid="{9550F66A-9241-44B2-A150-8DB35ADBC5E6}"/>
    <cellStyle name="40% - Accent3 3 6 5" xfId="8945" xr:uid="{D27CD247-18D1-4172-94D6-7E96BE836F0B}"/>
    <cellStyle name="40% - Accent3 3 6 6" xfId="10835" xr:uid="{BDF9FD3C-725F-412F-AD97-C8D99BE88E80}"/>
    <cellStyle name="40% - Accent3 3 6 7" xfId="12725" xr:uid="{72359517-58EB-4419-8AC1-D3C93DA2A550}"/>
    <cellStyle name="40% - Accent3 3 6 8" xfId="14615" xr:uid="{7AC6AE96-979C-4F99-BB22-7EF1D6ADC5D0}"/>
    <cellStyle name="40% - Accent3 3 6 9" xfId="16505" xr:uid="{53C5C8B8-846A-4B50-AA6A-F10C94C8BE11}"/>
    <cellStyle name="40% - Accent3 3 7" xfId="2015" xr:uid="{79B32EA2-0D82-4888-B4A8-6D48B315C742}"/>
    <cellStyle name="40% - Accent3 3 8" xfId="3905" xr:uid="{B483503A-545D-4352-83E0-B073AFF9D277}"/>
    <cellStyle name="40% - Accent3 3 9" xfId="5795" xr:uid="{ADADE0FE-F852-4661-AADE-E29FABB28AC1}"/>
    <cellStyle name="40% - Accent3 4" xfId="188" xr:uid="{8CDAB18E-B5D0-49E7-BC11-A0AA79828B90}"/>
    <cellStyle name="40% - Accent3 4 10" xfId="9638" xr:uid="{0057FB71-465E-48DB-A8B8-62AAB7955AA0}"/>
    <cellStyle name="40% - Accent3 4 11" xfId="11528" xr:uid="{88736E79-30F1-4938-A536-D97323FC1EBD}"/>
    <cellStyle name="40% - Accent3 4 12" xfId="13418" xr:uid="{D857B629-37CC-456E-9685-2BB81385930E}"/>
    <cellStyle name="40% - Accent3 4 13" xfId="15308" xr:uid="{55A549DC-B9AA-48E8-9082-42A55C5841F2}"/>
    <cellStyle name="40% - Accent3 4 14" xfId="17198" xr:uid="{8461C8EE-D18A-4133-891D-18C50E1F0350}"/>
    <cellStyle name="40% - Accent3 4 15" xfId="19088" xr:uid="{DA211DF5-4B75-41E1-9922-19FC05C534B8}"/>
    <cellStyle name="40% - Accent3 4 16" xfId="20978" xr:uid="{9B96A0D7-89C0-44DA-8923-E2BB260BA9D5}"/>
    <cellStyle name="40% - Accent3 4 17" xfId="22868" xr:uid="{C8EE212A-BF09-4302-82BC-533528445940}"/>
    <cellStyle name="40% - Accent3 4 18" xfId="24758" xr:uid="{8297B758-4B94-4A80-80F4-4FA8D3B75E82}"/>
    <cellStyle name="40% - Accent3 4 19" xfId="26648" xr:uid="{E7055937-BAA1-40FF-83C4-CCED6E53BFB2}"/>
    <cellStyle name="40% - Accent3 4 2" xfId="398" xr:uid="{E9C63084-AB33-4D40-BEEE-807689211138}"/>
    <cellStyle name="40% - Accent3 4 2 10" xfId="13628" xr:uid="{806E1F9B-F1DB-4C61-BA2B-3F884760A23D}"/>
    <cellStyle name="40% - Accent3 4 2 11" xfId="15518" xr:uid="{266E918F-E527-4EDF-8900-F2E38CBAC880}"/>
    <cellStyle name="40% - Accent3 4 2 12" xfId="17408" xr:uid="{6D55CC70-951E-4148-8220-A26580B51E48}"/>
    <cellStyle name="40% - Accent3 4 2 13" xfId="19298" xr:uid="{9890D0C2-432C-4E06-A07E-7DF38D16C978}"/>
    <cellStyle name="40% - Accent3 4 2 14" xfId="21188" xr:uid="{5DE9002E-FED3-40D2-8637-E05218D3DF16}"/>
    <cellStyle name="40% - Accent3 4 2 15" xfId="23078" xr:uid="{C51BCD22-9589-4171-A9EF-B6E1B300345C}"/>
    <cellStyle name="40% - Accent3 4 2 16" xfId="24968" xr:uid="{7E0D3304-F986-4E11-B491-7C5A50D43E1B}"/>
    <cellStyle name="40% - Accent3 4 2 17" xfId="26858" xr:uid="{33E786A5-CD85-41F3-A543-3FBD8A8556F8}"/>
    <cellStyle name="40% - Accent3 4 2 18" xfId="28748" xr:uid="{A815F1A6-A592-45FB-A144-87946E26B0CC}"/>
    <cellStyle name="40% - Accent3 4 2 19" xfId="30638" xr:uid="{0513DCD3-3890-48DE-A7F4-ECE7D151DF3F}"/>
    <cellStyle name="40% - Accent3 4 2 2" xfId="1028" xr:uid="{9BB18C52-7BA3-481B-BACC-8DD7854E7134}"/>
    <cellStyle name="40% - Accent3 4 2 2 10" xfId="18038" xr:uid="{157FA374-71B3-4459-8B0D-B0D0D0F0FC6C}"/>
    <cellStyle name="40% - Accent3 4 2 2 11" xfId="19928" xr:uid="{AF243A39-5727-4CA7-9B41-CF3F9521155A}"/>
    <cellStyle name="40% - Accent3 4 2 2 12" xfId="21818" xr:uid="{87481CD5-BBC8-4C92-9D1D-D208741CEAA3}"/>
    <cellStyle name="40% - Accent3 4 2 2 13" xfId="23708" xr:uid="{773D2B57-2A4C-4B6F-AEB3-7BECAB3F440C}"/>
    <cellStyle name="40% - Accent3 4 2 2 14" xfId="25598" xr:uid="{3318B8FB-4971-47DA-92F9-EC958E5CE1B6}"/>
    <cellStyle name="40% - Accent3 4 2 2 15" xfId="27488" xr:uid="{9CC45CA8-25C5-4327-97EF-725CA50BE032}"/>
    <cellStyle name="40% - Accent3 4 2 2 16" xfId="29378" xr:uid="{EE17C77F-D429-424F-AF81-A46A1DD92C4C}"/>
    <cellStyle name="40% - Accent3 4 2 2 17" xfId="31268" xr:uid="{365A44CB-3F51-4B1D-AE73-FDD33DA90810}"/>
    <cellStyle name="40% - Accent3 4 2 2 18" xfId="33158" xr:uid="{05AEA258-5FA4-4666-A465-766ED1B77AE2}"/>
    <cellStyle name="40% - Accent3 4 2 2 19" xfId="35048" xr:uid="{37D03D63-A007-4371-AFED-E023151DA737}"/>
    <cellStyle name="40% - Accent3 4 2 2 2" xfId="2918" xr:uid="{08CDC5C3-087B-486A-BAAF-AC13050B1B1C}"/>
    <cellStyle name="40% - Accent3 4 2 2 20" xfId="36938" xr:uid="{62F7840E-816D-40EB-B7B5-CA6817DDD7FF}"/>
    <cellStyle name="40% - Accent3 4 2 2 21" xfId="38828" xr:uid="{38327AE5-0A2F-4111-978F-ED43FD18D54A}"/>
    <cellStyle name="40% - Accent3 4 2 2 22" xfId="40719" xr:uid="{FFB178E9-5674-4CD5-89AE-CEE5EF0335E0}"/>
    <cellStyle name="40% - Accent3 4 2 2 3" xfId="4808" xr:uid="{7D0D4731-504E-4411-929D-D3EEF1BACABB}"/>
    <cellStyle name="40% - Accent3 4 2 2 4" xfId="6698" xr:uid="{19860E5E-39DC-4EB1-ACCC-CB0DF135718A}"/>
    <cellStyle name="40% - Accent3 4 2 2 5" xfId="8588" xr:uid="{7FC11240-3949-4D72-9D8E-3BC4AB8EDA7F}"/>
    <cellStyle name="40% - Accent3 4 2 2 6" xfId="10478" xr:uid="{E3BC15FD-DC24-4BF5-BB4E-94D7C53755D9}"/>
    <cellStyle name="40% - Accent3 4 2 2 7" xfId="12368" xr:uid="{7ADC5C15-DEEA-4237-91C0-B47761C5F16E}"/>
    <cellStyle name="40% - Accent3 4 2 2 8" xfId="14258" xr:uid="{E1BDA490-BE7E-40E3-937A-AA0C1C8E8ACD}"/>
    <cellStyle name="40% - Accent3 4 2 2 9" xfId="16148" xr:uid="{0632B48A-EC6A-4AB6-83A8-3F8F0D190508}"/>
    <cellStyle name="40% - Accent3 4 2 20" xfId="32528" xr:uid="{29C2B0B9-3298-4811-A531-B6BAF82F4F69}"/>
    <cellStyle name="40% - Accent3 4 2 21" xfId="34418" xr:uid="{3D1118C8-3822-42A9-B9A4-1E734948F34A}"/>
    <cellStyle name="40% - Accent3 4 2 22" xfId="36308" xr:uid="{F3C99C67-42B2-43C7-A9E9-EEE2A4404CC7}"/>
    <cellStyle name="40% - Accent3 4 2 23" xfId="38198" xr:uid="{8E01B7AB-7DF5-467C-B1AC-CA9077E3E249}"/>
    <cellStyle name="40% - Accent3 4 2 24" xfId="40089" xr:uid="{9AB85324-7178-49F9-8F7E-513915FB51D7}"/>
    <cellStyle name="40% - Accent3 4 2 3" xfId="1658" xr:uid="{B1FE0A76-9CE6-40A0-B269-4A902D54170C}"/>
    <cellStyle name="40% - Accent3 4 2 3 10" xfId="18668" xr:uid="{2EEA8441-D1FD-4047-AC7F-A843391A2716}"/>
    <cellStyle name="40% - Accent3 4 2 3 11" xfId="20558" xr:uid="{36DC7D0A-6E63-44FF-A993-E04E601498B6}"/>
    <cellStyle name="40% - Accent3 4 2 3 12" xfId="22448" xr:uid="{80CB6100-BF8E-4EFE-B212-F69173D24B83}"/>
    <cellStyle name="40% - Accent3 4 2 3 13" xfId="24338" xr:uid="{08EA7FF1-096A-402E-B1A8-E72F674A478E}"/>
    <cellStyle name="40% - Accent3 4 2 3 14" xfId="26228" xr:uid="{6F84F0F1-AEF9-4D95-BF17-7651572202E8}"/>
    <cellStyle name="40% - Accent3 4 2 3 15" xfId="28118" xr:uid="{228BBEB0-CF4B-43E5-9A77-D45B97A52536}"/>
    <cellStyle name="40% - Accent3 4 2 3 16" xfId="30008" xr:uid="{2E203EE2-C1CE-4F19-AA4C-F25149971F33}"/>
    <cellStyle name="40% - Accent3 4 2 3 17" xfId="31898" xr:uid="{5EEAAAB9-90E3-4C0A-A5E9-16A45653D9E1}"/>
    <cellStyle name="40% - Accent3 4 2 3 18" xfId="33788" xr:uid="{F95943B3-8EC2-4541-AB73-1FAC82D9CE9B}"/>
    <cellStyle name="40% - Accent3 4 2 3 19" xfId="35678" xr:uid="{936398A9-8B9A-4610-BB1A-569B205E16BC}"/>
    <cellStyle name="40% - Accent3 4 2 3 2" xfId="3548" xr:uid="{C288EBEE-9257-4E6A-9DF7-3565B2E3E27A}"/>
    <cellStyle name="40% - Accent3 4 2 3 20" xfId="37568" xr:uid="{87A392C6-26C9-4EF2-97A0-3FCDFC070969}"/>
    <cellStyle name="40% - Accent3 4 2 3 21" xfId="39458" xr:uid="{8E64FA65-7101-4D36-9D34-7A0329967598}"/>
    <cellStyle name="40% - Accent3 4 2 3 22" xfId="41349" xr:uid="{4A6D215F-E34B-4F67-9F24-8D8CB4996537}"/>
    <cellStyle name="40% - Accent3 4 2 3 3" xfId="5438" xr:uid="{22EEDBE9-F8F3-44C2-9680-D7286551A807}"/>
    <cellStyle name="40% - Accent3 4 2 3 4" xfId="7328" xr:uid="{13777C94-06E2-4252-A324-101DAAEDEDF1}"/>
    <cellStyle name="40% - Accent3 4 2 3 5" xfId="9218" xr:uid="{91931220-ED70-4F01-836F-7FABC00D23A5}"/>
    <cellStyle name="40% - Accent3 4 2 3 6" xfId="11108" xr:uid="{3336342E-D91C-4779-8BC5-4BCD47905B02}"/>
    <cellStyle name="40% - Accent3 4 2 3 7" xfId="12998" xr:uid="{4812C944-94F0-4F2D-9371-0D1AE0B830B0}"/>
    <cellStyle name="40% - Accent3 4 2 3 8" xfId="14888" xr:uid="{7BBC8DAF-855C-4E66-A33D-C8558BB8A9C0}"/>
    <cellStyle name="40% - Accent3 4 2 3 9" xfId="16778" xr:uid="{7369C546-DA87-43EC-9A08-059E331B55BC}"/>
    <cellStyle name="40% - Accent3 4 2 4" xfId="2288" xr:uid="{A25E466C-19A3-4926-966D-923C7929B21D}"/>
    <cellStyle name="40% - Accent3 4 2 5" xfId="4178" xr:uid="{089BAF0E-DD83-42C1-92F8-602372BD8079}"/>
    <cellStyle name="40% - Accent3 4 2 6" xfId="6068" xr:uid="{15C5F03B-5779-4EDC-B778-895C2053BB43}"/>
    <cellStyle name="40% - Accent3 4 2 7" xfId="7958" xr:uid="{648A0AF3-EE80-4822-8AF8-DDE248F6876E}"/>
    <cellStyle name="40% - Accent3 4 2 8" xfId="9848" xr:uid="{F78B0086-7E51-4921-933D-91F1B7DD7CA8}"/>
    <cellStyle name="40% - Accent3 4 2 9" xfId="11738" xr:uid="{C2FE194F-8068-4C13-9ED1-FBB102C2D0DF}"/>
    <cellStyle name="40% - Accent3 4 20" xfId="28538" xr:uid="{51C57FD0-8DFF-4F75-9144-CEA2B868425E}"/>
    <cellStyle name="40% - Accent3 4 21" xfId="30428" xr:uid="{FA4A7E1C-7576-4072-A192-1677E4B14C86}"/>
    <cellStyle name="40% - Accent3 4 22" xfId="32318" xr:uid="{C3359112-8165-4826-84F5-51C7583B887B}"/>
    <cellStyle name="40% - Accent3 4 23" xfId="34208" xr:uid="{44A6C356-FFB2-4C7B-9B46-3DED1DE6273A}"/>
    <cellStyle name="40% - Accent3 4 24" xfId="36098" xr:uid="{E7698B69-F2B0-4FD3-BD00-E75AF2B29BDB}"/>
    <cellStyle name="40% - Accent3 4 25" xfId="37988" xr:uid="{E4CD1F97-3C3E-4B7A-81C1-E2232C5B4DA0}"/>
    <cellStyle name="40% - Accent3 4 26" xfId="39879" xr:uid="{E9774461-AD40-4268-8184-A4F104B21643}"/>
    <cellStyle name="40% - Accent3 4 3" xfId="608" xr:uid="{7F593019-55E2-4E00-811E-D8AE56207FD8}"/>
    <cellStyle name="40% - Accent3 4 3 10" xfId="13838" xr:uid="{90EB09A4-5558-4ADF-AA61-BDBEF446C745}"/>
    <cellStyle name="40% - Accent3 4 3 11" xfId="15728" xr:uid="{E030A71E-70A0-4353-B1BD-A512183850FE}"/>
    <cellStyle name="40% - Accent3 4 3 12" xfId="17618" xr:uid="{4CD8546B-1C8D-49F3-B918-96B593D079B0}"/>
    <cellStyle name="40% - Accent3 4 3 13" xfId="19508" xr:uid="{29F4E1FA-2C1C-4DAB-BECF-AE7558D74839}"/>
    <cellStyle name="40% - Accent3 4 3 14" xfId="21398" xr:uid="{63A6442E-BA85-4D3A-8AFC-311BCC5B10E0}"/>
    <cellStyle name="40% - Accent3 4 3 15" xfId="23288" xr:uid="{2C611920-BF17-40B1-8D3C-3FD928516B07}"/>
    <cellStyle name="40% - Accent3 4 3 16" xfId="25178" xr:uid="{63880BB9-E2B3-49B8-9853-DBAF67F2500E}"/>
    <cellStyle name="40% - Accent3 4 3 17" xfId="27068" xr:uid="{7AB5419C-2FBC-4950-ABFC-5054C72F4932}"/>
    <cellStyle name="40% - Accent3 4 3 18" xfId="28958" xr:uid="{B202B0F9-8420-4977-B89A-2DD8DF1E132C}"/>
    <cellStyle name="40% - Accent3 4 3 19" xfId="30848" xr:uid="{91ED743E-638F-4BD6-B2E1-7ABB7130E43C}"/>
    <cellStyle name="40% - Accent3 4 3 2" xfId="1238" xr:uid="{F6201790-FCE5-455F-B043-A90238FC19CB}"/>
    <cellStyle name="40% - Accent3 4 3 2 10" xfId="18248" xr:uid="{0B89E5A4-8CA9-4208-AE87-EDE8C197DC24}"/>
    <cellStyle name="40% - Accent3 4 3 2 11" xfId="20138" xr:uid="{D1300DEB-32F6-4EAF-B55E-C64EB906F921}"/>
    <cellStyle name="40% - Accent3 4 3 2 12" xfId="22028" xr:uid="{AA342098-51F3-4C44-9081-D182E5110AF9}"/>
    <cellStyle name="40% - Accent3 4 3 2 13" xfId="23918" xr:uid="{D865FB8D-2451-4715-B101-E668000F4384}"/>
    <cellStyle name="40% - Accent3 4 3 2 14" xfId="25808" xr:uid="{E28C8DAA-BA96-4CAA-BCCC-530B18942802}"/>
    <cellStyle name="40% - Accent3 4 3 2 15" xfId="27698" xr:uid="{D07E9AEB-F8F2-4F37-8DCE-2E323C9E01C8}"/>
    <cellStyle name="40% - Accent3 4 3 2 16" xfId="29588" xr:uid="{DD8864E2-EE06-47FB-B9F3-9E1BD0611E41}"/>
    <cellStyle name="40% - Accent3 4 3 2 17" xfId="31478" xr:uid="{EBA74AF8-328D-49CE-929E-70EB534EA75D}"/>
    <cellStyle name="40% - Accent3 4 3 2 18" xfId="33368" xr:uid="{77843D3C-D7ED-4F60-A7FF-49110BC80A11}"/>
    <cellStyle name="40% - Accent3 4 3 2 19" xfId="35258" xr:uid="{E5A2FBD7-45D7-4948-9118-EC814966374A}"/>
    <cellStyle name="40% - Accent3 4 3 2 2" xfId="3128" xr:uid="{EE0C22D2-4976-4961-B46A-3EB4DB437F22}"/>
    <cellStyle name="40% - Accent3 4 3 2 20" xfId="37148" xr:uid="{D46844DF-D2C8-4A61-BA8F-30E75FDA0745}"/>
    <cellStyle name="40% - Accent3 4 3 2 21" xfId="39038" xr:uid="{06753D18-C3D2-426D-8850-899384819BDE}"/>
    <cellStyle name="40% - Accent3 4 3 2 22" xfId="40929" xr:uid="{EEC291E8-3EA9-4125-8906-BDD68D78CCC8}"/>
    <cellStyle name="40% - Accent3 4 3 2 3" xfId="5018" xr:uid="{0BA8066B-6C20-4680-9909-D8AB16FF9027}"/>
    <cellStyle name="40% - Accent3 4 3 2 4" xfId="6908" xr:uid="{92AB5F1E-3532-47F2-9B89-2BC67067768E}"/>
    <cellStyle name="40% - Accent3 4 3 2 5" xfId="8798" xr:uid="{DCBD5A14-900D-40FE-B8EC-4A7C7A3B1739}"/>
    <cellStyle name="40% - Accent3 4 3 2 6" xfId="10688" xr:uid="{DD339704-312D-4A65-9B16-05F393DA27CE}"/>
    <cellStyle name="40% - Accent3 4 3 2 7" xfId="12578" xr:uid="{3AEB79B6-9250-4C48-B549-FF9964389D67}"/>
    <cellStyle name="40% - Accent3 4 3 2 8" xfId="14468" xr:uid="{C0C4A772-6FD3-4944-BF41-37B4FC8152A1}"/>
    <cellStyle name="40% - Accent3 4 3 2 9" xfId="16358" xr:uid="{677C2D95-D418-45ED-B0C5-5C0380B92AB4}"/>
    <cellStyle name="40% - Accent3 4 3 20" xfId="32738" xr:uid="{B1983EF5-0649-4D5F-A07B-713C8FCC0AFE}"/>
    <cellStyle name="40% - Accent3 4 3 21" xfId="34628" xr:uid="{EF3C5F1F-26CE-42AE-AE2C-AA5777EF39D8}"/>
    <cellStyle name="40% - Accent3 4 3 22" xfId="36518" xr:uid="{9B5721B9-C7AB-488F-941B-9905083351F0}"/>
    <cellStyle name="40% - Accent3 4 3 23" xfId="38408" xr:uid="{26C22D2A-8F5B-40E4-BA43-E1B3B8E867F1}"/>
    <cellStyle name="40% - Accent3 4 3 24" xfId="40299" xr:uid="{79D715B7-8F68-4E34-8E2D-5F9F4EFA7695}"/>
    <cellStyle name="40% - Accent3 4 3 3" xfId="1868" xr:uid="{4429320D-32F4-4561-89F9-93FF7528D213}"/>
    <cellStyle name="40% - Accent3 4 3 3 10" xfId="18878" xr:uid="{5D7AE35E-2418-49F5-932C-06B124E661ED}"/>
    <cellStyle name="40% - Accent3 4 3 3 11" xfId="20768" xr:uid="{4A7AFC96-BF85-48BB-986A-7412D5BD9EAF}"/>
    <cellStyle name="40% - Accent3 4 3 3 12" xfId="22658" xr:uid="{BB956E28-8A32-4874-BEA5-848333A8A48B}"/>
    <cellStyle name="40% - Accent3 4 3 3 13" xfId="24548" xr:uid="{1786C66A-5D80-4480-A53E-2B584B9D47B7}"/>
    <cellStyle name="40% - Accent3 4 3 3 14" xfId="26438" xr:uid="{80D3B90F-15A2-48F6-9FFA-980ABF8AC1CD}"/>
    <cellStyle name="40% - Accent3 4 3 3 15" xfId="28328" xr:uid="{377E0574-46AB-427A-BA0D-69C41D421DE5}"/>
    <cellStyle name="40% - Accent3 4 3 3 16" xfId="30218" xr:uid="{F5318EE8-CCDC-4E67-A181-6CC05A120C78}"/>
    <cellStyle name="40% - Accent3 4 3 3 17" xfId="32108" xr:uid="{0A432765-12AF-4F03-B15B-78939BB96020}"/>
    <cellStyle name="40% - Accent3 4 3 3 18" xfId="33998" xr:uid="{D44EB595-042A-456D-9F8F-A8CC900AB599}"/>
    <cellStyle name="40% - Accent3 4 3 3 19" xfId="35888" xr:uid="{50A10534-173E-4047-8A8F-C2DE6652F1B5}"/>
    <cellStyle name="40% - Accent3 4 3 3 2" xfId="3758" xr:uid="{B92BF52A-823A-467D-B1A8-776EC89B2DA9}"/>
    <cellStyle name="40% - Accent3 4 3 3 20" xfId="37778" xr:uid="{E0E550EF-D75A-407C-91A1-A84D2FB3D093}"/>
    <cellStyle name="40% - Accent3 4 3 3 21" xfId="39668" xr:uid="{B224D075-AB3B-4937-A57B-D73F1B408F78}"/>
    <cellStyle name="40% - Accent3 4 3 3 22" xfId="41559" xr:uid="{74CFE375-CB85-4625-B061-B38F6317B5DB}"/>
    <cellStyle name="40% - Accent3 4 3 3 3" xfId="5648" xr:uid="{318F1F35-29E0-4843-AA2C-B7FDF7AD6B57}"/>
    <cellStyle name="40% - Accent3 4 3 3 4" xfId="7538" xr:uid="{DD3BAF56-A5C3-4EE0-8C93-95946E108779}"/>
    <cellStyle name="40% - Accent3 4 3 3 5" xfId="9428" xr:uid="{4BF6088E-2E99-4EF8-A3D4-87579A87B580}"/>
    <cellStyle name="40% - Accent3 4 3 3 6" xfId="11318" xr:uid="{4ECF91C1-5033-40DF-8F89-DC02F82D60E3}"/>
    <cellStyle name="40% - Accent3 4 3 3 7" xfId="13208" xr:uid="{D0878B80-BA4C-43B9-868C-E49EAFF863AD}"/>
    <cellStyle name="40% - Accent3 4 3 3 8" xfId="15098" xr:uid="{E6145A97-AB10-4BFB-8596-35AE0B468DA5}"/>
    <cellStyle name="40% - Accent3 4 3 3 9" xfId="16988" xr:uid="{9F2A04C9-4929-4A76-94D9-F87438ED39AD}"/>
    <cellStyle name="40% - Accent3 4 3 4" xfId="2498" xr:uid="{1E5A2B25-3E39-4C58-9D3A-5129F76EE69A}"/>
    <cellStyle name="40% - Accent3 4 3 5" xfId="4388" xr:uid="{B9FB977D-D990-41D0-A6B2-C7092B90531E}"/>
    <cellStyle name="40% - Accent3 4 3 6" xfId="6278" xr:uid="{D0B1343E-D7A9-4B5A-86D3-C348328227AD}"/>
    <cellStyle name="40% - Accent3 4 3 7" xfId="8168" xr:uid="{2F834AB1-0B2C-4445-B09A-6134D073710A}"/>
    <cellStyle name="40% - Accent3 4 3 8" xfId="10058" xr:uid="{0E005D75-E16A-4B17-B345-110DB7A016E6}"/>
    <cellStyle name="40% - Accent3 4 3 9" xfId="11948" xr:uid="{8285F174-4417-48B9-9AFB-8510D8B00A7E}"/>
    <cellStyle name="40% - Accent3 4 4" xfId="818" xr:uid="{5EE64D54-9E62-42FF-8183-56D7F76E4664}"/>
    <cellStyle name="40% - Accent3 4 4 10" xfId="17828" xr:uid="{CA920458-FE7B-47E8-BD26-2E186503FCA9}"/>
    <cellStyle name="40% - Accent3 4 4 11" xfId="19718" xr:uid="{D4798C37-DE84-4E1F-B3CB-EA832E63C1F4}"/>
    <cellStyle name="40% - Accent3 4 4 12" xfId="21608" xr:uid="{4DD11928-F139-48F8-AFBA-6EE059BA7CA7}"/>
    <cellStyle name="40% - Accent3 4 4 13" xfId="23498" xr:uid="{975D5815-8BD5-4515-916D-C3F37BE5C0EA}"/>
    <cellStyle name="40% - Accent3 4 4 14" xfId="25388" xr:uid="{F2F101CB-A0CB-4152-81BD-EFE9405287B0}"/>
    <cellStyle name="40% - Accent3 4 4 15" xfId="27278" xr:uid="{4F33E6C8-6597-49CF-8D32-5FF2D756D16C}"/>
    <cellStyle name="40% - Accent3 4 4 16" xfId="29168" xr:uid="{7B2403B3-72A2-4848-BFCC-14A6FEFAEB15}"/>
    <cellStyle name="40% - Accent3 4 4 17" xfId="31058" xr:uid="{D368A7BF-A2C7-4956-9803-6949021E0438}"/>
    <cellStyle name="40% - Accent3 4 4 18" xfId="32948" xr:uid="{A50690B6-BA55-4674-8DF1-D510F5A46597}"/>
    <cellStyle name="40% - Accent3 4 4 19" xfId="34838" xr:uid="{8E72C40D-966F-4E31-AA78-6CA7F97A6C19}"/>
    <cellStyle name="40% - Accent3 4 4 2" xfId="2708" xr:uid="{390AC4CF-7579-4918-A924-06808C58DDD4}"/>
    <cellStyle name="40% - Accent3 4 4 20" xfId="36728" xr:uid="{05EC45E7-9BA8-4B63-97F5-BE681C5650B7}"/>
    <cellStyle name="40% - Accent3 4 4 21" xfId="38618" xr:uid="{98FA02EF-A8F9-4788-8D4A-116AF4472E19}"/>
    <cellStyle name="40% - Accent3 4 4 22" xfId="40509" xr:uid="{7C74834A-011D-4B6F-8AE2-CDB889EE8169}"/>
    <cellStyle name="40% - Accent3 4 4 3" xfId="4598" xr:uid="{73297982-E549-4E14-AE7A-DC40BBA541DC}"/>
    <cellStyle name="40% - Accent3 4 4 4" xfId="6488" xr:uid="{610A4E6C-2EF7-457E-A396-D5766DFC5991}"/>
    <cellStyle name="40% - Accent3 4 4 5" xfId="8378" xr:uid="{04A241A6-607F-4FC9-B096-FE22224A37E4}"/>
    <cellStyle name="40% - Accent3 4 4 6" xfId="10268" xr:uid="{E4DDD812-6952-42D1-B3C9-C87DC5E061F0}"/>
    <cellStyle name="40% - Accent3 4 4 7" xfId="12158" xr:uid="{20724150-9C4A-40B2-84AD-4E0EA38D640D}"/>
    <cellStyle name="40% - Accent3 4 4 8" xfId="14048" xr:uid="{D5538058-331A-4871-8881-455B46B5D627}"/>
    <cellStyle name="40% - Accent3 4 4 9" xfId="15938" xr:uid="{D465339C-DD6F-4E81-864B-6B78D7CD5618}"/>
    <cellStyle name="40% - Accent3 4 5" xfId="1448" xr:uid="{ED4EA811-DED0-45E5-BE05-1C2560950F1D}"/>
    <cellStyle name="40% - Accent3 4 5 10" xfId="18458" xr:uid="{6BF0AC7E-02E9-410F-92C9-1190F0F4025C}"/>
    <cellStyle name="40% - Accent3 4 5 11" xfId="20348" xr:uid="{2C3AA125-3E2C-4B5B-9DE0-5C2182B0AA17}"/>
    <cellStyle name="40% - Accent3 4 5 12" xfId="22238" xr:uid="{1787F428-8967-4C14-AD92-43B324732917}"/>
    <cellStyle name="40% - Accent3 4 5 13" xfId="24128" xr:uid="{E1D2E42C-AA9D-402D-8608-36BB2D485CCC}"/>
    <cellStyle name="40% - Accent3 4 5 14" xfId="26018" xr:uid="{B9F077DA-04E5-48A5-B20D-615961A86B39}"/>
    <cellStyle name="40% - Accent3 4 5 15" xfId="27908" xr:uid="{BE92953C-4F1A-463C-AB0D-529994EBF8D5}"/>
    <cellStyle name="40% - Accent3 4 5 16" xfId="29798" xr:uid="{8D3A78A7-43DD-45C1-92EC-3E7E54510592}"/>
    <cellStyle name="40% - Accent3 4 5 17" xfId="31688" xr:uid="{4E737ECA-EA95-471E-9BC3-A0B585C6ED0E}"/>
    <cellStyle name="40% - Accent3 4 5 18" xfId="33578" xr:uid="{C1B2E676-22AB-481B-88CC-313C2705E430}"/>
    <cellStyle name="40% - Accent3 4 5 19" xfId="35468" xr:uid="{6BD0DB3F-34B7-4077-AE83-47A6169826E4}"/>
    <cellStyle name="40% - Accent3 4 5 2" xfId="3338" xr:uid="{ABABD72B-91F1-430B-8F7E-F732935B82F2}"/>
    <cellStyle name="40% - Accent3 4 5 20" xfId="37358" xr:uid="{7F3C5BC0-77C0-481E-A0FE-8B9CA8FE1DAD}"/>
    <cellStyle name="40% - Accent3 4 5 21" xfId="39248" xr:uid="{0075ACE5-15CF-477A-B971-0DAC8335DDCA}"/>
    <cellStyle name="40% - Accent3 4 5 22" xfId="41139" xr:uid="{FD7787BF-364D-47DD-B8CF-5DD9F9BB5D64}"/>
    <cellStyle name="40% - Accent3 4 5 3" xfId="5228" xr:uid="{DFD4F451-B89F-467C-9433-4362A725044A}"/>
    <cellStyle name="40% - Accent3 4 5 4" xfId="7118" xr:uid="{5462A5AF-707D-4A4C-A73A-31EA7747E60F}"/>
    <cellStyle name="40% - Accent3 4 5 5" xfId="9008" xr:uid="{C750CE10-3E31-423A-B228-4ED179C30AC1}"/>
    <cellStyle name="40% - Accent3 4 5 6" xfId="10898" xr:uid="{DE2478CB-B2B1-43E3-9246-0B8B194E1753}"/>
    <cellStyle name="40% - Accent3 4 5 7" xfId="12788" xr:uid="{2C50D695-2EF4-4789-827B-74860E99BC94}"/>
    <cellStyle name="40% - Accent3 4 5 8" xfId="14678" xr:uid="{81B14476-44DB-48BA-AFE0-5FC24B760CF7}"/>
    <cellStyle name="40% - Accent3 4 5 9" xfId="16568" xr:uid="{2F58F5AC-4146-480B-B07C-4068BE6AB7F3}"/>
    <cellStyle name="40% - Accent3 4 6" xfId="2078" xr:uid="{2755E5EA-D807-4883-8DB8-D825BB5BF6B5}"/>
    <cellStyle name="40% - Accent3 4 7" xfId="3968" xr:uid="{06273901-B2EF-4335-B828-CC0433AC1F67}"/>
    <cellStyle name="40% - Accent3 4 8" xfId="5858" xr:uid="{17522231-C1BD-4007-A985-BD6480596F10}"/>
    <cellStyle name="40% - Accent3 4 9" xfId="7748" xr:uid="{99CD90A7-B758-4D62-8FBB-601A40FD58C9}"/>
    <cellStyle name="40% - Accent3 5" xfId="293" xr:uid="{826DA7B8-4766-4673-B839-B44EA6122110}"/>
    <cellStyle name="40% - Accent3 5 10" xfId="13523" xr:uid="{33D9262F-5795-4382-9073-B7C3A26A3306}"/>
    <cellStyle name="40% - Accent3 5 11" xfId="15413" xr:uid="{9960AEAF-DF9B-4645-B5B8-64C8890FD615}"/>
    <cellStyle name="40% - Accent3 5 12" xfId="17303" xr:uid="{B4EB2E63-4FFB-40F6-96F1-9C5759912EE3}"/>
    <cellStyle name="40% - Accent3 5 13" xfId="19193" xr:uid="{31EA9222-7B6D-4C71-B84F-106B02B41530}"/>
    <cellStyle name="40% - Accent3 5 14" xfId="21083" xr:uid="{BDE926E4-A14D-4336-829D-EADDFAD04C79}"/>
    <cellStyle name="40% - Accent3 5 15" xfId="22973" xr:uid="{CDC5244E-1761-45C5-B6E5-2F659A086EE2}"/>
    <cellStyle name="40% - Accent3 5 16" xfId="24863" xr:uid="{A5E67A00-6223-437B-9E67-129879A10A9E}"/>
    <cellStyle name="40% - Accent3 5 17" xfId="26753" xr:uid="{F44EC4C2-B6B9-4F3D-A633-3293470FC0FB}"/>
    <cellStyle name="40% - Accent3 5 18" xfId="28643" xr:uid="{04D3CFF9-0BEE-49D6-ACBE-C7A96BB140C1}"/>
    <cellStyle name="40% - Accent3 5 19" xfId="30533" xr:uid="{BC32CE55-7379-4BE0-9541-519CDCAAA397}"/>
    <cellStyle name="40% - Accent3 5 2" xfId="923" xr:uid="{F2F69D97-C94D-4F26-9799-6761D7B6A03E}"/>
    <cellStyle name="40% - Accent3 5 2 10" xfId="17933" xr:uid="{9E7F6D0D-B1AD-46CD-B2D1-F1297104874C}"/>
    <cellStyle name="40% - Accent3 5 2 11" xfId="19823" xr:uid="{BB1949BD-92A9-4519-818E-90C61025AE2C}"/>
    <cellStyle name="40% - Accent3 5 2 12" xfId="21713" xr:uid="{26FB0926-D9D6-4473-B8E9-6858130BF707}"/>
    <cellStyle name="40% - Accent3 5 2 13" xfId="23603" xr:uid="{DEEDEDB1-97F5-433A-8241-52DA74CAE15D}"/>
    <cellStyle name="40% - Accent3 5 2 14" xfId="25493" xr:uid="{456156F5-BD84-48CD-9D27-24764633A108}"/>
    <cellStyle name="40% - Accent3 5 2 15" xfId="27383" xr:uid="{D3728700-D930-457C-89F1-2B93BE55D608}"/>
    <cellStyle name="40% - Accent3 5 2 16" xfId="29273" xr:uid="{CCFD0748-BFA8-46E0-9403-30FE03DC3419}"/>
    <cellStyle name="40% - Accent3 5 2 17" xfId="31163" xr:uid="{4702F323-68DA-42EB-A8CA-E5B09B6B2717}"/>
    <cellStyle name="40% - Accent3 5 2 18" xfId="33053" xr:uid="{4CBBA586-6A1E-4889-842A-D0C1A307B080}"/>
    <cellStyle name="40% - Accent3 5 2 19" xfId="34943" xr:uid="{27142DC6-52A8-4FC3-9153-79F48032A577}"/>
    <cellStyle name="40% - Accent3 5 2 2" xfId="2813" xr:uid="{DB224A58-1D4B-4F77-87BA-318F5F9B0AD6}"/>
    <cellStyle name="40% - Accent3 5 2 20" xfId="36833" xr:uid="{A14110B4-59AF-473A-B04A-3DE36925CBA7}"/>
    <cellStyle name="40% - Accent3 5 2 21" xfId="38723" xr:uid="{1EB0990A-198A-43EF-AAD1-C7A800E474A6}"/>
    <cellStyle name="40% - Accent3 5 2 22" xfId="40614" xr:uid="{692433C4-DF6C-4189-AC32-C703D2D8D223}"/>
    <cellStyle name="40% - Accent3 5 2 3" xfId="4703" xr:uid="{DD64F7F6-FB59-4C1A-9498-5713FEEEFFAE}"/>
    <cellStyle name="40% - Accent3 5 2 4" xfId="6593" xr:uid="{A3654D3D-4224-4F3E-B6A3-977D53A55909}"/>
    <cellStyle name="40% - Accent3 5 2 5" xfId="8483" xr:uid="{D5ABA408-08AB-4677-9D1D-2D8A2E0EB0F4}"/>
    <cellStyle name="40% - Accent3 5 2 6" xfId="10373" xr:uid="{AC28198B-B353-4B8E-A434-4C07BB744956}"/>
    <cellStyle name="40% - Accent3 5 2 7" xfId="12263" xr:uid="{37A87505-5C53-4D3B-876C-566289768512}"/>
    <cellStyle name="40% - Accent3 5 2 8" xfId="14153" xr:uid="{C48E299D-734D-4C61-A861-62CA221A8262}"/>
    <cellStyle name="40% - Accent3 5 2 9" xfId="16043" xr:uid="{9DD0C02F-17DD-4133-8378-B03DC46EB8E5}"/>
    <cellStyle name="40% - Accent3 5 20" xfId="32423" xr:uid="{9AEE93DF-A080-4479-A4F9-F29E1133ED80}"/>
    <cellStyle name="40% - Accent3 5 21" xfId="34313" xr:uid="{8780A947-546D-4401-BEE4-B7B2C5216A6D}"/>
    <cellStyle name="40% - Accent3 5 22" xfId="36203" xr:uid="{4C7B540B-96B1-4822-8F60-14F94C900D78}"/>
    <cellStyle name="40% - Accent3 5 23" xfId="38093" xr:uid="{416F404A-53D8-47F7-B4AF-CBB7BA927550}"/>
    <cellStyle name="40% - Accent3 5 24" xfId="39984" xr:uid="{7795825F-71CE-4666-95BD-B1BBF33141FD}"/>
    <cellStyle name="40% - Accent3 5 3" xfId="1553" xr:uid="{D1F7B3C2-695B-4D04-99BC-7336123D9483}"/>
    <cellStyle name="40% - Accent3 5 3 10" xfId="18563" xr:uid="{9CDC693D-E3FE-42B2-BC81-37C18D444B1F}"/>
    <cellStyle name="40% - Accent3 5 3 11" xfId="20453" xr:uid="{5D2155F0-440B-4442-AC67-BDA86E834DD0}"/>
    <cellStyle name="40% - Accent3 5 3 12" xfId="22343" xr:uid="{A7A660CB-5E34-41A3-A8E2-082B009DC1F7}"/>
    <cellStyle name="40% - Accent3 5 3 13" xfId="24233" xr:uid="{4EE73BD2-D305-4BDC-8828-93C8CDE02D71}"/>
    <cellStyle name="40% - Accent3 5 3 14" xfId="26123" xr:uid="{960AEC57-F5BC-4DD0-924B-89462FAB069F}"/>
    <cellStyle name="40% - Accent3 5 3 15" xfId="28013" xr:uid="{9E3B3AF9-7990-4CB1-AB6E-1D7CB5F26EDF}"/>
    <cellStyle name="40% - Accent3 5 3 16" xfId="29903" xr:uid="{142AD8C4-24CF-4222-BF5A-93FD093CDC77}"/>
    <cellStyle name="40% - Accent3 5 3 17" xfId="31793" xr:uid="{921E55A1-3378-4A9D-B83C-434352590BFB}"/>
    <cellStyle name="40% - Accent3 5 3 18" xfId="33683" xr:uid="{EB1475E4-4C13-4BCD-AB0C-82CDFD58D650}"/>
    <cellStyle name="40% - Accent3 5 3 19" xfId="35573" xr:uid="{2D54E980-4FDB-4339-8942-4EB9CE9B0D5F}"/>
    <cellStyle name="40% - Accent3 5 3 2" xfId="3443" xr:uid="{52C20EF5-2563-46ED-BE7C-B30909E8909F}"/>
    <cellStyle name="40% - Accent3 5 3 20" xfId="37463" xr:uid="{A2093AC8-A345-4BF4-99F7-A80F3D08922D}"/>
    <cellStyle name="40% - Accent3 5 3 21" xfId="39353" xr:uid="{524F1E75-69AF-4B90-AA44-38F3FBF17516}"/>
    <cellStyle name="40% - Accent3 5 3 22" xfId="41244" xr:uid="{F5A393CA-3AD1-4636-A33D-D1CE4B9E1FCE}"/>
    <cellStyle name="40% - Accent3 5 3 3" xfId="5333" xr:uid="{BD4F8C37-2E08-45D2-8426-6CC484262B64}"/>
    <cellStyle name="40% - Accent3 5 3 4" xfId="7223" xr:uid="{A69C8EE6-7DD8-46DA-A470-81D0CA9CBB51}"/>
    <cellStyle name="40% - Accent3 5 3 5" xfId="9113" xr:uid="{224B936E-8B24-4AB9-9D6B-6673EA48EB13}"/>
    <cellStyle name="40% - Accent3 5 3 6" xfId="11003" xr:uid="{66AD5085-8939-41D9-B87D-294915607BC5}"/>
    <cellStyle name="40% - Accent3 5 3 7" xfId="12893" xr:uid="{2A3A934D-2F86-4407-9CB8-425A93BDA873}"/>
    <cellStyle name="40% - Accent3 5 3 8" xfId="14783" xr:uid="{16594F67-D0F2-4EC7-985B-AB762B285BEC}"/>
    <cellStyle name="40% - Accent3 5 3 9" xfId="16673" xr:uid="{4FB00851-2C2D-4135-85B3-05619E8170FF}"/>
    <cellStyle name="40% - Accent3 5 4" xfId="2183" xr:uid="{90627C31-1D2E-45DE-98AF-66BCE1718D35}"/>
    <cellStyle name="40% - Accent3 5 5" xfId="4073" xr:uid="{A9F640AB-6926-4561-86CE-809C31FF6F5D}"/>
    <cellStyle name="40% - Accent3 5 6" xfId="5963" xr:uid="{CA989AE6-294E-4E0D-B6E9-8014FF71D772}"/>
    <cellStyle name="40% - Accent3 5 7" xfId="7853" xr:uid="{B3832076-C9F3-4731-8C9F-8855745579DF}"/>
    <cellStyle name="40% - Accent3 5 8" xfId="9743" xr:uid="{1326C362-AA82-417E-A716-1CD661FA8635}"/>
    <cellStyle name="40% - Accent3 5 9" xfId="11633" xr:uid="{9039CB5E-6A8F-4275-8C5A-45986F43E105}"/>
    <cellStyle name="40% - Accent3 6" xfId="503" xr:uid="{3073BEB4-966D-422C-8AB4-85CE4A358245}"/>
    <cellStyle name="40% - Accent3 6 10" xfId="13733" xr:uid="{2BB5CE38-40B7-4A2A-BEA1-54425A3C952C}"/>
    <cellStyle name="40% - Accent3 6 11" xfId="15623" xr:uid="{ABE1DFDB-0DB0-4E06-A1B8-0633D86D3F9C}"/>
    <cellStyle name="40% - Accent3 6 12" xfId="17513" xr:uid="{3F28031F-0C06-4D5D-9A10-2087E4BB0167}"/>
    <cellStyle name="40% - Accent3 6 13" xfId="19403" xr:uid="{2EEF6166-2B54-4790-A4D0-2207927376D6}"/>
    <cellStyle name="40% - Accent3 6 14" xfId="21293" xr:uid="{82FA564E-AE4A-4331-8917-3D167B52B711}"/>
    <cellStyle name="40% - Accent3 6 15" xfId="23183" xr:uid="{FFB74B67-D86A-49EF-823B-59CBDE13AB26}"/>
    <cellStyle name="40% - Accent3 6 16" xfId="25073" xr:uid="{61966F04-91B5-4A2E-98D9-0B0487A0BB7F}"/>
    <cellStyle name="40% - Accent3 6 17" xfId="26963" xr:uid="{A7E8EFA9-6824-4972-91F8-0D188E506512}"/>
    <cellStyle name="40% - Accent3 6 18" xfId="28853" xr:uid="{7E95096C-31E4-460B-8341-4B45605765DE}"/>
    <cellStyle name="40% - Accent3 6 19" xfId="30743" xr:uid="{BC8E4E2F-CAE3-4773-9708-7D236499A488}"/>
    <cellStyle name="40% - Accent3 6 2" xfId="1133" xr:uid="{C042EB92-277B-4E54-B935-0E25E20CE2C4}"/>
    <cellStyle name="40% - Accent3 6 2 10" xfId="18143" xr:uid="{2AA81187-2FAB-499D-B07E-7559A93B916F}"/>
    <cellStyle name="40% - Accent3 6 2 11" xfId="20033" xr:uid="{7DAD9440-DBAD-4285-843C-C5A1251ADA34}"/>
    <cellStyle name="40% - Accent3 6 2 12" xfId="21923" xr:uid="{BF3FD5F4-77E3-416A-8151-31AEA43B7396}"/>
    <cellStyle name="40% - Accent3 6 2 13" xfId="23813" xr:uid="{6ABF2A79-BDFC-44B3-9C8E-FF84A3E0A40A}"/>
    <cellStyle name="40% - Accent3 6 2 14" xfId="25703" xr:uid="{A2FB1DD1-6775-4DCB-9F2B-0B60501466E9}"/>
    <cellStyle name="40% - Accent3 6 2 15" xfId="27593" xr:uid="{790F74A4-5461-4D3A-A189-44BA140BA843}"/>
    <cellStyle name="40% - Accent3 6 2 16" xfId="29483" xr:uid="{7577DBCE-A434-4F55-BF74-CC66F4D305DB}"/>
    <cellStyle name="40% - Accent3 6 2 17" xfId="31373" xr:uid="{88477F06-482A-4C9C-8D0A-2EF0FCEB2F75}"/>
    <cellStyle name="40% - Accent3 6 2 18" xfId="33263" xr:uid="{1516361D-A854-4714-934A-7E345C44CA9C}"/>
    <cellStyle name="40% - Accent3 6 2 19" xfId="35153" xr:uid="{8D01AEAD-F813-4069-8F8D-C2BD121CE50C}"/>
    <cellStyle name="40% - Accent3 6 2 2" xfId="3023" xr:uid="{4ED598A1-8077-4234-9407-5F1365B8B0AB}"/>
    <cellStyle name="40% - Accent3 6 2 20" xfId="37043" xr:uid="{DB44785F-8436-4DA3-8F5C-D791B902E401}"/>
    <cellStyle name="40% - Accent3 6 2 21" xfId="38933" xr:uid="{1E65AE0E-1289-432C-AAB8-A0AD90961A6C}"/>
    <cellStyle name="40% - Accent3 6 2 22" xfId="40824" xr:uid="{9989534F-39C0-4193-B841-8237700FF66E}"/>
    <cellStyle name="40% - Accent3 6 2 3" xfId="4913" xr:uid="{032A5754-F4BC-45D2-A706-0DEDFC48A12B}"/>
    <cellStyle name="40% - Accent3 6 2 4" xfId="6803" xr:uid="{678A2316-EABA-412F-9FDF-39C7F9DD5B6D}"/>
    <cellStyle name="40% - Accent3 6 2 5" xfId="8693" xr:uid="{14F0146C-466E-48FC-99C2-3D0F2157617D}"/>
    <cellStyle name="40% - Accent3 6 2 6" xfId="10583" xr:uid="{515708CC-C0D7-4BCF-8F02-D2A09B5839FD}"/>
    <cellStyle name="40% - Accent3 6 2 7" xfId="12473" xr:uid="{5B1E3AE2-20F0-4717-8A2A-247C11824C76}"/>
    <cellStyle name="40% - Accent3 6 2 8" xfId="14363" xr:uid="{9F15FAA1-1DAA-4FF5-810C-262A7B5CADA0}"/>
    <cellStyle name="40% - Accent3 6 2 9" xfId="16253" xr:uid="{5F1EF8DB-9FB8-4EE3-B318-1390A29F0597}"/>
    <cellStyle name="40% - Accent3 6 20" xfId="32633" xr:uid="{C95C0B8B-9243-43CF-802F-CDBECF6613A5}"/>
    <cellStyle name="40% - Accent3 6 21" xfId="34523" xr:uid="{4C1487F3-D054-4B1C-AB81-710438FE869D}"/>
    <cellStyle name="40% - Accent3 6 22" xfId="36413" xr:uid="{7F01619F-14EA-4D6B-BB9C-6D3450ED3198}"/>
    <cellStyle name="40% - Accent3 6 23" xfId="38303" xr:uid="{014FFD54-BCB1-42E4-8316-5F8AFFD83BF6}"/>
    <cellStyle name="40% - Accent3 6 24" xfId="40194" xr:uid="{1FA792D0-2A08-45D5-ABE2-C364A465DF75}"/>
    <cellStyle name="40% - Accent3 6 3" xfId="1763" xr:uid="{1A7D9D0E-17BA-424A-B5E8-172F5ACDF273}"/>
    <cellStyle name="40% - Accent3 6 3 10" xfId="18773" xr:uid="{9A0D7C69-4B55-46A2-B33C-B69685243AD5}"/>
    <cellStyle name="40% - Accent3 6 3 11" xfId="20663" xr:uid="{418E8F86-EEF7-4E19-AAAC-5D82DBC4E84A}"/>
    <cellStyle name="40% - Accent3 6 3 12" xfId="22553" xr:uid="{5C708679-73EB-45FC-8691-4E7962D0308F}"/>
    <cellStyle name="40% - Accent3 6 3 13" xfId="24443" xr:uid="{51964F59-25A9-4752-BC30-1F8B3C8905C9}"/>
    <cellStyle name="40% - Accent3 6 3 14" xfId="26333" xr:uid="{6BBAC62C-E1C4-44A3-B4E5-9132DE3CA531}"/>
    <cellStyle name="40% - Accent3 6 3 15" xfId="28223" xr:uid="{5CCD1455-BA6B-41DF-A2C6-2B140867B238}"/>
    <cellStyle name="40% - Accent3 6 3 16" xfId="30113" xr:uid="{112732A1-F0F3-47AE-BAFF-E4B20E89D155}"/>
    <cellStyle name="40% - Accent3 6 3 17" xfId="32003" xr:uid="{BC98FEF4-4476-4538-ADE3-C4E4CF79A787}"/>
    <cellStyle name="40% - Accent3 6 3 18" xfId="33893" xr:uid="{8549AE7E-25C6-4776-A290-27AF20A430FA}"/>
    <cellStyle name="40% - Accent3 6 3 19" xfId="35783" xr:uid="{93D11193-DF51-4712-9170-1E9067EF358F}"/>
    <cellStyle name="40% - Accent3 6 3 2" xfId="3653" xr:uid="{8BBFDA89-4344-4F96-8DF4-6A7AD64E93BC}"/>
    <cellStyle name="40% - Accent3 6 3 20" xfId="37673" xr:uid="{4BF8E3D4-92DD-41A7-B668-93CBC323E546}"/>
    <cellStyle name="40% - Accent3 6 3 21" xfId="39563" xr:uid="{AAF4154F-1A9C-4637-92C1-239FC84687BF}"/>
    <cellStyle name="40% - Accent3 6 3 22" xfId="41454" xr:uid="{307B927D-73D8-4B44-AE62-1798B0DDE565}"/>
    <cellStyle name="40% - Accent3 6 3 3" xfId="5543" xr:uid="{1D8E3370-23AD-47E8-9FE0-3BF4B4F05357}"/>
    <cellStyle name="40% - Accent3 6 3 4" xfId="7433" xr:uid="{FCBF9FC0-DA8E-49AC-8F34-F64A73C6CEA3}"/>
    <cellStyle name="40% - Accent3 6 3 5" xfId="9323" xr:uid="{611361F3-EAE6-4BF1-82FD-AD68D1EE416D}"/>
    <cellStyle name="40% - Accent3 6 3 6" xfId="11213" xr:uid="{0EBD0FFD-A707-4D0D-B761-B11B52D83D0C}"/>
    <cellStyle name="40% - Accent3 6 3 7" xfId="13103" xr:uid="{B009D753-2C91-448B-9070-9442BBE209F6}"/>
    <cellStyle name="40% - Accent3 6 3 8" xfId="14993" xr:uid="{BDDA860B-1BD5-484D-AD63-A9F248E61EF6}"/>
    <cellStyle name="40% - Accent3 6 3 9" xfId="16883" xr:uid="{CB124442-8ED2-4216-B36C-C8002CAAEFA8}"/>
    <cellStyle name="40% - Accent3 6 4" xfId="2393" xr:uid="{B5EA3742-D01D-4634-8A01-9BDB6208F94B}"/>
    <cellStyle name="40% - Accent3 6 5" xfId="4283" xr:uid="{C2B1ED61-C409-4058-9AD0-5D29B3783997}"/>
    <cellStyle name="40% - Accent3 6 6" xfId="6173" xr:uid="{AA025F1B-8E86-42F5-B952-3AED6518932D}"/>
    <cellStyle name="40% - Accent3 6 7" xfId="8063" xr:uid="{DA881C49-4011-438C-A00A-3209A39C2079}"/>
    <cellStyle name="40% - Accent3 6 8" xfId="9953" xr:uid="{2F01BD0C-173A-440D-85E1-64C8B9B43E3A}"/>
    <cellStyle name="40% - Accent3 6 9" xfId="11843" xr:uid="{A25C8EB6-776A-4A2D-9996-3E44C0018175}"/>
    <cellStyle name="40% - Accent3 7" xfId="713" xr:uid="{8F1DCF76-EDF4-4A68-95F7-B64AC4F035EB}"/>
    <cellStyle name="40% - Accent3 7 10" xfId="17723" xr:uid="{392597CB-3A1A-45C7-BB16-431A7B78D6D4}"/>
    <cellStyle name="40% - Accent3 7 11" xfId="19613" xr:uid="{029846DE-0EF9-4D6D-B1B6-06D5F33455BB}"/>
    <cellStyle name="40% - Accent3 7 12" xfId="21503" xr:uid="{FBAC331F-C214-4D70-9D26-35D69EB8D4CD}"/>
    <cellStyle name="40% - Accent3 7 13" xfId="23393" xr:uid="{F232EF29-0294-49F2-BE43-FA88A2320FF9}"/>
    <cellStyle name="40% - Accent3 7 14" xfId="25283" xr:uid="{4F211CBC-B645-4D21-8941-253DF8F30CCD}"/>
    <cellStyle name="40% - Accent3 7 15" xfId="27173" xr:uid="{275867C5-7F4A-4C9E-BADD-5210AF96AD72}"/>
    <cellStyle name="40% - Accent3 7 16" xfId="29063" xr:uid="{DC0C71F1-EB2C-48E9-80DB-AB4839AF82F8}"/>
    <cellStyle name="40% - Accent3 7 17" xfId="30953" xr:uid="{69CB2DDF-0C29-4A8A-875B-B762F6AFDA08}"/>
    <cellStyle name="40% - Accent3 7 18" xfId="32843" xr:uid="{A11C03CB-AF37-42FF-945B-645C8437B9C0}"/>
    <cellStyle name="40% - Accent3 7 19" xfId="34733" xr:uid="{A8151F3D-E8DB-4D0D-BC40-389428C55C49}"/>
    <cellStyle name="40% - Accent3 7 2" xfId="2603" xr:uid="{EFD1EAA9-61C4-428C-9CC8-0B913349D134}"/>
    <cellStyle name="40% - Accent3 7 20" xfId="36623" xr:uid="{DA72E495-A908-41E4-A097-36C7DAE98D69}"/>
    <cellStyle name="40% - Accent3 7 21" xfId="38513" xr:uid="{2D9EAAF1-0604-4FD3-B917-103E0BF7FFBA}"/>
    <cellStyle name="40% - Accent3 7 22" xfId="40404" xr:uid="{8974A8D1-3C6D-4722-8537-73F0D3DE09BA}"/>
    <cellStyle name="40% - Accent3 7 3" xfId="4493" xr:uid="{33AD1B58-AF74-4CEC-B6ED-74563745CC73}"/>
    <cellStyle name="40% - Accent3 7 4" xfId="6383" xr:uid="{8FD90D50-8DFC-474E-A4EE-068782DACCFE}"/>
    <cellStyle name="40% - Accent3 7 5" xfId="8273" xr:uid="{FBD0DECD-EA05-4F45-848D-D29A49D80A2F}"/>
    <cellStyle name="40% - Accent3 7 6" xfId="10163" xr:uid="{283958DA-C5E5-47E2-AC2C-5668CB26553C}"/>
    <cellStyle name="40% - Accent3 7 7" xfId="12053" xr:uid="{E16196A3-FECA-4C16-ABB9-CA74EA5BF6F8}"/>
    <cellStyle name="40% - Accent3 7 8" xfId="13943" xr:uid="{9E2B7836-BA83-4879-BEB4-584C40F30BFE}"/>
    <cellStyle name="40% - Accent3 7 9" xfId="15833" xr:uid="{AEA04164-CF8E-45DB-ACA6-8FBB8369C5F4}"/>
    <cellStyle name="40% - Accent3 8" xfId="1343" xr:uid="{038412E0-2831-4A80-839D-910B66651200}"/>
    <cellStyle name="40% - Accent3 8 10" xfId="18353" xr:uid="{CAF54172-000E-439A-AC44-97A7357DD10E}"/>
    <cellStyle name="40% - Accent3 8 11" xfId="20243" xr:uid="{4F20BB1D-775F-42CE-8D86-044D54FD54D2}"/>
    <cellStyle name="40% - Accent3 8 12" xfId="22133" xr:uid="{FAECDFF1-836D-47D3-8BAF-A9AAED1A47AE}"/>
    <cellStyle name="40% - Accent3 8 13" xfId="24023" xr:uid="{08B81205-A2AD-451C-8A8E-4FDC2AFEA72E}"/>
    <cellStyle name="40% - Accent3 8 14" xfId="25913" xr:uid="{E819107E-5BEE-4FF2-9049-B1CF168A6B0F}"/>
    <cellStyle name="40% - Accent3 8 15" xfId="27803" xr:uid="{8CC4570E-2AC9-43B3-BA13-44544F6F05A0}"/>
    <cellStyle name="40% - Accent3 8 16" xfId="29693" xr:uid="{E2DA146C-C209-4CB7-AA69-53109B445DCD}"/>
    <cellStyle name="40% - Accent3 8 17" xfId="31583" xr:uid="{8F5FC232-BE40-4549-93A0-8B9AFCFD84E9}"/>
    <cellStyle name="40% - Accent3 8 18" xfId="33473" xr:uid="{FC463561-6B3C-4257-9E6C-E1A0DBD63202}"/>
    <cellStyle name="40% - Accent3 8 19" xfId="35363" xr:uid="{5A759515-A573-4AA7-8F62-D346E9ADC233}"/>
    <cellStyle name="40% - Accent3 8 2" xfId="3233" xr:uid="{2B0CD246-A5FC-4234-980D-5A072DC2C806}"/>
    <cellStyle name="40% - Accent3 8 20" xfId="37253" xr:uid="{27D42B7C-F6CD-482C-8BC4-CE7D84C3E082}"/>
    <cellStyle name="40% - Accent3 8 21" xfId="39143" xr:uid="{D3BC0705-695D-438A-A9FD-DB15366A5329}"/>
    <cellStyle name="40% - Accent3 8 22" xfId="41034" xr:uid="{5BB0CBFC-A262-49D8-8C2B-F84CB76D9849}"/>
    <cellStyle name="40% - Accent3 8 3" xfId="5123" xr:uid="{7D386338-340D-4D5A-B1CC-811FE621A93C}"/>
    <cellStyle name="40% - Accent3 8 4" xfId="7013" xr:uid="{CB342136-D036-4680-A968-4EE943C7CD71}"/>
    <cellStyle name="40% - Accent3 8 5" xfId="8903" xr:uid="{0B44502A-8C89-4ABD-B3BF-C10422884EAC}"/>
    <cellStyle name="40% - Accent3 8 6" xfId="10793" xr:uid="{E57D3AD8-8B4A-4D13-B73D-C5A9D4DF4ADD}"/>
    <cellStyle name="40% - Accent3 8 7" xfId="12683" xr:uid="{92D6BC40-0AA4-42C5-818C-EC60D568BE10}"/>
    <cellStyle name="40% - Accent3 8 8" xfId="14573" xr:uid="{5B456C87-3BFF-4D9B-867E-3581E9C4ECDA}"/>
    <cellStyle name="40% - Accent3 8 9" xfId="16463" xr:uid="{3A47986A-0F92-439A-BB7A-1BDF31992B7C}"/>
    <cellStyle name="40% - Accent3 9" xfId="1973" xr:uid="{31166943-5A85-4ACF-A1D3-C048B64BC5A1}"/>
    <cellStyle name="40% - Accent4" xfId="84" builtinId="43" customBuiltin="1"/>
    <cellStyle name="40% - Accent4 10" xfId="3866" xr:uid="{6C612CA4-5D66-4AA9-BCD3-F3A623143FEE}"/>
    <cellStyle name="40% - Accent4 11" xfId="5756" xr:uid="{2FF28A1F-8CCE-4214-8ADD-FD263D35F956}"/>
    <cellStyle name="40% - Accent4 12" xfId="7646" xr:uid="{B5152159-21DB-46DD-88A4-E101626A599F}"/>
    <cellStyle name="40% - Accent4 13" xfId="9536" xr:uid="{5F0D2D57-D296-499A-8CE0-AA73C860AF04}"/>
    <cellStyle name="40% - Accent4 14" xfId="11426" xr:uid="{A3B8173C-3E49-471C-A987-5D56BA1CC9AB}"/>
    <cellStyle name="40% - Accent4 15" xfId="13316" xr:uid="{0820D5DC-4B93-417E-93CA-7D2DD43E4804}"/>
    <cellStyle name="40% - Accent4 16" xfId="15206" xr:uid="{5147C91A-50F4-47C6-A573-BE1C6971A025}"/>
    <cellStyle name="40% - Accent4 17" xfId="17096" xr:uid="{61FCBF6B-24F6-4040-86ED-4811C687DEA0}"/>
    <cellStyle name="40% - Accent4 18" xfId="18986" xr:uid="{C8105ADB-DCCE-4EF1-A7CC-659BFC3F75DF}"/>
    <cellStyle name="40% - Accent4 19" xfId="20876" xr:uid="{AB50CEE1-C8B0-4F44-9DE0-270DF5F79EBA}"/>
    <cellStyle name="40% - Accent4 2" xfId="108" xr:uid="{69A02152-562D-499B-BFC9-7840B60AD6C4}"/>
    <cellStyle name="40% - Accent4 2 10" xfId="7668" xr:uid="{5C7C5E93-124F-4099-87E3-EF43322AFD9F}"/>
    <cellStyle name="40% - Accent4 2 11" xfId="9558" xr:uid="{91FCF944-9F84-43BF-8286-3E382F035B35}"/>
    <cellStyle name="40% - Accent4 2 12" xfId="11448" xr:uid="{CB5C2F2F-14C3-4E88-82B9-2AE96B2DA38A}"/>
    <cellStyle name="40% - Accent4 2 13" xfId="13338" xr:uid="{629CE0DC-21D4-41BE-A682-90326293C760}"/>
    <cellStyle name="40% - Accent4 2 14" xfId="15228" xr:uid="{4826D575-D8D2-4AAD-BBE1-E4FF6D535979}"/>
    <cellStyle name="40% - Accent4 2 15" xfId="17118" xr:uid="{DF333009-016D-4538-83B0-E23875A36849}"/>
    <cellStyle name="40% - Accent4 2 16" xfId="19008" xr:uid="{DFA93822-97F1-44C3-9A33-4E87047EC281}"/>
    <cellStyle name="40% - Accent4 2 17" xfId="20898" xr:uid="{0873969A-D109-4A34-8969-3C516EDCCBA7}"/>
    <cellStyle name="40% - Accent4 2 18" xfId="22788" xr:uid="{578423A4-CF5E-4B2F-BE4A-5623E0F3CBEA}"/>
    <cellStyle name="40% - Accent4 2 19" xfId="24678" xr:uid="{374DD884-19E6-4A9D-B935-7A865756EE83}"/>
    <cellStyle name="40% - Accent4 2 2" xfId="213" xr:uid="{321AC054-182F-44E6-AE7C-5EBA43CB7E41}"/>
    <cellStyle name="40% - Accent4 2 2 10" xfId="9663" xr:uid="{503FF630-234B-49C8-B1E0-53706FF033F6}"/>
    <cellStyle name="40% - Accent4 2 2 11" xfId="11553" xr:uid="{1F8EB492-2823-4689-8652-9A7ED865E85D}"/>
    <cellStyle name="40% - Accent4 2 2 12" xfId="13443" xr:uid="{E62AD418-11A0-48A6-8228-BAF2A6509A5F}"/>
    <cellStyle name="40% - Accent4 2 2 13" xfId="15333" xr:uid="{310AD80F-87E2-46DE-855C-FF2EBAFFCB16}"/>
    <cellStyle name="40% - Accent4 2 2 14" xfId="17223" xr:uid="{92EF6A45-A29E-4E6A-BD6B-9D658C70938E}"/>
    <cellStyle name="40% - Accent4 2 2 15" xfId="19113" xr:uid="{071B4789-1C65-4C66-AAD9-A47430512143}"/>
    <cellStyle name="40% - Accent4 2 2 16" xfId="21003" xr:uid="{6CB7BE60-55E2-4DA9-B715-EBEEB0069C2C}"/>
    <cellStyle name="40% - Accent4 2 2 17" xfId="22893" xr:uid="{57909F14-1593-490C-A351-D1F58B40A0C1}"/>
    <cellStyle name="40% - Accent4 2 2 18" xfId="24783" xr:uid="{EF1C6A41-FF98-4DA3-A65F-EB756696D4DA}"/>
    <cellStyle name="40% - Accent4 2 2 19" xfId="26673" xr:uid="{3B51564A-D55F-429F-89D9-1F6CCBA7F9E7}"/>
    <cellStyle name="40% - Accent4 2 2 2" xfId="423" xr:uid="{D50F9EA5-29E6-4E43-972E-42BA8B5A0EEE}"/>
    <cellStyle name="40% - Accent4 2 2 2 10" xfId="13653" xr:uid="{2FD962B5-4F2F-46EF-8261-FE517EBA7768}"/>
    <cellStyle name="40% - Accent4 2 2 2 11" xfId="15543" xr:uid="{34E73186-31B8-4E67-A2F7-52A47C6BDE44}"/>
    <cellStyle name="40% - Accent4 2 2 2 12" xfId="17433" xr:uid="{829F8137-F38D-40C3-90BD-7452E0AD7D4F}"/>
    <cellStyle name="40% - Accent4 2 2 2 13" xfId="19323" xr:uid="{BB702993-6BF6-45AA-BA1A-124E2FA96777}"/>
    <cellStyle name="40% - Accent4 2 2 2 14" xfId="21213" xr:uid="{88681128-B014-4D57-8B46-516EDC7F8AF3}"/>
    <cellStyle name="40% - Accent4 2 2 2 15" xfId="23103" xr:uid="{79DD18D3-88CF-442B-8554-BF37F5DD9A94}"/>
    <cellStyle name="40% - Accent4 2 2 2 16" xfId="24993" xr:uid="{30B40B08-2FE8-4DDD-838B-BEB80C842E4C}"/>
    <cellStyle name="40% - Accent4 2 2 2 17" xfId="26883" xr:uid="{AB974EF3-70C0-4B67-BFAC-EF0A1A95391A}"/>
    <cellStyle name="40% - Accent4 2 2 2 18" xfId="28773" xr:uid="{2560664E-336A-4701-BA74-D49CBA98E993}"/>
    <cellStyle name="40% - Accent4 2 2 2 19" xfId="30663" xr:uid="{080D06D4-5257-494B-83A4-6B83873EE4BA}"/>
    <cellStyle name="40% - Accent4 2 2 2 2" xfId="1053" xr:uid="{F66101C1-7ABE-4109-A0B9-7E1938F9A7E9}"/>
    <cellStyle name="40% - Accent4 2 2 2 2 10" xfId="18063" xr:uid="{6E633F1E-6385-43BB-A2B1-A9FA5D248927}"/>
    <cellStyle name="40% - Accent4 2 2 2 2 11" xfId="19953" xr:uid="{42C19F4D-0CB7-4206-B344-D887A94F5233}"/>
    <cellStyle name="40% - Accent4 2 2 2 2 12" xfId="21843" xr:uid="{7A678E63-2CB9-4C05-B49E-948FE8CDE995}"/>
    <cellStyle name="40% - Accent4 2 2 2 2 13" xfId="23733" xr:uid="{2D00B487-7327-4B4F-8108-D73462128329}"/>
    <cellStyle name="40% - Accent4 2 2 2 2 14" xfId="25623" xr:uid="{A72814AD-17C4-432F-8184-DAAB158DA727}"/>
    <cellStyle name="40% - Accent4 2 2 2 2 15" xfId="27513" xr:uid="{25C68B32-C8FC-4C19-8420-348CE21465E8}"/>
    <cellStyle name="40% - Accent4 2 2 2 2 16" xfId="29403" xr:uid="{A1741917-316F-45FB-852A-2BF394BAFD4C}"/>
    <cellStyle name="40% - Accent4 2 2 2 2 17" xfId="31293" xr:uid="{B145586F-4326-4B4B-B73B-E8977BF4FA4B}"/>
    <cellStyle name="40% - Accent4 2 2 2 2 18" xfId="33183" xr:uid="{07AA131A-3710-4582-9314-884CD12F5684}"/>
    <cellStyle name="40% - Accent4 2 2 2 2 19" xfId="35073" xr:uid="{50C37B47-EFCB-4405-918F-A351F4EBBEAB}"/>
    <cellStyle name="40% - Accent4 2 2 2 2 2" xfId="2943" xr:uid="{F6FA9416-5A5A-4216-8157-41B8E9FCD91F}"/>
    <cellStyle name="40% - Accent4 2 2 2 2 20" xfId="36963" xr:uid="{2BDEC60B-AD05-4E5B-A7A1-CD013968BBC2}"/>
    <cellStyle name="40% - Accent4 2 2 2 2 21" xfId="38853" xr:uid="{EBFEC46B-5E04-460A-86A9-CDFF077BEFE9}"/>
    <cellStyle name="40% - Accent4 2 2 2 2 22" xfId="40744" xr:uid="{A790598B-A18B-4E46-A2E6-AB1276859995}"/>
    <cellStyle name="40% - Accent4 2 2 2 2 3" xfId="4833" xr:uid="{C8FBC888-9575-4EB5-9A2A-C86F01BF5F3B}"/>
    <cellStyle name="40% - Accent4 2 2 2 2 4" xfId="6723" xr:uid="{BEF901E9-C228-45FC-8CA4-4557ECD6E2A7}"/>
    <cellStyle name="40% - Accent4 2 2 2 2 5" xfId="8613" xr:uid="{DDC1E1D8-B871-4D95-8B40-AE8E37D91748}"/>
    <cellStyle name="40% - Accent4 2 2 2 2 6" xfId="10503" xr:uid="{05975F6C-DE5C-4370-A8D8-97C7CCFD72A0}"/>
    <cellStyle name="40% - Accent4 2 2 2 2 7" xfId="12393" xr:uid="{7AAFA33A-EFC3-4ED7-9799-266D2FA71642}"/>
    <cellStyle name="40% - Accent4 2 2 2 2 8" xfId="14283" xr:uid="{F207DC57-7099-475D-AB83-DEADE18833E9}"/>
    <cellStyle name="40% - Accent4 2 2 2 2 9" xfId="16173" xr:uid="{4F21F3FB-CD57-4102-AB9D-A6BEB856BCEA}"/>
    <cellStyle name="40% - Accent4 2 2 2 20" xfId="32553" xr:uid="{0BDDF0D0-493D-42D0-867B-853618CB5F43}"/>
    <cellStyle name="40% - Accent4 2 2 2 21" xfId="34443" xr:uid="{FFD27002-576B-426D-9DB9-C6D5B4D609CE}"/>
    <cellStyle name="40% - Accent4 2 2 2 22" xfId="36333" xr:uid="{B1CD59F4-28E6-49E4-B03C-FB70854561FC}"/>
    <cellStyle name="40% - Accent4 2 2 2 23" xfId="38223" xr:uid="{91ACBCA0-6A18-421A-83FB-2BC48ED6F3C3}"/>
    <cellStyle name="40% - Accent4 2 2 2 24" xfId="40114" xr:uid="{261238B5-2641-4FD1-AC85-670136377087}"/>
    <cellStyle name="40% - Accent4 2 2 2 3" xfId="1683" xr:uid="{E517BE28-EEC8-404E-86D6-EB44DFBD36CC}"/>
    <cellStyle name="40% - Accent4 2 2 2 3 10" xfId="18693" xr:uid="{90A02F29-7675-4DCD-A5E8-6EBD596F7F33}"/>
    <cellStyle name="40% - Accent4 2 2 2 3 11" xfId="20583" xr:uid="{8FBA3B25-6323-4C5B-84B9-36B69214043E}"/>
    <cellStyle name="40% - Accent4 2 2 2 3 12" xfId="22473" xr:uid="{76C9EDB0-F29E-49AE-B760-EE7DB713C7B9}"/>
    <cellStyle name="40% - Accent4 2 2 2 3 13" xfId="24363" xr:uid="{4FC2432D-CCEC-4C08-817E-C19BEF88F9E4}"/>
    <cellStyle name="40% - Accent4 2 2 2 3 14" xfId="26253" xr:uid="{BE7BD4F7-AF27-49CC-BBF2-CA43F82D47CD}"/>
    <cellStyle name="40% - Accent4 2 2 2 3 15" xfId="28143" xr:uid="{A8858D7A-7D08-4E22-ADA0-FE641C0237B6}"/>
    <cellStyle name="40% - Accent4 2 2 2 3 16" xfId="30033" xr:uid="{4051BF55-F302-41D9-9526-3AD65D8291AB}"/>
    <cellStyle name="40% - Accent4 2 2 2 3 17" xfId="31923" xr:uid="{41F1BFE9-6860-42A7-AF8B-54811F21CD45}"/>
    <cellStyle name="40% - Accent4 2 2 2 3 18" xfId="33813" xr:uid="{9DE08AC1-2AAE-40F6-9EC2-B00B6C9FA83E}"/>
    <cellStyle name="40% - Accent4 2 2 2 3 19" xfId="35703" xr:uid="{AE24D736-2776-421B-A970-6229BDB92643}"/>
    <cellStyle name="40% - Accent4 2 2 2 3 2" xfId="3573" xr:uid="{391391A7-296C-419F-BF25-1794EB2C79B1}"/>
    <cellStyle name="40% - Accent4 2 2 2 3 20" xfId="37593" xr:uid="{C122CB1A-114B-4E2D-BAFC-66FA40C23737}"/>
    <cellStyle name="40% - Accent4 2 2 2 3 21" xfId="39483" xr:uid="{C8E47C4C-EB5C-4A81-95F4-5F7BD48FFBE1}"/>
    <cellStyle name="40% - Accent4 2 2 2 3 22" xfId="41374" xr:uid="{26395B14-0DB5-477F-922F-F670E5045D90}"/>
    <cellStyle name="40% - Accent4 2 2 2 3 3" xfId="5463" xr:uid="{CD7EE0B3-98A6-4B04-808C-0E3F0FB585AE}"/>
    <cellStyle name="40% - Accent4 2 2 2 3 4" xfId="7353" xr:uid="{B83ABD10-01FF-441A-8C79-92D2B59DEDC8}"/>
    <cellStyle name="40% - Accent4 2 2 2 3 5" xfId="9243" xr:uid="{4BD841D0-6F06-4115-BDAD-E9264D3C74F3}"/>
    <cellStyle name="40% - Accent4 2 2 2 3 6" xfId="11133" xr:uid="{051A374D-5906-4045-BE95-BA94E06D9C46}"/>
    <cellStyle name="40% - Accent4 2 2 2 3 7" xfId="13023" xr:uid="{CB0E7B83-D6E4-48C3-93D3-EEC8BE22A085}"/>
    <cellStyle name="40% - Accent4 2 2 2 3 8" xfId="14913" xr:uid="{BA82261F-44D8-4AC9-A1E6-5DD37576A9E0}"/>
    <cellStyle name="40% - Accent4 2 2 2 3 9" xfId="16803" xr:uid="{0DE114E8-51EE-4FF6-82F9-4A85C375A340}"/>
    <cellStyle name="40% - Accent4 2 2 2 4" xfId="2313" xr:uid="{A5B2B44F-442A-4D12-950F-03D3D005BDA9}"/>
    <cellStyle name="40% - Accent4 2 2 2 5" xfId="4203" xr:uid="{F7ABCD5E-DF70-4C51-BF6A-6018AD8926E3}"/>
    <cellStyle name="40% - Accent4 2 2 2 6" xfId="6093" xr:uid="{0F78A22C-D4AB-40C9-8DA4-480DDDE82B53}"/>
    <cellStyle name="40% - Accent4 2 2 2 7" xfId="7983" xr:uid="{F6CC98C9-7051-404F-83DD-D83DBB40A296}"/>
    <cellStyle name="40% - Accent4 2 2 2 8" xfId="9873" xr:uid="{B4133777-AD76-4105-A895-EBDF0EF9E27F}"/>
    <cellStyle name="40% - Accent4 2 2 2 9" xfId="11763" xr:uid="{6B10C40F-B0DF-4E11-BD9C-98F417D64B7E}"/>
    <cellStyle name="40% - Accent4 2 2 20" xfId="28563" xr:uid="{D5796703-E5AF-47CA-9B3E-8FBBE764F144}"/>
    <cellStyle name="40% - Accent4 2 2 21" xfId="30453" xr:uid="{6190B2D7-E1DB-4744-B9B7-0304950942D6}"/>
    <cellStyle name="40% - Accent4 2 2 22" xfId="32343" xr:uid="{7790B5D2-EDBA-4730-9A18-DA28CAE65701}"/>
    <cellStyle name="40% - Accent4 2 2 23" xfId="34233" xr:uid="{5DD1BD65-309A-4180-B551-F1E1FB4D273C}"/>
    <cellStyle name="40% - Accent4 2 2 24" xfId="36123" xr:uid="{D2435288-6392-4CEC-8E39-FBFEC11486EA}"/>
    <cellStyle name="40% - Accent4 2 2 25" xfId="38013" xr:uid="{ECB51CFB-1DD5-4224-BDB6-470692C95C45}"/>
    <cellStyle name="40% - Accent4 2 2 26" xfId="39904" xr:uid="{AA3D80BF-2318-421A-819D-AE7624933DF3}"/>
    <cellStyle name="40% - Accent4 2 2 3" xfId="633" xr:uid="{082D36E2-9603-461B-97FD-A93D204955CB}"/>
    <cellStyle name="40% - Accent4 2 2 3 10" xfId="13863" xr:uid="{AC4B99B3-B69B-4DCE-A1D5-0D11988B9872}"/>
    <cellStyle name="40% - Accent4 2 2 3 11" xfId="15753" xr:uid="{066F4E7E-C4C5-4306-B7BA-A673FAC91D47}"/>
    <cellStyle name="40% - Accent4 2 2 3 12" xfId="17643" xr:uid="{87357749-D7B1-44BB-AC38-EC79F45F02C0}"/>
    <cellStyle name="40% - Accent4 2 2 3 13" xfId="19533" xr:uid="{C858EFCF-ECDA-46F8-9746-2469367FE37A}"/>
    <cellStyle name="40% - Accent4 2 2 3 14" xfId="21423" xr:uid="{300D1B37-C966-4BB8-8CEC-B5E5557DEAE3}"/>
    <cellStyle name="40% - Accent4 2 2 3 15" xfId="23313" xr:uid="{CDF7FBE3-F8DF-4236-B662-416756E5E46D}"/>
    <cellStyle name="40% - Accent4 2 2 3 16" xfId="25203" xr:uid="{256D3ACE-7FCC-4114-A312-3C84517C1DEB}"/>
    <cellStyle name="40% - Accent4 2 2 3 17" xfId="27093" xr:uid="{FF90F345-79E2-4F8A-ABCB-A3AE584F5E3F}"/>
    <cellStyle name="40% - Accent4 2 2 3 18" xfId="28983" xr:uid="{01928A7D-8B4E-4387-96B3-4363BB09A74C}"/>
    <cellStyle name="40% - Accent4 2 2 3 19" xfId="30873" xr:uid="{0C999263-11AA-4BBC-8897-411AD8EE3746}"/>
    <cellStyle name="40% - Accent4 2 2 3 2" xfId="1263" xr:uid="{65093549-AB9F-48A7-A8D5-E4623D7A2990}"/>
    <cellStyle name="40% - Accent4 2 2 3 2 10" xfId="18273" xr:uid="{DD4FF6EC-2031-4B44-8187-FA4E1628EB87}"/>
    <cellStyle name="40% - Accent4 2 2 3 2 11" xfId="20163" xr:uid="{A10F4829-8C0E-4DE8-9A46-7FEAE2F9B140}"/>
    <cellStyle name="40% - Accent4 2 2 3 2 12" xfId="22053" xr:uid="{3EBC4B84-3A30-4E42-B596-3480DA7F2F98}"/>
    <cellStyle name="40% - Accent4 2 2 3 2 13" xfId="23943" xr:uid="{07E95898-06D3-42C8-BBE3-0F5C698A9797}"/>
    <cellStyle name="40% - Accent4 2 2 3 2 14" xfId="25833" xr:uid="{79BE25A0-2341-400F-98B2-B4DEC9F274D9}"/>
    <cellStyle name="40% - Accent4 2 2 3 2 15" xfId="27723" xr:uid="{219E3171-B28A-462C-B8F3-B35819AEB2CE}"/>
    <cellStyle name="40% - Accent4 2 2 3 2 16" xfId="29613" xr:uid="{118D0398-DA67-4A0E-88A4-5A3625F544CD}"/>
    <cellStyle name="40% - Accent4 2 2 3 2 17" xfId="31503" xr:uid="{72414D0F-4A5E-4C81-B655-CB7C18B37889}"/>
    <cellStyle name="40% - Accent4 2 2 3 2 18" xfId="33393" xr:uid="{121F4D0F-C427-4FAE-B8A8-2F28D35928FB}"/>
    <cellStyle name="40% - Accent4 2 2 3 2 19" xfId="35283" xr:uid="{E3F45DB2-CFF2-494F-A879-DDE444B346CE}"/>
    <cellStyle name="40% - Accent4 2 2 3 2 2" xfId="3153" xr:uid="{B3EFD0D4-9371-44E0-B88F-9D9187059167}"/>
    <cellStyle name="40% - Accent4 2 2 3 2 20" xfId="37173" xr:uid="{6B871D11-5BEB-4CF5-916F-382D09B00A73}"/>
    <cellStyle name="40% - Accent4 2 2 3 2 21" xfId="39063" xr:uid="{844DD88E-EB4D-4166-A4D3-A8595D89FDB0}"/>
    <cellStyle name="40% - Accent4 2 2 3 2 22" xfId="40954" xr:uid="{A64614F5-74FC-4C41-8E72-D0F041132DD3}"/>
    <cellStyle name="40% - Accent4 2 2 3 2 3" xfId="5043" xr:uid="{E7DB7A78-9CA5-4C75-9083-D92523725F82}"/>
    <cellStyle name="40% - Accent4 2 2 3 2 4" xfId="6933" xr:uid="{19C17851-8F51-41F9-839E-683837BCBBCB}"/>
    <cellStyle name="40% - Accent4 2 2 3 2 5" xfId="8823" xr:uid="{BB28B8AC-C4EC-469D-A06C-6E75A786A2A6}"/>
    <cellStyle name="40% - Accent4 2 2 3 2 6" xfId="10713" xr:uid="{6A7037FF-AAD8-4A54-8971-533D4AF0D27A}"/>
    <cellStyle name="40% - Accent4 2 2 3 2 7" xfId="12603" xr:uid="{FB3271D7-4EB9-40DD-928E-31E995B08697}"/>
    <cellStyle name="40% - Accent4 2 2 3 2 8" xfId="14493" xr:uid="{FEE7FE87-725C-415C-9F4F-3FE1344D8143}"/>
    <cellStyle name="40% - Accent4 2 2 3 2 9" xfId="16383" xr:uid="{A8FDFC73-2889-4F72-8119-EDF804FFBEF1}"/>
    <cellStyle name="40% - Accent4 2 2 3 20" xfId="32763" xr:uid="{7F569B1B-93AE-44F9-8B06-76FFC7B9F06A}"/>
    <cellStyle name="40% - Accent4 2 2 3 21" xfId="34653" xr:uid="{44C8E14D-DE7E-4DE9-8954-24C61598CAB5}"/>
    <cellStyle name="40% - Accent4 2 2 3 22" xfId="36543" xr:uid="{3A613CA7-8B60-4DCE-9322-430B27667283}"/>
    <cellStyle name="40% - Accent4 2 2 3 23" xfId="38433" xr:uid="{D56D6E6C-7AE0-40EA-8DCD-9A02B756B4F0}"/>
    <cellStyle name="40% - Accent4 2 2 3 24" xfId="40324" xr:uid="{E335DBEB-CFFA-43D1-93A2-40E7BAF99B23}"/>
    <cellStyle name="40% - Accent4 2 2 3 3" xfId="1893" xr:uid="{DE140F9F-6C8B-4AD2-B24C-82DFC8603B05}"/>
    <cellStyle name="40% - Accent4 2 2 3 3 10" xfId="18903" xr:uid="{4C8342EE-97F7-4FBA-A3C9-3A2B1DD65FE3}"/>
    <cellStyle name="40% - Accent4 2 2 3 3 11" xfId="20793" xr:uid="{995E2830-C70F-4943-9831-84051B25EA21}"/>
    <cellStyle name="40% - Accent4 2 2 3 3 12" xfId="22683" xr:uid="{81D1DB7A-3E95-4C97-AD73-66532EFA8BFF}"/>
    <cellStyle name="40% - Accent4 2 2 3 3 13" xfId="24573" xr:uid="{A8E26C44-4EF0-4FDB-A402-1396BE2B9B91}"/>
    <cellStyle name="40% - Accent4 2 2 3 3 14" xfId="26463" xr:uid="{5BB0A902-D08F-457A-A623-1FF1E72B8EE2}"/>
    <cellStyle name="40% - Accent4 2 2 3 3 15" xfId="28353" xr:uid="{BAB83DCB-8EF6-49B0-B125-BE4E913A875D}"/>
    <cellStyle name="40% - Accent4 2 2 3 3 16" xfId="30243" xr:uid="{FAA52FF8-485B-4608-A8C4-C2E718C392E5}"/>
    <cellStyle name="40% - Accent4 2 2 3 3 17" xfId="32133" xr:uid="{49E13CFC-80B5-4F4B-B5F6-DCD05B32440A}"/>
    <cellStyle name="40% - Accent4 2 2 3 3 18" xfId="34023" xr:uid="{AC86CCDD-C3B7-4DB8-8C94-834285279EF3}"/>
    <cellStyle name="40% - Accent4 2 2 3 3 19" xfId="35913" xr:uid="{56F84BB6-56F1-480B-A915-9D0518FE88E3}"/>
    <cellStyle name="40% - Accent4 2 2 3 3 2" xfId="3783" xr:uid="{C7D0F708-16A9-4555-905A-99E7DC8BC4D7}"/>
    <cellStyle name="40% - Accent4 2 2 3 3 20" xfId="37803" xr:uid="{128D560F-8449-4B05-BFC9-400BAE922AEF}"/>
    <cellStyle name="40% - Accent4 2 2 3 3 21" xfId="39693" xr:uid="{AB17B078-A634-4CE6-BC03-CDD0893175A4}"/>
    <cellStyle name="40% - Accent4 2 2 3 3 22" xfId="41584" xr:uid="{B140FD6E-94F2-4B24-AFA2-465DFBDF6432}"/>
    <cellStyle name="40% - Accent4 2 2 3 3 3" xfId="5673" xr:uid="{90333FA3-5FAA-4470-B88A-C6CD8C55E428}"/>
    <cellStyle name="40% - Accent4 2 2 3 3 4" xfId="7563" xr:uid="{70EDBBC9-A105-4BA8-8467-4F2FEE59C05F}"/>
    <cellStyle name="40% - Accent4 2 2 3 3 5" xfId="9453" xr:uid="{28721532-A467-4DD8-822B-4390BB57C3C6}"/>
    <cellStyle name="40% - Accent4 2 2 3 3 6" xfId="11343" xr:uid="{9BCF75B0-A6B8-4D6B-9205-AEF19A7B47D9}"/>
    <cellStyle name="40% - Accent4 2 2 3 3 7" xfId="13233" xr:uid="{1BFE51DF-E042-4038-9B4F-542A6C670E74}"/>
    <cellStyle name="40% - Accent4 2 2 3 3 8" xfId="15123" xr:uid="{C21A4926-4068-434F-945B-76E7FF71D1C6}"/>
    <cellStyle name="40% - Accent4 2 2 3 3 9" xfId="17013" xr:uid="{02887615-4E95-4DD7-9F1A-7741B9E53B3F}"/>
    <cellStyle name="40% - Accent4 2 2 3 4" xfId="2523" xr:uid="{06C6E6D1-2E8C-4F38-85F3-53F64767FC0C}"/>
    <cellStyle name="40% - Accent4 2 2 3 5" xfId="4413" xr:uid="{6EA5FC35-D99D-4204-B9FD-9BA5478CF143}"/>
    <cellStyle name="40% - Accent4 2 2 3 6" xfId="6303" xr:uid="{BEBCE5F4-3CA1-42A3-9484-CBE7BDCB97BD}"/>
    <cellStyle name="40% - Accent4 2 2 3 7" xfId="8193" xr:uid="{C87539A9-70A2-42DC-AC67-169E70DE4EEF}"/>
    <cellStyle name="40% - Accent4 2 2 3 8" xfId="10083" xr:uid="{64A62C08-DFD1-4551-B6DB-D4F9B7EE3660}"/>
    <cellStyle name="40% - Accent4 2 2 3 9" xfId="11973" xr:uid="{FD4BFD74-410F-482A-BC98-27FDA33DD942}"/>
    <cellStyle name="40% - Accent4 2 2 4" xfId="843" xr:uid="{BE2DF103-35E7-495A-A915-28B2070535BE}"/>
    <cellStyle name="40% - Accent4 2 2 4 10" xfId="17853" xr:uid="{3005B581-3BBD-4BC4-A4BC-D6A66BA6B722}"/>
    <cellStyle name="40% - Accent4 2 2 4 11" xfId="19743" xr:uid="{AF1B3B3B-B50D-4EB3-85C6-F558B83DAF05}"/>
    <cellStyle name="40% - Accent4 2 2 4 12" xfId="21633" xr:uid="{C3BB65FB-B861-44C9-A810-554B387CA3CD}"/>
    <cellStyle name="40% - Accent4 2 2 4 13" xfId="23523" xr:uid="{D1CE88CE-24D3-4F34-A142-BEA97ACA892B}"/>
    <cellStyle name="40% - Accent4 2 2 4 14" xfId="25413" xr:uid="{CE766A6B-7BCB-40A4-B74F-DE2EC184E48C}"/>
    <cellStyle name="40% - Accent4 2 2 4 15" xfId="27303" xr:uid="{DB949A4A-3576-4C0D-9D05-47B97A8680C8}"/>
    <cellStyle name="40% - Accent4 2 2 4 16" xfId="29193" xr:uid="{621892E1-D503-4724-85FC-76C5F5FF3936}"/>
    <cellStyle name="40% - Accent4 2 2 4 17" xfId="31083" xr:uid="{EB50DD2B-7E07-4891-9E33-26177E8DA01A}"/>
    <cellStyle name="40% - Accent4 2 2 4 18" xfId="32973" xr:uid="{BE968E08-15AE-47F4-B4D5-03528BAD0984}"/>
    <cellStyle name="40% - Accent4 2 2 4 19" xfId="34863" xr:uid="{D835A3A0-0CCD-46A0-BBF4-824053224144}"/>
    <cellStyle name="40% - Accent4 2 2 4 2" xfId="2733" xr:uid="{981922F6-D5A8-4274-A2CB-68555DD5950C}"/>
    <cellStyle name="40% - Accent4 2 2 4 20" xfId="36753" xr:uid="{0E91862F-E523-49CD-A9C8-472A74887AD3}"/>
    <cellStyle name="40% - Accent4 2 2 4 21" xfId="38643" xr:uid="{F1C55467-3A6B-464E-8DD7-743057F368D6}"/>
    <cellStyle name="40% - Accent4 2 2 4 22" xfId="40534" xr:uid="{448137F4-BCA4-4FAE-ADAF-8AC2BAA6119A}"/>
    <cellStyle name="40% - Accent4 2 2 4 3" xfId="4623" xr:uid="{C56499F3-1238-418A-83FB-EE47614BCA57}"/>
    <cellStyle name="40% - Accent4 2 2 4 4" xfId="6513" xr:uid="{32AE3B10-1100-4686-9471-48902438045B}"/>
    <cellStyle name="40% - Accent4 2 2 4 5" xfId="8403" xr:uid="{337D51C9-9C2A-4CF3-8F24-595270858832}"/>
    <cellStyle name="40% - Accent4 2 2 4 6" xfId="10293" xr:uid="{1669227C-FE77-4176-BE6E-265F8FD73E49}"/>
    <cellStyle name="40% - Accent4 2 2 4 7" xfId="12183" xr:uid="{F9EBC055-6864-47C9-8A4C-ACFC281A8452}"/>
    <cellStyle name="40% - Accent4 2 2 4 8" xfId="14073" xr:uid="{B6127459-D8EB-4FD0-8A08-95CB41C2C945}"/>
    <cellStyle name="40% - Accent4 2 2 4 9" xfId="15963" xr:uid="{6576CC3E-EF6B-461B-BB31-F216E75C614E}"/>
    <cellStyle name="40% - Accent4 2 2 5" xfId="1473" xr:uid="{D306A96A-6569-4EBE-BF6B-DFCB4867D9A6}"/>
    <cellStyle name="40% - Accent4 2 2 5 10" xfId="18483" xr:uid="{F82A19FE-FD8A-4550-B96B-13C1A19B5BB7}"/>
    <cellStyle name="40% - Accent4 2 2 5 11" xfId="20373" xr:uid="{446FFB04-2058-4D92-BF66-232B8BA54F10}"/>
    <cellStyle name="40% - Accent4 2 2 5 12" xfId="22263" xr:uid="{1424DA22-512A-4282-A22A-68E65ED23EB8}"/>
    <cellStyle name="40% - Accent4 2 2 5 13" xfId="24153" xr:uid="{A2029FE1-78DA-4A04-ABCA-C1007B8536F9}"/>
    <cellStyle name="40% - Accent4 2 2 5 14" xfId="26043" xr:uid="{4D054B3A-6BC6-4EE4-905D-167DC5751481}"/>
    <cellStyle name="40% - Accent4 2 2 5 15" xfId="27933" xr:uid="{0D868862-BE97-4B79-883B-E7E48F47AF81}"/>
    <cellStyle name="40% - Accent4 2 2 5 16" xfId="29823" xr:uid="{8687B8C8-919C-47FD-8CDA-40C06C0442FC}"/>
    <cellStyle name="40% - Accent4 2 2 5 17" xfId="31713" xr:uid="{68B925EA-5247-4938-9799-62344B3EB41D}"/>
    <cellStyle name="40% - Accent4 2 2 5 18" xfId="33603" xr:uid="{27AE7547-5D65-4A28-A69A-CA97CDAB0FCF}"/>
    <cellStyle name="40% - Accent4 2 2 5 19" xfId="35493" xr:uid="{C0949D86-E0E0-477D-8420-D4F6BFC0516F}"/>
    <cellStyle name="40% - Accent4 2 2 5 2" xfId="3363" xr:uid="{78B36825-24FD-4DF3-8D20-F3C99B0466DA}"/>
    <cellStyle name="40% - Accent4 2 2 5 20" xfId="37383" xr:uid="{B13D17A7-7C1C-4B58-A7A5-820C211BE116}"/>
    <cellStyle name="40% - Accent4 2 2 5 21" xfId="39273" xr:uid="{8C1815D8-BF2F-4C5A-AECD-D7E6AF5F068E}"/>
    <cellStyle name="40% - Accent4 2 2 5 22" xfId="41164" xr:uid="{7C95A744-6B99-4640-BF79-2395478E735F}"/>
    <cellStyle name="40% - Accent4 2 2 5 3" xfId="5253" xr:uid="{5723E36D-8FA2-4B12-AC4E-01BDDFF18AFA}"/>
    <cellStyle name="40% - Accent4 2 2 5 4" xfId="7143" xr:uid="{8C065DBE-044F-4AB7-8051-EFC2B0DE6882}"/>
    <cellStyle name="40% - Accent4 2 2 5 5" xfId="9033" xr:uid="{B4001530-EA73-4B60-86AA-84E81A9FAC17}"/>
    <cellStyle name="40% - Accent4 2 2 5 6" xfId="10923" xr:uid="{CFCC5D9B-4FA3-45A3-BF96-488FE2BDF093}"/>
    <cellStyle name="40% - Accent4 2 2 5 7" xfId="12813" xr:uid="{29AF9DB1-6CDC-4AF9-A561-B201113C3C69}"/>
    <cellStyle name="40% - Accent4 2 2 5 8" xfId="14703" xr:uid="{A0D24EC7-E2BD-4AC1-9AF9-786AE091329A}"/>
    <cellStyle name="40% - Accent4 2 2 5 9" xfId="16593" xr:uid="{BD121A56-748B-4BD0-9CBD-2C64D450DBB9}"/>
    <cellStyle name="40% - Accent4 2 2 6" xfId="2103" xr:uid="{113B0456-BF17-4649-A4CA-9BDD7BE137CF}"/>
    <cellStyle name="40% - Accent4 2 2 7" xfId="3993" xr:uid="{88404162-C079-4D90-BDF3-AF286A64E00B}"/>
    <cellStyle name="40% - Accent4 2 2 8" xfId="5883" xr:uid="{C947C812-F29E-4025-B671-E4D55CFFB662}"/>
    <cellStyle name="40% - Accent4 2 2 9" xfId="7773" xr:uid="{CC210A08-C6A4-4650-84A8-F66FAB80B7A7}"/>
    <cellStyle name="40% - Accent4 2 20" xfId="26568" xr:uid="{FD11C66C-BE40-48D5-B61D-4DF700F0E02B}"/>
    <cellStyle name="40% - Accent4 2 21" xfId="28458" xr:uid="{D01E5828-DFC6-4B85-95D1-2212FD332F86}"/>
    <cellStyle name="40% - Accent4 2 22" xfId="30348" xr:uid="{ACC95473-3351-4CF4-9103-B175B009A5DC}"/>
    <cellStyle name="40% - Accent4 2 23" xfId="32238" xr:uid="{5ACE3172-BFC5-4BFE-AB83-B62EFEDEB9C8}"/>
    <cellStyle name="40% - Accent4 2 24" xfId="34128" xr:uid="{F0501146-CC62-4EDC-843A-5E5D62550CA5}"/>
    <cellStyle name="40% - Accent4 2 25" xfId="36018" xr:uid="{096B35AE-9EC4-43F8-918B-FFC4EF46F978}"/>
    <cellStyle name="40% - Accent4 2 26" xfId="37908" xr:uid="{18149337-FD72-4605-9C58-2277D0CFDAA5}"/>
    <cellStyle name="40% - Accent4 2 27" xfId="39799" xr:uid="{783BCCB6-7C49-4BB5-91F0-E0BCCB740899}"/>
    <cellStyle name="40% - Accent4 2 3" xfId="318" xr:uid="{344519C3-76C9-484C-B292-A9661DA9BB7E}"/>
    <cellStyle name="40% - Accent4 2 3 10" xfId="13548" xr:uid="{9E1BFEED-5E2B-44D1-8DA5-54DDD77FB39A}"/>
    <cellStyle name="40% - Accent4 2 3 11" xfId="15438" xr:uid="{D47456D6-942D-484C-AA27-610540C6CBEB}"/>
    <cellStyle name="40% - Accent4 2 3 12" xfId="17328" xr:uid="{5FA5B1B9-0F4A-44B8-AAD1-9133CDA07280}"/>
    <cellStyle name="40% - Accent4 2 3 13" xfId="19218" xr:uid="{0B974CCC-05FD-4F0C-94C8-0033D78BBD74}"/>
    <cellStyle name="40% - Accent4 2 3 14" xfId="21108" xr:uid="{1DA1E26C-8922-40EC-8996-979E9085ADB6}"/>
    <cellStyle name="40% - Accent4 2 3 15" xfId="22998" xr:uid="{928E67DC-B64D-48E9-B620-C07DEF5EBBCF}"/>
    <cellStyle name="40% - Accent4 2 3 16" xfId="24888" xr:uid="{3363B7DE-1064-48FD-BA0F-C55B33875EDA}"/>
    <cellStyle name="40% - Accent4 2 3 17" xfId="26778" xr:uid="{11C3476C-CBE7-44C2-AED7-A09458BAEF36}"/>
    <cellStyle name="40% - Accent4 2 3 18" xfId="28668" xr:uid="{4F5B3748-1398-4658-84CC-705419A59C35}"/>
    <cellStyle name="40% - Accent4 2 3 19" xfId="30558" xr:uid="{F21CAFFD-2BE7-47DB-9D03-EAE00FC5E258}"/>
    <cellStyle name="40% - Accent4 2 3 2" xfId="948" xr:uid="{DB09F967-2320-4E6B-8E8D-FFB1BF71F2BB}"/>
    <cellStyle name="40% - Accent4 2 3 2 10" xfId="17958" xr:uid="{4242027F-2282-4482-AEFD-877C352D1014}"/>
    <cellStyle name="40% - Accent4 2 3 2 11" xfId="19848" xr:uid="{17C4903B-F6EA-4A90-B271-29EAF74EAE6E}"/>
    <cellStyle name="40% - Accent4 2 3 2 12" xfId="21738" xr:uid="{BDB5AA3C-13B0-4F25-A3D0-5321B0994300}"/>
    <cellStyle name="40% - Accent4 2 3 2 13" xfId="23628" xr:uid="{3F53981E-E8B3-46F0-B265-5D2512A214EC}"/>
    <cellStyle name="40% - Accent4 2 3 2 14" xfId="25518" xr:uid="{C3B45855-F2FE-4F96-954B-F22A1EBE066E}"/>
    <cellStyle name="40% - Accent4 2 3 2 15" xfId="27408" xr:uid="{5AB813AC-194A-4566-8FCE-AE1BEE59DE95}"/>
    <cellStyle name="40% - Accent4 2 3 2 16" xfId="29298" xr:uid="{22048D8F-D269-4601-B073-9488A044C2CE}"/>
    <cellStyle name="40% - Accent4 2 3 2 17" xfId="31188" xr:uid="{C697698D-F9E5-46A6-995A-DDA3BEF88A05}"/>
    <cellStyle name="40% - Accent4 2 3 2 18" xfId="33078" xr:uid="{8A03738C-BE0E-4C15-B36A-F8B7E5FB9A7D}"/>
    <cellStyle name="40% - Accent4 2 3 2 19" xfId="34968" xr:uid="{9D92DA47-D7A8-40E0-B1E8-E842CEC305AB}"/>
    <cellStyle name="40% - Accent4 2 3 2 2" xfId="2838" xr:uid="{755685BC-C45D-46D8-9C50-5E793F201E20}"/>
    <cellStyle name="40% - Accent4 2 3 2 20" xfId="36858" xr:uid="{AB942B27-0FEB-4FF2-9570-E76AAB64A33B}"/>
    <cellStyle name="40% - Accent4 2 3 2 21" xfId="38748" xr:uid="{B91554D5-976E-4C2D-836C-09A63F1765CE}"/>
    <cellStyle name="40% - Accent4 2 3 2 22" xfId="40639" xr:uid="{D51720C6-37D2-42FE-9E22-8241A2305DEC}"/>
    <cellStyle name="40% - Accent4 2 3 2 3" xfId="4728" xr:uid="{54BA55B1-528E-41B5-88AF-1EF553AED79D}"/>
    <cellStyle name="40% - Accent4 2 3 2 4" xfId="6618" xr:uid="{95BBF0B8-C03B-47D8-9653-1DA3195A4004}"/>
    <cellStyle name="40% - Accent4 2 3 2 5" xfId="8508" xr:uid="{189BB766-F54E-4F02-A540-3866A1CD2752}"/>
    <cellStyle name="40% - Accent4 2 3 2 6" xfId="10398" xr:uid="{F87FDFD1-19D6-4185-9BC3-8B6E729898CC}"/>
    <cellStyle name="40% - Accent4 2 3 2 7" xfId="12288" xr:uid="{E356FE44-1777-495F-AF98-1081E141B673}"/>
    <cellStyle name="40% - Accent4 2 3 2 8" xfId="14178" xr:uid="{E70B2B46-C85F-4498-BDD8-1F86A3D1A13A}"/>
    <cellStyle name="40% - Accent4 2 3 2 9" xfId="16068" xr:uid="{B05D91F4-35C0-48CB-808D-779F5DB5B4F0}"/>
    <cellStyle name="40% - Accent4 2 3 20" xfId="32448" xr:uid="{3AB94DC0-A854-49C6-BA22-EC40DF90D1C8}"/>
    <cellStyle name="40% - Accent4 2 3 21" xfId="34338" xr:uid="{DFD3506A-F955-4C81-AFA2-4F157DFEB203}"/>
    <cellStyle name="40% - Accent4 2 3 22" xfId="36228" xr:uid="{F81D02DB-5054-4EF7-B166-84BADDEE9697}"/>
    <cellStyle name="40% - Accent4 2 3 23" xfId="38118" xr:uid="{1B72964D-D834-4A71-A843-0B0A1FC6E5BC}"/>
    <cellStyle name="40% - Accent4 2 3 24" xfId="40009" xr:uid="{914ED75D-8922-40D1-A06E-BA7D95B519FC}"/>
    <cellStyle name="40% - Accent4 2 3 3" xfId="1578" xr:uid="{B5D27CBF-5493-4485-9433-6EF45D373615}"/>
    <cellStyle name="40% - Accent4 2 3 3 10" xfId="18588" xr:uid="{AAEF87D1-0591-4369-827C-83E730F4E189}"/>
    <cellStyle name="40% - Accent4 2 3 3 11" xfId="20478" xr:uid="{3EE357FD-D82C-4C25-9BD5-BBCA6A6EAA77}"/>
    <cellStyle name="40% - Accent4 2 3 3 12" xfId="22368" xr:uid="{F2C1CE4B-31CB-461F-B9D0-972432C3BD1C}"/>
    <cellStyle name="40% - Accent4 2 3 3 13" xfId="24258" xr:uid="{10DED5C1-FCFA-47DB-B418-9A5CA919C9E1}"/>
    <cellStyle name="40% - Accent4 2 3 3 14" xfId="26148" xr:uid="{ABEDE036-C70A-4DD5-929B-4A2ABFFDCBB0}"/>
    <cellStyle name="40% - Accent4 2 3 3 15" xfId="28038" xr:uid="{4081461B-3A30-4468-BBD4-99389805D551}"/>
    <cellStyle name="40% - Accent4 2 3 3 16" xfId="29928" xr:uid="{494E9128-E48E-4609-AA59-2FEFB273C916}"/>
    <cellStyle name="40% - Accent4 2 3 3 17" xfId="31818" xr:uid="{9F040941-7BB9-4E12-8160-6C7BA9A4038D}"/>
    <cellStyle name="40% - Accent4 2 3 3 18" xfId="33708" xr:uid="{15E33A72-91C8-4DEC-89C0-EC8AE47A9DF9}"/>
    <cellStyle name="40% - Accent4 2 3 3 19" xfId="35598" xr:uid="{6C30A1F2-11E1-46AA-BF17-FB2D18107466}"/>
    <cellStyle name="40% - Accent4 2 3 3 2" xfId="3468" xr:uid="{5D7D229E-8A30-4C16-8E44-8DFFA13B3C8A}"/>
    <cellStyle name="40% - Accent4 2 3 3 20" xfId="37488" xr:uid="{EB7DDA44-667C-4F83-BFDF-08F132AA1C8D}"/>
    <cellStyle name="40% - Accent4 2 3 3 21" xfId="39378" xr:uid="{D140551E-7CF6-4DDF-BC8A-EC660EF1FCCA}"/>
    <cellStyle name="40% - Accent4 2 3 3 22" xfId="41269" xr:uid="{48E96262-09D8-4AEF-94A3-3DD086F28C26}"/>
    <cellStyle name="40% - Accent4 2 3 3 3" xfId="5358" xr:uid="{E3B53926-321C-433B-9A51-9E5FCC6863F2}"/>
    <cellStyle name="40% - Accent4 2 3 3 4" xfId="7248" xr:uid="{240DBC62-BB26-4034-B4EB-39723333AD63}"/>
    <cellStyle name="40% - Accent4 2 3 3 5" xfId="9138" xr:uid="{4EBED9D1-AE55-4E3A-B44E-9D5B1FF1EC27}"/>
    <cellStyle name="40% - Accent4 2 3 3 6" xfId="11028" xr:uid="{27184D10-88F1-45ED-900F-9B3A38566EA0}"/>
    <cellStyle name="40% - Accent4 2 3 3 7" xfId="12918" xr:uid="{6F47E28B-E30F-4BF9-A161-FEE94253616A}"/>
    <cellStyle name="40% - Accent4 2 3 3 8" xfId="14808" xr:uid="{6B0780CF-D341-4412-B8CC-5A4EE13FB8C0}"/>
    <cellStyle name="40% - Accent4 2 3 3 9" xfId="16698" xr:uid="{BD06B1D9-1925-4731-9284-B373848BE9FD}"/>
    <cellStyle name="40% - Accent4 2 3 4" xfId="2208" xr:uid="{569420E5-76B5-4B39-932B-4625413BA6B8}"/>
    <cellStyle name="40% - Accent4 2 3 5" xfId="4098" xr:uid="{A885570C-3076-4E94-91A2-50568B69B3AC}"/>
    <cellStyle name="40% - Accent4 2 3 6" xfId="5988" xr:uid="{EFFCE545-40D4-4B46-8B45-60820CB72B43}"/>
    <cellStyle name="40% - Accent4 2 3 7" xfId="7878" xr:uid="{99613336-80E9-4915-9279-1E73130CB667}"/>
    <cellStyle name="40% - Accent4 2 3 8" xfId="9768" xr:uid="{5F0ABD76-C54F-497A-B9B3-171109547D66}"/>
    <cellStyle name="40% - Accent4 2 3 9" xfId="11658" xr:uid="{9970AD6E-7BF8-4635-BEA8-7CB4435A9070}"/>
    <cellStyle name="40% - Accent4 2 4" xfId="528" xr:uid="{F925CEFF-D1C1-4A01-9DCA-3720FBD31953}"/>
    <cellStyle name="40% - Accent4 2 4 10" xfId="13758" xr:uid="{F720FB3A-EDA9-4D86-BB2A-A41C739CBCA5}"/>
    <cellStyle name="40% - Accent4 2 4 11" xfId="15648" xr:uid="{384D7A01-A151-4408-BEE0-CFDEE1E2651B}"/>
    <cellStyle name="40% - Accent4 2 4 12" xfId="17538" xr:uid="{75A9F7DB-D573-4CE3-9CC4-4FF6CDEE34BC}"/>
    <cellStyle name="40% - Accent4 2 4 13" xfId="19428" xr:uid="{F2362452-FAD7-4E4F-A841-EE981AE0A2C7}"/>
    <cellStyle name="40% - Accent4 2 4 14" xfId="21318" xr:uid="{A96E97C1-247D-482E-8B14-D48021B9492E}"/>
    <cellStyle name="40% - Accent4 2 4 15" xfId="23208" xr:uid="{906BA5FC-DE39-4C0D-AB97-66BDD7E6D7F1}"/>
    <cellStyle name="40% - Accent4 2 4 16" xfId="25098" xr:uid="{1DB58643-93C1-43D4-9E35-5C865D7536E1}"/>
    <cellStyle name="40% - Accent4 2 4 17" xfId="26988" xr:uid="{391C7AC8-8345-4EDA-8345-C4577DFDA5B4}"/>
    <cellStyle name="40% - Accent4 2 4 18" xfId="28878" xr:uid="{1FD20782-CED5-435C-9300-A8DD2300FD7D}"/>
    <cellStyle name="40% - Accent4 2 4 19" xfId="30768" xr:uid="{53DF402E-EA81-420B-AC6D-66172E944F1E}"/>
    <cellStyle name="40% - Accent4 2 4 2" xfId="1158" xr:uid="{20C86890-0849-4F67-80CE-B757F6A569D5}"/>
    <cellStyle name="40% - Accent4 2 4 2 10" xfId="18168" xr:uid="{148FB64A-CE3A-4E2E-8567-E70E66E99AB3}"/>
    <cellStyle name="40% - Accent4 2 4 2 11" xfId="20058" xr:uid="{5B1646F1-1139-4DAE-95FE-980E0E55DDEC}"/>
    <cellStyle name="40% - Accent4 2 4 2 12" xfId="21948" xr:uid="{71A0D35F-3CAA-4F88-9F8C-51A352F6EAEC}"/>
    <cellStyle name="40% - Accent4 2 4 2 13" xfId="23838" xr:uid="{E2CE5E7D-31D2-48F7-8828-F3DCF338777D}"/>
    <cellStyle name="40% - Accent4 2 4 2 14" xfId="25728" xr:uid="{6B41D53F-8F54-4BBE-9B53-0C5D6A86903E}"/>
    <cellStyle name="40% - Accent4 2 4 2 15" xfId="27618" xr:uid="{03A18707-A36B-4E0A-BA5A-6805350360F7}"/>
    <cellStyle name="40% - Accent4 2 4 2 16" xfId="29508" xr:uid="{175571C1-3FE5-416E-8AD5-D7BCCA01B16F}"/>
    <cellStyle name="40% - Accent4 2 4 2 17" xfId="31398" xr:uid="{161C085C-D92B-425C-9ED4-8BB36DFC1422}"/>
    <cellStyle name="40% - Accent4 2 4 2 18" xfId="33288" xr:uid="{AB05C0BB-A1EF-4264-865D-BF169C0573EE}"/>
    <cellStyle name="40% - Accent4 2 4 2 19" xfId="35178" xr:uid="{00D36CAB-A5F8-4F7D-ADFE-91211F38D77E}"/>
    <cellStyle name="40% - Accent4 2 4 2 2" xfId="3048" xr:uid="{8CF11936-BC99-4CD6-AA1D-D2F95C5D5926}"/>
    <cellStyle name="40% - Accent4 2 4 2 20" xfId="37068" xr:uid="{20585B08-1493-4865-9D0B-3F4EA1639D49}"/>
    <cellStyle name="40% - Accent4 2 4 2 21" xfId="38958" xr:uid="{83E45C89-7201-450A-BC4C-F9C8274031CC}"/>
    <cellStyle name="40% - Accent4 2 4 2 22" xfId="40849" xr:uid="{5E258AD8-A093-4623-91B7-965A808520BF}"/>
    <cellStyle name="40% - Accent4 2 4 2 3" xfId="4938" xr:uid="{661B4A9F-71D1-40C7-8563-2D05166D52CC}"/>
    <cellStyle name="40% - Accent4 2 4 2 4" xfId="6828" xr:uid="{89E5DE00-50FD-4565-A042-2F0B0E36B882}"/>
    <cellStyle name="40% - Accent4 2 4 2 5" xfId="8718" xr:uid="{6AA94586-AE14-4748-B4F2-34689B8091EA}"/>
    <cellStyle name="40% - Accent4 2 4 2 6" xfId="10608" xr:uid="{85470C91-43E3-48B2-9FBB-ED4DF8FBAD10}"/>
    <cellStyle name="40% - Accent4 2 4 2 7" xfId="12498" xr:uid="{072F6CAB-E3BA-498D-B218-BF7256D4CC43}"/>
    <cellStyle name="40% - Accent4 2 4 2 8" xfId="14388" xr:uid="{A218035C-350E-4F17-8BB7-837BE0176423}"/>
    <cellStyle name="40% - Accent4 2 4 2 9" xfId="16278" xr:uid="{F7F55453-9AC0-4968-9ADF-5496D7B4C63D}"/>
    <cellStyle name="40% - Accent4 2 4 20" xfId="32658" xr:uid="{E25A91D0-CDE5-458B-9C4D-8105B2EB32C0}"/>
    <cellStyle name="40% - Accent4 2 4 21" xfId="34548" xr:uid="{08E7B8F8-F8DB-4BC4-829C-73AF51F0C885}"/>
    <cellStyle name="40% - Accent4 2 4 22" xfId="36438" xr:uid="{9BD1B939-42F0-4F9E-A33E-222985ADD86A}"/>
    <cellStyle name="40% - Accent4 2 4 23" xfId="38328" xr:uid="{006F2A7D-C1D7-4171-96A7-52B58D31DB79}"/>
    <cellStyle name="40% - Accent4 2 4 24" xfId="40219" xr:uid="{C21B0D5E-1B63-4899-9CEA-8D4AFA51EEEE}"/>
    <cellStyle name="40% - Accent4 2 4 3" xfId="1788" xr:uid="{83E8EBEE-8B39-4D5F-AAC3-4E20B56A9CAE}"/>
    <cellStyle name="40% - Accent4 2 4 3 10" xfId="18798" xr:uid="{C2C21E6F-2193-4661-98B0-FA7802407415}"/>
    <cellStyle name="40% - Accent4 2 4 3 11" xfId="20688" xr:uid="{2C9F42F4-E3AA-49DC-87BA-A6AF8044713C}"/>
    <cellStyle name="40% - Accent4 2 4 3 12" xfId="22578" xr:uid="{AC736840-3D02-485D-87DA-5BD7B40CB032}"/>
    <cellStyle name="40% - Accent4 2 4 3 13" xfId="24468" xr:uid="{6D4C5941-D272-4E07-8C16-B55E14439FF6}"/>
    <cellStyle name="40% - Accent4 2 4 3 14" xfId="26358" xr:uid="{00EC2362-3FAA-444C-A7F4-8D559E8EB5F7}"/>
    <cellStyle name="40% - Accent4 2 4 3 15" xfId="28248" xr:uid="{D7F697C4-C1BA-42F1-9F5F-9D94108876E9}"/>
    <cellStyle name="40% - Accent4 2 4 3 16" xfId="30138" xr:uid="{A31C29DB-D776-4B2F-9BD4-6FC9D185905A}"/>
    <cellStyle name="40% - Accent4 2 4 3 17" xfId="32028" xr:uid="{EF1C3AEB-EB58-4B7E-86F2-37E119F3638E}"/>
    <cellStyle name="40% - Accent4 2 4 3 18" xfId="33918" xr:uid="{89B09403-7635-48CE-BDA2-A9FE0A973AC7}"/>
    <cellStyle name="40% - Accent4 2 4 3 19" xfId="35808" xr:uid="{5CBB25F6-8A9B-4F19-8F23-2D0D21B25F09}"/>
    <cellStyle name="40% - Accent4 2 4 3 2" xfId="3678" xr:uid="{47516BC3-C439-4294-B519-D6C9BC26749C}"/>
    <cellStyle name="40% - Accent4 2 4 3 20" xfId="37698" xr:uid="{ECCC23D0-FB89-4653-B37D-0DA037829031}"/>
    <cellStyle name="40% - Accent4 2 4 3 21" xfId="39588" xr:uid="{4B6E93A6-0CD1-4B79-B196-0D2E70DA1067}"/>
    <cellStyle name="40% - Accent4 2 4 3 22" xfId="41479" xr:uid="{DC0619D9-2C7B-4110-8F4E-BA2335E90007}"/>
    <cellStyle name="40% - Accent4 2 4 3 3" xfId="5568" xr:uid="{0B08F900-8D29-457A-8EA6-92C78BEFF971}"/>
    <cellStyle name="40% - Accent4 2 4 3 4" xfId="7458" xr:uid="{D34870AB-A9C9-44FF-A95D-88F94E199E97}"/>
    <cellStyle name="40% - Accent4 2 4 3 5" xfId="9348" xr:uid="{7D1D5610-F687-4366-AFC9-059B393068FA}"/>
    <cellStyle name="40% - Accent4 2 4 3 6" xfId="11238" xr:uid="{22BA36A2-6EBD-479D-992A-F58C788F5D5F}"/>
    <cellStyle name="40% - Accent4 2 4 3 7" xfId="13128" xr:uid="{D32BB9A5-C766-4BF8-8963-8BDCD9586B44}"/>
    <cellStyle name="40% - Accent4 2 4 3 8" xfId="15018" xr:uid="{E7D280C6-6BB9-4015-8B48-0F4EC014720C}"/>
    <cellStyle name="40% - Accent4 2 4 3 9" xfId="16908" xr:uid="{ACCCA5A1-B96B-4D05-8301-D26FA4512952}"/>
    <cellStyle name="40% - Accent4 2 4 4" xfId="2418" xr:uid="{37E24C61-3708-49BB-B5F0-E157F4EC321D}"/>
    <cellStyle name="40% - Accent4 2 4 5" xfId="4308" xr:uid="{CF591F89-DE4D-4C85-AA9B-5218C9E5CA91}"/>
    <cellStyle name="40% - Accent4 2 4 6" xfId="6198" xr:uid="{61A8C3A5-DF5C-4C9E-8207-8FC71E0E32E6}"/>
    <cellStyle name="40% - Accent4 2 4 7" xfId="8088" xr:uid="{BD010956-024B-4431-9932-94EF344BE2FB}"/>
    <cellStyle name="40% - Accent4 2 4 8" xfId="9978" xr:uid="{ED7BB06D-2E99-44DD-B8A0-E9F3600D9E66}"/>
    <cellStyle name="40% - Accent4 2 4 9" xfId="11868" xr:uid="{5EDD0BFC-42B4-4596-9665-98BE034C5B22}"/>
    <cellStyle name="40% - Accent4 2 5" xfId="738" xr:uid="{A13CF8AE-77E8-4E09-9652-C1AD8E732D80}"/>
    <cellStyle name="40% - Accent4 2 5 10" xfId="17748" xr:uid="{621077C5-06F8-4AD6-BDA1-3E0307873701}"/>
    <cellStyle name="40% - Accent4 2 5 11" xfId="19638" xr:uid="{7C244990-C250-47A6-8E5B-80A2B482DF8F}"/>
    <cellStyle name="40% - Accent4 2 5 12" xfId="21528" xr:uid="{FDFB05EB-5D9D-4B4B-85FB-ECF8E1AA3CCB}"/>
    <cellStyle name="40% - Accent4 2 5 13" xfId="23418" xr:uid="{41E95547-6AA1-4974-B026-B64A9540238C}"/>
    <cellStyle name="40% - Accent4 2 5 14" xfId="25308" xr:uid="{4C7B8C00-3912-4687-986D-DBE1A7F38B01}"/>
    <cellStyle name="40% - Accent4 2 5 15" xfId="27198" xr:uid="{B48692A7-4091-42F8-8270-2F524B5038E6}"/>
    <cellStyle name="40% - Accent4 2 5 16" xfId="29088" xr:uid="{00D4B868-D3C4-4A2E-9FFD-83D2C7CEB098}"/>
    <cellStyle name="40% - Accent4 2 5 17" xfId="30978" xr:uid="{A7476D4B-B25D-4E04-831E-3F2D493A955A}"/>
    <cellStyle name="40% - Accent4 2 5 18" xfId="32868" xr:uid="{54179F0E-A8FF-4F80-9134-E07145641C31}"/>
    <cellStyle name="40% - Accent4 2 5 19" xfId="34758" xr:uid="{ECCC2D05-981C-47E2-921C-BDB0F2E3821B}"/>
    <cellStyle name="40% - Accent4 2 5 2" xfId="2628" xr:uid="{117CA9E9-54AA-43D8-BFDE-96836017A598}"/>
    <cellStyle name="40% - Accent4 2 5 20" xfId="36648" xr:uid="{E2155F5C-C370-4F53-8671-3B6C9E88E3B7}"/>
    <cellStyle name="40% - Accent4 2 5 21" xfId="38538" xr:uid="{6D1E927C-A536-4BC3-ADBC-D1BF3D619311}"/>
    <cellStyle name="40% - Accent4 2 5 22" xfId="40429" xr:uid="{8500C702-FE2E-4AFB-9920-649299FE239A}"/>
    <cellStyle name="40% - Accent4 2 5 3" xfId="4518" xr:uid="{474EB167-AF4E-4CAF-814E-3DEEB3670731}"/>
    <cellStyle name="40% - Accent4 2 5 4" xfId="6408" xr:uid="{4529B94F-46C4-4D44-9CCE-40C944705562}"/>
    <cellStyle name="40% - Accent4 2 5 5" xfId="8298" xr:uid="{1EC27EF3-AED2-4A76-81D5-08A93FFA06B8}"/>
    <cellStyle name="40% - Accent4 2 5 6" xfId="10188" xr:uid="{61F86111-4DDD-494A-9A4F-E039CC299872}"/>
    <cellStyle name="40% - Accent4 2 5 7" xfId="12078" xr:uid="{8750C773-C7A3-4458-9E91-230D345712C7}"/>
    <cellStyle name="40% - Accent4 2 5 8" xfId="13968" xr:uid="{DF58EB23-5B54-40FA-BFEE-8F9D4D11E53A}"/>
    <cellStyle name="40% - Accent4 2 5 9" xfId="15858" xr:uid="{902055F4-1446-4C9B-B719-58CA15148F4E}"/>
    <cellStyle name="40% - Accent4 2 6" xfId="1368" xr:uid="{D28703AE-C627-464D-97B6-D011F1F600BB}"/>
    <cellStyle name="40% - Accent4 2 6 10" xfId="18378" xr:uid="{FEB29986-25E9-45C8-8A5B-62BD9B953DB7}"/>
    <cellStyle name="40% - Accent4 2 6 11" xfId="20268" xr:uid="{0CE1449E-28BA-4566-8FFA-E11C89D976C8}"/>
    <cellStyle name="40% - Accent4 2 6 12" xfId="22158" xr:uid="{4140EED6-071E-45F3-A159-7D32DA99193E}"/>
    <cellStyle name="40% - Accent4 2 6 13" xfId="24048" xr:uid="{01E4612C-A641-46FD-8717-B216344E705B}"/>
    <cellStyle name="40% - Accent4 2 6 14" xfId="25938" xr:uid="{A2CA0277-B7B7-4F53-AE0A-0A617A5ADAE3}"/>
    <cellStyle name="40% - Accent4 2 6 15" xfId="27828" xr:uid="{126D1DD2-50D1-4C3A-8DA8-086B3FA33E46}"/>
    <cellStyle name="40% - Accent4 2 6 16" xfId="29718" xr:uid="{7655DBCF-2CE6-4137-8484-A2E14C1131D1}"/>
    <cellStyle name="40% - Accent4 2 6 17" xfId="31608" xr:uid="{77476736-F510-470C-A9B4-2D84BCA8205B}"/>
    <cellStyle name="40% - Accent4 2 6 18" xfId="33498" xr:uid="{828625F7-7045-4193-A17D-0F981068D6A2}"/>
    <cellStyle name="40% - Accent4 2 6 19" xfId="35388" xr:uid="{0746AC35-3F8F-4674-906D-934A592604D6}"/>
    <cellStyle name="40% - Accent4 2 6 2" xfId="3258" xr:uid="{E0653A39-0114-4FDB-A43D-7A44A6C1CDE0}"/>
    <cellStyle name="40% - Accent4 2 6 20" xfId="37278" xr:uid="{B63AAE66-28BE-431F-A6E6-7EB15D4BE417}"/>
    <cellStyle name="40% - Accent4 2 6 21" xfId="39168" xr:uid="{645411D8-886E-4BBE-84EE-B01F48969293}"/>
    <cellStyle name="40% - Accent4 2 6 22" xfId="41059" xr:uid="{505505CC-D286-4B2F-A8CF-A4D2FCD71094}"/>
    <cellStyle name="40% - Accent4 2 6 3" xfId="5148" xr:uid="{A7EBDA2B-F181-4EC3-9FF6-7FA7E99C3212}"/>
    <cellStyle name="40% - Accent4 2 6 4" xfId="7038" xr:uid="{CECBA5B9-93DC-4BAD-A274-C06B709358BD}"/>
    <cellStyle name="40% - Accent4 2 6 5" xfId="8928" xr:uid="{C3CF4366-746C-47FD-9F56-1F18BAFA46E2}"/>
    <cellStyle name="40% - Accent4 2 6 6" xfId="10818" xr:uid="{BEC9DA21-AA71-40D3-B4CD-139237652B40}"/>
    <cellStyle name="40% - Accent4 2 6 7" xfId="12708" xr:uid="{7CF4A00B-F552-41DE-BFF6-6FDE603BE58C}"/>
    <cellStyle name="40% - Accent4 2 6 8" xfId="14598" xr:uid="{D51635BE-5F60-40B1-8B4E-2603FDDFE279}"/>
    <cellStyle name="40% - Accent4 2 6 9" xfId="16488" xr:uid="{43E5903D-53DF-4E2C-A78D-FC958A099450}"/>
    <cellStyle name="40% - Accent4 2 7" xfId="1998" xr:uid="{6130846F-DE0E-4591-BE95-F6A8C3C3D4EE}"/>
    <cellStyle name="40% - Accent4 2 8" xfId="3888" xr:uid="{CE746255-D1ED-4CF2-97BF-70CCEFDAC932}"/>
    <cellStyle name="40% - Accent4 2 9" xfId="5778" xr:uid="{99098DA4-DC6E-4DEC-A086-2789A819A535}"/>
    <cellStyle name="40% - Accent4 20" xfId="22766" xr:uid="{ABAC53D5-8A3A-4C59-9E56-738C81B4F935}"/>
    <cellStyle name="40% - Accent4 21" xfId="24656" xr:uid="{C1A66089-6B24-47D2-9266-A9DC3618A4B0}"/>
    <cellStyle name="40% - Accent4 22" xfId="26546" xr:uid="{2A99278F-038C-428C-AC27-3AC31D83509B}"/>
    <cellStyle name="40% - Accent4 23" xfId="28436" xr:uid="{87158331-8FAA-4FFC-AC40-D73F3D4687D1}"/>
    <cellStyle name="40% - Accent4 24" xfId="30326" xr:uid="{33F932B5-8B4B-4F07-92D5-AE4E00673C6D}"/>
    <cellStyle name="40% - Accent4 25" xfId="32216" xr:uid="{0D1F5FA5-C5A0-4B2E-8F5E-78DED80E58FB}"/>
    <cellStyle name="40% - Accent4 26" xfId="34106" xr:uid="{CB78B4A4-9EAA-4445-984C-20C9DE210411}"/>
    <cellStyle name="40% - Accent4 27" xfId="35996" xr:uid="{43382F11-E725-46CD-ACC8-022798A833DF}"/>
    <cellStyle name="40% - Accent4 28" xfId="37886" xr:uid="{FD270F82-EB92-4EA9-A0AF-279652279A7C}"/>
    <cellStyle name="40% - Accent4 29" xfId="39777" xr:uid="{A1752E98-9B75-4AF4-B499-FFB9A0D4BCFA}"/>
    <cellStyle name="40% - Accent4 3" xfId="128" xr:uid="{2B324156-7F76-4930-B956-594D6A99C20A}"/>
    <cellStyle name="40% - Accent4 3 10" xfId="7688" xr:uid="{D34D7419-63E2-4247-A6E0-CB3F3E25B019}"/>
    <cellStyle name="40% - Accent4 3 11" xfId="9578" xr:uid="{2DDE46DD-D48B-4285-95A2-C61D2EC7A474}"/>
    <cellStyle name="40% - Accent4 3 12" xfId="11468" xr:uid="{046DDEB7-50DF-49EB-9F68-1D7819BCDC73}"/>
    <cellStyle name="40% - Accent4 3 13" xfId="13358" xr:uid="{611C0DD3-215B-4DC0-94BC-E48BAE6F6BF3}"/>
    <cellStyle name="40% - Accent4 3 14" xfId="15248" xr:uid="{10976A41-FDE7-4E35-BCF9-9678150FE871}"/>
    <cellStyle name="40% - Accent4 3 15" xfId="17138" xr:uid="{F11B1B76-582B-4889-BAB4-4B98BCB45588}"/>
    <cellStyle name="40% - Accent4 3 16" xfId="19028" xr:uid="{7FC798B9-1630-4155-A221-37A6918790BE}"/>
    <cellStyle name="40% - Accent4 3 17" xfId="20918" xr:uid="{14066DD0-518E-4B18-9DC4-E98F1093ADB8}"/>
    <cellStyle name="40% - Accent4 3 18" xfId="22808" xr:uid="{EA3F7B31-E2D6-49B4-98A1-977CCF823F98}"/>
    <cellStyle name="40% - Accent4 3 19" xfId="24698" xr:uid="{6D8C416B-94F8-4DA1-AAF2-B9831B093899}"/>
    <cellStyle name="40% - Accent4 3 2" xfId="233" xr:uid="{E8CBCC90-3709-44E1-8A06-C3B35BAFF747}"/>
    <cellStyle name="40% - Accent4 3 2 10" xfId="9683" xr:uid="{83BCE2FA-35BE-4BBE-9D73-AB517DF4BE0A}"/>
    <cellStyle name="40% - Accent4 3 2 11" xfId="11573" xr:uid="{A42F3D3F-CE6E-4673-AF37-58697399FC65}"/>
    <cellStyle name="40% - Accent4 3 2 12" xfId="13463" xr:uid="{5DAAF234-D291-4A14-A902-3FB6416DDA7A}"/>
    <cellStyle name="40% - Accent4 3 2 13" xfId="15353" xr:uid="{320E7D44-019E-456F-A4B2-33D31F76A807}"/>
    <cellStyle name="40% - Accent4 3 2 14" xfId="17243" xr:uid="{9DFD8C26-556B-4129-AD1F-009B178D974D}"/>
    <cellStyle name="40% - Accent4 3 2 15" xfId="19133" xr:uid="{7571BCB2-FB36-42A9-ABB3-03014ACF8CD2}"/>
    <cellStyle name="40% - Accent4 3 2 16" xfId="21023" xr:uid="{7884390D-426A-460B-B035-1330E6B0F446}"/>
    <cellStyle name="40% - Accent4 3 2 17" xfId="22913" xr:uid="{170FBBA1-226A-4499-979E-9BA817DE4CF9}"/>
    <cellStyle name="40% - Accent4 3 2 18" xfId="24803" xr:uid="{60FC8DA0-31E2-45AE-8351-0D886F667EAF}"/>
    <cellStyle name="40% - Accent4 3 2 19" xfId="26693" xr:uid="{E92A20FD-3203-4778-89F8-91A12D5727D5}"/>
    <cellStyle name="40% - Accent4 3 2 2" xfId="443" xr:uid="{1ED4824D-D006-4406-A9C8-9C0F11A1A356}"/>
    <cellStyle name="40% - Accent4 3 2 2 10" xfId="13673" xr:uid="{3D35BDE7-8E23-4B00-BD2D-286A2E6BF60B}"/>
    <cellStyle name="40% - Accent4 3 2 2 11" xfId="15563" xr:uid="{11A9DF75-F915-4BF9-ADE5-F3B5628C9C0B}"/>
    <cellStyle name="40% - Accent4 3 2 2 12" xfId="17453" xr:uid="{754D7021-6E2C-4239-9581-3158828D67BE}"/>
    <cellStyle name="40% - Accent4 3 2 2 13" xfId="19343" xr:uid="{22DC8A20-479F-4220-9FBA-0A6935B4E366}"/>
    <cellStyle name="40% - Accent4 3 2 2 14" xfId="21233" xr:uid="{712D8AE1-CD85-418D-9B84-9E31A1E42538}"/>
    <cellStyle name="40% - Accent4 3 2 2 15" xfId="23123" xr:uid="{BDAB96A1-D71C-4407-8F44-5D14108417F4}"/>
    <cellStyle name="40% - Accent4 3 2 2 16" xfId="25013" xr:uid="{B8B44925-1D6B-4A52-84EC-0218B3A28241}"/>
    <cellStyle name="40% - Accent4 3 2 2 17" xfId="26903" xr:uid="{993250E1-DA6F-4850-93AF-8D209C0B5EDA}"/>
    <cellStyle name="40% - Accent4 3 2 2 18" xfId="28793" xr:uid="{3BF389CC-DDBE-474D-88C5-8AA928D4AA8B}"/>
    <cellStyle name="40% - Accent4 3 2 2 19" xfId="30683" xr:uid="{D4F51710-DC80-4DD1-A6D0-6D1F6520C102}"/>
    <cellStyle name="40% - Accent4 3 2 2 2" xfId="1073" xr:uid="{A20F782D-06BB-436F-B616-270B4EE368B0}"/>
    <cellStyle name="40% - Accent4 3 2 2 2 10" xfId="18083" xr:uid="{1A0B12CA-A574-484F-BA8E-8C2EA6C6E971}"/>
    <cellStyle name="40% - Accent4 3 2 2 2 11" xfId="19973" xr:uid="{53D468A8-4563-45C3-9A76-4227BA40559C}"/>
    <cellStyle name="40% - Accent4 3 2 2 2 12" xfId="21863" xr:uid="{C886F88F-DB29-4841-AE66-C9782713C514}"/>
    <cellStyle name="40% - Accent4 3 2 2 2 13" xfId="23753" xr:uid="{6A68ACBB-ACE7-4C4F-924B-7DD00B5CC154}"/>
    <cellStyle name="40% - Accent4 3 2 2 2 14" xfId="25643" xr:uid="{E85F975C-BFE0-4BB2-BFA0-E3386C7A1F95}"/>
    <cellStyle name="40% - Accent4 3 2 2 2 15" xfId="27533" xr:uid="{3BB2C43F-0245-48E3-BEFC-67502D5763CA}"/>
    <cellStyle name="40% - Accent4 3 2 2 2 16" xfId="29423" xr:uid="{42F695C5-FD80-4FA5-8CB8-67047B09FDB8}"/>
    <cellStyle name="40% - Accent4 3 2 2 2 17" xfId="31313" xr:uid="{9ACCA0BD-A4E4-4D53-85D8-1A0FF787E8B6}"/>
    <cellStyle name="40% - Accent4 3 2 2 2 18" xfId="33203" xr:uid="{46FAF1CC-5A56-4E0F-B347-004B0FFE9D56}"/>
    <cellStyle name="40% - Accent4 3 2 2 2 19" xfId="35093" xr:uid="{6132D3DE-B9FF-4DE3-9E9A-E2520D7D88F0}"/>
    <cellStyle name="40% - Accent4 3 2 2 2 2" xfId="2963" xr:uid="{3603FA6E-9B9A-4086-A476-E9351D1AFFEE}"/>
    <cellStyle name="40% - Accent4 3 2 2 2 20" xfId="36983" xr:uid="{BF02140C-B36A-4882-BFBA-B6936DCD1CA1}"/>
    <cellStyle name="40% - Accent4 3 2 2 2 21" xfId="38873" xr:uid="{733E237E-92DE-44D5-9D18-F4015E38125A}"/>
    <cellStyle name="40% - Accent4 3 2 2 2 22" xfId="40764" xr:uid="{AA33C227-76B7-4D56-9E8E-96071B1A6ABE}"/>
    <cellStyle name="40% - Accent4 3 2 2 2 3" xfId="4853" xr:uid="{EDD67F85-BA61-4505-B3A1-B6CDAFD69985}"/>
    <cellStyle name="40% - Accent4 3 2 2 2 4" xfId="6743" xr:uid="{29773CAE-17B4-4FA5-B51F-1C0ADCE84F18}"/>
    <cellStyle name="40% - Accent4 3 2 2 2 5" xfId="8633" xr:uid="{26381B61-EBFF-401D-A67F-B30D19E36ACD}"/>
    <cellStyle name="40% - Accent4 3 2 2 2 6" xfId="10523" xr:uid="{57D92E52-3F99-4F12-BB3E-544007AA4BA2}"/>
    <cellStyle name="40% - Accent4 3 2 2 2 7" xfId="12413" xr:uid="{E2E1B440-A538-45EC-B007-B43A865187CB}"/>
    <cellStyle name="40% - Accent4 3 2 2 2 8" xfId="14303" xr:uid="{7FD4B338-222E-4AF0-8A88-44397F03031E}"/>
    <cellStyle name="40% - Accent4 3 2 2 2 9" xfId="16193" xr:uid="{E0283015-F194-4F02-91F0-6DE1678E47FD}"/>
    <cellStyle name="40% - Accent4 3 2 2 20" xfId="32573" xr:uid="{F7ED7C30-079A-4AD0-9D9E-5225FD4BCAEC}"/>
    <cellStyle name="40% - Accent4 3 2 2 21" xfId="34463" xr:uid="{0F49341F-28CF-41D9-A940-878E8D3FD4C2}"/>
    <cellStyle name="40% - Accent4 3 2 2 22" xfId="36353" xr:uid="{17011964-735F-4192-9A02-0481A7C75D28}"/>
    <cellStyle name="40% - Accent4 3 2 2 23" xfId="38243" xr:uid="{8E0EE0FF-A31C-4A35-A0BF-3BCF5FFA8CE2}"/>
    <cellStyle name="40% - Accent4 3 2 2 24" xfId="40134" xr:uid="{FA43DAC6-104D-4196-B3A0-9B486DA14FB1}"/>
    <cellStyle name="40% - Accent4 3 2 2 3" xfId="1703" xr:uid="{A30D51D3-8CEF-4D4D-B56B-F6022C3523CE}"/>
    <cellStyle name="40% - Accent4 3 2 2 3 10" xfId="18713" xr:uid="{E7C47A5D-C521-4E33-A7BB-0D326DABBD4E}"/>
    <cellStyle name="40% - Accent4 3 2 2 3 11" xfId="20603" xr:uid="{9DF49E72-C8F9-448D-B7AC-500533E3646C}"/>
    <cellStyle name="40% - Accent4 3 2 2 3 12" xfId="22493" xr:uid="{0E65E7AF-0801-48FB-94C3-86DD32CFC1D1}"/>
    <cellStyle name="40% - Accent4 3 2 2 3 13" xfId="24383" xr:uid="{6D0CC02D-28DF-4AA4-8E0B-BEF38C26CBB4}"/>
    <cellStyle name="40% - Accent4 3 2 2 3 14" xfId="26273" xr:uid="{8B0818BD-A265-4D49-B65E-945528189C74}"/>
    <cellStyle name="40% - Accent4 3 2 2 3 15" xfId="28163" xr:uid="{43B2BDDB-1028-4AB1-A14D-FFC922EE508D}"/>
    <cellStyle name="40% - Accent4 3 2 2 3 16" xfId="30053" xr:uid="{A3AB1977-55B9-4FE8-A8E8-5FD318380AEF}"/>
    <cellStyle name="40% - Accent4 3 2 2 3 17" xfId="31943" xr:uid="{778529B3-F8D4-4F51-A1E5-AAB1D346CA9A}"/>
    <cellStyle name="40% - Accent4 3 2 2 3 18" xfId="33833" xr:uid="{18BC3DDF-03E0-4D06-8CA5-47F861FDA915}"/>
    <cellStyle name="40% - Accent4 3 2 2 3 19" xfId="35723" xr:uid="{8BDD53E2-4EFC-4B1F-A0D4-C4A98DEF8F2A}"/>
    <cellStyle name="40% - Accent4 3 2 2 3 2" xfId="3593" xr:uid="{EFF47EA5-0DF8-4D66-A5D7-6F81929F96AB}"/>
    <cellStyle name="40% - Accent4 3 2 2 3 20" xfId="37613" xr:uid="{4C9FE844-C01B-4562-8EAE-72FE0CF1725E}"/>
    <cellStyle name="40% - Accent4 3 2 2 3 21" xfId="39503" xr:uid="{3EC42752-CD8F-428C-96DA-7BE2060EA34A}"/>
    <cellStyle name="40% - Accent4 3 2 2 3 22" xfId="41394" xr:uid="{E2F20813-A0D2-4908-BDB6-060909374A45}"/>
    <cellStyle name="40% - Accent4 3 2 2 3 3" xfId="5483" xr:uid="{14EE5D9D-B5B6-4E7E-B85B-1B8361A7EA71}"/>
    <cellStyle name="40% - Accent4 3 2 2 3 4" xfId="7373" xr:uid="{E0E653D9-DF28-4BF9-A303-A98109FD24D9}"/>
    <cellStyle name="40% - Accent4 3 2 2 3 5" xfId="9263" xr:uid="{9351741B-1086-4007-B8BD-8011BC151B3F}"/>
    <cellStyle name="40% - Accent4 3 2 2 3 6" xfId="11153" xr:uid="{FFC7D773-F6B6-4D96-B6CA-8FB320ED3BF0}"/>
    <cellStyle name="40% - Accent4 3 2 2 3 7" xfId="13043" xr:uid="{C175BDF7-89AA-4E8C-A2E3-15DDF7F9FC50}"/>
    <cellStyle name="40% - Accent4 3 2 2 3 8" xfId="14933" xr:uid="{3872F26A-0AE1-4CC9-944C-269AA4173326}"/>
    <cellStyle name="40% - Accent4 3 2 2 3 9" xfId="16823" xr:uid="{EB47D6BF-4230-458F-BE78-EE97C76D53D6}"/>
    <cellStyle name="40% - Accent4 3 2 2 4" xfId="2333" xr:uid="{B3502043-1BF1-40EE-8924-536240374CCB}"/>
    <cellStyle name="40% - Accent4 3 2 2 5" xfId="4223" xr:uid="{19A6E6F3-EFE9-44B2-8832-07524957C710}"/>
    <cellStyle name="40% - Accent4 3 2 2 6" xfId="6113" xr:uid="{0C7AC8BA-382C-40D7-948B-EAFA4475BD7D}"/>
    <cellStyle name="40% - Accent4 3 2 2 7" xfId="8003" xr:uid="{B300AB2B-03A3-4A0F-93DD-BC8F65862143}"/>
    <cellStyle name="40% - Accent4 3 2 2 8" xfId="9893" xr:uid="{262E3B43-CFB4-491C-AE1E-0AAA6E69EAF0}"/>
    <cellStyle name="40% - Accent4 3 2 2 9" xfId="11783" xr:uid="{628F38AB-64E5-4A74-BC34-02A02D6D2A77}"/>
    <cellStyle name="40% - Accent4 3 2 20" xfId="28583" xr:uid="{84D36C99-EEB8-4C8A-87F3-99560AF8D058}"/>
    <cellStyle name="40% - Accent4 3 2 21" xfId="30473" xr:uid="{1FF0459E-2F21-41DC-B7A5-1E20319A6119}"/>
    <cellStyle name="40% - Accent4 3 2 22" xfId="32363" xr:uid="{2D8A9401-C815-44F2-86A7-C4235DB83672}"/>
    <cellStyle name="40% - Accent4 3 2 23" xfId="34253" xr:uid="{6A21F9A8-9877-4835-9491-51475ED91751}"/>
    <cellStyle name="40% - Accent4 3 2 24" xfId="36143" xr:uid="{823BD927-0E07-48CF-AA01-17BC05595EFE}"/>
    <cellStyle name="40% - Accent4 3 2 25" xfId="38033" xr:uid="{477F2085-DC76-4CE4-BA00-380BAD1BB728}"/>
    <cellStyle name="40% - Accent4 3 2 26" xfId="39924" xr:uid="{6BA6B6A5-B8FB-48C7-B1B3-DD5F42301EDB}"/>
    <cellStyle name="40% - Accent4 3 2 3" xfId="653" xr:uid="{7923B032-42EE-4DB2-8EC6-59AE6D78A062}"/>
    <cellStyle name="40% - Accent4 3 2 3 10" xfId="13883" xr:uid="{6185D0C5-E1EA-41BF-8DAE-2CAAA9027906}"/>
    <cellStyle name="40% - Accent4 3 2 3 11" xfId="15773" xr:uid="{02BCD2C3-655B-4B23-9AA2-4DA22ADF9FC7}"/>
    <cellStyle name="40% - Accent4 3 2 3 12" xfId="17663" xr:uid="{D5E8B230-7CBA-43FA-9F61-7C2B8F159676}"/>
    <cellStyle name="40% - Accent4 3 2 3 13" xfId="19553" xr:uid="{8C309AA1-815C-4C5B-BE30-8A9C6809AE8C}"/>
    <cellStyle name="40% - Accent4 3 2 3 14" xfId="21443" xr:uid="{B5986BB1-7197-4E1A-B650-DD21212F50D4}"/>
    <cellStyle name="40% - Accent4 3 2 3 15" xfId="23333" xr:uid="{D5E52871-D4FF-4219-9BCC-F5917F6AB75B}"/>
    <cellStyle name="40% - Accent4 3 2 3 16" xfId="25223" xr:uid="{9A9E9A56-5409-46E0-A684-5B9566589F00}"/>
    <cellStyle name="40% - Accent4 3 2 3 17" xfId="27113" xr:uid="{2FBB7145-79F8-49CC-8A74-F05BBBFE833C}"/>
    <cellStyle name="40% - Accent4 3 2 3 18" xfId="29003" xr:uid="{938A7E5C-B31B-42E0-885F-FF311A3957A1}"/>
    <cellStyle name="40% - Accent4 3 2 3 19" xfId="30893" xr:uid="{43894631-1AF7-47B3-9532-41A2E060F4A0}"/>
    <cellStyle name="40% - Accent4 3 2 3 2" xfId="1283" xr:uid="{DB1F17FA-D8F3-4FB5-B723-868D6313D43C}"/>
    <cellStyle name="40% - Accent4 3 2 3 2 10" xfId="18293" xr:uid="{AA5B3453-C4CF-4F6F-9A6D-EF08BCC4D64C}"/>
    <cellStyle name="40% - Accent4 3 2 3 2 11" xfId="20183" xr:uid="{F5BBC473-9125-4E9E-A0F7-88F306843DF9}"/>
    <cellStyle name="40% - Accent4 3 2 3 2 12" xfId="22073" xr:uid="{1FF0C477-5A8A-437F-9BC6-D94149E9C60E}"/>
    <cellStyle name="40% - Accent4 3 2 3 2 13" xfId="23963" xr:uid="{66181AE6-13B2-495A-B5D5-F6178FE8AAC3}"/>
    <cellStyle name="40% - Accent4 3 2 3 2 14" xfId="25853" xr:uid="{42F2CDC2-4EE3-4769-ACE0-1DC64EA3885F}"/>
    <cellStyle name="40% - Accent4 3 2 3 2 15" xfId="27743" xr:uid="{F5528F9A-837D-4E28-B3F0-C346ED38170B}"/>
    <cellStyle name="40% - Accent4 3 2 3 2 16" xfId="29633" xr:uid="{7CC541B3-3EEF-40B9-85F9-854D3501F1C7}"/>
    <cellStyle name="40% - Accent4 3 2 3 2 17" xfId="31523" xr:uid="{8C1CF9C6-C8C4-4877-91A0-D2A7EF91EA58}"/>
    <cellStyle name="40% - Accent4 3 2 3 2 18" xfId="33413" xr:uid="{AD9A1DE7-B071-43A7-A0C3-B0F478411DF0}"/>
    <cellStyle name="40% - Accent4 3 2 3 2 19" xfId="35303" xr:uid="{0803E933-419E-492A-AF6C-806E276E7407}"/>
    <cellStyle name="40% - Accent4 3 2 3 2 2" xfId="3173" xr:uid="{3766B613-0E75-4718-A468-EC03BC594DF2}"/>
    <cellStyle name="40% - Accent4 3 2 3 2 20" xfId="37193" xr:uid="{624555D0-95A7-4681-909B-4756E588C147}"/>
    <cellStyle name="40% - Accent4 3 2 3 2 21" xfId="39083" xr:uid="{6E7E3766-CBBB-47BE-BC0B-D46F55332E49}"/>
    <cellStyle name="40% - Accent4 3 2 3 2 22" xfId="40974" xr:uid="{5299B12F-E315-4F09-9F0A-C722A4814458}"/>
    <cellStyle name="40% - Accent4 3 2 3 2 3" xfId="5063" xr:uid="{AC34879F-5CF3-4CC7-AAA6-12C98CE62CE2}"/>
    <cellStyle name="40% - Accent4 3 2 3 2 4" xfId="6953" xr:uid="{704D90EE-6213-461A-BEFD-1ECACEFBC042}"/>
    <cellStyle name="40% - Accent4 3 2 3 2 5" xfId="8843" xr:uid="{2FA98DDB-4D28-40EC-9102-7F8F78D7114E}"/>
    <cellStyle name="40% - Accent4 3 2 3 2 6" xfId="10733" xr:uid="{7F0E9F3A-7903-4689-B51A-8F28D43BACFC}"/>
    <cellStyle name="40% - Accent4 3 2 3 2 7" xfId="12623" xr:uid="{A2413A30-3BB5-423C-980C-D23D2E1FA710}"/>
    <cellStyle name="40% - Accent4 3 2 3 2 8" xfId="14513" xr:uid="{DB58379F-4F63-45A8-8728-49100FC4A17C}"/>
    <cellStyle name="40% - Accent4 3 2 3 2 9" xfId="16403" xr:uid="{BC40E403-496C-4509-81D2-C0A3A90C4C36}"/>
    <cellStyle name="40% - Accent4 3 2 3 20" xfId="32783" xr:uid="{3181F84F-2181-4AAC-8891-21E77269AEF5}"/>
    <cellStyle name="40% - Accent4 3 2 3 21" xfId="34673" xr:uid="{CA8C44C9-65EE-47B2-8A0E-88E1FA21A18F}"/>
    <cellStyle name="40% - Accent4 3 2 3 22" xfId="36563" xr:uid="{5B234157-C4F0-4222-A142-B350C60926D7}"/>
    <cellStyle name="40% - Accent4 3 2 3 23" xfId="38453" xr:uid="{35B35043-0C2B-4285-8C7F-D614FF43A551}"/>
    <cellStyle name="40% - Accent4 3 2 3 24" xfId="40344" xr:uid="{E82BC87F-9644-405B-AD44-9AB0F588F104}"/>
    <cellStyle name="40% - Accent4 3 2 3 3" xfId="1913" xr:uid="{72A83E31-0B85-443F-8856-3C43CCD81767}"/>
    <cellStyle name="40% - Accent4 3 2 3 3 10" xfId="18923" xr:uid="{000C8CF9-4CE0-47AA-8265-964A360ACCB7}"/>
    <cellStyle name="40% - Accent4 3 2 3 3 11" xfId="20813" xr:uid="{1C0033CE-537C-4C6C-929E-79B3CAC9C089}"/>
    <cellStyle name="40% - Accent4 3 2 3 3 12" xfId="22703" xr:uid="{22457C42-3B24-4053-B6E7-12BE745F8479}"/>
    <cellStyle name="40% - Accent4 3 2 3 3 13" xfId="24593" xr:uid="{82C301D9-39B8-404B-A3B8-89AD0D011813}"/>
    <cellStyle name="40% - Accent4 3 2 3 3 14" xfId="26483" xr:uid="{A24101EE-2540-458F-B0F7-F41935425EB2}"/>
    <cellStyle name="40% - Accent4 3 2 3 3 15" xfId="28373" xr:uid="{19545B66-FF47-4A08-8CC4-9C158D3B0886}"/>
    <cellStyle name="40% - Accent4 3 2 3 3 16" xfId="30263" xr:uid="{87483454-659D-43B5-801A-9AD7330CD5BA}"/>
    <cellStyle name="40% - Accent4 3 2 3 3 17" xfId="32153" xr:uid="{9C9868D3-E1B1-403E-BC1A-18B018693AEA}"/>
    <cellStyle name="40% - Accent4 3 2 3 3 18" xfId="34043" xr:uid="{2BD69679-2452-4767-A3DF-C44C4677CD21}"/>
    <cellStyle name="40% - Accent4 3 2 3 3 19" xfId="35933" xr:uid="{BED10B2C-E9CE-420F-9B37-F79269F10418}"/>
    <cellStyle name="40% - Accent4 3 2 3 3 2" xfId="3803" xr:uid="{3C32CD53-D0D7-4F0D-980E-40D39B827D1C}"/>
    <cellStyle name="40% - Accent4 3 2 3 3 20" xfId="37823" xr:uid="{699FB778-B15D-4CA7-B0C0-A484D3335C31}"/>
    <cellStyle name="40% - Accent4 3 2 3 3 21" xfId="39713" xr:uid="{9BEBE440-2D06-4BBA-8071-534900EBE3F9}"/>
    <cellStyle name="40% - Accent4 3 2 3 3 22" xfId="41604" xr:uid="{F68DD801-65ED-4623-9A36-C1D5075C08D4}"/>
    <cellStyle name="40% - Accent4 3 2 3 3 3" xfId="5693" xr:uid="{7905E52D-9E09-43FE-BF2A-43A41804A071}"/>
    <cellStyle name="40% - Accent4 3 2 3 3 4" xfId="7583" xr:uid="{14D61318-2711-433D-B571-A2462AFCB7AA}"/>
    <cellStyle name="40% - Accent4 3 2 3 3 5" xfId="9473" xr:uid="{A4A3B862-9733-4B2A-A710-76B78F23A67C}"/>
    <cellStyle name="40% - Accent4 3 2 3 3 6" xfId="11363" xr:uid="{FCC2527D-4D5D-4B33-AD8E-C1CDCB4FC940}"/>
    <cellStyle name="40% - Accent4 3 2 3 3 7" xfId="13253" xr:uid="{4DF781FA-5722-42AF-BDCB-42F90E266E64}"/>
    <cellStyle name="40% - Accent4 3 2 3 3 8" xfId="15143" xr:uid="{F55F8408-5C0B-4CDA-9795-5DDD6FF8653B}"/>
    <cellStyle name="40% - Accent4 3 2 3 3 9" xfId="17033" xr:uid="{2E452468-5EE1-4DE7-B3D4-C47A0002AEE7}"/>
    <cellStyle name="40% - Accent4 3 2 3 4" xfId="2543" xr:uid="{74E800F1-A19E-4112-93E5-722631E9CE1F}"/>
    <cellStyle name="40% - Accent4 3 2 3 5" xfId="4433" xr:uid="{505436DD-ADFE-45B3-997B-BE9956C55924}"/>
    <cellStyle name="40% - Accent4 3 2 3 6" xfId="6323" xr:uid="{E9E8D933-CA3A-4BB3-A241-E44B44B50F35}"/>
    <cellStyle name="40% - Accent4 3 2 3 7" xfId="8213" xr:uid="{29690BA6-1EB0-45F0-A2CA-316BCAC4170E}"/>
    <cellStyle name="40% - Accent4 3 2 3 8" xfId="10103" xr:uid="{7A25749A-3E08-4BFE-A681-740E43DC9E4F}"/>
    <cellStyle name="40% - Accent4 3 2 3 9" xfId="11993" xr:uid="{2C790E54-B4EA-4620-B36D-BD1A44E70CBE}"/>
    <cellStyle name="40% - Accent4 3 2 4" xfId="863" xr:uid="{8FB61992-EBAB-45E3-A7A1-B6DC06797661}"/>
    <cellStyle name="40% - Accent4 3 2 4 10" xfId="17873" xr:uid="{A3E04D94-BA7B-4937-9457-C37EF7D1E17D}"/>
    <cellStyle name="40% - Accent4 3 2 4 11" xfId="19763" xr:uid="{6BD19641-F34C-4579-BB5D-678ABC1CD93B}"/>
    <cellStyle name="40% - Accent4 3 2 4 12" xfId="21653" xr:uid="{54D42BE1-5132-406C-A203-48F47CA17859}"/>
    <cellStyle name="40% - Accent4 3 2 4 13" xfId="23543" xr:uid="{80B2C13A-C2DD-4D1B-8780-BA304FE904B6}"/>
    <cellStyle name="40% - Accent4 3 2 4 14" xfId="25433" xr:uid="{F373F1C7-DB7F-492B-9DE4-FCBA0BA88781}"/>
    <cellStyle name="40% - Accent4 3 2 4 15" xfId="27323" xr:uid="{3105640E-286A-4E02-8EC3-3B7580AAE553}"/>
    <cellStyle name="40% - Accent4 3 2 4 16" xfId="29213" xr:uid="{6F334000-490A-46FE-A3E4-62B4BE5F6BB6}"/>
    <cellStyle name="40% - Accent4 3 2 4 17" xfId="31103" xr:uid="{C70CBFA6-6194-42DA-B828-79CE8E8BE0F5}"/>
    <cellStyle name="40% - Accent4 3 2 4 18" xfId="32993" xr:uid="{B70621ED-8F51-4B8B-B588-C585807E5E50}"/>
    <cellStyle name="40% - Accent4 3 2 4 19" xfId="34883" xr:uid="{8205F5CD-B4EE-44A6-9BAF-4812DC24A5AB}"/>
    <cellStyle name="40% - Accent4 3 2 4 2" xfId="2753" xr:uid="{835725E2-463F-4995-829B-38BC88E1F469}"/>
    <cellStyle name="40% - Accent4 3 2 4 20" xfId="36773" xr:uid="{A6A3032D-DFF1-4102-B52F-ED288F35A55F}"/>
    <cellStyle name="40% - Accent4 3 2 4 21" xfId="38663" xr:uid="{23FA1E1E-5A97-4163-B3D0-4654E66909DA}"/>
    <cellStyle name="40% - Accent4 3 2 4 22" xfId="40554" xr:uid="{5FCCD0DD-FA5A-4E8B-87FA-B86C4305AE1B}"/>
    <cellStyle name="40% - Accent4 3 2 4 3" xfId="4643" xr:uid="{60B54FCE-4BB3-4340-A5B5-21762EE6C30A}"/>
    <cellStyle name="40% - Accent4 3 2 4 4" xfId="6533" xr:uid="{0E2CAABC-9EED-44E9-95DB-D0EB68A419D5}"/>
    <cellStyle name="40% - Accent4 3 2 4 5" xfId="8423" xr:uid="{D4600C05-F9DB-491B-B44A-149E262A8CE5}"/>
    <cellStyle name="40% - Accent4 3 2 4 6" xfId="10313" xr:uid="{F67164BD-014C-4D37-935B-D74CF89F5669}"/>
    <cellStyle name="40% - Accent4 3 2 4 7" xfId="12203" xr:uid="{A896CEDA-7E0F-42CB-91DA-128F1C0A01F7}"/>
    <cellStyle name="40% - Accent4 3 2 4 8" xfId="14093" xr:uid="{26C72EF1-D3E5-4BD4-8559-EFF173ED4ACB}"/>
    <cellStyle name="40% - Accent4 3 2 4 9" xfId="15983" xr:uid="{BEFAF58C-F390-49DB-9AAA-2AEA6D2250D4}"/>
    <cellStyle name="40% - Accent4 3 2 5" xfId="1493" xr:uid="{C87E6274-9D91-48BB-B77E-E08C032FED87}"/>
    <cellStyle name="40% - Accent4 3 2 5 10" xfId="18503" xr:uid="{1B9DF8FB-DD41-4057-8A2B-6D999EF5AF61}"/>
    <cellStyle name="40% - Accent4 3 2 5 11" xfId="20393" xr:uid="{DD6B7967-D81D-47F9-8DCD-74BE89570CE8}"/>
    <cellStyle name="40% - Accent4 3 2 5 12" xfId="22283" xr:uid="{9287C6C3-E56F-405D-B852-741395723681}"/>
    <cellStyle name="40% - Accent4 3 2 5 13" xfId="24173" xr:uid="{36445974-BE38-4DDB-BD35-7C04FF1CD4A3}"/>
    <cellStyle name="40% - Accent4 3 2 5 14" xfId="26063" xr:uid="{3512C9FC-5803-4391-908A-0A31FFC50A3A}"/>
    <cellStyle name="40% - Accent4 3 2 5 15" xfId="27953" xr:uid="{C1DED6CA-BD22-4B6E-AEFA-68098BEE7B6F}"/>
    <cellStyle name="40% - Accent4 3 2 5 16" xfId="29843" xr:uid="{07ABD8C4-780A-4CD9-B2DD-54E31560CF28}"/>
    <cellStyle name="40% - Accent4 3 2 5 17" xfId="31733" xr:uid="{880BD0F7-9CB5-495E-AA23-60969C43EFA2}"/>
    <cellStyle name="40% - Accent4 3 2 5 18" xfId="33623" xr:uid="{FA8B00B0-F334-4DB3-B05F-7329365A256B}"/>
    <cellStyle name="40% - Accent4 3 2 5 19" xfId="35513" xr:uid="{FB8FA873-2319-4F65-8A99-12AF80FFB9F7}"/>
    <cellStyle name="40% - Accent4 3 2 5 2" xfId="3383" xr:uid="{88930992-1653-4354-A604-C848A044CE0A}"/>
    <cellStyle name="40% - Accent4 3 2 5 20" xfId="37403" xr:uid="{0DDA44D0-7175-43DD-BB9D-9256D617D627}"/>
    <cellStyle name="40% - Accent4 3 2 5 21" xfId="39293" xr:uid="{F26A76EB-BF4D-4E23-A713-06433ED8301D}"/>
    <cellStyle name="40% - Accent4 3 2 5 22" xfId="41184" xr:uid="{2A56B412-F0FE-43DB-AE9F-DDF55A27B529}"/>
    <cellStyle name="40% - Accent4 3 2 5 3" xfId="5273" xr:uid="{FD9CE945-18CF-4F06-98C4-88304CE942B0}"/>
    <cellStyle name="40% - Accent4 3 2 5 4" xfId="7163" xr:uid="{09AF8B4B-2AA9-41D6-B326-583479BFD0A1}"/>
    <cellStyle name="40% - Accent4 3 2 5 5" xfId="9053" xr:uid="{C15BB665-FB2A-484F-BD00-48F3B232DB47}"/>
    <cellStyle name="40% - Accent4 3 2 5 6" xfId="10943" xr:uid="{A7079091-14F4-4476-A910-A86561A3C64A}"/>
    <cellStyle name="40% - Accent4 3 2 5 7" xfId="12833" xr:uid="{5DB24F6B-65C7-4B46-8011-7AFF15375804}"/>
    <cellStyle name="40% - Accent4 3 2 5 8" xfId="14723" xr:uid="{59E0F244-7F3C-4045-968F-A852240B8178}"/>
    <cellStyle name="40% - Accent4 3 2 5 9" xfId="16613" xr:uid="{EF337332-EFD5-46BB-8D7A-FAA7981071CC}"/>
    <cellStyle name="40% - Accent4 3 2 6" xfId="2123" xr:uid="{426FEF00-54D7-4F8D-A562-328EBCBE9253}"/>
    <cellStyle name="40% - Accent4 3 2 7" xfId="4013" xr:uid="{B9F153C7-50FD-41DD-BF4D-83F5F093F10F}"/>
    <cellStyle name="40% - Accent4 3 2 8" xfId="5903" xr:uid="{8DDD2886-412D-488D-BA78-BA5DBA3F8FA2}"/>
    <cellStyle name="40% - Accent4 3 2 9" xfId="7793" xr:uid="{E44B3320-A2AF-4110-8093-D27860CE3959}"/>
    <cellStyle name="40% - Accent4 3 20" xfId="26588" xr:uid="{6D10D9DC-D97C-44DC-A4A8-E107EBBFAFB7}"/>
    <cellStyle name="40% - Accent4 3 21" xfId="28478" xr:uid="{AB0EE84A-3A38-4252-8EBA-BD5108CEB232}"/>
    <cellStyle name="40% - Accent4 3 22" xfId="30368" xr:uid="{0AD4581B-1CEB-482D-BBBF-097C38A2D677}"/>
    <cellStyle name="40% - Accent4 3 23" xfId="32258" xr:uid="{61838928-189B-4D42-8C28-99BE528490AB}"/>
    <cellStyle name="40% - Accent4 3 24" xfId="34148" xr:uid="{D4A85C9F-BAE3-44F1-94BB-9339F55285EB}"/>
    <cellStyle name="40% - Accent4 3 25" xfId="36038" xr:uid="{D5603733-31C7-4637-B87C-C888575B6DA8}"/>
    <cellStyle name="40% - Accent4 3 26" xfId="37928" xr:uid="{967E8A3F-D1A8-429E-9FCD-1CE9D3ED8C06}"/>
    <cellStyle name="40% - Accent4 3 27" xfId="39819" xr:uid="{AB15CFFB-1959-466D-9452-0B20277BA1C3}"/>
    <cellStyle name="40% - Accent4 3 3" xfId="338" xr:uid="{44D4C5D8-CE1E-46E5-B609-3A10F6D36AF7}"/>
    <cellStyle name="40% - Accent4 3 3 10" xfId="13568" xr:uid="{32EB2D45-061D-417E-8553-F382EEBE4995}"/>
    <cellStyle name="40% - Accent4 3 3 11" xfId="15458" xr:uid="{DDAA711F-002C-4263-8BD5-03FC4A6B0834}"/>
    <cellStyle name="40% - Accent4 3 3 12" xfId="17348" xr:uid="{CCE763D6-B336-4792-8CE7-413E7B920661}"/>
    <cellStyle name="40% - Accent4 3 3 13" xfId="19238" xr:uid="{6C3C5B91-7068-4B95-B380-C201AD8F592B}"/>
    <cellStyle name="40% - Accent4 3 3 14" xfId="21128" xr:uid="{0DAC869A-22C1-42BA-A0B4-07E6257E3A03}"/>
    <cellStyle name="40% - Accent4 3 3 15" xfId="23018" xr:uid="{4B090CEF-0ECE-49C7-AA49-011678374C39}"/>
    <cellStyle name="40% - Accent4 3 3 16" xfId="24908" xr:uid="{8D211C79-2FDD-45B3-959F-02EEA23081B8}"/>
    <cellStyle name="40% - Accent4 3 3 17" xfId="26798" xr:uid="{25511A3F-1428-4D70-8931-E4197871BAA7}"/>
    <cellStyle name="40% - Accent4 3 3 18" xfId="28688" xr:uid="{B456AC5B-4462-42BD-A632-CA6E2907C55F}"/>
    <cellStyle name="40% - Accent4 3 3 19" xfId="30578" xr:uid="{DE04149B-3701-41C3-840C-4CC43797CF4A}"/>
    <cellStyle name="40% - Accent4 3 3 2" xfId="968" xr:uid="{A7D0DD22-4DBC-4414-8228-16915D3997B4}"/>
    <cellStyle name="40% - Accent4 3 3 2 10" xfId="17978" xr:uid="{EB56BAE5-EB5D-4F35-82F1-E012655FAFBD}"/>
    <cellStyle name="40% - Accent4 3 3 2 11" xfId="19868" xr:uid="{91D57639-5011-402E-BD1E-D2C1F68F2E0D}"/>
    <cellStyle name="40% - Accent4 3 3 2 12" xfId="21758" xr:uid="{23CA300B-02C7-4A4E-BDC9-42D6BD3FAE24}"/>
    <cellStyle name="40% - Accent4 3 3 2 13" xfId="23648" xr:uid="{FD27E429-78D9-4EA7-AD0B-90E51662BF82}"/>
    <cellStyle name="40% - Accent4 3 3 2 14" xfId="25538" xr:uid="{84FE56D4-B2F6-4BCB-A8AE-843F205B979E}"/>
    <cellStyle name="40% - Accent4 3 3 2 15" xfId="27428" xr:uid="{50B50C77-F4BB-4D70-A2EE-DB35EF246BDE}"/>
    <cellStyle name="40% - Accent4 3 3 2 16" xfId="29318" xr:uid="{CC5EDBF9-1FA7-46E1-95AF-19D1A0102839}"/>
    <cellStyle name="40% - Accent4 3 3 2 17" xfId="31208" xr:uid="{7B3F8E7D-EDCB-485F-B64F-3AAC2F8A8382}"/>
    <cellStyle name="40% - Accent4 3 3 2 18" xfId="33098" xr:uid="{78FAD2BB-61AF-4100-A324-39490A5D11CA}"/>
    <cellStyle name="40% - Accent4 3 3 2 19" xfId="34988" xr:uid="{EAAB8109-40D4-458D-8954-EF4B0FF9ACAC}"/>
    <cellStyle name="40% - Accent4 3 3 2 2" xfId="2858" xr:uid="{67F05708-F944-4569-B708-01A79C68B57F}"/>
    <cellStyle name="40% - Accent4 3 3 2 20" xfId="36878" xr:uid="{5E71C701-25F6-42A3-8E95-692D09BB23C4}"/>
    <cellStyle name="40% - Accent4 3 3 2 21" xfId="38768" xr:uid="{A238ED98-8B33-40B7-800A-4D405A78633C}"/>
    <cellStyle name="40% - Accent4 3 3 2 22" xfId="40659" xr:uid="{EC13F6FE-5E6B-41FC-A50C-E95A1C69E848}"/>
    <cellStyle name="40% - Accent4 3 3 2 3" xfId="4748" xr:uid="{BD615747-5FD3-4122-9EE4-D6B4681883E6}"/>
    <cellStyle name="40% - Accent4 3 3 2 4" xfId="6638" xr:uid="{AA6545F6-DA1D-48B5-8053-A53363E1B9BF}"/>
    <cellStyle name="40% - Accent4 3 3 2 5" xfId="8528" xr:uid="{ED593223-1606-4610-BED8-AA0D9549E454}"/>
    <cellStyle name="40% - Accent4 3 3 2 6" xfId="10418" xr:uid="{DF76EC7E-53DB-4C00-970D-ED1BC4724EFB}"/>
    <cellStyle name="40% - Accent4 3 3 2 7" xfId="12308" xr:uid="{62912307-827C-4D2A-BB18-C871EC9A6EEF}"/>
    <cellStyle name="40% - Accent4 3 3 2 8" xfId="14198" xr:uid="{DAB3A45E-0876-4B3D-8CEC-839FDB23E4F7}"/>
    <cellStyle name="40% - Accent4 3 3 2 9" xfId="16088" xr:uid="{71E6DB4F-F483-4D29-9812-0EB55CD27A24}"/>
    <cellStyle name="40% - Accent4 3 3 20" xfId="32468" xr:uid="{46E6C6DA-0726-4E18-AFEC-CB3342D73523}"/>
    <cellStyle name="40% - Accent4 3 3 21" xfId="34358" xr:uid="{78F9678C-64EC-4331-90A4-BE0487AFEC0C}"/>
    <cellStyle name="40% - Accent4 3 3 22" xfId="36248" xr:uid="{ADBD2FFD-EB50-409B-8B2E-F4055BB2150C}"/>
    <cellStyle name="40% - Accent4 3 3 23" xfId="38138" xr:uid="{E2D640CA-7105-431E-8D62-37C2F7DF6059}"/>
    <cellStyle name="40% - Accent4 3 3 24" xfId="40029" xr:uid="{3598B500-D4A0-4CF9-A9E0-7B853210B03A}"/>
    <cellStyle name="40% - Accent4 3 3 3" xfId="1598" xr:uid="{49F34692-BE26-4C61-A1A3-AF4F20EB9861}"/>
    <cellStyle name="40% - Accent4 3 3 3 10" xfId="18608" xr:uid="{B52D295A-4CA0-43C5-B213-963250CFA6D0}"/>
    <cellStyle name="40% - Accent4 3 3 3 11" xfId="20498" xr:uid="{F066F07F-61D9-48B4-AB2F-FFA76B60CAE4}"/>
    <cellStyle name="40% - Accent4 3 3 3 12" xfId="22388" xr:uid="{253D8EE6-46B4-4189-BD16-B77D11B31328}"/>
    <cellStyle name="40% - Accent4 3 3 3 13" xfId="24278" xr:uid="{A9CFA1F5-BCCC-48BA-9429-9C48E066C232}"/>
    <cellStyle name="40% - Accent4 3 3 3 14" xfId="26168" xr:uid="{CA5233E6-C9A2-43C2-A5A3-C27F935152F6}"/>
    <cellStyle name="40% - Accent4 3 3 3 15" xfId="28058" xr:uid="{CE9B5907-7DC5-4B90-8D84-BC436FEF942B}"/>
    <cellStyle name="40% - Accent4 3 3 3 16" xfId="29948" xr:uid="{5766B039-85CD-4AB6-8EEE-FA9D332FDE3B}"/>
    <cellStyle name="40% - Accent4 3 3 3 17" xfId="31838" xr:uid="{243234F4-1982-4A1C-BF64-185E37675DC9}"/>
    <cellStyle name="40% - Accent4 3 3 3 18" xfId="33728" xr:uid="{AF255F0B-9391-4A4B-8335-C55F66925F60}"/>
    <cellStyle name="40% - Accent4 3 3 3 19" xfId="35618" xr:uid="{6D324721-183D-4A9E-B9DC-A39DCC064CFD}"/>
    <cellStyle name="40% - Accent4 3 3 3 2" xfId="3488" xr:uid="{A2BBC9BF-7E1C-4860-8EDD-3769AF21B93A}"/>
    <cellStyle name="40% - Accent4 3 3 3 20" xfId="37508" xr:uid="{ADD814D2-00B7-4601-B33D-CA951F731311}"/>
    <cellStyle name="40% - Accent4 3 3 3 21" xfId="39398" xr:uid="{8F753F29-ED6C-4A37-91CB-69C01F69AF2B}"/>
    <cellStyle name="40% - Accent4 3 3 3 22" xfId="41289" xr:uid="{21F5FD77-8B43-433E-957A-A83F77ED9F1E}"/>
    <cellStyle name="40% - Accent4 3 3 3 3" xfId="5378" xr:uid="{B97F3F18-74D6-4E44-9C08-21AF283BDDF3}"/>
    <cellStyle name="40% - Accent4 3 3 3 4" xfId="7268" xr:uid="{85E1C128-C93B-48A5-8ADF-641B7FE0ED01}"/>
    <cellStyle name="40% - Accent4 3 3 3 5" xfId="9158" xr:uid="{A9448EA8-2B8E-4887-8047-B1399E82D80D}"/>
    <cellStyle name="40% - Accent4 3 3 3 6" xfId="11048" xr:uid="{F810B2A7-23C0-4860-9B8A-D834357B334D}"/>
    <cellStyle name="40% - Accent4 3 3 3 7" xfId="12938" xr:uid="{EF1DE523-745D-4305-9DB8-B9918C85E0C9}"/>
    <cellStyle name="40% - Accent4 3 3 3 8" xfId="14828" xr:uid="{5C44E7DF-0AB6-42A3-9E0B-4921E4C4AA0E}"/>
    <cellStyle name="40% - Accent4 3 3 3 9" xfId="16718" xr:uid="{09CDE8DD-938D-4730-A736-DD510A8AAA73}"/>
    <cellStyle name="40% - Accent4 3 3 4" xfId="2228" xr:uid="{044F2540-9C7F-4D05-98A4-6127ACCBF6B5}"/>
    <cellStyle name="40% - Accent4 3 3 5" xfId="4118" xr:uid="{55781C42-C471-40CF-83FD-DD1E11F5A738}"/>
    <cellStyle name="40% - Accent4 3 3 6" xfId="6008" xr:uid="{B6FAC76B-2508-4E17-BEB9-36BB4B49FC1C}"/>
    <cellStyle name="40% - Accent4 3 3 7" xfId="7898" xr:uid="{328D406F-905B-4FBF-8104-7CD5E0B2B531}"/>
    <cellStyle name="40% - Accent4 3 3 8" xfId="9788" xr:uid="{BB512437-0628-41E1-B3C8-52FD7FAC6109}"/>
    <cellStyle name="40% - Accent4 3 3 9" xfId="11678" xr:uid="{3FAF867C-D871-41E6-8725-8428F87644DF}"/>
    <cellStyle name="40% - Accent4 3 4" xfId="548" xr:uid="{13996B2D-956C-4E27-A7B8-DF735B12A73A}"/>
    <cellStyle name="40% - Accent4 3 4 10" xfId="13778" xr:uid="{A4752DA9-9AD4-4DD0-8268-01BD1D4000CE}"/>
    <cellStyle name="40% - Accent4 3 4 11" xfId="15668" xr:uid="{5212F20D-C273-49A5-9B8A-01FEFFD1FF96}"/>
    <cellStyle name="40% - Accent4 3 4 12" xfId="17558" xr:uid="{C191EC3B-1DDE-4970-A04F-0537B7954AB4}"/>
    <cellStyle name="40% - Accent4 3 4 13" xfId="19448" xr:uid="{0DBCC9DC-BBFC-46D2-85F7-C6256E4843C4}"/>
    <cellStyle name="40% - Accent4 3 4 14" xfId="21338" xr:uid="{A3615C47-DC6D-420B-8EC6-915E823AA026}"/>
    <cellStyle name="40% - Accent4 3 4 15" xfId="23228" xr:uid="{9CA17406-3B56-4661-AE86-90FD7BE39169}"/>
    <cellStyle name="40% - Accent4 3 4 16" xfId="25118" xr:uid="{DA75B37C-A6F9-434C-9632-A18C533F19B7}"/>
    <cellStyle name="40% - Accent4 3 4 17" xfId="27008" xr:uid="{625CF3AA-F021-4CF5-9433-7AF6E8380C7F}"/>
    <cellStyle name="40% - Accent4 3 4 18" xfId="28898" xr:uid="{4B170E49-AAC2-43EA-AE75-DA5728B61A9E}"/>
    <cellStyle name="40% - Accent4 3 4 19" xfId="30788" xr:uid="{59361562-60EE-4028-8CB4-AA41CF1C4D8B}"/>
    <cellStyle name="40% - Accent4 3 4 2" xfId="1178" xr:uid="{9097249C-80F7-4B76-8163-3A1F7921E414}"/>
    <cellStyle name="40% - Accent4 3 4 2 10" xfId="18188" xr:uid="{4BA70049-6E3A-43F4-BF10-C9F280CA03FF}"/>
    <cellStyle name="40% - Accent4 3 4 2 11" xfId="20078" xr:uid="{FBB1D8A8-D553-42DD-B663-47E310E11676}"/>
    <cellStyle name="40% - Accent4 3 4 2 12" xfId="21968" xr:uid="{2190B530-BA6E-4D0F-BE87-90FC97F07BC0}"/>
    <cellStyle name="40% - Accent4 3 4 2 13" xfId="23858" xr:uid="{7B69924D-AE81-4B93-BD27-CA13326F10C5}"/>
    <cellStyle name="40% - Accent4 3 4 2 14" xfId="25748" xr:uid="{E6DC7EBD-2880-4F3A-99E4-9EC1C04CEFDC}"/>
    <cellStyle name="40% - Accent4 3 4 2 15" xfId="27638" xr:uid="{9EE0A0FF-63A7-44A2-8A5A-A4ED511D903C}"/>
    <cellStyle name="40% - Accent4 3 4 2 16" xfId="29528" xr:uid="{28CE69FF-BA11-4C64-8B42-C76927CE4CA1}"/>
    <cellStyle name="40% - Accent4 3 4 2 17" xfId="31418" xr:uid="{A22A0775-8BC6-419D-9792-6DD58A7F0902}"/>
    <cellStyle name="40% - Accent4 3 4 2 18" xfId="33308" xr:uid="{90960305-048E-4D47-886F-FB339D0C463E}"/>
    <cellStyle name="40% - Accent4 3 4 2 19" xfId="35198" xr:uid="{2DEE0BA2-C0AA-46EA-BE5F-3B8B5F5CD2FB}"/>
    <cellStyle name="40% - Accent4 3 4 2 2" xfId="3068" xr:uid="{D9AF8D14-54C3-42A1-A8F6-2288D1927F14}"/>
    <cellStyle name="40% - Accent4 3 4 2 20" xfId="37088" xr:uid="{AC2D4E54-21A5-409D-9195-46B4E307F8AD}"/>
    <cellStyle name="40% - Accent4 3 4 2 21" xfId="38978" xr:uid="{B4EAA25F-986A-43E6-A4A1-5B6489BDE7C1}"/>
    <cellStyle name="40% - Accent4 3 4 2 22" xfId="40869" xr:uid="{0C0BF7AD-B3A7-4DA3-9EB8-672427A234E2}"/>
    <cellStyle name="40% - Accent4 3 4 2 3" xfId="4958" xr:uid="{CF66EA52-C389-4F15-B8C1-2E197486C315}"/>
    <cellStyle name="40% - Accent4 3 4 2 4" xfId="6848" xr:uid="{A12996B2-33DF-42DC-87F3-86E2F3C3C7EA}"/>
    <cellStyle name="40% - Accent4 3 4 2 5" xfId="8738" xr:uid="{B98BDAAA-1C23-4BC3-8BD4-7A7E92297C18}"/>
    <cellStyle name="40% - Accent4 3 4 2 6" xfId="10628" xr:uid="{C399A38F-5B36-4D31-9908-54E7D322650C}"/>
    <cellStyle name="40% - Accent4 3 4 2 7" xfId="12518" xr:uid="{8EFAFE2D-C5B7-4242-BF69-8AA29C7EBC5C}"/>
    <cellStyle name="40% - Accent4 3 4 2 8" xfId="14408" xr:uid="{A900516E-0BC2-4425-8869-A6D938DB6291}"/>
    <cellStyle name="40% - Accent4 3 4 2 9" xfId="16298" xr:uid="{490C8099-63BC-4966-A34D-D707F5071DC9}"/>
    <cellStyle name="40% - Accent4 3 4 20" xfId="32678" xr:uid="{2ED32276-4A96-4981-B7EE-95FCE6B869F2}"/>
    <cellStyle name="40% - Accent4 3 4 21" xfId="34568" xr:uid="{B699A97B-7471-4554-8847-59E6B1981A46}"/>
    <cellStyle name="40% - Accent4 3 4 22" xfId="36458" xr:uid="{932F1CE1-77C3-4EEE-B73A-8439427AAF2D}"/>
    <cellStyle name="40% - Accent4 3 4 23" xfId="38348" xr:uid="{3249A174-7532-4F14-BF25-33750E3AB17F}"/>
    <cellStyle name="40% - Accent4 3 4 24" xfId="40239" xr:uid="{972AAC2E-8B7D-48A5-9046-515EB3D2197B}"/>
    <cellStyle name="40% - Accent4 3 4 3" xfId="1808" xr:uid="{BCF13405-05D0-438C-9B0B-C514BB682726}"/>
    <cellStyle name="40% - Accent4 3 4 3 10" xfId="18818" xr:uid="{A9B1AD6B-431E-4CC2-9D76-3E04A3F6F014}"/>
    <cellStyle name="40% - Accent4 3 4 3 11" xfId="20708" xr:uid="{6FDE217F-6BEC-42D9-BDA8-AE08198640EF}"/>
    <cellStyle name="40% - Accent4 3 4 3 12" xfId="22598" xr:uid="{D9CE9F6C-7550-4471-988B-BEAABF4D7CAC}"/>
    <cellStyle name="40% - Accent4 3 4 3 13" xfId="24488" xr:uid="{96904FEC-3918-43A3-BF3A-7C964229CEFB}"/>
    <cellStyle name="40% - Accent4 3 4 3 14" xfId="26378" xr:uid="{9FB76850-DD16-4948-B45F-5444BFD45CCB}"/>
    <cellStyle name="40% - Accent4 3 4 3 15" xfId="28268" xr:uid="{656D2EC4-45A8-4A62-926B-56DA5D03C489}"/>
    <cellStyle name="40% - Accent4 3 4 3 16" xfId="30158" xr:uid="{83FA2767-CBC1-4947-BE94-FFFC34654213}"/>
    <cellStyle name="40% - Accent4 3 4 3 17" xfId="32048" xr:uid="{0E0BE64C-6AA8-432D-88AD-B54089259592}"/>
    <cellStyle name="40% - Accent4 3 4 3 18" xfId="33938" xr:uid="{9B3FB1FF-1886-43E9-B9D9-F6F37FFF8A81}"/>
    <cellStyle name="40% - Accent4 3 4 3 19" xfId="35828" xr:uid="{727096D4-1CDC-4B1E-9792-20A65AF78B6C}"/>
    <cellStyle name="40% - Accent4 3 4 3 2" xfId="3698" xr:uid="{0A395FAE-1A83-4E66-A470-7C36A3AF7E60}"/>
    <cellStyle name="40% - Accent4 3 4 3 20" xfId="37718" xr:uid="{B2901E1E-DA2B-4D20-A1C2-4357BAE2BC81}"/>
    <cellStyle name="40% - Accent4 3 4 3 21" xfId="39608" xr:uid="{7BE8C567-AB65-4A6A-AF80-1F96B717A2E3}"/>
    <cellStyle name="40% - Accent4 3 4 3 22" xfId="41499" xr:uid="{B10706F9-E196-438C-8A27-851DC5E4F63D}"/>
    <cellStyle name="40% - Accent4 3 4 3 3" xfId="5588" xr:uid="{4B6972AE-9505-4769-A743-A1C9688F74FA}"/>
    <cellStyle name="40% - Accent4 3 4 3 4" xfId="7478" xr:uid="{540B0A93-AFB5-4FDC-8CBF-F09A1C374254}"/>
    <cellStyle name="40% - Accent4 3 4 3 5" xfId="9368" xr:uid="{3B63B3F7-5DBD-464D-B424-99498A71CB7F}"/>
    <cellStyle name="40% - Accent4 3 4 3 6" xfId="11258" xr:uid="{4DA41A8A-B770-4E68-A140-DF33D5A53F7A}"/>
    <cellStyle name="40% - Accent4 3 4 3 7" xfId="13148" xr:uid="{8080C8DA-71C7-416F-8F22-68F8A68D0E68}"/>
    <cellStyle name="40% - Accent4 3 4 3 8" xfId="15038" xr:uid="{621C9758-7AE9-4DF7-8522-F5323209390A}"/>
    <cellStyle name="40% - Accent4 3 4 3 9" xfId="16928" xr:uid="{C7263E8A-9ED6-4007-8939-3A5B621628E6}"/>
    <cellStyle name="40% - Accent4 3 4 4" xfId="2438" xr:uid="{DF3CFB24-268F-4D37-A3DE-DFCD5C7A2286}"/>
    <cellStyle name="40% - Accent4 3 4 5" xfId="4328" xr:uid="{0EEF5CBF-2FAD-4FAC-B8D3-90068A665F83}"/>
    <cellStyle name="40% - Accent4 3 4 6" xfId="6218" xr:uid="{E549B756-7FF5-4A3D-BE56-5BE3FA5A0B5E}"/>
    <cellStyle name="40% - Accent4 3 4 7" xfId="8108" xr:uid="{A1A51668-779A-420F-8EC3-8B991A997DA9}"/>
    <cellStyle name="40% - Accent4 3 4 8" xfId="9998" xr:uid="{D11B8CC9-D832-4755-89BE-C600863BC02C}"/>
    <cellStyle name="40% - Accent4 3 4 9" xfId="11888" xr:uid="{49DCCC4B-EE6F-48DA-8ACD-D06232BC61D6}"/>
    <cellStyle name="40% - Accent4 3 5" xfId="758" xr:uid="{C4397B09-9838-4B72-A16E-6CD10DAB234E}"/>
    <cellStyle name="40% - Accent4 3 5 10" xfId="17768" xr:uid="{E994D57C-A610-4C48-AB97-7C3654DDAEC5}"/>
    <cellStyle name="40% - Accent4 3 5 11" xfId="19658" xr:uid="{A5F71547-1556-4CA6-91F7-BD99F6BBC5A8}"/>
    <cellStyle name="40% - Accent4 3 5 12" xfId="21548" xr:uid="{83BB2E5E-881A-4972-8CDE-DC98AC47F14D}"/>
    <cellStyle name="40% - Accent4 3 5 13" xfId="23438" xr:uid="{01417C70-E5CD-4674-8B99-050034452B92}"/>
    <cellStyle name="40% - Accent4 3 5 14" xfId="25328" xr:uid="{1BE03A34-485E-4EDC-B1A3-5E40F1C99175}"/>
    <cellStyle name="40% - Accent4 3 5 15" xfId="27218" xr:uid="{446274CE-53EF-40E3-BDBC-F7B1D7581660}"/>
    <cellStyle name="40% - Accent4 3 5 16" xfId="29108" xr:uid="{8084E1BE-0F61-4983-8A51-17FE4D719D67}"/>
    <cellStyle name="40% - Accent4 3 5 17" xfId="30998" xr:uid="{2CB0F20B-FA03-40B8-B935-3BB0D99D40AE}"/>
    <cellStyle name="40% - Accent4 3 5 18" xfId="32888" xr:uid="{10B02805-27CE-4D2B-8849-046FD33CAC97}"/>
    <cellStyle name="40% - Accent4 3 5 19" xfId="34778" xr:uid="{016DB649-D2CB-4026-8338-ADBCBA8DB226}"/>
    <cellStyle name="40% - Accent4 3 5 2" xfId="2648" xr:uid="{8CD591F3-EA45-4FFE-8895-9265E9BDEE09}"/>
    <cellStyle name="40% - Accent4 3 5 20" xfId="36668" xr:uid="{6E17DB63-25C7-4687-8CB6-B326F4ECB37A}"/>
    <cellStyle name="40% - Accent4 3 5 21" xfId="38558" xr:uid="{D2F3E934-AAF6-4956-880A-33C727B03BCE}"/>
    <cellStyle name="40% - Accent4 3 5 22" xfId="40449" xr:uid="{AF2365FD-D5C7-4D19-8F2E-DCC452A4F406}"/>
    <cellStyle name="40% - Accent4 3 5 3" xfId="4538" xr:uid="{7EB54AFC-3EBE-4852-97BE-910A6D253695}"/>
    <cellStyle name="40% - Accent4 3 5 4" xfId="6428" xr:uid="{AA32E1AA-70D1-4ADF-AA3F-01E6BAC7FD19}"/>
    <cellStyle name="40% - Accent4 3 5 5" xfId="8318" xr:uid="{DD481DE8-F1D0-4EBD-95D5-2878D46590AB}"/>
    <cellStyle name="40% - Accent4 3 5 6" xfId="10208" xr:uid="{4C761AE8-7E0A-4C44-8BF0-CC6DC6FB38B3}"/>
    <cellStyle name="40% - Accent4 3 5 7" xfId="12098" xr:uid="{4F06DA9F-8617-4E9A-881B-EBFA35F1094C}"/>
    <cellStyle name="40% - Accent4 3 5 8" xfId="13988" xr:uid="{F04C01C2-9FB9-4C4E-9A5B-2A5B22EAD451}"/>
    <cellStyle name="40% - Accent4 3 5 9" xfId="15878" xr:uid="{B237D227-5799-4CFE-A844-3619EB6E96A0}"/>
    <cellStyle name="40% - Accent4 3 6" xfId="1388" xr:uid="{C27142BA-F10D-4845-9CD0-4A139CD46D43}"/>
    <cellStyle name="40% - Accent4 3 6 10" xfId="18398" xr:uid="{C5CDDE33-7601-4AF9-A2E2-3C9FF64EC8E3}"/>
    <cellStyle name="40% - Accent4 3 6 11" xfId="20288" xr:uid="{9E8146F5-CB4C-48C1-9583-B1E6638E734C}"/>
    <cellStyle name="40% - Accent4 3 6 12" xfId="22178" xr:uid="{1C73A873-CC86-4BC3-951B-22BC06D84F7B}"/>
    <cellStyle name="40% - Accent4 3 6 13" xfId="24068" xr:uid="{4E8ABEAB-F30A-47F0-B2A4-083E3E66A5F2}"/>
    <cellStyle name="40% - Accent4 3 6 14" xfId="25958" xr:uid="{24808F28-58FF-45E5-9213-02009A4AD496}"/>
    <cellStyle name="40% - Accent4 3 6 15" xfId="27848" xr:uid="{7EC25AFD-A6A0-46A4-9999-7DED7BFB187E}"/>
    <cellStyle name="40% - Accent4 3 6 16" xfId="29738" xr:uid="{AA71BEF1-4D38-47F4-B0CA-C7D7DCDDFF19}"/>
    <cellStyle name="40% - Accent4 3 6 17" xfId="31628" xr:uid="{7F5A4C56-3617-49CC-9BD5-09CC1EBE1B0D}"/>
    <cellStyle name="40% - Accent4 3 6 18" xfId="33518" xr:uid="{2D03E499-FD10-4167-A10D-7C56A1C80F53}"/>
    <cellStyle name="40% - Accent4 3 6 19" xfId="35408" xr:uid="{DFE4CF2B-4D0B-43D8-82CF-7A1370926778}"/>
    <cellStyle name="40% - Accent4 3 6 2" xfId="3278" xr:uid="{310A0440-927F-41A5-91CA-C1CDCB528AD2}"/>
    <cellStyle name="40% - Accent4 3 6 20" xfId="37298" xr:uid="{E1D07FC8-48AA-4618-83D1-C176DD6A5417}"/>
    <cellStyle name="40% - Accent4 3 6 21" xfId="39188" xr:uid="{DACA2B21-6761-4A5C-AEF9-C5F3CF73B799}"/>
    <cellStyle name="40% - Accent4 3 6 22" xfId="41079" xr:uid="{EB26C535-7706-4B9D-B01C-714154727BC2}"/>
    <cellStyle name="40% - Accent4 3 6 3" xfId="5168" xr:uid="{4EF4654F-028D-4FC7-934D-C4B20EE9C1DC}"/>
    <cellStyle name="40% - Accent4 3 6 4" xfId="7058" xr:uid="{451E4EDA-7EF4-4006-88C8-83A4E513D8AD}"/>
    <cellStyle name="40% - Accent4 3 6 5" xfId="8948" xr:uid="{0108B000-DD30-4DBE-9DF8-262613C3E106}"/>
    <cellStyle name="40% - Accent4 3 6 6" xfId="10838" xr:uid="{BD895C2B-94E2-4CD3-9884-98E9EF9D6613}"/>
    <cellStyle name="40% - Accent4 3 6 7" xfId="12728" xr:uid="{D352CA18-6AFE-43AA-B5BA-79FF16B5175B}"/>
    <cellStyle name="40% - Accent4 3 6 8" xfId="14618" xr:uid="{861558A1-FFC7-41CA-9567-61F66C3E5804}"/>
    <cellStyle name="40% - Accent4 3 6 9" xfId="16508" xr:uid="{5D0E6BE3-80DF-4BD5-9F58-ACB0660C5852}"/>
    <cellStyle name="40% - Accent4 3 7" xfId="2018" xr:uid="{A4FB79BF-E1C8-4BC3-A394-68CFF849B6AD}"/>
    <cellStyle name="40% - Accent4 3 8" xfId="3908" xr:uid="{D8BE4AF1-85F1-435C-9DD6-16CA89E1B0CD}"/>
    <cellStyle name="40% - Accent4 3 9" xfId="5798" xr:uid="{CAF2757E-AC25-45B9-916E-B1C46C66E4DE}"/>
    <cellStyle name="40% - Accent4 4" xfId="191" xr:uid="{FE98FE38-7276-4684-AF5E-1D613748EDE5}"/>
    <cellStyle name="40% - Accent4 4 10" xfId="9641" xr:uid="{10D7E354-FA0C-43B8-A3B9-D20EA8C90410}"/>
    <cellStyle name="40% - Accent4 4 11" xfId="11531" xr:uid="{DE09B243-BCAE-4A3F-8539-61995781EA0A}"/>
    <cellStyle name="40% - Accent4 4 12" xfId="13421" xr:uid="{56504F8D-E0BA-4BF3-A45A-B33B15B25284}"/>
    <cellStyle name="40% - Accent4 4 13" xfId="15311" xr:uid="{C32F7CEE-D8B2-4696-8E0C-6E2708B0FE30}"/>
    <cellStyle name="40% - Accent4 4 14" xfId="17201" xr:uid="{7F2380F5-55F1-444B-ACE5-02DFDB4C82B6}"/>
    <cellStyle name="40% - Accent4 4 15" xfId="19091" xr:uid="{DDF61A12-FE01-4D0B-9F39-94F527694E3A}"/>
    <cellStyle name="40% - Accent4 4 16" xfId="20981" xr:uid="{72A0CC81-C13E-49D1-9AD3-B57F4332420B}"/>
    <cellStyle name="40% - Accent4 4 17" xfId="22871" xr:uid="{72EF9EBF-E947-46BD-9CF7-A38A40320526}"/>
    <cellStyle name="40% - Accent4 4 18" xfId="24761" xr:uid="{78BFE8CA-C622-4950-BE4E-313E409421B7}"/>
    <cellStyle name="40% - Accent4 4 19" xfId="26651" xr:uid="{01077069-C37C-4754-8BBF-8546395371EC}"/>
    <cellStyle name="40% - Accent4 4 2" xfId="401" xr:uid="{5669073F-84E6-444C-931E-6C597359DAE7}"/>
    <cellStyle name="40% - Accent4 4 2 10" xfId="13631" xr:uid="{DB38F628-AB4A-4865-9F3A-03CBDF7C61A3}"/>
    <cellStyle name="40% - Accent4 4 2 11" xfId="15521" xr:uid="{9630A50A-A5EE-4FC0-8AF2-BAA028A181E3}"/>
    <cellStyle name="40% - Accent4 4 2 12" xfId="17411" xr:uid="{E6B1F0F3-F48C-4C91-9E95-94BC4919F1E8}"/>
    <cellStyle name="40% - Accent4 4 2 13" xfId="19301" xr:uid="{785CD2F8-FA87-41E6-87CB-9112A2F5D960}"/>
    <cellStyle name="40% - Accent4 4 2 14" xfId="21191" xr:uid="{F6213CF3-AE02-4234-97B1-07329A3EFFBB}"/>
    <cellStyle name="40% - Accent4 4 2 15" xfId="23081" xr:uid="{44FE0F51-F749-4391-B534-6E40A9DBAF64}"/>
    <cellStyle name="40% - Accent4 4 2 16" xfId="24971" xr:uid="{C214F67F-D3FA-47EE-B871-D51263F06030}"/>
    <cellStyle name="40% - Accent4 4 2 17" xfId="26861" xr:uid="{DB1037DD-3BCC-4C01-87C4-78F2CF0CCC59}"/>
    <cellStyle name="40% - Accent4 4 2 18" xfId="28751" xr:uid="{0F209152-CC38-45EB-875F-2A32F16F9DD9}"/>
    <cellStyle name="40% - Accent4 4 2 19" xfId="30641" xr:uid="{09B3CC10-1B0A-4F69-929C-592C80C2DC80}"/>
    <cellStyle name="40% - Accent4 4 2 2" xfId="1031" xr:uid="{E0732FC6-6D1A-4C32-BEE4-0CC6B17AA7A0}"/>
    <cellStyle name="40% - Accent4 4 2 2 10" xfId="18041" xr:uid="{16E19A23-68AC-4822-ACEF-A8177F347746}"/>
    <cellStyle name="40% - Accent4 4 2 2 11" xfId="19931" xr:uid="{494724D0-266C-48E9-904C-E29FA4B4604D}"/>
    <cellStyle name="40% - Accent4 4 2 2 12" xfId="21821" xr:uid="{2079AAD4-5B2A-431C-A508-71B456CB1E6C}"/>
    <cellStyle name="40% - Accent4 4 2 2 13" xfId="23711" xr:uid="{EEBC27C8-E098-43F9-B29E-2C7FDA9A3E5E}"/>
    <cellStyle name="40% - Accent4 4 2 2 14" xfId="25601" xr:uid="{05C6F446-B9CF-47D4-9953-D9D68653B646}"/>
    <cellStyle name="40% - Accent4 4 2 2 15" xfId="27491" xr:uid="{0999938B-1CEA-42D0-BB3B-B2B439D9B790}"/>
    <cellStyle name="40% - Accent4 4 2 2 16" xfId="29381" xr:uid="{0306E538-4184-47BA-807E-204D05BF5960}"/>
    <cellStyle name="40% - Accent4 4 2 2 17" xfId="31271" xr:uid="{05F4AFB9-3DE2-4EB6-B43C-95C9105ACBEC}"/>
    <cellStyle name="40% - Accent4 4 2 2 18" xfId="33161" xr:uid="{BF845EE3-BFD7-4A81-BDD7-D3EB93A42AD7}"/>
    <cellStyle name="40% - Accent4 4 2 2 19" xfId="35051" xr:uid="{A22DCED9-1EEA-4656-B107-CB10893B64C2}"/>
    <cellStyle name="40% - Accent4 4 2 2 2" xfId="2921" xr:uid="{F3EDB4AE-5905-4433-992A-FF9B5B00A933}"/>
    <cellStyle name="40% - Accent4 4 2 2 20" xfId="36941" xr:uid="{300C348F-1CEC-409B-9D64-3BF65B1D42CB}"/>
    <cellStyle name="40% - Accent4 4 2 2 21" xfId="38831" xr:uid="{E8042643-9235-470B-8579-5F74804CAB7A}"/>
    <cellStyle name="40% - Accent4 4 2 2 22" xfId="40722" xr:uid="{17FEE6BA-74E0-4361-91EF-7D6A02A72D21}"/>
    <cellStyle name="40% - Accent4 4 2 2 3" xfId="4811" xr:uid="{13FC0935-360F-42D8-BED7-BAB0DDB6354B}"/>
    <cellStyle name="40% - Accent4 4 2 2 4" xfId="6701" xr:uid="{95DC48F3-DBD7-433C-879E-57A17A284BE2}"/>
    <cellStyle name="40% - Accent4 4 2 2 5" xfId="8591" xr:uid="{DF336E9A-77F6-46FE-B80F-817B0EF9D194}"/>
    <cellStyle name="40% - Accent4 4 2 2 6" xfId="10481" xr:uid="{5A7F93DD-416A-45D6-B6F8-64B23FE55F97}"/>
    <cellStyle name="40% - Accent4 4 2 2 7" xfId="12371" xr:uid="{890D8D91-DF60-491D-ABD5-21C9DBEED75E}"/>
    <cellStyle name="40% - Accent4 4 2 2 8" xfId="14261" xr:uid="{BB991F3A-FCB3-44C9-AB06-39712A677505}"/>
    <cellStyle name="40% - Accent4 4 2 2 9" xfId="16151" xr:uid="{C366A44D-C8AE-4663-9C53-14176CF8BB9B}"/>
    <cellStyle name="40% - Accent4 4 2 20" xfId="32531" xr:uid="{AE62EAF4-7380-4478-B37F-4FAAD2E6147A}"/>
    <cellStyle name="40% - Accent4 4 2 21" xfId="34421" xr:uid="{3A738616-0CD2-4C75-A1FB-9509BBD22A44}"/>
    <cellStyle name="40% - Accent4 4 2 22" xfId="36311" xr:uid="{FD327FD5-37F3-464F-987C-4E60B6EB88BF}"/>
    <cellStyle name="40% - Accent4 4 2 23" xfId="38201" xr:uid="{279DD025-AE69-4B06-8CF8-072B0F65B45E}"/>
    <cellStyle name="40% - Accent4 4 2 24" xfId="40092" xr:uid="{123569B6-DCE9-4AC3-AE44-9C9F2879FE6C}"/>
    <cellStyle name="40% - Accent4 4 2 3" xfId="1661" xr:uid="{B76B703A-8821-46C1-B1EA-5F8CE6567EA9}"/>
    <cellStyle name="40% - Accent4 4 2 3 10" xfId="18671" xr:uid="{A9340604-84AD-4F20-9399-E09DF1120BEC}"/>
    <cellStyle name="40% - Accent4 4 2 3 11" xfId="20561" xr:uid="{396E2BBE-6969-4025-97BB-771D3F5B0D68}"/>
    <cellStyle name="40% - Accent4 4 2 3 12" xfId="22451" xr:uid="{534E281D-E4E4-44A2-A6AC-50813AE63DA0}"/>
    <cellStyle name="40% - Accent4 4 2 3 13" xfId="24341" xr:uid="{04CF68F0-0E6B-4EDE-B40C-1FA3BBD99BE0}"/>
    <cellStyle name="40% - Accent4 4 2 3 14" xfId="26231" xr:uid="{5834861A-F579-406F-8EEE-201B8EC7B9D2}"/>
    <cellStyle name="40% - Accent4 4 2 3 15" xfId="28121" xr:uid="{B5EB627D-4469-4717-BAFE-B192DD8DBB2A}"/>
    <cellStyle name="40% - Accent4 4 2 3 16" xfId="30011" xr:uid="{EFF6ECE5-9F5A-420C-A914-829121F962FF}"/>
    <cellStyle name="40% - Accent4 4 2 3 17" xfId="31901" xr:uid="{9B7EB92A-BE3E-49CF-B6CA-8CD184BB58FB}"/>
    <cellStyle name="40% - Accent4 4 2 3 18" xfId="33791" xr:uid="{AC3C5314-8900-4D7B-BDAF-E957C158D834}"/>
    <cellStyle name="40% - Accent4 4 2 3 19" xfId="35681" xr:uid="{8EB03A34-70B4-425E-8088-427D471F96B4}"/>
    <cellStyle name="40% - Accent4 4 2 3 2" xfId="3551" xr:uid="{1816DCF8-CA9A-4B29-B114-C209B762D276}"/>
    <cellStyle name="40% - Accent4 4 2 3 20" xfId="37571" xr:uid="{CB2EC131-BBE4-4865-A237-4C64834F497E}"/>
    <cellStyle name="40% - Accent4 4 2 3 21" xfId="39461" xr:uid="{656833B3-A8F2-4653-A8E6-9A9443ACF9BA}"/>
    <cellStyle name="40% - Accent4 4 2 3 22" xfId="41352" xr:uid="{EAE56FAB-8DF8-4D5B-ADBB-092E50AEFE1D}"/>
    <cellStyle name="40% - Accent4 4 2 3 3" xfId="5441" xr:uid="{55636E26-A4C7-4E99-BF67-688A2288CF65}"/>
    <cellStyle name="40% - Accent4 4 2 3 4" xfId="7331" xr:uid="{709DCE86-9FD0-4C49-9534-52B5B5082330}"/>
    <cellStyle name="40% - Accent4 4 2 3 5" xfId="9221" xr:uid="{4E529F9D-B812-435D-B1CE-1596642335EC}"/>
    <cellStyle name="40% - Accent4 4 2 3 6" xfId="11111" xr:uid="{47FF1DE2-AF91-4DAC-8A13-65F653A7F0D3}"/>
    <cellStyle name="40% - Accent4 4 2 3 7" xfId="13001" xr:uid="{333C72C4-2C17-4F4C-9395-2173227C603E}"/>
    <cellStyle name="40% - Accent4 4 2 3 8" xfId="14891" xr:uid="{0F63C11E-FDDC-4638-895A-E088F17C8385}"/>
    <cellStyle name="40% - Accent4 4 2 3 9" xfId="16781" xr:uid="{05642664-77A6-4EA2-8D4C-8029B89F1D1E}"/>
    <cellStyle name="40% - Accent4 4 2 4" xfId="2291" xr:uid="{FB5D89C0-6E7D-479A-9E22-1499A10748E0}"/>
    <cellStyle name="40% - Accent4 4 2 5" xfId="4181" xr:uid="{EDC3434E-6C0B-4BD7-B8F2-A5B8F5CD35D7}"/>
    <cellStyle name="40% - Accent4 4 2 6" xfId="6071" xr:uid="{F024B30C-2B8C-41AA-9567-E79CAC998683}"/>
    <cellStyle name="40% - Accent4 4 2 7" xfId="7961" xr:uid="{02054A40-728E-4B97-BE81-D826513FAB74}"/>
    <cellStyle name="40% - Accent4 4 2 8" xfId="9851" xr:uid="{486D3EBE-DE05-46EA-A7CB-E54C307B5A69}"/>
    <cellStyle name="40% - Accent4 4 2 9" xfId="11741" xr:uid="{2A9A89CB-647D-4DF1-B27C-0178D10185B5}"/>
    <cellStyle name="40% - Accent4 4 20" xfId="28541" xr:uid="{50643253-9BA5-4D03-A0CB-688C6C61C205}"/>
    <cellStyle name="40% - Accent4 4 21" xfId="30431" xr:uid="{E3FD8EF2-2BF9-42C5-A730-72E144D1CE1F}"/>
    <cellStyle name="40% - Accent4 4 22" xfId="32321" xr:uid="{E63B8CAD-CE28-4E05-ADC2-8DB0E8243858}"/>
    <cellStyle name="40% - Accent4 4 23" xfId="34211" xr:uid="{253C8736-68FD-4477-9789-EF0E20F5F803}"/>
    <cellStyle name="40% - Accent4 4 24" xfId="36101" xr:uid="{DBA1D83D-1E0D-40EF-B7E7-43A13B622DF5}"/>
    <cellStyle name="40% - Accent4 4 25" xfId="37991" xr:uid="{8C3951D5-7130-4A99-B9F8-E12CCF0A49C1}"/>
    <cellStyle name="40% - Accent4 4 26" xfId="39882" xr:uid="{171E9A7C-A6E5-42AA-B9F2-4F312C22A26E}"/>
    <cellStyle name="40% - Accent4 4 3" xfId="611" xr:uid="{8B6EEF42-9768-4275-8F86-45EC16D9E56E}"/>
    <cellStyle name="40% - Accent4 4 3 10" xfId="13841" xr:uid="{B02DD8B0-4EAF-4BF9-9236-747A1CB79C76}"/>
    <cellStyle name="40% - Accent4 4 3 11" xfId="15731" xr:uid="{5CD468E3-BC99-4196-98CF-9D34FA3B21C4}"/>
    <cellStyle name="40% - Accent4 4 3 12" xfId="17621" xr:uid="{276B7B1D-C07C-4623-913E-35E7C270B146}"/>
    <cellStyle name="40% - Accent4 4 3 13" xfId="19511" xr:uid="{CA119DBF-FB17-4955-9ED7-4A7C35718E06}"/>
    <cellStyle name="40% - Accent4 4 3 14" xfId="21401" xr:uid="{7643AAAE-EEB5-4D0A-947E-295302B16071}"/>
    <cellStyle name="40% - Accent4 4 3 15" xfId="23291" xr:uid="{F2F8DA12-D8BD-4F93-8C3D-BED3EA260822}"/>
    <cellStyle name="40% - Accent4 4 3 16" xfId="25181" xr:uid="{5C93E47C-6536-4FEF-A6DE-BC801AF1A5E9}"/>
    <cellStyle name="40% - Accent4 4 3 17" xfId="27071" xr:uid="{758F6874-1803-4531-8FFA-1E0F168CD1DF}"/>
    <cellStyle name="40% - Accent4 4 3 18" xfId="28961" xr:uid="{EA1782F5-1D0B-480B-BB00-1818F96BBA88}"/>
    <cellStyle name="40% - Accent4 4 3 19" xfId="30851" xr:uid="{031CEFE7-6D13-46E1-8B44-47258AC5E212}"/>
    <cellStyle name="40% - Accent4 4 3 2" xfId="1241" xr:uid="{0EB857EF-5A6A-4961-BE2C-1F9B4B14059A}"/>
    <cellStyle name="40% - Accent4 4 3 2 10" xfId="18251" xr:uid="{42B4AF49-F634-4F93-AC9E-8D15437605EA}"/>
    <cellStyle name="40% - Accent4 4 3 2 11" xfId="20141" xr:uid="{DB406DC1-D486-4FC0-91CD-052A9D15993A}"/>
    <cellStyle name="40% - Accent4 4 3 2 12" xfId="22031" xr:uid="{4B55BACA-889E-4458-B3ED-97E6EF338845}"/>
    <cellStyle name="40% - Accent4 4 3 2 13" xfId="23921" xr:uid="{7741C7F9-0B71-4A6A-946E-6D225A91F372}"/>
    <cellStyle name="40% - Accent4 4 3 2 14" xfId="25811" xr:uid="{243E6345-8D50-4831-8190-8C36306127BB}"/>
    <cellStyle name="40% - Accent4 4 3 2 15" xfId="27701" xr:uid="{0D99045A-7EE4-4DAF-AF8C-09E8ED4063D3}"/>
    <cellStyle name="40% - Accent4 4 3 2 16" xfId="29591" xr:uid="{882CDCF9-11BF-460B-B3C6-5AB5695FBDD9}"/>
    <cellStyle name="40% - Accent4 4 3 2 17" xfId="31481" xr:uid="{6B75CF0A-AB53-4C10-BF10-70FE9A354499}"/>
    <cellStyle name="40% - Accent4 4 3 2 18" xfId="33371" xr:uid="{C359A4AE-7D54-4EE6-B9FC-8AFB410AE92A}"/>
    <cellStyle name="40% - Accent4 4 3 2 19" xfId="35261" xr:uid="{78528E7B-4585-4082-82BB-266FAEEF1E4C}"/>
    <cellStyle name="40% - Accent4 4 3 2 2" xfId="3131" xr:uid="{F51FA64D-E97D-404D-8CAF-BBFFB52B72B9}"/>
    <cellStyle name="40% - Accent4 4 3 2 20" xfId="37151" xr:uid="{B11740D5-A01F-406B-A654-B7F98F5EF6E9}"/>
    <cellStyle name="40% - Accent4 4 3 2 21" xfId="39041" xr:uid="{6070EB7E-4EEB-4BFA-8DF1-006270321800}"/>
    <cellStyle name="40% - Accent4 4 3 2 22" xfId="40932" xr:uid="{D96C58B3-C404-46A1-AC71-9973E108D063}"/>
    <cellStyle name="40% - Accent4 4 3 2 3" xfId="5021" xr:uid="{99D9FEAD-1C25-4199-B0D6-45E5242B0A3E}"/>
    <cellStyle name="40% - Accent4 4 3 2 4" xfId="6911" xr:uid="{61A04CBE-5F61-4E18-8D6B-2B4751453E93}"/>
    <cellStyle name="40% - Accent4 4 3 2 5" xfId="8801" xr:uid="{AFE3EB94-0AEF-49DC-9A6D-A232548AA564}"/>
    <cellStyle name="40% - Accent4 4 3 2 6" xfId="10691" xr:uid="{9327F50A-2231-4970-AC5E-1C6C74E41BC7}"/>
    <cellStyle name="40% - Accent4 4 3 2 7" xfId="12581" xr:uid="{41F85351-2109-4797-A160-5117A656EB1B}"/>
    <cellStyle name="40% - Accent4 4 3 2 8" xfId="14471" xr:uid="{8685182D-AD9F-41D0-B76F-46659F4FBC42}"/>
    <cellStyle name="40% - Accent4 4 3 2 9" xfId="16361" xr:uid="{726C0CA9-5B66-4872-9EE5-1D5E08235328}"/>
    <cellStyle name="40% - Accent4 4 3 20" xfId="32741" xr:uid="{51EA8B96-7E6F-483F-9712-F7B893A4EBEA}"/>
    <cellStyle name="40% - Accent4 4 3 21" xfId="34631" xr:uid="{C6C1D2B0-4FC8-414C-AE7D-9E33C4D631DB}"/>
    <cellStyle name="40% - Accent4 4 3 22" xfId="36521" xr:uid="{AE44207F-BC4E-41FD-92BD-AC398F5CFD33}"/>
    <cellStyle name="40% - Accent4 4 3 23" xfId="38411" xr:uid="{B967EB49-B029-4DD4-A6B3-56AE13E76DB4}"/>
    <cellStyle name="40% - Accent4 4 3 24" xfId="40302" xr:uid="{AA18E98E-F805-4026-9D2F-4ED942CA88BE}"/>
    <cellStyle name="40% - Accent4 4 3 3" xfId="1871" xr:uid="{94236F7F-424F-474C-B868-D70A57ED9738}"/>
    <cellStyle name="40% - Accent4 4 3 3 10" xfId="18881" xr:uid="{A2935C63-DF9C-402E-8867-E8023987F266}"/>
    <cellStyle name="40% - Accent4 4 3 3 11" xfId="20771" xr:uid="{18F33DD5-9B69-4899-8E63-340731BD1162}"/>
    <cellStyle name="40% - Accent4 4 3 3 12" xfId="22661" xr:uid="{11959010-1B4F-441D-8742-5AC023CA660B}"/>
    <cellStyle name="40% - Accent4 4 3 3 13" xfId="24551" xr:uid="{F4E818E1-2A57-4A90-BB53-2F336648E58C}"/>
    <cellStyle name="40% - Accent4 4 3 3 14" xfId="26441" xr:uid="{294DE1D9-B55C-4C9D-861D-551577238F42}"/>
    <cellStyle name="40% - Accent4 4 3 3 15" xfId="28331" xr:uid="{097E06F5-FD06-4F91-9DDB-C817FCE91A5D}"/>
    <cellStyle name="40% - Accent4 4 3 3 16" xfId="30221" xr:uid="{BB353240-CDD3-4CD5-B1E6-DB0525919069}"/>
    <cellStyle name="40% - Accent4 4 3 3 17" xfId="32111" xr:uid="{F0AD6108-B1B6-4468-A8F8-7175F3CE7C32}"/>
    <cellStyle name="40% - Accent4 4 3 3 18" xfId="34001" xr:uid="{72AA571B-AA8D-43C5-A36C-3B94253FB4FC}"/>
    <cellStyle name="40% - Accent4 4 3 3 19" xfId="35891" xr:uid="{1152E576-7D7F-4EED-AD9E-44DEC9040579}"/>
    <cellStyle name="40% - Accent4 4 3 3 2" xfId="3761" xr:uid="{32D97E85-EFAC-426E-86CA-877177176856}"/>
    <cellStyle name="40% - Accent4 4 3 3 20" xfId="37781" xr:uid="{E03063B8-4182-4FE7-AA33-8879935A7018}"/>
    <cellStyle name="40% - Accent4 4 3 3 21" xfId="39671" xr:uid="{47B8ED75-E74B-4581-B60F-8113CA4CB58A}"/>
    <cellStyle name="40% - Accent4 4 3 3 22" xfId="41562" xr:uid="{AA0D113D-62E3-4C16-9AC8-704693B5A02B}"/>
    <cellStyle name="40% - Accent4 4 3 3 3" xfId="5651" xr:uid="{8EB4CC67-5ABB-4908-BBB6-EB31B21C688B}"/>
    <cellStyle name="40% - Accent4 4 3 3 4" xfId="7541" xr:uid="{2B008822-A731-4203-B4F6-8F7B01B9DDB2}"/>
    <cellStyle name="40% - Accent4 4 3 3 5" xfId="9431" xr:uid="{CB398E14-37A5-4896-ACB5-C9B935729673}"/>
    <cellStyle name="40% - Accent4 4 3 3 6" xfId="11321" xr:uid="{EE0A1199-DCAE-481F-900C-A2C36E08DF82}"/>
    <cellStyle name="40% - Accent4 4 3 3 7" xfId="13211" xr:uid="{D61F8565-0B48-47AC-B932-940FE3775CCC}"/>
    <cellStyle name="40% - Accent4 4 3 3 8" xfId="15101" xr:uid="{706539F7-EB3D-4479-9A28-79B9C8174B9B}"/>
    <cellStyle name="40% - Accent4 4 3 3 9" xfId="16991" xr:uid="{98E61410-DF2B-4579-9839-C4197490C73E}"/>
    <cellStyle name="40% - Accent4 4 3 4" xfId="2501" xr:uid="{EBF860A7-BE2D-44C0-BAB7-1098DA63E7E2}"/>
    <cellStyle name="40% - Accent4 4 3 5" xfId="4391" xr:uid="{666ED860-69F9-4D38-9977-8B7398BC34D6}"/>
    <cellStyle name="40% - Accent4 4 3 6" xfId="6281" xr:uid="{D00AB170-16B6-4B4A-BF3C-ADBF5D3F0CCC}"/>
    <cellStyle name="40% - Accent4 4 3 7" xfId="8171" xr:uid="{2A57CFEB-FA67-47D2-8704-7A09696F5FCB}"/>
    <cellStyle name="40% - Accent4 4 3 8" xfId="10061" xr:uid="{4A7FCA8D-7D4A-4F51-9645-5BD06AD7686E}"/>
    <cellStyle name="40% - Accent4 4 3 9" xfId="11951" xr:uid="{0261579D-6D9C-4295-B5FC-265C32AEDB74}"/>
    <cellStyle name="40% - Accent4 4 4" xfId="821" xr:uid="{5BAD5A51-086A-4568-A8A5-F4726AFA1FEC}"/>
    <cellStyle name="40% - Accent4 4 4 10" xfId="17831" xr:uid="{085825F7-4CC9-487B-9BC2-C03BCE821972}"/>
    <cellStyle name="40% - Accent4 4 4 11" xfId="19721" xr:uid="{4DEDA7DA-BD51-48AB-884C-E58738785965}"/>
    <cellStyle name="40% - Accent4 4 4 12" xfId="21611" xr:uid="{F9C38FF1-A7BA-4510-BB7A-0E80096277EE}"/>
    <cellStyle name="40% - Accent4 4 4 13" xfId="23501" xr:uid="{206818E9-46A3-49FD-AC14-2019E9B740AB}"/>
    <cellStyle name="40% - Accent4 4 4 14" xfId="25391" xr:uid="{F6A9E741-8FBE-494B-946E-28A35184B38F}"/>
    <cellStyle name="40% - Accent4 4 4 15" xfId="27281" xr:uid="{4ECC0E97-74C9-4778-88A5-F5857A5184F8}"/>
    <cellStyle name="40% - Accent4 4 4 16" xfId="29171" xr:uid="{6E6E0662-5258-43E0-9112-0FA40517ACFD}"/>
    <cellStyle name="40% - Accent4 4 4 17" xfId="31061" xr:uid="{BE8A9E2B-B364-435C-B581-E216E9D2FE4C}"/>
    <cellStyle name="40% - Accent4 4 4 18" xfId="32951" xr:uid="{1BE3A7AD-D8CF-41A2-9780-0E6035472596}"/>
    <cellStyle name="40% - Accent4 4 4 19" xfId="34841" xr:uid="{207217DA-BD49-40ED-BA21-203AEFA3FA3D}"/>
    <cellStyle name="40% - Accent4 4 4 2" xfId="2711" xr:uid="{EB38AF22-D58D-4779-885F-F77E7133E715}"/>
    <cellStyle name="40% - Accent4 4 4 20" xfId="36731" xr:uid="{6679F210-4049-496D-B4F0-8990A6A4F16F}"/>
    <cellStyle name="40% - Accent4 4 4 21" xfId="38621" xr:uid="{C17575AD-3C17-4A54-9F6E-CC31F51DE6BC}"/>
    <cellStyle name="40% - Accent4 4 4 22" xfId="40512" xr:uid="{7061C681-1BF0-4649-BAD5-831BE8E65331}"/>
    <cellStyle name="40% - Accent4 4 4 3" xfId="4601" xr:uid="{8ABA1036-EBB6-40A3-A99A-0E560B505B26}"/>
    <cellStyle name="40% - Accent4 4 4 4" xfId="6491" xr:uid="{1C3D6BED-01AF-4590-AB82-F0B6A6BEA11C}"/>
    <cellStyle name="40% - Accent4 4 4 5" xfId="8381" xr:uid="{889511E3-6D11-4562-A75F-FA4EB6385C92}"/>
    <cellStyle name="40% - Accent4 4 4 6" xfId="10271" xr:uid="{397A6206-0DFA-413B-BA84-7E7DEDF97DE3}"/>
    <cellStyle name="40% - Accent4 4 4 7" xfId="12161" xr:uid="{FF3A393E-3196-48B3-BA15-2085B364758C}"/>
    <cellStyle name="40% - Accent4 4 4 8" xfId="14051" xr:uid="{B7057678-1EBF-41ED-8606-5F5A6C020437}"/>
    <cellStyle name="40% - Accent4 4 4 9" xfId="15941" xr:uid="{EE1973E4-83AD-4A24-B133-63E2B60DDF82}"/>
    <cellStyle name="40% - Accent4 4 5" xfId="1451" xr:uid="{A97D0ADD-5D76-4C76-97AF-5D6FF87314D6}"/>
    <cellStyle name="40% - Accent4 4 5 10" xfId="18461" xr:uid="{2022722E-54F1-45ED-9F2E-8081C9B1524F}"/>
    <cellStyle name="40% - Accent4 4 5 11" xfId="20351" xr:uid="{8067D92C-E5ED-4CBA-9468-B6A599D10051}"/>
    <cellStyle name="40% - Accent4 4 5 12" xfId="22241" xr:uid="{0FD651B7-4B36-4BE3-8A46-89C915A0FD8C}"/>
    <cellStyle name="40% - Accent4 4 5 13" xfId="24131" xr:uid="{54660811-AE2C-4511-A24F-E79DBA93C711}"/>
    <cellStyle name="40% - Accent4 4 5 14" xfId="26021" xr:uid="{21720BD4-4447-4DDE-B76A-164187047DDD}"/>
    <cellStyle name="40% - Accent4 4 5 15" xfId="27911" xr:uid="{612875C4-621F-4F7C-A4D6-E4E677F658D2}"/>
    <cellStyle name="40% - Accent4 4 5 16" xfId="29801" xr:uid="{187BF5CE-21DB-496C-A582-A3A34D8218B4}"/>
    <cellStyle name="40% - Accent4 4 5 17" xfId="31691" xr:uid="{AC5A849A-0C0F-48B3-84A1-3DD4760CE943}"/>
    <cellStyle name="40% - Accent4 4 5 18" xfId="33581" xr:uid="{6E480E6D-741C-498E-8F76-3FB68732D8DD}"/>
    <cellStyle name="40% - Accent4 4 5 19" xfId="35471" xr:uid="{F88827CE-EA97-4E75-826B-3F3FE7057A71}"/>
    <cellStyle name="40% - Accent4 4 5 2" xfId="3341" xr:uid="{CD033083-CB23-4277-8905-8C1279A27ED5}"/>
    <cellStyle name="40% - Accent4 4 5 20" xfId="37361" xr:uid="{0030BC8C-CCFA-4F5C-8C3E-6948FFC785F6}"/>
    <cellStyle name="40% - Accent4 4 5 21" xfId="39251" xr:uid="{08A1DF7D-2271-42E1-B738-C89EFB858161}"/>
    <cellStyle name="40% - Accent4 4 5 22" xfId="41142" xr:uid="{6960985C-8F4C-459E-911F-40B61A1DED67}"/>
    <cellStyle name="40% - Accent4 4 5 3" xfId="5231" xr:uid="{5E80DFE3-3264-48FE-A964-82FD93FF292B}"/>
    <cellStyle name="40% - Accent4 4 5 4" xfId="7121" xr:uid="{FA78BD51-619E-4240-9D11-2A11176F73E5}"/>
    <cellStyle name="40% - Accent4 4 5 5" xfId="9011" xr:uid="{8D162A80-248A-4877-8E16-16D76A2B28DA}"/>
    <cellStyle name="40% - Accent4 4 5 6" xfId="10901" xr:uid="{670EB15C-24E4-4A22-AC8D-4B09214800D6}"/>
    <cellStyle name="40% - Accent4 4 5 7" xfId="12791" xr:uid="{06FD26DB-7EB6-47E8-8F7F-DD212536EFA3}"/>
    <cellStyle name="40% - Accent4 4 5 8" xfId="14681" xr:uid="{E5DF7ED1-D7C3-43C4-AB72-1E9037E08235}"/>
    <cellStyle name="40% - Accent4 4 5 9" xfId="16571" xr:uid="{3BA8C388-F2BD-4072-9142-56EA0771E4C5}"/>
    <cellStyle name="40% - Accent4 4 6" xfId="2081" xr:uid="{D9C5601A-A9B0-48B8-8231-85A942B2F665}"/>
    <cellStyle name="40% - Accent4 4 7" xfId="3971" xr:uid="{C95F82B3-A873-42F4-B37C-9C5AC9131E79}"/>
    <cellStyle name="40% - Accent4 4 8" xfId="5861" xr:uid="{365CD6C9-BE82-4663-A326-477331BBA0BD}"/>
    <cellStyle name="40% - Accent4 4 9" xfId="7751" xr:uid="{BD97EB9F-681E-4F75-BE9A-1E9B1825A6AA}"/>
    <cellStyle name="40% - Accent4 5" xfId="296" xr:uid="{C2390528-8C15-4D92-A706-FDD5183322E7}"/>
    <cellStyle name="40% - Accent4 5 10" xfId="13526" xr:uid="{C8A5157C-72AB-407E-933B-BD5B37854F4C}"/>
    <cellStyle name="40% - Accent4 5 11" xfId="15416" xr:uid="{A4F43A91-2AB9-4F3E-9684-3C5EF6FA44BF}"/>
    <cellStyle name="40% - Accent4 5 12" xfId="17306" xr:uid="{A521E14B-580A-406E-AB63-30EA9F026E51}"/>
    <cellStyle name="40% - Accent4 5 13" xfId="19196" xr:uid="{DFE01B26-7932-4B26-A883-6795C4BB5058}"/>
    <cellStyle name="40% - Accent4 5 14" xfId="21086" xr:uid="{DBC6C28E-F94E-40AD-B560-607D3797E6BA}"/>
    <cellStyle name="40% - Accent4 5 15" xfId="22976" xr:uid="{D26A1689-C014-4C1A-8561-3A3585D204CB}"/>
    <cellStyle name="40% - Accent4 5 16" xfId="24866" xr:uid="{21FF263A-DA6A-4FD6-B85A-FE89D4E608C6}"/>
    <cellStyle name="40% - Accent4 5 17" xfId="26756" xr:uid="{03A5961B-2615-4099-B332-E000C088CBC3}"/>
    <cellStyle name="40% - Accent4 5 18" xfId="28646" xr:uid="{B9E3A64C-CBB6-4E53-B375-4E9284CAE544}"/>
    <cellStyle name="40% - Accent4 5 19" xfId="30536" xr:uid="{98821448-F9C9-49ED-8827-4426D5E5C0B3}"/>
    <cellStyle name="40% - Accent4 5 2" xfId="926" xr:uid="{38E3C99A-737E-48CB-B76A-2099133CB6D5}"/>
    <cellStyle name="40% - Accent4 5 2 10" xfId="17936" xr:uid="{945D154E-AFD7-4F8F-A115-C9730583FB2B}"/>
    <cellStyle name="40% - Accent4 5 2 11" xfId="19826" xr:uid="{7AAC6FF7-41D1-430A-9889-DAF8B447A924}"/>
    <cellStyle name="40% - Accent4 5 2 12" xfId="21716" xr:uid="{4C6273FA-60A4-43B6-A10B-4873739AFFE3}"/>
    <cellStyle name="40% - Accent4 5 2 13" xfId="23606" xr:uid="{6AA74D5C-A711-4CAD-AD3F-1EA76EF0FED6}"/>
    <cellStyle name="40% - Accent4 5 2 14" xfId="25496" xr:uid="{92CF173D-78DA-42C4-811B-8DD5E11BE172}"/>
    <cellStyle name="40% - Accent4 5 2 15" xfId="27386" xr:uid="{5FD80676-976B-45D5-9145-8EAC29D3399D}"/>
    <cellStyle name="40% - Accent4 5 2 16" xfId="29276" xr:uid="{ADD6D15B-E455-4196-B6CC-1F3194425AA8}"/>
    <cellStyle name="40% - Accent4 5 2 17" xfId="31166" xr:uid="{9E99B82D-501C-401E-AA13-3E0CD555CF14}"/>
    <cellStyle name="40% - Accent4 5 2 18" xfId="33056" xr:uid="{3020ED94-500C-4676-8AB2-A043C6986241}"/>
    <cellStyle name="40% - Accent4 5 2 19" xfId="34946" xr:uid="{CED4CAE9-80EB-4B5E-A914-6700C5081AF7}"/>
    <cellStyle name="40% - Accent4 5 2 2" xfId="2816" xr:uid="{6F6CD894-435E-4D51-AF74-7B113F73282F}"/>
    <cellStyle name="40% - Accent4 5 2 20" xfId="36836" xr:uid="{EC02D5C8-AF42-42A7-901B-C78888F5F3AB}"/>
    <cellStyle name="40% - Accent4 5 2 21" xfId="38726" xr:uid="{75FA0337-3ABE-49DC-B2CA-80B5522BBFA3}"/>
    <cellStyle name="40% - Accent4 5 2 22" xfId="40617" xr:uid="{B6477143-BBDF-4156-AEE7-EDB5C46B8406}"/>
    <cellStyle name="40% - Accent4 5 2 3" xfId="4706" xr:uid="{5737B71C-B225-4014-868F-A896FB060D0F}"/>
    <cellStyle name="40% - Accent4 5 2 4" xfId="6596" xr:uid="{A1FE286D-B5B3-4186-AFDC-82ED14D393E1}"/>
    <cellStyle name="40% - Accent4 5 2 5" xfId="8486" xr:uid="{37F5C7EF-9E42-4C7E-8DFD-ADBC6387295A}"/>
    <cellStyle name="40% - Accent4 5 2 6" xfId="10376" xr:uid="{EB5B505E-80A4-46E6-9BA5-34C583C92A1A}"/>
    <cellStyle name="40% - Accent4 5 2 7" xfId="12266" xr:uid="{2D682B00-88A7-4334-9926-B6E4BC61E70E}"/>
    <cellStyle name="40% - Accent4 5 2 8" xfId="14156" xr:uid="{BF39206E-63C8-4512-A19D-6DFC4C040F65}"/>
    <cellStyle name="40% - Accent4 5 2 9" xfId="16046" xr:uid="{123CB45F-BCC6-4FD4-8027-491E90EF1BF6}"/>
    <cellStyle name="40% - Accent4 5 20" xfId="32426" xr:uid="{63189589-F351-4E5C-A028-5C34F16C44A9}"/>
    <cellStyle name="40% - Accent4 5 21" xfId="34316" xr:uid="{5F3A5873-3BB5-48AD-9183-B4144C22DF97}"/>
    <cellStyle name="40% - Accent4 5 22" xfId="36206" xr:uid="{F19B4FEA-1939-4517-9050-CB1AF12C7952}"/>
    <cellStyle name="40% - Accent4 5 23" xfId="38096" xr:uid="{1574C033-27F2-42FB-90B4-48996D712FD3}"/>
    <cellStyle name="40% - Accent4 5 24" xfId="39987" xr:uid="{A4CCA8C5-0270-4C6E-9141-C03F9CC5971F}"/>
    <cellStyle name="40% - Accent4 5 3" xfId="1556" xr:uid="{E7379DD8-DBC4-4662-B2D5-A0B80A2883CB}"/>
    <cellStyle name="40% - Accent4 5 3 10" xfId="18566" xr:uid="{8C1EDDE5-4417-451B-A1DB-20F13BF52309}"/>
    <cellStyle name="40% - Accent4 5 3 11" xfId="20456" xr:uid="{2CF64CBA-802B-4AA5-ABB3-32DCAEE1B8DF}"/>
    <cellStyle name="40% - Accent4 5 3 12" xfId="22346" xr:uid="{B343616C-CB45-400D-9F1F-218E05B6BDA9}"/>
    <cellStyle name="40% - Accent4 5 3 13" xfId="24236" xr:uid="{A64BAE74-FC25-491F-B257-8D9389EE18E0}"/>
    <cellStyle name="40% - Accent4 5 3 14" xfId="26126" xr:uid="{A75BE1E8-431B-4466-B89E-2B9CE0998897}"/>
    <cellStyle name="40% - Accent4 5 3 15" xfId="28016" xr:uid="{9362FBEF-95D7-44DE-9EE4-CE6C971E7393}"/>
    <cellStyle name="40% - Accent4 5 3 16" xfId="29906" xr:uid="{0D6A1FE2-66CF-4D2F-BAA9-A8B7C2A98DE5}"/>
    <cellStyle name="40% - Accent4 5 3 17" xfId="31796" xr:uid="{86E85581-0C2D-43DA-869A-935E69DE9E34}"/>
    <cellStyle name="40% - Accent4 5 3 18" xfId="33686" xr:uid="{F1F0011A-87E0-4884-90A7-9FD2FAA2250A}"/>
    <cellStyle name="40% - Accent4 5 3 19" xfId="35576" xr:uid="{D0B9135E-F00C-4220-9032-35706C5B87E7}"/>
    <cellStyle name="40% - Accent4 5 3 2" xfId="3446" xr:uid="{5246444E-7A8E-4A26-A745-17B6DE3F9B15}"/>
    <cellStyle name="40% - Accent4 5 3 20" xfId="37466" xr:uid="{BBBAD121-C9FD-4BF6-BBD2-092C87960499}"/>
    <cellStyle name="40% - Accent4 5 3 21" xfId="39356" xr:uid="{41F02EE8-D9D1-4866-BE81-AA514845F071}"/>
    <cellStyle name="40% - Accent4 5 3 22" xfId="41247" xr:uid="{BE113599-46FE-4ABC-9E20-40F4A3FB14F3}"/>
    <cellStyle name="40% - Accent4 5 3 3" xfId="5336" xr:uid="{E4F0C384-FD15-4509-ADE6-75496A09A615}"/>
    <cellStyle name="40% - Accent4 5 3 4" xfId="7226" xr:uid="{76863E85-B606-4083-B2DC-6CD3FB9CC624}"/>
    <cellStyle name="40% - Accent4 5 3 5" xfId="9116" xr:uid="{8866E781-88DB-40CF-8010-A3843D4E2C44}"/>
    <cellStyle name="40% - Accent4 5 3 6" xfId="11006" xr:uid="{AC4DED60-2F00-4E92-858A-3054F38814F5}"/>
    <cellStyle name="40% - Accent4 5 3 7" xfId="12896" xr:uid="{C041D7E6-8C04-4A5D-BDDD-A1ECD74596DF}"/>
    <cellStyle name="40% - Accent4 5 3 8" xfId="14786" xr:uid="{FBCD7504-937E-4A68-B6B9-BF9EB9B82DBA}"/>
    <cellStyle name="40% - Accent4 5 3 9" xfId="16676" xr:uid="{191B1583-7B73-4DF5-9165-899B9B3B5ED5}"/>
    <cellStyle name="40% - Accent4 5 4" xfId="2186" xr:uid="{7D1192CD-652B-4526-89AE-7AD72142576F}"/>
    <cellStyle name="40% - Accent4 5 5" xfId="4076" xr:uid="{0E17D560-03B4-4118-A223-FC127AA502A2}"/>
    <cellStyle name="40% - Accent4 5 6" xfId="5966" xr:uid="{0B548CFC-7EDE-40EC-A5EC-04C1A715B800}"/>
    <cellStyle name="40% - Accent4 5 7" xfId="7856" xr:uid="{D4643639-131F-42F1-AA58-BEEC59A5FDE2}"/>
    <cellStyle name="40% - Accent4 5 8" xfId="9746" xr:uid="{B5776D66-82A7-41BB-9FF6-E2822EB28965}"/>
    <cellStyle name="40% - Accent4 5 9" xfId="11636" xr:uid="{A9A624BB-9FC5-4173-8100-046D846BF7BB}"/>
    <cellStyle name="40% - Accent4 6" xfId="506" xr:uid="{25D4BB8C-331D-4892-85CA-283BC8993F32}"/>
    <cellStyle name="40% - Accent4 6 10" xfId="13736" xr:uid="{88399283-E862-4839-A5A4-CCDCAC10C21C}"/>
    <cellStyle name="40% - Accent4 6 11" xfId="15626" xr:uid="{FB62A158-B583-43ED-B207-A4D25AEA87F2}"/>
    <cellStyle name="40% - Accent4 6 12" xfId="17516" xr:uid="{CCA2883A-30E2-4454-8897-F0C8EC6D3858}"/>
    <cellStyle name="40% - Accent4 6 13" xfId="19406" xr:uid="{173CB2A7-DB3F-4E3A-B9CC-57A401355084}"/>
    <cellStyle name="40% - Accent4 6 14" xfId="21296" xr:uid="{BAD5DDC2-EE26-47FE-9570-9DF55B765D60}"/>
    <cellStyle name="40% - Accent4 6 15" xfId="23186" xr:uid="{5F7E898E-E409-4F0B-A7BD-D8C929CB7991}"/>
    <cellStyle name="40% - Accent4 6 16" xfId="25076" xr:uid="{64D34C2F-E10B-45C3-ADF7-947527B81750}"/>
    <cellStyle name="40% - Accent4 6 17" xfId="26966" xr:uid="{98547366-4438-439F-AFB0-47C3C953BBB2}"/>
    <cellStyle name="40% - Accent4 6 18" xfId="28856" xr:uid="{D6EAD6A3-A82B-4CDE-8220-4E561F39D797}"/>
    <cellStyle name="40% - Accent4 6 19" xfId="30746" xr:uid="{C81F0F40-0F72-4B39-B0E1-5456A1B8CF80}"/>
    <cellStyle name="40% - Accent4 6 2" xfId="1136" xr:uid="{19E66192-8D33-41B3-88EF-0BEE16DFDD32}"/>
    <cellStyle name="40% - Accent4 6 2 10" xfId="18146" xr:uid="{17D12473-A7C0-42D5-93CD-477E1B456E75}"/>
    <cellStyle name="40% - Accent4 6 2 11" xfId="20036" xr:uid="{52602129-8F8C-4A81-96FF-6C39AF5B0DF7}"/>
    <cellStyle name="40% - Accent4 6 2 12" xfId="21926" xr:uid="{924F798B-79F7-4F41-A75A-7623A88D89C2}"/>
    <cellStyle name="40% - Accent4 6 2 13" xfId="23816" xr:uid="{AE584559-55C9-4485-969D-229E2B706539}"/>
    <cellStyle name="40% - Accent4 6 2 14" xfId="25706" xr:uid="{C5E56C20-B876-4B57-AEFD-729BD397B097}"/>
    <cellStyle name="40% - Accent4 6 2 15" xfId="27596" xr:uid="{E0DAD715-8F74-4811-B0AB-58B66DE8739E}"/>
    <cellStyle name="40% - Accent4 6 2 16" xfId="29486" xr:uid="{416C8887-D085-4B6E-852C-A9678DBD5D7D}"/>
    <cellStyle name="40% - Accent4 6 2 17" xfId="31376" xr:uid="{5664C532-3E8C-4BAF-9731-2CF98757FF03}"/>
    <cellStyle name="40% - Accent4 6 2 18" xfId="33266" xr:uid="{B1D006EE-7B33-4B41-A8DA-CAD50F24D0D1}"/>
    <cellStyle name="40% - Accent4 6 2 19" xfId="35156" xr:uid="{66275751-9437-467E-B658-C9A44891E995}"/>
    <cellStyle name="40% - Accent4 6 2 2" xfId="3026" xr:uid="{6EDC8A47-D293-4DBD-8211-7122182F86ED}"/>
    <cellStyle name="40% - Accent4 6 2 20" xfId="37046" xr:uid="{F1D39AFA-5A03-4933-9A46-38F91A07E268}"/>
    <cellStyle name="40% - Accent4 6 2 21" xfId="38936" xr:uid="{C9477E62-EA26-4938-9A54-290C2DBCDC98}"/>
    <cellStyle name="40% - Accent4 6 2 22" xfId="40827" xr:uid="{2F52654F-9595-4E74-B1B3-69FE87DA33D2}"/>
    <cellStyle name="40% - Accent4 6 2 3" xfId="4916" xr:uid="{8FC147F6-E852-4F07-A54C-2299EB1CB2B9}"/>
    <cellStyle name="40% - Accent4 6 2 4" xfId="6806" xr:uid="{591D64C7-1178-463F-AFE2-F3AFD5DF28C2}"/>
    <cellStyle name="40% - Accent4 6 2 5" xfId="8696" xr:uid="{857C7BAF-9077-4E1C-B5B4-079C05C31459}"/>
    <cellStyle name="40% - Accent4 6 2 6" xfId="10586" xr:uid="{4D371BCF-BD84-4875-B38E-9888E7E377CD}"/>
    <cellStyle name="40% - Accent4 6 2 7" xfId="12476" xr:uid="{9C44866C-68A9-421D-AFDC-AACC5597EFA3}"/>
    <cellStyle name="40% - Accent4 6 2 8" xfId="14366" xr:uid="{E3E77341-C8A5-4E2E-9488-7F9960DF6D14}"/>
    <cellStyle name="40% - Accent4 6 2 9" xfId="16256" xr:uid="{63B2541F-60E6-46CE-841D-37C0889721DF}"/>
    <cellStyle name="40% - Accent4 6 20" xfId="32636" xr:uid="{1F9EC22D-EF46-4E4B-83EB-AB0DD6EB0386}"/>
    <cellStyle name="40% - Accent4 6 21" xfId="34526" xr:uid="{6166F069-396A-4D3E-9124-DD79EDDC6EEF}"/>
    <cellStyle name="40% - Accent4 6 22" xfId="36416" xr:uid="{FEDC4552-3DFC-4D5C-8795-A5CD01574B31}"/>
    <cellStyle name="40% - Accent4 6 23" xfId="38306" xr:uid="{F88E4CF2-D7A6-4AB0-A0A2-AD169CADAF40}"/>
    <cellStyle name="40% - Accent4 6 24" xfId="40197" xr:uid="{199EAD20-7AA6-41E1-83D1-1617889E450D}"/>
    <cellStyle name="40% - Accent4 6 3" xfId="1766" xr:uid="{0486671A-24BA-4E4B-B950-EF211C81E07E}"/>
    <cellStyle name="40% - Accent4 6 3 10" xfId="18776" xr:uid="{7DB03684-A6EA-4B49-8292-1EFEE7DD9BCA}"/>
    <cellStyle name="40% - Accent4 6 3 11" xfId="20666" xr:uid="{B2780F02-E8A7-4BF2-9AF7-29D0ED4AACE7}"/>
    <cellStyle name="40% - Accent4 6 3 12" xfId="22556" xr:uid="{EA23E931-63D7-49AB-B2F5-37ECF8CC0913}"/>
    <cellStyle name="40% - Accent4 6 3 13" xfId="24446" xr:uid="{43B115EF-120B-4603-A262-4EB98E0433A1}"/>
    <cellStyle name="40% - Accent4 6 3 14" xfId="26336" xr:uid="{7ADB8DA9-7C4A-4D04-9B45-E309258C23FB}"/>
    <cellStyle name="40% - Accent4 6 3 15" xfId="28226" xr:uid="{04FDC353-C136-424A-9FAB-37B52DAE7A4F}"/>
    <cellStyle name="40% - Accent4 6 3 16" xfId="30116" xr:uid="{2B90B095-8F74-4EF9-8566-1D789304B174}"/>
    <cellStyle name="40% - Accent4 6 3 17" xfId="32006" xr:uid="{6A670033-33B8-4435-B243-B9729EA27D90}"/>
    <cellStyle name="40% - Accent4 6 3 18" xfId="33896" xr:uid="{A923C4EA-BF98-4C86-94E4-56E513FF996B}"/>
    <cellStyle name="40% - Accent4 6 3 19" xfId="35786" xr:uid="{5317BB59-8129-48A7-960C-100FCFC611F0}"/>
    <cellStyle name="40% - Accent4 6 3 2" xfId="3656" xr:uid="{34B86FC9-1106-473B-B4D9-2A14CFE7174E}"/>
    <cellStyle name="40% - Accent4 6 3 20" xfId="37676" xr:uid="{5B8E49F7-6C9C-4735-ADB6-76E8F448B49D}"/>
    <cellStyle name="40% - Accent4 6 3 21" xfId="39566" xr:uid="{DFA85325-D16B-43B3-8410-912359EB38EE}"/>
    <cellStyle name="40% - Accent4 6 3 22" xfId="41457" xr:uid="{5FF6612C-333C-4D67-A00C-680781C99FC9}"/>
    <cellStyle name="40% - Accent4 6 3 3" xfId="5546" xr:uid="{0496512C-DB56-431B-9129-9B73367FDCCC}"/>
    <cellStyle name="40% - Accent4 6 3 4" xfId="7436" xr:uid="{317D6E17-2886-4834-8B08-F70155C595FC}"/>
    <cellStyle name="40% - Accent4 6 3 5" xfId="9326" xr:uid="{DB322E93-35D5-4E48-85C3-080A6C11DB37}"/>
    <cellStyle name="40% - Accent4 6 3 6" xfId="11216" xr:uid="{C132AE07-F69E-4833-92E2-17DDAE16B40F}"/>
    <cellStyle name="40% - Accent4 6 3 7" xfId="13106" xr:uid="{C5E44DC3-C2C0-4653-9696-3CFEB4DE3814}"/>
    <cellStyle name="40% - Accent4 6 3 8" xfId="14996" xr:uid="{4E2673F1-0967-4DB0-9D6C-C01C3B702193}"/>
    <cellStyle name="40% - Accent4 6 3 9" xfId="16886" xr:uid="{A1F42F5A-DBE1-4534-BF2F-831A4140E0E7}"/>
    <cellStyle name="40% - Accent4 6 4" xfId="2396" xr:uid="{37151850-8ACA-4D41-AF69-9DF39D7C0EB0}"/>
    <cellStyle name="40% - Accent4 6 5" xfId="4286" xr:uid="{821262DB-E92D-4303-9A7A-D3EBD7E057BA}"/>
    <cellStyle name="40% - Accent4 6 6" xfId="6176" xr:uid="{ADEF17F2-B105-488D-8C8F-B4BE87E785E7}"/>
    <cellStyle name="40% - Accent4 6 7" xfId="8066" xr:uid="{DBFE9F40-32E3-43A2-AD93-FAD7B4DEC1A3}"/>
    <cellStyle name="40% - Accent4 6 8" xfId="9956" xr:uid="{B8BF48BB-F1FC-497F-88B5-A9D475035971}"/>
    <cellStyle name="40% - Accent4 6 9" xfId="11846" xr:uid="{EEE2D62B-9A90-47F3-9A9C-74D97AA9829C}"/>
    <cellStyle name="40% - Accent4 7" xfId="716" xr:uid="{645A3CFC-5DF3-43C1-AA4A-5D4ECCD9A8BF}"/>
    <cellStyle name="40% - Accent4 7 10" xfId="17726" xr:uid="{06BEA72A-1203-4BAE-AEB5-AE293F08A059}"/>
    <cellStyle name="40% - Accent4 7 11" xfId="19616" xr:uid="{6A616DE3-866E-479D-9467-9A470774B436}"/>
    <cellStyle name="40% - Accent4 7 12" xfId="21506" xr:uid="{62B36FD3-1E2E-4E48-AFFD-50386390C8C6}"/>
    <cellStyle name="40% - Accent4 7 13" xfId="23396" xr:uid="{267BEAE3-A315-471F-9B15-2F25E8B00501}"/>
    <cellStyle name="40% - Accent4 7 14" xfId="25286" xr:uid="{16367835-703C-402B-9D24-B2A9306E7550}"/>
    <cellStyle name="40% - Accent4 7 15" xfId="27176" xr:uid="{FCAB7A70-F92C-41CA-8D00-3A0F7996DC80}"/>
    <cellStyle name="40% - Accent4 7 16" xfId="29066" xr:uid="{1BCB2F46-F76F-4EFE-9C8D-87AF96EB8825}"/>
    <cellStyle name="40% - Accent4 7 17" xfId="30956" xr:uid="{E7B28B7B-9909-4FE5-AC2D-F6CD87600B74}"/>
    <cellStyle name="40% - Accent4 7 18" xfId="32846" xr:uid="{1F105B17-A3FF-48CA-BFC8-AEECAD0E0D66}"/>
    <cellStyle name="40% - Accent4 7 19" xfId="34736" xr:uid="{4634B83E-F2BB-49FF-9C52-5868FE1BCA4A}"/>
    <cellStyle name="40% - Accent4 7 2" xfId="2606" xr:uid="{3C9749AB-A557-48B3-966E-17221296682D}"/>
    <cellStyle name="40% - Accent4 7 20" xfId="36626" xr:uid="{664987EC-01D2-42C2-9A30-BD5563C5DE91}"/>
    <cellStyle name="40% - Accent4 7 21" xfId="38516" xr:uid="{6591CD70-628F-4655-988C-C54C7DB7E571}"/>
    <cellStyle name="40% - Accent4 7 22" xfId="40407" xr:uid="{1D9A57DE-41CB-4899-88A3-19B646BAFD21}"/>
    <cellStyle name="40% - Accent4 7 3" xfId="4496" xr:uid="{D7E74AF6-3D29-4C90-9277-74974D958279}"/>
    <cellStyle name="40% - Accent4 7 4" xfId="6386" xr:uid="{4A06C019-44E3-4D5B-86F8-6A7C7AFF68BB}"/>
    <cellStyle name="40% - Accent4 7 5" xfId="8276" xr:uid="{9B6B4B5B-CEEC-4D7B-A5F6-EF64A8F60730}"/>
    <cellStyle name="40% - Accent4 7 6" xfId="10166" xr:uid="{DE95D29C-F0A0-4A67-90A1-ABDCC4BD3381}"/>
    <cellStyle name="40% - Accent4 7 7" xfId="12056" xr:uid="{7C473E63-3416-4CDD-B406-EDE0A69908D5}"/>
    <cellStyle name="40% - Accent4 7 8" xfId="13946" xr:uid="{A679AACE-6578-4ED0-B862-27ACCB52F6FD}"/>
    <cellStyle name="40% - Accent4 7 9" xfId="15836" xr:uid="{210E2F36-2B6A-4BDB-A1A9-956315511FF5}"/>
    <cellStyle name="40% - Accent4 8" xfId="1346" xr:uid="{D5D9B491-2DBA-41E2-8495-FE67A5ABCB26}"/>
    <cellStyle name="40% - Accent4 8 10" xfId="18356" xr:uid="{2EC89C28-F423-4A10-9B21-AED900F5367E}"/>
    <cellStyle name="40% - Accent4 8 11" xfId="20246" xr:uid="{84D9E8E8-35B8-4864-866C-C7971C5A1597}"/>
    <cellStyle name="40% - Accent4 8 12" xfId="22136" xr:uid="{077A2F48-D081-4A85-AF8A-7D538CFA1C9E}"/>
    <cellStyle name="40% - Accent4 8 13" xfId="24026" xr:uid="{B5C514C6-8196-4A20-AF0C-32ED4FC787D1}"/>
    <cellStyle name="40% - Accent4 8 14" xfId="25916" xr:uid="{2A534618-A5F0-4F05-A42C-8C9E575FF708}"/>
    <cellStyle name="40% - Accent4 8 15" xfId="27806" xr:uid="{B31E955F-1A18-4768-AF6A-0559AFF3B473}"/>
    <cellStyle name="40% - Accent4 8 16" xfId="29696" xr:uid="{BEE60107-4AE3-4204-B25E-016054419634}"/>
    <cellStyle name="40% - Accent4 8 17" xfId="31586" xr:uid="{A2357560-3F95-4B69-BCB3-6D0FE264F2DD}"/>
    <cellStyle name="40% - Accent4 8 18" xfId="33476" xr:uid="{31AEEB1C-EFF7-4D79-824A-81125CCEA3A9}"/>
    <cellStyle name="40% - Accent4 8 19" xfId="35366" xr:uid="{DE5411AA-AF62-4CC6-9EF3-9A7423248B19}"/>
    <cellStyle name="40% - Accent4 8 2" xfId="3236" xr:uid="{68116647-528C-4A71-856B-2738ECB9ECFF}"/>
    <cellStyle name="40% - Accent4 8 20" xfId="37256" xr:uid="{EF248C5E-86FA-427D-963F-9E557EDA7287}"/>
    <cellStyle name="40% - Accent4 8 21" xfId="39146" xr:uid="{1C8D3574-FC18-4C66-82D2-B732AFB55DB9}"/>
    <cellStyle name="40% - Accent4 8 22" xfId="41037" xr:uid="{247F63AC-5721-4321-A4C2-19055F50183C}"/>
    <cellStyle name="40% - Accent4 8 3" xfId="5126" xr:uid="{DA685E75-4AD7-469E-A8C3-7CC01A8E4C0A}"/>
    <cellStyle name="40% - Accent4 8 4" xfId="7016" xr:uid="{E178BB6D-102E-4CF6-B0CD-961F23784A63}"/>
    <cellStyle name="40% - Accent4 8 5" xfId="8906" xr:uid="{7F556B5D-EC5C-4329-B172-E14672E3B3DF}"/>
    <cellStyle name="40% - Accent4 8 6" xfId="10796" xr:uid="{19D2BED5-CC68-4450-AFA1-9C08787CD95B}"/>
    <cellStyle name="40% - Accent4 8 7" xfId="12686" xr:uid="{37C159D9-150E-43A7-8E4F-762128BA9325}"/>
    <cellStyle name="40% - Accent4 8 8" xfId="14576" xr:uid="{E4D158AE-C844-41CA-B155-AD36B2BF5A92}"/>
    <cellStyle name="40% - Accent4 8 9" xfId="16466" xr:uid="{ADB65300-1BFA-45C9-A202-EC8003344CF3}"/>
    <cellStyle name="40% - Accent4 9" xfId="1976" xr:uid="{FD6D2CC7-AA83-45C8-B80D-5D412803A231}"/>
    <cellStyle name="40% - Accent5" xfId="88" builtinId="47" customBuiltin="1"/>
    <cellStyle name="40% - Accent5 10" xfId="3869" xr:uid="{A001D674-AA3B-40B3-B2BF-74286D313837}"/>
    <cellStyle name="40% - Accent5 11" xfId="5759" xr:uid="{264C579A-0682-4E45-BC50-BF98A762B583}"/>
    <cellStyle name="40% - Accent5 12" xfId="7649" xr:uid="{A3493C56-1126-46F2-BAD8-D5F2D6796440}"/>
    <cellStyle name="40% - Accent5 13" xfId="9539" xr:uid="{90E60225-E9DB-4240-B6DB-EEAFC091E24B}"/>
    <cellStyle name="40% - Accent5 14" xfId="11429" xr:uid="{9BED1908-E13D-4295-A2F1-F1B5D4A31A05}"/>
    <cellStyle name="40% - Accent5 15" xfId="13319" xr:uid="{EB2AD5A0-3F4B-48E7-B61E-FE7DFA68F424}"/>
    <cellStyle name="40% - Accent5 16" xfId="15209" xr:uid="{FA5EBCC2-5BA3-4F5D-BD36-BDA5BB730E8E}"/>
    <cellStyle name="40% - Accent5 17" xfId="17099" xr:uid="{F4DAEE45-EDDA-468D-B9E6-5DE7A13327CF}"/>
    <cellStyle name="40% - Accent5 18" xfId="18989" xr:uid="{99AFFD12-4672-4140-80B9-88B15E1410CC}"/>
    <cellStyle name="40% - Accent5 19" xfId="20879" xr:uid="{F76EEF6A-DE0E-471C-9F69-DDF8D0752136}"/>
    <cellStyle name="40% - Accent5 2" xfId="111" xr:uid="{06FB6DD9-FDC9-4BFF-AA09-23E23692DD4A}"/>
    <cellStyle name="40% - Accent5 2 10" xfId="7671" xr:uid="{16D3ADDA-1C07-4B78-A53C-3D0B351C7657}"/>
    <cellStyle name="40% - Accent5 2 11" xfId="9561" xr:uid="{3DEACB7D-44C4-4467-AB42-4168D1CAF952}"/>
    <cellStyle name="40% - Accent5 2 12" xfId="11451" xr:uid="{E049D051-AA85-4D8C-8ECD-84787913C98C}"/>
    <cellStyle name="40% - Accent5 2 13" xfId="13341" xr:uid="{19DF48E6-05BE-4AB7-B027-CC51124E5698}"/>
    <cellStyle name="40% - Accent5 2 14" xfId="15231" xr:uid="{18A9D99A-C3E7-4929-BACF-9B04199593A5}"/>
    <cellStyle name="40% - Accent5 2 15" xfId="17121" xr:uid="{4526946A-9F21-4EDA-B936-4171C5CA2C82}"/>
    <cellStyle name="40% - Accent5 2 16" xfId="19011" xr:uid="{6A16723C-BB87-4ACD-9673-F9BBED610AC0}"/>
    <cellStyle name="40% - Accent5 2 17" xfId="20901" xr:uid="{627E7627-30F7-48B7-8FA2-96DF8CC061A6}"/>
    <cellStyle name="40% - Accent5 2 18" xfId="22791" xr:uid="{06DE7E33-A7EE-432A-B743-2529E5D1BE77}"/>
    <cellStyle name="40% - Accent5 2 19" xfId="24681" xr:uid="{F9726EC2-6C3F-425B-95CB-C1B185B74BE6}"/>
    <cellStyle name="40% - Accent5 2 2" xfId="216" xr:uid="{847A5D35-F5A2-4FAF-AC5C-D183FF75A3F4}"/>
    <cellStyle name="40% - Accent5 2 2 10" xfId="9666" xr:uid="{2AA8DF1E-68B7-460C-B7C1-EF340695C77E}"/>
    <cellStyle name="40% - Accent5 2 2 11" xfId="11556" xr:uid="{856FA01B-5FEB-4C4C-9FE2-0E675EB8BC06}"/>
    <cellStyle name="40% - Accent5 2 2 12" xfId="13446" xr:uid="{45EA4CB0-A2EB-446F-AB20-5D4C5849C085}"/>
    <cellStyle name="40% - Accent5 2 2 13" xfId="15336" xr:uid="{EC1B5815-C9F5-4884-932C-EA72C0C67F29}"/>
    <cellStyle name="40% - Accent5 2 2 14" xfId="17226" xr:uid="{BE6F323E-11E9-40AB-9186-A988E862E6C8}"/>
    <cellStyle name="40% - Accent5 2 2 15" xfId="19116" xr:uid="{EAB0B6A2-1336-438E-8F80-D5DF77E8C67F}"/>
    <cellStyle name="40% - Accent5 2 2 16" xfId="21006" xr:uid="{860D29EC-1D4B-45B4-BAE3-8593548F86E9}"/>
    <cellStyle name="40% - Accent5 2 2 17" xfId="22896" xr:uid="{0AB150F7-6A16-4517-AAA1-8A048B06B62C}"/>
    <cellStyle name="40% - Accent5 2 2 18" xfId="24786" xr:uid="{64D4A599-137B-40B2-A349-DF7B8AD0020E}"/>
    <cellStyle name="40% - Accent5 2 2 19" xfId="26676" xr:uid="{98D36311-B853-4162-9674-76620982F054}"/>
    <cellStyle name="40% - Accent5 2 2 2" xfId="426" xr:uid="{46528506-F6E0-4F51-9C08-CDDE1741D3C9}"/>
    <cellStyle name="40% - Accent5 2 2 2 10" xfId="13656" xr:uid="{D79F2E20-F937-47F2-93DA-E195D259EE57}"/>
    <cellStyle name="40% - Accent5 2 2 2 11" xfId="15546" xr:uid="{10D6C3C5-AE8E-414C-9A37-735C7A617B22}"/>
    <cellStyle name="40% - Accent5 2 2 2 12" xfId="17436" xr:uid="{CC3AE672-1B40-45E1-B8C5-FB0195E20E40}"/>
    <cellStyle name="40% - Accent5 2 2 2 13" xfId="19326" xr:uid="{6F5017D7-7A33-4776-8D55-324187E122AD}"/>
    <cellStyle name="40% - Accent5 2 2 2 14" xfId="21216" xr:uid="{5B2A9912-1F42-43ED-BB74-7CAEABFD0C9E}"/>
    <cellStyle name="40% - Accent5 2 2 2 15" xfId="23106" xr:uid="{630F56F4-090A-44BF-99DD-8A2D6FAB561E}"/>
    <cellStyle name="40% - Accent5 2 2 2 16" xfId="24996" xr:uid="{F1DB1147-1F4F-4F9C-9DE2-1D3CFDA94BE9}"/>
    <cellStyle name="40% - Accent5 2 2 2 17" xfId="26886" xr:uid="{C44EF600-7806-4EBD-BD02-8BD8B95F0536}"/>
    <cellStyle name="40% - Accent5 2 2 2 18" xfId="28776" xr:uid="{FAF67AD2-6B7C-4AD8-BCC5-B6811D7C6BB4}"/>
    <cellStyle name="40% - Accent5 2 2 2 19" xfId="30666" xr:uid="{273C93B2-14CF-4194-B6BE-EC455DA215B9}"/>
    <cellStyle name="40% - Accent5 2 2 2 2" xfId="1056" xr:uid="{64267343-BF70-492E-8E27-D04E23A39B7C}"/>
    <cellStyle name="40% - Accent5 2 2 2 2 10" xfId="18066" xr:uid="{7FF60FF5-02B8-4E0E-A7B3-2A4CA72CB7A9}"/>
    <cellStyle name="40% - Accent5 2 2 2 2 11" xfId="19956" xr:uid="{66732C82-7CD6-481E-B75A-9B25324B2371}"/>
    <cellStyle name="40% - Accent5 2 2 2 2 12" xfId="21846" xr:uid="{260D0846-2833-4D4C-8C5D-D54E6536357D}"/>
    <cellStyle name="40% - Accent5 2 2 2 2 13" xfId="23736" xr:uid="{82BFF4E6-7EDE-4F56-9DD0-36871CB9C2F7}"/>
    <cellStyle name="40% - Accent5 2 2 2 2 14" xfId="25626" xr:uid="{6EA56BD3-099B-4382-9AD7-88D29FA3352A}"/>
    <cellStyle name="40% - Accent5 2 2 2 2 15" xfId="27516" xr:uid="{61BF20C2-FAC0-4DF5-B8EF-F4C94956798C}"/>
    <cellStyle name="40% - Accent5 2 2 2 2 16" xfId="29406" xr:uid="{271BE637-6DD2-4ABD-A801-D7E6C4DC6253}"/>
    <cellStyle name="40% - Accent5 2 2 2 2 17" xfId="31296" xr:uid="{98C19AB3-29EF-4814-AAFE-4B6305415E8C}"/>
    <cellStyle name="40% - Accent5 2 2 2 2 18" xfId="33186" xr:uid="{FF619CA8-8CC9-4DDF-A9EF-211F48FA8703}"/>
    <cellStyle name="40% - Accent5 2 2 2 2 19" xfId="35076" xr:uid="{E0C19017-0A1B-4A8E-BC75-BC93916C3C9B}"/>
    <cellStyle name="40% - Accent5 2 2 2 2 2" xfId="2946" xr:uid="{820056AD-0B8B-46F1-B4DF-1F36200B3C7F}"/>
    <cellStyle name="40% - Accent5 2 2 2 2 20" xfId="36966" xr:uid="{4B02C67D-DD15-4DB1-942A-DD18EAB9B4AF}"/>
    <cellStyle name="40% - Accent5 2 2 2 2 21" xfId="38856" xr:uid="{D5D77C7E-C25E-4681-820A-1064ECA332AA}"/>
    <cellStyle name="40% - Accent5 2 2 2 2 22" xfId="40747" xr:uid="{89762C7D-2B6B-4F78-B20F-E759552B18DE}"/>
    <cellStyle name="40% - Accent5 2 2 2 2 3" xfId="4836" xr:uid="{8A0BFC8C-4EF3-4368-BFD9-DD2E3D881C7C}"/>
    <cellStyle name="40% - Accent5 2 2 2 2 4" xfId="6726" xr:uid="{CA211B67-71BE-440A-8510-F8201D9F2F3E}"/>
    <cellStyle name="40% - Accent5 2 2 2 2 5" xfId="8616" xr:uid="{1E4537BE-CFD5-4A51-8762-C55BAE331B8D}"/>
    <cellStyle name="40% - Accent5 2 2 2 2 6" xfId="10506" xr:uid="{5CB1E39A-F068-485C-B8FE-1E51FE7DC8E7}"/>
    <cellStyle name="40% - Accent5 2 2 2 2 7" xfId="12396" xr:uid="{2598395C-FAC1-493E-8BBF-F5F141E0DE6D}"/>
    <cellStyle name="40% - Accent5 2 2 2 2 8" xfId="14286" xr:uid="{4D1468E8-D984-484A-BA92-B5DF17BE7B5D}"/>
    <cellStyle name="40% - Accent5 2 2 2 2 9" xfId="16176" xr:uid="{9DCF6F23-9AE0-473F-97F2-D247204F06B7}"/>
    <cellStyle name="40% - Accent5 2 2 2 20" xfId="32556" xr:uid="{1EA959BA-C934-4718-BE49-11EF69CA51C4}"/>
    <cellStyle name="40% - Accent5 2 2 2 21" xfId="34446" xr:uid="{84B5B69F-FD44-42DE-BD1F-1C91D5F0D35E}"/>
    <cellStyle name="40% - Accent5 2 2 2 22" xfId="36336" xr:uid="{A50B668D-F1C6-4BB1-B58A-E3D28EAAB205}"/>
    <cellStyle name="40% - Accent5 2 2 2 23" xfId="38226" xr:uid="{B9A86780-B6E4-44E3-9FE0-A672859D0C3A}"/>
    <cellStyle name="40% - Accent5 2 2 2 24" xfId="40117" xr:uid="{09A7F34A-D91E-4FCE-BFBF-C2A3557C19D3}"/>
    <cellStyle name="40% - Accent5 2 2 2 3" xfId="1686" xr:uid="{D7F137A8-E840-4100-BCB8-8E8CF4A0BDFB}"/>
    <cellStyle name="40% - Accent5 2 2 2 3 10" xfId="18696" xr:uid="{B9BBC152-DCD1-4222-8632-EA169003A389}"/>
    <cellStyle name="40% - Accent5 2 2 2 3 11" xfId="20586" xr:uid="{6CFDF133-0032-4530-85F3-8A32442A409F}"/>
    <cellStyle name="40% - Accent5 2 2 2 3 12" xfId="22476" xr:uid="{8B1115CD-C80B-4025-9896-A34B0C330FEF}"/>
    <cellStyle name="40% - Accent5 2 2 2 3 13" xfId="24366" xr:uid="{C8141DC0-C7E7-4BA1-BDFF-C5CBF2A172FC}"/>
    <cellStyle name="40% - Accent5 2 2 2 3 14" xfId="26256" xr:uid="{55070612-D7C1-4E17-8857-507A53F8B36E}"/>
    <cellStyle name="40% - Accent5 2 2 2 3 15" xfId="28146" xr:uid="{8BF4C8D8-7CCC-4738-B120-17B170B6002A}"/>
    <cellStyle name="40% - Accent5 2 2 2 3 16" xfId="30036" xr:uid="{A2703F7A-3F87-4147-8A0D-0C44BCF7CFEC}"/>
    <cellStyle name="40% - Accent5 2 2 2 3 17" xfId="31926" xr:uid="{F1EFF628-FE44-4C96-BB8D-9A0151172D16}"/>
    <cellStyle name="40% - Accent5 2 2 2 3 18" xfId="33816" xr:uid="{E0DE45E0-3541-4D10-9E64-BD851BA1F55C}"/>
    <cellStyle name="40% - Accent5 2 2 2 3 19" xfId="35706" xr:uid="{0A3EFD5F-08C4-4423-BE84-46D66306DECE}"/>
    <cellStyle name="40% - Accent5 2 2 2 3 2" xfId="3576" xr:uid="{8F0B2845-57E3-479F-92C5-3E63319DF153}"/>
    <cellStyle name="40% - Accent5 2 2 2 3 20" xfId="37596" xr:uid="{E3490403-82B6-4AF5-A563-4385504688B7}"/>
    <cellStyle name="40% - Accent5 2 2 2 3 21" xfId="39486" xr:uid="{D3A1A2F4-516C-4465-B332-17E8211A2D90}"/>
    <cellStyle name="40% - Accent5 2 2 2 3 22" xfId="41377" xr:uid="{2ECCCC1E-835C-4B50-B297-E03C305D74D3}"/>
    <cellStyle name="40% - Accent5 2 2 2 3 3" xfId="5466" xr:uid="{1ADFBCD3-9CE2-4F43-AE88-96907BCB4C5C}"/>
    <cellStyle name="40% - Accent5 2 2 2 3 4" xfId="7356" xr:uid="{F8293E1B-803E-412B-AC6B-1823E7822184}"/>
    <cellStyle name="40% - Accent5 2 2 2 3 5" xfId="9246" xr:uid="{28111FF9-D136-4824-9E2F-7A43CFA77A13}"/>
    <cellStyle name="40% - Accent5 2 2 2 3 6" xfId="11136" xr:uid="{4BF1823B-38C4-4ABB-910F-7CF35A242A93}"/>
    <cellStyle name="40% - Accent5 2 2 2 3 7" xfId="13026" xr:uid="{982FFDF4-B4F4-42F5-86A0-960DF86264AE}"/>
    <cellStyle name="40% - Accent5 2 2 2 3 8" xfId="14916" xr:uid="{84203F57-0784-4EBF-A591-5598AE10F7FC}"/>
    <cellStyle name="40% - Accent5 2 2 2 3 9" xfId="16806" xr:uid="{69566AE5-534B-44FC-B9D2-811FF7032EFC}"/>
    <cellStyle name="40% - Accent5 2 2 2 4" xfId="2316" xr:uid="{52132292-2C45-4D50-BF18-3E27A8F6A682}"/>
    <cellStyle name="40% - Accent5 2 2 2 5" xfId="4206" xr:uid="{9F1D663E-4A2A-4775-B06A-B41801F8A75B}"/>
    <cellStyle name="40% - Accent5 2 2 2 6" xfId="6096" xr:uid="{05F9FBDD-5E5A-4C5C-9AA9-3CEB2FDC8230}"/>
    <cellStyle name="40% - Accent5 2 2 2 7" xfId="7986" xr:uid="{3C6AD8FD-1F97-4713-9365-F26E7F8A5751}"/>
    <cellStyle name="40% - Accent5 2 2 2 8" xfId="9876" xr:uid="{7E8A435B-5750-49B1-8E04-A1E6D82CC4ED}"/>
    <cellStyle name="40% - Accent5 2 2 2 9" xfId="11766" xr:uid="{3E40C291-443E-4396-A3C1-D9865AFE8E43}"/>
    <cellStyle name="40% - Accent5 2 2 20" xfId="28566" xr:uid="{2C75B622-2FE1-4F35-878B-743124840AD9}"/>
    <cellStyle name="40% - Accent5 2 2 21" xfId="30456" xr:uid="{A6B10CD1-C5F0-49B8-ABB5-B34438757E69}"/>
    <cellStyle name="40% - Accent5 2 2 22" xfId="32346" xr:uid="{14A486A8-D158-4F8E-A4AD-1721526A548D}"/>
    <cellStyle name="40% - Accent5 2 2 23" xfId="34236" xr:uid="{05CACD0E-5C68-4D76-AE45-AF64665BD8C2}"/>
    <cellStyle name="40% - Accent5 2 2 24" xfId="36126" xr:uid="{0542D500-F294-4AC1-B3D8-D44AC849BC53}"/>
    <cellStyle name="40% - Accent5 2 2 25" xfId="38016" xr:uid="{C994D552-9DE6-48D1-94DA-BE3DFDA4B273}"/>
    <cellStyle name="40% - Accent5 2 2 26" xfId="39907" xr:uid="{7669C7BA-5D2E-48ED-9C34-A9D3AEE3747D}"/>
    <cellStyle name="40% - Accent5 2 2 3" xfId="636" xr:uid="{AB91BA5C-46EC-4597-B24E-5AF055EE7AC4}"/>
    <cellStyle name="40% - Accent5 2 2 3 10" xfId="13866" xr:uid="{DD4ECEFC-C077-49A9-BF12-C01F45D72F02}"/>
    <cellStyle name="40% - Accent5 2 2 3 11" xfId="15756" xr:uid="{11F72DBF-3789-4EE3-BD81-5C21978BE464}"/>
    <cellStyle name="40% - Accent5 2 2 3 12" xfId="17646" xr:uid="{9354924B-435F-4608-9BC5-53288201A782}"/>
    <cellStyle name="40% - Accent5 2 2 3 13" xfId="19536" xr:uid="{87B50093-06E2-47D9-BD22-65490EE02D87}"/>
    <cellStyle name="40% - Accent5 2 2 3 14" xfId="21426" xr:uid="{76FDFE6D-1986-4546-8FD8-72B9732465C8}"/>
    <cellStyle name="40% - Accent5 2 2 3 15" xfId="23316" xr:uid="{FD1EE766-BA56-49F5-B97C-130492B0F1CE}"/>
    <cellStyle name="40% - Accent5 2 2 3 16" xfId="25206" xr:uid="{6FDFFE3C-CF16-4296-A287-22F5C373DA7D}"/>
    <cellStyle name="40% - Accent5 2 2 3 17" xfId="27096" xr:uid="{97038D0C-02B9-419E-B1BC-D42E0B9AF92C}"/>
    <cellStyle name="40% - Accent5 2 2 3 18" xfId="28986" xr:uid="{EC79348B-3532-44E3-8C59-444ED6CE2154}"/>
    <cellStyle name="40% - Accent5 2 2 3 19" xfId="30876" xr:uid="{AFDDB35F-33CB-48A8-A30E-6FF712EEB663}"/>
    <cellStyle name="40% - Accent5 2 2 3 2" xfId="1266" xr:uid="{78D749B1-E12F-488B-83DA-2AD85093F38A}"/>
    <cellStyle name="40% - Accent5 2 2 3 2 10" xfId="18276" xr:uid="{E1540285-0B3E-4DDD-AE03-74A7ADB4FE10}"/>
    <cellStyle name="40% - Accent5 2 2 3 2 11" xfId="20166" xr:uid="{EBA69DE1-2D17-44CD-85CF-A4369CF652D6}"/>
    <cellStyle name="40% - Accent5 2 2 3 2 12" xfId="22056" xr:uid="{9C137CF7-7660-41A1-B261-68B5D7600F7A}"/>
    <cellStyle name="40% - Accent5 2 2 3 2 13" xfId="23946" xr:uid="{CE072898-60A6-463D-882A-1E5BB0F82694}"/>
    <cellStyle name="40% - Accent5 2 2 3 2 14" xfId="25836" xr:uid="{BA88287D-51BC-4ECA-9F7F-B4FE514C71B7}"/>
    <cellStyle name="40% - Accent5 2 2 3 2 15" xfId="27726" xr:uid="{9B375653-9124-4DB6-A4B8-A40161087301}"/>
    <cellStyle name="40% - Accent5 2 2 3 2 16" xfId="29616" xr:uid="{C8A69564-F50A-4FE4-B0A3-9A130CD71C73}"/>
    <cellStyle name="40% - Accent5 2 2 3 2 17" xfId="31506" xr:uid="{FD41A7A0-BA47-4F28-84D5-9FBAA7C1357D}"/>
    <cellStyle name="40% - Accent5 2 2 3 2 18" xfId="33396" xr:uid="{03E99641-D261-470C-B08D-95798F30BE3D}"/>
    <cellStyle name="40% - Accent5 2 2 3 2 19" xfId="35286" xr:uid="{7134DC76-83BA-4A22-9A9A-9F32179C368B}"/>
    <cellStyle name="40% - Accent5 2 2 3 2 2" xfId="3156" xr:uid="{1972F729-B0B7-4A76-B9C8-6D1E6A75AF7D}"/>
    <cellStyle name="40% - Accent5 2 2 3 2 20" xfId="37176" xr:uid="{9D30171D-4EBA-4EA3-823D-5DC6DF44373F}"/>
    <cellStyle name="40% - Accent5 2 2 3 2 21" xfId="39066" xr:uid="{FD80AEDC-05BF-4C31-92BE-E6D896A50263}"/>
    <cellStyle name="40% - Accent5 2 2 3 2 22" xfId="40957" xr:uid="{617643B8-318A-418E-9AB1-1C641DE91F77}"/>
    <cellStyle name="40% - Accent5 2 2 3 2 3" xfId="5046" xr:uid="{2FF464F4-A51D-4448-8AF6-2AEDED8042F7}"/>
    <cellStyle name="40% - Accent5 2 2 3 2 4" xfId="6936" xr:uid="{EB156BB0-5551-4B3D-8E8D-1EE9A05CB34D}"/>
    <cellStyle name="40% - Accent5 2 2 3 2 5" xfId="8826" xr:uid="{4AB9E30E-AEFD-4C38-9C6B-885E8E891C6A}"/>
    <cellStyle name="40% - Accent5 2 2 3 2 6" xfId="10716" xr:uid="{61E3D406-F3D2-4B41-86CD-1EF8A225E20B}"/>
    <cellStyle name="40% - Accent5 2 2 3 2 7" xfId="12606" xr:uid="{6992EFFE-3F94-4E14-B906-B290D7DB1E7D}"/>
    <cellStyle name="40% - Accent5 2 2 3 2 8" xfId="14496" xr:uid="{02A92E3B-5D89-45E6-B77C-AEB3DBC2B7CB}"/>
    <cellStyle name="40% - Accent5 2 2 3 2 9" xfId="16386" xr:uid="{6AB4245D-1385-468B-8045-10C434F25C6E}"/>
    <cellStyle name="40% - Accent5 2 2 3 20" xfId="32766" xr:uid="{FA921777-63DB-4FAB-96BD-381E6221F14C}"/>
    <cellStyle name="40% - Accent5 2 2 3 21" xfId="34656" xr:uid="{31527AB3-B967-4E13-9EB3-D2CDC12392AF}"/>
    <cellStyle name="40% - Accent5 2 2 3 22" xfId="36546" xr:uid="{F4D5B99D-92C2-4F21-B409-18214189C0C7}"/>
    <cellStyle name="40% - Accent5 2 2 3 23" xfId="38436" xr:uid="{F736107A-0DB7-4257-8FE6-9DCC87990F30}"/>
    <cellStyle name="40% - Accent5 2 2 3 24" xfId="40327" xr:uid="{DC367DF9-86CA-4F40-B441-64FA4EBFE805}"/>
    <cellStyle name="40% - Accent5 2 2 3 3" xfId="1896" xr:uid="{CE4C43A5-5D78-40DB-9F5A-56E3014ED205}"/>
    <cellStyle name="40% - Accent5 2 2 3 3 10" xfId="18906" xr:uid="{7DEDF807-0453-44E7-8318-B03629FFC7B8}"/>
    <cellStyle name="40% - Accent5 2 2 3 3 11" xfId="20796" xr:uid="{BEE01BF2-9EC3-45EB-ACFF-0AA580E1C507}"/>
    <cellStyle name="40% - Accent5 2 2 3 3 12" xfId="22686" xr:uid="{2EA53453-A0F1-420F-8062-BE8B3FCDC7C9}"/>
    <cellStyle name="40% - Accent5 2 2 3 3 13" xfId="24576" xr:uid="{C90A9E90-01D2-487F-99BC-85D864129EAC}"/>
    <cellStyle name="40% - Accent5 2 2 3 3 14" xfId="26466" xr:uid="{34B5B59F-C336-40A0-B2EF-607D9DA5BBBE}"/>
    <cellStyle name="40% - Accent5 2 2 3 3 15" xfId="28356" xr:uid="{11DC717C-FCDE-4498-BAA2-EF5B4ACBA433}"/>
    <cellStyle name="40% - Accent5 2 2 3 3 16" xfId="30246" xr:uid="{1E5D9F83-C15F-4669-BA88-79CCD3D5B31E}"/>
    <cellStyle name="40% - Accent5 2 2 3 3 17" xfId="32136" xr:uid="{5A3C5BD6-6054-4E56-83A6-56B44CE0AA48}"/>
    <cellStyle name="40% - Accent5 2 2 3 3 18" xfId="34026" xr:uid="{796008C0-BF53-4D34-8A95-EE8A01EC262F}"/>
    <cellStyle name="40% - Accent5 2 2 3 3 19" xfId="35916" xr:uid="{5F681F1A-FB94-4BB7-9198-48C8A234504D}"/>
    <cellStyle name="40% - Accent5 2 2 3 3 2" xfId="3786" xr:uid="{D03CDD3B-65CB-40D1-BD18-21A8A01052CE}"/>
    <cellStyle name="40% - Accent5 2 2 3 3 20" xfId="37806" xr:uid="{96102040-395E-439A-9FBF-5058321C3360}"/>
    <cellStyle name="40% - Accent5 2 2 3 3 21" xfId="39696" xr:uid="{3A7BF92D-916A-4B39-89EF-6A7FDA5F6C70}"/>
    <cellStyle name="40% - Accent5 2 2 3 3 22" xfId="41587" xr:uid="{F1C0DE6F-24B6-4D28-8B14-87990C65DDDF}"/>
    <cellStyle name="40% - Accent5 2 2 3 3 3" xfId="5676" xr:uid="{6D0657FA-3BF4-4F26-AED5-A370FFEBEFF7}"/>
    <cellStyle name="40% - Accent5 2 2 3 3 4" xfId="7566" xr:uid="{5508655C-6AF5-4D5F-98BA-B2FD963E1349}"/>
    <cellStyle name="40% - Accent5 2 2 3 3 5" xfId="9456" xr:uid="{2236DB62-0BE2-4481-B73E-390712437060}"/>
    <cellStyle name="40% - Accent5 2 2 3 3 6" xfId="11346" xr:uid="{93A745B5-415B-4AA6-B913-D62E7602C2FB}"/>
    <cellStyle name="40% - Accent5 2 2 3 3 7" xfId="13236" xr:uid="{08C7C018-52DA-4AD4-85A6-CA05E1B5AF41}"/>
    <cellStyle name="40% - Accent5 2 2 3 3 8" xfId="15126" xr:uid="{FAA92ADC-565A-475A-A2A6-A7352174B863}"/>
    <cellStyle name="40% - Accent5 2 2 3 3 9" xfId="17016" xr:uid="{9639995C-9D59-46C1-839E-33622D7CD25A}"/>
    <cellStyle name="40% - Accent5 2 2 3 4" xfId="2526" xr:uid="{F07F1DBD-2F2E-450E-8916-CEB23B139077}"/>
    <cellStyle name="40% - Accent5 2 2 3 5" xfId="4416" xr:uid="{D03CCA4B-B33B-4E96-9CAF-32F44DE23E66}"/>
    <cellStyle name="40% - Accent5 2 2 3 6" xfId="6306" xr:uid="{E7BF862C-897C-4BEF-9B83-4D396C420BAA}"/>
    <cellStyle name="40% - Accent5 2 2 3 7" xfId="8196" xr:uid="{B20EEDD8-E225-4926-BD36-EDE43E386423}"/>
    <cellStyle name="40% - Accent5 2 2 3 8" xfId="10086" xr:uid="{BF52AA6E-C526-4F4C-AB50-6C93EE07CF55}"/>
    <cellStyle name="40% - Accent5 2 2 3 9" xfId="11976" xr:uid="{DBEEF88C-6B40-42B3-9F01-BB49978A10B8}"/>
    <cellStyle name="40% - Accent5 2 2 4" xfId="846" xr:uid="{D752CDCB-7BBA-4A43-9FBB-98B028636EBE}"/>
    <cellStyle name="40% - Accent5 2 2 4 10" xfId="17856" xr:uid="{878362FD-F690-4011-8DAF-94336FE3506D}"/>
    <cellStyle name="40% - Accent5 2 2 4 11" xfId="19746" xr:uid="{599C0978-9445-4D90-9BB6-022C75985ACE}"/>
    <cellStyle name="40% - Accent5 2 2 4 12" xfId="21636" xr:uid="{DB6FF2C6-1FCB-4962-9A17-8DE210AD1976}"/>
    <cellStyle name="40% - Accent5 2 2 4 13" xfId="23526" xr:uid="{5503BF30-C7BB-4103-8341-94799B22B3D9}"/>
    <cellStyle name="40% - Accent5 2 2 4 14" xfId="25416" xr:uid="{0363BA03-A49D-4E96-8C6A-BE06A4A6312C}"/>
    <cellStyle name="40% - Accent5 2 2 4 15" xfId="27306" xr:uid="{92407A0A-4A3A-46E9-BE4B-3F464C63E895}"/>
    <cellStyle name="40% - Accent5 2 2 4 16" xfId="29196" xr:uid="{F0ECC06B-C98E-45F5-95BA-A18CEB697586}"/>
    <cellStyle name="40% - Accent5 2 2 4 17" xfId="31086" xr:uid="{EE8E12A1-8715-45C5-A2A2-2AF7EE8DFAA3}"/>
    <cellStyle name="40% - Accent5 2 2 4 18" xfId="32976" xr:uid="{85482D70-1F3D-4A3A-82FA-A8E6C0FEC1EC}"/>
    <cellStyle name="40% - Accent5 2 2 4 19" xfId="34866" xr:uid="{BBAB6AD7-35AA-4D9C-8FA3-5E030341BBFB}"/>
    <cellStyle name="40% - Accent5 2 2 4 2" xfId="2736" xr:uid="{31934656-041B-459F-BD91-9247F0CD7BF5}"/>
    <cellStyle name="40% - Accent5 2 2 4 20" xfId="36756" xr:uid="{456F6981-8A4E-4E95-8D20-D76DD97A4FCD}"/>
    <cellStyle name="40% - Accent5 2 2 4 21" xfId="38646" xr:uid="{B846EE51-F65E-4830-836E-9BDE34A2F09A}"/>
    <cellStyle name="40% - Accent5 2 2 4 22" xfId="40537" xr:uid="{71DDDB68-9831-4074-B794-4252C78DBEBC}"/>
    <cellStyle name="40% - Accent5 2 2 4 3" xfId="4626" xr:uid="{CF2C5BAF-8F0B-40AA-BA30-D922FF18BA7D}"/>
    <cellStyle name="40% - Accent5 2 2 4 4" xfId="6516" xr:uid="{56D0C10B-E043-44DB-B5A2-0D2712F7C96A}"/>
    <cellStyle name="40% - Accent5 2 2 4 5" xfId="8406" xr:uid="{EB7E06D3-3E31-48CD-902A-FB15B51F3BB3}"/>
    <cellStyle name="40% - Accent5 2 2 4 6" xfId="10296" xr:uid="{F75D7BA9-31D3-4D8B-88A0-5DDBB3D4236F}"/>
    <cellStyle name="40% - Accent5 2 2 4 7" xfId="12186" xr:uid="{9D615E68-7A4F-4AE9-9E2A-EAF406269CCC}"/>
    <cellStyle name="40% - Accent5 2 2 4 8" xfId="14076" xr:uid="{E3E1250E-D35F-4E50-A83B-FAF012AFB8F4}"/>
    <cellStyle name="40% - Accent5 2 2 4 9" xfId="15966" xr:uid="{4478F1FE-6F43-44BA-BF20-FA93871ACB1F}"/>
    <cellStyle name="40% - Accent5 2 2 5" xfId="1476" xr:uid="{5872A3E2-49C2-4ACC-A276-66DC9F88687E}"/>
    <cellStyle name="40% - Accent5 2 2 5 10" xfId="18486" xr:uid="{B1084382-39D3-4931-8DA6-BF452C78E4E6}"/>
    <cellStyle name="40% - Accent5 2 2 5 11" xfId="20376" xr:uid="{7E419580-91E8-4FFC-A028-1365AF439F25}"/>
    <cellStyle name="40% - Accent5 2 2 5 12" xfId="22266" xr:uid="{18D135B1-982B-47B1-BB28-E61DEDC76A79}"/>
    <cellStyle name="40% - Accent5 2 2 5 13" xfId="24156" xr:uid="{661AAA98-E848-4066-B931-E786D6559742}"/>
    <cellStyle name="40% - Accent5 2 2 5 14" xfId="26046" xr:uid="{948DCE00-B5AC-40B5-84F0-E32F410D1BA1}"/>
    <cellStyle name="40% - Accent5 2 2 5 15" xfId="27936" xr:uid="{3E889F0F-39F0-45C9-A546-BB364A3D7B4F}"/>
    <cellStyle name="40% - Accent5 2 2 5 16" xfId="29826" xr:uid="{599C646C-DE7C-4AA7-B9FA-456B7FCDC116}"/>
    <cellStyle name="40% - Accent5 2 2 5 17" xfId="31716" xr:uid="{EB77E384-7669-4F86-B319-D5F1BFA68D5D}"/>
    <cellStyle name="40% - Accent5 2 2 5 18" xfId="33606" xr:uid="{70D6F778-1186-4693-B061-EDB38D62A189}"/>
    <cellStyle name="40% - Accent5 2 2 5 19" xfId="35496" xr:uid="{4464D746-65AF-4DDC-8C87-E8E0E14BC5C4}"/>
    <cellStyle name="40% - Accent5 2 2 5 2" xfId="3366" xr:uid="{2C1DCB06-37D9-4262-9731-3A3E4DF94DA2}"/>
    <cellStyle name="40% - Accent5 2 2 5 20" xfId="37386" xr:uid="{BB08461B-1924-4DC1-B257-C43BFDE3298A}"/>
    <cellStyle name="40% - Accent5 2 2 5 21" xfId="39276" xr:uid="{999EDCEA-8EAE-4D2E-BC02-3FEE2AF329CD}"/>
    <cellStyle name="40% - Accent5 2 2 5 22" xfId="41167" xr:uid="{269A4B3C-1B0A-4ABC-9A81-B612AD52F638}"/>
    <cellStyle name="40% - Accent5 2 2 5 3" xfId="5256" xr:uid="{BD4B4D52-DBDD-4492-B4B4-FA044C79BA1D}"/>
    <cellStyle name="40% - Accent5 2 2 5 4" xfId="7146" xr:uid="{B87A6F72-4E69-4F86-B7EF-5B148DDC017B}"/>
    <cellStyle name="40% - Accent5 2 2 5 5" xfId="9036" xr:uid="{AEA5F014-4CEB-4D3A-AE31-82FE5F5ABA1F}"/>
    <cellStyle name="40% - Accent5 2 2 5 6" xfId="10926" xr:uid="{ADEDA9A1-677D-4421-8F40-7291FCBDF593}"/>
    <cellStyle name="40% - Accent5 2 2 5 7" xfId="12816" xr:uid="{F0B34DD8-6D3E-42B6-85C5-55A7AD25CA0E}"/>
    <cellStyle name="40% - Accent5 2 2 5 8" xfId="14706" xr:uid="{F429A78D-9312-455E-8509-B2D73069A5C9}"/>
    <cellStyle name="40% - Accent5 2 2 5 9" xfId="16596" xr:uid="{FDF32EC4-FA1B-4BA0-8C15-165E42739CAA}"/>
    <cellStyle name="40% - Accent5 2 2 6" xfId="2106" xr:uid="{B6333A25-EA65-49C2-AF9F-982D941168B3}"/>
    <cellStyle name="40% - Accent5 2 2 7" xfId="3996" xr:uid="{A60DBC5A-FFFA-4FF6-845C-3954E2B3F767}"/>
    <cellStyle name="40% - Accent5 2 2 8" xfId="5886" xr:uid="{A5415E0B-D43D-4F80-8190-630B285BAA68}"/>
    <cellStyle name="40% - Accent5 2 2 9" xfId="7776" xr:uid="{38CE0546-7B05-4C70-8C5F-EDA2F1EBCEC3}"/>
    <cellStyle name="40% - Accent5 2 20" xfId="26571" xr:uid="{3CAA383C-F54E-44AD-AB18-B015DA1F97BD}"/>
    <cellStyle name="40% - Accent5 2 21" xfId="28461" xr:uid="{9B9459FF-F4FF-45F6-BCAD-2EAB65D5FA1A}"/>
    <cellStyle name="40% - Accent5 2 22" xfId="30351" xr:uid="{497749F7-32C1-47AE-820F-48EF2D645958}"/>
    <cellStyle name="40% - Accent5 2 23" xfId="32241" xr:uid="{61BA6DD5-9102-4E9F-8C74-071541C2C76D}"/>
    <cellStyle name="40% - Accent5 2 24" xfId="34131" xr:uid="{514B6B72-DFC3-4049-909C-04ABB3ADC412}"/>
    <cellStyle name="40% - Accent5 2 25" xfId="36021" xr:uid="{890D692C-AB1F-4682-91AF-B2147A638CF4}"/>
    <cellStyle name="40% - Accent5 2 26" xfId="37911" xr:uid="{ACF63F7A-5F3B-4812-897D-37D82A989016}"/>
    <cellStyle name="40% - Accent5 2 27" xfId="39802" xr:uid="{DB15341C-6819-44D2-90FA-9ACE5D594372}"/>
    <cellStyle name="40% - Accent5 2 3" xfId="321" xr:uid="{FEEC62E2-D871-484E-BDA5-773F4AC73EC2}"/>
    <cellStyle name="40% - Accent5 2 3 10" xfId="13551" xr:uid="{2F27657F-290E-425E-94E4-C3AF768CDEDD}"/>
    <cellStyle name="40% - Accent5 2 3 11" xfId="15441" xr:uid="{1D07D2F0-165B-4903-9780-7903718CC1F8}"/>
    <cellStyle name="40% - Accent5 2 3 12" xfId="17331" xr:uid="{81046C16-590E-47B5-BE1F-19F33E13CF5A}"/>
    <cellStyle name="40% - Accent5 2 3 13" xfId="19221" xr:uid="{A520CFF4-B6C0-4BA8-809F-AD363900B029}"/>
    <cellStyle name="40% - Accent5 2 3 14" xfId="21111" xr:uid="{0E2F99B2-60BC-45CA-A047-841EF248ACC7}"/>
    <cellStyle name="40% - Accent5 2 3 15" xfId="23001" xr:uid="{E469B86A-40F5-462C-A9A1-6384040B4797}"/>
    <cellStyle name="40% - Accent5 2 3 16" xfId="24891" xr:uid="{46836A42-BC1B-4DC0-9A9C-784D20272B90}"/>
    <cellStyle name="40% - Accent5 2 3 17" xfId="26781" xr:uid="{D1923ADF-4E3A-42D8-AD9C-66B07378AFC6}"/>
    <cellStyle name="40% - Accent5 2 3 18" xfId="28671" xr:uid="{3D9BB87F-E1AE-4758-9F83-2F8F86CB877A}"/>
    <cellStyle name="40% - Accent5 2 3 19" xfId="30561" xr:uid="{A23808FB-6354-429A-90F2-13A7804D569F}"/>
    <cellStyle name="40% - Accent5 2 3 2" xfId="951" xr:uid="{1D5D292E-6AF7-4DAC-9B90-BA9E8E6D9E41}"/>
    <cellStyle name="40% - Accent5 2 3 2 10" xfId="17961" xr:uid="{7AC22C45-B7B4-422C-A237-D7DB7AC4AA71}"/>
    <cellStyle name="40% - Accent5 2 3 2 11" xfId="19851" xr:uid="{F85690E9-5AA0-4D3D-A1F7-D1E2A13D39F7}"/>
    <cellStyle name="40% - Accent5 2 3 2 12" xfId="21741" xr:uid="{FF743DDE-76A9-4563-97AD-6D252B8C1C4C}"/>
    <cellStyle name="40% - Accent5 2 3 2 13" xfId="23631" xr:uid="{A794FBAF-EE9C-45D6-8D57-A46543DD9B2C}"/>
    <cellStyle name="40% - Accent5 2 3 2 14" xfId="25521" xr:uid="{3964C9C6-B416-476F-B6C5-B9EB5F93B196}"/>
    <cellStyle name="40% - Accent5 2 3 2 15" xfId="27411" xr:uid="{FE8EAD39-4D5A-44B4-BBB2-BA0B9A99D7B0}"/>
    <cellStyle name="40% - Accent5 2 3 2 16" xfId="29301" xr:uid="{50BAE8ED-8DC6-49F9-9B44-CF720D6EC7C8}"/>
    <cellStyle name="40% - Accent5 2 3 2 17" xfId="31191" xr:uid="{E5A1732C-D3EC-4E05-8D7A-60AC22F1960F}"/>
    <cellStyle name="40% - Accent5 2 3 2 18" xfId="33081" xr:uid="{1EC0082E-5D7F-4B99-A1A2-6A244AAD0E4A}"/>
    <cellStyle name="40% - Accent5 2 3 2 19" xfId="34971" xr:uid="{B68567F2-0A5D-469A-92FB-E5076B574CA0}"/>
    <cellStyle name="40% - Accent5 2 3 2 2" xfId="2841" xr:uid="{8F2B6510-1D58-485E-8E8E-FEA0A3C15C57}"/>
    <cellStyle name="40% - Accent5 2 3 2 20" xfId="36861" xr:uid="{82C05AC9-A314-4AA3-BDE0-DF5DC8DB0278}"/>
    <cellStyle name="40% - Accent5 2 3 2 21" xfId="38751" xr:uid="{627A97D1-C375-4EFC-B5D1-191B44A61DA0}"/>
    <cellStyle name="40% - Accent5 2 3 2 22" xfId="40642" xr:uid="{A96B2DB0-23A8-4A28-BC3F-703C7B7DF35F}"/>
    <cellStyle name="40% - Accent5 2 3 2 3" xfId="4731" xr:uid="{A620A181-985C-4CBB-83BC-04D1596E52E1}"/>
    <cellStyle name="40% - Accent5 2 3 2 4" xfId="6621" xr:uid="{C5279165-ED5B-4C0F-8638-711617C36497}"/>
    <cellStyle name="40% - Accent5 2 3 2 5" xfId="8511" xr:uid="{4EE49668-84F7-4C63-9E50-D3B58BF3E4A0}"/>
    <cellStyle name="40% - Accent5 2 3 2 6" xfId="10401" xr:uid="{2300A2BB-5E47-4AE3-A7EB-899FB43F5D20}"/>
    <cellStyle name="40% - Accent5 2 3 2 7" xfId="12291" xr:uid="{A3AAC4B6-B22E-4615-9327-084092C5D2AA}"/>
    <cellStyle name="40% - Accent5 2 3 2 8" xfId="14181" xr:uid="{C0EBF679-EAD1-4134-949B-8A40C79BE6D1}"/>
    <cellStyle name="40% - Accent5 2 3 2 9" xfId="16071" xr:uid="{0F74AB0C-880C-4A8F-9634-D59755E971D5}"/>
    <cellStyle name="40% - Accent5 2 3 20" xfId="32451" xr:uid="{EDE9E51D-28DB-4CEF-B4B2-07FFDF6A07D5}"/>
    <cellStyle name="40% - Accent5 2 3 21" xfId="34341" xr:uid="{DC709853-FDF6-41F0-BC79-26AE43804A07}"/>
    <cellStyle name="40% - Accent5 2 3 22" xfId="36231" xr:uid="{E0EF6076-8150-4882-A06A-45B33E684567}"/>
    <cellStyle name="40% - Accent5 2 3 23" xfId="38121" xr:uid="{01D76D96-176C-4CA3-AC8E-1D5B33380CA1}"/>
    <cellStyle name="40% - Accent5 2 3 24" xfId="40012" xr:uid="{99B1476A-9BD4-4A20-BCCE-BA7D6EB794DD}"/>
    <cellStyle name="40% - Accent5 2 3 3" xfId="1581" xr:uid="{EA91715B-D1F0-4AD0-97F3-8B0463FAB25D}"/>
    <cellStyle name="40% - Accent5 2 3 3 10" xfId="18591" xr:uid="{A8B32D70-E8B2-496B-93B8-1C1A62EC8623}"/>
    <cellStyle name="40% - Accent5 2 3 3 11" xfId="20481" xr:uid="{0914FD7A-5C6D-4A07-8EB9-E806DB24FEB8}"/>
    <cellStyle name="40% - Accent5 2 3 3 12" xfId="22371" xr:uid="{1CF45E34-2DD1-4BEF-8E3B-6D35B057079B}"/>
    <cellStyle name="40% - Accent5 2 3 3 13" xfId="24261" xr:uid="{0FDD4C1C-700F-47D7-8D76-E013E9E08C16}"/>
    <cellStyle name="40% - Accent5 2 3 3 14" xfId="26151" xr:uid="{DC986430-0980-4426-A928-23231E87C01E}"/>
    <cellStyle name="40% - Accent5 2 3 3 15" xfId="28041" xr:uid="{24B6EC59-7744-4021-A8C9-142F7A337299}"/>
    <cellStyle name="40% - Accent5 2 3 3 16" xfId="29931" xr:uid="{93BE1C19-F42F-4E67-AD8C-CF809469F15B}"/>
    <cellStyle name="40% - Accent5 2 3 3 17" xfId="31821" xr:uid="{E176ECDD-E0D5-4C76-8B61-48054EAE254D}"/>
    <cellStyle name="40% - Accent5 2 3 3 18" xfId="33711" xr:uid="{A0FF4520-1CB6-4938-8004-A1779F1C517A}"/>
    <cellStyle name="40% - Accent5 2 3 3 19" xfId="35601" xr:uid="{BB899166-388A-4EDB-B68D-292B4E28E61F}"/>
    <cellStyle name="40% - Accent5 2 3 3 2" xfId="3471" xr:uid="{1195D083-67B7-40FB-87CB-2203482082AA}"/>
    <cellStyle name="40% - Accent5 2 3 3 20" xfId="37491" xr:uid="{FEC4820D-BA4E-470F-962B-B1C3C746B2BB}"/>
    <cellStyle name="40% - Accent5 2 3 3 21" xfId="39381" xr:uid="{4544D31B-6C43-4754-A94C-1B5789698994}"/>
    <cellStyle name="40% - Accent5 2 3 3 22" xfId="41272" xr:uid="{DF356A38-6C83-4BDE-804A-E7DA902F77B9}"/>
    <cellStyle name="40% - Accent5 2 3 3 3" xfId="5361" xr:uid="{0D509E1E-AC2F-4E40-BA41-01D450CA47A1}"/>
    <cellStyle name="40% - Accent5 2 3 3 4" xfId="7251" xr:uid="{DB4C7FDA-BDB5-4DF2-89F7-AF7FE13B8421}"/>
    <cellStyle name="40% - Accent5 2 3 3 5" xfId="9141" xr:uid="{F4692536-BDA3-4FB8-B9DD-528334C65CE1}"/>
    <cellStyle name="40% - Accent5 2 3 3 6" xfId="11031" xr:uid="{ED1CF2B4-7B7E-43E1-A24C-62A300D7847E}"/>
    <cellStyle name="40% - Accent5 2 3 3 7" xfId="12921" xr:uid="{56FA1816-9B88-4F11-AC84-24E914803474}"/>
    <cellStyle name="40% - Accent5 2 3 3 8" xfId="14811" xr:uid="{9DB46376-DEE1-453D-AB36-4BA330E477CD}"/>
    <cellStyle name="40% - Accent5 2 3 3 9" xfId="16701" xr:uid="{AEADA4BC-60C9-4748-889F-8FA569945940}"/>
    <cellStyle name="40% - Accent5 2 3 4" xfId="2211" xr:uid="{6ECAA632-0C70-474B-BFCE-253732AA3661}"/>
    <cellStyle name="40% - Accent5 2 3 5" xfId="4101" xr:uid="{C177EDF4-BC22-4E51-9D30-D6720EAE6051}"/>
    <cellStyle name="40% - Accent5 2 3 6" xfId="5991" xr:uid="{B26C0948-2B37-443A-A1A9-3E6D9E8F1726}"/>
    <cellStyle name="40% - Accent5 2 3 7" xfId="7881" xr:uid="{AEEC86F9-2026-4BDD-A5ED-78D2856C740F}"/>
    <cellStyle name="40% - Accent5 2 3 8" xfId="9771" xr:uid="{34C8FB9C-6FE2-4AE0-9D6F-1A477719C094}"/>
    <cellStyle name="40% - Accent5 2 3 9" xfId="11661" xr:uid="{3382B981-47DC-489C-87FF-344BD13593F6}"/>
    <cellStyle name="40% - Accent5 2 4" xfId="531" xr:uid="{77026E66-69A9-4A24-9740-A0BA6209AA0B}"/>
    <cellStyle name="40% - Accent5 2 4 10" xfId="13761" xr:uid="{9A2661B7-B04C-4236-BE2F-444DECF674AB}"/>
    <cellStyle name="40% - Accent5 2 4 11" xfId="15651" xr:uid="{883D1C08-470D-4E46-B5DB-0F8EF5834F09}"/>
    <cellStyle name="40% - Accent5 2 4 12" xfId="17541" xr:uid="{CA545AE3-8A02-462C-ACCE-E147C1EA6AF9}"/>
    <cellStyle name="40% - Accent5 2 4 13" xfId="19431" xr:uid="{4447C9D4-70E3-4078-BC4E-8E60D2FF7663}"/>
    <cellStyle name="40% - Accent5 2 4 14" xfId="21321" xr:uid="{87E22A4C-AE15-49AB-8AFC-CE8B5EB055AA}"/>
    <cellStyle name="40% - Accent5 2 4 15" xfId="23211" xr:uid="{0F553AD6-005A-4BF7-8D11-203EEAD61987}"/>
    <cellStyle name="40% - Accent5 2 4 16" xfId="25101" xr:uid="{043E4045-568E-4ABC-A184-532A37A21F17}"/>
    <cellStyle name="40% - Accent5 2 4 17" xfId="26991" xr:uid="{59874080-6006-49BC-B15C-5046C028338D}"/>
    <cellStyle name="40% - Accent5 2 4 18" xfId="28881" xr:uid="{283FD238-87D4-4C50-83D7-227C7480EF82}"/>
    <cellStyle name="40% - Accent5 2 4 19" xfId="30771" xr:uid="{A783C9FB-3EDE-4479-BA03-E9267D6BEFCC}"/>
    <cellStyle name="40% - Accent5 2 4 2" xfId="1161" xr:uid="{0B75B80F-0927-4A65-A6D3-F7874CB3EB76}"/>
    <cellStyle name="40% - Accent5 2 4 2 10" xfId="18171" xr:uid="{B176AE23-BC47-4569-A49C-849FF5E89312}"/>
    <cellStyle name="40% - Accent5 2 4 2 11" xfId="20061" xr:uid="{59D1EAE2-AC7D-4197-A5F2-B9835CD59A39}"/>
    <cellStyle name="40% - Accent5 2 4 2 12" xfId="21951" xr:uid="{FD3BBFE7-9D50-470D-975F-29FE276A650C}"/>
    <cellStyle name="40% - Accent5 2 4 2 13" xfId="23841" xr:uid="{E280D0D0-8B66-435D-A694-925CE3C6D68A}"/>
    <cellStyle name="40% - Accent5 2 4 2 14" xfId="25731" xr:uid="{0D738365-9418-46DA-9F31-9F558FF33681}"/>
    <cellStyle name="40% - Accent5 2 4 2 15" xfId="27621" xr:uid="{791E07FE-70D2-4FA1-847E-629F565B5923}"/>
    <cellStyle name="40% - Accent5 2 4 2 16" xfId="29511" xr:uid="{412726FA-1B48-4931-B590-1C75381211E0}"/>
    <cellStyle name="40% - Accent5 2 4 2 17" xfId="31401" xr:uid="{3198ABBA-E3DC-4159-87DE-8DB100496FFC}"/>
    <cellStyle name="40% - Accent5 2 4 2 18" xfId="33291" xr:uid="{B05F5592-6E3F-4E07-A748-FCC6226AFE52}"/>
    <cellStyle name="40% - Accent5 2 4 2 19" xfId="35181" xr:uid="{3080E771-EC75-4C74-9EB0-243180225C5C}"/>
    <cellStyle name="40% - Accent5 2 4 2 2" xfId="3051" xr:uid="{C9951BED-22AB-4678-97DA-6FB0A59262B8}"/>
    <cellStyle name="40% - Accent5 2 4 2 20" xfId="37071" xr:uid="{74FE9377-B8B8-4AC3-A635-59CBE1CF1B3C}"/>
    <cellStyle name="40% - Accent5 2 4 2 21" xfId="38961" xr:uid="{6F485772-1451-4783-ACCD-FD67E8EB24B3}"/>
    <cellStyle name="40% - Accent5 2 4 2 22" xfId="40852" xr:uid="{91C1AD26-0407-4DE3-BF1A-0152B8845397}"/>
    <cellStyle name="40% - Accent5 2 4 2 3" xfId="4941" xr:uid="{C270300D-5C3B-4ABA-80A6-9312BD8877F5}"/>
    <cellStyle name="40% - Accent5 2 4 2 4" xfId="6831" xr:uid="{89D099D5-1B5D-4A20-B9BE-75889CAE690F}"/>
    <cellStyle name="40% - Accent5 2 4 2 5" xfId="8721" xr:uid="{44248425-21B2-49A3-BEC1-141BC2F89F8C}"/>
    <cellStyle name="40% - Accent5 2 4 2 6" xfId="10611" xr:uid="{68FD540E-4D1E-4366-BEB1-020BA947AB2C}"/>
    <cellStyle name="40% - Accent5 2 4 2 7" xfId="12501" xr:uid="{28DFAD8E-45CB-4E9E-AF8B-8181EA6E8082}"/>
    <cellStyle name="40% - Accent5 2 4 2 8" xfId="14391" xr:uid="{54ADB4F6-A969-41E2-9780-DA7D1F8805DC}"/>
    <cellStyle name="40% - Accent5 2 4 2 9" xfId="16281" xr:uid="{70CCEF26-B6D1-4B85-9022-3FCC71ABD233}"/>
    <cellStyle name="40% - Accent5 2 4 20" xfId="32661" xr:uid="{5E4E92BD-7D7B-44B9-B634-DF4855936A6D}"/>
    <cellStyle name="40% - Accent5 2 4 21" xfId="34551" xr:uid="{BE920522-3488-4F14-98FF-79CA8F31DC46}"/>
    <cellStyle name="40% - Accent5 2 4 22" xfId="36441" xr:uid="{B00F3391-9DFA-4472-8B26-8CB30C703338}"/>
    <cellStyle name="40% - Accent5 2 4 23" xfId="38331" xr:uid="{25D4C230-7749-4897-A090-5A2D0E839F11}"/>
    <cellStyle name="40% - Accent5 2 4 24" xfId="40222" xr:uid="{C4A62DCA-B6FF-424B-B5DB-3075406C61D0}"/>
    <cellStyle name="40% - Accent5 2 4 3" xfId="1791" xr:uid="{56722655-502A-4D96-84A8-7DBE29F76458}"/>
    <cellStyle name="40% - Accent5 2 4 3 10" xfId="18801" xr:uid="{90FEB9F3-2FBA-4B57-9A67-4AF088B811B9}"/>
    <cellStyle name="40% - Accent5 2 4 3 11" xfId="20691" xr:uid="{8F73AC60-75BA-4B5D-B346-EF0AECD336F7}"/>
    <cellStyle name="40% - Accent5 2 4 3 12" xfId="22581" xr:uid="{1664D019-692D-40F0-B32F-BEC4E83E99C2}"/>
    <cellStyle name="40% - Accent5 2 4 3 13" xfId="24471" xr:uid="{729226C9-19DF-4C58-8A07-8A53692E61EB}"/>
    <cellStyle name="40% - Accent5 2 4 3 14" xfId="26361" xr:uid="{92A79074-D56E-4BF9-9B93-EB3439786526}"/>
    <cellStyle name="40% - Accent5 2 4 3 15" xfId="28251" xr:uid="{909F4392-7BE8-40C5-9517-A8657713BF8B}"/>
    <cellStyle name="40% - Accent5 2 4 3 16" xfId="30141" xr:uid="{B128C3F0-7AC5-46C8-B638-AC3C6D324613}"/>
    <cellStyle name="40% - Accent5 2 4 3 17" xfId="32031" xr:uid="{DB3A2F66-3CA2-40F7-8A18-BFE8C38CEB36}"/>
    <cellStyle name="40% - Accent5 2 4 3 18" xfId="33921" xr:uid="{B78F821E-5DB1-4058-BC57-EFB933504ED4}"/>
    <cellStyle name="40% - Accent5 2 4 3 19" xfId="35811" xr:uid="{2AC070F5-B7EE-498C-8928-6897B5898C3D}"/>
    <cellStyle name="40% - Accent5 2 4 3 2" xfId="3681" xr:uid="{8648A9DA-C5BA-44D3-A180-8C946AF92407}"/>
    <cellStyle name="40% - Accent5 2 4 3 20" xfId="37701" xr:uid="{80B6744F-1AAC-4A1F-9BEF-51738FC46B08}"/>
    <cellStyle name="40% - Accent5 2 4 3 21" xfId="39591" xr:uid="{ADDA4607-42BA-4AA8-A5B4-7CB36F692A70}"/>
    <cellStyle name="40% - Accent5 2 4 3 22" xfId="41482" xr:uid="{2646C6F0-E5B5-45B5-9A3B-5F252889D6AC}"/>
    <cellStyle name="40% - Accent5 2 4 3 3" xfId="5571" xr:uid="{90A8027F-6B01-476D-A74D-0C31857633B6}"/>
    <cellStyle name="40% - Accent5 2 4 3 4" xfId="7461" xr:uid="{911C478B-31B3-4085-9572-B1CBE8B642B6}"/>
    <cellStyle name="40% - Accent5 2 4 3 5" xfId="9351" xr:uid="{3E8EED2C-CDA6-4960-8A4A-FECA34F8DB2B}"/>
    <cellStyle name="40% - Accent5 2 4 3 6" xfId="11241" xr:uid="{76E4BA32-3DC7-4E0F-AD4C-78133198A66D}"/>
    <cellStyle name="40% - Accent5 2 4 3 7" xfId="13131" xr:uid="{1FAF9AFD-4B06-4B01-A85F-101147EA1074}"/>
    <cellStyle name="40% - Accent5 2 4 3 8" xfId="15021" xr:uid="{C0D60935-7615-4557-AB1E-A37648F02698}"/>
    <cellStyle name="40% - Accent5 2 4 3 9" xfId="16911" xr:uid="{F5C30A21-C0A5-4CB4-B67F-E43A3F56403C}"/>
    <cellStyle name="40% - Accent5 2 4 4" xfId="2421" xr:uid="{3E3FF50C-8572-4E34-B08B-8501BC453203}"/>
    <cellStyle name="40% - Accent5 2 4 5" xfId="4311" xr:uid="{12C53139-AD8C-4185-949D-26BFF58853F5}"/>
    <cellStyle name="40% - Accent5 2 4 6" xfId="6201" xr:uid="{7E94A929-490E-4AFC-85D9-D87217466D0D}"/>
    <cellStyle name="40% - Accent5 2 4 7" xfId="8091" xr:uid="{13AEEB06-9538-4CE6-93A2-6630812FB28B}"/>
    <cellStyle name="40% - Accent5 2 4 8" xfId="9981" xr:uid="{2EE95EF9-6773-4171-BBD2-8EB5714A8E2A}"/>
    <cellStyle name="40% - Accent5 2 4 9" xfId="11871" xr:uid="{43502D19-4EE4-42DF-971F-F5855B197099}"/>
    <cellStyle name="40% - Accent5 2 5" xfId="741" xr:uid="{CC720535-C14B-44E6-BAF8-A24599520B36}"/>
    <cellStyle name="40% - Accent5 2 5 10" xfId="17751" xr:uid="{ED965199-352B-4C1A-B1C5-E9439AEC7B2A}"/>
    <cellStyle name="40% - Accent5 2 5 11" xfId="19641" xr:uid="{82D5A700-AB20-4923-A418-8A4194960E6F}"/>
    <cellStyle name="40% - Accent5 2 5 12" xfId="21531" xr:uid="{870BDF05-F341-4CFD-954C-5763316A93D3}"/>
    <cellStyle name="40% - Accent5 2 5 13" xfId="23421" xr:uid="{BB8D6342-17BC-4D52-B402-CA5B7833B152}"/>
    <cellStyle name="40% - Accent5 2 5 14" xfId="25311" xr:uid="{364D7077-CF9F-47E9-A7F6-EF22F2F40CF3}"/>
    <cellStyle name="40% - Accent5 2 5 15" xfId="27201" xr:uid="{7845D263-ED34-47A2-8D1E-00B6E1CD997C}"/>
    <cellStyle name="40% - Accent5 2 5 16" xfId="29091" xr:uid="{D3950462-BCD9-41BC-90A1-AC01858CD21E}"/>
    <cellStyle name="40% - Accent5 2 5 17" xfId="30981" xr:uid="{59ACEF43-7A87-4DCB-93A3-2B6D3F952AB4}"/>
    <cellStyle name="40% - Accent5 2 5 18" xfId="32871" xr:uid="{AD90FF80-26E9-4DF5-AF1E-021304A007A8}"/>
    <cellStyle name="40% - Accent5 2 5 19" xfId="34761" xr:uid="{351A3D81-5F12-4AEE-BE9F-820348A1C039}"/>
    <cellStyle name="40% - Accent5 2 5 2" xfId="2631" xr:uid="{FE96599A-E458-40C5-834E-637840D8532D}"/>
    <cellStyle name="40% - Accent5 2 5 20" xfId="36651" xr:uid="{DD3CEB70-078B-4815-82F0-C8B494C6BA41}"/>
    <cellStyle name="40% - Accent5 2 5 21" xfId="38541" xr:uid="{39604619-457F-49AE-87D7-50D411C1E79A}"/>
    <cellStyle name="40% - Accent5 2 5 22" xfId="40432" xr:uid="{09C22DBD-C1C1-4E32-B652-E00E7FD9B956}"/>
    <cellStyle name="40% - Accent5 2 5 3" xfId="4521" xr:uid="{289726F8-5BD5-4E4C-8E07-14D76FE6605E}"/>
    <cellStyle name="40% - Accent5 2 5 4" xfId="6411" xr:uid="{FE7E9A77-754F-4132-99AD-F59E18616D66}"/>
    <cellStyle name="40% - Accent5 2 5 5" xfId="8301" xr:uid="{52B76CC8-8683-4BDE-B483-15FBBFBE8C5E}"/>
    <cellStyle name="40% - Accent5 2 5 6" xfId="10191" xr:uid="{F771FB3B-C890-4409-BE4A-305F46D40F60}"/>
    <cellStyle name="40% - Accent5 2 5 7" xfId="12081" xr:uid="{33FE8402-D495-4AB9-9414-35047453B5DE}"/>
    <cellStyle name="40% - Accent5 2 5 8" xfId="13971" xr:uid="{A809EB8B-675F-4A23-B401-4AE6EA3E92AB}"/>
    <cellStyle name="40% - Accent5 2 5 9" xfId="15861" xr:uid="{2CB98EFE-352E-416C-A966-74035AA82F8C}"/>
    <cellStyle name="40% - Accent5 2 6" xfId="1371" xr:uid="{6733F3FD-ED17-4F52-83D9-7790460BC513}"/>
    <cellStyle name="40% - Accent5 2 6 10" xfId="18381" xr:uid="{BF740CCE-642F-4608-A834-8C876AAEA885}"/>
    <cellStyle name="40% - Accent5 2 6 11" xfId="20271" xr:uid="{F21EC3AE-B1C4-434D-BBB1-FBF94806FE85}"/>
    <cellStyle name="40% - Accent5 2 6 12" xfId="22161" xr:uid="{0E9AA042-BBF6-47FF-B5BD-583BA9DA7C1F}"/>
    <cellStyle name="40% - Accent5 2 6 13" xfId="24051" xr:uid="{79610C9F-81F3-4F38-8101-E347B024F58A}"/>
    <cellStyle name="40% - Accent5 2 6 14" xfId="25941" xr:uid="{EFB8E4B5-C8FC-4034-A6BB-500D4FA40828}"/>
    <cellStyle name="40% - Accent5 2 6 15" xfId="27831" xr:uid="{A555C716-4AC1-40EE-A20B-9693AC7A5CB7}"/>
    <cellStyle name="40% - Accent5 2 6 16" xfId="29721" xr:uid="{6E2929E3-70BB-41EA-8E8D-B6DDA7B31907}"/>
    <cellStyle name="40% - Accent5 2 6 17" xfId="31611" xr:uid="{CFD283B6-23E5-4AB7-A95F-DE19EF13CC2C}"/>
    <cellStyle name="40% - Accent5 2 6 18" xfId="33501" xr:uid="{4975995F-D2C6-44D5-B436-6CED6E83D6FD}"/>
    <cellStyle name="40% - Accent5 2 6 19" xfId="35391" xr:uid="{53FDD89C-C517-44DF-8EA1-4D35B6044818}"/>
    <cellStyle name="40% - Accent5 2 6 2" xfId="3261" xr:uid="{1930B00A-36AD-4A15-9838-27F346449E67}"/>
    <cellStyle name="40% - Accent5 2 6 20" xfId="37281" xr:uid="{87B9B788-C0D2-4C07-8D57-44A104177EFF}"/>
    <cellStyle name="40% - Accent5 2 6 21" xfId="39171" xr:uid="{D18F553B-03FB-4F07-AA17-9B51306FD6F3}"/>
    <cellStyle name="40% - Accent5 2 6 22" xfId="41062" xr:uid="{BC2AA0D3-0ED1-47AD-8B38-37B939F6FA2A}"/>
    <cellStyle name="40% - Accent5 2 6 3" xfId="5151" xr:uid="{8816FE02-5CC9-4345-A9D9-192F31933A4B}"/>
    <cellStyle name="40% - Accent5 2 6 4" xfId="7041" xr:uid="{38BC9AE9-5547-46F7-A7E5-2A3C23DF84DB}"/>
    <cellStyle name="40% - Accent5 2 6 5" xfId="8931" xr:uid="{077F86CD-6DA6-4F66-AC82-4CB05FE2A8ED}"/>
    <cellStyle name="40% - Accent5 2 6 6" xfId="10821" xr:uid="{C30F1FFD-5A98-4228-A531-71871ECFF8F1}"/>
    <cellStyle name="40% - Accent5 2 6 7" xfId="12711" xr:uid="{1787776D-1A01-439C-A403-4955F0F32054}"/>
    <cellStyle name="40% - Accent5 2 6 8" xfId="14601" xr:uid="{43137547-3195-4E76-A55C-37A51F12C849}"/>
    <cellStyle name="40% - Accent5 2 6 9" xfId="16491" xr:uid="{21A90F1D-3676-4EF6-B5C6-1BF2B7296008}"/>
    <cellStyle name="40% - Accent5 2 7" xfId="2001" xr:uid="{8DE64FB0-0FE0-4EE2-AABF-C87171E60C79}"/>
    <cellStyle name="40% - Accent5 2 8" xfId="3891" xr:uid="{C9EF7B0F-9541-449F-809D-518E45605D99}"/>
    <cellStyle name="40% - Accent5 2 9" xfId="5781" xr:uid="{9AFCE3DB-2482-44D5-924E-87C3F13BF22B}"/>
    <cellStyle name="40% - Accent5 20" xfId="22769" xr:uid="{2C10522B-F8A4-4A81-99AE-38F307CF0243}"/>
    <cellStyle name="40% - Accent5 21" xfId="24659" xr:uid="{DDA5F0EB-3C36-4AE0-A632-2904E42DFB11}"/>
    <cellStyle name="40% - Accent5 22" xfId="26549" xr:uid="{AD9F35CF-4913-4386-993A-0C5AE500AF40}"/>
    <cellStyle name="40% - Accent5 23" xfId="28439" xr:uid="{6AC07DE7-30B6-4759-A9C7-F9190EB8468C}"/>
    <cellStyle name="40% - Accent5 24" xfId="30329" xr:uid="{EDCE7F4A-A599-42B7-8EA3-EC19CBB07773}"/>
    <cellStyle name="40% - Accent5 25" xfId="32219" xr:uid="{2E5D7DA7-998C-42D8-91A5-CBB86589DFAB}"/>
    <cellStyle name="40% - Accent5 26" xfId="34109" xr:uid="{241D89B4-6D89-45CB-9412-F55615AEA525}"/>
    <cellStyle name="40% - Accent5 27" xfId="35999" xr:uid="{AB022E3C-C141-4FE3-8E3C-FE7F113624CD}"/>
    <cellStyle name="40% - Accent5 28" xfId="37889" xr:uid="{7DE0F0AB-D0F9-429A-B0B4-6A504D22953D}"/>
    <cellStyle name="40% - Accent5 29" xfId="39780" xr:uid="{B9F73A6D-E5E8-4A69-A42D-63987F59C73C}"/>
    <cellStyle name="40% - Accent5 3" xfId="131" xr:uid="{7CC528B9-58A9-4DC5-A375-2922379ADA93}"/>
    <cellStyle name="40% - Accent5 3 10" xfId="7691" xr:uid="{A2614971-2852-4BF6-B96A-2CBDB1C214EA}"/>
    <cellStyle name="40% - Accent5 3 11" xfId="9581" xr:uid="{D88B043D-6584-40D5-90F8-AD7D4EA0A6C8}"/>
    <cellStyle name="40% - Accent5 3 12" xfId="11471" xr:uid="{92DD15B3-E3A9-443E-9D7E-6F6F3FAF37ED}"/>
    <cellStyle name="40% - Accent5 3 13" xfId="13361" xr:uid="{42700BCE-B8C0-4626-851C-BF31BBE43ABA}"/>
    <cellStyle name="40% - Accent5 3 14" xfId="15251" xr:uid="{54DA07E9-1FDA-4C68-ADFC-DD1047D2DD12}"/>
    <cellStyle name="40% - Accent5 3 15" xfId="17141" xr:uid="{D1B6D062-7CB1-4DFC-9875-87E26EE2148A}"/>
    <cellStyle name="40% - Accent5 3 16" xfId="19031" xr:uid="{B8072DEE-4E29-466D-BAA4-E25118CF3425}"/>
    <cellStyle name="40% - Accent5 3 17" xfId="20921" xr:uid="{FEF1EE96-BF66-4393-BF1F-7B7F9951FFA1}"/>
    <cellStyle name="40% - Accent5 3 18" xfId="22811" xr:uid="{A8CEB60B-887E-4BDC-ACE3-CC9D83E3DE7B}"/>
    <cellStyle name="40% - Accent5 3 19" xfId="24701" xr:uid="{7C078B17-F7FF-4E31-BC31-491F4D4BE227}"/>
    <cellStyle name="40% - Accent5 3 2" xfId="236" xr:uid="{49AF26E6-5CEF-4D8A-B0D4-2358BECEAF73}"/>
    <cellStyle name="40% - Accent5 3 2 10" xfId="9686" xr:uid="{8D817352-237C-4C60-A4D3-10EA03A6EBED}"/>
    <cellStyle name="40% - Accent5 3 2 11" xfId="11576" xr:uid="{8EC4DAAC-310B-4AB1-91AF-02140E2BF376}"/>
    <cellStyle name="40% - Accent5 3 2 12" xfId="13466" xr:uid="{B91F206A-9BDF-4FDC-842F-6C11C910758C}"/>
    <cellStyle name="40% - Accent5 3 2 13" xfId="15356" xr:uid="{D4F3054F-9773-4FCD-A22F-28FC3D285A09}"/>
    <cellStyle name="40% - Accent5 3 2 14" xfId="17246" xr:uid="{174DB590-5011-4F18-BB24-CF7C17460090}"/>
    <cellStyle name="40% - Accent5 3 2 15" xfId="19136" xr:uid="{833810C2-E29F-490C-A1B9-AB554678F612}"/>
    <cellStyle name="40% - Accent5 3 2 16" xfId="21026" xr:uid="{C65A31E2-DD2D-4B7C-99BE-0D8E497E7018}"/>
    <cellStyle name="40% - Accent5 3 2 17" xfId="22916" xr:uid="{49B6B56B-BBC5-4688-A048-0DF19CDEA883}"/>
    <cellStyle name="40% - Accent5 3 2 18" xfId="24806" xr:uid="{EBE024B2-2A50-4556-8E65-C44915D19507}"/>
    <cellStyle name="40% - Accent5 3 2 19" xfId="26696" xr:uid="{4EDBD785-C62B-4D4F-A8DD-E32FDE9443BF}"/>
    <cellStyle name="40% - Accent5 3 2 2" xfId="446" xr:uid="{D48943D1-2604-4EA2-B8E8-47E220EF5ADB}"/>
    <cellStyle name="40% - Accent5 3 2 2 10" xfId="13676" xr:uid="{C81A0722-4728-4E1E-9241-A5FC3E8042DE}"/>
    <cellStyle name="40% - Accent5 3 2 2 11" xfId="15566" xr:uid="{6E765BEE-AD17-40FA-9A62-9FF09389B546}"/>
    <cellStyle name="40% - Accent5 3 2 2 12" xfId="17456" xr:uid="{D0857EC1-B782-498B-954C-BA20FD46F830}"/>
    <cellStyle name="40% - Accent5 3 2 2 13" xfId="19346" xr:uid="{407A35E3-7E9E-4EA3-A351-8ECACE2B520E}"/>
    <cellStyle name="40% - Accent5 3 2 2 14" xfId="21236" xr:uid="{930F0CCE-F143-44CC-BADC-5A25BD319DD6}"/>
    <cellStyle name="40% - Accent5 3 2 2 15" xfId="23126" xr:uid="{820D8D07-B03E-4A4A-916D-34DDEEFDB380}"/>
    <cellStyle name="40% - Accent5 3 2 2 16" xfId="25016" xr:uid="{0362492D-8CBC-45ED-BFC9-C438274E700D}"/>
    <cellStyle name="40% - Accent5 3 2 2 17" xfId="26906" xr:uid="{A66CE133-B79B-4E88-A549-EB06D334DBF3}"/>
    <cellStyle name="40% - Accent5 3 2 2 18" xfId="28796" xr:uid="{7ECF64D0-FE8B-47F0-8DE3-D4B293D7EB1B}"/>
    <cellStyle name="40% - Accent5 3 2 2 19" xfId="30686" xr:uid="{A8DF36E1-F56D-47A9-B312-0C1E81C40425}"/>
    <cellStyle name="40% - Accent5 3 2 2 2" xfId="1076" xr:uid="{CDC85D99-2B4A-456B-AB21-59DDE8200E30}"/>
    <cellStyle name="40% - Accent5 3 2 2 2 10" xfId="18086" xr:uid="{060A00D1-FF2B-451A-835E-EF3CF7205D7F}"/>
    <cellStyle name="40% - Accent5 3 2 2 2 11" xfId="19976" xr:uid="{8F455561-DBB7-4E0E-8029-5511D1841AED}"/>
    <cellStyle name="40% - Accent5 3 2 2 2 12" xfId="21866" xr:uid="{CF1DA671-ECA0-4D08-8235-D73DEC8502D2}"/>
    <cellStyle name="40% - Accent5 3 2 2 2 13" xfId="23756" xr:uid="{87AA5D67-7D9E-43A0-990A-D3D28AC2D51C}"/>
    <cellStyle name="40% - Accent5 3 2 2 2 14" xfId="25646" xr:uid="{FF6DE822-F69A-461C-91BD-558BC81D2426}"/>
    <cellStyle name="40% - Accent5 3 2 2 2 15" xfId="27536" xr:uid="{64BAB5FE-C865-457A-BB55-A7E833E89636}"/>
    <cellStyle name="40% - Accent5 3 2 2 2 16" xfId="29426" xr:uid="{490512C8-9BAB-4891-9B00-68A74F63CF9D}"/>
    <cellStyle name="40% - Accent5 3 2 2 2 17" xfId="31316" xr:uid="{091CB191-6C4B-4746-8B46-7DB11B4EA5BF}"/>
    <cellStyle name="40% - Accent5 3 2 2 2 18" xfId="33206" xr:uid="{A57FA8E0-1C0F-4BCF-8FED-39466D55B304}"/>
    <cellStyle name="40% - Accent5 3 2 2 2 19" xfId="35096" xr:uid="{84D201D9-1FC5-4D27-A7CB-2B0871DE04EF}"/>
    <cellStyle name="40% - Accent5 3 2 2 2 2" xfId="2966" xr:uid="{A0A474B4-5D87-4F83-947C-7201165A9685}"/>
    <cellStyle name="40% - Accent5 3 2 2 2 20" xfId="36986" xr:uid="{141035D8-A5B5-4382-AEA7-5DC9E80A84C5}"/>
    <cellStyle name="40% - Accent5 3 2 2 2 21" xfId="38876" xr:uid="{A98A5E2A-26CC-48F8-9DA1-828E43174923}"/>
    <cellStyle name="40% - Accent5 3 2 2 2 22" xfId="40767" xr:uid="{16233545-A81D-49B3-93E8-7F9F0A9A3555}"/>
    <cellStyle name="40% - Accent5 3 2 2 2 3" xfId="4856" xr:uid="{026FA656-66D2-4EE8-A19C-6608C424400D}"/>
    <cellStyle name="40% - Accent5 3 2 2 2 4" xfId="6746" xr:uid="{75E5E637-2727-4953-BF0B-84521D0545A0}"/>
    <cellStyle name="40% - Accent5 3 2 2 2 5" xfId="8636" xr:uid="{87C14875-3245-4C92-8F17-11919BDACEF3}"/>
    <cellStyle name="40% - Accent5 3 2 2 2 6" xfId="10526" xr:uid="{10646302-5D55-452B-90F1-647F0D78E85D}"/>
    <cellStyle name="40% - Accent5 3 2 2 2 7" xfId="12416" xr:uid="{DD7C90C5-4FD6-4129-8449-B5FDFFE0D536}"/>
    <cellStyle name="40% - Accent5 3 2 2 2 8" xfId="14306" xr:uid="{2B3CE21D-E89E-49DC-9A8A-E72EF92C1E02}"/>
    <cellStyle name="40% - Accent5 3 2 2 2 9" xfId="16196" xr:uid="{93E77F50-0ABF-4DA0-952A-6CF46980C01A}"/>
    <cellStyle name="40% - Accent5 3 2 2 20" xfId="32576" xr:uid="{ABDBE3E9-230B-482A-905B-D22304B7CB9E}"/>
    <cellStyle name="40% - Accent5 3 2 2 21" xfId="34466" xr:uid="{0B8F8678-D603-45D9-9CBD-DD759EFC87CC}"/>
    <cellStyle name="40% - Accent5 3 2 2 22" xfId="36356" xr:uid="{5B6EA4F8-A8D8-4764-9119-3F99E8A648DE}"/>
    <cellStyle name="40% - Accent5 3 2 2 23" xfId="38246" xr:uid="{088EAB7E-41F1-4801-A1AF-DECF842AF6C1}"/>
    <cellStyle name="40% - Accent5 3 2 2 24" xfId="40137" xr:uid="{56403ECC-59DA-4898-B9DD-1D2FAD1864E3}"/>
    <cellStyle name="40% - Accent5 3 2 2 3" xfId="1706" xr:uid="{6554DDAA-94D3-47A7-8859-59E98B91F335}"/>
    <cellStyle name="40% - Accent5 3 2 2 3 10" xfId="18716" xr:uid="{789688E0-FE6B-4D61-BD47-BA444EB9A8FD}"/>
    <cellStyle name="40% - Accent5 3 2 2 3 11" xfId="20606" xr:uid="{A8A9B58D-7B57-45FA-A5B5-119526D73D24}"/>
    <cellStyle name="40% - Accent5 3 2 2 3 12" xfId="22496" xr:uid="{C613D737-4C09-4ACA-A408-B56BF7FED668}"/>
    <cellStyle name="40% - Accent5 3 2 2 3 13" xfId="24386" xr:uid="{D10A5AF3-A222-4167-9820-3F9EA639FAE8}"/>
    <cellStyle name="40% - Accent5 3 2 2 3 14" xfId="26276" xr:uid="{901239F8-4A18-4E28-975D-CE679C782BDF}"/>
    <cellStyle name="40% - Accent5 3 2 2 3 15" xfId="28166" xr:uid="{1118A862-6CB5-46FB-BD94-667CAEFCB83E}"/>
    <cellStyle name="40% - Accent5 3 2 2 3 16" xfId="30056" xr:uid="{C2B20BDD-9D9D-4023-8588-5FD5E5D8D6D1}"/>
    <cellStyle name="40% - Accent5 3 2 2 3 17" xfId="31946" xr:uid="{646F94AC-266C-4C2D-A2D3-96F3C8097077}"/>
    <cellStyle name="40% - Accent5 3 2 2 3 18" xfId="33836" xr:uid="{C2C1BE16-FEC3-4B95-BF2B-0AE3F313BF47}"/>
    <cellStyle name="40% - Accent5 3 2 2 3 19" xfId="35726" xr:uid="{8E7C921B-F680-4899-B9DF-D89ECB014282}"/>
    <cellStyle name="40% - Accent5 3 2 2 3 2" xfId="3596" xr:uid="{A4CF7ACC-AF49-4DE8-A37A-B77018D74017}"/>
    <cellStyle name="40% - Accent5 3 2 2 3 20" xfId="37616" xr:uid="{3BA654DE-209F-4132-9E23-1E71400F155F}"/>
    <cellStyle name="40% - Accent5 3 2 2 3 21" xfId="39506" xr:uid="{782A880B-E976-4DEE-A6D1-D42BF31DFBE6}"/>
    <cellStyle name="40% - Accent5 3 2 2 3 22" xfId="41397" xr:uid="{4A022D6B-A8AC-4AA6-B027-4059EB38A810}"/>
    <cellStyle name="40% - Accent5 3 2 2 3 3" xfId="5486" xr:uid="{1ECB6456-4265-4405-A526-3742A51A6B84}"/>
    <cellStyle name="40% - Accent5 3 2 2 3 4" xfId="7376" xr:uid="{43D2E935-ABCA-4080-BA6C-804B6531E677}"/>
    <cellStyle name="40% - Accent5 3 2 2 3 5" xfId="9266" xr:uid="{898F664C-A14C-4376-BDA3-D6CC58809F2C}"/>
    <cellStyle name="40% - Accent5 3 2 2 3 6" xfId="11156" xr:uid="{C9BC4951-4E5C-43E3-A45E-89F7986D807D}"/>
    <cellStyle name="40% - Accent5 3 2 2 3 7" xfId="13046" xr:uid="{76B41B38-A9A5-4966-ACFB-30BC114AB728}"/>
    <cellStyle name="40% - Accent5 3 2 2 3 8" xfId="14936" xr:uid="{2C050652-DFDA-47E3-99D5-A88551C4B604}"/>
    <cellStyle name="40% - Accent5 3 2 2 3 9" xfId="16826" xr:uid="{6AD6217A-BB3C-405B-AB80-99BCAE3CA4F2}"/>
    <cellStyle name="40% - Accent5 3 2 2 4" xfId="2336" xr:uid="{A7566729-0F52-4A81-AA05-954DAD960E14}"/>
    <cellStyle name="40% - Accent5 3 2 2 5" xfId="4226" xr:uid="{401C038E-AE5E-4ECA-B046-4FE7C8152011}"/>
    <cellStyle name="40% - Accent5 3 2 2 6" xfId="6116" xr:uid="{11CFC536-1838-43F2-8714-E4FE42D42B51}"/>
    <cellStyle name="40% - Accent5 3 2 2 7" xfId="8006" xr:uid="{3D451918-A229-457F-90BB-AA913FB77F4F}"/>
    <cellStyle name="40% - Accent5 3 2 2 8" xfId="9896" xr:uid="{FDED4F75-CD5E-4505-B8AC-AA4121A2F331}"/>
    <cellStyle name="40% - Accent5 3 2 2 9" xfId="11786" xr:uid="{02C254CD-C6A0-466B-910C-0D9B1527301A}"/>
    <cellStyle name="40% - Accent5 3 2 20" xfId="28586" xr:uid="{09BC1C8E-64F9-4AE8-9268-C3CDFB4FDA81}"/>
    <cellStyle name="40% - Accent5 3 2 21" xfId="30476" xr:uid="{C0D5E283-E362-4670-ACC7-E5E1A21D4913}"/>
    <cellStyle name="40% - Accent5 3 2 22" xfId="32366" xr:uid="{4D534248-CB63-4DA7-BD58-882230EA7377}"/>
    <cellStyle name="40% - Accent5 3 2 23" xfId="34256" xr:uid="{A730B6E1-530A-40DB-A62B-544B84AC1772}"/>
    <cellStyle name="40% - Accent5 3 2 24" xfId="36146" xr:uid="{8893021B-7438-4D7E-B3B5-D0AC673E1216}"/>
    <cellStyle name="40% - Accent5 3 2 25" xfId="38036" xr:uid="{499A9525-6287-4713-8830-D798728AD47C}"/>
    <cellStyle name="40% - Accent5 3 2 26" xfId="39927" xr:uid="{D70A6F8F-8688-4FC4-82F6-9BC94C39459B}"/>
    <cellStyle name="40% - Accent5 3 2 3" xfId="656" xr:uid="{91AE4E46-1FF5-413D-AE5C-D6FBBE7B64F9}"/>
    <cellStyle name="40% - Accent5 3 2 3 10" xfId="13886" xr:uid="{843FC135-503C-4399-B883-CF9C607EC24B}"/>
    <cellStyle name="40% - Accent5 3 2 3 11" xfId="15776" xr:uid="{07C4C48F-EB4B-44AE-9F92-C4160A427EEA}"/>
    <cellStyle name="40% - Accent5 3 2 3 12" xfId="17666" xr:uid="{282B99CE-9736-4CE3-A331-42164526FAA7}"/>
    <cellStyle name="40% - Accent5 3 2 3 13" xfId="19556" xr:uid="{B1082E83-06AD-445E-BA62-7A605120C31F}"/>
    <cellStyle name="40% - Accent5 3 2 3 14" xfId="21446" xr:uid="{805FE570-F392-4FED-B9C3-2D81DD1FC832}"/>
    <cellStyle name="40% - Accent5 3 2 3 15" xfId="23336" xr:uid="{C11B9783-229D-485D-9EDC-5F820BBFA508}"/>
    <cellStyle name="40% - Accent5 3 2 3 16" xfId="25226" xr:uid="{F184762C-FCA2-424D-B71D-1D6A16E95D70}"/>
    <cellStyle name="40% - Accent5 3 2 3 17" xfId="27116" xr:uid="{5A80D6A6-0B39-43B6-8E6A-9883C26EF714}"/>
    <cellStyle name="40% - Accent5 3 2 3 18" xfId="29006" xr:uid="{8C9D1A05-1ABE-49F3-A3BF-4BD89352F28C}"/>
    <cellStyle name="40% - Accent5 3 2 3 19" xfId="30896" xr:uid="{267341DE-AB06-4895-A4D1-2F460CFCB265}"/>
    <cellStyle name="40% - Accent5 3 2 3 2" xfId="1286" xr:uid="{5E35DBB8-6E0A-4D2E-BABF-75BC02C8820A}"/>
    <cellStyle name="40% - Accent5 3 2 3 2 10" xfId="18296" xr:uid="{1C1F96CE-BBB5-4C4F-8EE9-9EAF9DDE3E0B}"/>
    <cellStyle name="40% - Accent5 3 2 3 2 11" xfId="20186" xr:uid="{8E0C0FEC-4500-49DD-84B7-6B788DD40CD0}"/>
    <cellStyle name="40% - Accent5 3 2 3 2 12" xfId="22076" xr:uid="{31E146A5-2EE0-44B4-8A69-B58A3C0ABF7E}"/>
    <cellStyle name="40% - Accent5 3 2 3 2 13" xfId="23966" xr:uid="{BED29D75-D051-43DD-A548-BE3C2BC23F09}"/>
    <cellStyle name="40% - Accent5 3 2 3 2 14" xfId="25856" xr:uid="{47E2CA41-B861-48D7-9D12-BF43065B82FE}"/>
    <cellStyle name="40% - Accent5 3 2 3 2 15" xfId="27746" xr:uid="{3959BE9F-2426-4032-B57E-F4CAAB9F970F}"/>
    <cellStyle name="40% - Accent5 3 2 3 2 16" xfId="29636" xr:uid="{EADB2AA7-09B1-4DB3-9D8E-4F823EB4CE3D}"/>
    <cellStyle name="40% - Accent5 3 2 3 2 17" xfId="31526" xr:uid="{EB718656-19A4-4B80-ABA1-0C92F685C59D}"/>
    <cellStyle name="40% - Accent5 3 2 3 2 18" xfId="33416" xr:uid="{BA07F8BD-8A67-4D71-9FD4-7FD80ECFE354}"/>
    <cellStyle name="40% - Accent5 3 2 3 2 19" xfId="35306" xr:uid="{E671960A-A02D-4C66-B59B-76B2F11F470F}"/>
    <cellStyle name="40% - Accent5 3 2 3 2 2" xfId="3176" xr:uid="{72CE0EDE-8E97-4BFD-B082-77F9533614DA}"/>
    <cellStyle name="40% - Accent5 3 2 3 2 20" xfId="37196" xr:uid="{475F1A73-F576-4E50-BD01-B16AEB02F820}"/>
    <cellStyle name="40% - Accent5 3 2 3 2 21" xfId="39086" xr:uid="{2DA041E1-3096-405C-9890-263AF4698FC6}"/>
    <cellStyle name="40% - Accent5 3 2 3 2 22" xfId="40977" xr:uid="{06F80DE5-5517-4020-B301-E05E8003F792}"/>
    <cellStyle name="40% - Accent5 3 2 3 2 3" xfId="5066" xr:uid="{7095A89E-4CD2-4453-99EC-D2B6A241F78E}"/>
    <cellStyle name="40% - Accent5 3 2 3 2 4" xfId="6956" xr:uid="{4264C8B0-320D-4055-AEB0-1A85C1F009C6}"/>
    <cellStyle name="40% - Accent5 3 2 3 2 5" xfId="8846" xr:uid="{16357195-848E-4E3B-B7EB-3D7C71D565F8}"/>
    <cellStyle name="40% - Accent5 3 2 3 2 6" xfId="10736" xr:uid="{75F58B23-2355-45EB-A0AE-51E05972A896}"/>
    <cellStyle name="40% - Accent5 3 2 3 2 7" xfId="12626" xr:uid="{F3ECB8D3-12A6-4D60-89E5-7028E95783A4}"/>
    <cellStyle name="40% - Accent5 3 2 3 2 8" xfId="14516" xr:uid="{97D97F2E-4287-45B4-83E9-CECB3892AB39}"/>
    <cellStyle name="40% - Accent5 3 2 3 2 9" xfId="16406" xr:uid="{3D023CEE-5497-4EE0-B902-865DC3C0C5EE}"/>
    <cellStyle name="40% - Accent5 3 2 3 20" xfId="32786" xr:uid="{A28E5D14-EC32-48D7-B4F8-A596C7DE567B}"/>
    <cellStyle name="40% - Accent5 3 2 3 21" xfId="34676" xr:uid="{202FD330-32D5-48F1-BBA4-87177FC4A084}"/>
    <cellStyle name="40% - Accent5 3 2 3 22" xfId="36566" xr:uid="{E1E1A3FA-BF2D-4DB1-AE3E-B194097717E4}"/>
    <cellStyle name="40% - Accent5 3 2 3 23" xfId="38456" xr:uid="{F15FD9EC-4A08-4B41-8346-970139FD48C9}"/>
    <cellStyle name="40% - Accent5 3 2 3 24" xfId="40347" xr:uid="{47FF54A0-7D8E-4962-AC38-00EA3D39F4CB}"/>
    <cellStyle name="40% - Accent5 3 2 3 3" xfId="1916" xr:uid="{5BC1DB51-ECFC-463E-AC60-7EAECB64ADA4}"/>
    <cellStyle name="40% - Accent5 3 2 3 3 10" xfId="18926" xr:uid="{F0821D6E-9EB2-4D58-AF3A-AED8D9CD9349}"/>
    <cellStyle name="40% - Accent5 3 2 3 3 11" xfId="20816" xr:uid="{CF00650F-940D-44CE-ADB5-0B55B5B3744A}"/>
    <cellStyle name="40% - Accent5 3 2 3 3 12" xfId="22706" xr:uid="{AA2AC10E-EC65-433A-952D-0F24E237DC5C}"/>
    <cellStyle name="40% - Accent5 3 2 3 3 13" xfId="24596" xr:uid="{BC7D8915-9F7F-4CA6-84E8-C98A6B3872AF}"/>
    <cellStyle name="40% - Accent5 3 2 3 3 14" xfId="26486" xr:uid="{8B7013A0-5D29-4771-8388-5E0AB2AABA74}"/>
    <cellStyle name="40% - Accent5 3 2 3 3 15" xfId="28376" xr:uid="{9686FACD-6DD1-4A59-92A8-B3B7E9122871}"/>
    <cellStyle name="40% - Accent5 3 2 3 3 16" xfId="30266" xr:uid="{D91A10A3-33AF-4B02-BF44-6EF89F5B79CD}"/>
    <cellStyle name="40% - Accent5 3 2 3 3 17" xfId="32156" xr:uid="{456E58A4-185A-4A31-BE0B-54B599373426}"/>
    <cellStyle name="40% - Accent5 3 2 3 3 18" xfId="34046" xr:uid="{AD5190E0-9587-4120-AB30-F6336B870B35}"/>
    <cellStyle name="40% - Accent5 3 2 3 3 19" xfId="35936" xr:uid="{014554B7-42DE-4DE5-A16A-BD7A198DE106}"/>
    <cellStyle name="40% - Accent5 3 2 3 3 2" xfId="3806" xr:uid="{C61D7486-430D-49A2-BE0C-B2DC7A895C47}"/>
    <cellStyle name="40% - Accent5 3 2 3 3 20" xfId="37826" xr:uid="{0FD6E592-0415-4D2E-B74C-1D3952C92966}"/>
    <cellStyle name="40% - Accent5 3 2 3 3 21" xfId="39716" xr:uid="{FC795E98-4346-40B6-9F37-0BBA5217401C}"/>
    <cellStyle name="40% - Accent5 3 2 3 3 22" xfId="41607" xr:uid="{887C24B9-B344-4DE8-8A9A-00C39D1370CD}"/>
    <cellStyle name="40% - Accent5 3 2 3 3 3" xfId="5696" xr:uid="{8A666F4C-75F5-4705-AE30-B8FCDE2E1D77}"/>
    <cellStyle name="40% - Accent5 3 2 3 3 4" xfId="7586" xr:uid="{2925C605-4470-4D04-ADC7-55BF6A57AE4C}"/>
    <cellStyle name="40% - Accent5 3 2 3 3 5" xfId="9476" xr:uid="{47851043-7E6E-4CD0-A7B7-4977836A2826}"/>
    <cellStyle name="40% - Accent5 3 2 3 3 6" xfId="11366" xr:uid="{C76844E2-B9C5-4704-963E-9CE4CF16B7EA}"/>
    <cellStyle name="40% - Accent5 3 2 3 3 7" xfId="13256" xr:uid="{51857C12-6326-4E1F-95B0-324D71D9F86A}"/>
    <cellStyle name="40% - Accent5 3 2 3 3 8" xfId="15146" xr:uid="{134144B2-F1F5-4F57-9EB7-C14B13CBDD2C}"/>
    <cellStyle name="40% - Accent5 3 2 3 3 9" xfId="17036" xr:uid="{EA1DACFF-51EF-4307-BD49-AE752E326351}"/>
    <cellStyle name="40% - Accent5 3 2 3 4" xfId="2546" xr:uid="{347FD720-2AE6-47AC-BF44-06F0B908A814}"/>
    <cellStyle name="40% - Accent5 3 2 3 5" xfId="4436" xr:uid="{6E4397BE-BC0F-46D5-881B-0876EF09EAE9}"/>
    <cellStyle name="40% - Accent5 3 2 3 6" xfId="6326" xr:uid="{9B06AC18-6F17-4DB6-AD03-92F43228337A}"/>
    <cellStyle name="40% - Accent5 3 2 3 7" xfId="8216" xr:uid="{DDC1D242-6273-45A5-B6FD-89438C0289EE}"/>
    <cellStyle name="40% - Accent5 3 2 3 8" xfId="10106" xr:uid="{A734B19E-741E-4C6D-B74D-6325C18B51FB}"/>
    <cellStyle name="40% - Accent5 3 2 3 9" xfId="11996" xr:uid="{36EE170A-1AEE-476F-BF04-50CA2EB8B5AB}"/>
    <cellStyle name="40% - Accent5 3 2 4" xfId="866" xr:uid="{3E4A3633-7EAA-43D8-A60B-22ED68994174}"/>
    <cellStyle name="40% - Accent5 3 2 4 10" xfId="17876" xr:uid="{870780C0-E15D-401F-A493-C46177D69167}"/>
    <cellStyle name="40% - Accent5 3 2 4 11" xfId="19766" xr:uid="{4164EBC0-CECC-43BA-A440-AD16269A0963}"/>
    <cellStyle name="40% - Accent5 3 2 4 12" xfId="21656" xr:uid="{C4C3E9F5-3954-4315-ABAA-DE0B200A2234}"/>
    <cellStyle name="40% - Accent5 3 2 4 13" xfId="23546" xr:uid="{24997DD9-925C-4927-85A4-BE0DB531A662}"/>
    <cellStyle name="40% - Accent5 3 2 4 14" xfId="25436" xr:uid="{9049115E-76F6-4ECE-B726-26E6B6E46E17}"/>
    <cellStyle name="40% - Accent5 3 2 4 15" xfId="27326" xr:uid="{657A510B-8323-43A9-89A7-FD04AF5ABB0D}"/>
    <cellStyle name="40% - Accent5 3 2 4 16" xfId="29216" xr:uid="{B0C9E542-D9F3-46CE-8306-FF790536371D}"/>
    <cellStyle name="40% - Accent5 3 2 4 17" xfId="31106" xr:uid="{27AC0996-84C3-4B27-8265-7B8FBE90B424}"/>
    <cellStyle name="40% - Accent5 3 2 4 18" xfId="32996" xr:uid="{6422E1DC-1FA7-4562-97F1-56DAAFFC2486}"/>
    <cellStyle name="40% - Accent5 3 2 4 19" xfId="34886" xr:uid="{6B6E55DF-D1A6-4536-A404-0594A68B9FBC}"/>
    <cellStyle name="40% - Accent5 3 2 4 2" xfId="2756" xr:uid="{80D77913-866C-4C6D-B49F-C63BBF2AAF74}"/>
    <cellStyle name="40% - Accent5 3 2 4 20" xfId="36776" xr:uid="{5A2CE370-190C-4524-B387-E8550AB33A78}"/>
    <cellStyle name="40% - Accent5 3 2 4 21" xfId="38666" xr:uid="{92D7D018-B3AB-4A94-B2DC-D3F5138647E6}"/>
    <cellStyle name="40% - Accent5 3 2 4 22" xfId="40557" xr:uid="{478E9DD4-8979-46D5-B10D-B6DA21A6DCAB}"/>
    <cellStyle name="40% - Accent5 3 2 4 3" xfId="4646" xr:uid="{7737278A-7498-4812-9C84-7B060E12D7D1}"/>
    <cellStyle name="40% - Accent5 3 2 4 4" xfId="6536" xr:uid="{C8341A01-D3E2-416B-9944-4BC7C59A85CF}"/>
    <cellStyle name="40% - Accent5 3 2 4 5" xfId="8426" xr:uid="{FC8E0279-0C88-41F8-9465-43DDAD47C800}"/>
    <cellStyle name="40% - Accent5 3 2 4 6" xfId="10316" xr:uid="{8756BABE-1D3C-45BF-9FA4-53A2710D09EE}"/>
    <cellStyle name="40% - Accent5 3 2 4 7" xfId="12206" xr:uid="{B13DFAC0-58B7-4F29-9CA6-EED15C6AA1F2}"/>
    <cellStyle name="40% - Accent5 3 2 4 8" xfId="14096" xr:uid="{B6715920-DDEF-4C32-AD71-41EB3F32C6A9}"/>
    <cellStyle name="40% - Accent5 3 2 4 9" xfId="15986" xr:uid="{F8809B4F-E384-4801-BDB1-3B7A6D00389E}"/>
    <cellStyle name="40% - Accent5 3 2 5" xfId="1496" xr:uid="{B07A497A-2945-4BBF-86A7-193CB66BA892}"/>
    <cellStyle name="40% - Accent5 3 2 5 10" xfId="18506" xr:uid="{5F86D5A9-E4AB-43C0-8275-530FD8394529}"/>
    <cellStyle name="40% - Accent5 3 2 5 11" xfId="20396" xr:uid="{3EEE51EA-233D-4266-842D-8C334113C0B5}"/>
    <cellStyle name="40% - Accent5 3 2 5 12" xfId="22286" xr:uid="{E1C07DEC-0614-448D-BAF7-A2026831AB05}"/>
    <cellStyle name="40% - Accent5 3 2 5 13" xfId="24176" xr:uid="{CBAA460F-442F-4F76-BDEE-1BDFF8FAD569}"/>
    <cellStyle name="40% - Accent5 3 2 5 14" xfId="26066" xr:uid="{ABBEC685-73CE-48B2-8474-CACF5CB27556}"/>
    <cellStyle name="40% - Accent5 3 2 5 15" xfId="27956" xr:uid="{0AC2FB74-F4DB-4A3C-84A1-0FBD2811DE7F}"/>
    <cellStyle name="40% - Accent5 3 2 5 16" xfId="29846" xr:uid="{8BB19536-63EE-4760-990A-42A4CB83F4F9}"/>
    <cellStyle name="40% - Accent5 3 2 5 17" xfId="31736" xr:uid="{A708F8E2-9188-4E57-8220-6D45515C1D7F}"/>
    <cellStyle name="40% - Accent5 3 2 5 18" xfId="33626" xr:uid="{CA09994C-AD11-4CDA-96C4-EB61E18B6D4C}"/>
    <cellStyle name="40% - Accent5 3 2 5 19" xfId="35516" xr:uid="{2A2DDA5D-450A-4311-BF61-C06E80C7698A}"/>
    <cellStyle name="40% - Accent5 3 2 5 2" xfId="3386" xr:uid="{00B78855-27C3-4D3A-AB7D-D7E2590652CF}"/>
    <cellStyle name="40% - Accent5 3 2 5 20" xfId="37406" xr:uid="{77B58149-8400-45B0-8592-4CF503A93C89}"/>
    <cellStyle name="40% - Accent5 3 2 5 21" xfId="39296" xr:uid="{7B077FF0-CECB-40B9-BBAA-901F5F026B13}"/>
    <cellStyle name="40% - Accent5 3 2 5 22" xfId="41187" xr:uid="{A5048CBF-F116-4290-8373-61A4BA2AFF3D}"/>
    <cellStyle name="40% - Accent5 3 2 5 3" xfId="5276" xr:uid="{60BC744A-AA54-4C11-AE3E-A6D05769E561}"/>
    <cellStyle name="40% - Accent5 3 2 5 4" xfId="7166" xr:uid="{BFE1364E-5D37-423E-AA9B-B258D46CBCF3}"/>
    <cellStyle name="40% - Accent5 3 2 5 5" xfId="9056" xr:uid="{53677536-1993-4DA9-8A31-E4888BFD3338}"/>
    <cellStyle name="40% - Accent5 3 2 5 6" xfId="10946" xr:uid="{D7CCC94B-0638-45B9-8971-D71B6113F18C}"/>
    <cellStyle name="40% - Accent5 3 2 5 7" xfId="12836" xr:uid="{0E3D88E7-CB65-4D5C-A6F3-8C2F25539F51}"/>
    <cellStyle name="40% - Accent5 3 2 5 8" xfId="14726" xr:uid="{1BF02E16-175E-4A4E-9666-CA9099117258}"/>
    <cellStyle name="40% - Accent5 3 2 5 9" xfId="16616" xr:uid="{E7766E1D-84E4-4422-BAD2-1DAC78177BEC}"/>
    <cellStyle name="40% - Accent5 3 2 6" xfId="2126" xr:uid="{F008488A-2FEE-4F96-8B07-9D1344D36FC1}"/>
    <cellStyle name="40% - Accent5 3 2 7" xfId="4016" xr:uid="{A272FF1F-03F0-4505-887D-9B8897B50ECF}"/>
    <cellStyle name="40% - Accent5 3 2 8" xfId="5906" xr:uid="{E312B5F8-FD01-4E38-9503-7BF6DCC1EF83}"/>
    <cellStyle name="40% - Accent5 3 2 9" xfId="7796" xr:uid="{9B7498ED-148D-42B0-ABC2-0DE7EA10DA20}"/>
    <cellStyle name="40% - Accent5 3 20" xfId="26591" xr:uid="{2C714F2C-5034-44DA-98B3-5F48521B57CE}"/>
    <cellStyle name="40% - Accent5 3 21" xfId="28481" xr:uid="{84A121AA-FF43-4C64-9402-8F2587FB2B64}"/>
    <cellStyle name="40% - Accent5 3 22" xfId="30371" xr:uid="{2773D0F1-63A1-4057-A953-A7F31BF9DCCB}"/>
    <cellStyle name="40% - Accent5 3 23" xfId="32261" xr:uid="{9A0AEC6B-8D68-4253-AB0B-13DAF4D8AA0C}"/>
    <cellStyle name="40% - Accent5 3 24" xfId="34151" xr:uid="{DE84C8DC-0350-4D27-A0FE-32313A94045E}"/>
    <cellStyle name="40% - Accent5 3 25" xfId="36041" xr:uid="{08A942BF-70D4-44B1-8DD3-DBD8B8D65822}"/>
    <cellStyle name="40% - Accent5 3 26" xfId="37931" xr:uid="{6F3A1F6E-42C1-4A33-84E4-825A110B8E87}"/>
    <cellStyle name="40% - Accent5 3 27" xfId="39822" xr:uid="{579CDCE5-2C9B-4901-B62C-DAA9A10BAF1B}"/>
    <cellStyle name="40% - Accent5 3 3" xfId="341" xr:uid="{91465DD8-63B2-4CF7-98A5-A515E6590858}"/>
    <cellStyle name="40% - Accent5 3 3 10" xfId="13571" xr:uid="{106740CE-6175-4046-BA7C-AD89A095FAEB}"/>
    <cellStyle name="40% - Accent5 3 3 11" xfId="15461" xr:uid="{2556D12F-1F0D-4EC9-AFA6-B90FFA05C045}"/>
    <cellStyle name="40% - Accent5 3 3 12" xfId="17351" xr:uid="{738B521D-1080-4C0B-BEAD-2ECD36C8D4F9}"/>
    <cellStyle name="40% - Accent5 3 3 13" xfId="19241" xr:uid="{46546175-60DA-42C6-9515-2C5E796DE301}"/>
    <cellStyle name="40% - Accent5 3 3 14" xfId="21131" xr:uid="{E09EC5BE-6E71-4EAA-9261-C3AEE8E65787}"/>
    <cellStyle name="40% - Accent5 3 3 15" xfId="23021" xr:uid="{9DB23BEF-3C55-4B93-B458-990E65A566C3}"/>
    <cellStyle name="40% - Accent5 3 3 16" xfId="24911" xr:uid="{7B9D25D6-5D91-4387-8195-C8614FD4D8FF}"/>
    <cellStyle name="40% - Accent5 3 3 17" xfId="26801" xr:uid="{D3DD70C7-2508-4E50-B9B2-51F0F0AFDB5A}"/>
    <cellStyle name="40% - Accent5 3 3 18" xfId="28691" xr:uid="{95855630-C62F-4675-B8D6-D1569CAC37B7}"/>
    <cellStyle name="40% - Accent5 3 3 19" xfId="30581" xr:uid="{FB114712-E2FE-4A08-BA33-5856C3BDB33C}"/>
    <cellStyle name="40% - Accent5 3 3 2" xfId="971" xr:uid="{DAC6D3D9-CA42-420D-B7BF-D2287007D9F3}"/>
    <cellStyle name="40% - Accent5 3 3 2 10" xfId="17981" xr:uid="{4608011C-A6A3-4413-AB50-B0B8BAA175F1}"/>
    <cellStyle name="40% - Accent5 3 3 2 11" xfId="19871" xr:uid="{FB8933C8-7CF3-46A7-A9B4-C2E3F359C69C}"/>
    <cellStyle name="40% - Accent5 3 3 2 12" xfId="21761" xr:uid="{1BAAE3D6-B944-4B35-B2D6-7F559B31FEAE}"/>
    <cellStyle name="40% - Accent5 3 3 2 13" xfId="23651" xr:uid="{A8759C76-7598-402A-9F8A-041FB16BE288}"/>
    <cellStyle name="40% - Accent5 3 3 2 14" xfId="25541" xr:uid="{6A11CA98-3071-4D83-9802-767E257403F6}"/>
    <cellStyle name="40% - Accent5 3 3 2 15" xfId="27431" xr:uid="{531F7567-1EE7-495C-BC92-93D7A317C680}"/>
    <cellStyle name="40% - Accent5 3 3 2 16" xfId="29321" xr:uid="{36CFC401-AC23-4412-B522-4D837E41C3F2}"/>
    <cellStyle name="40% - Accent5 3 3 2 17" xfId="31211" xr:uid="{E21C2685-499D-4999-89AF-44962F2A7FA1}"/>
    <cellStyle name="40% - Accent5 3 3 2 18" xfId="33101" xr:uid="{C617A5EF-0256-4FCB-8327-D363A07FC122}"/>
    <cellStyle name="40% - Accent5 3 3 2 19" xfId="34991" xr:uid="{B799811E-466D-46BB-9B56-AD678B4BF985}"/>
    <cellStyle name="40% - Accent5 3 3 2 2" xfId="2861" xr:uid="{7D71111C-E02E-41B9-A8A2-B3A0ADB01026}"/>
    <cellStyle name="40% - Accent5 3 3 2 20" xfId="36881" xr:uid="{4C6C8425-C840-467A-B4E9-335EC89A25A5}"/>
    <cellStyle name="40% - Accent5 3 3 2 21" xfId="38771" xr:uid="{16836B07-6926-4D69-BF3F-A2249EB0E8D7}"/>
    <cellStyle name="40% - Accent5 3 3 2 22" xfId="40662" xr:uid="{16BD0923-133C-427F-8486-8D07F1058E1D}"/>
    <cellStyle name="40% - Accent5 3 3 2 3" xfId="4751" xr:uid="{84CAC05A-D63E-411A-A774-BC6B42AF292C}"/>
    <cellStyle name="40% - Accent5 3 3 2 4" xfId="6641" xr:uid="{D2850DCE-86FA-48D4-8850-CC33B1509489}"/>
    <cellStyle name="40% - Accent5 3 3 2 5" xfId="8531" xr:uid="{916728BE-5EF0-4B26-98DE-7F070DF2740A}"/>
    <cellStyle name="40% - Accent5 3 3 2 6" xfId="10421" xr:uid="{75AFDC94-D073-4B4C-A926-6F131B400CFB}"/>
    <cellStyle name="40% - Accent5 3 3 2 7" xfId="12311" xr:uid="{82E14F01-5CEC-414C-A0F8-B9CBFCD51A7D}"/>
    <cellStyle name="40% - Accent5 3 3 2 8" xfId="14201" xr:uid="{94E2C7BF-1585-4896-A086-5FF9483C707A}"/>
    <cellStyle name="40% - Accent5 3 3 2 9" xfId="16091" xr:uid="{F240EC82-AE1E-4C54-B30E-BACF47A0165C}"/>
    <cellStyle name="40% - Accent5 3 3 20" xfId="32471" xr:uid="{005D4FDF-5FA7-4DAF-919B-F84361A91116}"/>
    <cellStyle name="40% - Accent5 3 3 21" xfId="34361" xr:uid="{783ABE85-96DA-4D25-B3A3-2872C72A10B2}"/>
    <cellStyle name="40% - Accent5 3 3 22" xfId="36251" xr:uid="{8570C902-3846-4CF8-84E4-4DC03FC824C2}"/>
    <cellStyle name="40% - Accent5 3 3 23" xfId="38141" xr:uid="{0C760913-3A4B-4ABE-90EC-D39319501414}"/>
    <cellStyle name="40% - Accent5 3 3 24" xfId="40032" xr:uid="{E179837C-2249-4686-B0B8-F2B5EF9D7320}"/>
    <cellStyle name="40% - Accent5 3 3 3" xfId="1601" xr:uid="{2B69C17D-4284-4B01-953E-AEEB857DE1CE}"/>
    <cellStyle name="40% - Accent5 3 3 3 10" xfId="18611" xr:uid="{7DF4A2F4-9BBB-4703-BA6F-1A67B5D397C9}"/>
    <cellStyle name="40% - Accent5 3 3 3 11" xfId="20501" xr:uid="{AD54679A-B3DE-443E-A468-CC226AB92164}"/>
    <cellStyle name="40% - Accent5 3 3 3 12" xfId="22391" xr:uid="{F29EC36D-78AF-4D2C-A98C-432E06179183}"/>
    <cellStyle name="40% - Accent5 3 3 3 13" xfId="24281" xr:uid="{B84A18B5-2781-4DB3-B08D-500B80B778E6}"/>
    <cellStyle name="40% - Accent5 3 3 3 14" xfId="26171" xr:uid="{C7B88999-1C30-4280-8C94-C2595040EE74}"/>
    <cellStyle name="40% - Accent5 3 3 3 15" xfId="28061" xr:uid="{D89198F6-F1EF-48FB-9C86-4A7FECA53793}"/>
    <cellStyle name="40% - Accent5 3 3 3 16" xfId="29951" xr:uid="{E6069394-1B07-46AE-B904-19D3F3628B07}"/>
    <cellStyle name="40% - Accent5 3 3 3 17" xfId="31841" xr:uid="{A9920D7B-D73F-40F6-8B63-F49F676B18AA}"/>
    <cellStyle name="40% - Accent5 3 3 3 18" xfId="33731" xr:uid="{94217FCD-7C3A-49B4-AD9A-4A0C19E1EB2B}"/>
    <cellStyle name="40% - Accent5 3 3 3 19" xfId="35621" xr:uid="{F080FDE6-ECA3-4C3F-BDF2-6359C6BCBCC5}"/>
    <cellStyle name="40% - Accent5 3 3 3 2" xfId="3491" xr:uid="{0EAA65B1-3C83-4E4F-BAE4-5F5557EE7C2B}"/>
    <cellStyle name="40% - Accent5 3 3 3 20" xfId="37511" xr:uid="{059500F0-C875-407D-B8EE-661C2F2BE0D9}"/>
    <cellStyle name="40% - Accent5 3 3 3 21" xfId="39401" xr:uid="{23A239F1-B926-4677-A7C8-751C3AFC2179}"/>
    <cellStyle name="40% - Accent5 3 3 3 22" xfId="41292" xr:uid="{EDCDFD91-9A4C-46C1-A0E5-17CA74B0B660}"/>
    <cellStyle name="40% - Accent5 3 3 3 3" xfId="5381" xr:uid="{C48B8B90-223E-4341-BC2A-8D47E95AE2F6}"/>
    <cellStyle name="40% - Accent5 3 3 3 4" xfId="7271" xr:uid="{5FC22D80-D62F-4D38-A283-3053D754A370}"/>
    <cellStyle name="40% - Accent5 3 3 3 5" xfId="9161" xr:uid="{943DC0F8-3FB4-4C60-B6EB-5C947D956454}"/>
    <cellStyle name="40% - Accent5 3 3 3 6" xfId="11051" xr:uid="{95BD404C-EBAA-4045-8372-41F70F2E920A}"/>
    <cellStyle name="40% - Accent5 3 3 3 7" xfId="12941" xr:uid="{606AE44E-7A17-4C06-92D2-45FC97698533}"/>
    <cellStyle name="40% - Accent5 3 3 3 8" xfId="14831" xr:uid="{37718FE0-FA6F-497C-A517-3CD215C60F02}"/>
    <cellStyle name="40% - Accent5 3 3 3 9" xfId="16721" xr:uid="{7235F78B-3A8E-46EB-870F-3C21EBD90979}"/>
    <cellStyle name="40% - Accent5 3 3 4" xfId="2231" xr:uid="{1515EB75-E9F5-427A-ABD5-0AA305E75065}"/>
    <cellStyle name="40% - Accent5 3 3 5" xfId="4121" xr:uid="{215C926D-CCF4-4952-9847-35F77E221265}"/>
    <cellStyle name="40% - Accent5 3 3 6" xfId="6011" xr:uid="{ECB447C8-F536-4D58-8576-BB5AC2219276}"/>
    <cellStyle name="40% - Accent5 3 3 7" xfId="7901" xr:uid="{AE4C196B-0A7C-42B3-B0BC-2547DB4EDD50}"/>
    <cellStyle name="40% - Accent5 3 3 8" xfId="9791" xr:uid="{530572BD-FBD7-4052-A44F-118A63C02D9A}"/>
    <cellStyle name="40% - Accent5 3 3 9" xfId="11681" xr:uid="{C3C7FF21-A092-4B30-8B70-5B00FF2681A8}"/>
    <cellStyle name="40% - Accent5 3 4" xfId="551" xr:uid="{B0545540-7373-44B3-88BB-71A88869B31F}"/>
    <cellStyle name="40% - Accent5 3 4 10" xfId="13781" xr:uid="{FD48B0E8-1F8D-45D6-81DA-35E31E6209B6}"/>
    <cellStyle name="40% - Accent5 3 4 11" xfId="15671" xr:uid="{351EB3C5-9C57-4AF2-B053-FFA9B718C607}"/>
    <cellStyle name="40% - Accent5 3 4 12" xfId="17561" xr:uid="{5644ADE0-A121-4ABB-A59E-AC0D5CBAD6E6}"/>
    <cellStyle name="40% - Accent5 3 4 13" xfId="19451" xr:uid="{2CC0068F-C5CC-4002-9CB9-437EA9455510}"/>
    <cellStyle name="40% - Accent5 3 4 14" xfId="21341" xr:uid="{818B55C2-3DE2-4DD7-B024-6564137AEEFA}"/>
    <cellStyle name="40% - Accent5 3 4 15" xfId="23231" xr:uid="{AB8C0C1A-9E22-4BE6-AE12-36CD1C7B1B36}"/>
    <cellStyle name="40% - Accent5 3 4 16" xfId="25121" xr:uid="{921269B2-A649-44EA-B9B5-FC9FCBC84298}"/>
    <cellStyle name="40% - Accent5 3 4 17" xfId="27011" xr:uid="{4EFEBB0E-4AA3-4F9D-ACE9-A7CAF1467828}"/>
    <cellStyle name="40% - Accent5 3 4 18" xfId="28901" xr:uid="{4FA7683C-9D3E-4D81-AEDF-9191D1249EFD}"/>
    <cellStyle name="40% - Accent5 3 4 19" xfId="30791" xr:uid="{00FE7342-0E97-4683-8344-621DF8CEB2FF}"/>
    <cellStyle name="40% - Accent5 3 4 2" xfId="1181" xr:uid="{6C944F9A-B6F7-4934-82ED-A16588C04B2F}"/>
    <cellStyle name="40% - Accent5 3 4 2 10" xfId="18191" xr:uid="{14DE539B-6DFF-4A7F-B0E2-6C3DBDB0BF39}"/>
    <cellStyle name="40% - Accent5 3 4 2 11" xfId="20081" xr:uid="{4D65079E-1081-4137-A298-F39C145704B8}"/>
    <cellStyle name="40% - Accent5 3 4 2 12" xfId="21971" xr:uid="{52ABA0C1-6B26-4140-81A0-AB43A4F22950}"/>
    <cellStyle name="40% - Accent5 3 4 2 13" xfId="23861" xr:uid="{01B78E4D-8BFF-4B9A-8306-2A24A2685743}"/>
    <cellStyle name="40% - Accent5 3 4 2 14" xfId="25751" xr:uid="{A4577143-2ACD-4158-AAA6-069CAE737AA3}"/>
    <cellStyle name="40% - Accent5 3 4 2 15" xfId="27641" xr:uid="{86BEF945-645C-4489-83AF-319B95DC1488}"/>
    <cellStyle name="40% - Accent5 3 4 2 16" xfId="29531" xr:uid="{88333982-19A2-4102-AB08-7C91A8F3E005}"/>
    <cellStyle name="40% - Accent5 3 4 2 17" xfId="31421" xr:uid="{91E2303E-032C-4050-9164-E1DEF7697D61}"/>
    <cellStyle name="40% - Accent5 3 4 2 18" xfId="33311" xr:uid="{CAB8D140-9B6D-4508-9E8E-0952B8A2715A}"/>
    <cellStyle name="40% - Accent5 3 4 2 19" xfId="35201" xr:uid="{5E52D7D9-F647-426F-88BA-C456E7AE1D2B}"/>
    <cellStyle name="40% - Accent5 3 4 2 2" xfId="3071" xr:uid="{99A13436-C889-4E97-94B5-86B24229ACD5}"/>
    <cellStyle name="40% - Accent5 3 4 2 20" xfId="37091" xr:uid="{20A8B322-2143-417B-969B-8341951E85A1}"/>
    <cellStyle name="40% - Accent5 3 4 2 21" xfId="38981" xr:uid="{75426A11-52CF-4D15-9FF7-44DB1A66150F}"/>
    <cellStyle name="40% - Accent5 3 4 2 22" xfId="40872" xr:uid="{0C283B8F-F425-49CB-83E8-13008EB3D8DC}"/>
    <cellStyle name="40% - Accent5 3 4 2 3" xfId="4961" xr:uid="{27E8579D-5B63-459C-ACD7-075C48398E34}"/>
    <cellStyle name="40% - Accent5 3 4 2 4" xfId="6851" xr:uid="{4C221061-D11F-418D-A441-3BF1554DFBB8}"/>
    <cellStyle name="40% - Accent5 3 4 2 5" xfId="8741" xr:uid="{29FC1DDE-37A2-45CB-8573-7B4F64F9F073}"/>
    <cellStyle name="40% - Accent5 3 4 2 6" xfId="10631" xr:uid="{A89554D3-5DC8-4CFA-8F99-AB6FCE373A26}"/>
    <cellStyle name="40% - Accent5 3 4 2 7" xfId="12521" xr:uid="{3911AC5B-6C7B-4AF0-8F52-1EF1D2A9965E}"/>
    <cellStyle name="40% - Accent5 3 4 2 8" xfId="14411" xr:uid="{AC8DD0E3-D07F-4C4E-AB7F-19EA4B79C482}"/>
    <cellStyle name="40% - Accent5 3 4 2 9" xfId="16301" xr:uid="{8FEDF03D-C2B4-4B1D-B1C2-BE319659F84A}"/>
    <cellStyle name="40% - Accent5 3 4 20" xfId="32681" xr:uid="{9719B877-597C-43D0-AD34-1E6B3E10CBED}"/>
    <cellStyle name="40% - Accent5 3 4 21" xfId="34571" xr:uid="{091D976E-24FD-4A12-825E-190723A1DAC9}"/>
    <cellStyle name="40% - Accent5 3 4 22" xfId="36461" xr:uid="{6D53E67D-931A-40A8-AFE0-5558E5428537}"/>
    <cellStyle name="40% - Accent5 3 4 23" xfId="38351" xr:uid="{3AF3BC4B-1417-455D-BE1E-D2C2639985AD}"/>
    <cellStyle name="40% - Accent5 3 4 24" xfId="40242" xr:uid="{44F55090-0473-4638-8C54-31F016703E35}"/>
    <cellStyle name="40% - Accent5 3 4 3" xfId="1811" xr:uid="{92C67BB1-61E3-4C54-9A1B-B40BCED6A867}"/>
    <cellStyle name="40% - Accent5 3 4 3 10" xfId="18821" xr:uid="{DB4781E3-A467-4DD5-BA96-02C444C48FFC}"/>
    <cellStyle name="40% - Accent5 3 4 3 11" xfId="20711" xr:uid="{42B7D4B9-D78D-47AD-8819-3BCDC2C9C40F}"/>
    <cellStyle name="40% - Accent5 3 4 3 12" xfId="22601" xr:uid="{356E0623-B11D-4BCC-AA99-3E12C65762A2}"/>
    <cellStyle name="40% - Accent5 3 4 3 13" xfId="24491" xr:uid="{4C381FB1-4713-4BA4-8028-FE2483DD5099}"/>
    <cellStyle name="40% - Accent5 3 4 3 14" xfId="26381" xr:uid="{DB56DDAF-DD98-44EF-ACE4-76C1249B11FD}"/>
    <cellStyle name="40% - Accent5 3 4 3 15" xfId="28271" xr:uid="{CE71424F-5DD8-4DB3-BE5F-524EAA4BA548}"/>
    <cellStyle name="40% - Accent5 3 4 3 16" xfId="30161" xr:uid="{832747B4-F31A-42DB-95E5-91E3CBB45C23}"/>
    <cellStyle name="40% - Accent5 3 4 3 17" xfId="32051" xr:uid="{887F748D-72F9-4832-A5BD-A6C888159C03}"/>
    <cellStyle name="40% - Accent5 3 4 3 18" xfId="33941" xr:uid="{3686B4A9-E960-4F8C-A4A4-7BAAE28D78FA}"/>
    <cellStyle name="40% - Accent5 3 4 3 19" xfId="35831" xr:uid="{2A8BC788-D0AE-453D-8350-FB73353085B3}"/>
    <cellStyle name="40% - Accent5 3 4 3 2" xfId="3701" xr:uid="{E37CA37F-284A-4B1E-9A80-38DFD1187325}"/>
    <cellStyle name="40% - Accent5 3 4 3 20" xfId="37721" xr:uid="{CFFED3A7-3A45-448B-B2F7-1CACC28FA2A8}"/>
    <cellStyle name="40% - Accent5 3 4 3 21" xfId="39611" xr:uid="{AAD096A7-BFD3-49FA-B1CC-8CCF49AFD639}"/>
    <cellStyle name="40% - Accent5 3 4 3 22" xfId="41502" xr:uid="{544F07DF-AC48-4183-978E-EFA93A8003D2}"/>
    <cellStyle name="40% - Accent5 3 4 3 3" xfId="5591" xr:uid="{5CB95392-9E55-46AB-B77D-98BE7144870E}"/>
    <cellStyle name="40% - Accent5 3 4 3 4" xfId="7481" xr:uid="{AB3DC3A7-D4CC-403F-B28B-42BE8D9AA6EA}"/>
    <cellStyle name="40% - Accent5 3 4 3 5" xfId="9371" xr:uid="{5BC4151B-0940-47C5-A427-3642D4F658DF}"/>
    <cellStyle name="40% - Accent5 3 4 3 6" xfId="11261" xr:uid="{18FDB175-AA9A-47F4-9205-A7ED9A180C7F}"/>
    <cellStyle name="40% - Accent5 3 4 3 7" xfId="13151" xr:uid="{C816670E-811E-4E1D-BB61-A745BEF153E4}"/>
    <cellStyle name="40% - Accent5 3 4 3 8" xfId="15041" xr:uid="{177986B2-F00C-4094-A588-6EA6C9E1C777}"/>
    <cellStyle name="40% - Accent5 3 4 3 9" xfId="16931" xr:uid="{A5DF3FD2-0930-4F44-B487-D742BAA6DFFA}"/>
    <cellStyle name="40% - Accent5 3 4 4" xfId="2441" xr:uid="{454ABCD9-D1CC-4E40-9AE3-F9ED77DF72EF}"/>
    <cellStyle name="40% - Accent5 3 4 5" xfId="4331" xr:uid="{81D5B71D-82C4-4FDD-8B6D-EA25BE33D049}"/>
    <cellStyle name="40% - Accent5 3 4 6" xfId="6221" xr:uid="{F7F97A43-79D1-497C-A185-EF0CD1A35B86}"/>
    <cellStyle name="40% - Accent5 3 4 7" xfId="8111" xr:uid="{F31C8814-F5DF-44AB-BB9E-F7587FF68192}"/>
    <cellStyle name="40% - Accent5 3 4 8" xfId="10001" xr:uid="{E666F191-FAFA-46B0-8A71-2B4FB693EB5F}"/>
    <cellStyle name="40% - Accent5 3 4 9" xfId="11891" xr:uid="{17E625FC-E946-4077-9A31-F85A7115CF58}"/>
    <cellStyle name="40% - Accent5 3 5" xfId="761" xr:uid="{1024897F-C862-4770-977A-F7DF9A00E1A3}"/>
    <cellStyle name="40% - Accent5 3 5 10" xfId="17771" xr:uid="{553F2B75-36B3-4516-BAD4-E9597DEE1E66}"/>
    <cellStyle name="40% - Accent5 3 5 11" xfId="19661" xr:uid="{F5C919CE-423D-46A8-94EC-6872E9FBADCA}"/>
    <cellStyle name="40% - Accent5 3 5 12" xfId="21551" xr:uid="{F466E333-35B1-4611-976B-E29C8C695886}"/>
    <cellStyle name="40% - Accent5 3 5 13" xfId="23441" xr:uid="{19B9905D-6811-4420-8C95-964C6E9FC0FF}"/>
    <cellStyle name="40% - Accent5 3 5 14" xfId="25331" xr:uid="{BAFDCFB6-6304-48C6-9882-0FF097798EB8}"/>
    <cellStyle name="40% - Accent5 3 5 15" xfId="27221" xr:uid="{FE71A07E-A678-4964-9FBA-814D98E07327}"/>
    <cellStyle name="40% - Accent5 3 5 16" xfId="29111" xr:uid="{E1217452-71A2-45CF-A604-A1EC6000F8EB}"/>
    <cellStyle name="40% - Accent5 3 5 17" xfId="31001" xr:uid="{40D18D32-B802-41FF-A4B2-75C3FB1C3728}"/>
    <cellStyle name="40% - Accent5 3 5 18" xfId="32891" xr:uid="{5F86335E-7096-40A5-A9AC-13174E554DC0}"/>
    <cellStyle name="40% - Accent5 3 5 19" xfId="34781" xr:uid="{19FF6E27-45A8-4586-BFA3-B4A3F8699CC6}"/>
    <cellStyle name="40% - Accent5 3 5 2" xfId="2651" xr:uid="{40DA78BC-1750-44AF-AFF1-5355A66F4B5E}"/>
    <cellStyle name="40% - Accent5 3 5 20" xfId="36671" xr:uid="{2C8D7B69-C0A7-4B71-92AE-CC8FD76BF854}"/>
    <cellStyle name="40% - Accent5 3 5 21" xfId="38561" xr:uid="{A9A09FE3-10C1-4DFD-802D-EDCEAEB49110}"/>
    <cellStyle name="40% - Accent5 3 5 22" xfId="40452" xr:uid="{F696CB27-BA2F-49A4-B8D6-EC9AA7E37975}"/>
    <cellStyle name="40% - Accent5 3 5 3" xfId="4541" xr:uid="{35625734-174C-4018-BA4E-384FA55C8144}"/>
    <cellStyle name="40% - Accent5 3 5 4" xfId="6431" xr:uid="{CCA1EB7E-433B-48FA-B9A3-7AF2A826D147}"/>
    <cellStyle name="40% - Accent5 3 5 5" xfId="8321" xr:uid="{EB70680C-72E0-432E-8064-72E538A78DA3}"/>
    <cellStyle name="40% - Accent5 3 5 6" xfId="10211" xr:uid="{DC7F838D-EC6B-450C-B332-642E5D0E2B84}"/>
    <cellStyle name="40% - Accent5 3 5 7" xfId="12101" xr:uid="{D8018993-852F-48DB-A349-6DFD5CD39FD5}"/>
    <cellStyle name="40% - Accent5 3 5 8" xfId="13991" xr:uid="{E9BAA047-A8DA-4F08-9BA5-BFAD4EE8AE91}"/>
    <cellStyle name="40% - Accent5 3 5 9" xfId="15881" xr:uid="{474B9A2D-68B4-4B7F-8393-C0CEB2BC21B6}"/>
    <cellStyle name="40% - Accent5 3 6" xfId="1391" xr:uid="{1931645E-5499-4FCE-B458-24760BEE0490}"/>
    <cellStyle name="40% - Accent5 3 6 10" xfId="18401" xr:uid="{F7FC9462-8AC3-4417-A57C-D6CC425D0112}"/>
    <cellStyle name="40% - Accent5 3 6 11" xfId="20291" xr:uid="{1DDDDEE4-E602-4F53-BBDD-10614EA6828E}"/>
    <cellStyle name="40% - Accent5 3 6 12" xfId="22181" xr:uid="{96DF0DED-0A7C-4E6F-8C70-6B87714E502C}"/>
    <cellStyle name="40% - Accent5 3 6 13" xfId="24071" xr:uid="{9F285F55-F989-4438-81BE-70B50E2B149E}"/>
    <cellStyle name="40% - Accent5 3 6 14" xfId="25961" xr:uid="{081227DA-3DF3-425C-8B03-BC0EEE8A9E5B}"/>
    <cellStyle name="40% - Accent5 3 6 15" xfId="27851" xr:uid="{35E95FBB-55D3-4BD2-8699-44746BC7630A}"/>
    <cellStyle name="40% - Accent5 3 6 16" xfId="29741" xr:uid="{E5ACA994-FA05-43C2-88B2-AB21E62E1231}"/>
    <cellStyle name="40% - Accent5 3 6 17" xfId="31631" xr:uid="{04976CED-2423-41E8-A4C8-481973D489CF}"/>
    <cellStyle name="40% - Accent5 3 6 18" xfId="33521" xr:uid="{FE6CAF0E-3856-4783-BB85-29609E99B92A}"/>
    <cellStyle name="40% - Accent5 3 6 19" xfId="35411" xr:uid="{3C4219B2-F8E6-47C5-919D-F223A8C3A186}"/>
    <cellStyle name="40% - Accent5 3 6 2" xfId="3281" xr:uid="{5FD6E7F9-8127-4ABD-9718-EAAA1FBA993A}"/>
    <cellStyle name="40% - Accent5 3 6 20" xfId="37301" xr:uid="{22603AF6-9AC2-4750-9AA0-BA9C322B3EC4}"/>
    <cellStyle name="40% - Accent5 3 6 21" xfId="39191" xr:uid="{973D234B-AD79-4A0E-B0F9-3FBE7EB6D029}"/>
    <cellStyle name="40% - Accent5 3 6 22" xfId="41082" xr:uid="{76485F39-7CC0-4B8E-B025-C780D2912F36}"/>
    <cellStyle name="40% - Accent5 3 6 3" xfId="5171" xr:uid="{49F77F3B-68AB-480B-8619-D283229A54B6}"/>
    <cellStyle name="40% - Accent5 3 6 4" xfId="7061" xr:uid="{6BC68090-754B-42BD-AC71-09D265467638}"/>
    <cellStyle name="40% - Accent5 3 6 5" xfId="8951" xr:uid="{8982EF9F-C267-4F3C-87A2-8C00C1683ECF}"/>
    <cellStyle name="40% - Accent5 3 6 6" xfId="10841" xr:uid="{250F47D6-0795-4036-AD36-D9ECD010D4B7}"/>
    <cellStyle name="40% - Accent5 3 6 7" xfId="12731" xr:uid="{E4D17538-C20A-4C17-898E-2829170E09B8}"/>
    <cellStyle name="40% - Accent5 3 6 8" xfId="14621" xr:uid="{530B5106-84A4-4576-AE64-22385C85F0AF}"/>
    <cellStyle name="40% - Accent5 3 6 9" xfId="16511" xr:uid="{D66A4373-DD89-4783-AA42-9DD0E93C9BF4}"/>
    <cellStyle name="40% - Accent5 3 7" xfId="2021" xr:uid="{3446FE36-E00C-4D10-8F80-BEEEFB88F6FA}"/>
    <cellStyle name="40% - Accent5 3 8" xfId="3911" xr:uid="{3C362F90-4A25-4448-BFA4-509E2D64B5A1}"/>
    <cellStyle name="40% - Accent5 3 9" xfId="5801" xr:uid="{6DA8A99D-EE55-4274-89F7-F20C891EB293}"/>
    <cellStyle name="40% - Accent5 4" xfId="194" xr:uid="{8726E028-F5FD-459A-B287-BF3C2314B610}"/>
    <cellStyle name="40% - Accent5 4 10" xfId="9644" xr:uid="{F601A9BD-9D05-4690-9D6B-55C6C398021A}"/>
    <cellStyle name="40% - Accent5 4 11" xfId="11534" xr:uid="{3FC90982-D846-4DC8-BA67-667AE083EF1E}"/>
    <cellStyle name="40% - Accent5 4 12" xfId="13424" xr:uid="{3E590C35-749F-43AB-9525-7D06B0A2EE72}"/>
    <cellStyle name="40% - Accent5 4 13" xfId="15314" xr:uid="{C7D2D62D-9B7A-417D-B002-A7D298684AFE}"/>
    <cellStyle name="40% - Accent5 4 14" xfId="17204" xr:uid="{5AF7CBE2-4E71-474A-8719-BD61F08157DF}"/>
    <cellStyle name="40% - Accent5 4 15" xfId="19094" xr:uid="{2EC98156-B935-4510-A916-2B0E3A01C294}"/>
    <cellStyle name="40% - Accent5 4 16" xfId="20984" xr:uid="{3374D840-9A80-4517-A82A-AA5D6AA30E74}"/>
    <cellStyle name="40% - Accent5 4 17" xfId="22874" xr:uid="{C451C6B9-6267-4F83-B7FA-85F6BC6B8D33}"/>
    <cellStyle name="40% - Accent5 4 18" xfId="24764" xr:uid="{D2A5DC82-963B-41C9-86F5-29876D6FF967}"/>
    <cellStyle name="40% - Accent5 4 19" xfId="26654" xr:uid="{831BD35C-C34A-4185-ADF7-4776CD204182}"/>
    <cellStyle name="40% - Accent5 4 2" xfId="404" xr:uid="{5001A5AC-8E58-4DFD-8A3A-A08FC1D1BB94}"/>
    <cellStyle name="40% - Accent5 4 2 10" xfId="13634" xr:uid="{752F3334-44CF-46A8-B63D-B6475F39AC7B}"/>
    <cellStyle name="40% - Accent5 4 2 11" xfId="15524" xr:uid="{528BB3DC-CCF5-4BB4-95E9-3069C5F528B5}"/>
    <cellStyle name="40% - Accent5 4 2 12" xfId="17414" xr:uid="{EFCDB843-AB3B-4C47-9AC9-66586E33F83B}"/>
    <cellStyle name="40% - Accent5 4 2 13" xfId="19304" xr:uid="{23DD14CD-0867-4F7B-941A-85BEC7FFF389}"/>
    <cellStyle name="40% - Accent5 4 2 14" xfId="21194" xr:uid="{0AC0AD28-93FE-4D51-A5CB-D597CB883CB5}"/>
    <cellStyle name="40% - Accent5 4 2 15" xfId="23084" xr:uid="{6DCE00DA-7923-49B3-8C54-54B3B35737B8}"/>
    <cellStyle name="40% - Accent5 4 2 16" xfId="24974" xr:uid="{DD3009EF-2F5A-4AB8-9F2F-D8EA18ED7A72}"/>
    <cellStyle name="40% - Accent5 4 2 17" xfId="26864" xr:uid="{D11623B5-CF49-41FA-ADCC-710E53B6C32B}"/>
    <cellStyle name="40% - Accent5 4 2 18" xfId="28754" xr:uid="{8287E4FA-FA09-4FFB-A3AB-FB0152532636}"/>
    <cellStyle name="40% - Accent5 4 2 19" xfId="30644" xr:uid="{020A6719-1EEB-432B-9D92-A2CDCB8A15D7}"/>
    <cellStyle name="40% - Accent5 4 2 2" xfId="1034" xr:uid="{7FF33CC1-41B8-4454-902B-C4B897CE92F9}"/>
    <cellStyle name="40% - Accent5 4 2 2 10" xfId="18044" xr:uid="{5B91D68F-D032-40EF-A2A1-1BBA86086FE5}"/>
    <cellStyle name="40% - Accent5 4 2 2 11" xfId="19934" xr:uid="{869B2C83-83D6-4860-BD54-E440A48DC8D7}"/>
    <cellStyle name="40% - Accent5 4 2 2 12" xfId="21824" xr:uid="{DE1A5D89-60E1-49BC-BA2D-21F0931F53C0}"/>
    <cellStyle name="40% - Accent5 4 2 2 13" xfId="23714" xr:uid="{9D4D647C-BA48-48CB-81EF-81CF7530FA88}"/>
    <cellStyle name="40% - Accent5 4 2 2 14" xfId="25604" xr:uid="{7F11ABF8-C586-4BDC-AF43-197BCF3C26C8}"/>
    <cellStyle name="40% - Accent5 4 2 2 15" xfId="27494" xr:uid="{A2E1DAA7-8B13-4E37-864F-D16398B568C5}"/>
    <cellStyle name="40% - Accent5 4 2 2 16" xfId="29384" xr:uid="{4B33925C-21CE-4B5F-87EB-69FE84E343C1}"/>
    <cellStyle name="40% - Accent5 4 2 2 17" xfId="31274" xr:uid="{99F486CD-B38F-445A-98A7-F6840D419549}"/>
    <cellStyle name="40% - Accent5 4 2 2 18" xfId="33164" xr:uid="{8573D429-FCE8-4CA5-8B17-7BAF05BAF7AA}"/>
    <cellStyle name="40% - Accent5 4 2 2 19" xfId="35054" xr:uid="{EDC7714A-F74A-4156-AF5A-4B10BD0B39F2}"/>
    <cellStyle name="40% - Accent5 4 2 2 2" xfId="2924" xr:uid="{132D77E3-CCCA-42AE-B389-2C181B024131}"/>
    <cellStyle name="40% - Accent5 4 2 2 20" xfId="36944" xr:uid="{813CB305-D494-47AA-B4C1-557AAA3B53E2}"/>
    <cellStyle name="40% - Accent5 4 2 2 21" xfId="38834" xr:uid="{AEFA37B5-1A27-4568-BC0E-F54F7007AFEB}"/>
    <cellStyle name="40% - Accent5 4 2 2 22" xfId="40725" xr:uid="{8CE2B009-8506-4EF5-B50C-BC57E9FADF6D}"/>
    <cellStyle name="40% - Accent5 4 2 2 3" xfId="4814" xr:uid="{00503839-131C-4804-AB39-016EE6A10422}"/>
    <cellStyle name="40% - Accent5 4 2 2 4" xfId="6704" xr:uid="{E708D636-5CFC-4D54-9703-17D65615B2D1}"/>
    <cellStyle name="40% - Accent5 4 2 2 5" xfId="8594" xr:uid="{14685F74-3EBF-45B1-8F0D-CB51A10C1228}"/>
    <cellStyle name="40% - Accent5 4 2 2 6" xfId="10484" xr:uid="{243A656A-94C1-4ED4-8418-B3952E17F850}"/>
    <cellStyle name="40% - Accent5 4 2 2 7" xfId="12374" xr:uid="{0D881297-9877-4D05-813D-91D0DEA4DC72}"/>
    <cellStyle name="40% - Accent5 4 2 2 8" xfId="14264" xr:uid="{9A67A26A-ED57-420E-9967-D3B6FA559895}"/>
    <cellStyle name="40% - Accent5 4 2 2 9" xfId="16154" xr:uid="{A462DC64-117E-4CC9-887A-0D2409530501}"/>
    <cellStyle name="40% - Accent5 4 2 20" xfId="32534" xr:uid="{F7331B16-3318-4006-A5FF-18DF88F135CB}"/>
    <cellStyle name="40% - Accent5 4 2 21" xfId="34424" xr:uid="{89E0E4A9-BEEE-4E52-A288-ABCB83FD09EB}"/>
    <cellStyle name="40% - Accent5 4 2 22" xfId="36314" xr:uid="{1BB71CC1-B325-48E9-846E-8DC47FA3F5A6}"/>
    <cellStyle name="40% - Accent5 4 2 23" xfId="38204" xr:uid="{EC0CFEF3-1D4B-4293-A2CA-8EF16AF7AA82}"/>
    <cellStyle name="40% - Accent5 4 2 24" xfId="40095" xr:uid="{8BE14041-3050-42FB-A317-2D0A77592EBA}"/>
    <cellStyle name="40% - Accent5 4 2 3" xfId="1664" xr:uid="{F147BAF1-F2D5-4176-84E2-031184D3354C}"/>
    <cellStyle name="40% - Accent5 4 2 3 10" xfId="18674" xr:uid="{0F87894A-9DAB-4C4A-B903-83F3649D0D9D}"/>
    <cellStyle name="40% - Accent5 4 2 3 11" xfId="20564" xr:uid="{6BBFC5BC-EDDC-4088-9E97-70FA57FF740E}"/>
    <cellStyle name="40% - Accent5 4 2 3 12" xfId="22454" xr:uid="{FD8E5CD8-67BA-443D-8130-766286C16A43}"/>
    <cellStyle name="40% - Accent5 4 2 3 13" xfId="24344" xr:uid="{6FC76AAE-CAC4-4000-A189-398021D37D94}"/>
    <cellStyle name="40% - Accent5 4 2 3 14" xfId="26234" xr:uid="{4293B7C7-6EDC-4CEC-A592-8CBE6BAED707}"/>
    <cellStyle name="40% - Accent5 4 2 3 15" xfId="28124" xr:uid="{E7D1A91D-2865-46C9-89BB-6DBB9D56306E}"/>
    <cellStyle name="40% - Accent5 4 2 3 16" xfId="30014" xr:uid="{B4AE1FB1-A591-4342-8310-C71FB5A3DB17}"/>
    <cellStyle name="40% - Accent5 4 2 3 17" xfId="31904" xr:uid="{A9E6FC2B-336F-4F8A-B679-1FC53DBF1F0C}"/>
    <cellStyle name="40% - Accent5 4 2 3 18" xfId="33794" xr:uid="{27ED9895-4089-48C4-A423-C84D314EAAE9}"/>
    <cellStyle name="40% - Accent5 4 2 3 19" xfId="35684" xr:uid="{70E5C5C6-E026-464D-BA5B-8D87FAA8033A}"/>
    <cellStyle name="40% - Accent5 4 2 3 2" xfId="3554" xr:uid="{FD228901-3400-48ED-B0D2-0DCDCD818806}"/>
    <cellStyle name="40% - Accent5 4 2 3 20" xfId="37574" xr:uid="{9AC5A018-AF9B-40B7-A7EE-C00264D0BC5C}"/>
    <cellStyle name="40% - Accent5 4 2 3 21" xfId="39464" xr:uid="{6D5F4CC3-5675-4C8A-932C-3179D1B398E2}"/>
    <cellStyle name="40% - Accent5 4 2 3 22" xfId="41355" xr:uid="{47FB237A-5AFF-46EC-9007-F634DF1FCA90}"/>
    <cellStyle name="40% - Accent5 4 2 3 3" xfId="5444" xr:uid="{FDA3600F-28E5-4B64-85E8-9DB7EB601E03}"/>
    <cellStyle name="40% - Accent5 4 2 3 4" xfId="7334" xr:uid="{266AB0D9-238B-4F7F-9E67-2A9A78974FBD}"/>
    <cellStyle name="40% - Accent5 4 2 3 5" xfId="9224" xr:uid="{0715898C-E21F-4A01-9220-3D1549109B6C}"/>
    <cellStyle name="40% - Accent5 4 2 3 6" xfId="11114" xr:uid="{41CC0639-6D54-482A-99C5-9DE09A48B2AD}"/>
    <cellStyle name="40% - Accent5 4 2 3 7" xfId="13004" xr:uid="{398EA897-ADD6-4E39-8AD1-5EDB28A4B3B6}"/>
    <cellStyle name="40% - Accent5 4 2 3 8" xfId="14894" xr:uid="{2FC98EB0-53D7-4CB9-BC0D-77831BB94997}"/>
    <cellStyle name="40% - Accent5 4 2 3 9" xfId="16784" xr:uid="{C092FC1A-2243-49D3-B532-D211F0F62D39}"/>
    <cellStyle name="40% - Accent5 4 2 4" xfId="2294" xr:uid="{60D8F609-F5DB-4C31-A690-3E27F7F13685}"/>
    <cellStyle name="40% - Accent5 4 2 5" xfId="4184" xr:uid="{0E408E42-2647-4BF1-A8B6-D31D04D20827}"/>
    <cellStyle name="40% - Accent5 4 2 6" xfId="6074" xr:uid="{B7B0E493-57D6-4302-9E3C-16969FA8EF6B}"/>
    <cellStyle name="40% - Accent5 4 2 7" xfId="7964" xr:uid="{14B16F30-2B9E-412E-BED8-A0E9F8ADAA6F}"/>
    <cellStyle name="40% - Accent5 4 2 8" xfId="9854" xr:uid="{5391526C-E3AE-4090-8CFE-9EF3C39E3446}"/>
    <cellStyle name="40% - Accent5 4 2 9" xfId="11744" xr:uid="{2EE6F619-41F0-40A1-8550-27CA86B19560}"/>
    <cellStyle name="40% - Accent5 4 20" xfId="28544" xr:uid="{F2823DA2-3F14-4A63-8CD8-6C85FC5527E7}"/>
    <cellStyle name="40% - Accent5 4 21" xfId="30434" xr:uid="{CC9648C2-1D76-41DC-987E-73F339C1FC40}"/>
    <cellStyle name="40% - Accent5 4 22" xfId="32324" xr:uid="{6CF501AD-4610-420E-9222-272B2ACF39D1}"/>
    <cellStyle name="40% - Accent5 4 23" xfId="34214" xr:uid="{282C79C8-7FF6-4B68-B34C-AB740DC22689}"/>
    <cellStyle name="40% - Accent5 4 24" xfId="36104" xr:uid="{A2B66116-05CB-458B-A337-293B424CB1F9}"/>
    <cellStyle name="40% - Accent5 4 25" xfId="37994" xr:uid="{B0DD27B9-8BC1-4E66-8128-2E5F6221C6F1}"/>
    <cellStyle name="40% - Accent5 4 26" xfId="39885" xr:uid="{FC751231-B942-44A0-9EFA-6AA76408AF25}"/>
    <cellStyle name="40% - Accent5 4 3" xfId="614" xr:uid="{9B1441EE-F9EE-4585-B15A-FF82F204CF7C}"/>
    <cellStyle name="40% - Accent5 4 3 10" xfId="13844" xr:uid="{70C9E73B-AB88-46DA-A5CD-18C9A7A238D8}"/>
    <cellStyle name="40% - Accent5 4 3 11" xfId="15734" xr:uid="{444E0446-3439-4ED7-AA53-3D31C2696A72}"/>
    <cellStyle name="40% - Accent5 4 3 12" xfId="17624" xr:uid="{E9F1A6C7-6ABA-45B6-93B2-C611769C09F6}"/>
    <cellStyle name="40% - Accent5 4 3 13" xfId="19514" xr:uid="{75D19C81-E04A-42FB-96D9-3624810D9AE2}"/>
    <cellStyle name="40% - Accent5 4 3 14" xfId="21404" xr:uid="{D5B1F440-65DE-49C2-B2C6-4D3E37E23C7B}"/>
    <cellStyle name="40% - Accent5 4 3 15" xfId="23294" xr:uid="{8D05F793-0F92-43B2-911D-7BDB1F0FA63A}"/>
    <cellStyle name="40% - Accent5 4 3 16" xfId="25184" xr:uid="{87B25D6E-DAA6-43DA-98AA-22ADF05B0578}"/>
    <cellStyle name="40% - Accent5 4 3 17" xfId="27074" xr:uid="{1B8D9CD6-049F-44FA-8B3A-0B23ADBD91DC}"/>
    <cellStyle name="40% - Accent5 4 3 18" xfId="28964" xr:uid="{E58B243D-7D8D-48B4-8680-7496142622F1}"/>
    <cellStyle name="40% - Accent5 4 3 19" xfId="30854" xr:uid="{E07D32D5-2DBE-4559-9BB0-85D6A994B889}"/>
    <cellStyle name="40% - Accent5 4 3 2" xfId="1244" xr:uid="{E69E740A-131C-46BD-8026-298D3EC2A8F9}"/>
    <cellStyle name="40% - Accent5 4 3 2 10" xfId="18254" xr:uid="{AB1635BC-5570-4321-A976-A7967955C5FA}"/>
    <cellStyle name="40% - Accent5 4 3 2 11" xfId="20144" xr:uid="{320D913A-D207-4C46-BD9F-F7EBB3E66474}"/>
    <cellStyle name="40% - Accent5 4 3 2 12" xfId="22034" xr:uid="{30D89281-1F77-402A-B0DF-4A2247B9A51A}"/>
    <cellStyle name="40% - Accent5 4 3 2 13" xfId="23924" xr:uid="{A841A5FE-DF76-4303-B8E7-0D516A1A4577}"/>
    <cellStyle name="40% - Accent5 4 3 2 14" xfId="25814" xr:uid="{81949BC8-3B2D-482A-BA49-3B22C89370A1}"/>
    <cellStyle name="40% - Accent5 4 3 2 15" xfId="27704" xr:uid="{E46B5055-7FE9-4160-881A-078B7682B0A6}"/>
    <cellStyle name="40% - Accent5 4 3 2 16" xfId="29594" xr:uid="{BCC40F34-D524-4F27-AF8B-9B8243EB0168}"/>
    <cellStyle name="40% - Accent5 4 3 2 17" xfId="31484" xr:uid="{6DA40A7F-C23F-475B-98B4-DEA2E31F36FC}"/>
    <cellStyle name="40% - Accent5 4 3 2 18" xfId="33374" xr:uid="{1236F024-29CD-42A8-BE00-BEE81DD76932}"/>
    <cellStyle name="40% - Accent5 4 3 2 19" xfId="35264" xr:uid="{C2E976E4-0583-4545-96D6-44B584B21555}"/>
    <cellStyle name="40% - Accent5 4 3 2 2" xfId="3134" xr:uid="{800EC39A-B229-4833-AAB0-415766C5EF09}"/>
    <cellStyle name="40% - Accent5 4 3 2 20" xfId="37154" xr:uid="{558B2DC4-138E-4C7D-B687-A4677D395A03}"/>
    <cellStyle name="40% - Accent5 4 3 2 21" xfId="39044" xr:uid="{C631D4AE-112C-49B9-8F34-1353D2B3D465}"/>
    <cellStyle name="40% - Accent5 4 3 2 22" xfId="40935" xr:uid="{AA85FDFA-D0C0-4EC0-9D7F-1CDC23B33624}"/>
    <cellStyle name="40% - Accent5 4 3 2 3" xfId="5024" xr:uid="{D25AAFD0-D5DC-41D4-836C-6C323E1F7789}"/>
    <cellStyle name="40% - Accent5 4 3 2 4" xfId="6914" xr:uid="{50D16D45-7343-4D18-B3AC-A47970CA518E}"/>
    <cellStyle name="40% - Accent5 4 3 2 5" xfId="8804" xr:uid="{6F70B328-86CC-4A28-AAD0-67F1E78E83BD}"/>
    <cellStyle name="40% - Accent5 4 3 2 6" xfId="10694" xr:uid="{851A3552-9389-44D9-A5C9-D400829AD5B5}"/>
    <cellStyle name="40% - Accent5 4 3 2 7" xfId="12584" xr:uid="{7F4CE963-4B8B-4D77-9DB8-F8B03AC23CF8}"/>
    <cellStyle name="40% - Accent5 4 3 2 8" xfId="14474" xr:uid="{7F3FB5BB-EB23-41C4-8670-77867F3D3A3C}"/>
    <cellStyle name="40% - Accent5 4 3 2 9" xfId="16364" xr:uid="{C56A4CBC-0E7E-4EE1-A32D-CA104BD40220}"/>
    <cellStyle name="40% - Accent5 4 3 20" xfId="32744" xr:uid="{70797D7E-4739-4392-8979-73ACC65DF017}"/>
    <cellStyle name="40% - Accent5 4 3 21" xfId="34634" xr:uid="{362D2894-2E63-4A25-A71F-6CB512C772F2}"/>
    <cellStyle name="40% - Accent5 4 3 22" xfId="36524" xr:uid="{04ECAAF3-247A-46AB-9CC9-9649949ED0ED}"/>
    <cellStyle name="40% - Accent5 4 3 23" xfId="38414" xr:uid="{D3E79B55-5CE7-40CD-8D43-B79F5EAD1CD4}"/>
    <cellStyle name="40% - Accent5 4 3 24" xfId="40305" xr:uid="{9B5A5E9F-3AE0-4B70-865C-64EA0B0159AC}"/>
    <cellStyle name="40% - Accent5 4 3 3" xfId="1874" xr:uid="{244144B8-5A4E-458B-AA3B-7A61870324D1}"/>
    <cellStyle name="40% - Accent5 4 3 3 10" xfId="18884" xr:uid="{D4A99A40-B7E1-42DA-AB25-E3B1405651D6}"/>
    <cellStyle name="40% - Accent5 4 3 3 11" xfId="20774" xr:uid="{E2660924-015C-4726-938A-DE39BAE6A00D}"/>
    <cellStyle name="40% - Accent5 4 3 3 12" xfId="22664" xr:uid="{1962914A-5512-41BD-9E43-9C86B0F30F3F}"/>
    <cellStyle name="40% - Accent5 4 3 3 13" xfId="24554" xr:uid="{9E22FA72-204A-4A3F-8C7E-B8EE925E4943}"/>
    <cellStyle name="40% - Accent5 4 3 3 14" xfId="26444" xr:uid="{75F59DD7-D8C8-4FEB-81D9-F2BE1BF0A87F}"/>
    <cellStyle name="40% - Accent5 4 3 3 15" xfId="28334" xr:uid="{46419FC1-0D7C-46AD-BECB-DD16569686E2}"/>
    <cellStyle name="40% - Accent5 4 3 3 16" xfId="30224" xr:uid="{1E2D158F-B11D-4457-B7FC-26A9C0F3CE12}"/>
    <cellStyle name="40% - Accent5 4 3 3 17" xfId="32114" xr:uid="{6FC5E7BE-A47D-45CD-84E7-B9F5D1E5B4C8}"/>
    <cellStyle name="40% - Accent5 4 3 3 18" xfId="34004" xr:uid="{CE4DA234-0094-4389-AE2D-DF27DD8778DB}"/>
    <cellStyle name="40% - Accent5 4 3 3 19" xfId="35894" xr:uid="{BF1956D0-6E7A-4FD9-9502-1062D2E710A0}"/>
    <cellStyle name="40% - Accent5 4 3 3 2" xfId="3764" xr:uid="{A34C4F48-0483-4CCF-ACD0-616A7D9BCFDD}"/>
    <cellStyle name="40% - Accent5 4 3 3 20" xfId="37784" xr:uid="{8D8E21B8-FF6E-48C0-A33E-5E89C282AB04}"/>
    <cellStyle name="40% - Accent5 4 3 3 21" xfId="39674" xr:uid="{7640A0A0-A3F7-40F1-A30B-79B7D7E1C948}"/>
    <cellStyle name="40% - Accent5 4 3 3 22" xfId="41565" xr:uid="{F3E504C1-9EBB-4F99-9423-32A9248E5C95}"/>
    <cellStyle name="40% - Accent5 4 3 3 3" xfId="5654" xr:uid="{8EBD8F99-71AB-40C6-91BC-122C9235E325}"/>
    <cellStyle name="40% - Accent5 4 3 3 4" xfId="7544" xr:uid="{CB38FC3A-C61E-4AF3-A6E2-1B4D4250F529}"/>
    <cellStyle name="40% - Accent5 4 3 3 5" xfId="9434" xr:uid="{7F8E9E31-6B41-4F3A-B431-BDB782AADA5F}"/>
    <cellStyle name="40% - Accent5 4 3 3 6" xfId="11324" xr:uid="{3315AB86-9DE9-43F4-8C84-E5365EDC6982}"/>
    <cellStyle name="40% - Accent5 4 3 3 7" xfId="13214" xr:uid="{4FC19498-D141-44CD-B57D-8E7C961EB833}"/>
    <cellStyle name="40% - Accent5 4 3 3 8" xfId="15104" xr:uid="{FB3CCCCC-EA5D-43AA-813C-8B2204CC984F}"/>
    <cellStyle name="40% - Accent5 4 3 3 9" xfId="16994" xr:uid="{6886BB58-E096-4B03-A708-C4321AE77F97}"/>
    <cellStyle name="40% - Accent5 4 3 4" xfId="2504" xr:uid="{4418D9D6-524F-496F-AE76-94B6555A4261}"/>
    <cellStyle name="40% - Accent5 4 3 5" xfId="4394" xr:uid="{728F8F84-77F4-4CFC-BBEC-AEF6AC20AA96}"/>
    <cellStyle name="40% - Accent5 4 3 6" xfId="6284" xr:uid="{04BFE6E1-33A7-46A3-81A5-FB1098FD0D1A}"/>
    <cellStyle name="40% - Accent5 4 3 7" xfId="8174" xr:uid="{A90C09DB-A494-4E24-AB5D-5D59CD98945E}"/>
    <cellStyle name="40% - Accent5 4 3 8" xfId="10064" xr:uid="{2CE9098D-718F-4E76-94E3-1DC1901CB9F6}"/>
    <cellStyle name="40% - Accent5 4 3 9" xfId="11954" xr:uid="{6105A30B-158A-477B-BEB5-7DCB103412BE}"/>
    <cellStyle name="40% - Accent5 4 4" xfId="824" xr:uid="{0DEC4102-7427-4F43-B50B-5ABA5ED0E325}"/>
    <cellStyle name="40% - Accent5 4 4 10" xfId="17834" xr:uid="{49AB3B8C-964B-41E4-BBD7-E34C53ECB481}"/>
    <cellStyle name="40% - Accent5 4 4 11" xfId="19724" xr:uid="{004E8E3A-E323-4039-B41F-E6ABE8919C54}"/>
    <cellStyle name="40% - Accent5 4 4 12" xfId="21614" xr:uid="{D9874A92-FAE3-4206-B1DD-F38403243FFA}"/>
    <cellStyle name="40% - Accent5 4 4 13" xfId="23504" xr:uid="{F7EA1CAC-FB1E-4782-B038-0C227BBF1AF2}"/>
    <cellStyle name="40% - Accent5 4 4 14" xfId="25394" xr:uid="{F203F96E-8A9D-4314-87FD-E5CF3099F2D1}"/>
    <cellStyle name="40% - Accent5 4 4 15" xfId="27284" xr:uid="{CAAC1044-D1C8-49E5-81B3-471C4D38A271}"/>
    <cellStyle name="40% - Accent5 4 4 16" xfId="29174" xr:uid="{1D4AAEBF-3C88-4CDB-9AD7-FB57A7C8F3D3}"/>
    <cellStyle name="40% - Accent5 4 4 17" xfId="31064" xr:uid="{A460C02E-8F12-4BDD-B9AD-BB0102F60868}"/>
    <cellStyle name="40% - Accent5 4 4 18" xfId="32954" xr:uid="{1850D705-26FE-43E6-8530-1EA571A1F4A5}"/>
    <cellStyle name="40% - Accent5 4 4 19" xfId="34844" xr:uid="{64EE9D55-DFD0-4AC9-898E-B1ACC40DB22C}"/>
    <cellStyle name="40% - Accent5 4 4 2" xfId="2714" xr:uid="{62B78D37-40CF-460E-AF5C-A8F4CB625EBD}"/>
    <cellStyle name="40% - Accent5 4 4 20" xfId="36734" xr:uid="{09E97116-F724-42E9-8B48-23E8490B96A0}"/>
    <cellStyle name="40% - Accent5 4 4 21" xfId="38624" xr:uid="{DB7022AE-D230-4F6D-9350-627E6B14B334}"/>
    <cellStyle name="40% - Accent5 4 4 22" xfId="40515" xr:uid="{A7B08B7E-15F5-47A7-9AE7-9B149951E11D}"/>
    <cellStyle name="40% - Accent5 4 4 3" xfId="4604" xr:uid="{99470C13-5B69-4763-A473-17D484D1A4B2}"/>
    <cellStyle name="40% - Accent5 4 4 4" xfId="6494" xr:uid="{D4C3A254-F31E-4324-A4DC-121AC84DDD95}"/>
    <cellStyle name="40% - Accent5 4 4 5" xfId="8384" xr:uid="{7B47572A-61A2-45C3-881B-91CE83D143B3}"/>
    <cellStyle name="40% - Accent5 4 4 6" xfId="10274" xr:uid="{0415735E-4E67-454B-8257-F482B08E3598}"/>
    <cellStyle name="40% - Accent5 4 4 7" xfId="12164" xr:uid="{14AF58E3-A3CF-4843-B72E-5E5E07032FD1}"/>
    <cellStyle name="40% - Accent5 4 4 8" xfId="14054" xr:uid="{77CA7365-42DE-4A46-B310-B80C270E2F84}"/>
    <cellStyle name="40% - Accent5 4 4 9" xfId="15944" xr:uid="{CA789F85-8001-4B38-B868-DEFBA1D5252F}"/>
    <cellStyle name="40% - Accent5 4 5" xfId="1454" xr:uid="{364D305A-D042-40E5-8303-53EA60B9C921}"/>
    <cellStyle name="40% - Accent5 4 5 10" xfId="18464" xr:uid="{BCA90519-92D2-43A2-8A22-D18E5FCF7C7F}"/>
    <cellStyle name="40% - Accent5 4 5 11" xfId="20354" xr:uid="{221C0567-8EE9-4ACB-BEA5-D48B59C5992A}"/>
    <cellStyle name="40% - Accent5 4 5 12" xfId="22244" xr:uid="{3F2DAE48-8BF9-42C9-BA65-8A9C8EDE3000}"/>
    <cellStyle name="40% - Accent5 4 5 13" xfId="24134" xr:uid="{EF43E391-086E-4383-9DE8-B5C12D5B9FF6}"/>
    <cellStyle name="40% - Accent5 4 5 14" xfId="26024" xr:uid="{6A559344-C052-4C55-8372-5B9201D83E85}"/>
    <cellStyle name="40% - Accent5 4 5 15" xfId="27914" xr:uid="{B0B568A7-80C9-4ADC-AEDD-0BDB11C19FCC}"/>
    <cellStyle name="40% - Accent5 4 5 16" xfId="29804" xr:uid="{C75CBD34-54BF-4F48-B647-EC8C0B0C773A}"/>
    <cellStyle name="40% - Accent5 4 5 17" xfId="31694" xr:uid="{A4A8325B-2B9F-47CA-A5AE-325770BF4AAA}"/>
    <cellStyle name="40% - Accent5 4 5 18" xfId="33584" xr:uid="{07842B03-AC30-409C-A41C-36E97F66C54C}"/>
    <cellStyle name="40% - Accent5 4 5 19" xfId="35474" xr:uid="{8E19DFCC-2676-49C7-B11A-BB16A83F8DD8}"/>
    <cellStyle name="40% - Accent5 4 5 2" xfId="3344" xr:uid="{90A74389-3C18-4CBE-97FA-13FB9FA9EC0E}"/>
    <cellStyle name="40% - Accent5 4 5 20" xfId="37364" xr:uid="{D602FF09-8D98-4533-9202-FF029D8124AC}"/>
    <cellStyle name="40% - Accent5 4 5 21" xfId="39254" xr:uid="{F732653A-5B1C-4E3F-A72F-AFC59CE5B9D6}"/>
    <cellStyle name="40% - Accent5 4 5 22" xfId="41145" xr:uid="{C32059D6-2200-4E24-A953-811901F4A0D8}"/>
    <cellStyle name="40% - Accent5 4 5 3" xfId="5234" xr:uid="{488D21F7-E2C1-4C7B-A337-119C4FE3501F}"/>
    <cellStyle name="40% - Accent5 4 5 4" xfId="7124" xr:uid="{2276BEBB-4808-4205-B678-A81AF029E63C}"/>
    <cellStyle name="40% - Accent5 4 5 5" xfId="9014" xr:uid="{C8DDD3ED-126D-417C-A74A-556ADFEE4C74}"/>
    <cellStyle name="40% - Accent5 4 5 6" xfId="10904" xr:uid="{BD1A3BC8-FC0F-4416-B39E-F9E4C14DE1A5}"/>
    <cellStyle name="40% - Accent5 4 5 7" xfId="12794" xr:uid="{2CD409D5-B379-457D-B84C-A9631A29C1AB}"/>
    <cellStyle name="40% - Accent5 4 5 8" xfId="14684" xr:uid="{B99934A2-C694-4B49-8ADA-7EE23A3D328F}"/>
    <cellStyle name="40% - Accent5 4 5 9" xfId="16574" xr:uid="{9AD78C7E-6481-4513-9244-9F3851B0772E}"/>
    <cellStyle name="40% - Accent5 4 6" xfId="2084" xr:uid="{422FA51A-3D05-49C6-9B21-BAE64A4D561C}"/>
    <cellStyle name="40% - Accent5 4 7" xfId="3974" xr:uid="{68ED2A4E-20EC-4D0B-AA68-232CA015D884}"/>
    <cellStyle name="40% - Accent5 4 8" xfId="5864" xr:uid="{F2937372-673D-456E-94BF-DA687E9AD970}"/>
    <cellStyle name="40% - Accent5 4 9" xfId="7754" xr:uid="{5C103ECE-097C-46F7-B9DA-A8356308E216}"/>
    <cellStyle name="40% - Accent5 5" xfId="299" xr:uid="{BBB706C2-508B-421F-847E-125C6BE33DA2}"/>
    <cellStyle name="40% - Accent5 5 10" xfId="13529" xr:uid="{FB38C263-8D1C-41D5-A5C0-C7FBCE3ED271}"/>
    <cellStyle name="40% - Accent5 5 11" xfId="15419" xr:uid="{05686EF3-DD98-4C98-9CB1-6C98A521DE0F}"/>
    <cellStyle name="40% - Accent5 5 12" xfId="17309" xr:uid="{F0C5DEBC-2425-4FFB-AB2E-D24984B25858}"/>
    <cellStyle name="40% - Accent5 5 13" xfId="19199" xr:uid="{75D8DD52-58BA-4E3C-A8A2-0B413335AD94}"/>
    <cellStyle name="40% - Accent5 5 14" xfId="21089" xr:uid="{E37DF895-9C5D-4589-8CD0-8F88E5F99720}"/>
    <cellStyle name="40% - Accent5 5 15" xfId="22979" xr:uid="{03EA54A3-373E-4875-AB41-40F2A94D539D}"/>
    <cellStyle name="40% - Accent5 5 16" xfId="24869" xr:uid="{D1535A3C-4403-42F3-BC61-0636C1EA407B}"/>
    <cellStyle name="40% - Accent5 5 17" xfId="26759" xr:uid="{C6B6FB7E-AECF-469F-977B-3BEBDAF152C0}"/>
    <cellStyle name="40% - Accent5 5 18" xfId="28649" xr:uid="{AAA9352F-42AA-4AB3-AAE2-BBACF03C0A97}"/>
    <cellStyle name="40% - Accent5 5 19" xfId="30539" xr:uid="{6841CFA0-3023-4C77-ADFB-44E1F97A13B4}"/>
    <cellStyle name="40% - Accent5 5 2" xfId="929" xr:uid="{B4726456-2D7C-4318-B2C7-2025D80310FC}"/>
    <cellStyle name="40% - Accent5 5 2 10" xfId="17939" xr:uid="{8409F737-ECB4-4DEC-9612-63A8B9C86D27}"/>
    <cellStyle name="40% - Accent5 5 2 11" xfId="19829" xr:uid="{18051B0F-B4C2-42C6-A8BF-0596A186B38E}"/>
    <cellStyle name="40% - Accent5 5 2 12" xfId="21719" xr:uid="{9CD3A633-D460-4217-8C57-7BABEE49D68E}"/>
    <cellStyle name="40% - Accent5 5 2 13" xfId="23609" xr:uid="{3A983B79-7DD8-4A88-8887-5E6C10AFC32B}"/>
    <cellStyle name="40% - Accent5 5 2 14" xfId="25499" xr:uid="{995782B3-CCCB-4E98-BA3F-2593C1B84D1F}"/>
    <cellStyle name="40% - Accent5 5 2 15" xfId="27389" xr:uid="{AAB5E249-A69C-43D8-9A96-3D60199FFE53}"/>
    <cellStyle name="40% - Accent5 5 2 16" xfId="29279" xr:uid="{DFB8441E-F64C-46D6-9261-D056757255A1}"/>
    <cellStyle name="40% - Accent5 5 2 17" xfId="31169" xr:uid="{41ACF917-A1F4-43CF-8DF1-33B6D79ED626}"/>
    <cellStyle name="40% - Accent5 5 2 18" xfId="33059" xr:uid="{D58D55DE-C7A5-4C47-BBA7-06C7D477FDB7}"/>
    <cellStyle name="40% - Accent5 5 2 19" xfId="34949" xr:uid="{F8B3B683-DBE3-480A-B409-EE5D0104E174}"/>
    <cellStyle name="40% - Accent5 5 2 2" xfId="2819" xr:uid="{C57A7D7B-E395-401C-B3D7-9D4AEC27D4EB}"/>
    <cellStyle name="40% - Accent5 5 2 20" xfId="36839" xr:uid="{9F0F9DF2-22A3-4DAF-914D-D7DFE1484EFC}"/>
    <cellStyle name="40% - Accent5 5 2 21" xfId="38729" xr:uid="{4A336D2F-2D07-44ED-8C89-3C70699E02D6}"/>
    <cellStyle name="40% - Accent5 5 2 22" xfId="40620" xr:uid="{D8EF9AA4-81AE-440F-BA2D-A2889EC65392}"/>
    <cellStyle name="40% - Accent5 5 2 3" xfId="4709" xr:uid="{8F85C3F8-17C6-4AC7-9669-9FFC569193FE}"/>
    <cellStyle name="40% - Accent5 5 2 4" xfId="6599" xr:uid="{3726E09C-8291-43B5-8508-CBC0E4B7D990}"/>
    <cellStyle name="40% - Accent5 5 2 5" xfId="8489" xr:uid="{A7DDB3EE-39B5-41AD-BFC0-8DE2136B1DAC}"/>
    <cellStyle name="40% - Accent5 5 2 6" xfId="10379" xr:uid="{CA9478B9-66DC-41A8-918E-50E4745FAAAC}"/>
    <cellStyle name="40% - Accent5 5 2 7" xfId="12269" xr:uid="{E5844693-59F3-4657-B844-196234BE7963}"/>
    <cellStyle name="40% - Accent5 5 2 8" xfId="14159" xr:uid="{2151C4EC-1F50-4AC9-A9FC-41BD26AEA093}"/>
    <cellStyle name="40% - Accent5 5 2 9" xfId="16049" xr:uid="{E39165EE-A65B-4260-B645-1E616850ED68}"/>
    <cellStyle name="40% - Accent5 5 20" xfId="32429" xr:uid="{4E22C3E1-CFF2-4133-B753-29E722CA88E5}"/>
    <cellStyle name="40% - Accent5 5 21" xfId="34319" xr:uid="{177A8798-BB51-4F4A-BBB8-9D1234F0EB44}"/>
    <cellStyle name="40% - Accent5 5 22" xfId="36209" xr:uid="{E2408AF1-7CFB-4587-BDB0-60F5A1B242B9}"/>
    <cellStyle name="40% - Accent5 5 23" xfId="38099" xr:uid="{380B85B2-C5A3-4C1F-AA99-AA635C03669D}"/>
    <cellStyle name="40% - Accent5 5 24" xfId="39990" xr:uid="{789536D6-1585-4BA5-B451-0480D50C7B21}"/>
    <cellStyle name="40% - Accent5 5 3" xfId="1559" xr:uid="{1FEF1864-8E65-47C4-9703-0F06579A83F7}"/>
    <cellStyle name="40% - Accent5 5 3 10" xfId="18569" xr:uid="{A25FF082-F5D7-45BE-9E82-5DC1E6C785A1}"/>
    <cellStyle name="40% - Accent5 5 3 11" xfId="20459" xr:uid="{E096DA37-EF17-4896-B515-99B26961AAB5}"/>
    <cellStyle name="40% - Accent5 5 3 12" xfId="22349" xr:uid="{BC6C2B36-BA47-47B9-B39A-8A3D89DB4791}"/>
    <cellStyle name="40% - Accent5 5 3 13" xfId="24239" xr:uid="{DDD0B651-6EF2-4EC1-82D7-CE409F8D9201}"/>
    <cellStyle name="40% - Accent5 5 3 14" xfId="26129" xr:uid="{D62889CE-69CB-4799-9A36-512466DB0DBD}"/>
    <cellStyle name="40% - Accent5 5 3 15" xfId="28019" xr:uid="{20586A95-75A0-4BDC-9658-B7EE47D303BE}"/>
    <cellStyle name="40% - Accent5 5 3 16" xfId="29909" xr:uid="{F3E5B623-CF90-4C96-825F-A73B0FD67492}"/>
    <cellStyle name="40% - Accent5 5 3 17" xfId="31799" xr:uid="{9BCC8CA1-6F72-4859-BBA5-93380376EB1B}"/>
    <cellStyle name="40% - Accent5 5 3 18" xfId="33689" xr:uid="{FA080100-A8A7-4821-AADE-276ABC60DE74}"/>
    <cellStyle name="40% - Accent5 5 3 19" xfId="35579" xr:uid="{FD48B2A6-3B3C-4792-9336-2C974DD32731}"/>
    <cellStyle name="40% - Accent5 5 3 2" xfId="3449" xr:uid="{5A27FD83-0AB0-4401-9D22-0536A4D8DBA1}"/>
    <cellStyle name="40% - Accent5 5 3 20" xfId="37469" xr:uid="{919B7952-4BF8-424C-8DA0-CF48A9CB513A}"/>
    <cellStyle name="40% - Accent5 5 3 21" xfId="39359" xr:uid="{CCCFD41D-3AE0-469E-9A5B-BB61195A9DC5}"/>
    <cellStyle name="40% - Accent5 5 3 22" xfId="41250" xr:uid="{936A443D-58D8-4375-B69E-AE35021E5D75}"/>
    <cellStyle name="40% - Accent5 5 3 3" xfId="5339" xr:uid="{B5F09BD2-D09F-43DE-A33F-65FBCEAA9484}"/>
    <cellStyle name="40% - Accent5 5 3 4" xfId="7229" xr:uid="{C5694B5C-618E-4DE1-B942-18F1C282DEF6}"/>
    <cellStyle name="40% - Accent5 5 3 5" xfId="9119" xr:uid="{DAE29367-7AF6-4E39-8254-E7131D7E417D}"/>
    <cellStyle name="40% - Accent5 5 3 6" xfId="11009" xr:uid="{6105CF20-D9DA-45A4-BAF4-E44F19A673F2}"/>
    <cellStyle name="40% - Accent5 5 3 7" xfId="12899" xr:uid="{A48CDB24-F5D4-478B-897D-59507E01DE0F}"/>
    <cellStyle name="40% - Accent5 5 3 8" xfId="14789" xr:uid="{3E5737E8-40C6-44E9-91BF-A17F92746E62}"/>
    <cellStyle name="40% - Accent5 5 3 9" xfId="16679" xr:uid="{BE9D5D3C-E888-4957-88E3-188A97D61DBD}"/>
    <cellStyle name="40% - Accent5 5 4" xfId="2189" xr:uid="{B1DC4AAC-2866-4E10-9972-6C089CF56A5C}"/>
    <cellStyle name="40% - Accent5 5 5" xfId="4079" xr:uid="{283A1799-8F15-4701-B4E8-B64AB1019F9F}"/>
    <cellStyle name="40% - Accent5 5 6" xfId="5969" xr:uid="{743535DD-7AE4-49CE-B842-C27022A0ECC7}"/>
    <cellStyle name="40% - Accent5 5 7" xfId="7859" xr:uid="{E1452576-71AA-4D5B-A7C5-9208593BE56C}"/>
    <cellStyle name="40% - Accent5 5 8" xfId="9749" xr:uid="{0324E211-0AE7-4538-90EC-EEC376382B73}"/>
    <cellStyle name="40% - Accent5 5 9" xfId="11639" xr:uid="{4A5087F7-F452-4ED5-9AD6-B43DCAA3661E}"/>
    <cellStyle name="40% - Accent5 6" xfId="509" xr:uid="{A0C2A832-1F43-49A5-86D2-597254841A3F}"/>
    <cellStyle name="40% - Accent5 6 10" xfId="13739" xr:uid="{738E26BF-83CD-49EF-85DC-8162CEE073D0}"/>
    <cellStyle name="40% - Accent5 6 11" xfId="15629" xr:uid="{E629CA61-344D-4B59-BA3D-A3BECC8BD009}"/>
    <cellStyle name="40% - Accent5 6 12" xfId="17519" xr:uid="{6A527365-4358-467C-9EA1-8EDE15626EED}"/>
    <cellStyle name="40% - Accent5 6 13" xfId="19409" xr:uid="{84E0E002-30F5-4CCB-817A-3D946A40FD47}"/>
    <cellStyle name="40% - Accent5 6 14" xfId="21299" xr:uid="{12F64051-71C7-4A17-8B43-3F18E21A0BF1}"/>
    <cellStyle name="40% - Accent5 6 15" xfId="23189" xr:uid="{1D625B40-9C9D-415F-B1E4-FE1753D09F3D}"/>
    <cellStyle name="40% - Accent5 6 16" xfId="25079" xr:uid="{C396C5CA-65CF-427D-84E6-A0A4B5A463D8}"/>
    <cellStyle name="40% - Accent5 6 17" xfId="26969" xr:uid="{E02F49F0-84DA-49C7-9351-1A9A82AE1492}"/>
    <cellStyle name="40% - Accent5 6 18" xfId="28859" xr:uid="{F890F06F-4C0D-474F-8C8B-2A28C9595F2A}"/>
    <cellStyle name="40% - Accent5 6 19" xfId="30749" xr:uid="{81FB266E-ABFC-4E07-B60E-F6C86C6D8984}"/>
    <cellStyle name="40% - Accent5 6 2" xfId="1139" xr:uid="{424CE4F7-3E8A-4966-8DB9-6AD42D9FEC3C}"/>
    <cellStyle name="40% - Accent5 6 2 10" xfId="18149" xr:uid="{D425DF9F-0E49-4022-8F91-AC873E3D8920}"/>
    <cellStyle name="40% - Accent5 6 2 11" xfId="20039" xr:uid="{86B665AE-2743-4C50-8C66-8F89D3D1A495}"/>
    <cellStyle name="40% - Accent5 6 2 12" xfId="21929" xr:uid="{9B2AC3E5-84D0-4820-B24E-5D05FFED9AC0}"/>
    <cellStyle name="40% - Accent5 6 2 13" xfId="23819" xr:uid="{9F124BEB-D533-4026-8947-50C84701E59D}"/>
    <cellStyle name="40% - Accent5 6 2 14" xfId="25709" xr:uid="{2FCCE73B-FD10-476A-87F5-1383426E0B03}"/>
    <cellStyle name="40% - Accent5 6 2 15" xfId="27599" xr:uid="{C2FEFF26-9B4B-4640-8ED4-38658375693D}"/>
    <cellStyle name="40% - Accent5 6 2 16" xfId="29489" xr:uid="{74E4C935-D6B3-4229-AD2A-6D6FC81FD98D}"/>
    <cellStyle name="40% - Accent5 6 2 17" xfId="31379" xr:uid="{39DC15DD-E909-4B9E-A1CA-2D0B9A8E9082}"/>
    <cellStyle name="40% - Accent5 6 2 18" xfId="33269" xr:uid="{61E0AC9F-6FFE-4069-AC79-9B39AE653023}"/>
    <cellStyle name="40% - Accent5 6 2 19" xfId="35159" xr:uid="{AA469733-9A29-4D39-847C-B53D1A9AC4E6}"/>
    <cellStyle name="40% - Accent5 6 2 2" xfId="3029" xr:uid="{949AE36E-BF6B-4EBE-8708-D9B02B667BA3}"/>
    <cellStyle name="40% - Accent5 6 2 20" xfId="37049" xr:uid="{433DF298-4E62-45A3-86FC-C30AFA2D16CD}"/>
    <cellStyle name="40% - Accent5 6 2 21" xfId="38939" xr:uid="{CDD83DFF-1999-4ECE-B541-90BF44A215ED}"/>
    <cellStyle name="40% - Accent5 6 2 22" xfId="40830" xr:uid="{F1AB6CA5-3C05-4BCA-87F9-8453DF889041}"/>
    <cellStyle name="40% - Accent5 6 2 3" xfId="4919" xr:uid="{14D55F7D-F1B2-4A5A-B449-53BADFD46356}"/>
    <cellStyle name="40% - Accent5 6 2 4" xfId="6809" xr:uid="{CC3FDADE-C52A-48E0-9A15-857E68F1659F}"/>
    <cellStyle name="40% - Accent5 6 2 5" xfId="8699" xr:uid="{794CE413-E3C8-4B3C-8E14-476D5BE7557E}"/>
    <cellStyle name="40% - Accent5 6 2 6" xfId="10589" xr:uid="{2A8A0C2F-AA21-4503-B3EF-C16411AF57E3}"/>
    <cellStyle name="40% - Accent5 6 2 7" xfId="12479" xr:uid="{FF7BD8AA-8258-4D23-A205-80EEED83F532}"/>
    <cellStyle name="40% - Accent5 6 2 8" xfId="14369" xr:uid="{3CCD75F9-F467-43E9-9983-F44A997E3803}"/>
    <cellStyle name="40% - Accent5 6 2 9" xfId="16259" xr:uid="{BB71B86C-42BD-4027-BB43-FDF3913BF079}"/>
    <cellStyle name="40% - Accent5 6 20" xfId="32639" xr:uid="{055EDFA2-9545-45FC-A6E8-0818AD96FC9B}"/>
    <cellStyle name="40% - Accent5 6 21" xfId="34529" xr:uid="{292FF243-33A4-4AAD-9333-18A2422C5315}"/>
    <cellStyle name="40% - Accent5 6 22" xfId="36419" xr:uid="{F2AFCDD9-A03E-4A0B-A35A-0E014650889A}"/>
    <cellStyle name="40% - Accent5 6 23" xfId="38309" xr:uid="{AD18DCA0-B719-456E-A7DA-AFB0C9E04EDF}"/>
    <cellStyle name="40% - Accent5 6 24" xfId="40200" xr:uid="{689377EA-7F6E-42B2-B852-5883FD110FBC}"/>
    <cellStyle name="40% - Accent5 6 3" xfId="1769" xr:uid="{A084F4DD-2CC7-4D20-89EA-EFB1D5FAA313}"/>
    <cellStyle name="40% - Accent5 6 3 10" xfId="18779" xr:uid="{72A95192-ADB4-4F5B-BD41-DB656D050F7C}"/>
    <cellStyle name="40% - Accent5 6 3 11" xfId="20669" xr:uid="{D01EA4D5-078B-4812-8843-647D5E6C16ED}"/>
    <cellStyle name="40% - Accent5 6 3 12" xfId="22559" xr:uid="{957398BC-197F-4AAB-8E8A-F6EF136280C8}"/>
    <cellStyle name="40% - Accent5 6 3 13" xfId="24449" xr:uid="{DF9E8734-7A91-4E57-9768-04D072F44C8E}"/>
    <cellStyle name="40% - Accent5 6 3 14" xfId="26339" xr:uid="{5ED61E72-0E41-402D-968F-C99C6EE812A9}"/>
    <cellStyle name="40% - Accent5 6 3 15" xfId="28229" xr:uid="{1C74A14F-6D15-499E-9800-BD4C4408DA27}"/>
    <cellStyle name="40% - Accent5 6 3 16" xfId="30119" xr:uid="{AA40A297-97D3-4371-9190-CA48AD08F416}"/>
    <cellStyle name="40% - Accent5 6 3 17" xfId="32009" xr:uid="{EF272E7F-9FD5-4F5C-8E8A-DA64A9DA4001}"/>
    <cellStyle name="40% - Accent5 6 3 18" xfId="33899" xr:uid="{20FCAF2F-7B5B-4AA3-BA14-76CB1C371049}"/>
    <cellStyle name="40% - Accent5 6 3 19" xfId="35789" xr:uid="{EFB95007-528B-4F35-A346-13F1596AD395}"/>
    <cellStyle name="40% - Accent5 6 3 2" xfId="3659" xr:uid="{02E649A0-2DCE-4865-AF17-6100D6B76E3B}"/>
    <cellStyle name="40% - Accent5 6 3 20" xfId="37679" xr:uid="{EC1CB601-97D0-4B80-ACD6-F792260923B6}"/>
    <cellStyle name="40% - Accent5 6 3 21" xfId="39569" xr:uid="{885D0DF2-9AC4-4BE4-A8CB-F65801C17049}"/>
    <cellStyle name="40% - Accent5 6 3 22" xfId="41460" xr:uid="{CB1C436C-BFB8-4E7F-8A77-6B910088E80C}"/>
    <cellStyle name="40% - Accent5 6 3 3" xfId="5549" xr:uid="{C7954B63-A00C-4C13-A4EC-3C87A1DA2180}"/>
    <cellStyle name="40% - Accent5 6 3 4" xfId="7439" xr:uid="{10F5CE63-107A-4EB5-9E3C-C3F739C57AAD}"/>
    <cellStyle name="40% - Accent5 6 3 5" xfId="9329" xr:uid="{1A31DDB2-2CCC-4B5F-B9DB-7C57782B5FA1}"/>
    <cellStyle name="40% - Accent5 6 3 6" xfId="11219" xr:uid="{D224E729-E7A2-450E-BDBF-91588E73BAFE}"/>
    <cellStyle name="40% - Accent5 6 3 7" xfId="13109" xr:uid="{CF738BA4-3950-42A2-98A3-E9F680AC3D3A}"/>
    <cellStyle name="40% - Accent5 6 3 8" xfId="14999" xr:uid="{423E1953-85C1-42E7-8FFE-DE3C560BA910}"/>
    <cellStyle name="40% - Accent5 6 3 9" xfId="16889" xr:uid="{87E7DE53-95AB-4784-BBF4-0F645B75F585}"/>
    <cellStyle name="40% - Accent5 6 4" xfId="2399" xr:uid="{FA35B748-0209-4490-A161-CB830F62C345}"/>
    <cellStyle name="40% - Accent5 6 5" xfId="4289" xr:uid="{4478F455-B9A3-4E77-86F2-24504200FD9F}"/>
    <cellStyle name="40% - Accent5 6 6" xfId="6179" xr:uid="{756450A2-518C-45B5-A676-A384D131FD34}"/>
    <cellStyle name="40% - Accent5 6 7" xfId="8069" xr:uid="{673856B5-3F3F-4234-94E9-BA0E1F9D3397}"/>
    <cellStyle name="40% - Accent5 6 8" xfId="9959" xr:uid="{5444C6DA-CD4F-46D7-ACD0-BA935016F017}"/>
    <cellStyle name="40% - Accent5 6 9" xfId="11849" xr:uid="{CFAC3610-A330-423B-ACF1-463534E1FA3C}"/>
    <cellStyle name="40% - Accent5 7" xfId="719" xr:uid="{34DF8A56-0E6A-4768-B6FB-AB4D1230F31F}"/>
    <cellStyle name="40% - Accent5 7 10" xfId="17729" xr:uid="{2985751D-FD0A-4C40-B6A9-BA3EEE55C6B2}"/>
    <cellStyle name="40% - Accent5 7 11" xfId="19619" xr:uid="{CDDF5F68-A134-454D-93DE-0E95104E5DAD}"/>
    <cellStyle name="40% - Accent5 7 12" xfId="21509" xr:uid="{EDA17502-DA92-4698-95CA-9F0657F94AD6}"/>
    <cellStyle name="40% - Accent5 7 13" xfId="23399" xr:uid="{C3BF16B6-943A-44F0-AA8A-B14501C51A50}"/>
    <cellStyle name="40% - Accent5 7 14" xfId="25289" xr:uid="{A4CF4CFC-49CE-4927-B4C3-969BBD99BFD4}"/>
    <cellStyle name="40% - Accent5 7 15" xfId="27179" xr:uid="{A16335B9-8641-471D-A870-1B4876875142}"/>
    <cellStyle name="40% - Accent5 7 16" xfId="29069" xr:uid="{9E615C92-72A8-4C33-8F69-F7B8DC009ED5}"/>
    <cellStyle name="40% - Accent5 7 17" xfId="30959" xr:uid="{0AFCF117-F2D7-4F24-A8D7-6C1E4ACE6AAC}"/>
    <cellStyle name="40% - Accent5 7 18" xfId="32849" xr:uid="{178CF2A4-AD02-483B-B189-5ADD5388C7E5}"/>
    <cellStyle name="40% - Accent5 7 19" xfId="34739" xr:uid="{99C82B78-B0DD-4040-B3BE-88FFD4CDF405}"/>
    <cellStyle name="40% - Accent5 7 2" xfId="2609" xr:uid="{AF0307B5-52AA-42D4-9C22-5345C84C9F58}"/>
    <cellStyle name="40% - Accent5 7 20" xfId="36629" xr:uid="{92DC0EE5-DDD0-4534-80F1-4D9F82D3DDEE}"/>
    <cellStyle name="40% - Accent5 7 21" xfId="38519" xr:uid="{6FD04CBD-F02D-4D03-823E-7AD33698F0AF}"/>
    <cellStyle name="40% - Accent5 7 22" xfId="40410" xr:uid="{578E4EA2-7A4D-4F42-9D06-7565F5A2EBB4}"/>
    <cellStyle name="40% - Accent5 7 3" xfId="4499" xr:uid="{0C9717CC-7ECA-47B6-8F68-D5DEC8713462}"/>
    <cellStyle name="40% - Accent5 7 4" xfId="6389" xr:uid="{A23B11E9-45FC-407F-BE6C-115CCA8B4F1D}"/>
    <cellStyle name="40% - Accent5 7 5" xfId="8279" xr:uid="{B56047FD-46FB-44E9-B420-A3067B9B41F9}"/>
    <cellStyle name="40% - Accent5 7 6" xfId="10169" xr:uid="{B43D06E2-1006-430E-B5AB-DF69DE33C59B}"/>
    <cellStyle name="40% - Accent5 7 7" xfId="12059" xr:uid="{FD6D2C26-2C18-4183-9532-2572BEDE5334}"/>
    <cellStyle name="40% - Accent5 7 8" xfId="13949" xr:uid="{B90C1CC9-AF37-45BC-BF80-B5A71F99E92F}"/>
    <cellStyle name="40% - Accent5 7 9" xfId="15839" xr:uid="{2A18F901-501B-46DE-9DA1-9DF90E4482BD}"/>
    <cellStyle name="40% - Accent5 8" xfId="1349" xr:uid="{6341CD6F-3261-4DAE-8F6D-DFDB6374A62F}"/>
    <cellStyle name="40% - Accent5 8 10" xfId="18359" xr:uid="{9DCBAA08-638C-4448-864D-56080B2EEEB2}"/>
    <cellStyle name="40% - Accent5 8 11" xfId="20249" xr:uid="{B8B0240B-9C37-4FCD-B4AA-F5AB6BC5B68A}"/>
    <cellStyle name="40% - Accent5 8 12" xfId="22139" xr:uid="{14EE054C-83A1-4781-A03D-BB7559762D63}"/>
    <cellStyle name="40% - Accent5 8 13" xfId="24029" xr:uid="{7440AE53-733D-4556-A419-829765E3594B}"/>
    <cellStyle name="40% - Accent5 8 14" xfId="25919" xr:uid="{8736DEBA-E470-4C72-A57C-86B85148D1AD}"/>
    <cellStyle name="40% - Accent5 8 15" xfId="27809" xr:uid="{F8EBE4F4-936B-4D38-91A7-3D237B4447B4}"/>
    <cellStyle name="40% - Accent5 8 16" xfId="29699" xr:uid="{7BE6892B-921D-46C1-9638-7108C534ECFE}"/>
    <cellStyle name="40% - Accent5 8 17" xfId="31589" xr:uid="{960436EF-DECE-4E03-81AB-AF9E04EF5E7A}"/>
    <cellStyle name="40% - Accent5 8 18" xfId="33479" xr:uid="{A3E6BFAB-FACC-4651-A595-C4FCCD0D529A}"/>
    <cellStyle name="40% - Accent5 8 19" xfId="35369" xr:uid="{033FB306-EE24-4181-A00B-48206A467A11}"/>
    <cellStyle name="40% - Accent5 8 2" xfId="3239" xr:uid="{9401E141-8BEF-4D69-8FD3-87F4CC89FC01}"/>
    <cellStyle name="40% - Accent5 8 20" xfId="37259" xr:uid="{1DCDB631-777B-4A0D-AAF4-121C33B91039}"/>
    <cellStyle name="40% - Accent5 8 21" xfId="39149" xr:uid="{17EEFB8A-5829-48BD-9939-2FFCCBCA6642}"/>
    <cellStyle name="40% - Accent5 8 22" xfId="41040" xr:uid="{DDD6F27B-82C4-48D7-BC75-C7DA069F4626}"/>
    <cellStyle name="40% - Accent5 8 3" xfId="5129" xr:uid="{16367892-423B-427B-993E-58F47DDF0CEE}"/>
    <cellStyle name="40% - Accent5 8 4" xfId="7019" xr:uid="{32E92BD8-F76E-4105-A0B8-351F8A8AE668}"/>
    <cellStyle name="40% - Accent5 8 5" xfId="8909" xr:uid="{6B24BA23-A279-4100-83F6-962DC9E2A329}"/>
    <cellStyle name="40% - Accent5 8 6" xfId="10799" xr:uid="{EAFBCDCC-382A-49D1-99A3-BD07935A12EF}"/>
    <cellStyle name="40% - Accent5 8 7" xfId="12689" xr:uid="{FE86FE6E-A024-4864-8D34-5228E73C99BE}"/>
    <cellStyle name="40% - Accent5 8 8" xfId="14579" xr:uid="{604A4D60-CED6-422F-8EF7-F3EC18EE918A}"/>
    <cellStyle name="40% - Accent5 8 9" xfId="16469" xr:uid="{A4CF2DE9-691A-4E06-8A91-DAFE999861FB}"/>
    <cellStyle name="40% - Accent5 9" xfId="1979" xr:uid="{F3310B95-B4C9-44BA-AC2E-4E513BC83AC0}"/>
    <cellStyle name="40% - Accent6" xfId="92" builtinId="51" customBuiltin="1"/>
    <cellStyle name="40% - Accent6 10" xfId="3872" xr:uid="{43B4A2CF-5DAA-411D-B4F2-957CF45EF34F}"/>
    <cellStyle name="40% - Accent6 11" xfId="5762" xr:uid="{6B3D9A46-1559-4A0A-B446-E8A669CF42C0}"/>
    <cellStyle name="40% - Accent6 12" xfId="7652" xr:uid="{41B443FB-D7CA-423B-A95E-626ED621F30F}"/>
    <cellStyle name="40% - Accent6 13" xfId="9542" xr:uid="{05AC2150-5C63-49DF-8BC7-C6D9EE28681D}"/>
    <cellStyle name="40% - Accent6 14" xfId="11432" xr:uid="{9ECA2A38-C048-4C12-A301-B607549CB91D}"/>
    <cellStyle name="40% - Accent6 15" xfId="13322" xr:uid="{616C0EE3-6399-4AC9-BB9E-4539B3CAA5C0}"/>
    <cellStyle name="40% - Accent6 16" xfId="15212" xr:uid="{1F32B8D8-525C-4C70-A750-B8AE8EFB2397}"/>
    <cellStyle name="40% - Accent6 17" xfId="17102" xr:uid="{88A246D7-3C27-41B2-AA96-ADD6E911FE7F}"/>
    <cellStyle name="40% - Accent6 18" xfId="18992" xr:uid="{9A922307-849A-42FD-B426-4DF81CBA7DCD}"/>
    <cellStyle name="40% - Accent6 19" xfId="20882" xr:uid="{4CCF6D1C-C132-473C-A718-0615A6963ADE}"/>
    <cellStyle name="40% - Accent6 2" xfId="114" xr:uid="{CA7F7A33-E446-4400-9F93-0BA04D58DA27}"/>
    <cellStyle name="40% - Accent6 2 10" xfId="7674" xr:uid="{C2FE2522-B834-41AD-8356-B1E188B4E898}"/>
    <cellStyle name="40% - Accent6 2 11" xfId="9564" xr:uid="{D52FA3F6-CF77-4055-9322-D229893AD8E5}"/>
    <cellStyle name="40% - Accent6 2 12" xfId="11454" xr:uid="{E3CF2D38-28D5-4208-A58A-9A78EB267C18}"/>
    <cellStyle name="40% - Accent6 2 13" xfId="13344" xr:uid="{A4726CC8-5BCD-49C9-A1BD-A3E38DAF158C}"/>
    <cellStyle name="40% - Accent6 2 14" xfId="15234" xr:uid="{8CAD6F7C-B252-451E-BB2D-E515CF1F3539}"/>
    <cellStyle name="40% - Accent6 2 15" xfId="17124" xr:uid="{1F8A68CB-0660-4B5E-A5E2-21F73859CFA3}"/>
    <cellStyle name="40% - Accent6 2 16" xfId="19014" xr:uid="{CAF5847A-5610-4A37-A9A1-21AD2697FD5D}"/>
    <cellStyle name="40% - Accent6 2 17" xfId="20904" xr:uid="{D9450666-E362-4D7A-9A9D-F48C9D532A11}"/>
    <cellStyle name="40% - Accent6 2 18" xfId="22794" xr:uid="{4C018DD7-0646-4E78-ADF5-E07FA6E228E3}"/>
    <cellStyle name="40% - Accent6 2 19" xfId="24684" xr:uid="{865F4BC0-E8FF-4D0A-BACF-A0B6125344E1}"/>
    <cellStyle name="40% - Accent6 2 2" xfId="219" xr:uid="{C5B4E73E-36DB-4D50-9077-ACD7FAB4505D}"/>
    <cellStyle name="40% - Accent6 2 2 10" xfId="9669" xr:uid="{91C64DD2-B6C8-4EAD-AB82-58F5B2108842}"/>
    <cellStyle name="40% - Accent6 2 2 11" xfId="11559" xr:uid="{8B84ACBF-EE23-4F00-A6BA-E66CCFEA614F}"/>
    <cellStyle name="40% - Accent6 2 2 12" xfId="13449" xr:uid="{C807B379-EF60-4BE3-AC0A-0117A7D41D8F}"/>
    <cellStyle name="40% - Accent6 2 2 13" xfId="15339" xr:uid="{5F265047-83D1-476E-BF19-EE81F8BD35F9}"/>
    <cellStyle name="40% - Accent6 2 2 14" xfId="17229" xr:uid="{98B49F16-55C4-47C9-834C-046D3D607BF1}"/>
    <cellStyle name="40% - Accent6 2 2 15" xfId="19119" xr:uid="{47AB17C2-1093-415E-923F-0BCB8C8ABBB8}"/>
    <cellStyle name="40% - Accent6 2 2 16" xfId="21009" xr:uid="{32FCD16E-3188-4B03-85AE-063C8A17F896}"/>
    <cellStyle name="40% - Accent6 2 2 17" xfId="22899" xr:uid="{F839934A-BC12-449D-A84D-318CDB4A6A06}"/>
    <cellStyle name="40% - Accent6 2 2 18" xfId="24789" xr:uid="{7B26D70D-90F8-4176-850E-49E2E35D4D59}"/>
    <cellStyle name="40% - Accent6 2 2 19" xfId="26679" xr:uid="{4A17EFBD-BDA6-4019-B135-A6BB2906AD5D}"/>
    <cellStyle name="40% - Accent6 2 2 2" xfId="429" xr:uid="{04EF9C1C-A073-4979-BD02-8ABF7CD77183}"/>
    <cellStyle name="40% - Accent6 2 2 2 10" xfId="13659" xr:uid="{610E7527-3882-4AF5-99AE-9F6096C97D6C}"/>
    <cellStyle name="40% - Accent6 2 2 2 11" xfId="15549" xr:uid="{53F4C030-EB31-4B96-A179-C6D37298A580}"/>
    <cellStyle name="40% - Accent6 2 2 2 12" xfId="17439" xr:uid="{8BDFB539-39B7-4EB1-95F5-96E9D11CBDF8}"/>
    <cellStyle name="40% - Accent6 2 2 2 13" xfId="19329" xr:uid="{88442301-FDB1-4FD9-B7D6-FB5EE8F58640}"/>
    <cellStyle name="40% - Accent6 2 2 2 14" xfId="21219" xr:uid="{2D128AC8-20EC-4333-B3E0-D3FB185A9CD8}"/>
    <cellStyle name="40% - Accent6 2 2 2 15" xfId="23109" xr:uid="{A025219D-C1ED-42FE-B05D-5B75F0DAB1E4}"/>
    <cellStyle name="40% - Accent6 2 2 2 16" xfId="24999" xr:uid="{4CF5E353-F34E-43E8-A5DC-82A2337BB2E4}"/>
    <cellStyle name="40% - Accent6 2 2 2 17" xfId="26889" xr:uid="{BA2BD055-66FE-4585-A482-725D3C16E15A}"/>
    <cellStyle name="40% - Accent6 2 2 2 18" xfId="28779" xr:uid="{A51AD323-428A-4593-AC90-D3FBFA1C89A4}"/>
    <cellStyle name="40% - Accent6 2 2 2 19" xfId="30669" xr:uid="{B175EB8E-290C-4B56-BC4F-7EA894EBD032}"/>
    <cellStyle name="40% - Accent6 2 2 2 2" xfId="1059" xr:uid="{4B85C74C-7D1A-4616-B878-C9B490CDA3EB}"/>
    <cellStyle name="40% - Accent6 2 2 2 2 10" xfId="18069" xr:uid="{12C422D4-DC7B-4ADB-A00D-82CA52A73625}"/>
    <cellStyle name="40% - Accent6 2 2 2 2 11" xfId="19959" xr:uid="{8C511A27-0F80-4ACC-A8D7-EE8E1906E304}"/>
    <cellStyle name="40% - Accent6 2 2 2 2 12" xfId="21849" xr:uid="{C8C76B6F-5AF1-4240-B748-86E69A8CE413}"/>
    <cellStyle name="40% - Accent6 2 2 2 2 13" xfId="23739" xr:uid="{87CE3B49-AB96-4E80-8413-2AFEEC6D2ABB}"/>
    <cellStyle name="40% - Accent6 2 2 2 2 14" xfId="25629" xr:uid="{C5686FAB-5F93-434D-A94D-65AD5CA95AF5}"/>
    <cellStyle name="40% - Accent6 2 2 2 2 15" xfId="27519" xr:uid="{56C9CF09-ABC4-42A2-ABE6-64723E77D0BE}"/>
    <cellStyle name="40% - Accent6 2 2 2 2 16" xfId="29409" xr:uid="{04BE13DD-C9D2-4458-9C1B-93E579C12D36}"/>
    <cellStyle name="40% - Accent6 2 2 2 2 17" xfId="31299" xr:uid="{7F70B32A-F995-4D20-8E1A-E005C69B6326}"/>
    <cellStyle name="40% - Accent6 2 2 2 2 18" xfId="33189" xr:uid="{E6BC44D9-8C3B-4066-A436-4788C620F592}"/>
    <cellStyle name="40% - Accent6 2 2 2 2 19" xfId="35079" xr:uid="{25EA4525-2627-4BEB-B208-9264F0EA52E9}"/>
    <cellStyle name="40% - Accent6 2 2 2 2 2" xfId="2949" xr:uid="{CCB898D5-E75C-42A1-A26F-58BC4919ACDF}"/>
    <cellStyle name="40% - Accent6 2 2 2 2 20" xfId="36969" xr:uid="{6EFF4D4E-0109-4265-A6B0-7D4918B07918}"/>
    <cellStyle name="40% - Accent6 2 2 2 2 21" xfId="38859" xr:uid="{BD48B0AF-D154-431F-B78F-E275D2891C0C}"/>
    <cellStyle name="40% - Accent6 2 2 2 2 22" xfId="40750" xr:uid="{76C30690-06C1-45FD-A186-4135DBE56DDA}"/>
    <cellStyle name="40% - Accent6 2 2 2 2 3" xfId="4839" xr:uid="{A7CEBA9B-792D-48D7-9565-7EF75A798A48}"/>
    <cellStyle name="40% - Accent6 2 2 2 2 4" xfId="6729" xr:uid="{A39DD7BA-C517-4D5B-A84D-96C33B8F7EA7}"/>
    <cellStyle name="40% - Accent6 2 2 2 2 5" xfId="8619" xr:uid="{C296C7D1-8B97-4902-94A1-84B65E55E419}"/>
    <cellStyle name="40% - Accent6 2 2 2 2 6" xfId="10509" xr:uid="{BAB7BC70-08BD-442C-9E0C-75F3F729B6BE}"/>
    <cellStyle name="40% - Accent6 2 2 2 2 7" xfId="12399" xr:uid="{A05E18F7-2181-4CDE-A6CC-3B7509698D61}"/>
    <cellStyle name="40% - Accent6 2 2 2 2 8" xfId="14289" xr:uid="{99E825F4-EA6E-4838-B320-CB1FADE29888}"/>
    <cellStyle name="40% - Accent6 2 2 2 2 9" xfId="16179" xr:uid="{1880FE59-5A8D-4583-9A22-9CF9C9172789}"/>
    <cellStyle name="40% - Accent6 2 2 2 20" xfId="32559" xr:uid="{4131174C-45A4-438E-B884-F46D489B26A7}"/>
    <cellStyle name="40% - Accent6 2 2 2 21" xfId="34449" xr:uid="{AF823445-43BD-49B9-9D0F-DBF2C3B5962F}"/>
    <cellStyle name="40% - Accent6 2 2 2 22" xfId="36339" xr:uid="{A337BF5B-4297-4C6E-BBFA-9AFF7951E8FC}"/>
    <cellStyle name="40% - Accent6 2 2 2 23" xfId="38229" xr:uid="{2BD1CB48-5FC5-4124-A847-4C66FA66BDD4}"/>
    <cellStyle name="40% - Accent6 2 2 2 24" xfId="40120" xr:uid="{9AD1C9BE-3168-42A1-BE3F-E19B52DAA3EC}"/>
    <cellStyle name="40% - Accent6 2 2 2 3" xfId="1689" xr:uid="{00011780-269D-4866-B691-D50A281E9086}"/>
    <cellStyle name="40% - Accent6 2 2 2 3 10" xfId="18699" xr:uid="{77DABCC3-974B-4D78-AD9F-DF2BC6A38315}"/>
    <cellStyle name="40% - Accent6 2 2 2 3 11" xfId="20589" xr:uid="{9126F362-A643-44A9-8CB9-82A472C8FBA2}"/>
    <cellStyle name="40% - Accent6 2 2 2 3 12" xfId="22479" xr:uid="{15AB1DA5-7171-4675-9917-B3B1ECEB2ABA}"/>
    <cellStyle name="40% - Accent6 2 2 2 3 13" xfId="24369" xr:uid="{9F8C6AC9-E484-442A-B3B6-C467133F76E8}"/>
    <cellStyle name="40% - Accent6 2 2 2 3 14" xfId="26259" xr:uid="{90AEE521-6CBD-4D0E-A8CC-E108263168A6}"/>
    <cellStyle name="40% - Accent6 2 2 2 3 15" xfId="28149" xr:uid="{C26E77E2-5A86-4FCA-BAE2-E30B2EF276BF}"/>
    <cellStyle name="40% - Accent6 2 2 2 3 16" xfId="30039" xr:uid="{CCAC82C1-FF1C-4730-A079-2A1C6E51F548}"/>
    <cellStyle name="40% - Accent6 2 2 2 3 17" xfId="31929" xr:uid="{B7C6CD5B-DD5B-4E51-BE15-7803B6F92229}"/>
    <cellStyle name="40% - Accent6 2 2 2 3 18" xfId="33819" xr:uid="{0FEA6896-7CD7-42EE-A3C4-5B8A49BF8E12}"/>
    <cellStyle name="40% - Accent6 2 2 2 3 19" xfId="35709" xr:uid="{C90F05F1-9C38-4526-BEF3-DB9EB17C08B4}"/>
    <cellStyle name="40% - Accent6 2 2 2 3 2" xfId="3579" xr:uid="{A1DDF551-9059-47E6-A30E-75B047FF399E}"/>
    <cellStyle name="40% - Accent6 2 2 2 3 20" xfId="37599" xr:uid="{5F105469-96EB-42D7-A7ED-BE52B0DC9BE6}"/>
    <cellStyle name="40% - Accent6 2 2 2 3 21" xfId="39489" xr:uid="{AF70E491-C782-4A3A-A196-D4CCD045F26A}"/>
    <cellStyle name="40% - Accent6 2 2 2 3 22" xfId="41380" xr:uid="{EDFB8058-759D-47C3-8FC4-2D9716073D8E}"/>
    <cellStyle name="40% - Accent6 2 2 2 3 3" xfId="5469" xr:uid="{EC56FD73-DAAE-46D8-92CB-829AED224871}"/>
    <cellStyle name="40% - Accent6 2 2 2 3 4" xfId="7359" xr:uid="{644AFB7C-1B0B-43FD-BD48-9C5483393B81}"/>
    <cellStyle name="40% - Accent6 2 2 2 3 5" xfId="9249" xr:uid="{FDD73C17-2854-43DD-A2EC-4FA9095288EA}"/>
    <cellStyle name="40% - Accent6 2 2 2 3 6" xfId="11139" xr:uid="{953A86B4-7B8E-4A6B-84B0-41338700268B}"/>
    <cellStyle name="40% - Accent6 2 2 2 3 7" xfId="13029" xr:uid="{2F2FE170-D63C-4D26-9BA9-93F07393B82F}"/>
    <cellStyle name="40% - Accent6 2 2 2 3 8" xfId="14919" xr:uid="{504B1645-51CC-4BB2-B369-C6016B4B1768}"/>
    <cellStyle name="40% - Accent6 2 2 2 3 9" xfId="16809" xr:uid="{162CAA0B-1453-4150-A5DA-5B35030B3877}"/>
    <cellStyle name="40% - Accent6 2 2 2 4" xfId="2319" xr:uid="{ADDC4148-EC96-46D0-BC6A-CF3D6B6B3078}"/>
    <cellStyle name="40% - Accent6 2 2 2 5" xfId="4209" xr:uid="{7E691D7C-8913-490E-A87E-465EEFD82875}"/>
    <cellStyle name="40% - Accent6 2 2 2 6" xfId="6099" xr:uid="{602D8207-6E47-4FE9-BB82-4B98CFFF2F21}"/>
    <cellStyle name="40% - Accent6 2 2 2 7" xfId="7989" xr:uid="{CFF6DA32-9CE3-4182-9287-A83608D59CCC}"/>
    <cellStyle name="40% - Accent6 2 2 2 8" xfId="9879" xr:uid="{F39FAB6F-5600-4250-91E6-61EB778821C3}"/>
    <cellStyle name="40% - Accent6 2 2 2 9" xfId="11769" xr:uid="{CA9604EA-DC6B-4377-916A-7B7816563F45}"/>
    <cellStyle name="40% - Accent6 2 2 20" xfId="28569" xr:uid="{0D134C44-DD74-4678-A90E-D2DBAAE67BC9}"/>
    <cellStyle name="40% - Accent6 2 2 21" xfId="30459" xr:uid="{394C25A1-E4B0-4537-8DD8-81E58887C4AB}"/>
    <cellStyle name="40% - Accent6 2 2 22" xfId="32349" xr:uid="{A8B49559-FC91-4E20-BB8D-E03F0C4F1B06}"/>
    <cellStyle name="40% - Accent6 2 2 23" xfId="34239" xr:uid="{BE60BB6C-93FD-4CE6-8EEC-BC94522FC37D}"/>
    <cellStyle name="40% - Accent6 2 2 24" xfId="36129" xr:uid="{1CA9B079-DA9C-40D1-8C6D-B931C604D301}"/>
    <cellStyle name="40% - Accent6 2 2 25" xfId="38019" xr:uid="{081D72B6-AF83-4641-A8BC-66A6E017A6FF}"/>
    <cellStyle name="40% - Accent6 2 2 26" xfId="39910" xr:uid="{68DE3D71-A5F0-43CE-A15C-32DB53867F8B}"/>
    <cellStyle name="40% - Accent6 2 2 3" xfId="639" xr:uid="{049A3E16-E1AF-4E30-8213-49524F2170D1}"/>
    <cellStyle name="40% - Accent6 2 2 3 10" xfId="13869" xr:uid="{955693A8-EACE-4539-ABEA-7C7C2BCF6164}"/>
    <cellStyle name="40% - Accent6 2 2 3 11" xfId="15759" xr:uid="{AB50FA55-03C5-4F4D-9107-956DE96E1AF7}"/>
    <cellStyle name="40% - Accent6 2 2 3 12" xfId="17649" xr:uid="{B4CD3110-F9C0-4C78-9CCF-BAC09F33AD51}"/>
    <cellStyle name="40% - Accent6 2 2 3 13" xfId="19539" xr:uid="{0D40A5D3-5DFA-4128-B352-284A498321EE}"/>
    <cellStyle name="40% - Accent6 2 2 3 14" xfId="21429" xr:uid="{AB793927-6949-4D63-8950-C6A1FAE4B7F3}"/>
    <cellStyle name="40% - Accent6 2 2 3 15" xfId="23319" xr:uid="{4712C549-252A-4212-97A3-30E3292C89A8}"/>
    <cellStyle name="40% - Accent6 2 2 3 16" xfId="25209" xr:uid="{8F026106-A72F-4D83-B6F3-66194BD3CD9D}"/>
    <cellStyle name="40% - Accent6 2 2 3 17" xfId="27099" xr:uid="{984995D4-DDCD-445C-AF45-A97396691ED8}"/>
    <cellStyle name="40% - Accent6 2 2 3 18" xfId="28989" xr:uid="{85AB33B4-0554-4C74-9FA5-75BFCD4C4235}"/>
    <cellStyle name="40% - Accent6 2 2 3 19" xfId="30879" xr:uid="{2053EB39-EF58-4218-A7D8-440BE36158A8}"/>
    <cellStyle name="40% - Accent6 2 2 3 2" xfId="1269" xr:uid="{F499A0EE-9994-448E-B371-6736649B02EC}"/>
    <cellStyle name="40% - Accent6 2 2 3 2 10" xfId="18279" xr:uid="{DA5DC5D1-6E4D-4F05-8D08-E0E3A6AFB3C1}"/>
    <cellStyle name="40% - Accent6 2 2 3 2 11" xfId="20169" xr:uid="{37F1FF16-7EB5-43C8-A3FE-98FFF9784CE3}"/>
    <cellStyle name="40% - Accent6 2 2 3 2 12" xfId="22059" xr:uid="{B278C870-B91A-40DA-A1C3-40F503FB94D8}"/>
    <cellStyle name="40% - Accent6 2 2 3 2 13" xfId="23949" xr:uid="{DDC2BAAB-38DC-42CE-9959-EDC3F303F292}"/>
    <cellStyle name="40% - Accent6 2 2 3 2 14" xfId="25839" xr:uid="{C4388CB6-6B9B-4080-8CFF-2700F4701EAF}"/>
    <cellStyle name="40% - Accent6 2 2 3 2 15" xfId="27729" xr:uid="{FFCC3E12-F4E9-4D6D-93C7-C45F5B9B193E}"/>
    <cellStyle name="40% - Accent6 2 2 3 2 16" xfId="29619" xr:uid="{B7EF9028-D7CB-461F-8B95-DBB34CD8D313}"/>
    <cellStyle name="40% - Accent6 2 2 3 2 17" xfId="31509" xr:uid="{4E1925B1-E99A-4128-B09C-587132263239}"/>
    <cellStyle name="40% - Accent6 2 2 3 2 18" xfId="33399" xr:uid="{67EFC48E-901C-4432-9912-5DDCB503A98E}"/>
    <cellStyle name="40% - Accent6 2 2 3 2 19" xfId="35289" xr:uid="{F1F07CE0-AF96-42A4-8ADD-5FF8111D8EF3}"/>
    <cellStyle name="40% - Accent6 2 2 3 2 2" xfId="3159" xr:uid="{B8104EC3-6F23-4038-AA86-AE413D0C9F22}"/>
    <cellStyle name="40% - Accent6 2 2 3 2 20" xfId="37179" xr:uid="{26DCA722-F8F4-4045-9949-0BB1359556A9}"/>
    <cellStyle name="40% - Accent6 2 2 3 2 21" xfId="39069" xr:uid="{BC5B0050-3576-4F2A-9026-C1A6EE8831D6}"/>
    <cellStyle name="40% - Accent6 2 2 3 2 22" xfId="40960" xr:uid="{6004C4FC-8BDF-4108-98E4-C0382510DC10}"/>
    <cellStyle name="40% - Accent6 2 2 3 2 3" xfId="5049" xr:uid="{9BCA44E4-ECAA-4987-AD3C-61EF8E19AF9A}"/>
    <cellStyle name="40% - Accent6 2 2 3 2 4" xfId="6939" xr:uid="{5999AF38-345C-4E94-930C-401CD043047C}"/>
    <cellStyle name="40% - Accent6 2 2 3 2 5" xfId="8829" xr:uid="{006AE2E6-8782-45DF-AEF3-4585D17E0C5A}"/>
    <cellStyle name="40% - Accent6 2 2 3 2 6" xfId="10719" xr:uid="{BE4763A1-A34C-4603-9E42-43AFDA2C9A55}"/>
    <cellStyle name="40% - Accent6 2 2 3 2 7" xfId="12609" xr:uid="{24768517-A3E1-4ADE-9A12-4F0957D24C76}"/>
    <cellStyle name="40% - Accent6 2 2 3 2 8" xfId="14499" xr:uid="{838E505D-D355-4949-B60A-90B2A2A85B6B}"/>
    <cellStyle name="40% - Accent6 2 2 3 2 9" xfId="16389" xr:uid="{BD123975-89D7-4077-8B82-508772C1D61C}"/>
    <cellStyle name="40% - Accent6 2 2 3 20" xfId="32769" xr:uid="{A59A45DE-136A-401D-82EE-7B55A5A0022C}"/>
    <cellStyle name="40% - Accent6 2 2 3 21" xfId="34659" xr:uid="{174D5689-6A8C-4EA7-A4B5-5237B9EA17CA}"/>
    <cellStyle name="40% - Accent6 2 2 3 22" xfId="36549" xr:uid="{A65E1BD2-D32F-41CD-8193-2F1068DDA7A9}"/>
    <cellStyle name="40% - Accent6 2 2 3 23" xfId="38439" xr:uid="{9A70B342-0ECF-4F99-8650-B4BEA83D8B65}"/>
    <cellStyle name="40% - Accent6 2 2 3 24" xfId="40330" xr:uid="{798666E6-EF2B-4085-918D-13060F8EDDEE}"/>
    <cellStyle name="40% - Accent6 2 2 3 3" xfId="1899" xr:uid="{CE75DB75-581B-4A4F-83BA-F2115D1DAAC5}"/>
    <cellStyle name="40% - Accent6 2 2 3 3 10" xfId="18909" xr:uid="{EBCAE517-E820-4A25-9995-07CA69FCFB06}"/>
    <cellStyle name="40% - Accent6 2 2 3 3 11" xfId="20799" xr:uid="{FF84B615-8E71-4913-93E5-02CA96736D0C}"/>
    <cellStyle name="40% - Accent6 2 2 3 3 12" xfId="22689" xr:uid="{CFAAF1F9-EA44-4114-A913-E11BD4E3789D}"/>
    <cellStyle name="40% - Accent6 2 2 3 3 13" xfId="24579" xr:uid="{72BF20E8-8827-4B30-AC94-7F08B6C09E40}"/>
    <cellStyle name="40% - Accent6 2 2 3 3 14" xfId="26469" xr:uid="{3674403E-B4FE-4014-BDF5-2EAF6586D093}"/>
    <cellStyle name="40% - Accent6 2 2 3 3 15" xfId="28359" xr:uid="{1AEBF8F8-8336-4383-BBC6-544DCD352367}"/>
    <cellStyle name="40% - Accent6 2 2 3 3 16" xfId="30249" xr:uid="{21B4FBB5-EB85-4178-8325-51AE172B5FA0}"/>
    <cellStyle name="40% - Accent6 2 2 3 3 17" xfId="32139" xr:uid="{E718B477-E1CA-4465-8782-D5E4AD0BB1A2}"/>
    <cellStyle name="40% - Accent6 2 2 3 3 18" xfId="34029" xr:uid="{E9D3FF92-3BA3-4B71-9A89-261DDAD4CC39}"/>
    <cellStyle name="40% - Accent6 2 2 3 3 19" xfId="35919" xr:uid="{5E0885C3-0BBE-4EB7-B1D6-9A901DC5AFDC}"/>
    <cellStyle name="40% - Accent6 2 2 3 3 2" xfId="3789" xr:uid="{1B757DFE-ABBF-487D-B228-8AB49DC8DA40}"/>
    <cellStyle name="40% - Accent6 2 2 3 3 20" xfId="37809" xr:uid="{6B95443E-DD9A-4CF7-92EC-D0F03981F460}"/>
    <cellStyle name="40% - Accent6 2 2 3 3 21" xfId="39699" xr:uid="{2276AA2A-446E-4DC1-9270-9085C304E2BD}"/>
    <cellStyle name="40% - Accent6 2 2 3 3 22" xfId="41590" xr:uid="{F0FFF4ED-5795-4D1D-88C3-C446202E195B}"/>
    <cellStyle name="40% - Accent6 2 2 3 3 3" xfId="5679" xr:uid="{92B2D07C-BE99-4E4C-BE8E-026E6EA7801C}"/>
    <cellStyle name="40% - Accent6 2 2 3 3 4" xfId="7569" xr:uid="{5B6F26E0-878D-4930-8374-AE93D91094AD}"/>
    <cellStyle name="40% - Accent6 2 2 3 3 5" xfId="9459" xr:uid="{9416B507-D2D8-43E1-BA7B-9382E338CC60}"/>
    <cellStyle name="40% - Accent6 2 2 3 3 6" xfId="11349" xr:uid="{CB7B5A94-154B-4916-B50F-C1CB3CD3EE0E}"/>
    <cellStyle name="40% - Accent6 2 2 3 3 7" xfId="13239" xr:uid="{3046D5F9-1018-4EB9-9233-1BE1A098663F}"/>
    <cellStyle name="40% - Accent6 2 2 3 3 8" xfId="15129" xr:uid="{13E5AAB7-60A9-4C99-A2CE-1B2E3A08E256}"/>
    <cellStyle name="40% - Accent6 2 2 3 3 9" xfId="17019" xr:uid="{452845EB-0BFE-43D4-B965-7B2BE70FDA0E}"/>
    <cellStyle name="40% - Accent6 2 2 3 4" xfId="2529" xr:uid="{7D51016E-FAF3-4F7B-8D0F-D9D1A22DC393}"/>
    <cellStyle name="40% - Accent6 2 2 3 5" xfId="4419" xr:uid="{1818CC21-FF92-4591-AB9E-53FA6E2A0154}"/>
    <cellStyle name="40% - Accent6 2 2 3 6" xfId="6309" xr:uid="{34B18DCF-3F05-41FB-ABC5-8F5D7528DC51}"/>
    <cellStyle name="40% - Accent6 2 2 3 7" xfId="8199" xr:uid="{CEAE7408-4AE8-4084-A266-44F3688C43AB}"/>
    <cellStyle name="40% - Accent6 2 2 3 8" xfId="10089" xr:uid="{298C3CCF-BABC-4F15-A4F2-7F7E60E5EAF7}"/>
    <cellStyle name="40% - Accent6 2 2 3 9" xfId="11979" xr:uid="{8612A834-1791-40EB-9CAE-0C555C818A7B}"/>
    <cellStyle name="40% - Accent6 2 2 4" xfId="849" xr:uid="{E0A27D5E-E5AB-4641-B5AA-43AA3AA15F0B}"/>
    <cellStyle name="40% - Accent6 2 2 4 10" xfId="17859" xr:uid="{1ED3C65B-E726-488B-9CA0-BC95A57C61AD}"/>
    <cellStyle name="40% - Accent6 2 2 4 11" xfId="19749" xr:uid="{D3370240-0D7F-48D3-9F8E-5776EC8DC9CE}"/>
    <cellStyle name="40% - Accent6 2 2 4 12" xfId="21639" xr:uid="{00270FFF-AC30-4559-AE9D-AB3CBA758753}"/>
    <cellStyle name="40% - Accent6 2 2 4 13" xfId="23529" xr:uid="{C3E9DD47-B1FC-49D4-A07A-802605E5A272}"/>
    <cellStyle name="40% - Accent6 2 2 4 14" xfId="25419" xr:uid="{52496CF9-9DA5-491C-BCC7-B56FB947ABAE}"/>
    <cellStyle name="40% - Accent6 2 2 4 15" xfId="27309" xr:uid="{526122A8-AF68-49ED-9835-BF4276D5356F}"/>
    <cellStyle name="40% - Accent6 2 2 4 16" xfId="29199" xr:uid="{BC37F9C5-E04B-44BF-ACA8-BD02F51E1F20}"/>
    <cellStyle name="40% - Accent6 2 2 4 17" xfId="31089" xr:uid="{D0069EF8-1A0B-4376-B71E-5E7FF7990A9F}"/>
    <cellStyle name="40% - Accent6 2 2 4 18" xfId="32979" xr:uid="{EE592458-AFC5-443B-89FE-3D1DF426FC05}"/>
    <cellStyle name="40% - Accent6 2 2 4 19" xfId="34869" xr:uid="{D2187FF4-663D-4215-96E8-646B58BAFD1B}"/>
    <cellStyle name="40% - Accent6 2 2 4 2" xfId="2739" xr:uid="{3424CBAC-8142-49A6-AE2A-FF32F021D9BB}"/>
    <cellStyle name="40% - Accent6 2 2 4 20" xfId="36759" xr:uid="{DEFDF35C-8770-42EA-90B4-2ED8976EE1A4}"/>
    <cellStyle name="40% - Accent6 2 2 4 21" xfId="38649" xr:uid="{7F310098-0C90-463B-A17E-87B17B423C58}"/>
    <cellStyle name="40% - Accent6 2 2 4 22" xfId="40540" xr:uid="{B01EDCC2-50C2-4A24-81E5-397A5C7A36D3}"/>
    <cellStyle name="40% - Accent6 2 2 4 3" xfId="4629" xr:uid="{4F00724B-1F06-47AC-8551-4F793663D3DE}"/>
    <cellStyle name="40% - Accent6 2 2 4 4" xfId="6519" xr:uid="{C78F7421-C7E7-4777-BED6-07B4DC209FB9}"/>
    <cellStyle name="40% - Accent6 2 2 4 5" xfId="8409" xr:uid="{D6852472-1C62-45E8-889A-77B6378BF888}"/>
    <cellStyle name="40% - Accent6 2 2 4 6" xfId="10299" xr:uid="{EC791ED8-238D-4B00-8C7F-72C70A290627}"/>
    <cellStyle name="40% - Accent6 2 2 4 7" xfId="12189" xr:uid="{4250F322-0F58-4DC6-9D67-DA401B46C79F}"/>
    <cellStyle name="40% - Accent6 2 2 4 8" xfId="14079" xr:uid="{5B9B63CC-F64F-4A04-901E-ACBB3FC60DC8}"/>
    <cellStyle name="40% - Accent6 2 2 4 9" xfId="15969" xr:uid="{091BDB3E-9E21-431E-BCDA-FE0302F62E20}"/>
    <cellStyle name="40% - Accent6 2 2 5" xfId="1479" xr:uid="{EAA3ABF6-7BA6-420E-9C55-05141D08D394}"/>
    <cellStyle name="40% - Accent6 2 2 5 10" xfId="18489" xr:uid="{529C0209-DB20-426C-8E64-F6FE77DD7D5C}"/>
    <cellStyle name="40% - Accent6 2 2 5 11" xfId="20379" xr:uid="{A5A91331-6CFA-4B2B-A67D-296018B56E19}"/>
    <cellStyle name="40% - Accent6 2 2 5 12" xfId="22269" xr:uid="{AF54738F-FB0E-44B4-AA93-A9F515B932DE}"/>
    <cellStyle name="40% - Accent6 2 2 5 13" xfId="24159" xr:uid="{400068B8-0AB2-4438-8D92-BFBBB2D9EB8D}"/>
    <cellStyle name="40% - Accent6 2 2 5 14" xfId="26049" xr:uid="{F4072BB8-1654-47B2-AB3B-30392DC19282}"/>
    <cellStyle name="40% - Accent6 2 2 5 15" xfId="27939" xr:uid="{2F1EDB34-AC4C-4205-BD44-2F5D908363C4}"/>
    <cellStyle name="40% - Accent6 2 2 5 16" xfId="29829" xr:uid="{18BCDD04-3C75-4C8B-AA2B-0E3240615EE7}"/>
    <cellStyle name="40% - Accent6 2 2 5 17" xfId="31719" xr:uid="{F4AECCD9-C906-4943-9799-DA1AC75AA6C2}"/>
    <cellStyle name="40% - Accent6 2 2 5 18" xfId="33609" xr:uid="{40E53AC0-070C-4450-8815-BC4F2D89CE29}"/>
    <cellStyle name="40% - Accent6 2 2 5 19" xfId="35499" xr:uid="{BD982CF5-BFF4-46EC-9381-91F0E83BE47E}"/>
    <cellStyle name="40% - Accent6 2 2 5 2" xfId="3369" xr:uid="{CA07EF8C-4F05-450A-95E1-DD3C98DA2751}"/>
    <cellStyle name="40% - Accent6 2 2 5 20" xfId="37389" xr:uid="{7C3706A3-1AAC-4762-9958-8720C734B6A6}"/>
    <cellStyle name="40% - Accent6 2 2 5 21" xfId="39279" xr:uid="{E3C1587A-DC4A-48FA-AA41-AE9616D29FB5}"/>
    <cellStyle name="40% - Accent6 2 2 5 22" xfId="41170" xr:uid="{FC0D7AC4-AC41-45AB-8694-2CC06134DDDB}"/>
    <cellStyle name="40% - Accent6 2 2 5 3" xfId="5259" xr:uid="{70539982-FFEE-48A8-A3BD-655EA0AF306C}"/>
    <cellStyle name="40% - Accent6 2 2 5 4" xfId="7149" xr:uid="{5DD31741-D3AF-465A-A376-7A927DDAD3E9}"/>
    <cellStyle name="40% - Accent6 2 2 5 5" xfId="9039" xr:uid="{5DACA002-4753-4220-8EB2-033F35AA0A3A}"/>
    <cellStyle name="40% - Accent6 2 2 5 6" xfId="10929" xr:uid="{D7E44CC0-BE68-4569-973D-826EDC7FB9E8}"/>
    <cellStyle name="40% - Accent6 2 2 5 7" xfId="12819" xr:uid="{64E0DFA4-F01C-4013-9189-14EE674199C8}"/>
    <cellStyle name="40% - Accent6 2 2 5 8" xfId="14709" xr:uid="{4D234E54-DB2F-4778-921C-CD1B586251C9}"/>
    <cellStyle name="40% - Accent6 2 2 5 9" xfId="16599" xr:uid="{12FD8BB3-CF7A-4739-A1BD-D682A01B69ED}"/>
    <cellStyle name="40% - Accent6 2 2 6" xfId="2109" xr:uid="{E787AB58-87C1-4C83-BB24-513100E5E11B}"/>
    <cellStyle name="40% - Accent6 2 2 7" xfId="3999" xr:uid="{06763773-A465-4E1B-810D-9067C0BAB9FB}"/>
    <cellStyle name="40% - Accent6 2 2 8" xfId="5889" xr:uid="{406A2EA4-935B-4088-88F2-E67FB2F3A31D}"/>
    <cellStyle name="40% - Accent6 2 2 9" xfId="7779" xr:uid="{20F969AE-1706-4001-8722-65216F06C510}"/>
    <cellStyle name="40% - Accent6 2 20" xfId="26574" xr:uid="{AA6B7E74-6301-4F4D-9FA6-DE5DC5C9A05F}"/>
    <cellStyle name="40% - Accent6 2 21" xfId="28464" xr:uid="{5E64D02C-9253-4477-AC1E-A4D2B0FF83BA}"/>
    <cellStyle name="40% - Accent6 2 22" xfId="30354" xr:uid="{C2B03891-7BF0-42B6-BE85-051B6E2B54EB}"/>
    <cellStyle name="40% - Accent6 2 23" xfId="32244" xr:uid="{CDB7F5C5-22E7-4A19-858A-542B1796C0EA}"/>
    <cellStyle name="40% - Accent6 2 24" xfId="34134" xr:uid="{1ABAD484-69C8-4701-950D-8F20CA0531E1}"/>
    <cellStyle name="40% - Accent6 2 25" xfId="36024" xr:uid="{6530F896-467B-4C4D-B72C-320DC77893CF}"/>
    <cellStyle name="40% - Accent6 2 26" xfId="37914" xr:uid="{D9EDE737-2112-4C85-B5E1-D232D675CC5F}"/>
    <cellStyle name="40% - Accent6 2 27" xfId="39805" xr:uid="{8BF55161-20A7-40F7-B4C6-4C29D3702289}"/>
    <cellStyle name="40% - Accent6 2 3" xfId="324" xr:uid="{229D0E71-B284-4941-9739-9F753505ACB6}"/>
    <cellStyle name="40% - Accent6 2 3 10" xfId="13554" xr:uid="{DF9876C0-6633-4D3C-B891-7D8BC4C2FCBB}"/>
    <cellStyle name="40% - Accent6 2 3 11" xfId="15444" xr:uid="{BDAE0172-332D-4011-8768-C5AAA4723744}"/>
    <cellStyle name="40% - Accent6 2 3 12" xfId="17334" xr:uid="{8EB77018-067A-41CA-ACAE-87EE07741612}"/>
    <cellStyle name="40% - Accent6 2 3 13" xfId="19224" xr:uid="{C3155373-3AF3-496B-BF5B-15ACA7F75100}"/>
    <cellStyle name="40% - Accent6 2 3 14" xfId="21114" xr:uid="{596127E4-917D-477E-A37B-B6A74E3FB615}"/>
    <cellStyle name="40% - Accent6 2 3 15" xfId="23004" xr:uid="{1AA95B3F-C24F-4262-8BFD-D9EC3EE9A8EE}"/>
    <cellStyle name="40% - Accent6 2 3 16" xfId="24894" xr:uid="{A3EBCE2F-1AC8-4B5C-8E33-EF20DDB91538}"/>
    <cellStyle name="40% - Accent6 2 3 17" xfId="26784" xr:uid="{61DEC64C-4010-4E95-A0A6-59FE806A1B79}"/>
    <cellStyle name="40% - Accent6 2 3 18" xfId="28674" xr:uid="{2714DB06-FB3D-4E95-B7FF-6D86486ED5A2}"/>
    <cellStyle name="40% - Accent6 2 3 19" xfId="30564" xr:uid="{7DE5F364-31F7-4A83-9E6E-A1853D0E7E70}"/>
    <cellStyle name="40% - Accent6 2 3 2" xfId="954" xr:uid="{DD150245-BF37-4261-8851-595B180FC773}"/>
    <cellStyle name="40% - Accent6 2 3 2 10" xfId="17964" xr:uid="{5C584FC1-4620-471B-8126-6DA3E9A26BAB}"/>
    <cellStyle name="40% - Accent6 2 3 2 11" xfId="19854" xr:uid="{28AB0DA4-8182-4D5B-B424-4010F9EF840E}"/>
    <cellStyle name="40% - Accent6 2 3 2 12" xfId="21744" xr:uid="{A2F8110D-4595-4B21-9718-2EC251EC7BA6}"/>
    <cellStyle name="40% - Accent6 2 3 2 13" xfId="23634" xr:uid="{CCE43624-A57A-4172-B967-B2A0BC9BAFEF}"/>
    <cellStyle name="40% - Accent6 2 3 2 14" xfId="25524" xr:uid="{F809EF77-6950-44F1-B2A5-BD24265E868C}"/>
    <cellStyle name="40% - Accent6 2 3 2 15" xfId="27414" xr:uid="{897883FE-29D3-43CB-B9D1-857973418BB4}"/>
    <cellStyle name="40% - Accent6 2 3 2 16" xfId="29304" xr:uid="{CA3A1D00-1156-4B7F-9437-0A69BA819ABB}"/>
    <cellStyle name="40% - Accent6 2 3 2 17" xfId="31194" xr:uid="{FFE78F7D-A0A9-439A-9F66-F428869E1FBF}"/>
    <cellStyle name="40% - Accent6 2 3 2 18" xfId="33084" xr:uid="{451C8EAC-E0B1-42A7-AD4E-EF40F80B9BE7}"/>
    <cellStyle name="40% - Accent6 2 3 2 19" xfId="34974" xr:uid="{4DC2D7C8-292C-408E-9FD6-3FAB02118C80}"/>
    <cellStyle name="40% - Accent6 2 3 2 2" xfId="2844" xr:uid="{CA4FF7CB-7059-4B03-995D-846F51909642}"/>
    <cellStyle name="40% - Accent6 2 3 2 20" xfId="36864" xr:uid="{C30BF731-7F0D-4728-A4F9-1E76305A4845}"/>
    <cellStyle name="40% - Accent6 2 3 2 21" xfId="38754" xr:uid="{DD0D8CAD-F88B-4847-A76B-EE72F3A446D8}"/>
    <cellStyle name="40% - Accent6 2 3 2 22" xfId="40645" xr:uid="{D570419B-DDD9-4429-9D18-A1415A257DEE}"/>
    <cellStyle name="40% - Accent6 2 3 2 3" xfId="4734" xr:uid="{44F1E157-5225-49A4-B808-16383112BF83}"/>
    <cellStyle name="40% - Accent6 2 3 2 4" xfId="6624" xr:uid="{BBC39BC0-24A3-4944-BD0D-62CB48792C3D}"/>
    <cellStyle name="40% - Accent6 2 3 2 5" xfId="8514" xr:uid="{787EB2B1-BC4E-41C2-9F72-B5516426D9A1}"/>
    <cellStyle name="40% - Accent6 2 3 2 6" xfId="10404" xr:uid="{9D6964E6-9A95-42A9-BBE3-C87D04943540}"/>
    <cellStyle name="40% - Accent6 2 3 2 7" xfId="12294" xr:uid="{9FE13BAC-058A-4DAB-B988-7B8ACD8A2831}"/>
    <cellStyle name="40% - Accent6 2 3 2 8" xfId="14184" xr:uid="{3F975EA3-9F5C-4DBA-A4D0-224AFD34D7A4}"/>
    <cellStyle name="40% - Accent6 2 3 2 9" xfId="16074" xr:uid="{BD78BF76-F615-455A-9F32-EA9AFC3197CB}"/>
    <cellStyle name="40% - Accent6 2 3 20" xfId="32454" xr:uid="{64D01CD9-A268-4B2E-A392-B6F06B7117EF}"/>
    <cellStyle name="40% - Accent6 2 3 21" xfId="34344" xr:uid="{F207BA57-6C4E-49D0-8BE4-14EA37E00642}"/>
    <cellStyle name="40% - Accent6 2 3 22" xfId="36234" xr:uid="{D00FCF13-8593-42A6-A9E5-F11C7848BABC}"/>
    <cellStyle name="40% - Accent6 2 3 23" xfId="38124" xr:uid="{A1C46A9F-B951-4A33-A2DB-3390325843F6}"/>
    <cellStyle name="40% - Accent6 2 3 24" xfId="40015" xr:uid="{44B14AA7-9757-4368-838D-C03F0F8CB722}"/>
    <cellStyle name="40% - Accent6 2 3 3" xfId="1584" xr:uid="{AC6965A4-C005-4436-86D1-89342DACEBB7}"/>
    <cellStyle name="40% - Accent6 2 3 3 10" xfId="18594" xr:uid="{E8E94474-9EA7-4DC4-B48D-2E5CE7FD43B5}"/>
    <cellStyle name="40% - Accent6 2 3 3 11" xfId="20484" xr:uid="{5E1F8499-7D89-47B2-A0BB-151A107862B2}"/>
    <cellStyle name="40% - Accent6 2 3 3 12" xfId="22374" xr:uid="{65F609FE-7E85-4822-8204-0ADCD1A0F6E2}"/>
    <cellStyle name="40% - Accent6 2 3 3 13" xfId="24264" xr:uid="{949C184C-DE89-47B7-82A6-61253F0E2AA0}"/>
    <cellStyle name="40% - Accent6 2 3 3 14" xfId="26154" xr:uid="{F5EEA9DE-FB26-4D8A-A702-103457849471}"/>
    <cellStyle name="40% - Accent6 2 3 3 15" xfId="28044" xr:uid="{41AD1D21-8D25-49FB-ADFA-044700730D30}"/>
    <cellStyle name="40% - Accent6 2 3 3 16" xfId="29934" xr:uid="{DA68B9AF-5FAF-46FD-8DC9-AB31D42A910D}"/>
    <cellStyle name="40% - Accent6 2 3 3 17" xfId="31824" xr:uid="{796D63D4-12E0-47E2-BCF2-6D38399A3A61}"/>
    <cellStyle name="40% - Accent6 2 3 3 18" xfId="33714" xr:uid="{5CEBEB9E-A44B-4C27-894B-44E960108D7C}"/>
    <cellStyle name="40% - Accent6 2 3 3 19" xfId="35604" xr:uid="{5A4A918D-3420-46E0-ACBE-F8BF4F93953B}"/>
    <cellStyle name="40% - Accent6 2 3 3 2" xfId="3474" xr:uid="{5850CBE6-0065-40A6-8169-813B5EB6960B}"/>
    <cellStyle name="40% - Accent6 2 3 3 20" xfId="37494" xr:uid="{EB043A5B-4EE6-4C3D-ADC4-826F8D66E77F}"/>
    <cellStyle name="40% - Accent6 2 3 3 21" xfId="39384" xr:uid="{093A41CE-C063-4CF0-BBA8-3CEF68E3B2B5}"/>
    <cellStyle name="40% - Accent6 2 3 3 22" xfId="41275" xr:uid="{B8966C34-0022-468D-B3E0-480AD1165EE3}"/>
    <cellStyle name="40% - Accent6 2 3 3 3" xfId="5364" xr:uid="{9310957F-A931-4F7F-B5E3-B49D956E4F1E}"/>
    <cellStyle name="40% - Accent6 2 3 3 4" xfId="7254" xr:uid="{D697C40A-F0AE-4148-8E29-70142A9E248F}"/>
    <cellStyle name="40% - Accent6 2 3 3 5" xfId="9144" xr:uid="{EFEFAFF3-47E7-466D-B932-5AECBFE36378}"/>
    <cellStyle name="40% - Accent6 2 3 3 6" xfId="11034" xr:uid="{975D5276-D22B-4972-AC56-8987FC1F73BE}"/>
    <cellStyle name="40% - Accent6 2 3 3 7" xfId="12924" xr:uid="{41B8E0DB-03D8-49EA-9A28-C1594DF2BACE}"/>
    <cellStyle name="40% - Accent6 2 3 3 8" xfId="14814" xr:uid="{5E111963-AD34-4518-9838-84A2FED419FC}"/>
    <cellStyle name="40% - Accent6 2 3 3 9" xfId="16704" xr:uid="{51A3D3C1-684D-45AB-A785-EE76DB199598}"/>
    <cellStyle name="40% - Accent6 2 3 4" xfId="2214" xr:uid="{7E167D39-FB43-4EA5-A532-3386736A64EC}"/>
    <cellStyle name="40% - Accent6 2 3 5" xfId="4104" xr:uid="{AE8FBD78-8E0D-4A1D-8249-4D7DBFCCCC6B}"/>
    <cellStyle name="40% - Accent6 2 3 6" xfId="5994" xr:uid="{DF4BE2C3-E57C-4E2A-9C7E-0207335B9A72}"/>
    <cellStyle name="40% - Accent6 2 3 7" xfId="7884" xr:uid="{B11738FF-A65D-4363-B20F-23DDC4ADB90A}"/>
    <cellStyle name="40% - Accent6 2 3 8" xfId="9774" xr:uid="{36CD1C14-5D78-41E8-A368-EA1BB8ED1175}"/>
    <cellStyle name="40% - Accent6 2 3 9" xfId="11664" xr:uid="{681C5992-0449-4C37-973F-18FE42E619AD}"/>
    <cellStyle name="40% - Accent6 2 4" xfId="534" xr:uid="{40C52DBD-D61A-487E-B005-EE3080D424C8}"/>
    <cellStyle name="40% - Accent6 2 4 10" xfId="13764" xr:uid="{5D10117F-8436-44C7-BBEA-E7DE07880E0A}"/>
    <cellStyle name="40% - Accent6 2 4 11" xfId="15654" xr:uid="{DF26D296-566D-4774-8D77-ABCDD4D9D904}"/>
    <cellStyle name="40% - Accent6 2 4 12" xfId="17544" xr:uid="{7E06D92A-36A5-490F-98EA-2EF177B64912}"/>
    <cellStyle name="40% - Accent6 2 4 13" xfId="19434" xr:uid="{4D987566-AE7D-4646-9F3C-C88E5CE9C248}"/>
    <cellStyle name="40% - Accent6 2 4 14" xfId="21324" xr:uid="{4E169660-FE53-41CA-9AC4-44FF99F77340}"/>
    <cellStyle name="40% - Accent6 2 4 15" xfId="23214" xr:uid="{771E934C-1FF8-47AF-8635-C432BB748D0E}"/>
    <cellStyle name="40% - Accent6 2 4 16" xfId="25104" xr:uid="{6EA72FC9-9E1E-4D9D-8A8B-F1BCD6668F72}"/>
    <cellStyle name="40% - Accent6 2 4 17" xfId="26994" xr:uid="{BD9A9F08-E739-48AC-BE0C-A58396A22A73}"/>
    <cellStyle name="40% - Accent6 2 4 18" xfId="28884" xr:uid="{681A544E-3AA1-4C11-9712-925E142B6E29}"/>
    <cellStyle name="40% - Accent6 2 4 19" xfId="30774" xr:uid="{53259AF5-58C5-4E8E-9365-59C4185EA483}"/>
    <cellStyle name="40% - Accent6 2 4 2" xfId="1164" xr:uid="{C9D09B70-5BE9-4315-9B99-F2EEEF56D521}"/>
    <cellStyle name="40% - Accent6 2 4 2 10" xfId="18174" xr:uid="{48FFA3CA-06B2-4020-95FB-583CDFBB111B}"/>
    <cellStyle name="40% - Accent6 2 4 2 11" xfId="20064" xr:uid="{EBA4E8F2-B0DC-4EED-B4E8-1D034C85AE6F}"/>
    <cellStyle name="40% - Accent6 2 4 2 12" xfId="21954" xr:uid="{BECC1242-4A9B-40CA-B544-A74A013226A5}"/>
    <cellStyle name="40% - Accent6 2 4 2 13" xfId="23844" xr:uid="{20A466A2-58EE-4C86-BFD0-CDC913E6E9E7}"/>
    <cellStyle name="40% - Accent6 2 4 2 14" xfId="25734" xr:uid="{9EEFEA55-5A03-4FDE-9DAF-D5F1B859692B}"/>
    <cellStyle name="40% - Accent6 2 4 2 15" xfId="27624" xr:uid="{5A88E56F-13E8-4975-9506-02D237C51BC4}"/>
    <cellStyle name="40% - Accent6 2 4 2 16" xfId="29514" xr:uid="{5C1B24B4-04BE-4F7A-B13A-B1AA722AFE71}"/>
    <cellStyle name="40% - Accent6 2 4 2 17" xfId="31404" xr:uid="{A018B78E-C773-4C3A-8094-CCCE1A7336C4}"/>
    <cellStyle name="40% - Accent6 2 4 2 18" xfId="33294" xr:uid="{FEF605C0-1D3D-4BA0-8E1B-CAB39F794590}"/>
    <cellStyle name="40% - Accent6 2 4 2 19" xfId="35184" xr:uid="{691D3AD6-82CA-48B4-BB87-F5CDFB6DAFC5}"/>
    <cellStyle name="40% - Accent6 2 4 2 2" xfId="3054" xr:uid="{C6F00FA9-EFC4-490D-9956-B3ABB8306B91}"/>
    <cellStyle name="40% - Accent6 2 4 2 20" xfId="37074" xr:uid="{7864C71A-B070-422B-A487-734E8BFB1829}"/>
    <cellStyle name="40% - Accent6 2 4 2 21" xfId="38964" xr:uid="{164725B8-2D8E-4DAB-A943-53F320494958}"/>
    <cellStyle name="40% - Accent6 2 4 2 22" xfId="40855" xr:uid="{70CB6357-4B58-49F3-AC5E-00523CB1AA2C}"/>
    <cellStyle name="40% - Accent6 2 4 2 3" xfId="4944" xr:uid="{1CBBDFE8-F236-4258-834C-FB133D0B3106}"/>
    <cellStyle name="40% - Accent6 2 4 2 4" xfId="6834" xr:uid="{C5D70528-35B9-4C10-98D8-E3D75A59CC0F}"/>
    <cellStyle name="40% - Accent6 2 4 2 5" xfId="8724" xr:uid="{A4D814DB-3F10-42FD-BCFC-526D66046B2E}"/>
    <cellStyle name="40% - Accent6 2 4 2 6" xfId="10614" xr:uid="{228E05F4-D538-49DF-903E-8E6BAA0A9004}"/>
    <cellStyle name="40% - Accent6 2 4 2 7" xfId="12504" xr:uid="{93DED382-3513-457D-B423-81B776F16AB6}"/>
    <cellStyle name="40% - Accent6 2 4 2 8" xfId="14394" xr:uid="{5F767CA4-D414-4EFB-9622-7F0279852DC5}"/>
    <cellStyle name="40% - Accent6 2 4 2 9" xfId="16284" xr:uid="{9A546CA4-2E8E-41AA-B504-7AD80AA7CB4F}"/>
    <cellStyle name="40% - Accent6 2 4 20" xfId="32664" xr:uid="{27BE4FB2-2B0E-44B4-A9ED-B46C3535E127}"/>
    <cellStyle name="40% - Accent6 2 4 21" xfId="34554" xr:uid="{F880ADCA-E18C-403F-83B8-7750E52CA9A9}"/>
    <cellStyle name="40% - Accent6 2 4 22" xfId="36444" xr:uid="{1287E74E-1C93-4729-BA80-2B640F859A55}"/>
    <cellStyle name="40% - Accent6 2 4 23" xfId="38334" xr:uid="{BD261427-64A7-4982-9F57-518FB0742DED}"/>
    <cellStyle name="40% - Accent6 2 4 24" xfId="40225" xr:uid="{2F7BE9B0-E248-4CBF-A3BC-1D548B1C39EC}"/>
    <cellStyle name="40% - Accent6 2 4 3" xfId="1794" xr:uid="{CDFED047-9BBB-4DDA-BF6C-87F312086794}"/>
    <cellStyle name="40% - Accent6 2 4 3 10" xfId="18804" xr:uid="{BC3EAB98-F37F-4AA7-A02D-681A04882527}"/>
    <cellStyle name="40% - Accent6 2 4 3 11" xfId="20694" xr:uid="{AF9FD357-CFCF-4F23-B43A-DCABFE7F9B14}"/>
    <cellStyle name="40% - Accent6 2 4 3 12" xfId="22584" xr:uid="{FFA91EAD-892D-4D41-B587-0F2507F20D8E}"/>
    <cellStyle name="40% - Accent6 2 4 3 13" xfId="24474" xr:uid="{191BFF27-E6E8-49EF-B305-45061EF6DE41}"/>
    <cellStyle name="40% - Accent6 2 4 3 14" xfId="26364" xr:uid="{CB57E2EC-16A1-4FB0-B214-D78E7A50DB34}"/>
    <cellStyle name="40% - Accent6 2 4 3 15" xfId="28254" xr:uid="{55FD016A-F90E-40DE-AB13-165AAA853F64}"/>
    <cellStyle name="40% - Accent6 2 4 3 16" xfId="30144" xr:uid="{6BA3C7EB-92AF-4017-B1D0-393363C744FD}"/>
    <cellStyle name="40% - Accent6 2 4 3 17" xfId="32034" xr:uid="{D936D071-E117-438E-9D1D-2B296032A672}"/>
    <cellStyle name="40% - Accent6 2 4 3 18" xfId="33924" xr:uid="{A0ECE761-FEB3-4004-9E0F-9E1664C2F80C}"/>
    <cellStyle name="40% - Accent6 2 4 3 19" xfId="35814" xr:uid="{1012B1E6-888C-4D04-81DC-F16EACF7DB27}"/>
    <cellStyle name="40% - Accent6 2 4 3 2" xfId="3684" xr:uid="{A619B482-53D3-40AC-AB04-CA913056B72B}"/>
    <cellStyle name="40% - Accent6 2 4 3 20" xfId="37704" xr:uid="{E8ECA70D-D299-44D1-A243-BC2989284042}"/>
    <cellStyle name="40% - Accent6 2 4 3 21" xfId="39594" xr:uid="{DC85F667-6624-471C-A904-1405F101DBC3}"/>
    <cellStyle name="40% - Accent6 2 4 3 22" xfId="41485" xr:uid="{183ADF0D-3A68-4DD7-AB9C-DCD0347FA59C}"/>
    <cellStyle name="40% - Accent6 2 4 3 3" xfId="5574" xr:uid="{4F719565-E715-4594-8D2D-4859BDF158F3}"/>
    <cellStyle name="40% - Accent6 2 4 3 4" xfId="7464" xr:uid="{F875EDE4-7324-478C-B166-580524717F59}"/>
    <cellStyle name="40% - Accent6 2 4 3 5" xfId="9354" xr:uid="{B2169D73-B286-4CE3-AC2B-92BF855E6D89}"/>
    <cellStyle name="40% - Accent6 2 4 3 6" xfId="11244" xr:uid="{E365BA65-EA94-4409-90D9-5177F57A8841}"/>
    <cellStyle name="40% - Accent6 2 4 3 7" xfId="13134" xr:uid="{228CD2D0-F4E2-4083-8CDA-1C4DA4349061}"/>
    <cellStyle name="40% - Accent6 2 4 3 8" xfId="15024" xr:uid="{5EF393C5-F148-47F4-B385-2600F935BDAA}"/>
    <cellStyle name="40% - Accent6 2 4 3 9" xfId="16914" xr:uid="{965AEF2B-DAF5-48B8-A882-36224EF8D050}"/>
    <cellStyle name="40% - Accent6 2 4 4" xfId="2424" xr:uid="{B5860303-D992-439A-8912-59993E5E3526}"/>
    <cellStyle name="40% - Accent6 2 4 5" xfId="4314" xr:uid="{7A561E36-639E-4750-84A4-80CC71622B5A}"/>
    <cellStyle name="40% - Accent6 2 4 6" xfId="6204" xr:uid="{48B163E6-DFDA-437E-96AF-5D9318A386BB}"/>
    <cellStyle name="40% - Accent6 2 4 7" xfId="8094" xr:uid="{EB56F9DB-F454-44AA-B7D6-12B70FC9AAA3}"/>
    <cellStyle name="40% - Accent6 2 4 8" xfId="9984" xr:uid="{D6BBB714-4365-4F2A-9637-05F517FA3BF6}"/>
    <cellStyle name="40% - Accent6 2 4 9" xfId="11874" xr:uid="{172F6AA1-3DD3-4EEC-9930-72182899B76D}"/>
    <cellStyle name="40% - Accent6 2 5" xfId="744" xr:uid="{DC85126D-E567-4418-9025-385848E853B2}"/>
    <cellStyle name="40% - Accent6 2 5 10" xfId="17754" xr:uid="{BDFEC9AF-1728-4697-94F0-C481D070DB0E}"/>
    <cellStyle name="40% - Accent6 2 5 11" xfId="19644" xr:uid="{388B1497-AC7F-4EAE-A6B4-95119CDC0721}"/>
    <cellStyle name="40% - Accent6 2 5 12" xfId="21534" xr:uid="{B9CC9E62-C99D-4E0D-8D9F-6B84D4D78540}"/>
    <cellStyle name="40% - Accent6 2 5 13" xfId="23424" xr:uid="{875E7806-45B5-4D0E-BBFC-BD4B36014B86}"/>
    <cellStyle name="40% - Accent6 2 5 14" xfId="25314" xr:uid="{FA8BB6ED-9445-48E2-8A8E-5918A491FCAE}"/>
    <cellStyle name="40% - Accent6 2 5 15" xfId="27204" xr:uid="{9B28E044-759D-4C66-B3FE-48B655F2DD20}"/>
    <cellStyle name="40% - Accent6 2 5 16" xfId="29094" xr:uid="{70E7C72A-8CD7-4778-A57D-4DEF7752CE1E}"/>
    <cellStyle name="40% - Accent6 2 5 17" xfId="30984" xr:uid="{E7238E31-8212-4083-A134-AED5C30191A2}"/>
    <cellStyle name="40% - Accent6 2 5 18" xfId="32874" xr:uid="{78714A38-B1B6-413D-956E-5DDA88811DA1}"/>
    <cellStyle name="40% - Accent6 2 5 19" xfId="34764" xr:uid="{C1850DFB-13DF-4764-845E-8BD42E304137}"/>
    <cellStyle name="40% - Accent6 2 5 2" xfId="2634" xr:uid="{44F1D6F8-3214-41FE-8656-B80B981AE098}"/>
    <cellStyle name="40% - Accent6 2 5 20" xfId="36654" xr:uid="{18231E59-5178-4311-8D8A-4D9AD2CED1C5}"/>
    <cellStyle name="40% - Accent6 2 5 21" xfId="38544" xr:uid="{B5762659-7DA7-47AA-8BF3-D1C1DCB90702}"/>
    <cellStyle name="40% - Accent6 2 5 22" xfId="40435" xr:uid="{90861DAC-26BA-4F9F-A234-071F447A81C9}"/>
    <cellStyle name="40% - Accent6 2 5 3" xfId="4524" xr:uid="{59A984FE-DB70-4755-84CE-E41543C0FFAC}"/>
    <cellStyle name="40% - Accent6 2 5 4" xfId="6414" xr:uid="{00B9EE2B-0C58-46B3-B5E3-9E1C43E0170C}"/>
    <cellStyle name="40% - Accent6 2 5 5" xfId="8304" xr:uid="{3EB4627C-4688-498C-B22A-04463FABF577}"/>
    <cellStyle name="40% - Accent6 2 5 6" xfId="10194" xr:uid="{FF1D7BB1-9D0B-4975-BFA9-0D8D3D7E5995}"/>
    <cellStyle name="40% - Accent6 2 5 7" xfId="12084" xr:uid="{18945EA7-CED3-4D2C-A5D9-0811A651CF31}"/>
    <cellStyle name="40% - Accent6 2 5 8" xfId="13974" xr:uid="{92BDD052-8FE3-46D9-B8D2-5909B10EC998}"/>
    <cellStyle name="40% - Accent6 2 5 9" xfId="15864" xr:uid="{98FDC3DC-9EA1-4586-976D-14C5C95C1555}"/>
    <cellStyle name="40% - Accent6 2 6" xfId="1374" xr:uid="{FE372797-013A-42C4-8F07-6BBCF7BB5B3E}"/>
    <cellStyle name="40% - Accent6 2 6 10" xfId="18384" xr:uid="{49CC2558-B484-4037-856A-14B12EFDA437}"/>
    <cellStyle name="40% - Accent6 2 6 11" xfId="20274" xr:uid="{67CDA674-A7A7-4A55-8217-AE029EDF5549}"/>
    <cellStyle name="40% - Accent6 2 6 12" xfId="22164" xr:uid="{4AA12271-8048-4AA0-950B-CEB0AB3A454F}"/>
    <cellStyle name="40% - Accent6 2 6 13" xfId="24054" xr:uid="{2335FEAA-1839-4F9B-95F8-45E39C4BA60C}"/>
    <cellStyle name="40% - Accent6 2 6 14" xfId="25944" xr:uid="{E0F71E89-DDF9-46E3-8ACB-55317B00EA93}"/>
    <cellStyle name="40% - Accent6 2 6 15" xfId="27834" xr:uid="{AD1145A1-55D6-43F2-8487-9F5690E66EEA}"/>
    <cellStyle name="40% - Accent6 2 6 16" xfId="29724" xr:uid="{42838E60-FDDC-42BE-B30C-4CD500D06B77}"/>
    <cellStyle name="40% - Accent6 2 6 17" xfId="31614" xr:uid="{AFDBBF4C-E3C8-41B6-BA5A-C08F0F04966E}"/>
    <cellStyle name="40% - Accent6 2 6 18" xfId="33504" xr:uid="{B95C47E0-D02F-4F81-BB67-32202ECF4741}"/>
    <cellStyle name="40% - Accent6 2 6 19" xfId="35394" xr:uid="{61A208CB-F0CD-4423-8CD5-4F913FEBC25E}"/>
    <cellStyle name="40% - Accent6 2 6 2" xfId="3264" xr:uid="{2F901843-273F-462E-8FA3-52BB7622CA07}"/>
    <cellStyle name="40% - Accent6 2 6 20" xfId="37284" xr:uid="{A6BD6138-3BE0-4129-B1DF-544A1B7C4908}"/>
    <cellStyle name="40% - Accent6 2 6 21" xfId="39174" xr:uid="{FEC72832-2A05-4092-8044-49F22AC600D9}"/>
    <cellStyle name="40% - Accent6 2 6 22" xfId="41065" xr:uid="{52A9711C-FFC9-4485-8B0C-3C11AF98EFB2}"/>
    <cellStyle name="40% - Accent6 2 6 3" xfId="5154" xr:uid="{9504F5DA-B3CD-4B99-9E7E-30E295985C63}"/>
    <cellStyle name="40% - Accent6 2 6 4" xfId="7044" xr:uid="{05BE8DCF-BE22-4302-BDA6-1CB6E69E086D}"/>
    <cellStyle name="40% - Accent6 2 6 5" xfId="8934" xr:uid="{80344ABE-B02A-4FD6-AC7F-A36BDB5CFD41}"/>
    <cellStyle name="40% - Accent6 2 6 6" xfId="10824" xr:uid="{463E5831-AA69-42E8-AD84-94D77B977B7C}"/>
    <cellStyle name="40% - Accent6 2 6 7" xfId="12714" xr:uid="{B90305AD-735B-40D0-82D7-6A4C5BC099AD}"/>
    <cellStyle name="40% - Accent6 2 6 8" xfId="14604" xr:uid="{B7D78E00-2559-4E90-96C2-4FD605AB8FFB}"/>
    <cellStyle name="40% - Accent6 2 6 9" xfId="16494" xr:uid="{D875BEAC-123A-49F1-9094-D7877DF45C13}"/>
    <cellStyle name="40% - Accent6 2 7" xfId="2004" xr:uid="{9D5B7EB2-E1F6-4D04-94F6-06101E0683F8}"/>
    <cellStyle name="40% - Accent6 2 8" xfId="3894" xr:uid="{F55EF230-2EA1-4F0C-80F5-2819446A6288}"/>
    <cellStyle name="40% - Accent6 2 9" xfId="5784" xr:uid="{CC6542AC-B9EF-44C3-9721-380B2A15842A}"/>
    <cellStyle name="40% - Accent6 20" xfId="22772" xr:uid="{B96E4E74-BCE0-4313-A757-845D6853C2B5}"/>
    <cellStyle name="40% - Accent6 21" xfId="24662" xr:uid="{B20B4154-8EF4-496D-9F14-B26EF5B14346}"/>
    <cellStyle name="40% - Accent6 22" xfId="26552" xr:uid="{BFA6A4AC-BE4B-4657-848C-16A869E4DAE2}"/>
    <cellStyle name="40% - Accent6 23" xfId="28442" xr:uid="{23D9A72A-30F0-44BE-B538-573D83DAC726}"/>
    <cellStyle name="40% - Accent6 24" xfId="30332" xr:uid="{2E75F0E2-E6F8-4994-B47F-891755C9E9B7}"/>
    <cellStyle name="40% - Accent6 25" xfId="32222" xr:uid="{63948773-AE66-4375-A355-58CC5EE93666}"/>
    <cellStyle name="40% - Accent6 26" xfId="34112" xr:uid="{F44549C1-6FB5-4D2F-B4D8-F58AB2AC34FD}"/>
    <cellStyle name="40% - Accent6 27" xfId="36002" xr:uid="{A08C6E04-6C61-49AD-B3A8-CA3A8816F5AB}"/>
    <cellStyle name="40% - Accent6 28" xfId="37892" xr:uid="{91DCB96A-2E43-4449-A651-8A305237A058}"/>
    <cellStyle name="40% - Accent6 29" xfId="39783" xr:uid="{0690FC74-F83C-4C71-9AE4-E30DE5E7148D}"/>
    <cellStyle name="40% - Accent6 3" xfId="134" xr:uid="{C8E72422-07F8-4872-AF3D-2AAB531B878F}"/>
    <cellStyle name="40% - Accent6 3 10" xfId="7694" xr:uid="{EDCAECDE-8719-45A2-AE1A-9423A1430212}"/>
    <cellStyle name="40% - Accent6 3 11" xfId="9584" xr:uid="{1EEB31B4-66A9-4BE0-963A-26A8A1C8459F}"/>
    <cellStyle name="40% - Accent6 3 12" xfId="11474" xr:uid="{27F14ED8-17AE-407D-851D-A0944EE1860F}"/>
    <cellStyle name="40% - Accent6 3 13" xfId="13364" xr:uid="{4EB45691-DDD2-4BB3-A33D-9977C6480AEC}"/>
    <cellStyle name="40% - Accent6 3 14" xfId="15254" xr:uid="{27068113-B48E-479D-A757-907C57E76519}"/>
    <cellStyle name="40% - Accent6 3 15" xfId="17144" xr:uid="{E03E9D3E-F734-4A26-94D9-070D2C1DE0D8}"/>
    <cellStyle name="40% - Accent6 3 16" xfId="19034" xr:uid="{8F55B4BD-01A6-4B7D-ACAC-BCDD9A547718}"/>
    <cellStyle name="40% - Accent6 3 17" xfId="20924" xr:uid="{6D699764-060E-45EC-8206-6717509B396C}"/>
    <cellStyle name="40% - Accent6 3 18" xfId="22814" xr:uid="{63FCC655-9209-463E-A801-6B4EE3F37443}"/>
    <cellStyle name="40% - Accent6 3 19" xfId="24704" xr:uid="{AD90596C-F0EC-4268-9682-101FC93E3A37}"/>
    <cellStyle name="40% - Accent6 3 2" xfId="239" xr:uid="{58D28B2D-DC32-4179-B3F9-B1F8551EC23E}"/>
    <cellStyle name="40% - Accent6 3 2 10" xfId="9689" xr:uid="{E2DAB182-6A7F-4652-A9B1-3882272B8146}"/>
    <cellStyle name="40% - Accent6 3 2 11" xfId="11579" xr:uid="{58DAED5A-9E26-4DFB-9D20-18A219301DF7}"/>
    <cellStyle name="40% - Accent6 3 2 12" xfId="13469" xr:uid="{5F684866-B85B-499F-B1A3-9DAAC92FFF37}"/>
    <cellStyle name="40% - Accent6 3 2 13" xfId="15359" xr:uid="{524DDE07-2988-4F29-B16C-89A3C265D626}"/>
    <cellStyle name="40% - Accent6 3 2 14" xfId="17249" xr:uid="{6525FA96-A9A9-46FC-8AD6-71D8F1DF54F7}"/>
    <cellStyle name="40% - Accent6 3 2 15" xfId="19139" xr:uid="{3A3F0977-E5A3-43EB-BAFC-BAC5BD59BA89}"/>
    <cellStyle name="40% - Accent6 3 2 16" xfId="21029" xr:uid="{1D4025E6-B154-42EE-AEC7-D88B1285097B}"/>
    <cellStyle name="40% - Accent6 3 2 17" xfId="22919" xr:uid="{5F0F4A36-FE4E-4892-88D7-4A38E89D05C0}"/>
    <cellStyle name="40% - Accent6 3 2 18" xfId="24809" xr:uid="{153A81D2-DF2C-44EC-B3E9-88CB85861128}"/>
    <cellStyle name="40% - Accent6 3 2 19" xfId="26699" xr:uid="{F37D019C-F588-4B7B-BF86-956D50E33110}"/>
    <cellStyle name="40% - Accent6 3 2 2" xfId="449" xr:uid="{08165586-E998-4F10-A723-C6AE67028049}"/>
    <cellStyle name="40% - Accent6 3 2 2 10" xfId="13679" xr:uid="{520757E6-FEDF-48B9-8A72-F1234970E1A4}"/>
    <cellStyle name="40% - Accent6 3 2 2 11" xfId="15569" xr:uid="{197C90BA-0BDD-4AD1-9F8C-84B468737EF7}"/>
    <cellStyle name="40% - Accent6 3 2 2 12" xfId="17459" xr:uid="{A63F0D63-87B5-49C2-B680-B920A86F25F0}"/>
    <cellStyle name="40% - Accent6 3 2 2 13" xfId="19349" xr:uid="{7AB60205-8405-46A6-B6A4-995DDB7FE0F4}"/>
    <cellStyle name="40% - Accent6 3 2 2 14" xfId="21239" xr:uid="{D9F090AA-F7D5-4DAA-B385-7E856829DEE3}"/>
    <cellStyle name="40% - Accent6 3 2 2 15" xfId="23129" xr:uid="{946E62FF-D35C-4BFC-9946-E40DAA794F64}"/>
    <cellStyle name="40% - Accent6 3 2 2 16" xfId="25019" xr:uid="{F18B61A3-1E54-4A1B-BE4F-47B9DEA33843}"/>
    <cellStyle name="40% - Accent6 3 2 2 17" xfId="26909" xr:uid="{38E9DDCA-FAB7-4C87-9050-5FA25C436433}"/>
    <cellStyle name="40% - Accent6 3 2 2 18" xfId="28799" xr:uid="{370389FC-642F-483C-8EB6-ABD098EBEA0E}"/>
    <cellStyle name="40% - Accent6 3 2 2 19" xfId="30689" xr:uid="{D638EDB9-E46A-447A-8F4B-320CF93A8E9D}"/>
    <cellStyle name="40% - Accent6 3 2 2 2" xfId="1079" xr:uid="{DCD2EBA9-B3CF-4056-A8CB-154FD6D092CF}"/>
    <cellStyle name="40% - Accent6 3 2 2 2 10" xfId="18089" xr:uid="{858532D9-83B0-4277-BE3A-3DA2B138A843}"/>
    <cellStyle name="40% - Accent6 3 2 2 2 11" xfId="19979" xr:uid="{945B37CB-FB3F-4468-9BB4-0463B8F82FD6}"/>
    <cellStyle name="40% - Accent6 3 2 2 2 12" xfId="21869" xr:uid="{9E7CD80B-969A-46E1-A557-4A1489A71ABB}"/>
    <cellStyle name="40% - Accent6 3 2 2 2 13" xfId="23759" xr:uid="{5D1086C7-5319-4B46-BD0B-F75902F4E43E}"/>
    <cellStyle name="40% - Accent6 3 2 2 2 14" xfId="25649" xr:uid="{8796300E-02BB-4D5B-A96A-56B04CE7C677}"/>
    <cellStyle name="40% - Accent6 3 2 2 2 15" xfId="27539" xr:uid="{9DF1E804-ACDE-4D87-944A-C38FE59A53B8}"/>
    <cellStyle name="40% - Accent6 3 2 2 2 16" xfId="29429" xr:uid="{9D2090AC-2CEB-466C-BF7E-B343182D7AEC}"/>
    <cellStyle name="40% - Accent6 3 2 2 2 17" xfId="31319" xr:uid="{B04A9D4B-5725-4F86-934D-2868A7C77E46}"/>
    <cellStyle name="40% - Accent6 3 2 2 2 18" xfId="33209" xr:uid="{8C55D2AD-75A3-4D75-AB98-0F6E7482FE86}"/>
    <cellStyle name="40% - Accent6 3 2 2 2 19" xfId="35099" xr:uid="{07BEE5A9-9474-4697-A560-11DCE1CCAFF1}"/>
    <cellStyle name="40% - Accent6 3 2 2 2 2" xfId="2969" xr:uid="{47BF5FFD-972B-4BF8-A575-13F3DCAC591C}"/>
    <cellStyle name="40% - Accent6 3 2 2 2 20" xfId="36989" xr:uid="{2A5B54E3-AD74-4C93-AADD-A1CC05244836}"/>
    <cellStyle name="40% - Accent6 3 2 2 2 21" xfId="38879" xr:uid="{33B8B646-B373-421B-939D-B52C73D718C7}"/>
    <cellStyle name="40% - Accent6 3 2 2 2 22" xfId="40770" xr:uid="{51C84532-F939-4B08-A724-EE199DF9306A}"/>
    <cellStyle name="40% - Accent6 3 2 2 2 3" xfId="4859" xr:uid="{BD378950-17AD-4763-A305-8D9F974B5AD5}"/>
    <cellStyle name="40% - Accent6 3 2 2 2 4" xfId="6749" xr:uid="{E9B349A0-FE14-4B6D-A7BD-C9001BBB17A7}"/>
    <cellStyle name="40% - Accent6 3 2 2 2 5" xfId="8639" xr:uid="{AF2D8144-C41B-4782-9460-45139A2412AF}"/>
    <cellStyle name="40% - Accent6 3 2 2 2 6" xfId="10529" xr:uid="{F9CD6A89-B56B-4D2D-A256-7D2863CB3FEA}"/>
    <cellStyle name="40% - Accent6 3 2 2 2 7" xfId="12419" xr:uid="{CE4C8A58-A98E-49B8-A875-6D1E6B83E2FB}"/>
    <cellStyle name="40% - Accent6 3 2 2 2 8" xfId="14309" xr:uid="{0CDFC546-9500-4D89-87BC-0C68D3F20049}"/>
    <cellStyle name="40% - Accent6 3 2 2 2 9" xfId="16199" xr:uid="{1875329D-D5ED-438C-8B84-A4BA4185087E}"/>
    <cellStyle name="40% - Accent6 3 2 2 20" xfId="32579" xr:uid="{DA096E59-DC85-4420-92A3-4530E19B0959}"/>
    <cellStyle name="40% - Accent6 3 2 2 21" xfId="34469" xr:uid="{D65A982C-FFFE-4047-A4E9-E8670DF7609E}"/>
    <cellStyle name="40% - Accent6 3 2 2 22" xfId="36359" xr:uid="{E0AD5A82-0F88-41A3-8FF5-662858A4118B}"/>
    <cellStyle name="40% - Accent6 3 2 2 23" xfId="38249" xr:uid="{F049606C-4E42-4F94-9E4E-5E4CC52B0544}"/>
    <cellStyle name="40% - Accent6 3 2 2 24" xfId="40140" xr:uid="{B79EEBDC-AC07-46F9-B81D-BF837D35E300}"/>
    <cellStyle name="40% - Accent6 3 2 2 3" xfId="1709" xr:uid="{6C3B70D9-EC98-4270-83C0-9DA9C9862CDD}"/>
    <cellStyle name="40% - Accent6 3 2 2 3 10" xfId="18719" xr:uid="{7550BE5F-5BCD-4EE6-B3F3-6F8D3B1EB41C}"/>
    <cellStyle name="40% - Accent6 3 2 2 3 11" xfId="20609" xr:uid="{28A132A4-CE91-4A37-ADE5-307D63CAC18C}"/>
    <cellStyle name="40% - Accent6 3 2 2 3 12" xfId="22499" xr:uid="{4BDBD764-3456-41CA-A7B7-4687160B39C5}"/>
    <cellStyle name="40% - Accent6 3 2 2 3 13" xfId="24389" xr:uid="{38650932-D096-4FA3-B677-7A627DEABC2E}"/>
    <cellStyle name="40% - Accent6 3 2 2 3 14" xfId="26279" xr:uid="{4FAFD3B8-957F-4401-A848-52783CAF29B0}"/>
    <cellStyle name="40% - Accent6 3 2 2 3 15" xfId="28169" xr:uid="{553A6486-4802-42C3-BCF5-7524F415FA9F}"/>
    <cellStyle name="40% - Accent6 3 2 2 3 16" xfId="30059" xr:uid="{4B0ECA48-6565-4DF0-A1FC-50D040D1BFC8}"/>
    <cellStyle name="40% - Accent6 3 2 2 3 17" xfId="31949" xr:uid="{E39EB667-830E-49EF-A489-1E9D524C2C5D}"/>
    <cellStyle name="40% - Accent6 3 2 2 3 18" xfId="33839" xr:uid="{263C6A2D-507A-4725-8211-0AB0ECEF616C}"/>
    <cellStyle name="40% - Accent6 3 2 2 3 19" xfId="35729" xr:uid="{D6400085-E316-489D-BCAF-F3D337D58E63}"/>
    <cellStyle name="40% - Accent6 3 2 2 3 2" xfId="3599" xr:uid="{5130C6D1-206B-4DBC-B858-73D3AEC2CACA}"/>
    <cellStyle name="40% - Accent6 3 2 2 3 20" xfId="37619" xr:uid="{ABDD1DA2-3CF6-4E3F-B3D7-BD6BC3531B94}"/>
    <cellStyle name="40% - Accent6 3 2 2 3 21" xfId="39509" xr:uid="{A35FBE2D-1049-4D0B-8214-0C98CF3411A4}"/>
    <cellStyle name="40% - Accent6 3 2 2 3 22" xfId="41400" xr:uid="{7E68FA75-4FD0-44E6-876E-63CFFCE2F983}"/>
    <cellStyle name="40% - Accent6 3 2 2 3 3" xfId="5489" xr:uid="{5035AE94-8EBE-42B3-B325-D25E8BEB0AB0}"/>
    <cellStyle name="40% - Accent6 3 2 2 3 4" xfId="7379" xr:uid="{26C092F5-ED0D-4FED-99A9-FB78E7AFD605}"/>
    <cellStyle name="40% - Accent6 3 2 2 3 5" xfId="9269" xr:uid="{C7F081F7-D984-465E-88E4-C7F8966E4030}"/>
    <cellStyle name="40% - Accent6 3 2 2 3 6" xfId="11159" xr:uid="{29486B4D-83D1-43D1-A4C1-4AF510EE71AE}"/>
    <cellStyle name="40% - Accent6 3 2 2 3 7" xfId="13049" xr:uid="{A851B122-688A-4BBF-9149-11CFD9E28EE0}"/>
    <cellStyle name="40% - Accent6 3 2 2 3 8" xfId="14939" xr:uid="{C1A938E9-F63A-41A6-99BC-C5382B6C4ABA}"/>
    <cellStyle name="40% - Accent6 3 2 2 3 9" xfId="16829" xr:uid="{D8D847AE-4052-422F-BADD-F7BFC7A801A4}"/>
    <cellStyle name="40% - Accent6 3 2 2 4" xfId="2339" xr:uid="{2476633E-A5A9-4DA9-AD98-8DF090A4821F}"/>
    <cellStyle name="40% - Accent6 3 2 2 5" xfId="4229" xr:uid="{7388B4FE-5656-4A09-AF89-BA336FE24448}"/>
    <cellStyle name="40% - Accent6 3 2 2 6" xfId="6119" xr:uid="{F45E3C9F-6FED-409E-B49A-2B117C36F78F}"/>
    <cellStyle name="40% - Accent6 3 2 2 7" xfId="8009" xr:uid="{5B1DD855-623C-4714-B36D-31DFE021B893}"/>
    <cellStyle name="40% - Accent6 3 2 2 8" xfId="9899" xr:uid="{9222CF51-BA97-4278-B4ED-305C6CEFA58B}"/>
    <cellStyle name="40% - Accent6 3 2 2 9" xfId="11789" xr:uid="{F62473B0-EA0D-48C9-BBDF-3B15A17DE555}"/>
    <cellStyle name="40% - Accent6 3 2 20" xfId="28589" xr:uid="{F18D4223-B482-4567-8F83-009116EFF5F9}"/>
    <cellStyle name="40% - Accent6 3 2 21" xfId="30479" xr:uid="{D54A925C-FD3B-4E78-9A5D-F3CBD1495E8E}"/>
    <cellStyle name="40% - Accent6 3 2 22" xfId="32369" xr:uid="{845CD9AE-DCA0-45AB-AA6E-B88DFC2ABEA2}"/>
    <cellStyle name="40% - Accent6 3 2 23" xfId="34259" xr:uid="{5BC46BD6-E1DC-4A09-9913-C00C112E5073}"/>
    <cellStyle name="40% - Accent6 3 2 24" xfId="36149" xr:uid="{545D919E-F675-4042-A552-B1BBBEA1C8E7}"/>
    <cellStyle name="40% - Accent6 3 2 25" xfId="38039" xr:uid="{18ABEB84-844E-4FAC-8390-7C8D6A26E9B7}"/>
    <cellStyle name="40% - Accent6 3 2 26" xfId="39930" xr:uid="{8DBB1ED5-6551-44A4-9088-9A28EB138D95}"/>
    <cellStyle name="40% - Accent6 3 2 3" xfId="659" xr:uid="{EBED9877-047C-4890-A9E1-67927D47153A}"/>
    <cellStyle name="40% - Accent6 3 2 3 10" xfId="13889" xr:uid="{A6F5B4FE-5482-40E1-8F2B-BEA563E8D01F}"/>
    <cellStyle name="40% - Accent6 3 2 3 11" xfId="15779" xr:uid="{0CF03B6A-EB31-4742-BA02-6495DBF6F3C8}"/>
    <cellStyle name="40% - Accent6 3 2 3 12" xfId="17669" xr:uid="{53A4ED4C-96A6-4787-BEF9-8894C83864DA}"/>
    <cellStyle name="40% - Accent6 3 2 3 13" xfId="19559" xr:uid="{207A387D-F465-4426-A392-8FB8C7E70D83}"/>
    <cellStyle name="40% - Accent6 3 2 3 14" xfId="21449" xr:uid="{C471F921-76B5-4662-BE82-A7AF08CFB619}"/>
    <cellStyle name="40% - Accent6 3 2 3 15" xfId="23339" xr:uid="{68255832-D37D-4472-B304-3B09C411ED51}"/>
    <cellStyle name="40% - Accent6 3 2 3 16" xfId="25229" xr:uid="{83A477CB-4179-4B77-96C2-3C186B1E3ED9}"/>
    <cellStyle name="40% - Accent6 3 2 3 17" xfId="27119" xr:uid="{D09E00BD-D1F7-4B9E-9243-47BEF78B8717}"/>
    <cellStyle name="40% - Accent6 3 2 3 18" xfId="29009" xr:uid="{DB4AEC3F-CDE0-41CD-ABD0-8AA64D9EFB46}"/>
    <cellStyle name="40% - Accent6 3 2 3 19" xfId="30899" xr:uid="{D65A2DF1-0387-41F7-9AAA-649376F6122B}"/>
    <cellStyle name="40% - Accent6 3 2 3 2" xfId="1289" xr:uid="{023F5C33-F5DC-4EE6-A0AC-75A8DABF4CBB}"/>
    <cellStyle name="40% - Accent6 3 2 3 2 10" xfId="18299" xr:uid="{206A5C3D-D1CD-43A8-B91F-5360EE957FF5}"/>
    <cellStyle name="40% - Accent6 3 2 3 2 11" xfId="20189" xr:uid="{FEF7E1BE-878A-48A1-BB89-8166AC1DE632}"/>
    <cellStyle name="40% - Accent6 3 2 3 2 12" xfId="22079" xr:uid="{75DB1E08-BA69-4B28-8EC3-3DD506209B0F}"/>
    <cellStyle name="40% - Accent6 3 2 3 2 13" xfId="23969" xr:uid="{03EA79B3-2049-4A9C-91DD-576985BA4EA8}"/>
    <cellStyle name="40% - Accent6 3 2 3 2 14" xfId="25859" xr:uid="{C2340495-3769-42A3-94F0-38C920DD3E84}"/>
    <cellStyle name="40% - Accent6 3 2 3 2 15" xfId="27749" xr:uid="{2B8A9913-12D7-4F9A-9CA8-B2FF59DCE1DC}"/>
    <cellStyle name="40% - Accent6 3 2 3 2 16" xfId="29639" xr:uid="{5B43444E-6BA7-40A0-91F3-B76DEBCBB894}"/>
    <cellStyle name="40% - Accent6 3 2 3 2 17" xfId="31529" xr:uid="{D22C1FC4-52B1-4C2D-8B9E-01A78B7429EC}"/>
    <cellStyle name="40% - Accent6 3 2 3 2 18" xfId="33419" xr:uid="{7163F183-DE0A-4451-B463-865829A581BB}"/>
    <cellStyle name="40% - Accent6 3 2 3 2 19" xfId="35309" xr:uid="{B59B0575-20CA-4C8B-AB06-BC2AE4BD273C}"/>
    <cellStyle name="40% - Accent6 3 2 3 2 2" xfId="3179" xr:uid="{E69D6C19-DE7B-4ABC-94A5-8064D363DF9A}"/>
    <cellStyle name="40% - Accent6 3 2 3 2 20" xfId="37199" xr:uid="{A1C2D9B9-FBF1-40ED-AC44-5049D51039CA}"/>
    <cellStyle name="40% - Accent6 3 2 3 2 21" xfId="39089" xr:uid="{11543658-73F5-4A38-A95B-DBEEF173BB8C}"/>
    <cellStyle name="40% - Accent6 3 2 3 2 22" xfId="40980" xr:uid="{32F5407E-4E63-4CF9-B516-19BF0FDFA18C}"/>
    <cellStyle name="40% - Accent6 3 2 3 2 3" xfId="5069" xr:uid="{6B0062B3-4E53-4347-B26F-08343BFE7F5F}"/>
    <cellStyle name="40% - Accent6 3 2 3 2 4" xfId="6959" xr:uid="{0F8214D9-399C-4398-A8B2-1EA3923FBD29}"/>
    <cellStyle name="40% - Accent6 3 2 3 2 5" xfId="8849" xr:uid="{4662FA9C-98CA-4538-B78C-62EA081071CD}"/>
    <cellStyle name="40% - Accent6 3 2 3 2 6" xfId="10739" xr:uid="{D42100C4-002F-4395-A65C-4099291343EE}"/>
    <cellStyle name="40% - Accent6 3 2 3 2 7" xfId="12629" xr:uid="{D3B45431-5C9C-42FB-830C-D49CEA70FD01}"/>
    <cellStyle name="40% - Accent6 3 2 3 2 8" xfId="14519" xr:uid="{416317DE-FBB9-45E8-AB9B-29E85E76EB00}"/>
    <cellStyle name="40% - Accent6 3 2 3 2 9" xfId="16409" xr:uid="{EA9F4308-4DA6-49E9-9926-E48A376FA0FE}"/>
    <cellStyle name="40% - Accent6 3 2 3 20" xfId="32789" xr:uid="{DFDFBBC8-3828-4905-A021-9261AF5FCADC}"/>
    <cellStyle name="40% - Accent6 3 2 3 21" xfId="34679" xr:uid="{CFC67D0D-E5F7-475B-9CB0-01D96BDB9E61}"/>
    <cellStyle name="40% - Accent6 3 2 3 22" xfId="36569" xr:uid="{02EDBC24-A7B6-497E-A117-FE4D66427E47}"/>
    <cellStyle name="40% - Accent6 3 2 3 23" xfId="38459" xr:uid="{871F9BFC-C7B6-477B-A1CF-F1AA09F22547}"/>
    <cellStyle name="40% - Accent6 3 2 3 24" xfId="40350" xr:uid="{8E405669-1F67-41C1-BEE3-5DFE840A188F}"/>
    <cellStyle name="40% - Accent6 3 2 3 3" xfId="1919" xr:uid="{DC8BA7D9-8C47-4C80-9FA6-30E4F08760CD}"/>
    <cellStyle name="40% - Accent6 3 2 3 3 10" xfId="18929" xr:uid="{EAEBCD03-BC07-44D3-A9BA-55F05B79B37D}"/>
    <cellStyle name="40% - Accent6 3 2 3 3 11" xfId="20819" xr:uid="{00CA9E90-AD95-4EC0-85A8-92BDEBF9E846}"/>
    <cellStyle name="40% - Accent6 3 2 3 3 12" xfId="22709" xr:uid="{E10C3A01-425E-489D-99B6-892061EDC414}"/>
    <cellStyle name="40% - Accent6 3 2 3 3 13" xfId="24599" xr:uid="{5A633738-DD54-45BA-9DA4-39F89DF13769}"/>
    <cellStyle name="40% - Accent6 3 2 3 3 14" xfId="26489" xr:uid="{8E6E8C70-747B-4794-A0AE-3A99A2E38170}"/>
    <cellStyle name="40% - Accent6 3 2 3 3 15" xfId="28379" xr:uid="{98B7AAA0-62D7-445F-8D27-9B88A143815A}"/>
    <cellStyle name="40% - Accent6 3 2 3 3 16" xfId="30269" xr:uid="{8C036982-58D0-42E0-8FE8-C63442AE1758}"/>
    <cellStyle name="40% - Accent6 3 2 3 3 17" xfId="32159" xr:uid="{B857A5AC-6D6D-442D-B1EE-86229A645A84}"/>
    <cellStyle name="40% - Accent6 3 2 3 3 18" xfId="34049" xr:uid="{34B8F64A-5200-4C07-9AF2-03A43D73BCE6}"/>
    <cellStyle name="40% - Accent6 3 2 3 3 19" xfId="35939" xr:uid="{A56C3431-57D2-476A-BFAB-15878CCE4AD0}"/>
    <cellStyle name="40% - Accent6 3 2 3 3 2" xfId="3809" xr:uid="{11EF7CC4-A5BC-4F3E-A572-01393CBA0977}"/>
    <cellStyle name="40% - Accent6 3 2 3 3 20" xfId="37829" xr:uid="{11FD0A00-EC13-4F35-A14E-2348BC660610}"/>
    <cellStyle name="40% - Accent6 3 2 3 3 21" xfId="39719" xr:uid="{91EF10E3-7576-49F6-AF1F-55FF115A3D63}"/>
    <cellStyle name="40% - Accent6 3 2 3 3 22" xfId="41610" xr:uid="{4CF32096-A80E-48C4-A31F-3874A791D61F}"/>
    <cellStyle name="40% - Accent6 3 2 3 3 3" xfId="5699" xr:uid="{5EC75F47-963B-4991-B74A-1BACCBD8911A}"/>
    <cellStyle name="40% - Accent6 3 2 3 3 4" xfId="7589" xr:uid="{BCFF06BF-F298-409E-B013-153E94DCC42F}"/>
    <cellStyle name="40% - Accent6 3 2 3 3 5" xfId="9479" xr:uid="{394DE862-F933-42A5-84C7-358E334D2F01}"/>
    <cellStyle name="40% - Accent6 3 2 3 3 6" xfId="11369" xr:uid="{B9D4905A-F7AF-41F6-98D5-1F42CA6E13B8}"/>
    <cellStyle name="40% - Accent6 3 2 3 3 7" xfId="13259" xr:uid="{BE635985-9002-4013-8336-11EACBFD9A41}"/>
    <cellStyle name="40% - Accent6 3 2 3 3 8" xfId="15149" xr:uid="{1C1AC5C4-84E5-4193-AC8A-D9A67BBD0859}"/>
    <cellStyle name="40% - Accent6 3 2 3 3 9" xfId="17039" xr:uid="{2F213486-48F3-4A15-ABF4-85ABAF5BD2D9}"/>
    <cellStyle name="40% - Accent6 3 2 3 4" xfId="2549" xr:uid="{0B4E0411-8331-4124-B7EC-A0925E6E42F9}"/>
    <cellStyle name="40% - Accent6 3 2 3 5" xfId="4439" xr:uid="{74B0E320-84F6-4BF1-9F4C-3022B3FFF181}"/>
    <cellStyle name="40% - Accent6 3 2 3 6" xfId="6329" xr:uid="{58D412CC-F9EB-44B8-BAF1-1EBC632F6938}"/>
    <cellStyle name="40% - Accent6 3 2 3 7" xfId="8219" xr:uid="{EBE70F4C-4ADF-4773-B43A-FDDF454058B2}"/>
    <cellStyle name="40% - Accent6 3 2 3 8" xfId="10109" xr:uid="{010B80FC-1DBD-404B-88BB-A7E4443E16B9}"/>
    <cellStyle name="40% - Accent6 3 2 3 9" xfId="11999" xr:uid="{0B9BD3AA-6E61-422A-B1DD-A842517FBD95}"/>
    <cellStyle name="40% - Accent6 3 2 4" xfId="869" xr:uid="{60E8A46E-DF9D-4EB8-9BF7-732671E459E4}"/>
    <cellStyle name="40% - Accent6 3 2 4 10" xfId="17879" xr:uid="{9C3358EE-0447-4524-88FC-643E56C1D3AE}"/>
    <cellStyle name="40% - Accent6 3 2 4 11" xfId="19769" xr:uid="{0B794EF1-D4D7-4D61-B9B2-9B5DAC6F8147}"/>
    <cellStyle name="40% - Accent6 3 2 4 12" xfId="21659" xr:uid="{C338F804-CB4F-4C3F-B81C-0A7ED2CCABC5}"/>
    <cellStyle name="40% - Accent6 3 2 4 13" xfId="23549" xr:uid="{181959FE-5C19-4347-8B40-13464029567B}"/>
    <cellStyle name="40% - Accent6 3 2 4 14" xfId="25439" xr:uid="{E206D7A1-7DAF-4BA5-BAC4-EFF21F7CB2E5}"/>
    <cellStyle name="40% - Accent6 3 2 4 15" xfId="27329" xr:uid="{13A9C10A-45B2-4C0B-9A6E-F18D744611AF}"/>
    <cellStyle name="40% - Accent6 3 2 4 16" xfId="29219" xr:uid="{BE14AB3C-D88F-4399-BE63-F676C860B043}"/>
    <cellStyle name="40% - Accent6 3 2 4 17" xfId="31109" xr:uid="{DB49BEEC-5142-4CEF-8B28-6F414628EBF9}"/>
    <cellStyle name="40% - Accent6 3 2 4 18" xfId="32999" xr:uid="{54BB1755-A097-42D1-9F72-9D773A184C73}"/>
    <cellStyle name="40% - Accent6 3 2 4 19" xfId="34889" xr:uid="{9771B4B1-BF87-456B-90F4-F9DF1897814C}"/>
    <cellStyle name="40% - Accent6 3 2 4 2" xfId="2759" xr:uid="{DE150F56-0CED-46E3-B90E-5AEF931F87F3}"/>
    <cellStyle name="40% - Accent6 3 2 4 20" xfId="36779" xr:uid="{00DB46BB-51B1-454F-8C35-5E72F3949EF8}"/>
    <cellStyle name="40% - Accent6 3 2 4 21" xfId="38669" xr:uid="{7CA9D1D4-83DE-4ABA-85A5-A6DCBDD3D476}"/>
    <cellStyle name="40% - Accent6 3 2 4 22" xfId="40560" xr:uid="{92D75743-92A6-4B77-A597-6367D442D3E8}"/>
    <cellStyle name="40% - Accent6 3 2 4 3" xfId="4649" xr:uid="{FEB96A30-184C-42C3-AEDB-03F9CE1F9A3D}"/>
    <cellStyle name="40% - Accent6 3 2 4 4" xfId="6539" xr:uid="{010AE412-988F-4BC8-91B6-AF60E519CE06}"/>
    <cellStyle name="40% - Accent6 3 2 4 5" xfId="8429" xr:uid="{7827FBC7-25F2-4CCD-A107-C251B7A629B2}"/>
    <cellStyle name="40% - Accent6 3 2 4 6" xfId="10319" xr:uid="{BAC60E6D-BF9E-4F10-85F7-B1C02C921D7E}"/>
    <cellStyle name="40% - Accent6 3 2 4 7" xfId="12209" xr:uid="{E1B38DB0-994F-4CAA-A6C1-2338C021B348}"/>
    <cellStyle name="40% - Accent6 3 2 4 8" xfId="14099" xr:uid="{2FD9D10E-D81E-4D13-A0A6-5FE2043D4BE8}"/>
    <cellStyle name="40% - Accent6 3 2 4 9" xfId="15989" xr:uid="{E6018DD9-C6BE-40B9-A4F7-D1984C8B01BB}"/>
    <cellStyle name="40% - Accent6 3 2 5" xfId="1499" xr:uid="{43D731F3-BE1E-436C-8AE5-93176CC4BB44}"/>
    <cellStyle name="40% - Accent6 3 2 5 10" xfId="18509" xr:uid="{B2C5743D-BF0D-48C8-98AB-8B0D16938279}"/>
    <cellStyle name="40% - Accent6 3 2 5 11" xfId="20399" xr:uid="{DDDEB10A-25F7-4D5B-A55A-5D677AED6900}"/>
    <cellStyle name="40% - Accent6 3 2 5 12" xfId="22289" xr:uid="{EB557EC8-FA24-4A8E-85CC-DF6B725D626B}"/>
    <cellStyle name="40% - Accent6 3 2 5 13" xfId="24179" xr:uid="{C8DEEB44-78B8-4E06-A574-E88E706F01BE}"/>
    <cellStyle name="40% - Accent6 3 2 5 14" xfId="26069" xr:uid="{6A1ED3BF-D966-41C3-8885-2733D6AA3137}"/>
    <cellStyle name="40% - Accent6 3 2 5 15" xfId="27959" xr:uid="{4ACF6D9C-B2BE-401A-BFB2-5D226FAA15DF}"/>
    <cellStyle name="40% - Accent6 3 2 5 16" xfId="29849" xr:uid="{1427B389-ABFF-4516-8A51-DAABC98E93FF}"/>
    <cellStyle name="40% - Accent6 3 2 5 17" xfId="31739" xr:uid="{F76EB6E2-542D-4441-8AFF-7C4FDEF08C75}"/>
    <cellStyle name="40% - Accent6 3 2 5 18" xfId="33629" xr:uid="{F32D2AED-DE1A-4311-AD2E-E3B457F100E1}"/>
    <cellStyle name="40% - Accent6 3 2 5 19" xfId="35519" xr:uid="{F25659DE-B9DB-4AAC-8252-8714CF5D48C3}"/>
    <cellStyle name="40% - Accent6 3 2 5 2" xfId="3389" xr:uid="{CF691102-E071-4587-BD2F-74FD7909A688}"/>
    <cellStyle name="40% - Accent6 3 2 5 20" xfId="37409" xr:uid="{18170622-A336-4311-AACD-4E77E3DAD17A}"/>
    <cellStyle name="40% - Accent6 3 2 5 21" xfId="39299" xr:uid="{E0CE221A-BF8C-494F-B1C6-6AD2E407A68C}"/>
    <cellStyle name="40% - Accent6 3 2 5 22" xfId="41190" xr:uid="{42110D81-9103-4EFE-81A3-B99EEC06429D}"/>
    <cellStyle name="40% - Accent6 3 2 5 3" xfId="5279" xr:uid="{093C238C-40A4-416B-8C57-BA0CD08096C4}"/>
    <cellStyle name="40% - Accent6 3 2 5 4" xfId="7169" xr:uid="{719CE1C3-4319-4FF4-826C-B963F3101463}"/>
    <cellStyle name="40% - Accent6 3 2 5 5" xfId="9059" xr:uid="{C7048E52-172B-4EFE-8472-1077344CDC3E}"/>
    <cellStyle name="40% - Accent6 3 2 5 6" xfId="10949" xr:uid="{ABE0653F-FAD7-4E98-9759-443CE97B3538}"/>
    <cellStyle name="40% - Accent6 3 2 5 7" xfId="12839" xr:uid="{9F7F0E40-9E16-40E7-9765-7C33EE9663AB}"/>
    <cellStyle name="40% - Accent6 3 2 5 8" xfId="14729" xr:uid="{FEAA275A-D834-40EF-AE4F-3E1EE1687AC5}"/>
    <cellStyle name="40% - Accent6 3 2 5 9" xfId="16619" xr:uid="{F2977872-0775-44BE-95FF-2FAB828686B7}"/>
    <cellStyle name="40% - Accent6 3 2 6" xfId="2129" xr:uid="{9AD269D4-39FB-45E0-8443-D3146248A61F}"/>
    <cellStyle name="40% - Accent6 3 2 7" xfId="4019" xr:uid="{AC2DAA2C-26D4-487C-AC73-C51389812755}"/>
    <cellStyle name="40% - Accent6 3 2 8" xfId="5909" xr:uid="{373C2FA1-1D3B-4F02-BFC2-0CC88078B1F7}"/>
    <cellStyle name="40% - Accent6 3 2 9" xfId="7799" xr:uid="{F2220CBF-A877-44F3-8226-C95EA68E5D48}"/>
    <cellStyle name="40% - Accent6 3 20" xfId="26594" xr:uid="{87EBC6E7-4E7B-4D22-A2F5-61695109CC4A}"/>
    <cellStyle name="40% - Accent6 3 21" xfId="28484" xr:uid="{07D620EA-158A-410B-B140-7E036EB3A244}"/>
    <cellStyle name="40% - Accent6 3 22" xfId="30374" xr:uid="{5EEA4047-1E10-4A0C-A6C0-E9FC2D0578AB}"/>
    <cellStyle name="40% - Accent6 3 23" xfId="32264" xr:uid="{95427BAE-D31F-4437-A5D8-D01677D87E6D}"/>
    <cellStyle name="40% - Accent6 3 24" xfId="34154" xr:uid="{29356106-A73D-4641-A194-D97EFF54DD8D}"/>
    <cellStyle name="40% - Accent6 3 25" xfId="36044" xr:uid="{4B43A0CC-9EA1-4F8C-B5B5-AB879FB659CF}"/>
    <cellStyle name="40% - Accent6 3 26" xfId="37934" xr:uid="{4D25BF8E-ADB3-485D-A994-23A69E0D90BB}"/>
    <cellStyle name="40% - Accent6 3 27" xfId="39825" xr:uid="{C1198E92-76F4-4291-9B48-D392FB29BB71}"/>
    <cellStyle name="40% - Accent6 3 3" xfId="344" xr:uid="{18E67B24-BA87-40A2-AA38-4D0CD4219B26}"/>
    <cellStyle name="40% - Accent6 3 3 10" xfId="13574" xr:uid="{63E1F9A0-9FA5-4551-92E0-8447F1CCC093}"/>
    <cellStyle name="40% - Accent6 3 3 11" xfId="15464" xr:uid="{DB78A927-9368-4BCD-8692-8A120B93AC07}"/>
    <cellStyle name="40% - Accent6 3 3 12" xfId="17354" xr:uid="{F9769FCD-3A72-417B-BDDF-7B2D109C87F4}"/>
    <cellStyle name="40% - Accent6 3 3 13" xfId="19244" xr:uid="{29717485-93B3-414A-981F-9784BD7CDCA1}"/>
    <cellStyle name="40% - Accent6 3 3 14" xfId="21134" xr:uid="{416D6325-50E6-4C01-9AC2-1D203D276940}"/>
    <cellStyle name="40% - Accent6 3 3 15" xfId="23024" xr:uid="{F036E350-B058-4007-AEDC-49245060C1C7}"/>
    <cellStyle name="40% - Accent6 3 3 16" xfId="24914" xr:uid="{BBA6F916-F5B3-423C-B522-E397EADE436B}"/>
    <cellStyle name="40% - Accent6 3 3 17" xfId="26804" xr:uid="{70F605C2-7464-46D0-9BEF-8607989D5584}"/>
    <cellStyle name="40% - Accent6 3 3 18" xfId="28694" xr:uid="{AD77BCBA-7F15-4FBE-88F2-034DA3F78344}"/>
    <cellStyle name="40% - Accent6 3 3 19" xfId="30584" xr:uid="{292DE543-98FC-49B1-8717-475E2C02E5F5}"/>
    <cellStyle name="40% - Accent6 3 3 2" xfId="974" xr:uid="{41F364D1-0AC8-4333-BB33-CD03C13E2EE2}"/>
    <cellStyle name="40% - Accent6 3 3 2 10" xfId="17984" xr:uid="{81D14C16-0F7B-4814-A1DB-8B146C09CF51}"/>
    <cellStyle name="40% - Accent6 3 3 2 11" xfId="19874" xr:uid="{E2ED89FA-3B42-4C5D-96CC-0A8DC362B547}"/>
    <cellStyle name="40% - Accent6 3 3 2 12" xfId="21764" xr:uid="{057FB121-2D45-46BE-AEB9-6D03D201C4EA}"/>
    <cellStyle name="40% - Accent6 3 3 2 13" xfId="23654" xr:uid="{7A1620D6-7D86-4334-98D5-FB7B2F8EA7AB}"/>
    <cellStyle name="40% - Accent6 3 3 2 14" xfId="25544" xr:uid="{26E56BBA-2C09-41EE-B267-5416802F6E56}"/>
    <cellStyle name="40% - Accent6 3 3 2 15" xfId="27434" xr:uid="{E9E1DDA4-6CBF-4509-945A-2ACA5AE8B063}"/>
    <cellStyle name="40% - Accent6 3 3 2 16" xfId="29324" xr:uid="{C9ECD278-94A3-4FBC-8424-ACE277C990EA}"/>
    <cellStyle name="40% - Accent6 3 3 2 17" xfId="31214" xr:uid="{B2AC9722-4FDB-470E-9169-91F8FE556443}"/>
    <cellStyle name="40% - Accent6 3 3 2 18" xfId="33104" xr:uid="{2DD99CD4-4E1E-49E8-BEB1-506B1B1FDA20}"/>
    <cellStyle name="40% - Accent6 3 3 2 19" xfId="34994" xr:uid="{BE670829-85E3-4056-BFBB-BD54F193A264}"/>
    <cellStyle name="40% - Accent6 3 3 2 2" xfId="2864" xr:uid="{155E603F-0EBC-492F-B2E5-88F51D9FBC7F}"/>
    <cellStyle name="40% - Accent6 3 3 2 20" xfId="36884" xr:uid="{BA55FE96-5DF3-4C81-AD79-C24B5717CB6B}"/>
    <cellStyle name="40% - Accent6 3 3 2 21" xfId="38774" xr:uid="{ED7A53B9-897E-4B7E-8F3B-65785A9B325B}"/>
    <cellStyle name="40% - Accent6 3 3 2 22" xfId="40665" xr:uid="{735ABDF4-D33C-4AB8-95B3-DEE6FD126EDA}"/>
    <cellStyle name="40% - Accent6 3 3 2 3" xfId="4754" xr:uid="{F531B565-FE19-4158-8A96-7E3F8E17ED9E}"/>
    <cellStyle name="40% - Accent6 3 3 2 4" xfId="6644" xr:uid="{4344C2D1-D683-434A-8B61-DEA1933D75FE}"/>
    <cellStyle name="40% - Accent6 3 3 2 5" xfId="8534" xr:uid="{E9B53D99-2533-47B5-A96D-5546985EA903}"/>
    <cellStyle name="40% - Accent6 3 3 2 6" xfId="10424" xr:uid="{9E34C70F-A782-4326-A312-F7D83CF52BD7}"/>
    <cellStyle name="40% - Accent6 3 3 2 7" xfId="12314" xr:uid="{0FDB15BF-0DDB-4E04-98ED-99BACAF29590}"/>
    <cellStyle name="40% - Accent6 3 3 2 8" xfId="14204" xr:uid="{0A52462C-5BAA-4E3B-9324-F61F8C6DAF04}"/>
    <cellStyle name="40% - Accent6 3 3 2 9" xfId="16094" xr:uid="{AE8ED737-DA13-429A-BFAA-68370128A7C1}"/>
    <cellStyle name="40% - Accent6 3 3 20" xfId="32474" xr:uid="{CDFCE84F-B4A4-4A9A-BA5E-7A720FC14DB4}"/>
    <cellStyle name="40% - Accent6 3 3 21" xfId="34364" xr:uid="{2B359162-1A6A-475F-91FE-ECEB8939C1BC}"/>
    <cellStyle name="40% - Accent6 3 3 22" xfId="36254" xr:uid="{D0C975A6-1AB8-4AEC-B5EC-AF0B6D64CB52}"/>
    <cellStyle name="40% - Accent6 3 3 23" xfId="38144" xr:uid="{53FD1606-86D7-4E2C-B26A-F768D0C44BB0}"/>
    <cellStyle name="40% - Accent6 3 3 24" xfId="40035" xr:uid="{4CFC5E0A-A5D0-4FD2-B7A6-F52B62078C6A}"/>
    <cellStyle name="40% - Accent6 3 3 3" xfId="1604" xr:uid="{CB1B53EB-ACEC-4145-A440-EC85BBF26E40}"/>
    <cellStyle name="40% - Accent6 3 3 3 10" xfId="18614" xr:uid="{62E5314F-BDF5-48B5-8C5A-EA584595D582}"/>
    <cellStyle name="40% - Accent6 3 3 3 11" xfId="20504" xr:uid="{B5C7E3F0-3FF4-4D07-B63D-6FA5475215EF}"/>
    <cellStyle name="40% - Accent6 3 3 3 12" xfId="22394" xr:uid="{A8B080E5-CD06-4815-8816-A681A3E8243C}"/>
    <cellStyle name="40% - Accent6 3 3 3 13" xfId="24284" xr:uid="{E19904C5-A6A5-4C27-9066-FE4FD2568C13}"/>
    <cellStyle name="40% - Accent6 3 3 3 14" xfId="26174" xr:uid="{B880C2B7-4AEA-442F-9EF2-5F97FBACEBDF}"/>
    <cellStyle name="40% - Accent6 3 3 3 15" xfId="28064" xr:uid="{D0E4231B-72D0-43E7-B1CF-0248EE1F9104}"/>
    <cellStyle name="40% - Accent6 3 3 3 16" xfId="29954" xr:uid="{BC912E44-E936-43B9-9442-9A21C84CD387}"/>
    <cellStyle name="40% - Accent6 3 3 3 17" xfId="31844" xr:uid="{A0F2BABA-977B-448D-8FC9-BF7B3A2A0B42}"/>
    <cellStyle name="40% - Accent6 3 3 3 18" xfId="33734" xr:uid="{7CBCF502-18A2-4515-A6FD-16F59E1463DE}"/>
    <cellStyle name="40% - Accent6 3 3 3 19" xfId="35624" xr:uid="{E323C594-05E2-43EA-9FC6-2BD870844BE3}"/>
    <cellStyle name="40% - Accent6 3 3 3 2" xfId="3494" xr:uid="{FC722C51-4BE4-4965-B2BD-796D5A00C13D}"/>
    <cellStyle name="40% - Accent6 3 3 3 20" xfId="37514" xr:uid="{00B71503-3791-4344-9CBA-CB6AB4FF3358}"/>
    <cellStyle name="40% - Accent6 3 3 3 21" xfId="39404" xr:uid="{C014BE6D-F265-4B25-B28D-7DC8F88C1945}"/>
    <cellStyle name="40% - Accent6 3 3 3 22" xfId="41295" xr:uid="{3A0DD4DF-34E8-4A96-9336-F267B578A5EB}"/>
    <cellStyle name="40% - Accent6 3 3 3 3" xfId="5384" xr:uid="{F029E7C9-E5D9-4D34-8FB5-7DF2AE634ACC}"/>
    <cellStyle name="40% - Accent6 3 3 3 4" xfId="7274" xr:uid="{33002837-A896-438C-A6D6-7C42E42057D6}"/>
    <cellStyle name="40% - Accent6 3 3 3 5" xfId="9164" xr:uid="{AD65987B-3BBD-47D9-AA82-57AE1B61E46A}"/>
    <cellStyle name="40% - Accent6 3 3 3 6" xfId="11054" xr:uid="{2291680D-1B41-4F0A-83A0-B5DB7CF65396}"/>
    <cellStyle name="40% - Accent6 3 3 3 7" xfId="12944" xr:uid="{DA69F265-964E-4044-B90A-8D6F80F42FE3}"/>
    <cellStyle name="40% - Accent6 3 3 3 8" xfId="14834" xr:uid="{EE947AD8-13DD-491F-8A0B-CBF0C0B35A46}"/>
    <cellStyle name="40% - Accent6 3 3 3 9" xfId="16724" xr:uid="{C09C9BCD-3294-4DB8-B1FD-99FECF5F9A83}"/>
    <cellStyle name="40% - Accent6 3 3 4" xfId="2234" xr:uid="{EB5D555F-5EC9-44F5-9473-FFB9DD780E00}"/>
    <cellStyle name="40% - Accent6 3 3 5" xfId="4124" xr:uid="{E17DBA19-DBB3-4587-9892-8EFCCB9FD7C3}"/>
    <cellStyle name="40% - Accent6 3 3 6" xfId="6014" xr:uid="{4CDBA632-B156-403E-83C4-6AE368199872}"/>
    <cellStyle name="40% - Accent6 3 3 7" xfId="7904" xr:uid="{A75FC9DF-38AC-4267-BE54-0AABB1E956CA}"/>
    <cellStyle name="40% - Accent6 3 3 8" xfId="9794" xr:uid="{7EAEF9EC-088F-4798-B1AB-019D8669409A}"/>
    <cellStyle name="40% - Accent6 3 3 9" xfId="11684" xr:uid="{AC368035-57A7-449F-B370-34CD66AC89EF}"/>
    <cellStyle name="40% - Accent6 3 4" xfId="554" xr:uid="{5B447EF5-D837-4778-97BD-7F4F9C39D54D}"/>
    <cellStyle name="40% - Accent6 3 4 10" xfId="13784" xr:uid="{7588366C-F59B-4E94-94B4-F7F59CA19371}"/>
    <cellStyle name="40% - Accent6 3 4 11" xfId="15674" xr:uid="{5B952EBB-D114-4F0A-9FD1-7D2E2A18D40B}"/>
    <cellStyle name="40% - Accent6 3 4 12" xfId="17564" xr:uid="{8090C28C-C24B-41DC-A740-0602CB08FDEA}"/>
    <cellStyle name="40% - Accent6 3 4 13" xfId="19454" xr:uid="{0E1A78B6-670F-4BC5-B6A4-37C5D24DD342}"/>
    <cellStyle name="40% - Accent6 3 4 14" xfId="21344" xr:uid="{0795803B-07AB-442E-B44B-B250F6A07D5E}"/>
    <cellStyle name="40% - Accent6 3 4 15" xfId="23234" xr:uid="{D358203F-CDD8-4F02-BC79-E7F4BA57D519}"/>
    <cellStyle name="40% - Accent6 3 4 16" xfId="25124" xr:uid="{58E5A121-A10C-4E1C-8283-C5915FA9F480}"/>
    <cellStyle name="40% - Accent6 3 4 17" xfId="27014" xr:uid="{9860B5D1-35BC-4025-8087-ADF69CC22E00}"/>
    <cellStyle name="40% - Accent6 3 4 18" xfId="28904" xr:uid="{75CC6A72-9FFB-4CAB-9D98-8F36D33E094F}"/>
    <cellStyle name="40% - Accent6 3 4 19" xfId="30794" xr:uid="{E50FCF11-2101-413D-A6E9-6EDAED714369}"/>
    <cellStyle name="40% - Accent6 3 4 2" xfId="1184" xr:uid="{EE29CDBE-BB27-4327-8054-4140C94B584D}"/>
    <cellStyle name="40% - Accent6 3 4 2 10" xfId="18194" xr:uid="{B3BD81B8-5028-4482-B5BA-9A6F1E4B30FE}"/>
    <cellStyle name="40% - Accent6 3 4 2 11" xfId="20084" xr:uid="{0B33B930-B9AD-4832-A9AF-BF82D30B90D4}"/>
    <cellStyle name="40% - Accent6 3 4 2 12" xfId="21974" xr:uid="{BB6B0682-0B4A-48D2-AC66-B5A4F280BF17}"/>
    <cellStyle name="40% - Accent6 3 4 2 13" xfId="23864" xr:uid="{A4B12A67-D8E3-4815-80CD-E0B50139CDA8}"/>
    <cellStyle name="40% - Accent6 3 4 2 14" xfId="25754" xr:uid="{D63F7DBD-20E7-4C3E-8CC5-8BC6A001BC12}"/>
    <cellStyle name="40% - Accent6 3 4 2 15" xfId="27644" xr:uid="{D37F01E5-4021-4C9C-8F23-6DD7CC464D5F}"/>
    <cellStyle name="40% - Accent6 3 4 2 16" xfId="29534" xr:uid="{5DE05D5C-D8D5-4169-9F63-37D1CABC0B5D}"/>
    <cellStyle name="40% - Accent6 3 4 2 17" xfId="31424" xr:uid="{942D8D4B-A607-4E63-A2A5-03126C51AD9D}"/>
    <cellStyle name="40% - Accent6 3 4 2 18" xfId="33314" xr:uid="{F9A7EBB5-F011-4F58-803D-DBBDA5CEE2F1}"/>
    <cellStyle name="40% - Accent6 3 4 2 19" xfId="35204" xr:uid="{7E01DC63-1F67-4667-9CF5-E189A715A8ED}"/>
    <cellStyle name="40% - Accent6 3 4 2 2" xfId="3074" xr:uid="{3F0A0E5C-CEF5-4B7E-9C26-D5AA58F91C0F}"/>
    <cellStyle name="40% - Accent6 3 4 2 20" xfId="37094" xr:uid="{51324DBF-EBD9-47EF-A54A-35AE629DA594}"/>
    <cellStyle name="40% - Accent6 3 4 2 21" xfId="38984" xr:uid="{700183A4-3EB9-480C-B0E5-17CE1AA69128}"/>
    <cellStyle name="40% - Accent6 3 4 2 22" xfId="40875" xr:uid="{B0851B62-C91F-4805-9CF7-45D5BF009613}"/>
    <cellStyle name="40% - Accent6 3 4 2 3" xfId="4964" xr:uid="{656BDCF3-828B-41CA-B3C1-210345A7106B}"/>
    <cellStyle name="40% - Accent6 3 4 2 4" xfId="6854" xr:uid="{A3D96D5B-F0ED-4196-AE21-571D78D47536}"/>
    <cellStyle name="40% - Accent6 3 4 2 5" xfId="8744" xr:uid="{BE49EA38-929A-4107-83B6-45686BA6E91A}"/>
    <cellStyle name="40% - Accent6 3 4 2 6" xfId="10634" xr:uid="{F2FED9B0-E9E2-42F3-94C8-4DB1F8904589}"/>
    <cellStyle name="40% - Accent6 3 4 2 7" xfId="12524" xr:uid="{154A3DD7-9D75-49DE-8E56-87310EB4A374}"/>
    <cellStyle name="40% - Accent6 3 4 2 8" xfId="14414" xr:uid="{ED0A2290-D949-4907-8EBA-64C283F76DC7}"/>
    <cellStyle name="40% - Accent6 3 4 2 9" xfId="16304" xr:uid="{7682D484-DD03-4A58-8598-3EE7C35C067D}"/>
    <cellStyle name="40% - Accent6 3 4 20" xfId="32684" xr:uid="{566F0AD1-0CEC-4BF4-A600-916DCBFD7688}"/>
    <cellStyle name="40% - Accent6 3 4 21" xfId="34574" xr:uid="{B8C4BE62-4B6A-4AF6-858A-5BC2518B5C00}"/>
    <cellStyle name="40% - Accent6 3 4 22" xfId="36464" xr:uid="{B7243A50-8EBB-44F0-8A21-84F3830755DE}"/>
    <cellStyle name="40% - Accent6 3 4 23" xfId="38354" xr:uid="{048EA36D-8F2F-47C0-BA03-43922B5BBE51}"/>
    <cellStyle name="40% - Accent6 3 4 24" xfId="40245" xr:uid="{CA5F9ACE-70FB-414A-B8A4-31547CE2D62C}"/>
    <cellStyle name="40% - Accent6 3 4 3" xfId="1814" xr:uid="{08F5FD76-A270-4336-9E67-16A2A25D357F}"/>
    <cellStyle name="40% - Accent6 3 4 3 10" xfId="18824" xr:uid="{383C66E4-7DC4-4AF5-A526-EBF992FA7DB1}"/>
    <cellStyle name="40% - Accent6 3 4 3 11" xfId="20714" xr:uid="{4AA749E5-1927-49F2-A6B4-8C28A221511A}"/>
    <cellStyle name="40% - Accent6 3 4 3 12" xfId="22604" xr:uid="{B1238629-B160-4BF5-8AFF-7F2568436877}"/>
    <cellStyle name="40% - Accent6 3 4 3 13" xfId="24494" xr:uid="{8924A907-4A7A-4EED-9EA9-28B216F3F230}"/>
    <cellStyle name="40% - Accent6 3 4 3 14" xfId="26384" xr:uid="{539F822C-89B2-4DDD-9E5B-14B0ABE429A7}"/>
    <cellStyle name="40% - Accent6 3 4 3 15" xfId="28274" xr:uid="{FBE82DDC-66DB-40FB-AB79-3D59CC605CED}"/>
    <cellStyle name="40% - Accent6 3 4 3 16" xfId="30164" xr:uid="{7D9CE766-4E2D-4BA3-94E6-0A076E3BEB06}"/>
    <cellStyle name="40% - Accent6 3 4 3 17" xfId="32054" xr:uid="{ADF3EB53-A225-4197-A3DF-4F2CA5BCB824}"/>
    <cellStyle name="40% - Accent6 3 4 3 18" xfId="33944" xr:uid="{21B130B0-D9D4-4AF3-B8BB-D4BBC058746F}"/>
    <cellStyle name="40% - Accent6 3 4 3 19" xfId="35834" xr:uid="{F276DCBB-E9C1-48A3-B682-77B721E66F53}"/>
    <cellStyle name="40% - Accent6 3 4 3 2" xfId="3704" xr:uid="{2E3F3676-A8D5-432B-BEA7-3808F1C156CE}"/>
    <cellStyle name="40% - Accent6 3 4 3 20" xfId="37724" xr:uid="{8B0621AD-F798-4341-AC31-7D613A011480}"/>
    <cellStyle name="40% - Accent6 3 4 3 21" xfId="39614" xr:uid="{7A9A0802-1196-4338-B36B-735FAB5E1B7A}"/>
    <cellStyle name="40% - Accent6 3 4 3 22" xfId="41505" xr:uid="{02940241-9320-48AD-86A7-63F9DBA69BC4}"/>
    <cellStyle name="40% - Accent6 3 4 3 3" xfId="5594" xr:uid="{2F960BDB-E8FA-4DF4-90D2-7D0196249F19}"/>
    <cellStyle name="40% - Accent6 3 4 3 4" xfId="7484" xr:uid="{D6575F88-E2BC-4C46-B457-16D7CD45D679}"/>
    <cellStyle name="40% - Accent6 3 4 3 5" xfId="9374" xr:uid="{0450A209-5F37-4CDB-A210-8367A4750C09}"/>
    <cellStyle name="40% - Accent6 3 4 3 6" xfId="11264" xr:uid="{AE8C026C-AA49-499C-B1D0-BEB59F7FFCB4}"/>
    <cellStyle name="40% - Accent6 3 4 3 7" xfId="13154" xr:uid="{E9808063-7554-4C1B-95B2-F19600A5B3CF}"/>
    <cellStyle name="40% - Accent6 3 4 3 8" xfId="15044" xr:uid="{D408CE0B-9805-4252-8893-76462B6937CC}"/>
    <cellStyle name="40% - Accent6 3 4 3 9" xfId="16934" xr:uid="{E19DAFA7-6D8F-46CB-AEBB-9424A9B2A968}"/>
    <cellStyle name="40% - Accent6 3 4 4" xfId="2444" xr:uid="{EEED0B64-6E76-4087-8289-9A95D2E96816}"/>
    <cellStyle name="40% - Accent6 3 4 5" xfId="4334" xr:uid="{5F178E16-FCE9-4007-B65F-3DE88B59FB2A}"/>
    <cellStyle name="40% - Accent6 3 4 6" xfId="6224" xr:uid="{3227C835-ED3C-4C66-AAED-5CBBB118EF9B}"/>
    <cellStyle name="40% - Accent6 3 4 7" xfId="8114" xr:uid="{37B00261-0716-4C66-AD4C-2DC4844FDB0C}"/>
    <cellStyle name="40% - Accent6 3 4 8" xfId="10004" xr:uid="{5EA4A366-5EC0-4C29-8C57-9912585401F1}"/>
    <cellStyle name="40% - Accent6 3 4 9" xfId="11894" xr:uid="{BF16B9D8-3FD0-48E9-B7AB-1D29AF5D6AC6}"/>
    <cellStyle name="40% - Accent6 3 5" xfId="764" xr:uid="{C7CE2B87-BF40-4ABE-9DBC-2E29AB5F3AED}"/>
    <cellStyle name="40% - Accent6 3 5 10" xfId="17774" xr:uid="{76F749E5-374C-43E5-BB43-549B098DCA24}"/>
    <cellStyle name="40% - Accent6 3 5 11" xfId="19664" xr:uid="{0F6D77C0-579F-4D46-824B-CC4244EDDE99}"/>
    <cellStyle name="40% - Accent6 3 5 12" xfId="21554" xr:uid="{D8ACCD90-E3A9-43D9-BC50-0433CE86F3CE}"/>
    <cellStyle name="40% - Accent6 3 5 13" xfId="23444" xr:uid="{AAEE88D6-A261-41F0-8329-17C663EAC2C7}"/>
    <cellStyle name="40% - Accent6 3 5 14" xfId="25334" xr:uid="{7EE9FC3C-9DDB-4713-8EAF-E27FD0822B7B}"/>
    <cellStyle name="40% - Accent6 3 5 15" xfId="27224" xr:uid="{EC3D14CE-7F36-42F4-93DD-823DCD44F2FD}"/>
    <cellStyle name="40% - Accent6 3 5 16" xfId="29114" xr:uid="{755F40CF-4BC6-477F-A0D9-57F50F0DFFC2}"/>
    <cellStyle name="40% - Accent6 3 5 17" xfId="31004" xr:uid="{1166315A-6CD4-42A1-B71F-25673C14E047}"/>
    <cellStyle name="40% - Accent6 3 5 18" xfId="32894" xr:uid="{0CEB1CA5-F567-4964-8A21-025FD9C8A9C9}"/>
    <cellStyle name="40% - Accent6 3 5 19" xfId="34784" xr:uid="{7C768D9F-2D71-4DA4-A066-7953700F3589}"/>
    <cellStyle name="40% - Accent6 3 5 2" xfId="2654" xr:uid="{15CABA78-2CD3-43D5-ABC7-ED93BEB94F26}"/>
    <cellStyle name="40% - Accent6 3 5 20" xfId="36674" xr:uid="{ED983A6A-8035-4FB8-9C96-BEEDAB05751E}"/>
    <cellStyle name="40% - Accent6 3 5 21" xfId="38564" xr:uid="{CBED673F-5043-4292-978C-40A088BF5575}"/>
    <cellStyle name="40% - Accent6 3 5 22" xfId="40455" xr:uid="{AFE63333-435A-454F-8C3D-8097C5E59072}"/>
    <cellStyle name="40% - Accent6 3 5 3" xfId="4544" xr:uid="{88E700DF-E18A-4F86-8FB6-1C0466C737A2}"/>
    <cellStyle name="40% - Accent6 3 5 4" xfId="6434" xr:uid="{0EC8C8C0-9766-44E2-9292-18D96F10F630}"/>
    <cellStyle name="40% - Accent6 3 5 5" xfId="8324" xr:uid="{0A0347ED-3D23-48E8-8F11-9959FF93ABE0}"/>
    <cellStyle name="40% - Accent6 3 5 6" xfId="10214" xr:uid="{7F19554B-F13A-4238-AAC7-BAEE9B9A3D9C}"/>
    <cellStyle name="40% - Accent6 3 5 7" xfId="12104" xr:uid="{331327D4-2765-4D9E-B1E5-9DEB45789A76}"/>
    <cellStyle name="40% - Accent6 3 5 8" xfId="13994" xr:uid="{5DD5C55C-1D2B-4593-80AD-A9EF174C6FD4}"/>
    <cellStyle name="40% - Accent6 3 5 9" xfId="15884" xr:uid="{360DA6F9-F315-4FF7-BFDD-253A2BCB07B7}"/>
    <cellStyle name="40% - Accent6 3 6" xfId="1394" xr:uid="{7919310C-49C5-4AD1-A43C-C4279FBF4722}"/>
    <cellStyle name="40% - Accent6 3 6 10" xfId="18404" xr:uid="{1A0D009D-5125-4FEE-B56C-D344224201F4}"/>
    <cellStyle name="40% - Accent6 3 6 11" xfId="20294" xr:uid="{3C0F5BDD-3DF2-4F88-AC42-10D6F057D8FD}"/>
    <cellStyle name="40% - Accent6 3 6 12" xfId="22184" xr:uid="{DD51519D-92B1-4FC5-B34C-A7820154C06E}"/>
    <cellStyle name="40% - Accent6 3 6 13" xfId="24074" xr:uid="{BF8BBDD2-BF62-4BC4-8F8C-19B6680BBCDF}"/>
    <cellStyle name="40% - Accent6 3 6 14" xfId="25964" xr:uid="{FD18B51B-1396-454B-BFF2-FAD5B7C52338}"/>
    <cellStyle name="40% - Accent6 3 6 15" xfId="27854" xr:uid="{6C172007-8D58-45EF-821F-403D018F12BE}"/>
    <cellStyle name="40% - Accent6 3 6 16" xfId="29744" xr:uid="{83146DB8-0BDF-410E-9DAA-42D276C48957}"/>
    <cellStyle name="40% - Accent6 3 6 17" xfId="31634" xr:uid="{2FC4B079-54BF-4FAA-82C6-B25114AF3D70}"/>
    <cellStyle name="40% - Accent6 3 6 18" xfId="33524" xr:uid="{40CD6393-91F8-41E2-8496-D86C8BA22F77}"/>
    <cellStyle name="40% - Accent6 3 6 19" xfId="35414" xr:uid="{D7C92E14-B815-4F39-8396-28C50755807F}"/>
    <cellStyle name="40% - Accent6 3 6 2" xfId="3284" xr:uid="{5666DC94-2CAC-49FC-9038-2A07D0EFCE28}"/>
    <cellStyle name="40% - Accent6 3 6 20" xfId="37304" xr:uid="{8CD9B7D5-37CE-44FE-B5E0-8D0657E559E0}"/>
    <cellStyle name="40% - Accent6 3 6 21" xfId="39194" xr:uid="{B12E5C0D-B451-42B7-8CF5-CCD6D2D0E216}"/>
    <cellStyle name="40% - Accent6 3 6 22" xfId="41085" xr:uid="{C450A4F2-BE3F-40B6-AB3E-6002B6D813A3}"/>
    <cellStyle name="40% - Accent6 3 6 3" xfId="5174" xr:uid="{951058B9-8B90-49ED-8A0F-1A232119D5CB}"/>
    <cellStyle name="40% - Accent6 3 6 4" xfId="7064" xr:uid="{E9313700-C1F7-4E65-A3AF-00EF581E653D}"/>
    <cellStyle name="40% - Accent6 3 6 5" xfId="8954" xr:uid="{F716C5B9-2F20-427D-82BD-B5E4C0CABCEE}"/>
    <cellStyle name="40% - Accent6 3 6 6" xfId="10844" xr:uid="{D57F5D4A-31FD-4756-9B0B-9C047E1C58CF}"/>
    <cellStyle name="40% - Accent6 3 6 7" xfId="12734" xr:uid="{5C5BA156-3555-4DCB-8020-DA249B2CD76B}"/>
    <cellStyle name="40% - Accent6 3 6 8" xfId="14624" xr:uid="{C7520E4D-F6C4-43F4-A974-3D04CB304CF4}"/>
    <cellStyle name="40% - Accent6 3 6 9" xfId="16514" xr:uid="{DD5CEB88-9EB9-4C53-AC59-5EC1CE3CF1D1}"/>
    <cellStyle name="40% - Accent6 3 7" xfId="2024" xr:uid="{8FB1C221-BB41-4361-BF7F-0743F2309B85}"/>
    <cellStyle name="40% - Accent6 3 8" xfId="3914" xr:uid="{443E92B3-DCFE-41BA-B7B6-C208EAB013D5}"/>
    <cellStyle name="40% - Accent6 3 9" xfId="5804" xr:uid="{58FABF35-DFF9-4E7C-A196-65ABE2BDE9DF}"/>
    <cellStyle name="40% - Accent6 4" xfId="197" xr:uid="{6A258016-7C10-4CD0-A3A6-939C7A0E2669}"/>
    <cellStyle name="40% - Accent6 4 10" xfId="9647" xr:uid="{D222136D-615A-4519-A384-F880A8E76CD2}"/>
    <cellStyle name="40% - Accent6 4 11" xfId="11537" xr:uid="{D9E35F4F-035E-41E3-95CF-BA0461F5E63D}"/>
    <cellStyle name="40% - Accent6 4 12" xfId="13427" xr:uid="{C7A2DDFF-73A6-4D76-9E1F-4169A38D5756}"/>
    <cellStyle name="40% - Accent6 4 13" xfId="15317" xr:uid="{65F32FD2-0E2F-4858-B2CB-1D9FBFA894DA}"/>
    <cellStyle name="40% - Accent6 4 14" xfId="17207" xr:uid="{577E6375-9E38-4EB6-81D1-54380660F516}"/>
    <cellStyle name="40% - Accent6 4 15" xfId="19097" xr:uid="{18129182-650F-4BAF-BA69-B5F5F22BC86B}"/>
    <cellStyle name="40% - Accent6 4 16" xfId="20987" xr:uid="{A4BA567E-3298-4A18-BFB3-96FC00CF9A8B}"/>
    <cellStyle name="40% - Accent6 4 17" xfId="22877" xr:uid="{F9761119-B04D-4025-ACB6-101BEE93B915}"/>
    <cellStyle name="40% - Accent6 4 18" xfId="24767" xr:uid="{CCE5D18A-0297-40AC-96D3-A0F5052A64A0}"/>
    <cellStyle name="40% - Accent6 4 19" xfId="26657" xr:uid="{63D34196-5BA2-401A-89BD-3D01255CB7C8}"/>
    <cellStyle name="40% - Accent6 4 2" xfId="407" xr:uid="{C51DF695-6E05-4152-AF99-0D08E62DC83C}"/>
    <cellStyle name="40% - Accent6 4 2 10" xfId="13637" xr:uid="{EF95B383-6B73-4B11-9114-70955708E642}"/>
    <cellStyle name="40% - Accent6 4 2 11" xfId="15527" xr:uid="{E307F620-F8F0-448B-A589-BDF4EAAAC80B}"/>
    <cellStyle name="40% - Accent6 4 2 12" xfId="17417" xr:uid="{B125E402-61DD-41C3-ADA2-51235C503E5A}"/>
    <cellStyle name="40% - Accent6 4 2 13" xfId="19307" xr:uid="{B0A8924E-CD87-4175-8F46-771B1657D7E0}"/>
    <cellStyle name="40% - Accent6 4 2 14" xfId="21197" xr:uid="{66DF8E97-C9B8-4A8B-A648-F91ADDFF2A46}"/>
    <cellStyle name="40% - Accent6 4 2 15" xfId="23087" xr:uid="{7ACCE3E4-5347-4DAF-A864-67C6ABCAD4B7}"/>
    <cellStyle name="40% - Accent6 4 2 16" xfId="24977" xr:uid="{68204DA3-56F6-47F5-B312-0F6DEAA0635B}"/>
    <cellStyle name="40% - Accent6 4 2 17" xfId="26867" xr:uid="{74288B75-D2E6-4596-B667-FB411FBD67B8}"/>
    <cellStyle name="40% - Accent6 4 2 18" xfId="28757" xr:uid="{9D444471-DF52-4B53-A1EA-CD7E09613451}"/>
    <cellStyle name="40% - Accent6 4 2 19" xfId="30647" xr:uid="{6F5D519A-2E65-4CE8-A1BC-6B7AD799210F}"/>
    <cellStyle name="40% - Accent6 4 2 2" xfId="1037" xr:uid="{C9322125-1081-4EF3-B1E8-EFFE4439BE1B}"/>
    <cellStyle name="40% - Accent6 4 2 2 10" xfId="18047" xr:uid="{E80FFAE7-11DC-4A4D-80AB-C435A29C7ABD}"/>
    <cellStyle name="40% - Accent6 4 2 2 11" xfId="19937" xr:uid="{1FAC875A-83DC-4EC2-8A87-4B87993175B6}"/>
    <cellStyle name="40% - Accent6 4 2 2 12" xfId="21827" xr:uid="{B9EC983A-B9C3-4788-8D1C-D877D0246F35}"/>
    <cellStyle name="40% - Accent6 4 2 2 13" xfId="23717" xr:uid="{B0C3C1EC-CDDC-4D81-863C-7E48A960E85D}"/>
    <cellStyle name="40% - Accent6 4 2 2 14" xfId="25607" xr:uid="{4ACEFE91-DE82-40B6-9F8B-B0FDABF619D4}"/>
    <cellStyle name="40% - Accent6 4 2 2 15" xfId="27497" xr:uid="{D792DD2C-CFCD-4008-B023-B89606C98ED3}"/>
    <cellStyle name="40% - Accent6 4 2 2 16" xfId="29387" xr:uid="{1A8978F8-B071-43BD-9ABF-CB2F3DF7A2A1}"/>
    <cellStyle name="40% - Accent6 4 2 2 17" xfId="31277" xr:uid="{562513C2-33E3-46F8-8B7C-E298265D4388}"/>
    <cellStyle name="40% - Accent6 4 2 2 18" xfId="33167" xr:uid="{E8C94581-F65B-4023-8D0B-84AC2D65B6D9}"/>
    <cellStyle name="40% - Accent6 4 2 2 19" xfId="35057" xr:uid="{D98BC600-35FC-4F4F-A937-87AF136B5D47}"/>
    <cellStyle name="40% - Accent6 4 2 2 2" xfId="2927" xr:uid="{57190DF8-BBA4-4184-88CB-D57339CAA812}"/>
    <cellStyle name="40% - Accent6 4 2 2 20" xfId="36947" xr:uid="{D59A85BB-03BF-48ED-BF78-E03E4F7A4461}"/>
    <cellStyle name="40% - Accent6 4 2 2 21" xfId="38837" xr:uid="{0E116FE1-9685-4E29-8A10-5D3F3EF837CB}"/>
    <cellStyle name="40% - Accent6 4 2 2 22" xfId="40728" xr:uid="{511E3413-067C-4D4D-B73C-2D9F16228A37}"/>
    <cellStyle name="40% - Accent6 4 2 2 3" xfId="4817" xr:uid="{887CAA97-A40E-44A8-A705-006A26411436}"/>
    <cellStyle name="40% - Accent6 4 2 2 4" xfId="6707" xr:uid="{FC1576F4-407E-4803-A2B1-EE4A3A101015}"/>
    <cellStyle name="40% - Accent6 4 2 2 5" xfId="8597" xr:uid="{24112AA0-04D2-4785-B907-FF7DD117E412}"/>
    <cellStyle name="40% - Accent6 4 2 2 6" xfId="10487" xr:uid="{D44E8CC1-758C-49CC-88AF-589D14C3CC10}"/>
    <cellStyle name="40% - Accent6 4 2 2 7" xfId="12377" xr:uid="{9F5F7521-09D0-4C7D-B54F-097BF7FE3227}"/>
    <cellStyle name="40% - Accent6 4 2 2 8" xfId="14267" xr:uid="{01B7528D-111E-48ED-8B6C-C0F94EE2C2B3}"/>
    <cellStyle name="40% - Accent6 4 2 2 9" xfId="16157" xr:uid="{538A96D8-F714-4152-8E95-D129C0FCCE2F}"/>
    <cellStyle name="40% - Accent6 4 2 20" xfId="32537" xr:uid="{D79C456A-F559-410C-A739-D35C19DE985C}"/>
    <cellStyle name="40% - Accent6 4 2 21" xfId="34427" xr:uid="{18A05746-3F7D-483B-A4CD-6E1C95927DE8}"/>
    <cellStyle name="40% - Accent6 4 2 22" xfId="36317" xr:uid="{E3187F69-67C3-4AF3-913E-44BA39CFF1D1}"/>
    <cellStyle name="40% - Accent6 4 2 23" xfId="38207" xr:uid="{FE0811CA-E5E5-496B-9CE4-105FAB642A6A}"/>
    <cellStyle name="40% - Accent6 4 2 24" xfId="40098" xr:uid="{1D7D6E81-7E1C-4C02-8CF8-DFF7BDC9EB42}"/>
    <cellStyle name="40% - Accent6 4 2 3" xfId="1667" xr:uid="{75A8582B-2F0F-4B72-A1DE-2FB02F40FAFE}"/>
    <cellStyle name="40% - Accent6 4 2 3 10" xfId="18677" xr:uid="{15D26ECC-53AF-430E-8111-2076B719CFDE}"/>
    <cellStyle name="40% - Accent6 4 2 3 11" xfId="20567" xr:uid="{8C0A4322-EEA3-46CF-993B-664FA9B3B885}"/>
    <cellStyle name="40% - Accent6 4 2 3 12" xfId="22457" xr:uid="{56AE4EDC-3F49-42D8-B1BA-A42763474AA8}"/>
    <cellStyle name="40% - Accent6 4 2 3 13" xfId="24347" xr:uid="{0DEE69EF-21B2-451C-A12B-D0FF3C426D1B}"/>
    <cellStyle name="40% - Accent6 4 2 3 14" xfId="26237" xr:uid="{4FA24C9D-EFEB-4E04-8914-66CBBE8AF1A4}"/>
    <cellStyle name="40% - Accent6 4 2 3 15" xfId="28127" xr:uid="{936CDD7A-CAFE-4D9C-8655-5BEE798F831E}"/>
    <cellStyle name="40% - Accent6 4 2 3 16" xfId="30017" xr:uid="{9A69E214-977C-4F56-8088-6203EAACF995}"/>
    <cellStyle name="40% - Accent6 4 2 3 17" xfId="31907" xr:uid="{64605FAE-8D4C-4B7E-8338-965CCF9AD0AD}"/>
    <cellStyle name="40% - Accent6 4 2 3 18" xfId="33797" xr:uid="{B1F496C0-BADB-4AF5-9578-E6898A6BBF85}"/>
    <cellStyle name="40% - Accent6 4 2 3 19" xfId="35687" xr:uid="{5BF65DE6-E740-4E02-80F9-F0111AD9695D}"/>
    <cellStyle name="40% - Accent6 4 2 3 2" xfId="3557" xr:uid="{702063EC-9857-4023-955F-4FD5C59782F6}"/>
    <cellStyle name="40% - Accent6 4 2 3 20" xfId="37577" xr:uid="{B72BCEC5-6BBB-425C-97C0-EEDEEA23457E}"/>
    <cellStyle name="40% - Accent6 4 2 3 21" xfId="39467" xr:uid="{2B4096E2-8D1F-4C4C-9C22-0FB512DE741A}"/>
    <cellStyle name="40% - Accent6 4 2 3 22" xfId="41358" xr:uid="{FFEC15C7-47F5-49D6-B701-C366A9618F34}"/>
    <cellStyle name="40% - Accent6 4 2 3 3" xfId="5447" xr:uid="{251E52D9-B5A5-44D5-9F8A-EC8F1276A028}"/>
    <cellStyle name="40% - Accent6 4 2 3 4" xfId="7337" xr:uid="{F2F313EE-9BCF-4A01-AE29-95D66632EE62}"/>
    <cellStyle name="40% - Accent6 4 2 3 5" xfId="9227" xr:uid="{5D9FEFC7-6AA3-414F-93B5-4F6B0D6E91CB}"/>
    <cellStyle name="40% - Accent6 4 2 3 6" xfId="11117" xr:uid="{F709C235-971B-4307-9C4E-A35B42BAC311}"/>
    <cellStyle name="40% - Accent6 4 2 3 7" xfId="13007" xr:uid="{17D95E17-7695-41F1-B519-B4508E793CCE}"/>
    <cellStyle name="40% - Accent6 4 2 3 8" xfId="14897" xr:uid="{33A96944-75CD-42C1-A23C-3C08DE03C225}"/>
    <cellStyle name="40% - Accent6 4 2 3 9" xfId="16787" xr:uid="{0C26A506-61C1-43F9-9905-8C7FA2BF81D4}"/>
    <cellStyle name="40% - Accent6 4 2 4" xfId="2297" xr:uid="{F8D930A4-928D-49E8-B9A3-13F27BF03BFE}"/>
    <cellStyle name="40% - Accent6 4 2 5" xfId="4187" xr:uid="{095D5A43-6527-4FF7-B279-838C0264FA8C}"/>
    <cellStyle name="40% - Accent6 4 2 6" xfId="6077" xr:uid="{FEDEA497-A305-4B54-A612-9106F4496CB5}"/>
    <cellStyle name="40% - Accent6 4 2 7" xfId="7967" xr:uid="{54B762F5-7CC9-400B-BD81-4B34C3BA890E}"/>
    <cellStyle name="40% - Accent6 4 2 8" xfId="9857" xr:uid="{7F6DF517-557A-4726-A1D9-21E7A85828B1}"/>
    <cellStyle name="40% - Accent6 4 2 9" xfId="11747" xr:uid="{42F95754-FC44-4251-A58C-41B0B12E2757}"/>
    <cellStyle name="40% - Accent6 4 20" xfId="28547" xr:uid="{69114051-7EA4-49F7-83D6-51E9CD8608D7}"/>
    <cellStyle name="40% - Accent6 4 21" xfId="30437" xr:uid="{3EA2C213-0839-41F5-B945-B249F71398D7}"/>
    <cellStyle name="40% - Accent6 4 22" xfId="32327" xr:uid="{737DC838-5516-49C5-9F76-C1AE4F5444E1}"/>
    <cellStyle name="40% - Accent6 4 23" xfId="34217" xr:uid="{1EBC5009-30BC-49B3-91AB-EBC11856EA50}"/>
    <cellStyle name="40% - Accent6 4 24" xfId="36107" xr:uid="{1476340D-BCEA-4527-BFCA-CBB566C5A0FF}"/>
    <cellStyle name="40% - Accent6 4 25" xfId="37997" xr:uid="{3E59B247-E44D-4783-8E72-5EE4919EF315}"/>
    <cellStyle name="40% - Accent6 4 26" xfId="39888" xr:uid="{1D57E161-24FA-459D-B4B5-F9BB13E9DA03}"/>
    <cellStyle name="40% - Accent6 4 3" xfId="617" xr:uid="{D15272B6-8FCC-4033-8973-AEBFFE9E1CA0}"/>
    <cellStyle name="40% - Accent6 4 3 10" xfId="13847" xr:uid="{4D8517D4-0CF8-475C-AC13-EF62D76618E7}"/>
    <cellStyle name="40% - Accent6 4 3 11" xfId="15737" xr:uid="{53C751EF-C215-43C1-B807-9A8CE4EDAF32}"/>
    <cellStyle name="40% - Accent6 4 3 12" xfId="17627" xr:uid="{2698989C-3B88-4E94-A4D0-FA6DD39A91C0}"/>
    <cellStyle name="40% - Accent6 4 3 13" xfId="19517" xr:uid="{5B5F4A2A-DBF0-4711-9878-D009DDA7AD6C}"/>
    <cellStyle name="40% - Accent6 4 3 14" xfId="21407" xr:uid="{02E0D329-DA3F-4353-A25B-834503F45175}"/>
    <cellStyle name="40% - Accent6 4 3 15" xfId="23297" xr:uid="{5F1F5436-7C3B-4187-8BC4-AE6086C55329}"/>
    <cellStyle name="40% - Accent6 4 3 16" xfId="25187" xr:uid="{6FB3E99F-41C2-4664-8A10-2CD76DF92483}"/>
    <cellStyle name="40% - Accent6 4 3 17" xfId="27077" xr:uid="{2FD025FD-66BB-425F-A29E-73FADFE5207D}"/>
    <cellStyle name="40% - Accent6 4 3 18" xfId="28967" xr:uid="{EE8E101F-9709-4DD8-8559-C51AE270326D}"/>
    <cellStyle name="40% - Accent6 4 3 19" xfId="30857" xr:uid="{B19C6E04-32D7-4DCF-B343-5A4E01D8C552}"/>
    <cellStyle name="40% - Accent6 4 3 2" xfId="1247" xr:uid="{D323064D-5831-40F2-B21D-B3A5B1D3F474}"/>
    <cellStyle name="40% - Accent6 4 3 2 10" xfId="18257" xr:uid="{C0775A8B-6686-4798-908F-E80711195C86}"/>
    <cellStyle name="40% - Accent6 4 3 2 11" xfId="20147" xr:uid="{638D3FAD-FE23-4B22-8692-B90A34D351E4}"/>
    <cellStyle name="40% - Accent6 4 3 2 12" xfId="22037" xr:uid="{40C4A665-1170-47C2-B7F4-DB3C986ACBC9}"/>
    <cellStyle name="40% - Accent6 4 3 2 13" xfId="23927" xr:uid="{8BAB3654-4D27-4A18-8D19-B6D684F3E972}"/>
    <cellStyle name="40% - Accent6 4 3 2 14" xfId="25817" xr:uid="{461EC6DA-887B-4A8B-9016-F5ED75F9F864}"/>
    <cellStyle name="40% - Accent6 4 3 2 15" xfId="27707" xr:uid="{AA5284CD-D375-4F4D-94FE-3B09F7E24585}"/>
    <cellStyle name="40% - Accent6 4 3 2 16" xfId="29597" xr:uid="{B11771FC-79B1-4498-B7E9-D0BA03E5D154}"/>
    <cellStyle name="40% - Accent6 4 3 2 17" xfId="31487" xr:uid="{FB91124D-5182-41F3-A721-716E330335FF}"/>
    <cellStyle name="40% - Accent6 4 3 2 18" xfId="33377" xr:uid="{64D5476F-A5E5-42C2-9BA4-3DFA871B1F3C}"/>
    <cellStyle name="40% - Accent6 4 3 2 19" xfId="35267" xr:uid="{835EE4B5-0531-47C1-992B-2093930D5B14}"/>
    <cellStyle name="40% - Accent6 4 3 2 2" xfId="3137" xr:uid="{0AA3644A-02B7-4A25-AD89-28842994A82C}"/>
    <cellStyle name="40% - Accent6 4 3 2 20" xfId="37157" xr:uid="{65FB5B23-4553-4BC7-8652-9587CF77CD83}"/>
    <cellStyle name="40% - Accent6 4 3 2 21" xfId="39047" xr:uid="{026738C3-6D7C-4EE0-8877-CA68354CBE68}"/>
    <cellStyle name="40% - Accent6 4 3 2 22" xfId="40938" xr:uid="{F3B06530-E488-4D7B-854B-1335A8148A4D}"/>
    <cellStyle name="40% - Accent6 4 3 2 3" xfId="5027" xr:uid="{203CD9AB-18B2-48A0-8477-68E065B21996}"/>
    <cellStyle name="40% - Accent6 4 3 2 4" xfId="6917" xr:uid="{AA3CD5E9-B68D-42A4-A039-4171F856BC5B}"/>
    <cellStyle name="40% - Accent6 4 3 2 5" xfId="8807" xr:uid="{50B533D6-C907-4B5E-BCED-58549EFED4DF}"/>
    <cellStyle name="40% - Accent6 4 3 2 6" xfId="10697" xr:uid="{F6DD9BB6-7B40-42EB-9F12-598BE2686F84}"/>
    <cellStyle name="40% - Accent6 4 3 2 7" xfId="12587" xr:uid="{5BA6CE85-B7CC-446C-B364-F37CE7B11A76}"/>
    <cellStyle name="40% - Accent6 4 3 2 8" xfId="14477" xr:uid="{38B44024-2C7F-42A8-BFA7-F3C792ACAC7A}"/>
    <cellStyle name="40% - Accent6 4 3 2 9" xfId="16367" xr:uid="{9ACA4239-58EE-430B-A111-4A9965BB0681}"/>
    <cellStyle name="40% - Accent6 4 3 20" xfId="32747" xr:uid="{7AFE54BB-F742-49FC-A209-D84A104E92CF}"/>
    <cellStyle name="40% - Accent6 4 3 21" xfId="34637" xr:uid="{09606483-C334-4AF0-AC5D-E18358C72491}"/>
    <cellStyle name="40% - Accent6 4 3 22" xfId="36527" xr:uid="{C79F8DCB-A185-4620-8F5A-49BA8612D3D0}"/>
    <cellStyle name="40% - Accent6 4 3 23" xfId="38417" xr:uid="{0A0DE561-3059-4073-B700-A77C50C219ED}"/>
    <cellStyle name="40% - Accent6 4 3 24" xfId="40308" xr:uid="{AC0EEBD7-E5B1-4FA6-AEA1-172FC4489D7A}"/>
    <cellStyle name="40% - Accent6 4 3 3" xfId="1877" xr:uid="{47833D94-EC11-44B5-9146-AB6A52BFD8C1}"/>
    <cellStyle name="40% - Accent6 4 3 3 10" xfId="18887" xr:uid="{1D07D08D-4A94-413A-8A1E-32AAF2000A56}"/>
    <cellStyle name="40% - Accent6 4 3 3 11" xfId="20777" xr:uid="{3BCCDB57-E105-4A03-B931-CEAB09AD68C9}"/>
    <cellStyle name="40% - Accent6 4 3 3 12" xfId="22667" xr:uid="{B4C96695-B81C-49E3-BB71-1F3FAFB3B39F}"/>
    <cellStyle name="40% - Accent6 4 3 3 13" xfId="24557" xr:uid="{68F71843-BD50-4A4A-BF07-C180076E1C3D}"/>
    <cellStyle name="40% - Accent6 4 3 3 14" xfId="26447" xr:uid="{2FB886FC-8B0C-4B97-BF94-5A42A360E401}"/>
    <cellStyle name="40% - Accent6 4 3 3 15" xfId="28337" xr:uid="{18A1CE60-83DD-41F3-BD28-80EFAC37038A}"/>
    <cellStyle name="40% - Accent6 4 3 3 16" xfId="30227" xr:uid="{654D9C32-6558-4725-B910-014469F7E592}"/>
    <cellStyle name="40% - Accent6 4 3 3 17" xfId="32117" xr:uid="{87142F94-2FD5-467E-AC9A-6779430C7C35}"/>
    <cellStyle name="40% - Accent6 4 3 3 18" xfId="34007" xr:uid="{2302AE4D-0950-49A3-96AE-A43D7A5DCAE9}"/>
    <cellStyle name="40% - Accent6 4 3 3 19" xfId="35897" xr:uid="{C3E5CD08-2ED6-4D99-80F1-2BB2E52AC9CD}"/>
    <cellStyle name="40% - Accent6 4 3 3 2" xfId="3767" xr:uid="{03E5818A-3D5B-49E1-B529-5D6CEC56268E}"/>
    <cellStyle name="40% - Accent6 4 3 3 20" xfId="37787" xr:uid="{B986FEDF-A9AD-4417-A66A-00EEA59B2FB8}"/>
    <cellStyle name="40% - Accent6 4 3 3 21" xfId="39677" xr:uid="{FB0FD535-CB37-49A5-BCD0-469F706D3307}"/>
    <cellStyle name="40% - Accent6 4 3 3 22" xfId="41568" xr:uid="{325F4DE3-1788-4448-8CB8-14CF4968DDAA}"/>
    <cellStyle name="40% - Accent6 4 3 3 3" xfId="5657" xr:uid="{0DD6CF24-CE24-417A-AC2A-6BD84F735397}"/>
    <cellStyle name="40% - Accent6 4 3 3 4" xfId="7547" xr:uid="{BDFFB96B-7427-4F6C-A18F-8EB1E1547A56}"/>
    <cellStyle name="40% - Accent6 4 3 3 5" xfId="9437" xr:uid="{5182D2CC-55DE-490C-A557-ED2E55B43FB9}"/>
    <cellStyle name="40% - Accent6 4 3 3 6" xfId="11327" xr:uid="{0C3CF9C9-505F-4569-A1CD-5239D9D6BD68}"/>
    <cellStyle name="40% - Accent6 4 3 3 7" xfId="13217" xr:uid="{81DA7741-0E47-4F7E-B314-6A8D947AE507}"/>
    <cellStyle name="40% - Accent6 4 3 3 8" xfId="15107" xr:uid="{9C4342BD-B1AC-4145-9FA7-99CAA4AA3069}"/>
    <cellStyle name="40% - Accent6 4 3 3 9" xfId="16997" xr:uid="{2D6723F1-06EA-42FB-84EE-3AF2EBC9A1C1}"/>
    <cellStyle name="40% - Accent6 4 3 4" xfId="2507" xr:uid="{AB06422C-6282-455D-9A98-3C8C18D150AD}"/>
    <cellStyle name="40% - Accent6 4 3 5" xfId="4397" xr:uid="{6337A773-5E1C-43B4-B1A0-BDB1D5B72392}"/>
    <cellStyle name="40% - Accent6 4 3 6" xfId="6287" xr:uid="{66C14C6E-7F2C-456C-BCD7-98486B82E2A1}"/>
    <cellStyle name="40% - Accent6 4 3 7" xfId="8177" xr:uid="{B3082D95-147B-44B4-BF3E-A7394FADB25E}"/>
    <cellStyle name="40% - Accent6 4 3 8" xfId="10067" xr:uid="{ADE0BAA3-C7A0-4F75-AB71-F320115DD735}"/>
    <cellStyle name="40% - Accent6 4 3 9" xfId="11957" xr:uid="{1DC0A94C-C714-4C49-AE63-2A5B135C9ACA}"/>
    <cellStyle name="40% - Accent6 4 4" xfId="827" xr:uid="{EF4D75B0-DE3C-4D4E-B98F-6D7F965EBDCD}"/>
    <cellStyle name="40% - Accent6 4 4 10" xfId="17837" xr:uid="{25E0A5D9-3AE6-4784-9643-5BFA1164AB8C}"/>
    <cellStyle name="40% - Accent6 4 4 11" xfId="19727" xr:uid="{E692C768-6E7B-48CE-A070-B28D0F6DB169}"/>
    <cellStyle name="40% - Accent6 4 4 12" xfId="21617" xr:uid="{41A114B3-4368-4783-903B-02685FE5E1BC}"/>
    <cellStyle name="40% - Accent6 4 4 13" xfId="23507" xr:uid="{5EA1C51B-FD38-4ABB-9E05-ADED4D8FB657}"/>
    <cellStyle name="40% - Accent6 4 4 14" xfId="25397" xr:uid="{9CB23F8C-DE39-4566-BD3C-E6704E1B9EF4}"/>
    <cellStyle name="40% - Accent6 4 4 15" xfId="27287" xr:uid="{798D0E2B-28F6-426C-96C8-70E209995EB6}"/>
    <cellStyle name="40% - Accent6 4 4 16" xfId="29177" xr:uid="{15636421-90EB-44EA-B67F-99E11A53B05C}"/>
    <cellStyle name="40% - Accent6 4 4 17" xfId="31067" xr:uid="{0A65DC39-9F43-4500-9AAC-17FA14B34421}"/>
    <cellStyle name="40% - Accent6 4 4 18" xfId="32957" xr:uid="{7CD1EE8E-8875-4A4D-8A22-5E90A56D5C6B}"/>
    <cellStyle name="40% - Accent6 4 4 19" xfId="34847" xr:uid="{85F98DFF-B58F-468C-B9CD-15A49A2B2CDE}"/>
    <cellStyle name="40% - Accent6 4 4 2" xfId="2717" xr:uid="{6AB44873-D8AD-4742-A14F-437F26EA04E5}"/>
    <cellStyle name="40% - Accent6 4 4 20" xfId="36737" xr:uid="{28C90DC2-90E4-43E3-985E-75DEBC8A2F79}"/>
    <cellStyle name="40% - Accent6 4 4 21" xfId="38627" xr:uid="{4B1A7509-972C-4F0A-8829-7F0B8EA0446F}"/>
    <cellStyle name="40% - Accent6 4 4 22" xfId="40518" xr:uid="{EFC1849D-7A3F-4528-8524-9E730679E8EC}"/>
    <cellStyle name="40% - Accent6 4 4 3" xfId="4607" xr:uid="{751FB6AA-102A-4F74-A299-ABE14224935B}"/>
    <cellStyle name="40% - Accent6 4 4 4" xfId="6497" xr:uid="{28B834EF-B3FD-49A5-9ACD-4AAA50927E46}"/>
    <cellStyle name="40% - Accent6 4 4 5" xfId="8387" xr:uid="{D789DF40-0573-42A3-BDF0-32077CDC9142}"/>
    <cellStyle name="40% - Accent6 4 4 6" xfId="10277" xr:uid="{D8CD45E4-73C7-4ABD-AD4A-387384F14A5F}"/>
    <cellStyle name="40% - Accent6 4 4 7" xfId="12167" xr:uid="{1DE00CA7-A0ED-4381-9150-ABFDD6C907E6}"/>
    <cellStyle name="40% - Accent6 4 4 8" xfId="14057" xr:uid="{CA1FE1CF-6BA8-4CC9-BEF9-2D869468B637}"/>
    <cellStyle name="40% - Accent6 4 4 9" xfId="15947" xr:uid="{873FC5CD-0726-476D-BCF6-5FE77D442149}"/>
    <cellStyle name="40% - Accent6 4 5" xfId="1457" xr:uid="{E6546964-B0BA-4C5C-A025-4752E2EC44A2}"/>
    <cellStyle name="40% - Accent6 4 5 10" xfId="18467" xr:uid="{91CC82CA-E81A-4297-B0F5-4CCCD1057B2C}"/>
    <cellStyle name="40% - Accent6 4 5 11" xfId="20357" xr:uid="{C3FEEA0B-7634-47EC-AF8C-8F114A615649}"/>
    <cellStyle name="40% - Accent6 4 5 12" xfId="22247" xr:uid="{7A14E243-E1FA-4B7E-A8BB-456B49C889A9}"/>
    <cellStyle name="40% - Accent6 4 5 13" xfId="24137" xr:uid="{36182504-643A-4A41-8680-B9DE7BD80FBE}"/>
    <cellStyle name="40% - Accent6 4 5 14" xfId="26027" xr:uid="{0BAD4253-B3E8-41C3-8475-100222E9CD22}"/>
    <cellStyle name="40% - Accent6 4 5 15" xfId="27917" xr:uid="{E0E1B7B5-6179-4B30-91B5-FBFB4737DA53}"/>
    <cellStyle name="40% - Accent6 4 5 16" xfId="29807" xr:uid="{5D4BFC5D-8115-40F3-8742-EA0806DF90A8}"/>
    <cellStyle name="40% - Accent6 4 5 17" xfId="31697" xr:uid="{96223C63-0CDE-47A4-B4CB-D4F660CD0F89}"/>
    <cellStyle name="40% - Accent6 4 5 18" xfId="33587" xr:uid="{EC02F5FD-B63A-4751-9E5E-A519EF17C6EE}"/>
    <cellStyle name="40% - Accent6 4 5 19" xfId="35477" xr:uid="{98D8A06C-B6B9-4CD4-ACC8-B8563CABBE98}"/>
    <cellStyle name="40% - Accent6 4 5 2" xfId="3347" xr:uid="{BF55247B-949A-40FD-B6B5-BCF74577B4FA}"/>
    <cellStyle name="40% - Accent6 4 5 20" xfId="37367" xr:uid="{856A44BB-0B77-4FBE-883C-965E2BB32C81}"/>
    <cellStyle name="40% - Accent6 4 5 21" xfId="39257" xr:uid="{07CB6AB0-BB24-4FC8-82B8-3A754D32AA26}"/>
    <cellStyle name="40% - Accent6 4 5 22" xfId="41148" xr:uid="{DB34AC14-2A8A-438E-A445-B8EBEE35BA2D}"/>
    <cellStyle name="40% - Accent6 4 5 3" xfId="5237" xr:uid="{0C0C58A7-0CF2-494F-B793-46BF25B5A541}"/>
    <cellStyle name="40% - Accent6 4 5 4" xfId="7127" xr:uid="{1E64DDCF-D9F1-4D64-B82C-646B2AD157BD}"/>
    <cellStyle name="40% - Accent6 4 5 5" xfId="9017" xr:uid="{1F1E9BC2-4817-4CA9-9F49-9CF6E545329A}"/>
    <cellStyle name="40% - Accent6 4 5 6" xfId="10907" xr:uid="{9A6027DB-D0E1-419D-807B-C113BF2E33EA}"/>
    <cellStyle name="40% - Accent6 4 5 7" xfId="12797" xr:uid="{6772E7F2-BAE0-4726-AE8E-AC1A53084B60}"/>
    <cellStyle name="40% - Accent6 4 5 8" xfId="14687" xr:uid="{D62FEF77-8FF5-42BC-8CC0-E8F781319B6C}"/>
    <cellStyle name="40% - Accent6 4 5 9" xfId="16577" xr:uid="{F09337CA-AC0E-417E-8A4C-15DF21D16494}"/>
    <cellStyle name="40% - Accent6 4 6" xfId="2087" xr:uid="{CDE3257E-7593-41F6-A63A-A5260E7A77A1}"/>
    <cellStyle name="40% - Accent6 4 7" xfId="3977" xr:uid="{75F8CEC3-5A4A-4835-8E65-592D84004434}"/>
    <cellStyle name="40% - Accent6 4 8" xfId="5867" xr:uid="{7BA89CF1-5B29-4A97-BE78-E55D7AA0E05E}"/>
    <cellStyle name="40% - Accent6 4 9" xfId="7757" xr:uid="{62180681-BABC-4A3F-9B32-846B65622606}"/>
    <cellStyle name="40% - Accent6 5" xfId="302" xr:uid="{D96704EF-485F-4EE2-A177-8BE3C0733F64}"/>
    <cellStyle name="40% - Accent6 5 10" xfId="13532" xr:uid="{8C0C6013-3316-42B3-93F9-FB7C94DEFE08}"/>
    <cellStyle name="40% - Accent6 5 11" xfId="15422" xr:uid="{1A0E364B-8A1F-4BC0-B608-44A67FEA2454}"/>
    <cellStyle name="40% - Accent6 5 12" xfId="17312" xr:uid="{9E82760E-B3D9-4A88-9152-B2C19288CCE4}"/>
    <cellStyle name="40% - Accent6 5 13" xfId="19202" xr:uid="{4443D161-C3AD-4C02-A09E-AB705F2EFD20}"/>
    <cellStyle name="40% - Accent6 5 14" xfId="21092" xr:uid="{949F7D65-80E4-4D83-A130-C3347DE7F469}"/>
    <cellStyle name="40% - Accent6 5 15" xfId="22982" xr:uid="{2A1C9345-2930-476B-86B3-36F432DBA4C7}"/>
    <cellStyle name="40% - Accent6 5 16" xfId="24872" xr:uid="{8124C700-95A5-4E51-A3D8-AFFC567BE21B}"/>
    <cellStyle name="40% - Accent6 5 17" xfId="26762" xr:uid="{853728E3-B16D-4259-B827-26CD9CE8DDC4}"/>
    <cellStyle name="40% - Accent6 5 18" xfId="28652" xr:uid="{3D29C2A5-8B22-436C-9862-3E6F7775AE28}"/>
    <cellStyle name="40% - Accent6 5 19" xfId="30542" xr:uid="{5742B8DF-BCFF-436F-89FA-D62BD69A19BF}"/>
    <cellStyle name="40% - Accent6 5 2" xfId="932" xr:uid="{6B44CE5A-7FDE-4814-A56F-576EEDB8509E}"/>
    <cellStyle name="40% - Accent6 5 2 10" xfId="17942" xr:uid="{146411FD-1C7D-411B-86AE-93FD7FCBA987}"/>
    <cellStyle name="40% - Accent6 5 2 11" xfId="19832" xr:uid="{95F87F21-8FBA-4349-AAAE-306C3702A87C}"/>
    <cellStyle name="40% - Accent6 5 2 12" xfId="21722" xr:uid="{E22D3F9C-A976-4047-8038-210AAF7E8BEA}"/>
    <cellStyle name="40% - Accent6 5 2 13" xfId="23612" xr:uid="{1810F32C-E472-4936-BCA8-A1538BA41471}"/>
    <cellStyle name="40% - Accent6 5 2 14" xfId="25502" xr:uid="{8EFA8E66-1DA9-4D69-9117-FA7FF193EF10}"/>
    <cellStyle name="40% - Accent6 5 2 15" xfId="27392" xr:uid="{4EF19DF3-8097-4960-8B8C-2C89FA03F731}"/>
    <cellStyle name="40% - Accent6 5 2 16" xfId="29282" xr:uid="{409611BE-5335-41F9-AFEE-61110F70AAF7}"/>
    <cellStyle name="40% - Accent6 5 2 17" xfId="31172" xr:uid="{9ECE1614-477D-474B-BE94-58D609722B1B}"/>
    <cellStyle name="40% - Accent6 5 2 18" xfId="33062" xr:uid="{116C70F1-2859-4220-98B2-D3B614F2ECF6}"/>
    <cellStyle name="40% - Accent6 5 2 19" xfId="34952" xr:uid="{26B4A076-B11F-454E-89EF-5D2ECFD8E402}"/>
    <cellStyle name="40% - Accent6 5 2 2" xfId="2822" xr:uid="{DB81971B-3A08-4112-840D-1CE8D1412CD4}"/>
    <cellStyle name="40% - Accent6 5 2 20" xfId="36842" xr:uid="{943CC1EB-5E74-4CA2-8C83-C68694C53FC9}"/>
    <cellStyle name="40% - Accent6 5 2 21" xfId="38732" xr:uid="{04E1B3D5-6DB1-4321-8F69-DD1D81AB8A82}"/>
    <cellStyle name="40% - Accent6 5 2 22" xfId="40623" xr:uid="{2E6F4D28-3998-4204-A062-AC9B3C703BAE}"/>
    <cellStyle name="40% - Accent6 5 2 3" xfId="4712" xr:uid="{A1127DFD-FC07-462D-AA62-047D1DFA665F}"/>
    <cellStyle name="40% - Accent6 5 2 4" xfId="6602" xr:uid="{868DEFE7-8631-4E5A-86BE-ED1FFC9CA824}"/>
    <cellStyle name="40% - Accent6 5 2 5" xfId="8492" xr:uid="{ECE412E6-F97A-4295-A154-8FB62A9048D9}"/>
    <cellStyle name="40% - Accent6 5 2 6" xfId="10382" xr:uid="{F00C81C8-4509-4588-A594-AA0F11BDD752}"/>
    <cellStyle name="40% - Accent6 5 2 7" xfId="12272" xr:uid="{A88B3F3A-7F97-48B0-B91B-A1670B8A2798}"/>
    <cellStyle name="40% - Accent6 5 2 8" xfId="14162" xr:uid="{3659B474-7978-4154-8587-5801F5D51E48}"/>
    <cellStyle name="40% - Accent6 5 2 9" xfId="16052" xr:uid="{E5BC1189-1792-4EE5-8320-F060D0AE7924}"/>
    <cellStyle name="40% - Accent6 5 20" xfId="32432" xr:uid="{7E81E32B-8010-4A8A-A903-8F890ABA500C}"/>
    <cellStyle name="40% - Accent6 5 21" xfId="34322" xr:uid="{073EF3AB-33C2-4DCF-AC97-38BD27CAC0AD}"/>
    <cellStyle name="40% - Accent6 5 22" xfId="36212" xr:uid="{49E0FDB2-0AC6-4CA9-A939-2368673D33A6}"/>
    <cellStyle name="40% - Accent6 5 23" xfId="38102" xr:uid="{485A41C3-9202-489F-9097-3F3838FE8180}"/>
    <cellStyle name="40% - Accent6 5 24" xfId="39993" xr:uid="{8F58C4EB-3675-48A5-9363-976BBCD38EDC}"/>
    <cellStyle name="40% - Accent6 5 3" xfId="1562" xr:uid="{09F62E45-4740-44EB-9CC7-5BE53B205B38}"/>
    <cellStyle name="40% - Accent6 5 3 10" xfId="18572" xr:uid="{14D51E17-7664-4A45-B48D-DFB348D1EBDE}"/>
    <cellStyle name="40% - Accent6 5 3 11" xfId="20462" xr:uid="{AFBFCD1F-9580-4B17-BAC9-70BB461BBA7E}"/>
    <cellStyle name="40% - Accent6 5 3 12" xfId="22352" xr:uid="{A5C409E2-1B5E-4D7A-9E01-99CA734BCC33}"/>
    <cellStyle name="40% - Accent6 5 3 13" xfId="24242" xr:uid="{E2076FB3-27CA-4109-8D33-819B9630EAF9}"/>
    <cellStyle name="40% - Accent6 5 3 14" xfId="26132" xr:uid="{57C77BFC-4290-42B2-96FA-BCFC4308BDE7}"/>
    <cellStyle name="40% - Accent6 5 3 15" xfId="28022" xr:uid="{8AE8E854-4E95-4926-A3FB-FB88B25D4083}"/>
    <cellStyle name="40% - Accent6 5 3 16" xfId="29912" xr:uid="{05C09FFC-07A3-439C-9E16-85C808CE41FF}"/>
    <cellStyle name="40% - Accent6 5 3 17" xfId="31802" xr:uid="{4C8EB4FD-17F6-49EE-92DD-C90A1A75E024}"/>
    <cellStyle name="40% - Accent6 5 3 18" xfId="33692" xr:uid="{BD92A02E-2B71-4EB0-947E-C8E5BFE55669}"/>
    <cellStyle name="40% - Accent6 5 3 19" xfId="35582" xr:uid="{EF6757EA-B57B-41D1-972F-A56DD68859C7}"/>
    <cellStyle name="40% - Accent6 5 3 2" xfId="3452" xr:uid="{3553FB98-3EFE-4F5E-A16B-1DBB1F45D457}"/>
    <cellStyle name="40% - Accent6 5 3 20" xfId="37472" xr:uid="{8894BAF1-04C6-4FDA-AA71-2290D1EFB626}"/>
    <cellStyle name="40% - Accent6 5 3 21" xfId="39362" xr:uid="{CE3E0748-C1FE-4146-B544-D125799618A0}"/>
    <cellStyle name="40% - Accent6 5 3 22" xfId="41253" xr:uid="{06C0F514-AE32-4136-A23F-FC83EE04E90F}"/>
    <cellStyle name="40% - Accent6 5 3 3" xfId="5342" xr:uid="{553E10F6-8D75-4445-9DBB-520659C43E09}"/>
    <cellStyle name="40% - Accent6 5 3 4" xfId="7232" xr:uid="{5CF8CBCA-D6C8-4A10-9D0F-A1237A349987}"/>
    <cellStyle name="40% - Accent6 5 3 5" xfId="9122" xr:uid="{2EFE138A-93F3-4845-8C81-96081AE55D6B}"/>
    <cellStyle name="40% - Accent6 5 3 6" xfId="11012" xr:uid="{2763CE19-B8C6-4A11-80EA-99342F50D5AB}"/>
    <cellStyle name="40% - Accent6 5 3 7" xfId="12902" xr:uid="{46781EB9-2B8F-4964-A2B4-84580A8EFB31}"/>
    <cellStyle name="40% - Accent6 5 3 8" xfId="14792" xr:uid="{37AD5383-047E-4A14-8418-E2D7E250E7D5}"/>
    <cellStyle name="40% - Accent6 5 3 9" xfId="16682" xr:uid="{8F538DE8-9419-40AC-AA4C-90D319B9E9F7}"/>
    <cellStyle name="40% - Accent6 5 4" xfId="2192" xr:uid="{00E7F6A6-16D8-48B8-A946-9A87A537FD6C}"/>
    <cellStyle name="40% - Accent6 5 5" xfId="4082" xr:uid="{3DA1FAC9-7C86-4AA7-A9A0-BD735D7BE1B5}"/>
    <cellStyle name="40% - Accent6 5 6" xfId="5972" xr:uid="{FD9E9D7F-669E-4A31-BC98-A7EF85771506}"/>
    <cellStyle name="40% - Accent6 5 7" xfId="7862" xr:uid="{7CE44718-D020-48DC-8950-A5BB95C7C4AE}"/>
    <cellStyle name="40% - Accent6 5 8" xfId="9752" xr:uid="{C8955369-5AF7-4EDA-A710-BF6DCE729876}"/>
    <cellStyle name="40% - Accent6 5 9" xfId="11642" xr:uid="{B2CD0AA6-8A87-461E-95E6-DD125659F93D}"/>
    <cellStyle name="40% - Accent6 6" xfId="512" xr:uid="{BAA3475D-0101-4717-9930-60E6E0488E02}"/>
    <cellStyle name="40% - Accent6 6 10" xfId="13742" xr:uid="{D1F2B709-5528-477D-8C4C-2F3BCA45E2DD}"/>
    <cellStyle name="40% - Accent6 6 11" xfId="15632" xr:uid="{CE145D7C-5D7D-46BB-9D47-0E527D10F14D}"/>
    <cellStyle name="40% - Accent6 6 12" xfId="17522" xr:uid="{0FFC3646-703C-4E82-8081-AA76BEA4C443}"/>
    <cellStyle name="40% - Accent6 6 13" xfId="19412" xr:uid="{999E6C13-09C5-4575-96A0-8AE9598919B4}"/>
    <cellStyle name="40% - Accent6 6 14" xfId="21302" xr:uid="{165B4BA3-3882-4126-AA8F-E34F88CA24F5}"/>
    <cellStyle name="40% - Accent6 6 15" xfId="23192" xr:uid="{CD30A149-A509-4037-BFE1-73F3ACF70DCA}"/>
    <cellStyle name="40% - Accent6 6 16" xfId="25082" xr:uid="{02904E05-7664-4D5A-88C6-25077FEC1024}"/>
    <cellStyle name="40% - Accent6 6 17" xfId="26972" xr:uid="{B8E37FFA-FBCE-4DBC-A3D9-640619BFA974}"/>
    <cellStyle name="40% - Accent6 6 18" xfId="28862" xr:uid="{D2C35957-C959-4EDC-BDE6-D43FF6057984}"/>
    <cellStyle name="40% - Accent6 6 19" xfId="30752" xr:uid="{B0F9E9E7-FD00-4F3D-9C94-E7A66B8F525A}"/>
    <cellStyle name="40% - Accent6 6 2" xfId="1142" xr:uid="{0366C795-54F7-4F72-AE88-E0D78307F8C5}"/>
    <cellStyle name="40% - Accent6 6 2 10" xfId="18152" xr:uid="{33C10A09-FEE9-4FDA-81D8-D6BA56EC715E}"/>
    <cellStyle name="40% - Accent6 6 2 11" xfId="20042" xr:uid="{F849563A-2270-41A7-8CF4-24CD631696EC}"/>
    <cellStyle name="40% - Accent6 6 2 12" xfId="21932" xr:uid="{FC6CDA35-355A-412B-AFC1-DB565D1FBEEB}"/>
    <cellStyle name="40% - Accent6 6 2 13" xfId="23822" xr:uid="{9BE4FEF5-EEAC-40A7-8DDB-27EB2F02FE92}"/>
    <cellStyle name="40% - Accent6 6 2 14" xfId="25712" xr:uid="{FC3F197A-C9AA-4450-8FE4-2AB0414B4611}"/>
    <cellStyle name="40% - Accent6 6 2 15" xfId="27602" xr:uid="{71225081-08CC-46A2-8840-87876E6EDBC0}"/>
    <cellStyle name="40% - Accent6 6 2 16" xfId="29492" xr:uid="{F721414A-8ACA-4401-B04B-AB18165B0D49}"/>
    <cellStyle name="40% - Accent6 6 2 17" xfId="31382" xr:uid="{8D2E8F5B-96C3-4682-967E-43D3CB3BDF3A}"/>
    <cellStyle name="40% - Accent6 6 2 18" xfId="33272" xr:uid="{66D76A51-B054-4668-A482-636935DCA21B}"/>
    <cellStyle name="40% - Accent6 6 2 19" xfId="35162" xr:uid="{13D3C615-DDC1-42BF-A7BA-F37748C8672D}"/>
    <cellStyle name="40% - Accent6 6 2 2" xfId="3032" xr:uid="{E0890448-AF1E-47AE-9012-4CB16C9AB6FB}"/>
    <cellStyle name="40% - Accent6 6 2 20" xfId="37052" xr:uid="{55AB1B0B-D73F-4781-AA7B-28D6ED0863DB}"/>
    <cellStyle name="40% - Accent6 6 2 21" xfId="38942" xr:uid="{5FE388CE-2E32-4B72-90BC-83DFACFCD726}"/>
    <cellStyle name="40% - Accent6 6 2 22" xfId="40833" xr:uid="{1740467D-3CF3-4F82-B047-9D291B23FE74}"/>
    <cellStyle name="40% - Accent6 6 2 3" xfId="4922" xr:uid="{324A00F5-BCEC-476A-AB0B-9853B603A4CA}"/>
    <cellStyle name="40% - Accent6 6 2 4" xfId="6812" xr:uid="{B6DB29D9-5FD9-4A04-A1C3-17BA4559E3D7}"/>
    <cellStyle name="40% - Accent6 6 2 5" xfId="8702" xr:uid="{01FD2959-8B9D-4A0B-96D4-101716C0AF00}"/>
    <cellStyle name="40% - Accent6 6 2 6" xfId="10592" xr:uid="{BF5CFE06-ED58-4A5C-8154-829DCD9AE485}"/>
    <cellStyle name="40% - Accent6 6 2 7" xfId="12482" xr:uid="{324E7299-E222-4D79-AD26-D84B6E2D9CA5}"/>
    <cellStyle name="40% - Accent6 6 2 8" xfId="14372" xr:uid="{337D6112-8BF4-46C9-A160-0554BACBB4C9}"/>
    <cellStyle name="40% - Accent6 6 2 9" xfId="16262" xr:uid="{2EC5ECCE-B30A-417E-AD5F-8E762B341FCE}"/>
    <cellStyle name="40% - Accent6 6 20" xfId="32642" xr:uid="{51B546B2-8B4A-439D-BE04-5B78371DB777}"/>
    <cellStyle name="40% - Accent6 6 21" xfId="34532" xr:uid="{A4CFE223-00A8-4E34-B498-CCCB1E91BE34}"/>
    <cellStyle name="40% - Accent6 6 22" xfId="36422" xr:uid="{D1921405-7756-4400-B23B-E0AB94F34140}"/>
    <cellStyle name="40% - Accent6 6 23" xfId="38312" xr:uid="{4E62BE34-EA7E-4CE8-8792-B297C87D7C89}"/>
    <cellStyle name="40% - Accent6 6 24" xfId="40203" xr:uid="{F9C70AA6-D63F-40A8-AFE9-C239197040AE}"/>
    <cellStyle name="40% - Accent6 6 3" xfId="1772" xr:uid="{A1070301-1F38-4EEB-92EA-30128E55EE0B}"/>
    <cellStyle name="40% - Accent6 6 3 10" xfId="18782" xr:uid="{D606F772-920E-4A39-B1B4-C44B1468FCDB}"/>
    <cellStyle name="40% - Accent6 6 3 11" xfId="20672" xr:uid="{41C07FDA-1AFD-41EA-9216-AA48602432EB}"/>
    <cellStyle name="40% - Accent6 6 3 12" xfId="22562" xr:uid="{ED21D465-B725-43AF-BBF3-F40123E0905C}"/>
    <cellStyle name="40% - Accent6 6 3 13" xfId="24452" xr:uid="{FABDC7F0-ED4A-4456-A10D-58287878446F}"/>
    <cellStyle name="40% - Accent6 6 3 14" xfId="26342" xr:uid="{47BE80AA-F583-4122-80BA-E12E5DF94F7F}"/>
    <cellStyle name="40% - Accent6 6 3 15" xfId="28232" xr:uid="{D1D12FC7-6AA2-4903-BF73-6DDBAA2DA243}"/>
    <cellStyle name="40% - Accent6 6 3 16" xfId="30122" xr:uid="{204E0968-345B-4664-A091-F08BCEDCB180}"/>
    <cellStyle name="40% - Accent6 6 3 17" xfId="32012" xr:uid="{127BA516-41FC-438D-92C7-9E70C4615AEE}"/>
    <cellStyle name="40% - Accent6 6 3 18" xfId="33902" xr:uid="{898726CB-32BE-4550-B93D-B1BAB3375F99}"/>
    <cellStyle name="40% - Accent6 6 3 19" xfId="35792" xr:uid="{807D649F-750E-45E8-B0A3-AA723A8064BF}"/>
    <cellStyle name="40% - Accent6 6 3 2" xfId="3662" xr:uid="{83B114D6-2853-4066-956A-2E850339B413}"/>
    <cellStyle name="40% - Accent6 6 3 20" xfId="37682" xr:uid="{411E9315-B68A-4A2D-B682-09B25DEC9DF5}"/>
    <cellStyle name="40% - Accent6 6 3 21" xfId="39572" xr:uid="{4B708592-4053-499C-A8BB-43D30CB3D1D6}"/>
    <cellStyle name="40% - Accent6 6 3 22" xfId="41463" xr:uid="{8E806660-9D31-4234-B145-1EEF56FB8E23}"/>
    <cellStyle name="40% - Accent6 6 3 3" xfId="5552" xr:uid="{3BBA5E1D-336A-4B7C-80F6-8811ACE6D26A}"/>
    <cellStyle name="40% - Accent6 6 3 4" xfId="7442" xr:uid="{AE60472E-A8F3-4331-8CA1-863B51545352}"/>
    <cellStyle name="40% - Accent6 6 3 5" xfId="9332" xr:uid="{E3F4FF73-C37E-4C8F-822D-7957127CC7E1}"/>
    <cellStyle name="40% - Accent6 6 3 6" xfId="11222" xr:uid="{EC49C6F8-F3BE-475A-BEC6-2667D61AAB2E}"/>
    <cellStyle name="40% - Accent6 6 3 7" xfId="13112" xr:uid="{AA0E25BB-93C7-428F-B2C9-1C8E86A075A6}"/>
    <cellStyle name="40% - Accent6 6 3 8" xfId="15002" xr:uid="{CE0CE483-A601-490F-BD6E-B5DF5E305589}"/>
    <cellStyle name="40% - Accent6 6 3 9" xfId="16892" xr:uid="{242273FF-CB03-4EEE-942E-0D904426C952}"/>
    <cellStyle name="40% - Accent6 6 4" xfId="2402" xr:uid="{6F410073-51C6-4462-B2E8-CAC26A81ABFB}"/>
    <cellStyle name="40% - Accent6 6 5" xfId="4292" xr:uid="{350F6CB0-F5DF-442D-8681-80AB3508545F}"/>
    <cellStyle name="40% - Accent6 6 6" xfId="6182" xr:uid="{DB87D361-4F75-405A-92B7-6F0E6CC33C82}"/>
    <cellStyle name="40% - Accent6 6 7" xfId="8072" xr:uid="{075589B6-F171-4907-9C67-F9683546827D}"/>
    <cellStyle name="40% - Accent6 6 8" xfId="9962" xr:uid="{E816D084-EFD3-49D1-B2C4-82B5C4D56F8A}"/>
    <cellStyle name="40% - Accent6 6 9" xfId="11852" xr:uid="{59371677-9954-4A62-8A55-F2A99E13DE67}"/>
    <cellStyle name="40% - Accent6 7" xfId="722" xr:uid="{9F1584DA-EA1C-4780-9827-09FC47DB90C5}"/>
    <cellStyle name="40% - Accent6 7 10" xfId="17732" xr:uid="{D5888004-D122-4AAD-9465-7C8AD0E79AD8}"/>
    <cellStyle name="40% - Accent6 7 11" xfId="19622" xr:uid="{6CB2CAAD-8115-42FA-9430-5CA3D43DF388}"/>
    <cellStyle name="40% - Accent6 7 12" xfId="21512" xr:uid="{80A78ADD-6776-448A-B04E-A30C7963DB51}"/>
    <cellStyle name="40% - Accent6 7 13" xfId="23402" xr:uid="{DFD82B28-A496-4002-BF24-C9B06AC1C613}"/>
    <cellStyle name="40% - Accent6 7 14" xfId="25292" xr:uid="{6E33AD8F-D394-407F-BFE8-FB27EBB51A9D}"/>
    <cellStyle name="40% - Accent6 7 15" xfId="27182" xr:uid="{4B59BA97-159B-4E98-82FE-A018BBF347C2}"/>
    <cellStyle name="40% - Accent6 7 16" xfId="29072" xr:uid="{19E4CB8E-C032-4CB5-8E4B-B7DA08EB0538}"/>
    <cellStyle name="40% - Accent6 7 17" xfId="30962" xr:uid="{AFBDB72C-E9A7-446D-A58D-8D1235201FFE}"/>
    <cellStyle name="40% - Accent6 7 18" xfId="32852" xr:uid="{7A236695-FDA7-4804-95E5-F8BE37351741}"/>
    <cellStyle name="40% - Accent6 7 19" xfId="34742" xr:uid="{FADCF81A-8195-460B-B3F5-B91A9E28404C}"/>
    <cellStyle name="40% - Accent6 7 2" xfId="2612" xr:uid="{25D434C3-71DD-4F85-BBC4-4775CC9E6581}"/>
    <cellStyle name="40% - Accent6 7 20" xfId="36632" xr:uid="{8ABC5C56-DB6A-4E90-A81B-A652F9B3063F}"/>
    <cellStyle name="40% - Accent6 7 21" xfId="38522" xr:uid="{DA25F7BB-1968-477A-9BC6-E226BEA8E9E5}"/>
    <cellStyle name="40% - Accent6 7 22" xfId="40413" xr:uid="{44CD633F-B3EE-4267-8C9F-5CA2C7A66FEA}"/>
    <cellStyle name="40% - Accent6 7 3" xfId="4502" xr:uid="{C88B5F76-712B-4F16-8259-1E85E22EEE51}"/>
    <cellStyle name="40% - Accent6 7 4" xfId="6392" xr:uid="{146EEAB3-39DD-4E97-8400-91C10AFD355C}"/>
    <cellStyle name="40% - Accent6 7 5" xfId="8282" xr:uid="{101F973D-9C80-4DB7-8612-AF56293025F4}"/>
    <cellStyle name="40% - Accent6 7 6" xfId="10172" xr:uid="{0EE353A3-EA32-4A26-A43B-3880ABF18B74}"/>
    <cellStyle name="40% - Accent6 7 7" xfId="12062" xr:uid="{22878FDD-B8E8-4B98-8807-228EACDA31B5}"/>
    <cellStyle name="40% - Accent6 7 8" xfId="13952" xr:uid="{8262C9F4-6A58-4334-82C8-6617E887EBE2}"/>
    <cellStyle name="40% - Accent6 7 9" xfId="15842" xr:uid="{1112E609-7A9B-40EF-8338-5835DAE181DA}"/>
    <cellStyle name="40% - Accent6 8" xfId="1352" xr:uid="{62E936E8-F256-4BD5-B29B-2ED0C4BD7A3F}"/>
    <cellStyle name="40% - Accent6 8 10" xfId="18362" xr:uid="{B7F37B0B-BE27-41C2-9F6B-3AFD623351BD}"/>
    <cellStyle name="40% - Accent6 8 11" xfId="20252" xr:uid="{F387E0F0-473C-45B4-8B32-423DF624F003}"/>
    <cellStyle name="40% - Accent6 8 12" xfId="22142" xr:uid="{5969286F-0DE7-45FF-8A94-7E3D199F9C78}"/>
    <cellStyle name="40% - Accent6 8 13" xfId="24032" xr:uid="{319581F7-DDB7-4853-8600-202244264F7E}"/>
    <cellStyle name="40% - Accent6 8 14" xfId="25922" xr:uid="{4998AB00-CC01-4020-A1D1-95FE386A128F}"/>
    <cellStyle name="40% - Accent6 8 15" xfId="27812" xr:uid="{1F8F6DB1-D163-4FB1-97BD-576DCA526947}"/>
    <cellStyle name="40% - Accent6 8 16" xfId="29702" xr:uid="{DBE44717-C6A9-4CE2-A56D-0D8CD2EB6B60}"/>
    <cellStyle name="40% - Accent6 8 17" xfId="31592" xr:uid="{9DF26DC3-61FC-4012-BD4F-F64820CF9453}"/>
    <cellStyle name="40% - Accent6 8 18" xfId="33482" xr:uid="{1C2930C0-11D5-4A99-8932-A50853EA1933}"/>
    <cellStyle name="40% - Accent6 8 19" xfId="35372" xr:uid="{8506779E-F2A0-49CB-B3EE-4933694990DA}"/>
    <cellStyle name="40% - Accent6 8 2" xfId="3242" xr:uid="{13832F39-362F-4089-8BDC-4A90C40529D1}"/>
    <cellStyle name="40% - Accent6 8 20" xfId="37262" xr:uid="{7777263C-84A1-43FF-8976-C49871A1239C}"/>
    <cellStyle name="40% - Accent6 8 21" xfId="39152" xr:uid="{0F4EFA6B-D005-45BB-BD29-5FA883E8248D}"/>
    <cellStyle name="40% - Accent6 8 22" xfId="41043" xr:uid="{DC09EB8C-0B38-4198-A9AA-F71408FFD5B6}"/>
    <cellStyle name="40% - Accent6 8 3" xfId="5132" xr:uid="{F7B48265-39EE-4B3D-9859-0AACFB299DCE}"/>
    <cellStyle name="40% - Accent6 8 4" xfId="7022" xr:uid="{27A3C918-63E1-4833-9910-2C96356DB7C1}"/>
    <cellStyle name="40% - Accent6 8 5" xfId="8912" xr:uid="{09A0DEA8-BECF-4DD9-961B-47298FC9E88C}"/>
    <cellStyle name="40% - Accent6 8 6" xfId="10802" xr:uid="{C99554D3-B449-47D8-9C73-5BCA9811772D}"/>
    <cellStyle name="40% - Accent6 8 7" xfId="12692" xr:uid="{01329A51-708E-476B-9519-B70CA53FC078}"/>
    <cellStyle name="40% - Accent6 8 8" xfId="14582" xr:uid="{9233E677-8DF7-497C-8C74-4B10AEEA16B7}"/>
    <cellStyle name="40% - Accent6 8 9" xfId="16472" xr:uid="{6E749CF3-0BFB-42C8-86DF-85F48469C8AD}"/>
    <cellStyle name="40% - Accent6 9" xfId="1982" xr:uid="{7762A97A-16B6-463C-8820-3C2BCF260EFE}"/>
    <cellStyle name="60% - Accent1" xfId="73" builtinId="32" customBuiltin="1"/>
    <cellStyle name="60% - Accent1 10" xfId="3858" xr:uid="{8C97E119-50EC-4786-80E2-5C9783123023}"/>
    <cellStyle name="60% - Accent1 11" xfId="5748" xr:uid="{768DF0E0-3C56-4D88-8507-F11E36BD84F3}"/>
    <cellStyle name="60% - Accent1 12" xfId="7638" xr:uid="{BF3B7417-2B61-4446-AD12-653458DF086B}"/>
    <cellStyle name="60% - Accent1 13" xfId="9528" xr:uid="{A631A2A5-8A20-467F-AB96-D067C98D1F07}"/>
    <cellStyle name="60% - Accent1 14" xfId="11418" xr:uid="{62912BB1-6929-4E8E-8D84-735910A8C260}"/>
    <cellStyle name="60% - Accent1 15" xfId="13308" xr:uid="{F506ABF1-2F61-49AC-ADAE-777B0084F252}"/>
    <cellStyle name="60% - Accent1 16" xfId="15198" xr:uid="{0E7CCB64-9717-45D4-BBF8-C47FC268EB30}"/>
    <cellStyle name="60% - Accent1 17" xfId="17088" xr:uid="{3FD854B2-7AAC-40D5-AFBF-47C345961730}"/>
    <cellStyle name="60% - Accent1 18" xfId="18978" xr:uid="{B9524364-583F-4857-BE9D-428CADB7DA48}"/>
    <cellStyle name="60% - Accent1 19" xfId="20868" xr:uid="{F04333E1-DAEF-483C-8024-656B198B71FF}"/>
    <cellStyle name="60% - Accent1 2" xfId="100" xr:uid="{CE84FF3D-BC9B-4320-9635-20E292A5F5E2}"/>
    <cellStyle name="60% - Accent1 2 10" xfId="7660" xr:uid="{F79D126F-3986-4311-A75C-74972AA0D9C5}"/>
    <cellStyle name="60% - Accent1 2 11" xfId="9550" xr:uid="{6C5A8251-781C-4A23-B489-6D7ECC7EE522}"/>
    <cellStyle name="60% - Accent1 2 12" xfId="11440" xr:uid="{506B50E3-1A7C-4266-9021-C161D64C6F6D}"/>
    <cellStyle name="60% - Accent1 2 13" xfId="13330" xr:uid="{A88F9E4D-0045-492E-AE6F-CA06EFB41A7F}"/>
    <cellStyle name="60% - Accent1 2 14" xfId="15220" xr:uid="{BF52E813-C263-480C-8AF9-4A98561659C7}"/>
    <cellStyle name="60% - Accent1 2 15" xfId="17110" xr:uid="{5CCFA1E3-3F39-486C-B5F7-8D281BB37B7A}"/>
    <cellStyle name="60% - Accent1 2 16" xfId="19000" xr:uid="{D9E11DF8-1F05-4857-9497-80059A928819}"/>
    <cellStyle name="60% - Accent1 2 17" xfId="20890" xr:uid="{116A9397-DC76-4CB5-87AF-5475412F72F4}"/>
    <cellStyle name="60% - Accent1 2 18" xfId="22780" xr:uid="{2BFC3D09-233C-47B7-BD6F-6C49F0A60215}"/>
    <cellStyle name="60% - Accent1 2 19" xfId="24670" xr:uid="{0E041AEC-E9B8-4C2F-AACD-54257F73FCFB}"/>
    <cellStyle name="60% - Accent1 2 2" xfId="205" xr:uid="{E8E6B107-8D16-4985-AB3D-811ED438CCC1}"/>
    <cellStyle name="60% - Accent1 2 2 10" xfId="9655" xr:uid="{02031BE7-1AEE-46DD-A2D6-102098688C91}"/>
    <cellStyle name="60% - Accent1 2 2 11" xfId="11545" xr:uid="{D29DCC0E-3421-4FF6-9BC6-117396E26600}"/>
    <cellStyle name="60% - Accent1 2 2 12" xfId="13435" xr:uid="{69588EAC-47D8-4AB4-A827-55112EDEDDDF}"/>
    <cellStyle name="60% - Accent1 2 2 13" xfId="15325" xr:uid="{CABA8783-9595-41E7-961F-19E071AB0B76}"/>
    <cellStyle name="60% - Accent1 2 2 14" xfId="17215" xr:uid="{8A26D852-DC0D-4B40-89C3-BC4D0C74BD34}"/>
    <cellStyle name="60% - Accent1 2 2 15" xfId="19105" xr:uid="{AF61A240-E4EE-4EFA-BF95-AE184E33E3FE}"/>
    <cellStyle name="60% - Accent1 2 2 16" xfId="20995" xr:uid="{CCBB94A7-ED1F-4E23-9493-387794102870}"/>
    <cellStyle name="60% - Accent1 2 2 17" xfId="22885" xr:uid="{453A1778-373C-4FF6-A7AA-97F190EADDF2}"/>
    <cellStyle name="60% - Accent1 2 2 18" xfId="24775" xr:uid="{992A7663-4C85-4CBB-8070-24923B6D0278}"/>
    <cellStyle name="60% - Accent1 2 2 19" xfId="26665" xr:uid="{09105344-2A26-4C74-933F-FB0BD8D9FD47}"/>
    <cellStyle name="60% - Accent1 2 2 2" xfId="415" xr:uid="{67463E3B-EFC5-4A65-941C-B7694079D603}"/>
    <cellStyle name="60% - Accent1 2 2 2 10" xfId="13645" xr:uid="{0447454E-149F-4DEA-8937-393698D5EDBD}"/>
    <cellStyle name="60% - Accent1 2 2 2 11" xfId="15535" xr:uid="{618739E3-DCB8-434E-9DB5-340BCCA92C00}"/>
    <cellStyle name="60% - Accent1 2 2 2 12" xfId="17425" xr:uid="{F27C81F7-9D3C-45C2-BACC-6F8F81BFE12A}"/>
    <cellStyle name="60% - Accent1 2 2 2 13" xfId="19315" xr:uid="{B598E19E-4980-4F6E-AB54-BC476BCF2E52}"/>
    <cellStyle name="60% - Accent1 2 2 2 14" xfId="21205" xr:uid="{236EC5F3-11E5-4B16-BD45-3A7B38DE0521}"/>
    <cellStyle name="60% - Accent1 2 2 2 15" xfId="23095" xr:uid="{797E0E61-E906-4FC8-9464-EAE3FD4FECC9}"/>
    <cellStyle name="60% - Accent1 2 2 2 16" xfId="24985" xr:uid="{6A028A44-2DA7-4696-9F55-859949831784}"/>
    <cellStyle name="60% - Accent1 2 2 2 17" xfId="26875" xr:uid="{70420E4C-0882-44AD-8F6D-696BB8C9B2BB}"/>
    <cellStyle name="60% - Accent1 2 2 2 18" xfId="28765" xr:uid="{D703C5BA-15BD-4D5A-BE25-C75FB638E075}"/>
    <cellStyle name="60% - Accent1 2 2 2 19" xfId="30655" xr:uid="{6BE0076E-F1BB-4844-B438-86B2924FDA2A}"/>
    <cellStyle name="60% - Accent1 2 2 2 2" xfId="1045" xr:uid="{140BC59A-4AA0-4E75-B2CE-FE2058B898BF}"/>
    <cellStyle name="60% - Accent1 2 2 2 2 10" xfId="18055" xr:uid="{7A84BC43-5EF1-495F-80CD-ABEFB162F421}"/>
    <cellStyle name="60% - Accent1 2 2 2 2 11" xfId="19945" xr:uid="{128E8CBE-CDA3-44E1-BAC8-8982D67F1C28}"/>
    <cellStyle name="60% - Accent1 2 2 2 2 12" xfId="21835" xr:uid="{D1895876-C0DA-44F1-9DFC-1545A081FA52}"/>
    <cellStyle name="60% - Accent1 2 2 2 2 13" xfId="23725" xr:uid="{D3334E52-BF78-4FF6-9E7C-7D6B7220E0C9}"/>
    <cellStyle name="60% - Accent1 2 2 2 2 14" xfId="25615" xr:uid="{B0192398-B29E-4AEB-94C6-7AF77D485F31}"/>
    <cellStyle name="60% - Accent1 2 2 2 2 15" xfId="27505" xr:uid="{A508529C-F78F-4D36-A174-AFEEF9B83E36}"/>
    <cellStyle name="60% - Accent1 2 2 2 2 16" xfId="29395" xr:uid="{6C986661-7B83-431F-BC34-1FAE0EC214FF}"/>
    <cellStyle name="60% - Accent1 2 2 2 2 17" xfId="31285" xr:uid="{C772B6F1-90A5-4FCA-AD1B-EC82CB036363}"/>
    <cellStyle name="60% - Accent1 2 2 2 2 18" xfId="33175" xr:uid="{E5A8CD36-56C5-42B0-85D9-D38F5A11BE25}"/>
    <cellStyle name="60% - Accent1 2 2 2 2 19" xfId="35065" xr:uid="{426D7312-525F-4E56-B2B6-3DAE8D4C06F2}"/>
    <cellStyle name="60% - Accent1 2 2 2 2 2" xfId="2935" xr:uid="{9B06D575-95FF-404E-A1DB-074D3D2D84D6}"/>
    <cellStyle name="60% - Accent1 2 2 2 2 20" xfId="36955" xr:uid="{FF676603-FE46-452C-BF56-EF2D4EC8F72D}"/>
    <cellStyle name="60% - Accent1 2 2 2 2 21" xfId="38845" xr:uid="{EB7C65B7-E0A8-4813-A0FD-CBC7AB067724}"/>
    <cellStyle name="60% - Accent1 2 2 2 2 22" xfId="40736" xr:uid="{33F9E206-5157-41C7-BDED-E303DAC8CA08}"/>
    <cellStyle name="60% - Accent1 2 2 2 2 3" xfId="4825" xr:uid="{73919FDF-3428-4171-9ED5-C40AB258A736}"/>
    <cellStyle name="60% - Accent1 2 2 2 2 4" xfId="6715" xr:uid="{28CBCF5A-F170-4288-9C9A-A79A3339D356}"/>
    <cellStyle name="60% - Accent1 2 2 2 2 5" xfId="8605" xr:uid="{3AF1D7E5-54E9-4573-B844-58D3676E8D0E}"/>
    <cellStyle name="60% - Accent1 2 2 2 2 6" xfId="10495" xr:uid="{5BB3C71E-10EE-4694-9DBF-12071D6C8106}"/>
    <cellStyle name="60% - Accent1 2 2 2 2 7" xfId="12385" xr:uid="{17020E1B-6020-4724-8958-6571ECAFFE5D}"/>
    <cellStyle name="60% - Accent1 2 2 2 2 8" xfId="14275" xr:uid="{3CAC23D4-19A0-4C40-8323-7B90B8B13095}"/>
    <cellStyle name="60% - Accent1 2 2 2 2 9" xfId="16165" xr:uid="{38E43FCD-3E64-438E-BD4B-E60342C6C289}"/>
    <cellStyle name="60% - Accent1 2 2 2 20" xfId="32545" xr:uid="{0584E518-02B4-4F85-8D28-F77A63F338A9}"/>
    <cellStyle name="60% - Accent1 2 2 2 21" xfId="34435" xr:uid="{5E71A239-2A43-48A1-89BB-5E664DF895BB}"/>
    <cellStyle name="60% - Accent1 2 2 2 22" xfId="36325" xr:uid="{ED91882E-3D61-4B55-807F-131A66CC3302}"/>
    <cellStyle name="60% - Accent1 2 2 2 23" xfId="38215" xr:uid="{63CCE021-812C-4B2C-A3F6-380F0A0453FC}"/>
    <cellStyle name="60% - Accent1 2 2 2 24" xfId="40106" xr:uid="{7F7928D8-4729-4CA7-A4A2-137490090BE0}"/>
    <cellStyle name="60% - Accent1 2 2 2 3" xfId="1675" xr:uid="{3864D771-5CF1-467B-934B-4749B9235B73}"/>
    <cellStyle name="60% - Accent1 2 2 2 3 10" xfId="18685" xr:uid="{CFDF1A00-9DD6-4387-B41C-D97111FFD7E1}"/>
    <cellStyle name="60% - Accent1 2 2 2 3 11" xfId="20575" xr:uid="{781771F1-3D4A-417E-8E49-4B56D3A298C0}"/>
    <cellStyle name="60% - Accent1 2 2 2 3 12" xfId="22465" xr:uid="{E5E97CD9-A709-41D3-A2E6-CD73B2FD388D}"/>
    <cellStyle name="60% - Accent1 2 2 2 3 13" xfId="24355" xr:uid="{16AED29C-7788-47BF-B33C-3AAB0A30B0AC}"/>
    <cellStyle name="60% - Accent1 2 2 2 3 14" xfId="26245" xr:uid="{D8BB9A01-0973-4714-A0BF-709A92A5673B}"/>
    <cellStyle name="60% - Accent1 2 2 2 3 15" xfId="28135" xr:uid="{9D860632-7F48-4FE2-A29E-11E8B1EC19F8}"/>
    <cellStyle name="60% - Accent1 2 2 2 3 16" xfId="30025" xr:uid="{259FA7BA-E8B0-47E0-B745-F461278E2F82}"/>
    <cellStyle name="60% - Accent1 2 2 2 3 17" xfId="31915" xr:uid="{C16A662C-588E-416B-8D32-169BCEAFCDB2}"/>
    <cellStyle name="60% - Accent1 2 2 2 3 18" xfId="33805" xr:uid="{BD105218-566D-4D5E-B4D8-510F29B196F0}"/>
    <cellStyle name="60% - Accent1 2 2 2 3 19" xfId="35695" xr:uid="{F59672E2-D7ED-4710-B666-E1B7E231805A}"/>
    <cellStyle name="60% - Accent1 2 2 2 3 2" xfId="3565" xr:uid="{0D214404-390D-4BC6-98A1-EEF9D782BD48}"/>
    <cellStyle name="60% - Accent1 2 2 2 3 20" xfId="37585" xr:uid="{C496C6ED-9F2C-4A85-AD64-9157CFD5260F}"/>
    <cellStyle name="60% - Accent1 2 2 2 3 21" xfId="39475" xr:uid="{6E37C2BC-5747-401F-ABAF-9F5A06FA5DCE}"/>
    <cellStyle name="60% - Accent1 2 2 2 3 22" xfId="41366" xr:uid="{5458B0C5-4048-4B24-8F6C-A4D259C95F8F}"/>
    <cellStyle name="60% - Accent1 2 2 2 3 3" xfId="5455" xr:uid="{D0B13BEC-CB52-4882-8468-12F54976FB00}"/>
    <cellStyle name="60% - Accent1 2 2 2 3 4" xfId="7345" xr:uid="{B0D6FF9A-F334-4C29-BDCA-BC8B6D5CE73D}"/>
    <cellStyle name="60% - Accent1 2 2 2 3 5" xfId="9235" xr:uid="{83B66105-62DC-4BC3-98A0-9227F417F966}"/>
    <cellStyle name="60% - Accent1 2 2 2 3 6" xfId="11125" xr:uid="{8430CB46-C621-47D1-8CCE-7CCC6F02F25C}"/>
    <cellStyle name="60% - Accent1 2 2 2 3 7" xfId="13015" xr:uid="{6C0B2B30-8A50-4DE7-8237-7D9B215D89B5}"/>
    <cellStyle name="60% - Accent1 2 2 2 3 8" xfId="14905" xr:uid="{927D7ADB-22B4-4C77-8417-9E954089452C}"/>
    <cellStyle name="60% - Accent1 2 2 2 3 9" xfId="16795" xr:uid="{2F2E37CB-F786-429E-8A62-14A6A2A51D80}"/>
    <cellStyle name="60% - Accent1 2 2 2 4" xfId="2305" xr:uid="{0DE298F7-B320-462C-8D77-E67C0C70D18B}"/>
    <cellStyle name="60% - Accent1 2 2 2 5" xfId="4195" xr:uid="{7674F657-834F-4364-B06E-CC559F97940A}"/>
    <cellStyle name="60% - Accent1 2 2 2 6" xfId="6085" xr:uid="{4467DB41-85B9-497E-8212-07AA1A87DB07}"/>
    <cellStyle name="60% - Accent1 2 2 2 7" xfId="7975" xr:uid="{74DDE278-16B5-4A8A-8E04-73B60FBEBA26}"/>
    <cellStyle name="60% - Accent1 2 2 2 8" xfId="9865" xr:uid="{DCB7B780-98D6-4E2B-A73E-338E6A1AE60D}"/>
    <cellStyle name="60% - Accent1 2 2 2 9" xfId="11755" xr:uid="{63418189-47C2-4747-A9F9-4B566B46D338}"/>
    <cellStyle name="60% - Accent1 2 2 20" xfId="28555" xr:uid="{0CFAEF85-1B80-4E55-B29B-BEF47ADEFFA3}"/>
    <cellStyle name="60% - Accent1 2 2 21" xfId="30445" xr:uid="{D86DFEC0-FB52-4633-B00B-03E19E5D377E}"/>
    <cellStyle name="60% - Accent1 2 2 22" xfId="32335" xr:uid="{C032E443-7772-4B5A-8CA4-2E361B30E049}"/>
    <cellStyle name="60% - Accent1 2 2 23" xfId="34225" xr:uid="{98DC9A5B-1443-4797-8F02-11181F793C19}"/>
    <cellStyle name="60% - Accent1 2 2 24" xfId="36115" xr:uid="{2514646F-A99C-4320-8FC9-39A8151BCC33}"/>
    <cellStyle name="60% - Accent1 2 2 25" xfId="38005" xr:uid="{E954DFD1-98B1-4F9C-8AF6-D44275FFD6BA}"/>
    <cellStyle name="60% - Accent1 2 2 26" xfId="39896" xr:uid="{DA7CC152-6398-4404-ADAA-116A11C4C1B3}"/>
    <cellStyle name="60% - Accent1 2 2 3" xfId="625" xr:uid="{900E7D41-60E6-40FF-AE44-9D5A8DC10C94}"/>
    <cellStyle name="60% - Accent1 2 2 3 10" xfId="13855" xr:uid="{64C5FD02-4A07-4999-B19F-98BAF92248A8}"/>
    <cellStyle name="60% - Accent1 2 2 3 11" xfId="15745" xr:uid="{BAF06184-233D-4D33-BFA4-94659C14923F}"/>
    <cellStyle name="60% - Accent1 2 2 3 12" xfId="17635" xr:uid="{39F9F5D2-367F-483D-BB01-5DD98A9B27D2}"/>
    <cellStyle name="60% - Accent1 2 2 3 13" xfId="19525" xr:uid="{A57E94CF-7DF3-4164-9BFD-40A5DCE9637E}"/>
    <cellStyle name="60% - Accent1 2 2 3 14" xfId="21415" xr:uid="{D9FD2E77-B1E8-4465-B180-74C1483C0ADB}"/>
    <cellStyle name="60% - Accent1 2 2 3 15" xfId="23305" xr:uid="{B56F5C77-DA8D-4F5B-8F30-1BC99ECD0F71}"/>
    <cellStyle name="60% - Accent1 2 2 3 16" xfId="25195" xr:uid="{F46481A2-36BA-4196-8D00-85F489F1217A}"/>
    <cellStyle name="60% - Accent1 2 2 3 17" xfId="27085" xr:uid="{328DF499-DC7C-4D17-8241-45BD836EAD98}"/>
    <cellStyle name="60% - Accent1 2 2 3 18" xfId="28975" xr:uid="{5C27F76A-2111-4C90-A054-2EF26F548111}"/>
    <cellStyle name="60% - Accent1 2 2 3 19" xfId="30865" xr:uid="{05827CBD-16DB-4E7D-B3FF-A311A10E500A}"/>
    <cellStyle name="60% - Accent1 2 2 3 2" xfId="1255" xr:uid="{AA9514F4-B807-4A62-B1BE-9C902595047C}"/>
    <cellStyle name="60% - Accent1 2 2 3 2 10" xfId="18265" xr:uid="{1F17CCB7-2E7C-4C9C-BADE-220CD55255BF}"/>
    <cellStyle name="60% - Accent1 2 2 3 2 11" xfId="20155" xr:uid="{2556F37A-0D98-4176-98EA-1835C74CB177}"/>
    <cellStyle name="60% - Accent1 2 2 3 2 12" xfId="22045" xr:uid="{84EB8116-0270-429E-87F3-D3BE07901AB7}"/>
    <cellStyle name="60% - Accent1 2 2 3 2 13" xfId="23935" xr:uid="{B9CF14F5-EAF4-447D-A8D3-4B245C10DCF4}"/>
    <cellStyle name="60% - Accent1 2 2 3 2 14" xfId="25825" xr:uid="{173B46F0-F26C-4FF7-AD74-F5767B23F423}"/>
    <cellStyle name="60% - Accent1 2 2 3 2 15" xfId="27715" xr:uid="{7A83149E-7019-4F76-8732-5DBA15CF9643}"/>
    <cellStyle name="60% - Accent1 2 2 3 2 16" xfId="29605" xr:uid="{4A5357BE-9060-49AF-B52C-6BAFD36107E3}"/>
    <cellStyle name="60% - Accent1 2 2 3 2 17" xfId="31495" xr:uid="{223D983C-5D40-4AD1-B3DA-810584888A30}"/>
    <cellStyle name="60% - Accent1 2 2 3 2 18" xfId="33385" xr:uid="{E209815B-E93E-45E6-AF71-A9A1B5A5ED53}"/>
    <cellStyle name="60% - Accent1 2 2 3 2 19" xfId="35275" xr:uid="{337E9918-DA84-43AA-8FCB-56A273FC09BE}"/>
    <cellStyle name="60% - Accent1 2 2 3 2 2" xfId="3145" xr:uid="{2704F72C-C194-44C4-B4D6-229322F95696}"/>
    <cellStyle name="60% - Accent1 2 2 3 2 20" xfId="37165" xr:uid="{35E42AB2-A374-4162-86B2-A3FD29B8A026}"/>
    <cellStyle name="60% - Accent1 2 2 3 2 21" xfId="39055" xr:uid="{5C7EEDFF-97C8-47BE-9C08-22FDC4C93019}"/>
    <cellStyle name="60% - Accent1 2 2 3 2 22" xfId="40946" xr:uid="{80E6495B-0EF0-4D8E-9CC6-C0F0555F07A9}"/>
    <cellStyle name="60% - Accent1 2 2 3 2 3" xfId="5035" xr:uid="{298D31C9-A958-408C-AAE2-6F3DAEF106AB}"/>
    <cellStyle name="60% - Accent1 2 2 3 2 4" xfId="6925" xr:uid="{98ACE036-D4A5-49A1-BE97-D2BA4C78D96D}"/>
    <cellStyle name="60% - Accent1 2 2 3 2 5" xfId="8815" xr:uid="{3DF89B6F-3C97-41B9-916C-0ED2E91979AB}"/>
    <cellStyle name="60% - Accent1 2 2 3 2 6" xfId="10705" xr:uid="{44EC21A0-F070-4197-A2DA-C8CDD75CC973}"/>
    <cellStyle name="60% - Accent1 2 2 3 2 7" xfId="12595" xr:uid="{1AC5CA9A-0514-445B-97BC-A43F20489E52}"/>
    <cellStyle name="60% - Accent1 2 2 3 2 8" xfId="14485" xr:uid="{748C9DA1-8905-48E5-A35E-1016F0BCBF3D}"/>
    <cellStyle name="60% - Accent1 2 2 3 2 9" xfId="16375" xr:uid="{FB5D32D4-5E0E-49B2-A336-6A0EA43E16C4}"/>
    <cellStyle name="60% - Accent1 2 2 3 20" xfId="32755" xr:uid="{95C93149-1C30-45AA-B525-5D208C8B84E5}"/>
    <cellStyle name="60% - Accent1 2 2 3 21" xfId="34645" xr:uid="{3E2B34AD-49F3-48E0-8BE0-8AB5869D394A}"/>
    <cellStyle name="60% - Accent1 2 2 3 22" xfId="36535" xr:uid="{EB785955-8178-4BDD-BB12-EF342EC74B4E}"/>
    <cellStyle name="60% - Accent1 2 2 3 23" xfId="38425" xr:uid="{67ECDAFC-D93D-4993-B853-2FF7C3BBC905}"/>
    <cellStyle name="60% - Accent1 2 2 3 24" xfId="40316" xr:uid="{1DE6F0DA-8F6F-40C3-BC6D-CE69DA389B46}"/>
    <cellStyle name="60% - Accent1 2 2 3 3" xfId="1885" xr:uid="{7AA47E10-B701-4807-A7E3-7AF63FDCFAB0}"/>
    <cellStyle name="60% - Accent1 2 2 3 3 10" xfId="18895" xr:uid="{D4CBAAEB-C19E-4B77-9006-740DD9C06AAC}"/>
    <cellStyle name="60% - Accent1 2 2 3 3 11" xfId="20785" xr:uid="{9A24F0CB-739F-413F-A998-D24E22FC3E79}"/>
    <cellStyle name="60% - Accent1 2 2 3 3 12" xfId="22675" xr:uid="{AC2E922D-61E6-451C-A25F-93764A13FF9C}"/>
    <cellStyle name="60% - Accent1 2 2 3 3 13" xfId="24565" xr:uid="{94B9A171-279E-416D-BE17-5CF1F399233A}"/>
    <cellStyle name="60% - Accent1 2 2 3 3 14" xfId="26455" xr:uid="{9B92E77A-7E79-4FBE-97B0-565535193066}"/>
    <cellStyle name="60% - Accent1 2 2 3 3 15" xfId="28345" xr:uid="{94F0AFD4-E8F6-41EE-ABFB-75CD02095232}"/>
    <cellStyle name="60% - Accent1 2 2 3 3 16" xfId="30235" xr:uid="{CDC37ECB-6DD2-44C1-8513-3224A346770F}"/>
    <cellStyle name="60% - Accent1 2 2 3 3 17" xfId="32125" xr:uid="{5188BD46-DA2D-4E0A-9539-8F6631862321}"/>
    <cellStyle name="60% - Accent1 2 2 3 3 18" xfId="34015" xr:uid="{D59DB460-8138-4DBC-A7F1-E4A791F27A5B}"/>
    <cellStyle name="60% - Accent1 2 2 3 3 19" xfId="35905" xr:uid="{601D1258-77F0-4C7C-ACE7-F3B4D12D09AE}"/>
    <cellStyle name="60% - Accent1 2 2 3 3 2" xfId="3775" xr:uid="{13B423A0-2DB6-4605-B7CD-C512D3EBD8EF}"/>
    <cellStyle name="60% - Accent1 2 2 3 3 20" xfId="37795" xr:uid="{C0C6AF0F-1C71-48C9-A7D4-AB77F2457C86}"/>
    <cellStyle name="60% - Accent1 2 2 3 3 21" xfId="39685" xr:uid="{C431EFE4-CB78-499C-95EB-06F3EE288FB8}"/>
    <cellStyle name="60% - Accent1 2 2 3 3 22" xfId="41576" xr:uid="{B7A70EFD-906E-4BAE-8419-F273E83D7F4A}"/>
    <cellStyle name="60% - Accent1 2 2 3 3 3" xfId="5665" xr:uid="{9D77E3C3-31AC-4727-98B9-8CD9D6697FEE}"/>
    <cellStyle name="60% - Accent1 2 2 3 3 4" xfId="7555" xr:uid="{540DEEA1-1DD1-4232-B9B5-DF08B5BFFE07}"/>
    <cellStyle name="60% - Accent1 2 2 3 3 5" xfId="9445" xr:uid="{97409EED-1FE7-4698-A939-97D4284705EB}"/>
    <cellStyle name="60% - Accent1 2 2 3 3 6" xfId="11335" xr:uid="{6E35FB8D-DC0A-4D32-964F-9DD4AA58BFD4}"/>
    <cellStyle name="60% - Accent1 2 2 3 3 7" xfId="13225" xr:uid="{72D07F00-D80D-4662-9291-CA3B5642AE4E}"/>
    <cellStyle name="60% - Accent1 2 2 3 3 8" xfId="15115" xr:uid="{998CCD5E-C043-4184-9319-227B28BF7D3C}"/>
    <cellStyle name="60% - Accent1 2 2 3 3 9" xfId="17005" xr:uid="{48A65A10-8148-49CC-A442-4D04B368168F}"/>
    <cellStyle name="60% - Accent1 2 2 3 4" xfId="2515" xr:uid="{5193F8E0-3829-43D8-BF85-F9265F8C3239}"/>
    <cellStyle name="60% - Accent1 2 2 3 5" xfId="4405" xr:uid="{F99ABCB7-E89F-4EA9-A5F9-EE9CD598F3CD}"/>
    <cellStyle name="60% - Accent1 2 2 3 6" xfId="6295" xr:uid="{BBD68585-FC84-4EDE-B8A1-653A1A0C9DC0}"/>
    <cellStyle name="60% - Accent1 2 2 3 7" xfId="8185" xr:uid="{7F65D954-861F-4D7E-B18C-18ADAFE251A8}"/>
    <cellStyle name="60% - Accent1 2 2 3 8" xfId="10075" xr:uid="{6A1FD0E0-9EEA-4F67-9C69-7ADFE1653748}"/>
    <cellStyle name="60% - Accent1 2 2 3 9" xfId="11965" xr:uid="{12988953-83FA-4B59-8D0D-DB0743BBD376}"/>
    <cellStyle name="60% - Accent1 2 2 4" xfId="835" xr:uid="{26413C5D-6534-4AB7-A616-B0A9DAB766CC}"/>
    <cellStyle name="60% - Accent1 2 2 4 10" xfId="17845" xr:uid="{E99FAAE6-B901-4FA0-8AD8-6B73ED8F3606}"/>
    <cellStyle name="60% - Accent1 2 2 4 11" xfId="19735" xr:uid="{8F8290E8-6D73-46F0-B73B-3102AFDD2641}"/>
    <cellStyle name="60% - Accent1 2 2 4 12" xfId="21625" xr:uid="{25F348F0-74F7-4A12-B1A2-76BCED11AB0E}"/>
    <cellStyle name="60% - Accent1 2 2 4 13" xfId="23515" xr:uid="{7A954622-129D-4967-96FF-79E35A963AD4}"/>
    <cellStyle name="60% - Accent1 2 2 4 14" xfId="25405" xr:uid="{A4133E03-B34D-4B2A-A872-A29E5625F06F}"/>
    <cellStyle name="60% - Accent1 2 2 4 15" xfId="27295" xr:uid="{E209B2B0-50F9-4557-9666-7D5AB5DFEF6A}"/>
    <cellStyle name="60% - Accent1 2 2 4 16" xfId="29185" xr:uid="{5D084C40-D1FB-4774-B021-61A9C4FB10A0}"/>
    <cellStyle name="60% - Accent1 2 2 4 17" xfId="31075" xr:uid="{A72C4D95-7D43-4142-A2A4-B2A8EDD60AD4}"/>
    <cellStyle name="60% - Accent1 2 2 4 18" xfId="32965" xr:uid="{CC1B1714-9010-4BF4-9236-021810198915}"/>
    <cellStyle name="60% - Accent1 2 2 4 19" xfId="34855" xr:uid="{229A6332-7E0A-4B12-A4C3-4E0B039134C0}"/>
    <cellStyle name="60% - Accent1 2 2 4 2" xfId="2725" xr:uid="{346C4746-A583-41C3-A971-C68F32D54B01}"/>
    <cellStyle name="60% - Accent1 2 2 4 20" xfId="36745" xr:uid="{DB1BCC8E-6363-4755-83DA-3B14FE2E8824}"/>
    <cellStyle name="60% - Accent1 2 2 4 21" xfId="38635" xr:uid="{CB1D3AB0-8E84-4158-90E0-29AD9088D21E}"/>
    <cellStyle name="60% - Accent1 2 2 4 22" xfId="40526" xr:uid="{6734808B-4904-48A4-98B4-9457C0D1EFFB}"/>
    <cellStyle name="60% - Accent1 2 2 4 3" xfId="4615" xr:uid="{C0274F73-DA3C-4928-BD9D-139D45BB57D1}"/>
    <cellStyle name="60% - Accent1 2 2 4 4" xfId="6505" xr:uid="{99C69CCE-49BC-46A9-A9D3-919AE69D2252}"/>
    <cellStyle name="60% - Accent1 2 2 4 5" xfId="8395" xr:uid="{4A5EB012-EC75-4EFA-98AB-CBB82CE8639E}"/>
    <cellStyle name="60% - Accent1 2 2 4 6" xfId="10285" xr:uid="{4649D821-A7B4-49AD-B3EA-C985EF40932B}"/>
    <cellStyle name="60% - Accent1 2 2 4 7" xfId="12175" xr:uid="{BEA4DA16-7F63-4E6D-8DF9-586F073CF643}"/>
    <cellStyle name="60% - Accent1 2 2 4 8" xfId="14065" xr:uid="{1ADD09CB-D48D-44E8-A04E-AFC2B650B2F0}"/>
    <cellStyle name="60% - Accent1 2 2 4 9" xfId="15955" xr:uid="{95C8824E-5288-478D-B4B4-7931D05091DA}"/>
    <cellStyle name="60% - Accent1 2 2 5" xfId="1465" xr:uid="{00D09812-25AB-472E-86F5-85BD95923FD4}"/>
    <cellStyle name="60% - Accent1 2 2 5 10" xfId="18475" xr:uid="{8F02E99A-596D-437C-B38F-03401503DB6F}"/>
    <cellStyle name="60% - Accent1 2 2 5 11" xfId="20365" xr:uid="{49FC603D-5A13-406B-A4DB-F75F51C51B12}"/>
    <cellStyle name="60% - Accent1 2 2 5 12" xfId="22255" xr:uid="{8856A488-9DA5-4B0D-B9ED-49CCB41D8ADA}"/>
    <cellStyle name="60% - Accent1 2 2 5 13" xfId="24145" xr:uid="{BBD72E87-4694-4AF5-96A9-7BB60263C768}"/>
    <cellStyle name="60% - Accent1 2 2 5 14" xfId="26035" xr:uid="{7FE1563E-3F91-4750-B3A0-BAA222D9C221}"/>
    <cellStyle name="60% - Accent1 2 2 5 15" xfId="27925" xr:uid="{5E6CDBB7-387A-4787-BA88-F4972B0C6148}"/>
    <cellStyle name="60% - Accent1 2 2 5 16" xfId="29815" xr:uid="{4EC90E6C-20FE-4C34-94AF-FA5354CC8AF8}"/>
    <cellStyle name="60% - Accent1 2 2 5 17" xfId="31705" xr:uid="{5522B852-4E79-48BC-A49F-D49066F8867A}"/>
    <cellStyle name="60% - Accent1 2 2 5 18" xfId="33595" xr:uid="{5C07FC00-FADD-42B6-B451-C09F03631C6A}"/>
    <cellStyle name="60% - Accent1 2 2 5 19" xfId="35485" xr:uid="{C88EE8D9-C156-481C-9404-DCA17B6B8DC7}"/>
    <cellStyle name="60% - Accent1 2 2 5 2" xfId="3355" xr:uid="{8DFA5B02-14DB-4F0C-82CF-8A75DEB821F9}"/>
    <cellStyle name="60% - Accent1 2 2 5 20" xfId="37375" xr:uid="{7841CD84-E3ED-41C9-9DCC-459DA46C9299}"/>
    <cellStyle name="60% - Accent1 2 2 5 21" xfId="39265" xr:uid="{D6CE170A-B122-4D9D-A019-B999835FA46A}"/>
    <cellStyle name="60% - Accent1 2 2 5 22" xfId="41156" xr:uid="{E1CF8AB3-1A9A-4377-9C1E-720AF83F2650}"/>
    <cellStyle name="60% - Accent1 2 2 5 3" xfId="5245" xr:uid="{BA1B85BE-E3EB-4EAD-A8FC-1A4BD0C44462}"/>
    <cellStyle name="60% - Accent1 2 2 5 4" xfId="7135" xr:uid="{FF2F7016-38FD-4A7F-9E22-52E75BA3DE6F}"/>
    <cellStyle name="60% - Accent1 2 2 5 5" xfId="9025" xr:uid="{03FDDBA5-FFD8-4560-88D9-817BA0ED1BAD}"/>
    <cellStyle name="60% - Accent1 2 2 5 6" xfId="10915" xr:uid="{EC534604-0026-4123-9D35-F8FE8424A0EF}"/>
    <cellStyle name="60% - Accent1 2 2 5 7" xfId="12805" xr:uid="{EA013A1E-6166-4F9C-B6B4-B6657B0293F4}"/>
    <cellStyle name="60% - Accent1 2 2 5 8" xfId="14695" xr:uid="{9F6DD5AC-7FBB-4344-A335-D5A624C03405}"/>
    <cellStyle name="60% - Accent1 2 2 5 9" xfId="16585" xr:uid="{A2C6C959-E681-4BFC-9896-F860F3098648}"/>
    <cellStyle name="60% - Accent1 2 2 6" xfId="2095" xr:uid="{274709F7-34AA-470F-85AA-6791C3FEBE9B}"/>
    <cellStyle name="60% - Accent1 2 2 7" xfId="3985" xr:uid="{7D39E99C-76CD-44D7-A007-F484D80C18DF}"/>
    <cellStyle name="60% - Accent1 2 2 8" xfId="5875" xr:uid="{752486ED-B1AC-4A2A-9433-48B220548410}"/>
    <cellStyle name="60% - Accent1 2 2 9" xfId="7765" xr:uid="{5F8F784D-F1F8-4867-9FB3-C03FD1A65C94}"/>
    <cellStyle name="60% - Accent1 2 20" xfId="26560" xr:uid="{6A5F0942-BEA0-4722-A13E-B33A449E83A4}"/>
    <cellStyle name="60% - Accent1 2 21" xfId="28450" xr:uid="{D99D7D62-8563-4AF9-9F67-01251DDE0FA0}"/>
    <cellStyle name="60% - Accent1 2 22" xfId="30340" xr:uid="{E2F56239-DE7D-4338-AD27-45EBC9671738}"/>
    <cellStyle name="60% - Accent1 2 23" xfId="32230" xr:uid="{3C773D2D-5FB2-4776-857C-CFDE8B884783}"/>
    <cellStyle name="60% - Accent1 2 24" xfId="34120" xr:uid="{8E20E8B7-0A58-4D16-996C-93E6DEE62169}"/>
    <cellStyle name="60% - Accent1 2 25" xfId="36010" xr:uid="{4E571E54-4303-4F57-AD21-CA66AEF6F7F1}"/>
    <cellStyle name="60% - Accent1 2 26" xfId="37900" xr:uid="{1C4BE9BF-E38D-4B01-9EB2-6F814A1A09C1}"/>
    <cellStyle name="60% - Accent1 2 27" xfId="39791" xr:uid="{85D216C7-4385-4196-8895-2C6D2DB8AADF}"/>
    <cellStyle name="60% - Accent1 2 3" xfId="310" xr:uid="{FA551699-9A76-4561-8D5E-669CE34C4549}"/>
    <cellStyle name="60% - Accent1 2 3 10" xfId="13540" xr:uid="{25BDD6CA-CED4-489B-BCAB-2187F3210988}"/>
    <cellStyle name="60% - Accent1 2 3 11" xfId="15430" xr:uid="{2B680457-0F1A-4265-A0BD-B402987EBA9F}"/>
    <cellStyle name="60% - Accent1 2 3 12" xfId="17320" xr:uid="{88FF2ADF-C21F-4D69-B3C6-448F76176877}"/>
    <cellStyle name="60% - Accent1 2 3 13" xfId="19210" xr:uid="{379F993A-AF77-405E-B3E2-56BC1D3C76D7}"/>
    <cellStyle name="60% - Accent1 2 3 14" xfId="21100" xr:uid="{655C90CB-8340-449B-A1FE-82B706601600}"/>
    <cellStyle name="60% - Accent1 2 3 15" xfId="22990" xr:uid="{45396C56-0F7B-43D1-8F39-F1A8220085CF}"/>
    <cellStyle name="60% - Accent1 2 3 16" xfId="24880" xr:uid="{AF31FDD1-899E-4F26-B10A-01D3AA2B2ADB}"/>
    <cellStyle name="60% - Accent1 2 3 17" xfId="26770" xr:uid="{C4F56E5D-B656-4605-A286-B43E98AD19B3}"/>
    <cellStyle name="60% - Accent1 2 3 18" xfId="28660" xr:uid="{2FB32C01-9732-41F5-9DB1-052C036C05BF}"/>
    <cellStyle name="60% - Accent1 2 3 19" xfId="30550" xr:uid="{31B43F67-1D9C-4F56-9DE5-241462AFD12C}"/>
    <cellStyle name="60% - Accent1 2 3 2" xfId="940" xr:uid="{B52F259C-5CD3-4E52-AA10-CF9ADAA01A73}"/>
    <cellStyle name="60% - Accent1 2 3 2 10" xfId="17950" xr:uid="{AA04A728-1809-40B6-A06A-5FE6C47855A9}"/>
    <cellStyle name="60% - Accent1 2 3 2 11" xfId="19840" xr:uid="{67DD176B-4765-49E6-BAF2-D80387F0A383}"/>
    <cellStyle name="60% - Accent1 2 3 2 12" xfId="21730" xr:uid="{A9BD9A72-C1CE-4904-8338-217F9B8743B2}"/>
    <cellStyle name="60% - Accent1 2 3 2 13" xfId="23620" xr:uid="{65AE66CD-6177-4284-B77E-25715CDFE812}"/>
    <cellStyle name="60% - Accent1 2 3 2 14" xfId="25510" xr:uid="{898BAFA9-E9D7-44C6-AE87-2EE10C6F2692}"/>
    <cellStyle name="60% - Accent1 2 3 2 15" xfId="27400" xr:uid="{7462F78A-F260-4A28-921C-386632793DF0}"/>
    <cellStyle name="60% - Accent1 2 3 2 16" xfId="29290" xr:uid="{98320B9B-9210-4839-8E95-594795502A5C}"/>
    <cellStyle name="60% - Accent1 2 3 2 17" xfId="31180" xr:uid="{C1D7389A-A061-47D0-B7E0-3997792BA0A5}"/>
    <cellStyle name="60% - Accent1 2 3 2 18" xfId="33070" xr:uid="{325D9905-025F-4315-9FA3-DC9F4D0C79C1}"/>
    <cellStyle name="60% - Accent1 2 3 2 19" xfId="34960" xr:uid="{316BC35E-BB6A-4329-8E27-11524AA8221F}"/>
    <cellStyle name="60% - Accent1 2 3 2 2" xfId="2830" xr:uid="{FA76AF59-53FC-4F72-83FC-F80368EC25A5}"/>
    <cellStyle name="60% - Accent1 2 3 2 20" xfId="36850" xr:uid="{37C4610C-38F4-4C64-B076-70BED6B53D59}"/>
    <cellStyle name="60% - Accent1 2 3 2 21" xfId="38740" xr:uid="{30A6C2A6-04B1-45D7-B116-E58914A85C8D}"/>
    <cellStyle name="60% - Accent1 2 3 2 22" xfId="40631" xr:uid="{F7BA69BF-D2F5-471B-BB36-9DBCF74BD178}"/>
    <cellStyle name="60% - Accent1 2 3 2 3" xfId="4720" xr:uid="{93B15B45-1725-4A60-B27F-37004C5500A3}"/>
    <cellStyle name="60% - Accent1 2 3 2 4" xfId="6610" xr:uid="{F70D8C1A-4817-4819-A5EE-157038261243}"/>
    <cellStyle name="60% - Accent1 2 3 2 5" xfId="8500" xr:uid="{43E07226-D8C4-4F99-8B3B-9CF078B10F26}"/>
    <cellStyle name="60% - Accent1 2 3 2 6" xfId="10390" xr:uid="{049B1FBE-2614-4238-8847-6DAE82A856F3}"/>
    <cellStyle name="60% - Accent1 2 3 2 7" xfId="12280" xr:uid="{1361EC60-89BE-4345-8588-21153042DF3E}"/>
    <cellStyle name="60% - Accent1 2 3 2 8" xfId="14170" xr:uid="{BA18848C-AE32-47D5-BA38-F94AB4BBE621}"/>
    <cellStyle name="60% - Accent1 2 3 2 9" xfId="16060" xr:uid="{36F234CE-8157-4971-9F99-5250BF81F34C}"/>
    <cellStyle name="60% - Accent1 2 3 20" xfId="32440" xr:uid="{FEC227F5-A1FB-469C-9AC7-133D88AA0753}"/>
    <cellStyle name="60% - Accent1 2 3 21" xfId="34330" xr:uid="{E857AE6A-68A5-4684-B488-497A39D91C14}"/>
    <cellStyle name="60% - Accent1 2 3 22" xfId="36220" xr:uid="{2AA0BB05-E7A9-4F19-9C4A-BFD613C5843E}"/>
    <cellStyle name="60% - Accent1 2 3 23" xfId="38110" xr:uid="{3428D9F6-1CD8-4942-9C05-EBEE6E15630B}"/>
    <cellStyle name="60% - Accent1 2 3 24" xfId="40001" xr:uid="{A12195A6-B168-4412-B4FA-927732AEC219}"/>
    <cellStyle name="60% - Accent1 2 3 3" xfId="1570" xr:uid="{DBF58AD3-38C8-4EEF-8DFE-DD17D19C621E}"/>
    <cellStyle name="60% - Accent1 2 3 3 10" xfId="18580" xr:uid="{0622BD00-FE1C-4F49-9343-304CA4A0B98C}"/>
    <cellStyle name="60% - Accent1 2 3 3 11" xfId="20470" xr:uid="{DC3E071A-37F2-4E5B-B47C-8612FCB8993A}"/>
    <cellStyle name="60% - Accent1 2 3 3 12" xfId="22360" xr:uid="{AEDF1007-A03A-49AA-BA33-4AB841845479}"/>
    <cellStyle name="60% - Accent1 2 3 3 13" xfId="24250" xr:uid="{486B2CAA-DD43-4197-85CE-9D44891F6D99}"/>
    <cellStyle name="60% - Accent1 2 3 3 14" xfId="26140" xr:uid="{5920FBE6-AAE8-48B8-9A35-842CF1B67A43}"/>
    <cellStyle name="60% - Accent1 2 3 3 15" xfId="28030" xr:uid="{1AA8EB5D-8374-4371-B5FF-7A32FFCED245}"/>
    <cellStyle name="60% - Accent1 2 3 3 16" xfId="29920" xr:uid="{4A53A09A-ACD2-42EF-9FDF-71B3E981E0F1}"/>
    <cellStyle name="60% - Accent1 2 3 3 17" xfId="31810" xr:uid="{FA38F696-8EF2-4281-9E92-AA73D1F2F0C9}"/>
    <cellStyle name="60% - Accent1 2 3 3 18" xfId="33700" xr:uid="{1DC20A03-E660-4D77-BB2F-E1E218DF3228}"/>
    <cellStyle name="60% - Accent1 2 3 3 19" xfId="35590" xr:uid="{AEBC7E46-44D9-42F0-95A9-1F64686F3A74}"/>
    <cellStyle name="60% - Accent1 2 3 3 2" xfId="3460" xr:uid="{1CDAA6F1-504A-4BF7-8EDD-C820D067130B}"/>
    <cellStyle name="60% - Accent1 2 3 3 20" xfId="37480" xr:uid="{F9DACF4D-8C00-4A78-B578-B47DF800C381}"/>
    <cellStyle name="60% - Accent1 2 3 3 21" xfId="39370" xr:uid="{DA6BFA3E-8E70-4FD4-ACDA-C46DC4980E93}"/>
    <cellStyle name="60% - Accent1 2 3 3 22" xfId="41261" xr:uid="{14506897-F2F6-4388-A5B7-FE864A567BDC}"/>
    <cellStyle name="60% - Accent1 2 3 3 3" xfId="5350" xr:uid="{6D8E1B9F-0B89-4DB1-97C0-3E33A0AEBC18}"/>
    <cellStyle name="60% - Accent1 2 3 3 4" xfId="7240" xr:uid="{1D7A8AED-62EB-4CD2-9373-8282404F8E52}"/>
    <cellStyle name="60% - Accent1 2 3 3 5" xfId="9130" xr:uid="{C6CDF137-D206-45AF-BBBC-9C84D00A9FAC}"/>
    <cellStyle name="60% - Accent1 2 3 3 6" xfId="11020" xr:uid="{2E483EDD-1D14-4CE3-A324-781EE4E10E9E}"/>
    <cellStyle name="60% - Accent1 2 3 3 7" xfId="12910" xr:uid="{96278EAF-8F99-425D-9FD0-81D0D35F9E53}"/>
    <cellStyle name="60% - Accent1 2 3 3 8" xfId="14800" xr:uid="{7DC93563-3420-40AB-B3EF-D5FBFF28B4C6}"/>
    <cellStyle name="60% - Accent1 2 3 3 9" xfId="16690" xr:uid="{90240B38-ED78-4F6B-AED0-00C452875039}"/>
    <cellStyle name="60% - Accent1 2 3 4" xfId="2200" xr:uid="{BD301240-8A88-41F0-9B26-E72DB1AC6F32}"/>
    <cellStyle name="60% - Accent1 2 3 5" xfId="4090" xr:uid="{96762479-8AF0-460F-9C60-5C27FC491E69}"/>
    <cellStyle name="60% - Accent1 2 3 6" xfId="5980" xr:uid="{337044C8-FBDE-4111-AF84-A27EAD44D5BD}"/>
    <cellStyle name="60% - Accent1 2 3 7" xfId="7870" xr:uid="{1B26ED16-2D1B-4E76-BC72-5606D5893ECE}"/>
    <cellStyle name="60% - Accent1 2 3 8" xfId="9760" xr:uid="{766DA2E3-E1EE-4063-9EF8-2E5F5D4E647F}"/>
    <cellStyle name="60% - Accent1 2 3 9" xfId="11650" xr:uid="{16559DDB-02AD-4ED4-860D-2CBB1CF29DF2}"/>
    <cellStyle name="60% - Accent1 2 4" xfId="520" xr:uid="{9E719F50-2839-4F89-B673-3A300759E904}"/>
    <cellStyle name="60% - Accent1 2 4 10" xfId="13750" xr:uid="{57830C63-4473-4E11-AF23-9F2019E2FFC0}"/>
    <cellStyle name="60% - Accent1 2 4 11" xfId="15640" xr:uid="{706EFE7E-EB13-4D2E-A24C-56593C283EE1}"/>
    <cellStyle name="60% - Accent1 2 4 12" xfId="17530" xr:uid="{A1AA2DF4-8929-4341-A478-05319C1EF864}"/>
    <cellStyle name="60% - Accent1 2 4 13" xfId="19420" xr:uid="{85B89FE9-79ED-43DE-95CD-012ED62A0C67}"/>
    <cellStyle name="60% - Accent1 2 4 14" xfId="21310" xr:uid="{46DA19AF-5DA1-4255-A82F-29FA891B9A54}"/>
    <cellStyle name="60% - Accent1 2 4 15" xfId="23200" xr:uid="{FD365D39-3108-4D57-9F02-F81CCB93608F}"/>
    <cellStyle name="60% - Accent1 2 4 16" xfId="25090" xr:uid="{F5D65BFC-3D83-4A89-9508-C057720292A3}"/>
    <cellStyle name="60% - Accent1 2 4 17" xfId="26980" xr:uid="{F52A2D1C-AACE-4A43-A6E2-B87E2AFADF68}"/>
    <cellStyle name="60% - Accent1 2 4 18" xfId="28870" xr:uid="{D53C7C7D-9676-45A6-8F15-76FF86B8E31D}"/>
    <cellStyle name="60% - Accent1 2 4 19" xfId="30760" xr:uid="{FE5A7945-B4AC-495E-B400-29345610F657}"/>
    <cellStyle name="60% - Accent1 2 4 2" xfId="1150" xr:uid="{4A70CC85-76ED-4AB2-A166-D785FDE7CB9B}"/>
    <cellStyle name="60% - Accent1 2 4 2 10" xfId="18160" xr:uid="{0FA678E5-2980-40BE-8B47-16CDB8598900}"/>
    <cellStyle name="60% - Accent1 2 4 2 11" xfId="20050" xr:uid="{D5FE76C4-6B51-42D6-AD34-013795517CD6}"/>
    <cellStyle name="60% - Accent1 2 4 2 12" xfId="21940" xr:uid="{A304257D-2DB0-49E7-87F8-7E8CC3EE63EA}"/>
    <cellStyle name="60% - Accent1 2 4 2 13" xfId="23830" xr:uid="{A30DA37C-31C2-4E12-AEAB-A66384E29F48}"/>
    <cellStyle name="60% - Accent1 2 4 2 14" xfId="25720" xr:uid="{62109533-6FE9-402A-87CD-31871F53E3EF}"/>
    <cellStyle name="60% - Accent1 2 4 2 15" xfId="27610" xr:uid="{89808598-B132-45EA-B4B9-675A94FAD6F5}"/>
    <cellStyle name="60% - Accent1 2 4 2 16" xfId="29500" xr:uid="{8A6B04CF-C33D-4862-A8AD-6E2E777E83DD}"/>
    <cellStyle name="60% - Accent1 2 4 2 17" xfId="31390" xr:uid="{18B50E17-F656-4128-95EE-996C1716F5EF}"/>
    <cellStyle name="60% - Accent1 2 4 2 18" xfId="33280" xr:uid="{FBB580D4-C415-4697-86C0-0E32CEAAC6B1}"/>
    <cellStyle name="60% - Accent1 2 4 2 19" xfId="35170" xr:uid="{7FDBADBD-FD00-413E-BCB7-6E22871BF24D}"/>
    <cellStyle name="60% - Accent1 2 4 2 2" xfId="3040" xr:uid="{AA7F0D15-0DCB-4076-8663-F8E1BF06D3DF}"/>
    <cellStyle name="60% - Accent1 2 4 2 20" xfId="37060" xr:uid="{F0A90108-CD47-4DA8-86A1-0658059AF80D}"/>
    <cellStyle name="60% - Accent1 2 4 2 21" xfId="38950" xr:uid="{F0A66C7F-DE06-47F0-B284-B67DB8D6F05E}"/>
    <cellStyle name="60% - Accent1 2 4 2 22" xfId="40841" xr:uid="{8F636E0B-DA1D-4F36-9E5C-96E8964C4A57}"/>
    <cellStyle name="60% - Accent1 2 4 2 3" xfId="4930" xr:uid="{5C5F1947-8851-45C0-A7D5-9C555F81BA4B}"/>
    <cellStyle name="60% - Accent1 2 4 2 4" xfId="6820" xr:uid="{9F3E7776-5089-46FD-A4F6-E6879AF50895}"/>
    <cellStyle name="60% - Accent1 2 4 2 5" xfId="8710" xr:uid="{B5169305-46C5-4D0E-BB87-22820B21CABA}"/>
    <cellStyle name="60% - Accent1 2 4 2 6" xfId="10600" xr:uid="{0A6AA105-AD8F-4485-A529-F423513B3135}"/>
    <cellStyle name="60% - Accent1 2 4 2 7" xfId="12490" xr:uid="{7E319A2D-FE42-48DC-8577-FB38FE5F86DA}"/>
    <cellStyle name="60% - Accent1 2 4 2 8" xfId="14380" xr:uid="{34BC3C06-3C74-443E-AB0B-D0A6181CB7F7}"/>
    <cellStyle name="60% - Accent1 2 4 2 9" xfId="16270" xr:uid="{1E54F4A2-C2B8-4861-9901-BCD5A1551293}"/>
    <cellStyle name="60% - Accent1 2 4 20" xfId="32650" xr:uid="{C725C105-FDCD-4D85-94E3-2C802687DA48}"/>
    <cellStyle name="60% - Accent1 2 4 21" xfId="34540" xr:uid="{5171DC8D-DD5A-41EA-9957-0A265DC15B79}"/>
    <cellStyle name="60% - Accent1 2 4 22" xfId="36430" xr:uid="{8B4AEC82-8D99-4CA3-B052-1B350382715F}"/>
    <cellStyle name="60% - Accent1 2 4 23" xfId="38320" xr:uid="{02316E1D-D7C2-48B7-97A9-C8A18787B032}"/>
    <cellStyle name="60% - Accent1 2 4 24" xfId="40211" xr:uid="{6243009F-888F-4D23-B8D6-E4F9B6F626EE}"/>
    <cellStyle name="60% - Accent1 2 4 3" xfId="1780" xr:uid="{7CE1BF43-1BFF-4D24-A883-C65DBD83BB44}"/>
    <cellStyle name="60% - Accent1 2 4 3 10" xfId="18790" xr:uid="{3AB7A75F-3C08-4A60-A7B9-EF441788655B}"/>
    <cellStyle name="60% - Accent1 2 4 3 11" xfId="20680" xr:uid="{E9EDA6EF-7FB3-48D7-BD94-92D0B1260BB0}"/>
    <cellStyle name="60% - Accent1 2 4 3 12" xfId="22570" xr:uid="{65C5A804-F3B6-41A7-94F2-6173B6F1A19C}"/>
    <cellStyle name="60% - Accent1 2 4 3 13" xfId="24460" xr:uid="{39156BAE-437E-4D04-8911-2D0FAA1C2953}"/>
    <cellStyle name="60% - Accent1 2 4 3 14" xfId="26350" xr:uid="{DF4C2BF0-00CA-43DE-92F9-FB2123E0C446}"/>
    <cellStyle name="60% - Accent1 2 4 3 15" xfId="28240" xr:uid="{0416386D-53A3-4B03-92C9-09690442368C}"/>
    <cellStyle name="60% - Accent1 2 4 3 16" xfId="30130" xr:uid="{3BF607BA-90F9-43C4-953F-30F18B845624}"/>
    <cellStyle name="60% - Accent1 2 4 3 17" xfId="32020" xr:uid="{FC807E2F-BDBB-4102-B6F0-C9C9B7AE85E0}"/>
    <cellStyle name="60% - Accent1 2 4 3 18" xfId="33910" xr:uid="{D7A02663-07A2-4327-8C96-ED173077B933}"/>
    <cellStyle name="60% - Accent1 2 4 3 19" xfId="35800" xr:uid="{687A3A5D-F576-46F2-AE9D-D2ADC1ACB1F2}"/>
    <cellStyle name="60% - Accent1 2 4 3 2" xfId="3670" xr:uid="{9D57725C-AABB-43DE-B37A-E788CFF4EA5E}"/>
    <cellStyle name="60% - Accent1 2 4 3 20" xfId="37690" xr:uid="{106ABD5B-5964-40DF-913D-6377A48338CE}"/>
    <cellStyle name="60% - Accent1 2 4 3 21" xfId="39580" xr:uid="{5631668A-5A4C-4B70-B482-304AC199A5DA}"/>
    <cellStyle name="60% - Accent1 2 4 3 22" xfId="41471" xr:uid="{0A54D13B-BD52-410E-8DC6-B3313E755CDF}"/>
    <cellStyle name="60% - Accent1 2 4 3 3" xfId="5560" xr:uid="{1DE14E8A-4B4D-40F0-8812-144C90003A61}"/>
    <cellStyle name="60% - Accent1 2 4 3 4" xfId="7450" xr:uid="{0D3F2C7B-E7E0-4433-9674-03A7AB6368C7}"/>
    <cellStyle name="60% - Accent1 2 4 3 5" xfId="9340" xr:uid="{5F7C53F8-7428-4F6F-9F8D-DDA9E7FC1520}"/>
    <cellStyle name="60% - Accent1 2 4 3 6" xfId="11230" xr:uid="{E10209C0-E8B2-40CB-B92F-4AD965006042}"/>
    <cellStyle name="60% - Accent1 2 4 3 7" xfId="13120" xr:uid="{E3F2B75F-DB1D-4144-8B32-36219D91164B}"/>
    <cellStyle name="60% - Accent1 2 4 3 8" xfId="15010" xr:uid="{85E04F53-C313-473D-AD9D-25E80BEA159B}"/>
    <cellStyle name="60% - Accent1 2 4 3 9" xfId="16900" xr:uid="{AAAECC66-376F-4E5A-A7C2-7141F0EA8F0E}"/>
    <cellStyle name="60% - Accent1 2 4 4" xfId="2410" xr:uid="{7C0B73B9-0B4C-418C-B21F-E615F85368E2}"/>
    <cellStyle name="60% - Accent1 2 4 5" xfId="4300" xr:uid="{20A83121-0097-4E07-9465-4114E2051F0B}"/>
    <cellStyle name="60% - Accent1 2 4 6" xfId="6190" xr:uid="{161F93CD-2418-4350-8B76-CE1055BA3E3D}"/>
    <cellStyle name="60% - Accent1 2 4 7" xfId="8080" xr:uid="{9DE618CD-3510-4733-AA9E-5B794D407D2D}"/>
    <cellStyle name="60% - Accent1 2 4 8" xfId="9970" xr:uid="{AF8E54FD-53CA-425E-92C9-32855FDF692E}"/>
    <cellStyle name="60% - Accent1 2 4 9" xfId="11860" xr:uid="{ECB70C30-3A92-4FFD-B830-A0137650C5D6}"/>
    <cellStyle name="60% - Accent1 2 5" xfId="730" xr:uid="{9A49CF6A-82A8-44E6-8299-6DD90093CD29}"/>
    <cellStyle name="60% - Accent1 2 5 10" xfId="17740" xr:uid="{3DCF45DC-5681-4C90-B183-74277591C9C5}"/>
    <cellStyle name="60% - Accent1 2 5 11" xfId="19630" xr:uid="{4DF38308-6416-4A0B-B064-5D89F6E117D5}"/>
    <cellStyle name="60% - Accent1 2 5 12" xfId="21520" xr:uid="{CF376757-FE37-43D6-8952-7857380E50EB}"/>
    <cellStyle name="60% - Accent1 2 5 13" xfId="23410" xr:uid="{E4786F22-6E34-4B04-BDC2-DCD97F5B7CDA}"/>
    <cellStyle name="60% - Accent1 2 5 14" xfId="25300" xr:uid="{91574AFE-9924-4BE6-8F96-1FD61144619B}"/>
    <cellStyle name="60% - Accent1 2 5 15" xfId="27190" xr:uid="{F1399186-A7FF-446F-92ED-8D5F0A7D36A4}"/>
    <cellStyle name="60% - Accent1 2 5 16" xfId="29080" xr:uid="{338E26BA-FFB4-454A-89CC-FDD900599D79}"/>
    <cellStyle name="60% - Accent1 2 5 17" xfId="30970" xr:uid="{89AEEE8E-410F-439D-864C-6B0802900037}"/>
    <cellStyle name="60% - Accent1 2 5 18" xfId="32860" xr:uid="{769C0C8A-9101-4334-A824-A3C358398B56}"/>
    <cellStyle name="60% - Accent1 2 5 19" xfId="34750" xr:uid="{79D02868-3147-4243-B69E-206B8C6CB119}"/>
    <cellStyle name="60% - Accent1 2 5 2" xfId="2620" xr:uid="{D3BDEF14-ACDE-4AC1-A4D2-9613109701CA}"/>
    <cellStyle name="60% - Accent1 2 5 20" xfId="36640" xr:uid="{E1B46612-CAC6-4A9B-BA02-2B6CA6F1F88C}"/>
    <cellStyle name="60% - Accent1 2 5 21" xfId="38530" xr:uid="{04207683-61E0-4ACA-BF26-739F4C656EFD}"/>
    <cellStyle name="60% - Accent1 2 5 22" xfId="40421" xr:uid="{C9E9BC37-0987-42D6-B908-E6E1084E6EC0}"/>
    <cellStyle name="60% - Accent1 2 5 3" xfId="4510" xr:uid="{2ACB9D4E-9CEC-4448-B265-4A426206E114}"/>
    <cellStyle name="60% - Accent1 2 5 4" xfId="6400" xr:uid="{73FDA0BD-9DF2-4082-BBDB-06C7452DD9B7}"/>
    <cellStyle name="60% - Accent1 2 5 5" xfId="8290" xr:uid="{45960713-2572-4319-A5A1-CEA5630F6767}"/>
    <cellStyle name="60% - Accent1 2 5 6" xfId="10180" xr:uid="{7E87EF80-52EB-427D-97E9-A091554CFFC3}"/>
    <cellStyle name="60% - Accent1 2 5 7" xfId="12070" xr:uid="{1E6B256E-67B5-4DFC-96D1-F4184BCEB9F7}"/>
    <cellStyle name="60% - Accent1 2 5 8" xfId="13960" xr:uid="{73762F29-7D86-4F40-B569-3F9C354FDD0B}"/>
    <cellStyle name="60% - Accent1 2 5 9" xfId="15850" xr:uid="{80516331-87DC-4BAD-93A1-485BF9E86C7C}"/>
    <cellStyle name="60% - Accent1 2 6" xfId="1360" xr:uid="{FC07B766-C832-473C-8097-32164DAAF3AE}"/>
    <cellStyle name="60% - Accent1 2 6 10" xfId="18370" xr:uid="{FFE32259-2C54-4CC9-93EA-83AA33038045}"/>
    <cellStyle name="60% - Accent1 2 6 11" xfId="20260" xr:uid="{6DACB311-A863-4641-9C9D-EA314BBA93DD}"/>
    <cellStyle name="60% - Accent1 2 6 12" xfId="22150" xr:uid="{FD493ED7-4131-4049-B777-9215022DA6E1}"/>
    <cellStyle name="60% - Accent1 2 6 13" xfId="24040" xr:uid="{8700111F-1C56-4B70-8781-7E6AFB88F499}"/>
    <cellStyle name="60% - Accent1 2 6 14" xfId="25930" xr:uid="{7AE2A162-7313-4D4A-A999-79E12EAA8C12}"/>
    <cellStyle name="60% - Accent1 2 6 15" xfId="27820" xr:uid="{11DA68A2-8B84-44EB-9BDC-72D4560FFC13}"/>
    <cellStyle name="60% - Accent1 2 6 16" xfId="29710" xr:uid="{B2EBE11B-A505-473D-A1AB-2BD4D6D17C84}"/>
    <cellStyle name="60% - Accent1 2 6 17" xfId="31600" xr:uid="{BAB8DA20-361C-4271-BD59-79E77D3F8AA2}"/>
    <cellStyle name="60% - Accent1 2 6 18" xfId="33490" xr:uid="{28B190D0-8681-488F-BD8E-72CDC8783437}"/>
    <cellStyle name="60% - Accent1 2 6 19" xfId="35380" xr:uid="{D6A3A77B-D9F5-408C-B413-7D4BAC5A0649}"/>
    <cellStyle name="60% - Accent1 2 6 2" xfId="3250" xr:uid="{544A2BB6-72C9-423A-A397-17314B914896}"/>
    <cellStyle name="60% - Accent1 2 6 20" xfId="37270" xr:uid="{4813C987-DCBB-479E-A1A2-63D7C2B00E30}"/>
    <cellStyle name="60% - Accent1 2 6 21" xfId="39160" xr:uid="{5DCB93A3-BF02-429C-9061-6D98EE650983}"/>
    <cellStyle name="60% - Accent1 2 6 22" xfId="41051" xr:uid="{F8AD65AD-7271-440C-8D49-911EEB7A06EA}"/>
    <cellStyle name="60% - Accent1 2 6 3" xfId="5140" xr:uid="{F5A44B4E-5E0D-4EF0-B289-62FF6FA1B615}"/>
    <cellStyle name="60% - Accent1 2 6 4" xfId="7030" xr:uid="{DA94AF5C-4128-477F-B48A-19BDD5B08B3E}"/>
    <cellStyle name="60% - Accent1 2 6 5" xfId="8920" xr:uid="{12F00C76-074F-491C-96FA-9A613EFC2297}"/>
    <cellStyle name="60% - Accent1 2 6 6" xfId="10810" xr:uid="{843C1184-B6AB-4621-A2F2-E19A4453AA5B}"/>
    <cellStyle name="60% - Accent1 2 6 7" xfId="12700" xr:uid="{DF953528-F42D-4A87-99CC-9E5623823D2A}"/>
    <cellStyle name="60% - Accent1 2 6 8" xfId="14590" xr:uid="{09C9BE05-464D-458B-838E-E582ADAA3302}"/>
    <cellStyle name="60% - Accent1 2 6 9" xfId="16480" xr:uid="{EBC22A83-427A-49A5-BD5A-DEFC09F1CD4C}"/>
    <cellStyle name="60% - Accent1 2 7" xfId="1990" xr:uid="{0F6F725A-877E-4BF2-8E96-2F8C9DF6F32A}"/>
    <cellStyle name="60% - Accent1 2 8" xfId="3880" xr:uid="{D3CBF19C-DEED-4245-97AE-AB8779055E5F}"/>
    <cellStyle name="60% - Accent1 2 9" xfId="5770" xr:uid="{A241CB6D-69CE-47AD-BE7D-7F6D0538D556}"/>
    <cellStyle name="60% - Accent1 20" xfId="22758" xr:uid="{69BAD5B3-857F-4A2B-890A-A36C5257BAB0}"/>
    <cellStyle name="60% - Accent1 21" xfId="24648" xr:uid="{C8AA6924-F944-4BC0-B044-4C8FFECBE42F}"/>
    <cellStyle name="60% - Accent1 22" xfId="26538" xr:uid="{E6704955-083A-4CC3-96F5-A53C6BD79869}"/>
    <cellStyle name="60% - Accent1 23" xfId="28428" xr:uid="{C3A70B4E-1491-4101-BE4D-59D077C0D681}"/>
    <cellStyle name="60% - Accent1 24" xfId="30318" xr:uid="{C9D27DBE-6DA5-4C1D-9276-988E608EF333}"/>
    <cellStyle name="60% - Accent1 25" xfId="32208" xr:uid="{6EE01FE1-E15B-42B6-A136-477AEA93286B}"/>
    <cellStyle name="60% - Accent1 26" xfId="34098" xr:uid="{37167F4B-ECA0-45CB-9CC4-32F7B3F947FF}"/>
    <cellStyle name="60% - Accent1 27" xfId="35988" xr:uid="{C1DEA23D-3FFB-44B0-B592-64BCBB4E3309}"/>
    <cellStyle name="60% - Accent1 28" xfId="37878" xr:uid="{9D6380D7-4DBD-4306-A1A0-94D1D9C61C05}"/>
    <cellStyle name="60% - Accent1 29" xfId="39769" xr:uid="{0647C5C6-8AAC-4C79-BAC8-5817C5226CD1}"/>
    <cellStyle name="60% - Accent1 3" xfId="120" xr:uid="{71EF2A74-C394-48A0-987B-C2634F9074DF}"/>
    <cellStyle name="60% - Accent1 3 10" xfId="7680" xr:uid="{1AFD9882-FED3-4872-B0EB-C2219812F56C}"/>
    <cellStyle name="60% - Accent1 3 11" xfId="9570" xr:uid="{428779DE-419B-46C5-A144-1AEE465565E8}"/>
    <cellStyle name="60% - Accent1 3 12" xfId="11460" xr:uid="{AD9C64BB-E7F7-4CF5-AD73-A382D65BC91C}"/>
    <cellStyle name="60% - Accent1 3 13" xfId="13350" xr:uid="{50010B9B-0B55-4B0B-BFA1-85766C90D53B}"/>
    <cellStyle name="60% - Accent1 3 14" xfId="15240" xr:uid="{EAA25F0F-A1A3-4AF6-B49F-349C302F75D0}"/>
    <cellStyle name="60% - Accent1 3 15" xfId="17130" xr:uid="{6101C396-F6C1-4707-881B-1C6913FE34C9}"/>
    <cellStyle name="60% - Accent1 3 16" xfId="19020" xr:uid="{C07A8FE7-14A7-4183-B3F3-45F98B1E6995}"/>
    <cellStyle name="60% - Accent1 3 17" xfId="20910" xr:uid="{E4328CE1-20FD-48FF-A986-E9E7C0E8F668}"/>
    <cellStyle name="60% - Accent1 3 18" xfId="22800" xr:uid="{CB6CF4DE-B6EE-4420-BC8A-10C8A8AEE192}"/>
    <cellStyle name="60% - Accent1 3 19" xfId="24690" xr:uid="{44609630-E8B9-4CED-8A0E-5076C9D6CBA8}"/>
    <cellStyle name="60% - Accent1 3 2" xfId="225" xr:uid="{598C6545-2CF7-4BE6-9B91-D9B64D771050}"/>
    <cellStyle name="60% - Accent1 3 2 10" xfId="9675" xr:uid="{3A03C939-DC74-42ED-9C4A-F24241B506C5}"/>
    <cellStyle name="60% - Accent1 3 2 11" xfId="11565" xr:uid="{D4769BA4-BA82-45B7-9692-7F34F09127B5}"/>
    <cellStyle name="60% - Accent1 3 2 12" xfId="13455" xr:uid="{87D52559-C08F-45E0-9FD5-121F232B250C}"/>
    <cellStyle name="60% - Accent1 3 2 13" xfId="15345" xr:uid="{08D4333B-D2C9-45A4-8A51-38DD1B655056}"/>
    <cellStyle name="60% - Accent1 3 2 14" xfId="17235" xr:uid="{657DD5CA-345C-4DAC-BA13-FAEC2B478A7A}"/>
    <cellStyle name="60% - Accent1 3 2 15" xfId="19125" xr:uid="{D059B4E2-7002-4D28-9FC0-2567987C0900}"/>
    <cellStyle name="60% - Accent1 3 2 16" xfId="21015" xr:uid="{4881D4FE-CAFF-40CF-AC58-957C43DEFD6B}"/>
    <cellStyle name="60% - Accent1 3 2 17" xfId="22905" xr:uid="{92EAA8BA-0EBD-40F6-BEC0-70AF7B55C8B4}"/>
    <cellStyle name="60% - Accent1 3 2 18" xfId="24795" xr:uid="{24B48E45-6003-4D6C-A171-0018983A348F}"/>
    <cellStyle name="60% - Accent1 3 2 19" xfId="26685" xr:uid="{28B5FFDF-B9E0-4E0E-A4DA-BAD5F4F2F99D}"/>
    <cellStyle name="60% - Accent1 3 2 2" xfId="435" xr:uid="{4BA26547-FA19-462E-9231-E9281C404CCF}"/>
    <cellStyle name="60% - Accent1 3 2 2 10" xfId="13665" xr:uid="{21384597-67AB-4204-A9BC-A6C953AE4DEA}"/>
    <cellStyle name="60% - Accent1 3 2 2 11" xfId="15555" xr:uid="{8E713DF4-A5E2-443A-AD27-51460993879A}"/>
    <cellStyle name="60% - Accent1 3 2 2 12" xfId="17445" xr:uid="{075B5D6A-7439-4860-9ACB-E316B2C54B24}"/>
    <cellStyle name="60% - Accent1 3 2 2 13" xfId="19335" xr:uid="{316D53B1-9999-4463-8B3A-C6EC33143A92}"/>
    <cellStyle name="60% - Accent1 3 2 2 14" xfId="21225" xr:uid="{1FD53BB0-B84B-4062-AF59-885AACC2E0B7}"/>
    <cellStyle name="60% - Accent1 3 2 2 15" xfId="23115" xr:uid="{C287B495-DAD6-4DC2-94A7-B253B3C2A836}"/>
    <cellStyle name="60% - Accent1 3 2 2 16" xfId="25005" xr:uid="{84C894B6-2FAC-40F0-ACFC-AD9529BE6BB0}"/>
    <cellStyle name="60% - Accent1 3 2 2 17" xfId="26895" xr:uid="{186036CF-B4E1-42F1-AC58-74B2B2BFD495}"/>
    <cellStyle name="60% - Accent1 3 2 2 18" xfId="28785" xr:uid="{9ADF72EC-2B5A-4941-9062-4BA3110CA128}"/>
    <cellStyle name="60% - Accent1 3 2 2 19" xfId="30675" xr:uid="{82305A52-420C-4313-9BBD-1E4FC3DE12FD}"/>
    <cellStyle name="60% - Accent1 3 2 2 2" xfId="1065" xr:uid="{48359384-13A8-4860-B1E3-97CAC5EBC1B1}"/>
    <cellStyle name="60% - Accent1 3 2 2 2 10" xfId="18075" xr:uid="{97C72D25-E1E0-4760-8669-251CD97DCC61}"/>
    <cellStyle name="60% - Accent1 3 2 2 2 11" xfId="19965" xr:uid="{3D9AE53A-18ED-4CE1-A1C3-3D4ADE0393F8}"/>
    <cellStyle name="60% - Accent1 3 2 2 2 12" xfId="21855" xr:uid="{9457C2AB-75CA-4173-9FFD-17FA6CB5F66A}"/>
    <cellStyle name="60% - Accent1 3 2 2 2 13" xfId="23745" xr:uid="{0E65C189-795F-41AB-853E-FC51D47F2B4B}"/>
    <cellStyle name="60% - Accent1 3 2 2 2 14" xfId="25635" xr:uid="{D0900B3A-775F-49AE-BCA3-ED795F08ADFF}"/>
    <cellStyle name="60% - Accent1 3 2 2 2 15" xfId="27525" xr:uid="{EE198895-1D85-4C9B-A37A-FEC8C1782298}"/>
    <cellStyle name="60% - Accent1 3 2 2 2 16" xfId="29415" xr:uid="{9B9C21E2-F8E9-45AD-BEC0-B9B49D818BD0}"/>
    <cellStyle name="60% - Accent1 3 2 2 2 17" xfId="31305" xr:uid="{24ED6873-030C-4250-904E-392E11FD13AF}"/>
    <cellStyle name="60% - Accent1 3 2 2 2 18" xfId="33195" xr:uid="{CC2EB69F-0DA1-4E39-AB3A-BEDAF28F8225}"/>
    <cellStyle name="60% - Accent1 3 2 2 2 19" xfId="35085" xr:uid="{DC12DD3C-B121-4259-AE90-5D0B29CE24A4}"/>
    <cellStyle name="60% - Accent1 3 2 2 2 2" xfId="2955" xr:uid="{56753DA5-BC31-46E3-9FCA-D0CCB6A5FC94}"/>
    <cellStyle name="60% - Accent1 3 2 2 2 20" xfId="36975" xr:uid="{ABCF3D8C-394F-4B11-80F3-FE00153AECC6}"/>
    <cellStyle name="60% - Accent1 3 2 2 2 21" xfId="38865" xr:uid="{56B881E7-3BB4-4DA9-A275-F4930A9FF03B}"/>
    <cellStyle name="60% - Accent1 3 2 2 2 22" xfId="40756" xr:uid="{C3724846-C763-49B9-B912-5696DDAC2626}"/>
    <cellStyle name="60% - Accent1 3 2 2 2 3" xfId="4845" xr:uid="{89129891-3587-4633-A067-FE00E020EBFC}"/>
    <cellStyle name="60% - Accent1 3 2 2 2 4" xfId="6735" xr:uid="{6C9E7F15-4CC6-4BBA-A943-A77AB1A2910F}"/>
    <cellStyle name="60% - Accent1 3 2 2 2 5" xfId="8625" xr:uid="{41642E99-B8A9-4770-82CB-1E64C305E1D8}"/>
    <cellStyle name="60% - Accent1 3 2 2 2 6" xfId="10515" xr:uid="{196F35F9-A231-4186-B010-714A295C972C}"/>
    <cellStyle name="60% - Accent1 3 2 2 2 7" xfId="12405" xr:uid="{2EED0BDC-3675-4F69-A514-AFBBE9C84AD4}"/>
    <cellStyle name="60% - Accent1 3 2 2 2 8" xfId="14295" xr:uid="{20558FFF-3D8A-408A-BF93-6A7469901734}"/>
    <cellStyle name="60% - Accent1 3 2 2 2 9" xfId="16185" xr:uid="{B3F8436E-711F-41E9-86DD-8176C06AFE85}"/>
    <cellStyle name="60% - Accent1 3 2 2 20" xfId="32565" xr:uid="{51C6BAE2-F5F4-43F1-99F9-8FE749CE026A}"/>
    <cellStyle name="60% - Accent1 3 2 2 21" xfId="34455" xr:uid="{95BF8F8B-AB95-4140-AC3A-61A794246AE8}"/>
    <cellStyle name="60% - Accent1 3 2 2 22" xfId="36345" xr:uid="{0C0AE8D9-74DA-4DEB-8853-C81063C17CDD}"/>
    <cellStyle name="60% - Accent1 3 2 2 23" xfId="38235" xr:uid="{58E2B656-6E95-411E-9B59-7BBD97B38468}"/>
    <cellStyle name="60% - Accent1 3 2 2 24" xfId="40126" xr:uid="{69C689DD-97DB-4C9B-9670-36E32AE64293}"/>
    <cellStyle name="60% - Accent1 3 2 2 3" xfId="1695" xr:uid="{0FAD6587-F2BB-41F4-82C3-A996FDDD160E}"/>
    <cellStyle name="60% - Accent1 3 2 2 3 10" xfId="18705" xr:uid="{78BA2233-DBA6-40AA-9165-B06E74C08D0D}"/>
    <cellStyle name="60% - Accent1 3 2 2 3 11" xfId="20595" xr:uid="{61260813-214F-46E5-A343-ED22391D32A5}"/>
    <cellStyle name="60% - Accent1 3 2 2 3 12" xfId="22485" xr:uid="{63002B65-A2C5-44E2-A1E4-BE435D3A89BB}"/>
    <cellStyle name="60% - Accent1 3 2 2 3 13" xfId="24375" xr:uid="{23BAB051-9ACE-4A00-BD2E-25813636A291}"/>
    <cellStyle name="60% - Accent1 3 2 2 3 14" xfId="26265" xr:uid="{6D6D0C7A-E9DD-43F6-8ACA-FFB50BD845A8}"/>
    <cellStyle name="60% - Accent1 3 2 2 3 15" xfId="28155" xr:uid="{EB061F89-F4E4-4DD7-830A-85C8978EC79C}"/>
    <cellStyle name="60% - Accent1 3 2 2 3 16" xfId="30045" xr:uid="{3FF49631-A767-4E17-ABD3-AD1F27E45429}"/>
    <cellStyle name="60% - Accent1 3 2 2 3 17" xfId="31935" xr:uid="{E1F08D36-6AC2-40E8-98B9-1EAE9029DD77}"/>
    <cellStyle name="60% - Accent1 3 2 2 3 18" xfId="33825" xr:uid="{16D7CE13-71B7-4226-A354-4CB3BEBE5359}"/>
    <cellStyle name="60% - Accent1 3 2 2 3 19" xfId="35715" xr:uid="{1CA18338-2AED-44C2-B077-E0E654F7D6C0}"/>
    <cellStyle name="60% - Accent1 3 2 2 3 2" xfId="3585" xr:uid="{AC637EA3-7837-4B8A-986D-377ADEDA72E5}"/>
    <cellStyle name="60% - Accent1 3 2 2 3 20" xfId="37605" xr:uid="{EF53E09C-A74C-4670-B72C-6E987C83DEBC}"/>
    <cellStyle name="60% - Accent1 3 2 2 3 21" xfId="39495" xr:uid="{24F0509D-537F-41C0-B96F-8C78A5CF5FE2}"/>
    <cellStyle name="60% - Accent1 3 2 2 3 22" xfId="41386" xr:uid="{DAFEF119-F225-4834-BA2E-6C36AEB04CFF}"/>
    <cellStyle name="60% - Accent1 3 2 2 3 3" xfId="5475" xr:uid="{C6589B21-92E5-4891-A23C-0D065857D881}"/>
    <cellStyle name="60% - Accent1 3 2 2 3 4" xfId="7365" xr:uid="{103D03C2-7F52-4B5E-B0AA-F1EB151D6449}"/>
    <cellStyle name="60% - Accent1 3 2 2 3 5" xfId="9255" xr:uid="{65F65D21-541A-4366-B5B3-80CF3DBB05ED}"/>
    <cellStyle name="60% - Accent1 3 2 2 3 6" xfId="11145" xr:uid="{A553FDF5-3477-4841-B502-2E21680989F6}"/>
    <cellStyle name="60% - Accent1 3 2 2 3 7" xfId="13035" xr:uid="{A87331A6-F603-4643-A307-CC3A575865C7}"/>
    <cellStyle name="60% - Accent1 3 2 2 3 8" xfId="14925" xr:uid="{3DCF1094-873D-4AD7-8BF2-48DC16B790EB}"/>
    <cellStyle name="60% - Accent1 3 2 2 3 9" xfId="16815" xr:uid="{C0C67894-CDA0-4210-8015-1434F75865B0}"/>
    <cellStyle name="60% - Accent1 3 2 2 4" xfId="2325" xr:uid="{DB098755-3C1C-4AC5-B894-A06F10C8812D}"/>
    <cellStyle name="60% - Accent1 3 2 2 5" xfId="4215" xr:uid="{C5AEDC89-72E8-40CE-87F1-60C170F0E305}"/>
    <cellStyle name="60% - Accent1 3 2 2 6" xfId="6105" xr:uid="{08F53D54-E990-4B3B-8EA4-F50A1075F3D8}"/>
    <cellStyle name="60% - Accent1 3 2 2 7" xfId="7995" xr:uid="{4B3D6248-E536-4E9E-9079-9FA9C6D032E3}"/>
    <cellStyle name="60% - Accent1 3 2 2 8" xfId="9885" xr:uid="{F205E3CD-9535-4C9F-AA3D-0E76579A9360}"/>
    <cellStyle name="60% - Accent1 3 2 2 9" xfId="11775" xr:uid="{D6E830C1-00D7-4710-87F1-9BADA8CD354F}"/>
    <cellStyle name="60% - Accent1 3 2 20" xfId="28575" xr:uid="{146DD8A6-340D-47BA-AA83-4D09ED38D8A4}"/>
    <cellStyle name="60% - Accent1 3 2 21" xfId="30465" xr:uid="{E1676B14-946B-440E-8450-AFD5BA62BA27}"/>
    <cellStyle name="60% - Accent1 3 2 22" xfId="32355" xr:uid="{1839E573-A10E-4A4D-81EC-08E08576317B}"/>
    <cellStyle name="60% - Accent1 3 2 23" xfId="34245" xr:uid="{79E40F2F-CC0A-4761-A381-39E46B630C01}"/>
    <cellStyle name="60% - Accent1 3 2 24" xfId="36135" xr:uid="{665976F5-F1F9-4D10-8BF4-6CEF88D85248}"/>
    <cellStyle name="60% - Accent1 3 2 25" xfId="38025" xr:uid="{E8C00E41-2B5A-4253-A90F-9C1F7F335A06}"/>
    <cellStyle name="60% - Accent1 3 2 26" xfId="39916" xr:uid="{9CDB6151-A936-4F9A-BC0D-A4C42AEAAFDA}"/>
    <cellStyle name="60% - Accent1 3 2 3" xfId="645" xr:uid="{72FC3EEF-C918-4146-BAB8-7CD1114451DD}"/>
    <cellStyle name="60% - Accent1 3 2 3 10" xfId="13875" xr:uid="{17123360-8109-4BDB-AB5B-1E067DEE91E8}"/>
    <cellStyle name="60% - Accent1 3 2 3 11" xfId="15765" xr:uid="{91513247-3142-4C52-8BDC-ACEDBD3E0D83}"/>
    <cellStyle name="60% - Accent1 3 2 3 12" xfId="17655" xr:uid="{B178A42A-AC58-4EC7-A988-DD13E779055B}"/>
    <cellStyle name="60% - Accent1 3 2 3 13" xfId="19545" xr:uid="{D4547EEB-10F3-4D3E-B23A-34FF12FC6B5C}"/>
    <cellStyle name="60% - Accent1 3 2 3 14" xfId="21435" xr:uid="{A8F8D0CE-B960-482A-9C1C-F87419EE2250}"/>
    <cellStyle name="60% - Accent1 3 2 3 15" xfId="23325" xr:uid="{6D747C8A-1F99-4C53-8EB1-C87B571D1076}"/>
    <cellStyle name="60% - Accent1 3 2 3 16" xfId="25215" xr:uid="{CC0A8249-3C70-4360-9378-250C9B19A58B}"/>
    <cellStyle name="60% - Accent1 3 2 3 17" xfId="27105" xr:uid="{BD6D4306-B18A-431B-AE3C-AA93B0452053}"/>
    <cellStyle name="60% - Accent1 3 2 3 18" xfId="28995" xr:uid="{8A7AC745-B062-4A29-A9E4-BEBEA145FB3F}"/>
    <cellStyle name="60% - Accent1 3 2 3 19" xfId="30885" xr:uid="{42590362-D74C-4CCC-9D17-1536BD9D87D6}"/>
    <cellStyle name="60% - Accent1 3 2 3 2" xfId="1275" xr:uid="{80FFB0A2-F884-4584-A4F8-7718EEC8BCC1}"/>
    <cellStyle name="60% - Accent1 3 2 3 2 10" xfId="18285" xr:uid="{75F64C08-DDEE-4601-A11B-665A3FC5BA20}"/>
    <cellStyle name="60% - Accent1 3 2 3 2 11" xfId="20175" xr:uid="{91DA601E-889A-4B61-B97A-C1D814CA3E26}"/>
    <cellStyle name="60% - Accent1 3 2 3 2 12" xfId="22065" xr:uid="{50B23FDB-AE86-4444-AAB9-925CF9AABEBE}"/>
    <cellStyle name="60% - Accent1 3 2 3 2 13" xfId="23955" xr:uid="{66DA88D6-4135-42C3-AC44-439ACECA1214}"/>
    <cellStyle name="60% - Accent1 3 2 3 2 14" xfId="25845" xr:uid="{F40E09E1-D8AB-4789-AFFF-99F10B08D82B}"/>
    <cellStyle name="60% - Accent1 3 2 3 2 15" xfId="27735" xr:uid="{05F50AE5-9260-4BCF-A7EC-09EDE73FCF80}"/>
    <cellStyle name="60% - Accent1 3 2 3 2 16" xfId="29625" xr:uid="{929B6E02-915F-47BA-904A-FAFC15447029}"/>
    <cellStyle name="60% - Accent1 3 2 3 2 17" xfId="31515" xr:uid="{0119CDAF-8061-47E8-8207-3E64A6C11110}"/>
    <cellStyle name="60% - Accent1 3 2 3 2 18" xfId="33405" xr:uid="{1D8401C3-9D65-4071-B3C5-DE44FFAC9ADC}"/>
    <cellStyle name="60% - Accent1 3 2 3 2 19" xfId="35295" xr:uid="{88EFB089-670A-4A72-B56A-793F18CFA8DF}"/>
    <cellStyle name="60% - Accent1 3 2 3 2 2" xfId="3165" xr:uid="{C819850C-8A5B-4B87-AA67-8C83DA94F415}"/>
    <cellStyle name="60% - Accent1 3 2 3 2 20" xfId="37185" xr:uid="{A52DB3BC-B85C-433F-A43C-2B8A56E425BC}"/>
    <cellStyle name="60% - Accent1 3 2 3 2 21" xfId="39075" xr:uid="{38B3623E-5CA9-4B47-A483-EDBB86B9A513}"/>
    <cellStyle name="60% - Accent1 3 2 3 2 22" xfId="40966" xr:uid="{20760032-2798-407B-AAD7-205FD758DD87}"/>
    <cellStyle name="60% - Accent1 3 2 3 2 3" xfId="5055" xr:uid="{2840D6CA-861E-4D7F-92F6-E9E1E96907E3}"/>
    <cellStyle name="60% - Accent1 3 2 3 2 4" xfId="6945" xr:uid="{EEAFDD96-0BCD-48D1-8DBF-2B82E37F5E54}"/>
    <cellStyle name="60% - Accent1 3 2 3 2 5" xfId="8835" xr:uid="{A93296FB-350E-48E9-8B3B-BCF63D0A3C41}"/>
    <cellStyle name="60% - Accent1 3 2 3 2 6" xfId="10725" xr:uid="{9FC04EAC-F2E5-41F4-B93E-2A185A569507}"/>
    <cellStyle name="60% - Accent1 3 2 3 2 7" xfId="12615" xr:uid="{B29CED9A-A21F-4271-B4BA-80A72B38C746}"/>
    <cellStyle name="60% - Accent1 3 2 3 2 8" xfId="14505" xr:uid="{89D0FE6D-FA8B-4D3F-8EB3-5A21CDC3371B}"/>
    <cellStyle name="60% - Accent1 3 2 3 2 9" xfId="16395" xr:uid="{84E4DDEB-18E2-4912-B2CD-0FCACF2B9D62}"/>
    <cellStyle name="60% - Accent1 3 2 3 20" xfId="32775" xr:uid="{F261CA0E-2793-4966-81B1-69189E3F243D}"/>
    <cellStyle name="60% - Accent1 3 2 3 21" xfId="34665" xr:uid="{F61CE69D-25A5-445D-9275-CC8F06950DB6}"/>
    <cellStyle name="60% - Accent1 3 2 3 22" xfId="36555" xr:uid="{DA0DDAE6-A42F-40A4-AB7D-32BDE57787D5}"/>
    <cellStyle name="60% - Accent1 3 2 3 23" xfId="38445" xr:uid="{986DA9E1-212B-4634-BA3E-8B8E40E91BBF}"/>
    <cellStyle name="60% - Accent1 3 2 3 24" xfId="40336" xr:uid="{34C04F68-D4E6-43D0-A777-4A62EEC12E71}"/>
    <cellStyle name="60% - Accent1 3 2 3 3" xfId="1905" xr:uid="{502A690F-0300-4E8F-AC29-E0F9599B9A47}"/>
    <cellStyle name="60% - Accent1 3 2 3 3 10" xfId="18915" xr:uid="{64DE0BC5-F970-4FE9-A363-2587B747C685}"/>
    <cellStyle name="60% - Accent1 3 2 3 3 11" xfId="20805" xr:uid="{AA259329-A143-432A-837B-F94F1BD6F894}"/>
    <cellStyle name="60% - Accent1 3 2 3 3 12" xfId="22695" xr:uid="{E4755C27-01EC-49BE-ACAE-6E3BE2BFDA5F}"/>
    <cellStyle name="60% - Accent1 3 2 3 3 13" xfId="24585" xr:uid="{6DABAC12-807B-4B6C-8F91-2FC27ABE7AC7}"/>
    <cellStyle name="60% - Accent1 3 2 3 3 14" xfId="26475" xr:uid="{EA4E3C5B-97BD-4DA6-A761-728B105CF268}"/>
    <cellStyle name="60% - Accent1 3 2 3 3 15" xfId="28365" xr:uid="{1C956E16-FD3C-464B-83DD-3055E6E3A697}"/>
    <cellStyle name="60% - Accent1 3 2 3 3 16" xfId="30255" xr:uid="{3B2862B8-FFAC-4DCB-8F56-DF44AE77D6E8}"/>
    <cellStyle name="60% - Accent1 3 2 3 3 17" xfId="32145" xr:uid="{2D66A0B5-6693-47DC-A737-CF37FD89E384}"/>
    <cellStyle name="60% - Accent1 3 2 3 3 18" xfId="34035" xr:uid="{CAF83680-E7D2-474B-A887-13028AFEE3C1}"/>
    <cellStyle name="60% - Accent1 3 2 3 3 19" xfId="35925" xr:uid="{E712DEF7-8B9F-4547-A70A-CD37189E3D00}"/>
    <cellStyle name="60% - Accent1 3 2 3 3 2" xfId="3795" xr:uid="{C1283764-6C41-48ED-B45D-01B7AB322586}"/>
    <cellStyle name="60% - Accent1 3 2 3 3 20" xfId="37815" xr:uid="{2C71539C-7DBA-4872-B3ED-E1E3574E23B1}"/>
    <cellStyle name="60% - Accent1 3 2 3 3 21" xfId="39705" xr:uid="{C33F7C00-6BC9-4B11-8CFA-0DDFA2FB7054}"/>
    <cellStyle name="60% - Accent1 3 2 3 3 22" xfId="41596" xr:uid="{63A69A8B-50D1-4829-8293-5C8E954F2E51}"/>
    <cellStyle name="60% - Accent1 3 2 3 3 3" xfId="5685" xr:uid="{004AB303-1709-4699-BB19-E41EF99C25A7}"/>
    <cellStyle name="60% - Accent1 3 2 3 3 4" xfId="7575" xr:uid="{4BCF6109-5C96-4B77-9D77-1137C94254A7}"/>
    <cellStyle name="60% - Accent1 3 2 3 3 5" xfId="9465" xr:uid="{00FF6251-A70D-4F89-9B0E-C913913AB8D6}"/>
    <cellStyle name="60% - Accent1 3 2 3 3 6" xfId="11355" xr:uid="{AC7320C6-912B-46FF-AAF0-1D3E51295829}"/>
    <cellStyle name="60% - Accent1 3 2 3 3 7" xfId="13245" xr:uid="{78FD7CEE-80CB-4637-89E9-EE9B6F6A7C6E}"/>
    <cellStyle name="60% - Accent1 3 2 3 3 8" xfId="15135" xr:uid="{08594945-5717-4328-8EDB-C888214556DF}"/>
    <cellStyle name="60% - Accent1 3 2 3 3 9" xfId="17025" xr:uid="{60EE5DE1-6147-4A5B-B70D-D16585934174}"/>
    <cellStyle name="60% - Accent1 3 2 3 4" xfId="2535" xr:uid="{90AC87B2-8F51-4C7E-8705-C8E70E9753F6}"/>
    <cellStyle name="60% - Accent1 3 2 3 5" xfId="4425" xr:uid="{297EA13F-7677-4906-8670-DAD2A05DE102}"/>
    <cellStyle name="60% - Accent1 3 2 3 6" xfId="6315" xr:uid="{A53B1D2D-6594-43B4-9890-332711E605EA}"/>
    <cellStyle name="60% - Accent1 3 2 3 7" xfId="8205" xr:uid="{7642CA04-93D5-4D1E-8701-864E972D0C91}"/>
    <cellStyle name="60% - Accent1 3 2 3 8" xfId="10095" xr:uid="{59DB668B-0415-4DF0-BDE3-CACCF570F5B5}"/>
    <cellStyle name="60% - Accent1 3 2 3 9" xfId="11985" xr:uid="{9C99C926-A47D-4574-B515-C9D079F3A945}"/>
    <cellStyle name="60% - Accent1 3 2 4" xfId="855" xr:uid="{9E4BD7CF-D663-4C3A-8099-880536D1E9F7}"/>
    <cellStyle name="60% - Accent1 3 2 4 10" xfId="17865" xr:uid="{655E3357-C2BC-4B28-BBD9-AEEFAD39B3CF}"/>
    <cellStyle name="60% - Accent1 3 2 4 11" xfId="19755" xr:uid="{975C5202-0A9C-4805-924C-DD5CD5C064A7}"/>
    <cellStyle name="60% - Accent1 3 2 4 12" xfId="21645" xr:uid="{3323E684-0F73-4835-A4F4-D5342EDC8806}"/>
    <cellStyle name="60% - Accent1 3 2 4 13" xfId="23535" xr:uid="{5279E445-3643-43F0-9881-24D484790F50}"/>
    <cellStyle name="60% - Accent1 3 2 4 14" xfId="25425" xr:uid="{640BAD1D-9F30-4BF3-8916-BAFF85E36357}"/>
    <cellStyle name="60% - Accent1 3 2 4 15" xfId="27315" xr:uid="{0E3F426B-DE5A-42B3-A2BD-067EED0767FB}"/>
    <cellStyle name="60% - Accent1 3 2 4 16" xfId="29205" xr:uid="{A7DE8D66-1932-4107-AFF5-31DDABF96A61}"/>
    <cellStyle name="60% - Accent1 3 2 4 17" xfId="31095" xr:uid="{A1A1B8BB-E577-4273-A4DB-D95CB01D53F7}"/>
    <cellStyle name="60% - Accent1 3 2 4 18" xfId="32985" xr:uid="{DE319F53-1633-4FA6-B8E4-2F9C49D629BB}"/>
    <cellStyle name="60% - Accent1 3 2 4 19" xfId="34875" xr:uid="{751B8A15-ABE9-4691-A9C7-95CA783F28D9}"/>
    <cellStyle name="60% - Accent1 3 2 4 2" xfId="2745" xr:uid="{3167D666-E453-4B00-9B45-AE424E16F26C}"/>
    <cellStyle name="60% - Accent1 3 2 4 20" xfId="36765" xr:uid="{4A7F4DB7-E6D7-40AD-8825-3CF5887427EB}"/>
    <cellStyle name="60% - Accent1 3 2 4 21" xfId="38655" xr:uid="{90EF1BF5-5A52-40C8-B6CA-3F198090E12F}"/>
    <cellStyle name="60% - Accent1 3 2 4 22" xfId="40546" xr:uid="{07063006-E3EA-48F7-8FE3-ACB0B56164EC}"/>
    <cellStyle name="60% - Accent1 3 2 4 3" xfId="4635" xr:uid="{5040EFE3-41DB-43E8-9205-7BA2E0FADFB7}"/>
    <cellStyle name="60% - Accent1 3 2 4 4" xfId="6525" xr:uid="{B2197B00-F5B8-4E8B-A7D2-9B66B3386C05}"/>
    <cellStyle name="60% - Accent1 3 2 4 5" xfId="8415" xr:uid="{82CAD8B5-381A-450A-B92F-1F4651DD2B78}"/>
    <cellStyle name="60% - Accent1 3 2 4 6" xfId="10305" xr:uid="{ED6CA82C-3068-496E-8A39-B471BED867B1}"/>
    <cellStyle name="60% - Accent1 3 2 4 7" xfId="12195" xr:uid="{7FBA0DA4-0A0B-450F-8ECE-16EA7614A291}"/>
    <cellStyle name="60% - Accent1 3 2 4 8" xfId="14085" xr:uid="{5958FAC7-2D2A-4BBE-ACD1-DC17E0C36650}"/>
    <cellStyle name="60% - Accent1 3 2 4 9" xfId="15975" xr:uid="{091396CD-B57E-483B-BBF3-9D1DAB590842}"/>
    <cellStyle name="60% - Accent1 3 2 5" xfId="1485" xr:uid="{AC3F67B0-1D88-49D7-9A21-7AC556A583B8}"/>
    <cellStyle name="60% - Accent1 3 2 5 10" xfId="18495" xr:uid="{B5B25F79-A898-43B9-9A25-97003988CFDA}"/>
    <cellStyle name="60% - Accent1 3 2 5 11" xfId="20385" xr:uid="{A8F4410F-E999-47C4-AE1D-976B55BA2B30}"/>
    <cellStyle name="60% - Accent1 3 2 5 12" xfId="22275" xr:uid="{478DE2DF-95B9-492F-A1B1-EF09FE1296D4}"/>
    <cellStyle name="60% - Accent1 3 2 5 13" xfId="24165" xr:uid="{6A1DD460-8FFB-4548-A3BB-E5558928C5A7}"/>
    <cellStyle name="60% - Accent1 3 2 5 14" xfId="26055" xr:uid="{30D50CF2-F28C-4AB2-877F-D9792DAD5E8B}"/>
    <cellStyle name="60% - Accent1 3 2 5 15" xfId="27945" xr:uid="{3EBEC6F6-7EFB-45B1-A91D-7B93A92456F4}"/>
    <cellStyle name="60% - Accent1 3 2 5 16" xfId="29835" xr:uid="{8B302A07-BCBF-440D-A952-FFABE72CD79B}"/>
    <cellStyle name="60% - Accent1 3 2 5 17" xfId="31725" xr:uid="{826D057C-33B1-433B-856E-78F2D13EC911}"/>
    <cellStyle name="60% - Accent1 3 2 5 18" xfId="33615" xr:uid="{5B9369B9-C1CF-4B6A-9D2D-333573B0C6E6}"/>
    <cellStyle name="60% - Accent1 3 2 5 19" xfId="35505" xr:uid="{CB29F489-EE1C-4517-9795-5C817DF35B00}"/>
    <cellStyle name="60% - Accent1 3 2 5 2" xfId="3375" xr:uid="{56B8509C-565F-41B1-BEB7-0BD9570603E7}"/>
    <cellStyle name="60% - Accent1 3 2 5 20" xfId="37395" xr:uid="{580AE815-E97C-462E-8C2B-0D93BBCFD07A}"/>
    <cellStyle name="60% - Accent1 3 2 5 21" xfId="39285" xr:uid="{D36D369C-1D30-43D6-8DAE-B319F38314FB}"/>
    <cellStyle name="60% - Accent1 3 2 5 22" xfId="41176" xr:uid="{4848165B-3AD2-43B6-8282-F0468A89C06A}"/>
    <cellStyle name="60% - Accent1 3 2 5 3" xfId="5265" xr:uid="{CA6B1180-7A29-4030-B850-FB8ADC92793A}"/>
    <cellStyle name="60% - Accent1 3 2 5 4" xfId="7155" xr:uid="{9EF01D43-871A-4DF2-8397-47C5C37C71F0}"/>
    <cellStyle name="60% - Accent1 3 2 5 5" xfId="9045" xr:uid="{C73BE97C-CC89-402F-AEA5-12FC3719935F}"/>
    <cellStyle name="60% - Accent1 3 2 5 6" xfId="10935" xr:uid="{1A376642-D85B-496B-97F0-17699AE2290F}"/>
    <cellStyle name="60% - Accent1 3 2 5 7" xfId="12825" xr:uid="{F8CE26DC-A5EA-482A-9650-4851CB7E26EB}"/>
    <cellStyle name="60% - Accent1 3 2 5 8" xfId="14715" xr:uid="{A63A643E-BE8F-4F00-8814-52EA92C8F39A}"/>
    <cellStyle name="60% - Accent1 3 2 5 9" xfId="16605" xr:uid="{9B89FFEC-44CC-463E-85C8-21070A3BB63F}"/>
    <cellStyle name="60% - Accent1 3 2 6" xfId="2115" xr:uid="{92146E26-6548-4169-98CA-441D1F66357A}"/>
    <cellStyle name="60% - Accent1 3 2 7" xfId="4005" xr:uid="{6E54ACE6-7C28-491B-B318-7DDB224E7982}"/>
    <cellStyle name="60% - Accent1 3 2 8" xfId="5895" xr:uid="{87D5F480-946B-4B4F-8690-B4B2F5E307CB}"/>
    <cellStyle name="60% - Accent1 3 2 9" xfId="7785" xr:uid="{59246CD7-840A-40CF-8A3F-405D504DDCE3}"/>
    <cellStyle name="60% - Accent1 3 20" xfId="26580" xr:uid="{BFED7B17-5BAA-4B81-9FC6-F58010EA5A76}"/>
    <cellStyle name="60% - Accent1 3 21" xfId="28470" xr:uid="{24A77671-3271-4DDD-BE8F-F6D156B426DA}"/>
    <cellStyle name="60% - Accent1 3 22" xfId="30360" xr:uid="{1F5BB54B-A7EF-4F08-AAC4-7AA572B9DAEC}"/>
    <cellStyle name="60% - Accent1 3 23" xfId="32250" xr:uid="{3793F593-3F36-4212-8E8F-620301CEC5BD}"/>
    <cellStyle name="60% - Accent1 3 24" xfId="34140" xr:uid="{1001BE61-480B-41A7-B533-F42BCD2F2958}"/>
    <cellStyle name="60% - Accent1 3 25" xfId="36030" xr:uid="{8B2D7E16-E196-41CC-8FAB-97A511BED9B3}"/>
    <cellStyle name="60% - Accent1 3 26" xfId="37920" xr:uid="{DE6FBB8F-ED05-4AAB-91BD-6BF99CD0490C}"/>
    <cellStyle name="60% - Accent1 3 27" xfId="39811" xr:uid="{83103FF0-4321-4F6F-8F4A-C36E6FC3EA29}"/>
    <cellStyle name="60% - Accent1 3 3" xfId="330" xr:uid="{48C4F14B-1222-41B6-90FC-69FBEADC6272}"/>
    <cellStyle name="60% - Accent1 3 3 10" xfId="13560" xr:uid="{F8C48AED-78F7-4FF9-A776-874BD018B989}"/>
    <cellStyle name="60% - Accent1 3 3 11" xfId="15450" xr:uid="{7EC44127-5486-4EDC-B4B7-ABA395DAD2B4}"/>
    <cellStyle name="60% - Accent1 3 3 12" xfId="17340" xr:uid="{91EB3B34-E4B6-4695-A142-0E74020BC9A3}"/>
    <cellStyle name="60% - Accent1 3 3 13" xfId="19230" xr:uid="{6C9F383F-7342-4B90-8931-0B4645E4123D}"/>
    <cellStyle name="60% - Accent1 3 3 14" xfId="21120" xr:uid="{A43F0F88-3375-4B01-96CB-0E7546FAA19F}"/>
    <cellStyle name="60% - Accent1 3 3 15" xfId="23010" xr:uid="{0613B6D4-77F5-4F40-A292-5FCF16F05427}"/>
    <cellStyle name="60% - Accent1 3 3 16" xfId="24900" xr:uid="{2CA4132B-B507-4EB0-9C69-B525EB4E595E}"/>
    <cellStyle name="60% - Accent1 3 3 17" xfId="26790" xr:uid="{B9FC01AC-1289-45DC-BC89-C15DC147F146}"/>
    <cellStyle name="60% - Accent1 3 3 18" xfId="28680" xr:uid="{9FB38C2D-0CEA-4B3D-85E9-F178CA8DF208}"/>
    <cellStyle name="60% - Accent1 3 3 19" xfId="30570" xr:uid="{F5E0903D-1F2D-4AF5-8C27-ABC95DBB6036}"/>
    <cellStyle name="60% - Accent1 3 3 2" xfId="960" xr:uid="{0CAB421B-7E59-4C61-B25D-9DC86572B374}"/>
    <cellStyle name="60% - Accent1 3 3 2 10" xfId="17970" xr:uid="{3F9B86E2-79E5-4F0E-9918-39E8C544D7F6}"/>
    <cellStyle name="60% - Accent1 3 3 2 11" xfId="19860" xr:uid="{08FB6E0F-A556-416E-89BB-C077FA1AEEF1}"/>
    <cellStyle name="60% - Accent1 3 3 2 12" xfId="21750" xr:uid="{F5F2882C-DB85-4F89-91D7-6F5C4082C7CA}"/>
    <cellStyle name="60% - Accent1 3 3 2 13" xfId="23640" xr:uid="{AA2D319D-F58E-4EFA-86BC-6438F3CEE617}"/>
    <cellStyle name="60% - Accent1 3 3 2 14" xfId="25530" xr:uid="{A3C2E1E2-9965-4320-9311-9BCA525392FF}"/>
    <cellStyle name="60% - Accent1 3 3 2 15" xfId="27420" xr:uid="{76D93EDD-B0BA-4CED-98FD-14AEA514CB16}"/>
    <cellStyle name="60% - Accent1 3 3 2 16" xfId="29310" xr:uid="{0EFCADB9-E8E5-47F4-A723-98C8B072D869}"/>
    <cellStyle name="60% - Accent1 3 3 2 17" xfId="31200" xr:uid="{8B617DEF-EE52-43D2-9A0E-DE493D065F59}"/>
    <cellStyle name="60% - Accent1 3 3 2 18" xfId="33090" xr:uid="{6B5FAD34-E98C-4977-AF43-AC4CF1580C75}"/>
    <cellStyle name="60% - Accent1 3 3 2 19" xfId="34980" xr:uid="{86F537DD-6C9D-46E1-AA8C-E1AC92228B9F}"/>
    <cellStyle name="60% - Accent1 3 3 2 2" xfId="2850" xr:uid="{CAD5B8A7-2380-43D6-AE29-84089298C930}"/>
    <cellStyle name="60% - Accent1 3 3 2 20" xfId="36870" xr:uid="{E2C6F184-501C-4C3F-9250-0B5222BABFCE}"/>
    <cellStyle name="60% - Accent1 3 3 2 21" xfId="38760" xr:uid="{F7ED7F19-2D68-4A88-9ECF-1D7A9A2CC668}"/>
    <cellStyle name="60% - Accent1 3 3 2 22" xfId="40651" xr:uid="{C9D387BA-D482-4BBD-90B1-20AA77412829}"/>
    <cellStyle name="60% - Accent1 3 3 2 3" xfId="4740" xr:uid="{E9237E0A-D109-4AF0-A0AD-68D1C669731A}"/>
    <cellStyle name="60% - Accent1 3 3 2 4" xfId="6630" xr:uid="{BF3A98FE-91AB-47F9-9949-B8248E031CCA}"/>
    <cellStyle name="60% - Accent1 3 3 2 5" xfId="8520" xr:uid="{CA1C3B8A-4168-48CA-8DE2-CC2884A0A582}"/>
    <cellStyle name="60% - Accent1 3 3 2 6" xfId="10410" xr:uid="{6638B0CF-4621-4A63-9796-C8F3633F0421}"/>
    <cellStyle name="60% - Accent1 3 3 2 7" xfId="12300" xr:uid="{BDC12816-B92E-4FE7-9C0E-DA9794D5383C}"/>
    <cellStyle name="60% - Accent1 3 3 2 8" xfId="14190" xr:uid="{252E900C-603D-4DF2-84A8-7E15A59FC686}"/>
    <cellStyle name="60% - Accent1 3 3 2 9" xfId="16080" xr:uid="{8ECF675C-7947-49D6-B93D-8E17D5D8EB63}"/>
    <cellStyle name="60% - Accent1 3 3 20" xfId="32460" xr:uid="{6D00653B-1000-4AE4-8B44-520786F528AF}"/>
    <cellStyle name="60% - Accent1 3 3 21" xfId="34350" xr:uid="{32827253-6404-4E08-B6C2-A3E28D862AB6}"/>
    <cellStyle name="60% - Accent1 3 3 22" xfId="36240" xr:uid="{D6DBF478-97FB-4DBC-9DC0-D31C60D9C321}"/>
    <cellStyle name="60% - Accent1 3 3 23" xfId="38130" xr:uid="{0C87DF1C-D4A8-4E00-A8A6-167ACDA41904}"/>
    <cellStyle name="60% - Accent1 3 3 24" xfId="40021" xr:uid="{5E51485E-7A75-42A2-9E37-A642FDDBBB68}"/>
    <cellStyle name="60% - Accent1 3 3 3" xfId="1590" xr:uid="{AA8CF5F0-49CE-4F8F-937A-C2ED68D1377C}"/>
    <cellStyle name="60% - Accent1 3 3 3 10" xfId="18600" xr:uid="{59221BA4-FC18-478B-8C7C-8338264C62AA}"/>
    <cellStyle name="60% - Accent1 3 3 3 11" xfId="20490" xr:uid="{802B0EAA-6ACF-4573-9717-0E2F5E45E840}"/>
    <cellStyle name="60% - Accent1 3 3 3 12" xfId="22380" xr:uid="{68BEAB0E-F75C-4196-AB59-1A9FA6901C7A}"/>
    <cellStyle name="60% - Accent1 3 3 3 13" xfId="24270" xr:uid="{916FE593-39EA-4239-95A5-2AE654EA1EFD}"/>
    <cellStyle name="60% - Accent1 3 3 3 14" xfId="26160" xr:uid="{D9BAB347-5E0F-42AC-9DA0-90EC5F2206D2}"/>
    <cellStyle name="60% - Accent1 3 3 3 15" xfId="28050" xr:uid="{8EB50337-5C22-4F7B-8F18-78D792524DC3}"/>
    <cellStyle name="60% - Accent1 3 3 3 16" xfId="29940" xr:uid="{EDFE0D15-2684-4681-BE11-135A6B67E677}"/>
    <cellStyle name="60% - Accent1 3 3 3 17" xfId="31830" xr:uid="{2E55335F-D640-4E91-9531-FC2CE6BC7D3F}"/>
    <cellStyle name="60% - Accent1 3 3 3 18" xfId="33720" xr:uid="{7DDDB835-2CEE-4EB4-B92D-BB771989AD87}"/>
    <cellStyle name="60% - Accent1 3 3 3 19" xfId="35610" xr:uid="{36E8B17B-2ED2-452D-84C1-DC40B971881E}"/>
    <cellStyle name="60% - Accent1 3 3 3 2" xfId="3480" xr:uid="{D6451D64-7275-4CAB-A621-2C14EF320D36}"/>
    <cellStyle name="60% - Accent1 3 3 3 20" xfId="37500" xr:uid="{B9B34E35-5D54-47E3-90A0-548BF117F617}"/>
    <cellStyle name="60% - Accent1 3 3 3 21" xfId="39390" xr:uid="{32D0D91C-1C01-4BC2-BFB7-F0111F69C473}"/>
    <cellStyle name="60% - Accent1 3 3 3 22" xfId="41281" xr:uid="{A7E01300-FBDF-4394-A0B2-74FDFF2B2004}"/>
    <cellStyle name="60% - Accent1 3 3 3 3" xfId="5370" xr:uid="{B2A5CCD4-097C-4DB1-B2E3-1CB7A25CDFBA}"/>
    <cellStyle name="60% - Accent1 3 3 3 4" xfId="7260" xr:uid="{FFB4C7E4-4ACC-4D77-8720-9E00FA42091F}"/>
    <cellStyle name="60% - Accent1 3 3 3 5" xfId="9150" xr:uid="{9133F9AB-999F-44FD-AA49-AAE2CB120B5C}"/>
    <cellStyle name="60% - Accent1 3 3 3 6" xfId="11040" xr:uid="{864A6B3D-46E1-4B3F-8A58-01F875ED6E2E}"/>
    <cellStyle name="60% - Accent1 3 3 3 7" xfId="12930" xr:uid="{98A3646B-8558-461A-BEAD-192FE06B50FA}"/>
    <cellStyle name="60% - Accent1 3 3 3 8" xfId="14820" xr:uid="{972EBFB8-D681-4136-9722-ABF26EC84337}"/>
    <cellStyle name="60% - Accent1 3 3 3 9" xfId="16710" xr:uid="{FE7BFD94-C3A9-4B23-AD4C-5FFBA7EFAAF8}"/>
    <cellStyle name="60% - Accent1 3 3 4" xfId="2220" xr:uid="{08E5DC66-E04D-4575-A292-DDFB1AAC42B7}"/>
    <cellStyle name="60% - Accent1 3 3 5" xfId="4110" xr:uid="{B15940AE-441F-4741-9626-76FEAF45814B}"/>
    <cellStyle name="60% - Accent1 3 3 6" xfId="6000" xr:uid="{CA2CFAF2-93AD-4A7C-B089-C89977E49F57}"/>
    <cellStyle name="60% - Accent1 3 3 7" xfId="7890" xr:uid="{3257AE66-D66F-4F9C-94BF-3E7EA20E7B50}"/>
    <cellStyle name="60% - Accent1 3 3 8" xfId="9780" xr:uid="{60162049-840F-4E1E-B571-9917C35C3A07}"/>
    <cellStyle name="60% - Accent1 3 3 9" xfId="11670" xr:uid="{D6147618-E7E3-4859-BB8A-B35E7A447550}"/>
    <cellStyle name="60% - Accent1 3 4" xfId="540" xr:uid="{49931DF7-5BAA-4ADA-B4F7-4B2360985202}"/>
    <cellStyle name="60% - Accent1 3 4 10" xfId="13770" xr:uid="{0194F54D-9FA5-482F-B788-8E14AE70DE5F}"/>
    <cellStyle name="60% - Accent1 3 4 11" xfId="15660" xr:uid="{85568318-9243-4162-9C9A-7D1A89412377}"/>
    <cellStyle name="60% - Accent1 3 4 12" xfId="17550" xr:uid="{281A66A5-82C2-42D2-93F4-B825841A4A87}"/>
    <cellStyle name="60% - Accent1 3 4 13" xfId="19440" xr:uid="{BBEB7701-944D-45F0-A21E-82EA25E18E0D}"/>
    <cellStyle name="60% - Accent1 3 4 14" xfId="21330" xr:uid="{B350711C-05EF-4659-8FC2-3671DC2EED08}"/>
    <cellStyle name="60% - Accent1 3 4 15" xfId="23220" xr:uid="{C58FBFC6-2D27-40CD-B362-B1187592D06E}"/>
    <cellStyle name="60% - Accent1 3 4 16" xfId="25110" xr:uid="{D9D1BECC-8465-490F-BB29-6B023DDD4EC1}"/>
    <cellStyle name="60% - Accent1 3 4 17" xfId="27000" xr:uid="{79F3D4E7-F6B3-4067-8EDD-E7C483D0E2B7}"/>
    <cellStyle name="60% - Accent1 3 4 18" xfId="28890" xr:uid="{04381583-012D-43F7-AF43-91F8330F2054}"/>
    <cellStyle name="60% - Accent1 3 4 19" xfId="30780" xr:uid="{7E14F2E7-F87E-4AB7-A045-0B18580D258D}"/>
    <cellStyle name="60% - Accent1 3 4 2" xfId="1170" xr:uid="{2AD7D639-A4E9-45B3-9F20-1BDC683742A3}"/>
    <cellStyle name="60% - Accent1 3 4 2 10" xfId="18180" xr:uid="{BDCB1A28-3A48-4EBD-AC6C-6891F4D37857}"/>
    <cellStyle name="60% - Accent1 3 4 2 11" xfId="20070" xr:uid="{AD8FADD0-A43A-4352-9068-55F5C43BC139}"/>
    <cellStyle name="60% - Accent1 3 4 2 12" xfId="21960" xr:uid="{22BE8AF6-A6B7-4964-B07F-37AC11141C03}"/>
    <cellStyle name="60% - Accent1 3 4 2 13" xfId="23850" xr:uid="{5C28659B-6D92-4212-8EA6-B1B39A9666DF}"/>
    <cellStyle name="60% - Accent1 3 4 2 14" xfId="25740" xr:uid="{CF60808E-AC40-470D-A8E2-3A0E9EC53903}"/>
    <cellStyle name="60% - Accent1 3 4 2 15" xfId="27630" xr:uid="{CD24DEB5-3372-4FE7-9F91-0FBDD966B3AF}"/>
    <cellStyle name="60% - Accent1 3 4 2 16" xfId="29520" xr:uid="{5287D097-44D0-4186-A312-B4506D977761}"/>
    <cellStyle name="60% - Accent1 3 4 2 17" xfId="31410" xr:uid="{8672B0C7-3590-42C5-95F8-3D1D73AF41BD}"/>
    <cellStyle name="60% - Accent1 3 4 2 18" xfId="33300" xr:uid="{2E945F4A-25D8-4C95-85EF-877FE10DB812}"/>
    <cellStyle name="60% - Accent1 3 4 2 19" xfId="35190" xr:uid="{30DEE77A-C248-4923-97A0-29C9158608CD}"/>
    <cellStyle name="60% - Accent1 3 4 2 2" xfId="3060" xr:uid="{E8121E1B-082D-49A1-ABB3-9CA8972837BC}"/>
    <cellStyle name="60% - Accent1 3 4 2 20" xfId="37080" xr:uid="{4F157A0E-90FA-4F59-8899-17D7D08535F7}"/>
    <cellStyle name="60% - Accent1 3 4 2 21" xfId="38970" xr:uid="{9374BCE8-1993-43CC-9DBA-996479785550}"/>
    <cellStyle name="60% - Accent1 3 4 2 22" xfId="40861" xr:uid="{729B47EE-406C-4208-9C74-8E001549DEA7}"/>
    <cellStyle name="60% - Accent1 3 4 2 3" xfId="4950" xr:uid="{2E464AD1-335A-4AC1-BFF5-AA01F4D88BC2}"/>
    <cellStyle name="60% - Accent1 3 4 2 4" xfId="6840" xr:uid="{3A9279B6-C713-4F50-98E9-7AD12B0E9A40}"/>
    <cellStyle name="60% - Accent1 3 4 2 5" xfId="8730" xr:uid="{F1EE06D2-49EF-48A5-8A9D-4CEA0D78FD8E}"/>
    <cellStyle name="60% - Accent1 3 4 2 6" xfId="10620" xr:uid="{FD1D1CE9-C9E6-4595-B5A9-16F4259D3AD7}"/>
    <cellStyle name="60% - Accent1 3 4 2 7" xfId="12510" xr:uid="{060632A6-ADEA-4D7B-B457-61DA37151C89}"/>
    <cellStyle name="60% - Accent1 3 4 2 8" xfId="14400" xr:uid="{85908C06-64A1-4710-9198-88620B8B203E}"/>
    <cellStyle name="60% - Accent1 3 4 2 9" xfId="16290" xr:uid="{B096A793-C78F-4328-9551-03D21E7EFB4E}"/>
    <cellStyle name="60% - Accent1 3 4 20" xfId="32670" xr:uid="{D20E142A-5F5A-419C-8479-8D17257C97CD}"/>
    <cellStyle name="60% - Accent1 3 4 21" xfId="34560" xr:uid="{6B659445-37F7-440C-90C3-21CC469D0DB5}"/>
    <cellStyle name="60% - Accent1 3 4 22" xfId="36450" xr:uid="{B759287D-6FB7-463C-8F4B-5FA5D3AD227A}"/>
    <cellStyle name="60% - Accent1 3 4 23" xfId="38340" xr:uid="{4E6D2672-8213-4A66-84A1-E446B3241015}"/>
    <cellStyle name="60% - Accent1 3 4 24" xfId="40231" xr:uid="{B1AB1743-9056-4514-B5D1-CCDD5DC5EE3C}"/>
    <cellStyle name="60% - Accent1 3 4 3" xfId="1800" xr:uid="{EFB76849-B845-4436-A310-63B216D1DC6A}"/>
    <cellStyle name="60% - Accent1 3 4 3 10" xfId="18810" xr:uid="{4FBA8FDA-CABF-4E05-8677-0C85E0585510}"/>
    <cellStyle name="60% - Accent1 3 4 3 11" xfId="20700" xr:uid="{BE3B255C-2BB0-48AA-BB0E-21A980E4C7AF}"/>
    <cellStyle name="60% - Accent1 3 4 3 12" xfId="22590" xr:uid="{CF930E0C-1FAB-4A0C-9279-97E87E01EFF3}"/>
    <cellStyle name="60% - Accent1 3 4 3 13" xfId="24480" xr:uid="{9CB87A01-5663-4AD8-86D3-E2D9E5BA4C86}"/>
    <cellStyle name="60% - Accent1 3 4 3 14" xfId="26370" xr:uid="{B56E0C9E-5D13-42FE-A0E2-B2756CCAF30E}"/>
    <cellStyle name="60% - Accent1 3 4 3 15" xfId="28260" xr:uid="{92E35D63-1B11-4458-B90B-2E92AB940547}"/>
    <cellStyle name="60% - Accent1 3 4 3 16" xfId="30150" xr:uid="{92AD5B7B-8EFB-487D-9121-E2F393DBC47E}"/>
    <cellStyle name="60% - Accent1 3 4 3 17" xfId="32040" xr:uid="{1E0868F0-BAA5-4A19-80F5-18B8D6466642}"/>
    <cellStyle name="60% - Accent1 3 4 3 18" xfId="33930" xr:uid="{F25464FD-4D05-4FB2-9D9C-923580D50FF6}"/>
    <cellStyle name="60% - Accent1 3 4 3 19" xfId="35820" xr:uid="{E3D5FB19-1EC7-42DD-8E53-8BDA7199B97A}"/>
    <cellStyle name="60% - Accent1 3 4 3 2" xfId="3690" xr:uid="{DE5B8269-2A50-451F-A9BD-BFAFEEBEAA30}"/>
    <cellStyle name="60% - Accent1 3 4 3 20" xfId="37710" xr:uid="{6E00E778-BC8E-4E19-82F1-4C5DECEA1759}"/>
    <cellStyle name="60% - Accent1 3 4 3 21" xfId="39600" xr:uid="{A351BA10-58CD-4F7C-9429-60E1F9ED4971}"/>
    <cellStyle name="60% - Accent1 3 4 3 22" xfId="41491" xr:uid="{B7E8501E-0BA7-4309-86DA-82267710D8DF}"/>
    <cellStyle name="60% - Accent1 3 4 3 3" xfId="5580" xr:uid="{CFE42E7E-5291-478F-BA87-C5E72E5F7D5A}"/>
    <cellStyle name="60% - Accent1 3 4 3 4" xfId="7470" xr:uid="{9869663E-8540-4C4B-B3FA-47E23F5537B9}"/>
    <cellStyle name="60% - Accent1 3 4 3 5" xfId="9360" xr:uid="{4C6D0BAE-18DE-47B6-9855-D7D81B2F4033}"/>
    <cellStyle name="60% - Accent1 3 4 3 6" xfId="11250" xr:uid="{79E6FF69-C628-41A0-9473-C4D290E137B3}"/>
    <cellStyle name="60% - Accent1 3 4 3 7" xfId="13140" xr:uid="{55AF6FE8-EB4A-43BD-971D-40FB0405652B}"/>
    <cellStyle name="60% - Accent1 3 4 3 8" xfId="15030" xr:uid="{9AFBFDFB-A80C-4D42-9CB6-D4FD72D213AD}"/>
    <cellStyle name="60% - Accent1 3 4 3 9" xfId="16920" xr:uid="{9563E812-3078-4714-9CBB-A7A7DC20C1FE}"/>
    <cellStyle name="60% - Accent1 3 4 4" xfId="2430" xr:uid="{E96A79A9-7CF9-427A-82D0-B663CDA00958}"/>
    <cellStyle name="60% - Accent1 3 4 5" xfId="4320" xr:uid="{29901C59-14D4-4829-A432-52C0193A1F59}"/>
    <cellStyle name="60% - Accent1 3 4 6" xfId="6210" xr:uid="{4EA2A42B-532F-4AD7-9B7F-81F671D9B245}"/>
    <cellStyle name="60% - Accent1 3 4 7" xfId="8100" xr:uid="{EDCDADA5-9746-4E14-A1D5-4950CD494E22}"/>
    <cellStyle name="60% - Accent1 3 4 8" xfId="9990" xr:uid="{3FAE4530-69AC-4953-AB47-A8F1971FE555}"/>
    <cellStyle name="60% - Accent1 3 4 9" xfId="11880" xr:uid="{25D5AA98-F0C0-4BD0-9616-4A2C715BD218}"/>
    <cellStyle name="60% - Accent1 3 5" xfId="750" xr:uid="{436D24ED-011E-40E8-BE27-79A50A326B3B}"/>
    <cellStyle name="60% - Accent1 3 5 10" xfId="17760" xr:uid="{C4E57A3B-E461-4CAC-943D-24FCF5229E47}"/>
    <cellStyle name="60% - Accent1 3 5 11" xfId="19650" xr:uid="{44C264BF-2750-4B5E-ACB3-8E821EEBB2FF}"/>
    <cellStyle name="60% - Accent1 3 5 12" xfId="21540" xr:uid="{1734DB4C-909C-4CFE-BCCB-8DEF841C791A}"/>
    <cellStyle name="60% - Accent1 3 5 13" xfId="23430" xr:uid="{2252A2BE-A2E8-4041-92B1-7F246801B8D6}"/>
    <cellStyle name="60% - Accent1 3 5 14" xfId="25320" xr:uid="{21B854EB-93F3-4368-B0EA-A1DA25213020}"/>
    <cellStyle name="60% - Accent1 3 5 15" xfId="27210" xr:uid="{2B1DD019-D034-4331-BDC8-6D5F80FAC994}"/>
    <cellStyle name="60% - Accent1 3 5 16" xfId="29100" xr:uid="{7BE4186F-7520-4AB5-BE59-5205971658A4}"/>
    <cellStyle name="60% - Accent1 3 5 17" xfId="30990" xr:uid="{5D066639-8778-4942-8EF9-DE8652D6EEA0}"/>
    <cellStyle name="60% - Accent1 3 5 18" xfId="32880" xr:uid="{C64579CB-E334-401D-889B-036D08CC5CC7}"/>
    <cellStyle name="60% - Accent1 3 5 19" xfId="34770" xr:uid="{4E7B7D15-3AF4-40EB-BAE8-510FDFE7B5C9}"/>
    <cellStyle name="60% - Accent1 3 5 2" xfId="2640" xr:uid="{127322F3-9713-46CC-BF9A-7404A1B1F4B1}"/>
    <cellStyle name="60% - Accent1 3 5 20" xfId="36660" xr:uid="{7770CAB3-2D61-4CCD-9858-2BD50E9F3B0E}"/>
    <cellStyle name="60% - Accent1 3 5 21" xfId="38550" xr:uid="{ACB36874-24A6-48B2-B2EB-AAE6ED6ECE76}"/>
    <cellStyle name="60% - Accent1 3 5 22" xfId="40441" xr:uid="{ABBFEAE0-BC18-4447-8D17-5AAD8DF8913F}"/>
    <cellStyle name="60% - Accent1 3 5 3" xfId="4530" xr:uid="{13D995DB-942E-4A2C-AD28-B6106A4ED90F}"/>
    <cellStyle name="60% - Accent1 3 5 4" xfId="6420" xr:uid="{28456F67-7FBB-46A0-BDD0-2FC5E1DC89C2}"/>
    <cellStyle name="60% - Accent1 3 5 5" xfId="8310" xr:uid="{EE2C9078-1064-45F0-B9B5-8167EFA8CD03}"/>
    <cellStyle name="60% - Accent1 3 5 6" xfId="10200" xr:uid="{2E6D7AB0-0379-41D9-9B8C-0A80768082A9}"/>
    <cellStyle name="60% - Accent1 3 5 7" xfId="12090" xr:uid="{008BE0B8-AC49-4126-AB10-DB92B563C2BD}"/>
    <cellStyle name="60% - Accent1 3 5 8" xfId="13980" xr:uid="{26719F0E-1314-4D0C-8900-060DA48E9701}"/>
    <cellStyle name="60% - Accent1 3 5 9" xfId="15870" xr:uid="{9360022F-0DFD-4D80-B27C-FD6C16377EC1}"/>
    <cellStyle name="60% - Accent1 3 6" xfId="1380" xr:uid="{E82BCC5B-E42E-4964-86E0-135DE08CEC69}"/>
    <cellStyle name="60% - Accent1 3 6 10" xfId="18390" xr:uid="{83F08F13-606E-4B47-887D-C6F1997610D1}"/>
    <cellStyle name="60% - Accent1 3 6 11" xfId="20280" xr:uid="{31BB5F3D-CECC-4290-BA46-9BDA17D88B33}"/>
    <cellStyle name="60% - Accent1 3 6 12" xfId="22170" xr:uid="{6F87CD33-EB76-401A-95F1-446DB2AD2C20}"/>
    <cellStyle name="60% - Accent1 3 6 13" xfId="24060" xr:uid="{2F7015A7-9605-44B6-95BC-5D95A9D6308F}"/>
    <cellStyle name="60% - Accent1 3 6 14" xfId="25950" xr:uid="{06A3BD88-73D6-4521-8147-313BAC45392A}"/>
    <cellStyle name="60% - Accent1 3 6 15" xfId="27840" xr:uid="{04E00DE1-C465-41EE-8CB1-BD0129462AC2}"/>
    <cellStyle name="60% - Accent1 3 6 16" xfId="29730" xr:uid="{D7577BE2-7706-4319-927A-8B419AAB634C}"/>
    <cellStyle name="60% - Accent1 3 6 17" xfId="31620" xr:uid="{7CAD68CF-CB40-4BCA-91C6-6EF2E1C0C3F0}"/>
    <cellStyle name="60% - Accent1 3 6 18" xfId="33510" xr:uid="{2F1660E3-89E9-4AF0-ADD0-B13B096F00BF}"/>
    <cellStyle name="60% - Accent1 3 6 19" xfId="35400" xr:uid="{CD8132C9-B859-4474-BF1D-FEAACED45ECD}"/>
    <cellStyle name="60% - Accent1 3 6 2" xfId="3270" xr:uid="{30D0E06A-FA8C-4640-A7E2-572AEAC51EDB}"/>
    <cellStyle name="60% - Accent1 3 6 20" xfId="37290" xr:uid="{78C06897-3163-40DC-9823-3ADA857BDA7A}"/>
    <cellStyle name="60% - Accent1 3 6 21" xfId="39180" xr:uid="{84CB0D12-B5DD-460F-8B0A-ABD97B6AEFB1}"/>
    <cellStyle name="60% - Accent1 3 6 22" xfId="41071" xr:uid="{A284A2C7-DE4A-4607-8310-B8DBC2D5D507}"/>
    <cellStyle name="60% - Accent1 3 6 3" xfId="5160" xr:uid="{372D482A-5BF8-40A9-9DE8-C376E10E08AE}"/>
    <cellStyle name="60% - Accent1 3 6 4" xfId="7050" xr:uid="{E468570D-FEC1-4380-B1E7-46B1D147CC71}"/>
    <cellStyle name="60% - Accent1 3 6 5" xfId="8940" xr:uid="{B5427936-6347-46AD-AC27-D891B47317C0}"/>
    <cellStyle name="60% - Accent1 3 6 6" xfId="10830" xr:uid="{B5536C7E-123C-4D51-9AE4-874074B474D4}"/>
    <cellStyle name="60% - Accent1 3 6 7" xfId="12720" xr:uid="{D8934D26-73FF-4201-82A9-90612A892D43}"/>
    <cellStyle name="60% - Accent1 3 6 8" xfId="14610" xr:uid="{31EA1895-5A90-4E53-A76E-7F0C3FF8C0D3}"/>
    <cellStyle name="60% - Accent1 3 6 9" xfId="16500" xr:uid="{680D7C1B-0FCE-4BF8-846D-C6E2B777B714}"/>
    <cellStyle name="60% - Accent1 3 7" xfId="2010" xr:uid="{98A15592-726E-4BED-911F-C99C5CB67CED}"/>
    <cellStyle name="60% - Accent1 3 8" xfId="3900" xr:uid="{53B39C0A-CBE7-4994-8CD8-789D55432F9D}"/>
    <cellStyle name="60% - Accent1 3 9" xfId="5790" xr:uid="{E461A75B-12B8-404F-B27F-4BFDE1AE534B}"/>
    <cellStyle name="60% - Accent1 4" xfId="183" xr:uid="{BF2A991C-70A6-4768-A09F-DAE8F4FE5893}"/>
    <cellStyle name="60% - Accent1 4 10" xfId="9633" xr:uid="{71B45907-BE1B-4ADB-8FBB-5F9F4CACBBDE}"/>
    <cellStyle name="60% - Accent1 4 11" xfId="11523" xr:uid="{72194E9B-E957-41E7-81B7-2DC96839FFF7}"/>
    <cellStyle name="60% - Accent1 4 12" xfId="13413" xr:uid="{6BEE1D1E-9DE0-484D-A920-E3BE44B6166D}"/>
    <cellStyle name="60% - Accent1 4 13" xfId="15303" xr:uid="{FE2740B5-BE40-4115-A8AE-5951A9A30C2B}"/>
    <cellStyle name="60% - Accent1 4 14" xfId="17193" xr:uid="{7ADFF74A-8995-4A80-ABCC-24EFECAB0CD9}"/>
    <cellStyle name="60% - Accent1 4 15" xfId="19083" xr:uid="{0A215433-67C6-462A-BE78-F6763987C761}"/>
    <cellStyle name="60% - Accent1 4 16" xfId="20973" xr:uid="{4682FA61-FB46-4A10-80A8-2B9B48952E29}"/>
    <cellStyle name="60% - Accent1 4 17" xfId="22863" xr:uid="{3DF133EE-1455-4B52-8D3A-503489081954}"/>
    <cellStyle name="60% - Accent1 4 18" xfId="24753" xr:uid="{6B228A0E-3541-4105-A9D8-DC86BA01FEE1}"/>
    <cellStyle name="60% - Accent1 4 19" xfId="26643" xr:uid="{421F9A30-14D7-403D-BCA2-55DEB5EB7810}"/>
    <cellStyle name="60% - Accent1 4 2" xfId="393" xr:uid="{5B0E6099-5A33-4FE7-BACE-D4792FC8F117}"/>
    <cellStyle name="60% - Accent1 4 2 10" xfId="13623" xr:uid="{CE521FAF-FA1D-482C-90B5-24C0B9FDCA6C}"/>
    <cellStyle name="60% - Accent1 4 2 11" xfId="15513" xr:uid="{EFFE522E-BA8F-4751-9DBD-3A5B4A3F0C04}"/>
    <cellStyle name="60% - Accent1 4 2 12" xfId="17403" xr:uid="{83F48CE1-F229-47EC-8DF4-30D133D0A177}"/>
    <cellStyle name="60% - Accent1 4 2 13" xfId="19293" xr:uid="{F69ACDB7-B22D-4623-B36B-FCFA1B8C647C}"/>
    <cellStyle name="60% - Accent1 4 2 14" xfId="21183" xr:uid="{CD95F986-406C-4F23-B27D-C6C34B6C3856}"/>
    <cellStyle name="60% - Accent1 4 2 15" xfId="23073" xr:uid="{5EDD4AFA-BAD1-4BC1-B3C6-C657C3A16C5D}"/>
    <cellStyle name="60% - Accent1 4 2 16" xfId="24963" xr:uid="{A0478ABA-BE3E-458E-B262-5CFAFF7BF6EB}"/>
    <cellStyle name="60% - Accent1 4 2 17" xfId="26853" xr:uid="{249AF0EE-9571-408B-8D40-F38CBDC8302D}"/>
    <cellStyle name="60% - Accent1 4 2 18" xfId="28743" xr:uid="{E97F28E6-8358-423A-8E93-40B8D2BDED5E}"/>
    <cellStyle name="60% - Accent1 4 2 19" xfId="30633" xr:uid="{45E2AECA-E51E-4603-95C8-DC06ED251112}"/>
    <cellStyle name="60% - Accent1 4 2 2" xfId="1023" xr:uid="{3081A352-4C8E-47C8-AA0C-EC7FE99986B4}"/>
    <cellStyle name="60% - Accent1 4 2 2 10" xfId="18033" xr:uid="{F55258C4-8ED9-45E0-9E36-EACD57FD8BE6}"/>
    <cellStyle name="60% - Accent1 4 2 2 11" xfId="19923" xr:uid="{CB5E9FB0-2290-46D0-B365-8B86D2BC3BBD}"/>
    <cellStyle name="60% - Accent1 4 2 2 12" xfId="21813" xr:uid="{035BC349-4A9E-4FBA-8E16-A79E61DC6E92}"/>
    <cellStyle name="60% - Accent1 4 2 2 13" xfId="23703" xr:uid="{7A257120-09B3-4FB0-AF5E-BE41FF8ABA0F}"/>
    <cellStyle name="60% - Accent1 4 2 2 14" xfId="25593" xr:uid="{6799B6CB-AE2E-4D01-A37D-82B9BF4D0E7C}"/>
    <cellStyle name="60% - Accent1 4 2 2 15" xfId="27483" xr:uid="{D09ADADF-8A7D-4569-B1AD-79DD96BA115A}"/>
    <cellStyle name="60% - Accent1 4 2 2 16" xfId="29373" xr:uid="{1FC5B5CC-59FF-44AC-A913-518FA954F01F}"/>
    <cellStyle name="60% - Accent1 4 2 2 17" xfId="31263" xr:uid="{C7655E90-DB0E-466F-9998-E02E2950B35E}"/>
    <cellStyle name="60% - Accent1 4 2 2 18" xfId="33153" xr:uid="{8DE49CE7-78F5-4696-ACDC-79C268F3F1EB}"/>
    <cellStyle name="60% - Accent1 4 2 2 19" xfId="35043" xr:uid="{05D6595C-465F-4EC5-AC2A-4AC35471B549}"/>
    <cellStyle name="60% - Accent1 4 2 2 2" xfId="2913" xr:uid="{63F4950D-6D5B-43FA-92AC-EEA1A291CFAA}"/>
    <cellStyle name="60% - Accent1 4 2 2 20" xfId="36933" xr:uid="{FADEF5FA-2A6C-41D9-8898-1DF775CEFD30}"/>
    <cellStyle name="60% - Accent1 4 2 2 21" xfId="38823" xr:uid="{CD28DEFA-1CFA-4D7B-ABEB-1AFF19FDAFA9}"/>
    <cellStyle name="60% - Accent1 4 2 2 22" xfId="40714" xr:uid="{7F38DAE4-2425-4587-82E1-FE1CAA4D4526}"/>
    <cellStyle name="60% - Accent1 4 2 2 3" xfId="4803" xr:uid="{EF06D9FC-6FE0-4BDC-A937-7194084DBD66}"/>
    <cellStyle name="60% - Accent1 4 2 2 4" xfId="6693" xr:uid="{817D7B25-2594-4DB2-8E08-BB0193B42F22}"/>
    <cellStyle name="60% - Accent1 4 2 2 5" xfId="8583" xr:uid="{DF669B03-2E52-4C39-B487-755CC3C91749}"/>
    <cellStyle name="60% - Accent1 4 2 2 6" xfId="10473" xr:uid="{1BA4A13B-21BA-4137-9C39-06293C6D94F3}"/>
    <cellStyle name="60% - Accent1 4 2 2 7" xfId="12363" xr:uid="{65073437-C77E-4F1C-AC1C-54D210FCC925}"/>
    <cellStyle name="60% - Accent1 4 2 2 8" xfId="14253" xr:uid="{53F07DE0-68D2-4B3C-B1C9-F74A74ABADB8}"/>
    <cellStyle name="60% - Accent1 4 2 2 9" xfId="16143" xr:uid="{700EEEB6-38E9-4221-BE75-E10958CA8D29}"/>
    <cellStyle name="60% - Accent1 4 2 20" xfId="32523" xr:uid="{9BCF64B9-5AD5-40DC-8241-E27507D6F1C7}"/>
    <cellStyle name="60% - Accent1 4 2 21" xfId="34413" xr:uid="{DDC14E30-6262-4D94-99BA-D0C08B6FA11F}"/>
    <cellStyle name="60% - Accent1 4 2 22" xfId="36303" xr:uid="{331BC10D-068E-4E97-B0F7-57648CCCEAD5}"/>
    <cellStyle name="60% - Accent1 4 2 23" xfId="38193" xr:uid="{7521D531-F8D7-4CCE-B134-02B57849A848}"/>
    <cellStyle name="60% - Accent1 4 2 24" xfId="40084" xr:uid="{12759068-6626-4D53-B732-811B0F455A4B}"/>
    <cellStyle name="60% - Accent1 4 2 3" xfId="1653" xr:uid="{C850AF84-6016-4AF4-9F2B-D7722A2892E8}"/>
    <cellStyle name="60% - Accent1 4 2 3 10" xfId="18663" xr:uid="{1825926C-7078-4547-BE7D-23E591CCD70F}"/>
    <cellStyle name="60% - Accent1 4 2 3 11" xfId="20553" xr:uid="{D7E2D5A8-FD77-4129-8D6C-040A8B744C0F}"/>
    <cellStyle name="60% - Accent1 4 2 3 12" xfId="22443" xr:uid="{9D734435-A65A-42BB-A0AF-762370DBD955}"/>
    <cellStyle name="60% - Accent1 4 2 3 13" xfId="24333" xr:uid="{923ACE06-3954-435C-95C5-270AC4D6A879}"/>
    <cellStyle name="60% - Accent1 4 2 3 14" xfId="26223" xr:uid="{C06777A6-FDDC-4AEC-A974-631CB068107A}"/>
    <cellStyle name="60% - Accent1 4 2 3 15" xfId="28113" xr:uid="{62949208-19FE-4FEC-9232-8590886614D5}"/>
    <cellStyle name="60% - Accent1 4 2 3 16" xfId="30003" xr:uid="{94EA7972-904D-42DC-B0B2-996F55ED67B2}"/>
    <cellStyle name="60% - Accent1 4 2 3 17" xfId="31893" xr:uid="{22F92138-7E18-41A7-A87B-ECA9384CCCB1}"/>
    <cellStyle name="60% - Accent1 4 2 3 18" xfId="33783" xr:uid="{571C0D5B-A9EE-47A1-87F6-BC5DDF31E888}"/>
    <cellStyle name="60% - Accent1 4 2 3 19" xfId="35673" xr:uid="{943E34F9-6FC7-487F-BCD3-435B97E13219}"/>
    <cellStyle name="60% - Accent1 4 2 3 2" xfId="3543" xr:uid="{A8B5777E-077A-4B00-B5A5-304128B4EFCF}"/>
    <cellStyle name="60% - Accent1 4 2 3 20" xfId="37563" xr:uid="{2544FAC5-915C-41DA-9194-799E2918D288}"/>
    <cellStyle name="60% - Accent1 4 2 3 21" xfId="39453" xr:uid="{4F1E56FE-953D-410B-BB85-3AF3A1CCCD28}"/>
    <cellStyle name="60% - Accent1 4 2 3 22" xfId="41344" xr:uid="{D6CB85F3-EBB8-4620-815D-F206915A8871}"/>
    <cellStyle name="60% - Accent1 4 2 3 3" xfId="5433" xr:uid="{78E30297-A23B-4A34-98F1-722CBF0C0D10}"/>
    <cellStyle name="60% - Accent1 4 2 3 4" xfId="7323" xr:uid="{565FDCE2-E002-4821-86CF-2449734C5550}"/>
    <cellStyle name="60% - Accent1 4 2 3 5" xfId="9213" xr:uid="{602C3A84-9FD9-4CB4-BB23-D48206D9E10E}"/>
    <cellStyle name="60% - Accent1 4 2 3 6" xfId="11103" xr:uid="{58B271EB-7577-42A8-A30E-9F391C0629EF}"/>
    <cellStyle name="60% - Accent1 4 2 3 7" xfId="12993" xr:uid="{9F76B295-B50C-44C3-872A-7E305CE6CF4D}"/>
    <cellStyle name="60% - Accent1 4 2 3 8" xfId="14883" xr:uid="{5ED96EA5-2A27-4C9F-93E8-CA34520EC915}"/>
    <cellStyle name="60% - Accent1 4 2 3 9" xfId="16773" xr:uid="{55BDBF9E-AD8C-4186-ACD3-EBC3E8D86FF4}"/>
    <cellStyle name="60% - Accent1 4 2 4" xfId="2283" xr:uid="{091A98A6-3CE8-476F-AA7B-E982C7801D94}"/>
    <cellStyle name="60% - Accent1 4 2 5" xfId="4173" xr:uid="{2D317206-5848-49E8-9607-CE5A5004724A}"/>
    <cellStyle name="60% - Accent1 4 2 6" xfId="6063" xr:uid="{15D4DA09-2D41-43B3-AA0F-BC45C2075510}"/>
    <cellStyle name="60% - Accent1 4 2 7" xfId="7953" xr:uid="{33B0639A-0004-48CD-A030-542A1FE28D28}"/>
    <cellStyle name="60% - Accent1 4 2 8" xfId="9843" xr:uid="{457557E0-4A58-499D-B5A8-1D50426F60E7}"/>
    <cellStyle name="60% - Accent1 4 2 9" xfId="11733" xr:uid="{D665B53D-7671-42CF-B558-ABDD94C2DDEE}"/>
    <cellStyle name="60% - Accent1 4 20" xfId="28533" xr:uid="{A204F5CC-0EE8-4F39-8267-5253465507E7}"/>
    <cellStyle name="60% - Accent1 4 21" xfId="30423" xr:uid="{93373E72-7170-4AD9-9826-BB620833BFC7}"/>
    <cellStyle name="60% - Accent1 4 22" xfId="32313" xr:uid="{1EAEBB32-7412-40FE-9EF3-ABB74DDA4650}"/>
    <cellStyle name="60% - Accent1 4 23" xfId="34203" xr:uid="{649ABB58-0028-4BC8-8F8B-2543F9C0376C}"/>
    <cellStyle name="60% - Accent1 4 24" xfId="36093" xr:uid="{7793241B-6E8C-48FE-9872-B1C133CA652C}"/>
    <cellStyle name="60% - Accent1 4 25" xfId="37983" xr:uid="{EF09B3CC-DD95-4263-9A05-B707D2F4DD83}"/>
    <cellStyle name="60% - Accent1 4 26" xfId="39874" xr:uid="{BB700340-68A9-44CC-AFFB-D0E51E11579C}"/>
    <cellStyle name="60% - Accent1 4 3" xfId="603" xr:uid="{96BB1558-086C-4F28-B587-44C510866F1E}"/>
    <cellStyle name="60% - Accent1 4 3 10" xfId="13833" xr:uid="{A7EAA09A-0CC9-449F-9DA7-5C284B297F39}"/>
    <cellStyle name="60% - Accent1 4 3 11" xfId="15723" xr:uid="{CD8DD834-D566-4326-BDFE-C6C984E1F307}"/>
    <cellStyle name="60% - Accent1 4 3 12" xfId="17613" xr:uid="{465C22E1-A060-4E19-AC35-B51120C66A26}"/>
    <cellStyle name="60% - Accent1 4 3 13" xfId="19503" xr:uid="{AAD9BD39-1533-41DB-B1FE-DB4F87793FF0}"/>
    <cellStyle name="60% - Accent1 4 3 14" xfId="21393" xr:uid="{2A8C18BF-A1B8-4E6E-A29B-B61D2917DDA9}"/>
    <cellStyle name="60% - Accent1 4 3 15" xfId="23283" xr:uid="{99C11CB9-D3DA-48C1-843F-CA068AD6BA2B}"/>
    <cellStyle name="60% - Accent1 4 3 16" xfId="25173" xr:uid="{35994D7E-2740-4AFB-919C-4024D9878012}"/>
    <cellStyle name="60% - Accent1 4 3 17" xfId="27063" xr:uid="{BCDC880F-62F0-4A5A-90EC-C9C8FEC44CE9}"/>
    <cellStyle name="60% - Accent1 4 3 18" xfId="28953" xr:uid="{2CF97844-2473-465D-B54E-3C9F53B5E8AE}"/>
    <cellStyle name="60% - Accent1 4 3 19" xfId="30843" xr:uid="{0A20784C-1134-432A-A782-3C9C61E8FDA0}"/>
    <cellStyle name="60% - Accent1 4 3 2" xfId="1233" xr:uid="{925BDDCE-C9DE-48D6-AB68-9B5A8F0C50D6}"/>
    <cellStyle name="60% - Accent1 4 3 2 10" xfId="18243" xr:uid="{8ED5D0E6-95DE-4D87-B110-4ED289F65A4E}"/>
    <cellStyle name="60% - Accent1 4 3 2 11" xfId="20133" xr:uid="{8486E903-0597-4BFA-BCD8-83E439579348}"/>
    <cellStyle name="60% - Accent1 4 3 2 12" xfId="22023" xr:uid="{955356E6-37F4-4C63-9526-1C7C422C633C}"/>
    <cellStyle name="60% - Accent1 4 3 2 13" xfId="23913" xr:uid="{182ABFCE-5DA0-425E-ADF7-ABCC35721324}"/>
    <cellStyle name="60% - Accent1 4 3 2 14" xfId="25803" xr:uid="{CEB6989A-D4FB-48CF-BB1D-9F344766ACC4}"/>
    <cellStyle name="60% - Accent1 4 3 2 15" xfId="27693" xr:uid="{14BFB7ED-F384-45EE-943C-C3C2DC2F3600}"/>
    <cellStyle name="60% - Accent1 4 3 2 16" xfId="29583" xr:uid="{2869C802-900F-4E99-9A1B-18FF819C6070}"/>
    <cellStyle name="60% - Accent1 4 3 2 17" xfId="31473" xr:uid="{3D2C3865-B1BB-4BAF-A5D9-69CFDEC12E1A}"/>
    <cellStyle name="60% - Accent1 4 3 2 18" xfId="33363" xr:uid="{9BA9AC4B-83A4-4DEA-B44E-9DD97C74E522}"/>
    <cellStyle name="60% - Accent1 4 3 2 19" xfId="35253" xr:uid="{AD795C02-A93E-4FE1-B207-2B0E818DC3DD}"/>
    <cellStyle name="60% - Accent1 4 3 2 2" xfId="3123" xr:uid="{7D70C1A6-5243-42D1-AC77-65D87FFA4A2F}"/>
    <cellStyle name="60% - Accent1 4 3 2 20" xfId="37143" xr:uid="{4727B882-0E35-4E39-84F0-93AD1D692D32}"/>
    <cellStyle name="60% - Accent1 4 3 2 21" xfId="39033" xr:uid="{57024DC3-0F32-46FF-9DF8-D029F9676A82}"/>
    <cellStyle name="60% - Accent1 4 3 2 22" xfId="40924" xr:uid="{43E9D84E-B485-4327-9295-471BFD08C723}"/>
    <cellStyle name="60% - Accent1 4 3 2 3" xfId="5013" xr:uid="{9024A807-BC1D-4D50-B069-3C82DD8FF923}"/>
    <cellStyle name="60% - Accent1 4 3 2 4" xfId="6903" xr:uid="{E7593FDC-8A2A-4090-832F-9B4BA30EB187}"/>
    <cellStyle name="60% - Accent1 4 3 2 5" xfId="8793" xr:uid="{59A72137-7624-4277-98F7-AC115E3D0581}"/>
    <cellStyle name="60% - Accent1 4 3 2 6" xfId="10683" xr:uid="{1119783E-EC20-4EFA-9D80-3E292FB7EC4B}"/>
    <cellStyle name="60% - Accent1 4 3 2 7" xfId="12573" xr:uid="{965C9116-CE05-497E-9E07-D640D28FC22F}"/>
    <cellStyle name="60% - Accent1 4 3 2 8" xfId="14463" xr:uid="{D8C5012E-6B1B-4632-9EB4-6EA08E30ADF5}"/>
    <cellStyle name="60% - Accent1 4 3 2 9" xfId="16353" xr:uid="{D052B142-33F1-4FDD-A5B0-2CAAA01CA7BD}"/>
    <cellStyle name="60% - Accent1 4 3 20" xfId="32733" xr:uid="{347D470C-DCC4-4C09-A3E9-ADB6FA18D19C}"/>
    <cellStyle name="60% - Accent1 4 3 21" xfId="34623" xr:uid="{1014EFAF-AA90-4274-9013-B5C31C5C08A2}"/>
    <cellStyle name="60% - Accent1 4 3 22" xfId="36513" xr:uid="{4220D24F-0795-41E0-9F4D-44C7F4BF48B5}"/>
    <cellStyle name="60% - Accent1 4 3 23" xfId="38403" xr:uid="{27DDFD0C-E6F5-4CBB-B045-EA5767CADB12}"/>
    <cellStyle name="60% - Accent1 4 3 24" xfId="40294" xr:uid="{0A36CDFA-4103-49F8-91B4-1C8CEACDDDF1}"/>
    <cellStyle name="60% - Accent1 4 3 3" xfId="1863" xr:uid="{79D84F2B-2A8B-4215-A9FC-A687C2DDC111}"/>
    <cellStyle name="60% - Accent1 4 3 3 10" xfId="18873" xr:uid="{25696BC1-36C2-4C27-AEB3-22ECBCBD9A90}"/>
    <cellStyle name="60% - Accent1 4 3 3 11" xfId="20763" xr:uid="{9851D496-7E48-4702-B262-CB3160A647D1}"/>
    <cellStyle name="60% - Accent1 4 3 3 12" xfId="22653" xr:uid="{CB3766F2-C0F8-4634-96EE-6E3A330A9B31}"/>
    <cellStyle name="60% - Accent1 4 3 3 13" xfId="24543" xr:uid="{D96D9956-DF6A-4A2D-B4CF-BDEF23DFCC3B}"/>
    <cellStyle name="60% - Accent1 4 3 3 14" xfId="26433" xr:uid="{5DDB7D6D-CAD8-4048-8E72-23DCDD5D44F2}"/>
    <cellStyle name="60% - Accent1 4 3 3 15" xfId="28323" xr:uid="{C3CF0483-3283-4735-93D4-0C0276E6FDF8}"/>
    <cellStyle name="60% - Accent1 4 3 3 16" xfId="30213" xr:uid="{C9898782-0ABF-4530-9CAC-E76F96783A15}"/>
    <cellStyle name="60% - Accent1 4 3 3 17" xfId="32103" xr:uid="{9DFA07BF-F2BA-4901-A974-B35480A70693}"/>
    <cellStyle name="60% - Accent1 4 3 3 18" xfId="33993" xr:uid="{EA931E7B-4B43-4D5B-BC3B-F37003DE7E50}"/>
    <cellStyle name="60% - Accent1 4 3 3 19" xfId="35883" xr:uid="{4AE3FE80-DE62-4B47-A9AE-DCF5FA39DD9D}"/>
    <cellStyle name="60% - Accent1 4 3 3 2" xfId="3753" xr:uid="{CB44C47C-5539-4529-8B9C-132724C77B69}"/>
    <cellStyle name="60% - Accent1 4 3 3 20" xfId="37773" xr:uid="{2DD25232-6C8A-4F57-8C9F-3F6C64880BD9}"/>
    <cellStyle name="60% - Accent1 4 3 3 21" xfId="39663" xr:uid="{51CDB7F3-2473-4360-8B51-17CD5F898C38}"/>
    <cellStyle name="60% - Accent1 4 3 3 22" xfId="41554" xr:uid="{ED38C385-94D4-4226-855D-5D660A339E7A}"/>
    <cellStyle name="60% - Accent1 4 3 3 3" xfId="5643" xr:uid="{81D03997-3F0E-4D6E-8CF8-4A64E738FBD1}"/>
    <cellStyle name="60% - Accent1 4 3 3 4" xfId="7533" xr:uid="{226372F8-CBF9-4794-A568-53DCDB17D716}"/>
    <cellStyle name="60% - Accent1 4 3 3 5" xfId="9423" xr:uid="{7702EA00-9C59-4C66-ADE6-D8BF6E95CAAC}"/>
    <cellStyle name="60% - Accent1 4 3 3 6" xfId="11313" xr:uid="{2E02143B-9F5C-4737-9047-015358A06647}"/>
    <cellStyle name="60% - Accent1 4 3 3 7" xfId="13203" xr:uid="{BDD48CE6-A4F9-4984-93AB-C742FD670034}"/>
    <cellStyle name="60% - Accent1 4 3 3 8" xfId="15093" xr:uid="{340A94F3-CB8C-4B75-A0FD-4B2E858176BE}"/>
    <cellStyle name="60% - Accent1 4 3 3 9" xfId="16983" xr:uid="{DF9A90EC-360A-47A1-B4BF-FB56E1DB1A53}"/>
    <cellStyle name="60% - Accent1 4 3 4" xfId="2493" xr:uid="{72FF4C2D-3D9F-46ED-A5F3-32AFB48CEEED}"/>
    <cellStyle name="60% - Accent1 4 3 5" xfId="4383" xr:uid="{7763EF64-867D-438C-817B-E7E63BF89C20}"/>
    <cellStyle name="60% - Accent1 4 3 6" xfId="6273" xr:uid="{B3F4425C-788E-4926-9399-3793016C5F5A}"/>
    <cellStyle name="60% - Accent1 4 3 7" xfId="8163" xr:uid="{03CD01F5-FBE3-41D6-9831-A7D1F139D6E6}"/>
    <cellStyle name="60% - Accent1 4 3 8" xfId="10053" xr:uid="{3D99DA8F-4D56-43E6-9D1A-9D3D6BC4BFC3}"/>
    <cellStyle name="60% - Accent1 4 3 9" xfId="11943" xr:uid="{5B597859-6A7A-48BD-82A5-E3A385032F5D}"/>
    <cellStyle name="60% - Accent1 4 4" xfId="813" xr:uid="{39FA33E1-6C1C-4819-8677-C03B4D40E21B}"/>
    <cellStyle name="60% - Accent1 4 4 10" xfId="17823" xr:uid="{E2E559AB-960C-4D85-8EE5-14501BE3F1B3}"/>
    <cellStyle name="60% - Accent1 4 4 11" xfId="19713" xr:uid="{36577CDF-DB6B-4260-8905-260BC3371D88}"/>
    <cellStyle name="60% - Accent1 4 4 12" xfId="21603" xr:uid="{FF5358A7-7D3F-4ED4-81FE-37BF5BA8E7E6}"/>
    <cellStyle name="60% - Accent1 4 4 13" xfId="23493" xr:uid="{3D8483F2-1524-4FE4-ADB2-FA8FFDD41C5C}"/>
    <cellStyle name="60% - Accent1 4 4 14" xfId="25383" xr:uid="{E63BBE3E-8563-473F-880B-3E74C5913487}"/>
    <cellStyle name="60% - Accent1 4 4 15" xfId="27273" xr:uid="{CAB32655-8C32-4F08-90E3-8514B3FDC2CB}"/>
    <cellStyle name="60% - Accent1 4 4 16" xfId="29163" xr:uid="{0816962F-9EA6-458D-A0E2-EBB281D311DC}"/>
    <cellStyle name="60% - Accent1 4 4 17" xfId="31053" xr:uid="{89C3B293-73B5-4C56-B068-1EFC86474E1E}"/>
    <cellStyle name="60% - Accent1 4 4 18" xfId="32943" xr:uid="{BAEFC642-9EE6-4385-A921-37FFC652CE6A}"/>
    <cellStyle name="60% - Accent1 4 4 19" xfId="34833" xr:uid="{1F23EB6A-967C-4AD0-840E-BD41E27DB941}"/>
    <cellStyle name="60% - Accent1 4 4 2" xfId="2703" xr:uid="{FD36ABD9-1B7C-4B65-B7B9-32103A61BEC0}"/>
    <cellStyle name="60% - Accent1 4 4 20" xfId="36723" xr:uid="{A5DB187B-FEF8-4CBC-9601-C1F9BF22A3BA}"/>
    <cellStyle name="60% - Accent1 4 4 21" xfId="38613" xr:uid="{BD4565BF-9A1D-491F-B041-CF73F3973B91}"/>
    <cellStyle name="60% - Accent1 4 4 22" xfId="40504" xr:uid="{2E9CD4AB-76E4-4BD8-BACC-EA90F6C08FA6}"/>
    <cellStyle name="60% - Accent1 4 4 3" xfId="4593" xr:uid="{89305733-CE4E-4D60-897F-F19F64E888B9}"/>
    <cellStyle name="60% - Accent1 4 4 4" xfId="6483" xr:uid="{D20305F9-903E-4F9D-B69D-CE1CD8FA8BC4}"/>
    <cellStyle name="60% - Accent1 4 4 5" xfId="8373" xr:uid="{745300CA-6358-41D5-B087-1ED1C20C30DF}"/>
    <cellStyle name="60% - Accent1 4 4 6" xfId="10263" xr:uid="{019B3B90-AAD6-4917-9431-9C82C5B5E85C}"/>
    <cellStyle name="60% - Accent1 4 4 7" xfId="12153" xr:uid="{4B92A86C-AF7F-4A0C-912B-37A00743DAAD}"/>
    <cellStyle name="60% - Accent1 4 4 8" xfId="14043" xr:uid="{A9E5619E-CE6E-4CE5-A2F0-B6DE592FC50A}"/>
    <cellStyle name="60% - Accent1 4 4 9" xfId="15933" xr:uid="{44379A8A-5921-4B23-B3E8-0B7FFF4FD548}"/>
    <cellStyle name="60% - Accent1 4 5" xfId="1443" xr:uid="{7D651B62-C497-4FC6-8102-5666E2DBAC61}"/>
    <cellStyle name="60% - Accent1 4 5 10" xfId="18453" xr:uid="{260D09D7-EB47-4056-BAFE-BD240ACDDD9E}"/>
    <cellStyle name="60% - Accent1 4 5 11" xfId="20343" xr:uid="{D38D4108-90A7-4B8E-AA40-6AD24D12CEA2}"/>
    <cellStyle name="60% - Accent1 4 5 12" xfId="22233" xr:uid="{2629D168-44D6-41C2-B3B9-A902288C9B52}"/>
    <cellStyle name="60% - Accent1 4 5 13" xfId="24123" xr:uid="{BC3AF7FE-4EA6-4743-8FB3-BD21A7C7157A}"/>
    <cellStyle name="60% - Accent1 4 5 14" xfId="26013" xr:uid="{4BDA90F7-CF40-4727-A6D4-CA3F949C0603}"/>
    <cellStyle name="60% - Accent1 4 5 15" xfId="27903" xr:uid="{17E659C9-5969-458F-82EE-38B5D8CF1F06}"/>
    <cellStyle name="60% - Accent1 4 5 16" xfId="29793" xr:uid="{9E56608A-5E4E-45AA-9EB7-7C2934090A42}"/>
    <cellStyle name="60% - Accent1 4 5 17" xfId="31683" xr:uid="{81CA565F-5366-4454-8FC1-9A5724561355}"/>
    <cellStyle name="60% - Accent1 4 5 18" xfId="33573" xr:uid="{F3016613-297B-4416-997B-3AEFE55E5131}"/>
    <cellStyle name="60% - Accent1 4 5 19" xfId="35463" xr:uid="{4AE75810-F003-4151-A981-7221AF7B6240}"/>
    <cellStyle name="60% - Accent1 4 5 2" xfId="3333" xr:uid="{0DE6ABD7-581A-4697-A5BF-4E6C07A1DB1C}"/>
    <cellStyle name="60% - Accent1 4 5 20" xfId="37353" xr:uid="{B41B167B-B4FB-42E6-9577-85837B96F7BC}"/>
    <cellStyle name="60% - Accent1 4 5 21" xfId="39243" xr:uid="{BEA56CDA-00F4-47E9-B98B-59A2021B717E}"/>
    <cellStyle name="60% - Accent1 4 5 22" xfId="41134" xr:uid="{BAA278C6-3BA4-4969-BCC1-CEA0FC45938E}"/>
    <cellStyle name="60% - Accent1 4 5 3" xfId="5223" xr:uid="{6FB7831A-A83A-4984-8D8B-0635A9F46260}"/>
    <cellStyle name="60% - Accent1 4 5 4" xfId="7113" xr:uid="{C31865E1-3A1E-479A-B722-1CFC5F93B2AF}"/>
    <cellStyle name="60% - Accent1 4 5 5" xfId="9003" xr:uid="{23C543CA-C457-4371-9AFA-C6E14BCEF617}"/>
    <cellStyle name="60% - Accent1 4 5 6" xfId="10893" xr:uid="{2A1FA7E6-4582-4702-98A2-0D561FF48357}"/>
    <cellStyle name="60% - Accent1 4 5 7" xfId="12783" xr:uid="{A1067130-8083-4BB2-96E3-B0150FCD76CF}"/>
    <cellStyle name="60% - Accent1 4 5 8" xfId="14673" xr:uid="{D3DD4584-A18E-44E0-B04D-6CEB4AC9A879}"/>
    <cellStyle name="60% - Accent1 4 5 9" xfId="16563" xr:uid="{A971F0C7-078F-4EFD-B4D6-1F54BA4CB8B6}"/>
    <cellStyle name="60% - Accent1 4 6" xfId="2073" xr:uid="{42D41A50-A583-4A52-9BE0-2ABA409A7557}"/>
    <cellStyle name="60% - Accent1 4 7" xfId="3963" xr:uid="{235215C4-A6D9-4CE6-9EF8-A786430D2264}"/>
    <cellStyle name="60% - Accent1 4 8" xfId="5853" xr:uid="{424A8BC5-FE8B-4A72-814F-10484349F1F9}"/>
    <cellStyle name="60% - Accent1 4 9" xfId="7743" xr:uid="{DD5E6726-CC4E-4CA8-9FB7-14F57CAF1DB9}"/>
    <cellStyle name="60% - Accent1 5" xfId="288" xr:uid="{75317190-1F03-4DF2-B8CD-06DBF16BFA26}"/>
    <cellStyle name="60% - Accent1 5 10" xfId="13518" xr:uid="{B0561F78-F456-48D3-BAE5-6BC87C25EE09}"/>
    <cellStyle name="60% - Accent1 5 11" xfId="15408" xr:uid="{9C7A50D4-5C34-4589-9EDA-11D826455B44}"/>
    <cellStyle name="60% - Accent1 5 12" xfId="17298" xr:uid="{4D5D28CA-4FCD-4774-A6DD-45BDD3F3D9B1}"/>
    <cellStyle name="60% - Accent1 5 13" xfId="19188" xr:uid="{3317BA45-338A-4CA7-9AA9-7F3DDE7F7C75}"/>
    <cellStyle name="60% - Accent1 5 14" xfId="21078" xr:uid="{7E01F9C7-8A15-4655-A5E9-9F90B4C92C16}"/>
    <cellStyle name="60% - Accent1 5 15" xfId="22968" xr:uid="{CCF3D700-26F3-4B17-B8CC-F88F8952ED3B}"/>
    <cellStyle name="60% - Accent1 5 16" xfId="24858" xr:uid="{17400103-4E97-4C00-B4E6-5CB617540B1C}"/>
    <cellStyle name="60% - Accent1 5 17" xfId="26748" xr:uid="{3FD34DDA-B4ED-4C40-8C4C-F59DFA2E6A6D}"/>
    <cellStyle name="60% - Accent1 5 18" xfId="28638" xr:uid="{2D48112B-FB48-4F15-9C1D-755EF28F59E8}"/>
    <cellStyle name="60% - Accent1 5 19" xfId="30528" xr:uid="{621DF288-A8A6-40A6-AB7F-C5E6C9DDA27B}"/>
    <cellStyle name="60% - Accent1 5 2" xfId="918" xr:uid="{7A9932DB-8A1C-4301-B6F0-6CFED763BF6F}"/>
    <cellStyle name="60% - Accent1 5 2 10" xfId="17928" xr:uid="{37667677-402E-4E5F-99A5-32CD2DF2937E}"/>
    <cellStyle name="60% - Accent1 5 2 11" xfId="19818" xr:uid="{1ED66578-7C35-4BB1-BC3F-7BB063F51674}"/>
    <cellStyle name="60% - Accent1 5 2 12" xfId="21708" xr:uid="{BD12374A-E8F0-4B3D-A56C-9183C157745C}"/>
    <cellStyle name="60% - Accent1 5 2 13" xfId="23598" xr:uid="{500B02BD-B8C5-4B22-8957-75B27D634097}"/>
    <cellStyle name="60% - Accent1 5 2 14" xfId="25488" xr:uid="{32B95E2D-B290-4529-8C99-88A9414F1943}"/>
    <cellStyle name="60% - Accent1 5 2 15" xfId="27378" xr:uid="{A8CEF621-B734-4182-BA0B-24D86D82775E}"/>
    <cellStyle name="60% - Accent1 5 2 16" xfId="29268" xr:uid="{52A59E9C-D1AD-4B84-8CCF-4CCB8A7B0146}"/>
    <cellStyle name="60% - Accent1 5 2 17" xfId="31158" xr:uid="{CB742E9B-C6FA-430A-BD0D-01F7E8DCBDA3}"/>
    <cellStyle name="60% - Accent1 5 2 18" xfId="33048" xr:uid="{7E333D54-939E-4FBE-AEE8-E79B9F065755}"/>
    <cellStyle name="60% - Accent1 5 2 19" xfId="34938" xr:uid="{A055A5A0-8453-4221-8D86-3FA86B94B932}"/>
    <cellStyle name="60% - Accent1 5 2 2" xfId="2808" xr:uid="{3457C07B-C854-45B0-8735-42F67FB56CF7}"/>
    <cellStyle name="60% - Accent1 5 2 20" xfId="36828" xr:uid="{A6529C37-EB37-4619-9C27-416C924B33A1}"/>
    <cellStyle name="60% - Accent1 5 2 21" xfId="38718" xr:uid="{69A7B6B0-5EA4-4B6C-85E8-B45A9C3E1BC4}"/>
    <cellStyle name="60% - Accent1 5 2 22" xfId="40609" xr:uid="{399990D4-0F7F-4233-A954-A5F7272B8322}"/>
    <cellStyle name="60% - Accent1 5 2 3" xfId="4698" xr:uid="{0217F40E-7932-4A4F-AFD6-BFB9AB46A6A0}"/>
    <cellStyle name="60% - Accent1 5 2 4" xfId="6588" xr:uid="{82BA266C-F93A-4E73-BDE3-521D85F433A1}"/>
    <cellStyle name="60% - Accent1 5 2 5" xfId="8478" xr:uid="{22AC84D3-CEFD-4869-A648-4EDB4921A677}"/>
    <cellStyle name="60% - Accent1 5 2 6" xfId="10368" xr:uid="{58738E2E-4706-43E1-B91F-47A372861D4D}"/>
    <cellStyle name="60% - Accent1 5 2 7" xfId="12258" xr:uid="{AAC28F95-EC58-4C58-9592-D70632FD72FF}"/>
    <cellStyle name="60% - Accent1 5 2 8" xfId="14148" xr:uid="{9DBC4024-6F19-40A6-BE43-6F6D3BE7EE06}"/>
    <cellStyle name="60% - Accent1 5 2 9" xfId="16038" xr:uid="{312FAAF6-A964-44D2-98FB-8517C57F994D}"/>
    <cellStyle name="60% - Accent1 5 20" xfId="32418" xr:uid="{DCCC8C48-7FA6-4A00-9E3D-63DBF334D809}"/>
    <cellStyle name="60% - Accent1 5 21" xfId="34308" xr:uid="{E872F369-8175-4AFF-8DB6-11F0D828B64B}"/>
    <cellStyle name="60% - Accent1 5 22" xfId="36198" xr:uid="{09927DFD-0BC3-4306-8C3A-D087C6AA0138}"/>
    <cellStyle name="60% - Accent1 5 23" xfId="38088" xr:uid="{242F6354-F31C-4152-B276-C5021056A8BB}"/>
    <cellStyle name="60% - Accent1 5 24" xfId="39979" xr:uid="{B140D85E-7E2E-4521-B53A-654659AF0E63}"/>
    <cellStyle name="60% - Accent1 5 3" xfId="1548" xr:uid="{F59552D4-A360-4C75-9249-7A0052A4AAAE}"/>
    <cellStyle name="60% - Accent1 5 3 10" xfId="18558" xr:uid="{B917DE5B-424F-4C15-9733-2E04AA12BD2C}"/>
    <cellStyle name="60% - Accent1 5 3 11" xfId="20448" xr:uid="{55A7429A-C48B-4ADB-A7AC-DAB96AD9F642}"/>
    <cellStyle name="60% - Accent1 5 3 12" xfId="22338" xr:uid="{72C2BCD7-4C0B-49E3-9009-7B9E1E51DF25}"/>
    <cellStyle name="60% - Accent1 5 3 13" xfId="24228" xr:uid="{6388D7F8-EA32-4A00-B1FD-C72440E25EB6}"/>
    <cellStyle name="60% - Accent1 5 3 14" xfId="26118" xr:uid="{B9571401-A045-4977-A1E3-3A2381D98A6F}"/>
    <cellStyle name="60% - Accent1 5 3 15" xfId="28008" xr:uid="{104901AE-5EB5-432E-ABDB-5B38AE18A0AF}"/>
    <cellStyle name="60% - Accent1 5 3 16" xfId="29898" xr:uid="{5121994B-E1FE-4A3A-8B59-9038172AA030}"/>
    <cellStyle name="60% - Accent1 5 3 17" xfId="31788" xr:uid="{F21E3C90-567A-4A90-9C7E-0FFEC9E20A44}"/>
    <cellStyle name="60% - Accent1 5 3 18" xfId="33678" xr:uid="{8C60ADA5-42AC-4C36-BA8C-EA18D2DF4C8F}"/>
    <cellStyle name="60% - Accent1 5 3 19" xfId="35568" xr:uid="{68C997AB-C681-4AD2-8331-EF3B42C92555}"/>
    <cellStyle name="60% - Accent1 5 3 2" xfId="3438" xr:uid="{0A051CA0-E99D-4417-B194-D9AA1FF562DD}"/>
    <cellStyle name="60% - Accent1 5 3 20" xfId="37458" xr:uid="{F699FAD7-B609-4648-902C-E8392C820D7B}"/>
    <cellStyle name="60% - Accent1 5 3 21" xfId="39348" xr:uid="{8E6185AD-0FF6-41C8-9344-F4097223A1FA}"/>
    <cellStyle name="60% - Accent1 5 3 22" xfId="41239" xr:uid="{F05CA92E-CDD0-47A4-B271-25B98E742D66}"/>
    <cellStyle name="60% - Accent1 5 3 3" xfId="5328" xr:uid="{0CB22AD7-AABA-4014-8AA7-ED788D68BA09}"/>
    <cellStyle name="60% - Accent1 5 3 4" xfId="7218" xr:uid="{4E51A6C7-8C00-4EC5-AE9F-143AD6858E48}"/>
    <cellStyle name="60% - Accent1 5 3 5" xfId="9108" xr:uid="{5CADD4DB-CBCA-4ED1-86F8-BEC606705C78}"/>
    <cellStyle name="60% - Accent1 5 3 6" xfId="10998" xr:uid="{3A2F425C-E750-4E09-AD53-D3940CBDA50B}"/>
    <cellStyle name="60% - Accent1 5 3 7" xfId="12888" xr:uid="{9D17F349-85A2-49DB-8ECA-C6BB74107ED8}"/>
    <cellStyle name="60% - Accent1 5 3 8" xfId="14778" xr:uid="{008E1601-B70B-45C7-A762-83C463830516}"/>
    <cellStyle name="60% - Accent1 5 3 9" xfId="16668" xr:uid="{FE2BC640-831E-4816-9CBE-B633BBCA88D9}"/>
    <cellStyle name="60% - Accent1 5 4" xfId="2178" xr:uid="{855B5309-EF31-406E-AA09-0598EE77E1ED}"/>
    <cellStyle name="60% - Accent1 5 5" xfId="4068" xr:uid="{C139482E-C0D8-4AEA-B4A3-63733F6A3F9D}"/>
    <cellStyle name="60% - Accent1 5 6" xfId="5958" xr:uid="{1CF0CD0C-3E2E-48C8-ADED-C998623E26FF}"/>
    <cellStyle name="60% - Accent1 5 7" xfId="7848" xr:uid="{AABFEB7F-892B-4149-9230-D00E82585F3C}"/>
    <cellStyle name="60% - Accent1 5 8" xfId="9738" xr:uid="{A407E38B-21F1-40C1-9AF3-8E15E274EEEF}"/>
    <cellStyle name="60% - Accent1 5 9" xfId="11628" xr:uid="{2CAE8B74-06F6-4CDA-B046-C6A022CF565B}"/>
    <cellStyle name="60% - Accent1 6" xfId="498" xr:uid="{4FF02AC2-B0EB-4335-8270-27FBFC9C83E3}"/>
    <cellStyle name="60% - Accent1 6 10" xfId="13728" xr:uid="{6A65D6EB-FDB0-4127-86FE-EF74304B8D42}"/>
    <cellStyle name="60% - Accent1 6 11" xfId="15618" xr:uid="{AE5A4D4E-7FF1-4202-9553-224F2F06FDBF}"/>
    <cellStyle name="60% - Accent1 6 12" xfId="17508" xr:uid="{CBE1FA57-D31E-449A-995C-A3963BFCC9B4}"/>
    <cellStyle name="60% - Accent1 6 13" xfId="19398" xr:uid="{928F5394-508D-4349-9A26-3848BC741F98}"/>
    <cellStyle name="60% - Accent1 6 14" xfId="21288" xr:uid="{9C0C11E8-2353-4B12-A786-7A9D33C9ADED}"/>
    <cellStyle name="60% - Accent1 6 15" xfId="23178" xr:uid="{E3BF57FD-38C4-4D65-96AF-2BC9FA333DB5}"/>
    <cellStyle name="60% - Accent1 6 16" xfId="25068" xr:uid="{DD9C5AD7-605A-4F1C-9864-1008FA933210}"/>
    <cellStyle name="60% - Accent1 6 17" xfId="26958" xr:uid="{FA61FAC5-C661-4636-A6F9-DD47F51DB17F}"/>
    <cellStyle name="60% - Accent1 6 18" xfId="28848" xr:uid="{133963EB-A4C3-4BDD-A331-9DBF945A1C4E}"/>
    <cellStyle name="60% - Accent1 6 19" xfId="30738" xr:uid="{C13C084B-11EC-4A8B-BBA4-B4457E4D3868}"/>
    <cellStyle name="60% - Accent1 6 2" xfId="1128" xr:uid="{56683B50-AA1B-4F5F-AB6A-4D01824C5E23}"/>
    <cellStyle name="60% - Accent1 6 2 10" xfId="18138" xr:uid="{69E3995F-8B64-43E7-9A2A-4564E9465140}"/>
    <cellStyle name="60% - Accent1 6 2 11" xfId="20028" xr:uid="{FBA5635D-FA61-4813-9879-840DBB560CFD}"/>
    <cellStyle name="60% - Accent1 6 2 12" xfId="21918" xr:uid="{B776F134-96E9-4791-A6ED-391813E9C4A2}"/>
    <cellStyle name="60% - Accent1 6 2 13" xfId="23808" xr:uid="{4CA8009C-C8A3-478D-9322-63281F59E617}"/>
    <cellStyle name="60% - Accent1 6 2 14" xfId="25698" xr:uid="{6A341A55-790D-4785-92A1-598124483356}"/>
    <cellStyle name="60% - Accent1 6 2 15" xfId="27588" xr:uid="{C4A8A908-0CDA-462E-B8B3-832595911604}"/>
    <cellStyle name="60% - Accent1 6 2 16" xfId="29478" xr:uid="{68488F06-1140-40E6-A09F-7E85ABE61C83}"/>
    <cellStyle name="60% - Accent1 6 2 17" xfId="31368" xr:uid="{4EF65008-36FB-42A1-9B16-0593DD8AA4EB}"/>
    <cellStyle name="60% - Accent1 6 2 18" xfId="33258" xr:uid="{7C876416-98A7-4EE8-8BF0-7C53E7FAD779}"/>
    <cellStyle name="60% - Accent1 6 2 19" xfId="35148" xr:uid="{50A6C013-97E6-4204-8711-AE7E6B957E6B}"/>
    <cellStyle name="60% - Accent1 6 2 2" xfId="3018" xr:uid="{E1540F0E-BF28-43B6-B6F8-9318A4DD2A35}"/>
    <cellStyle name="60% - Accent1 6 2 20" xfId="37038" xr:uid="{0FAA0A23-B565-43BF-9EE6-AB712FC0C198}"/>
    <cellStyle name="60% - Accent1 6 2 21" xfId="38928" xr:uid="{E860630E-C6D8-4EB9-AE9C-7DA0FE462AE5}"/>
    <cellStyle name="60% - Accent1 6 2 22" xfId="40819" xr:uid="{77DB3942-26A6-4E8F-B760-BCF85096D210}"/>
    <cellStyle name="60% - Accent1 6 2 3" xfId="4908" xr:uid="{EB74B4F4-80AE-4C08-828F-4FC0F0339916}"/>
    <cellStyle name="60% - Accent1 6 2 4" xfId="6798" xr:uid="{C878BB68-1E2F-41AB-98A8-CDA5698BC070}"/>
    <cellStyle name="60% - Accent1 6 2 5" xfId="8688" xr:uid="{2C7F09D5-B059-48CA-B0F1-4637B67AD346}"/>
    <cellStyle name="60% - Accent1 6 2 6" xfId="10578" xr:uid="{4D25325F-782C-48DF-979D-3B7DCC3C47A8}"/>
    <cellStyle name="60% - Accent1 6 2 7" xfId="12468" xr:uid="{9AA3DFFD-0700-422A-B62C-C6C1AE1FA840}"/>
    <cellStyle name="60% - Accent1 6 2 8" xfId="14358" xr:uid="{A49D246C-2350-4009-893A-0DFCA0FFDE4E}"/>
    <cellStyle name="60% - Accent1 6 2 9" xfId="16248" xr:uid="{EE4BA345-AC7F-40E4-A41D-A65AECDC94A7}"/>
    <cellStyle name="60% - Accent1 6 20" xfId="32628" xr:uid="{6CC33AAF-3ABC-454F-BC43-044B624C99C0}"/>
    <cellStyle name="60% - Accent1 6 21" xfId="34518" xr:uid="{7727FA91-B9F7-476B-B830-4A451E6C4BCD}"/>
    <cellStyle name="60% - Accent1 6 22" xfId="36408" xr:uid="{775CE820-B4E9-4CD1-91E5-AF2D9255890B}"/>
    <cellStyle name="60% - Accent1 6 23" xfId="38298" xr:uid="{50B038E7-C0CC-4B34-857A-C5C87B268A61}"/>
    <cellStyle name="60% - Accent1 6 24" xfId="40189" xr:uid="{7C14A9EF-5D52-4C53-8E39-3B98763C7F4E}"/>
    <cellStyle name="60% - Accent1 6 3" xfId="1758" xr:uid="{1F7A5A69-059F-4ADE-89D1-8024BCBB63D2}"/>
    <cellStyle name="60% - Accent1 6 3 10" xfId="18768" xr:uid="{6F14171A-D11B-43B1-BF1D-5244CB962B24}"/>
    <cellStyle name="60% - Accent1 6 3 11" xfId="20658" xr:uid="{BF0522BB-B71D-4551-B4AA-8AA1C27CDB83}"/>
    <cellStyle name="60% - Accent1 6 3 12" xfId="22548" xr:uid="{987B2478-7233-4EA7-87B3-AE7252AEAAF4}"/>
    <cellStyle name="60% - Accent1 6 3 13" xfId="24438" xr:uid="{F2D29DB0-3595-41BF-A364-DFD2C6642FD0}"/>
    <cellStyle name="60% - Accent1 6 3 14" xfId="26328" xr:uid="{6C531F77-23FA-4307-883A-0138DB4E0955}"/>
    <cellStyle name="60% - Accent1 6 3 15" xfId="28218" xr:uid="{15B8E064-A466-4D43-86EC-A8253F510E6A}"/>
    <cellStyle name="60% - Accent1 6 3 16" xfId="30108" xr:uid="{8CDC3E5F-67FC-46B2-A7FF-7B2755C7B811}"/>
    <cellStyle name="60% - Accent1 6 3 17" xfId="31998" xr:uid="{B57FD77E-5165-4B66-80D5-EF429FD02FB8}"/>
    <cellStyle name="60% - Accent1 6 3 18" xfId="33888" xr:uid="{1A782E5D-6B8F-4B37-859C-B061EA895E7A}"/>
    <cellStyle name="60% - Accent1 6 3 19" xfId="35778" xr:uid="{8DDE4D7B-117C-4BA0-85BB-F0D20A9C8310}"/>
    <cellStyle name="60% - Accent1 6 3 2" xfId="3648" xr:uid="{1453ECFE-8AD4-43E1-888B-500FE6684207}"/>
    <cellStyle name="60% - Accent1 6 3 20" xfId="37668" xr:uid="{7F208040-FEF3-45D8-9953-4E652E87B30B}"/>
    <cellStyle name="60% - Accent1 6 3 21" xfId="39558" xr:uid="{D7340F68-6622-432C-94CB-FAC7611AC093}"/>
    <cellStyle name="60% - Accent1 6 3 22" xfId="41449" xr:uid="{EAC9FC07-634D-4317-ABBA-FFA1520879CD}"/>
    <cellStyle name="60% - Accent1 6 3 3" xfId="5538" xr:uid="{8E1DE891-9EFF-4935-AB25-64DCBBAC23C1}"/>
    <cellStyle name="60% - Accent1 6 3 4" xfId="7428" xr:uid="{869A87CD-E75C-4A8B-BECB-1A619B0DC256}"/>
    <cellStyle name="60% - Accent1 6 3 5" xfId="9318" xr:uid="{86E6B573-2D9F-458F-828B-E86F9AF963E4}"/>
    <cellStyle name="60% - Accent1 6 3 6" xfId="11208" xr:uid="{F02A244D-5B44-4B73-AC72-5498F67F3838}"/>
    <cellStyle name="60% - Accent1 6 3 7" xfId="13098" xr:uid="{185321EA-7507-40F7-9290-D94B8D65873F}"/>
    <cellStyle name="60% - Accent1 6 3 8" xfId="14988" xr:uid="{BC785577-02BC-43A7-9494-1A89C8060279}"/>
    <cellStyle name="60% - Accent1 6 3 9" xfId="16878" xr:uid="{22E58026-33CC-4260-9921-334282D0335E}"/>
    <cellStyle name="60% - Accent1 6 4" xfId="2388" xr:uid="{3503A89A-9689-4272-A546-7DFE60FE5DD9}"/>
    <cellStyle name="60% - Accent1 6 5" xfId="4278" xr:uid="{BB7397DB-0533-44A6-8196-55D5B8DC518D}"/>
    <cellStyle name="60% - Accent1 6 6" xfId="6168" xr:uid="{95249244-2D40-46D3-913B-A94BFB249CE1}"/>
    <cellStyle name="60% - Accent1 6 7" xfId="8058" xr:uid="{7E7F4D8F-EA03-4A45-B4B8-DC43BE2C42D6}"/>
    <cellStyle name="60% - Accent1 6 8" xfId="9948" xr:uid="{36CCEB65-1270-4100-B51C-17548186B404}"/>
    <cellStyle name="60% - Accent1 6 9" xfId="11838" xr:uid="{0BCD9301-2918-4636-807A-D482CAF2EAA3}"/>
    <cellStyle name="60% - Accent1 7" xfId="708" xr:uid="{F7EA29D8-1F61-486F-ADB2-EBEBA14CDD5B}"/>
    <cellStyle name="60% - Accent1 7 10" xfId="17718" xr:uid="{82244C0A-6EDC-4B77-AEE0-EF93ABA55A66}"/>
    <cellStyle name="60% - Accent1 7 11" xfId="19608" xr:uid="{36D59AF2-2C8E-42F6-BFDE-0B8F6EDD18CB}"/>
    <cellStyle name="60% - Accent1 7 12" xfId="21498" xr:uid="{D1C7463E-33F5-4757-8EA9-210E8D5E3A32}"/>
    <cellStyle name="60% - Accent1 7 13" xfId="23388" xr:uid="{CFD8D4B0-4BB7-4CBF-94FA-ABC7BC5A93E1}"/>
    <cellStyle name="60% - Accent1 7 14" xfId="25278" xr:uid="{5A6DB72A-510D-4BC6-ABC7-379A970BEDF5}"/>
    <cellStyle name="60% - Accent1 7 15" xfId="27168" xr:uid="{6A4B9EAE-B47D-4C30-BAD0-632369F80F96}"/>
    <cellStyle name="60% - Accent1 7 16" xfId="29058" xr:uid="{2DBFA22B-F893-49BE-BED2-109149DAD96F}"/>
    <cellStyle name="60% - Accent1 7 17" xfId="30948" xr:uid="{845832CE-BE21-4F52-8343-E217939F80BB}"/>
    <cellStyle name="60% - Accent1 7 18" xfId="32838" xr:uid="{59F45518-EDB8-4C5C-9331-A990A6F7A1C9}"/>
    <cellStyle name="60% - Accent1 7 19" xfId="34728" xr:uid="{CCD4EA60-56AF-455F-958B-219EE4DBA70E}"/>
    <cellStyle name="60% - Accent1 7 2" xfId="2598" xr:uid="{1691B391-C884-44FE-ABAB-CD52B098F8A3}"/>
    <cellStyle name="60% - Accent1 7 20" xfId="36618" xr:uid="{D780D3A6-4730-4040-9962-FCE73FE2E223}"/>
    <cellStyle name="60% - Accent1 7 21" xfId="38508" xr:uid="{8299BEBF-1539-4FD7-9AEC-DC20AEF64259}"/>
    <cellStyle name="60% - Accent1 7 22" xfId="40399" xr:uid="{8F47B24B-19BA-48D7-98DE-69A870E20868}"/>
    <cellStyle name="60% - Accent1 7 3" xfId="4488" xr:uid="{B8258C5A-ADB6-4737-AC58-0DF8F7C195EB}"/>
    <cellStyle name="60% - Accent1 7 4" xfId="6378" xr:uid="{38B68E72-37B9-4FFA-969A-F2D0D5674D6B}"/>
    <cellStyle name="60% - Accent1 7 5" xfId="8268" xr:uid="{14E4A787-9255-41D5-A11E-F72B22948E77}"/>
    <cellStyle name="60% - Accent1 7 6" xfId="10158" xr:uid="{6FB8DE08-0766-425F-9CE3-F3A6F6D72B6E}"/>
    <cellStyle name="60% - Accent1 7 7" xfId="12048" xr:uid="{39444885-FC6C-4092-844F-A084B016419A}"/>
    <cellStyle name="60% - Accent1 7 8" xfId="13938" xr:uid="{BF06239F-0331-4E68-A205-4F5F111D9646}"/>
    <cellStyle name="60% - Accent1 7 9" xfId="15828" xr:uid="{E57ED09D-B1C3-4B96-BB54-0BC194D7C5FF}"/>
    <cellStyle name="60% - Accent1 8" xfId="1338" xr:uid="{8C882CC1-B7B5-4AFC-B01E-0C250175FE86}"/>
    <cellStyle name="60% - Accent1 8 10" xfId="18348" xr:uid="{BC5DA9A8-A4E8-4656-8A57-A7E7DECDAA4B}"/>
    <cellStyle name="60% - Accent1 8 11" xfId="20238" xr:uid="{FCC21133-0C8C-42FC-A470-FE0375E27686}"/>
    <cellStyle name="60% - Accent1 8 12" xfId="22128" xr:uid="{36FF367F-1C2F-4921-931C-283716F71738}"/>
    <cellStyle name="60% - Accent1 8 13" xfId="24018" xr:uid="{DDC258E7-731B-432E-AB23-7A0251F26AFF}"/>
    <cellStyle name="60% - Accent1 8 14" xfId="25908" xr:uid="{5014006D-BE02-49DE-BBD3-D20B76D3D3D1}"/>
    <cellStyle name="60% - Accent1 8 15" xfId="27798" xr:uid="{6C86F11F-B5BC-457E-A385-D420FB2DC3AC}"/>
    <cellStyle name="60% - Accent1 8 16" xfId="29688" xr:uid="{9A439C1D-B5CC-45C6-8FDC-F96C4AB8749A}"/>
    <cellStyle name="60% - Accent1 8 17" xfId="31578" xr:uid="{40843542-EC8C-4D37-9116-B8F7095A8A7D}"/>
    <cellStyle name="60% - Accent1 8 18" xfId="33468" xr:uid="{B4CF58A2-3462-4E92-83C0-758C27B57EAB}"/>
    <cellStyle name="60% - Accent1 8 19" xfId="35358" xr:uid="{392026E9-30BA-40E1-9D58-2D5D770682DC}"/>
    <cellStyle name="60% - Accent1 8 2" xfId="3228" xr:uid="{F6FA6F6D-3A14-4375-98F5-5ED9B9B74F8F}"/>
    <cellStyle name="60% - Accent1 8 20" xfId="37248" xr:uid="{8F8FC42E-8E08-4A4D-A645-7E2032296683}"/>
    <cellStyle name="60% - Accent1 8 21" xfId="39138" xr:uid="{6AF82CF9-383C-4D47-B100-97D812138905}"/>
    <cellStyle name="60% - Accent1 8 22" xfId="41029" xr:uid="{0B76782F-C9E2-4A37-B63D-D83D36CA81CD}"/>
    <cellStyle name="60% - Accent1 8 3" xfId="5118" xr:uid="{D33FD644-ADB7-4A02-BF6C-3E33C7F97093}"/>
    <cellStyle name="60% - Accent1 8 4" xfId="7008" xr:uid="{BC954AA5-0193-4D6D-8EAF-BA2F53D8E18F}"/>
    <cellStyle name="60% - Accent1 8 5" xfId="8898" xr:uid="{65EEFECA-1786-45CA-B147-C83C30F4EEA4}"/>
    <cellStyle name="60% - Accent1 8 6" xfId="10788" xr:uid="{0157A27F-4EC6-4107-9B99-73D1DE9059C9}"/>
    <cellStyle name="60% - Accent1 8 7" xfId="12678" xr:uid="{E856AFCC-DA3A-41C9-8947-864B01B09560}"/>
    <cellStyle name="60% - Accent1 8 8" xfId="14568" xr:uid="{1BF25FC7-11CE-4CF1-A9CB-6CB0607F8559}"/>
    <cellStyle name="60% - Accent1 8 9" xfId="16458" xr:uid="{DB3BBDE1-E9D1-42EE-AD71-A6E243EF27FF}"/>
    <cellStyle name="60% - Accent1 9" xfId="1968" xr:uid="{C5D71011-FCE4-4DD8-A2EE-B123C0EBA3A7}"/>
    <cellStyle name="60% - Accent2" xfId="77" builtinId="36" customBuiltin="1"/>
    <cellStyle name="60% - Accent2 10" xfId="3861" xr:uid="{1D2AF61C-EBBA-43BF-A463-67287ECD8849}"/>
    <cellStyle name="60% - Accent2 11" xfId="5751" xr:uid="{F928AD4E-9239-4417-91DE-79DD27A84417}"/>
    <cellStyle name="60% - Accent2 12" xfId="7641" xr:uid="{FA5115AD-2EF1-4E04-883C-2ABFC51C3D2F}"/>
    <cellStyle name="60% - Accent2 13" xfId="9531" xr:uid="{B23EB184-E3A7-466F-99D2-AD8CD01D2B0F}"/>
    <cellStyle name="60% - Accent2 14" xfId="11421" xr:uid="{0019BE9A-8434-4F62-B166-86707B1C22A9}"/>
    <cellStyle name="60% - Accent2 15" xfId="13311" xr:uid="{EEA7C330-25E9-411C-91E2-E08C2F6969C5}"/>
    <cellStyle name="60% - Accent2 16" xfId="15201" xr:uid="{72E24C93-AB22-43D0-B7BC-9F9BD5B1B134}"/>
    <cellStyle name="60% - Accent2 17" xfId="17091" xr:uid="{B7DA5642-ED82-4563-B9F0-6C71D7C0D890}"/>
    <cellStyle name="60% - Accent2 18" xfId="18981" xr:uid="{AD1EB4DA-B147-4E9C-849E-BB701CE7880F}"/>
    <cellStyle name="60% - Accent2 19" xfId="20871" xr:uid="{DEB532DF-0072-49D2-A176-36530879440D}"/>
    <cellStyle name="60% - Accent2 2" xfId="103" xr:uid="{EE010787-45DA-425F-B96F-7E16112B2F99}"/>
    <cellStyle name="60% - Accent2 2 10" xfId="7663" xr:uid="{3E32C45E-4B76-4737-B53E-21F77FE44B74}"/>
    <cellStyle name="60% - Accent2 2 11" xfId="9553" xr:uid="{BDF734A8-3F51-4CDF-885A-749074C5E424}"/>
    <cellStyle name="60% - Accent2 2 12" xfId="11443" xr:uid="{027E509E-FDE3-4510-A1B0-D363CC1B4374}"/>
    <cellStyle name="60% - Accent2 2 13" xfId="13333" xr:uid="{1CC08C0B-F7B3-4FC6-BFA8-D049A3AE315C}"/>
    <cellStyle name="60% - Accent2 2 14" xfId="15223" xr:uid="{4F04D23D-8712-4C6B-A444-F6F69A7ED5B1}"/>
    <cellStyle name="60% - Accent2 2 15" xfId="17113" xr:uid="{D5A2FCDE-EC90-45E8-8349-B165F949F91B}"/>
    <cellStyle name="60% - Accent2 2 16" xfId="19003" xr:uid="{B9473DEE-5CF5-4751-9B00-DFFA4D2B5EB4}"/>
    <cellStyle name="60% - Accent2 2 17" xfId="20893" xr:uid="{2D77975F-E05D-4EC6-8EFB-C81F2E7633FC}"/>
    <cellStyle name="60% - Accent2 2 18" xfId="22783" xr:uid="{FCF62739-E869-4085-9795-94BD065E0C73}"/>
    <cellStyle name="60% - Accent2 2 19" xfId="24673" xr:uid="{1672710B-E263-4991-AA24-DD1504290BAE}"/>
    <cellStyle name="60% - Accent2 2 2" xfId="208" xr:uid="{3F58F8B2-296A-4F55-A158-90CBF88C77BE}"/>
    <cellStyle name="60% - Accent2 2 2 10" xfId="9658" xr:uid="{6D1A7CF2-4198-4A18-9EEC-A8E3CD1E018F}"/>
    <cellStyle name="60% - Accent2 2 2 11" xfId="11548" xr:uid="{ADD0FFE3-2232-4F22-9664-57A326F73999}"/>
    <cellStyle name="60% - Accent2 2 2 12" xfId="13438" xr:uid="{10330037-3749-4DDB-A75C-79EC5763EA1F}"/>
    <cellStyle name="60% - Accent2 2 2 13" xfId="15328" xr:uid="{79F23B05-8934-444D-B99A-5EDBAA977351}"/>
    <cellStyle name="60% - Accent2 2 2 14" xfId="17218" xr:uid="{151757F4-D7EC-4DF6-87F8-7E1256C50D83}"/>
    <cellStyle name="60% - Accent2 2 2 15" xfId="19108" xr:uid="{269F5BD9-1616-40C0-90D2-F2BC88E616A0}"/>
    <cellStyle name="60% - Accent2 2 2 16" xfId="20998" xr:uid="{FBFC8512-452C-43A3-A9FD-0DFCE38251D9}"/>
    <cellStyle name="60% - Accent2 2 2 17" xfId="22888" xr:uid="{C8768AD9-A7B1-440A-B7F2-611AABD46DD1}"/>
    <cellStyle name="60% - Accent2 2 2 18" xfId="24778" xr:uid="{14EDBAB3-1C9A-4340-9CE7-0F8A89B18D33}"/>
    <cellStyle name="60% - Accent2 2 2 19" xfId="26668" xr:uid="{08C1696F-8F97-47D4-975C-AD7DC393B6FA}"/>
    <cellStyle name="60% - Accent2 2 2 2" xfId="418" xr:uid="{E6AE6A2F-7918-4612-AF5E-06AFE827081C}"/>
    <cellStyle name="60% - Accent2 2 2 2 10" xfId="13648" xr:uid="{49A1BC63-B2E5-43ED-8F8F-ACFBCB4673CB}"/>
    <cellStyle name="60% - Accent2 2 2 2 11" xfId="15538" xr:uid="{675680B7-84D4-47DE-AF78-64DB72C0F2AC}"/>
    <cellStyle name="60% - Accent2 2 2 2 12" xfId="17428" xr:uid="{9CAC4D0D-AFCF-418E-A5DA-72D49C58A805}"/>
    <cellStyle name="60% - Accent2 2 2 2 13" xfId="19318" xr:uid="{71F16AB9-516C-4FDE-AF94-132F8A5430EA}"/>
    <cellStyle name="60% - Accent2 2 2 2 14" xfId="21208" xr:uid="{6F4062B2-4055-42F3-AE9A-530F7DA053ED}"/>
    <cellStyle name="60% - Accent2 2 2 2 15" xfId="23098" xr:uid="{17D36D1C-C21E-47D5-B966-D1D782B3387D}"/>
    <cellStyle name="60% - Accent2 2 2 2 16" xfId="24988" xr:uid="{79063E56-BCB6-49C2-8943-5FD7AA7FC686}"/>
    <cellStyle name="60% - Accent2 2 2 2 17" xfId="26878" xr:uid="{58176524-16BD-4192-9450-BF5FD75B8565}"/>
    <cellStyle name="60% - Accent2 2 2 2 18" xfId="28768" xr:uid="{33469F59-F8E3-4702-8EAA-5DAA0B165D8E}"/>
    <cellStyle name="60% - Accent2 2 2 2 19" xfId="30658" xr:uid="{E322BB72-CED7-4FAB-A914-6F14F21FE6C8}"/>
    <cellStyle name="60% - Accent2 2 2 2 2" xfId="1048" xr:uid="{56FA72DF-70D6-455C-9F71-0953FC84B890}"/>
    <cellStyle name="60% - Accent2 2 2 2 2 10" xfId="18058" xr:uid="{084567DD-10B3-4D3C-B2E1-25567BD1151C}"/>
    <cellStyle name="60% - Accent2 2 2 2 2 11" xfId="19948" xr:uid="{E4A26CA5-1221-4567-8152-7AD5E1EA5A16}"/>
    <cellStyle name="60% - Accent2 2 2 2 2 12" xfId="21838" xr:uid="{FE9084EE-D84F-409D-8DBD-E1EBA106E5CD}"/>
    <cellStyle name="60% - Accent2 2 2 2 2 13" xfId="23728" xr:uid="{EA294F61-C2F5-45AE-94D9-BA3C46504EC9}"/>
    <cellStyle name="60% - Accent2 2 2 2 2 14" xfId="25618" xr:uid="{7326D8C9-378E-468B-830D-BB126238C97C}"/>
    <cellStyle name="60% - Accent2 2 2 2 2 15" xfId="27508" xr:uid="{BC46852E-5584-446C-8C55-AFE799DCB7B8}"/>
    <cellStyle name="60% - Accent2 2 2 2 2 16" xfId="29398" xr:uid="{AAD2C359-3CF4-490F-A0E0-DDF06037C9F5}"/>
    <cellStyle name="60% - Accent2 2 2 2 2 17" xfId="31288" xr:uid="{A4B271F0-37D6-497E-B00C-7CAF6422EAC3}"/>
    <cellStyle name="60% - Accent2 2 2 2 2 18" xfId="33178" xr:uid="{47D71C07-6D01-4C72-9471-63881682748C}"/>
    <cellStyle name="60% - Accent2 2 2 2 2 19" xfId="35068" xr:uid="{BA50AD7A-0F66-4632-AAF5-B8576BEA1FFA}"/>
    <cellStyle name="60% - Accent2 2 2 2 2 2" xfId="2938" xr:uid="{11C60A48-DDA1-4BED-B1C0-41528FE2A667}"/>
    <cellStyle name="60% - Accent2 2 2 2 2 20" xfId="36958" xr:uid="{5697C07C-0D4C-403C-AACD-4E40F43D0713}"/>
    <cellStyle name="60% - Accent2 2 2 2 2 21" xfId="38848" xr:uid="{CDD5DCAB-7011-431E-BE2B-D9362C5AC82A}"/>
    <cellStyle name="60% - Accent2 2 2 2 2 22" xfId="40739" xr:uid="{C1982654-3C16-4347-B9AF-F32A8C02E282}"/>
    <cellStyle name="60% - Accent2 2 2 2 2 3" xfId="4828" xr:uid="{1E5446F7-3113-492C-8D17-C82C6E10F7DB}"/>
    <cellStyle name="60% - Accent2 2 2 2 2 4" xfId="6718" xr:uid="{ED59912A-C13A-4810-9506-20469C6C986B}"/>
    <cellStyle name="60% - Accent2 2 2 2 2 5" xfId="8608" xr:uid="{E3E6ACAF-A573-4C0A-AB10-F968F6B45333}"/>
    <cellStyle name="60% - Accent2 2 2 2 2 6" xfId="10498" xr:uid="{BABF8240-1006-48A2-A1D6-7EC40E5D655A}"/>
    <cellStyle name="60% - Accent2 2 2 2 2 7" xfId="12388" xr:uid="{6B1C1A89-9602-4F6B-A95D-4A5F4E16CFC9}"/>
    <cellStyle name="60% - Accent2 2 2 2 2 8" xfId="14278" xr:uid="{E70E9FDE-CE15-45EC-94D8-BB3FE68A7A9C}"/>
    <cellStyle name="60% - Accent2 2 2 2 2 9" xfId="16168" xr:uid="{19546EE8-75A5-405E-B790-8A2CA01796DE}"/>
    <cellStyle name="60% - Accent2 2 2 2 20" xfId="32548" xr:uid="{1EAF8393-90C3-42C3-BC33-9571EA8DE217}"/>
    <cellStyle name="60% - Accent2 2 2 2 21" xfId="34438" xr:uid="{596A2969-3811-41CE-AED5-0399BEBD8FE4}"/>
    <cellStyle name="60% - Accent2 2 2 2 22" xfId="36328" xr:uid="{4FEC0BEA-33D8-47E9-8B4D-27869F85EE8D}"/>
    <cellStyle name="60% - Accent2 2 2 2 23" xfId="38218" xr:uid="{678213DF-D2D7-47BC-954F-5C62FBBFE7D9}"/>
    <cellStyle name="60% - Accent2 2 2 2 24" xfId="40109" xr:uid="{73831C3F-A816-4D8F-92F3-002DF321373D}"/>
    <cellStyle name="60% - Accent2 2 2 2 3" xfId="1678" xr:uid="{4B7C8D75-A230-45A4-9FAF-7E216385ADEF}"/>
    <cellStyle name="60% - Accent2 2 2 2 3 10" xfId="18688" xr:uid="{FE2DD8A4-2C02-4B38-86DA-84AADF4F357D}"/>
    <cellStyle name="60% - Accent2 2 2 2 3 11" xfId="20578" xr:uid="{270AB851-4A1E-4C9C-8A7F-62D0E00ADB19}"/>
    <cellStyle name="60% - Accent2 2 2 2 3 12" xfId="22468" xr:uid="{F5B5CE6A-23D5-4B92-B890-65E7A29A33E1}"/>
    <cellStyle name="60% - Accent2 2 2 2 3 13" xfId="24358" xr:uid="{DF13423A-792D-430B-8DB0-65768FCE3B67}"/>
    <cellStyle name="60% - Accent2 2 2 2 3 14" xfId="26248" xr:uid="{DF574BBB-7667-49B2-8AEB-629A3A688C4A}"/>
    <cellStyle name="60% - Accent2 2 2 2 3 15" xfId="28138" xr:uid="{AF4D1559-AB30-4E60-B2D1-80B312DF029F}"/>
    <cellStyle name="60% - Accent2 2 2 2 3 16" xfId="30028" xr:uid="{62D7C903-DC7E-4DD2-A7FE-79D9B52F2070}"/>
    <cellStyle name="60% - Accent2 2 2 2 3 17" xfId="31918" xr:uid="{CED7A5DF-EDDB-45FE-867C-717CAD4F582E}"/>
    <cellStyle name="60% - Accent2 2 2 2 3 18" xfId="33808" xr:uid="{4106DD91-8BA7-4642-AA55-B0F232A844C8}"/>
    <cellStyle name="60% - Accent2 2 2 2 3 19" xfId="35698" xr:uid="{E505A37E-EB15-4F15-89C8-C0133BEAB2C2}"/>
    <cellStyle name="60% - Accent2 2 2 2 3 2" xfId="3568" xr:uid="{A7F1997D-E6E7-4234-B132-F3958DC81935}"/>
    <cellStyle name="60% - Accent2 2 2 2 3 20" xfId="37588" xr:uid="{2969C6C9-C9DA-41FF-ABE5-8887F6B54362}"/>
    <cellStyle name="60% - Accent2 2 2 2 3 21" xfId="39478" xr:uid="{5DF31CB9-E040-46D6-9D32-CF81634A7368}"/>
    <cellStyle name="60% - Accent2 2 2 2 3 22" xfId="41369" xr:uid="{AF39002C-C8B7-483C-90DE-602950AEF756}"/>
    <cellStyle name="60% - Accent2 2 2 2 3 3" xfId="5458" xr:uid="{A288059B-5553-4608-9ECE-4229B1AF6444}"/>
    <cellStyle name="60% - Accent2 2 2 2 3 4" xfId="7348" xr:uid="{5A0998F1-8C63-46C7-8B3A-CFE6D2A11BA6}"/>
    <cellStyle name="60% - Accent2 2 2 2 3 5" xfId="9238" xr:uid="{E8090BC4-1F81-4188-A580-33E351A909C9}"/>
    <cellStyle name="60% - Accent2 2 2 2 3 6" xfId="11128" xr:uid="{081CCC7F-C8AA-47B1-815A-6D4BA799F490}"/>
    <cellStyle name="60% - Accent2 2 2 2 3 7" xfId="13018" xr:uid="{D849331D-4B77-418D-9851-6B784B736A8B}"/>
    <cellStyle name="60% - Accent2 2 2 2 3 8" xfId="14908" xr:uid="{F89DD90E-B0E8-471A-8CA7-2800CCBD11F4}"/>
    <cellStyle name="60% - Accent2 2 2 2 3 9" xfId="16798" xr:uid="{666D10B6-6AC8-486B-BC0B-FBA683E3E197}"/>
    <cellStyle name="60% - Accent2 2 2 2 4" xfId="2308" xr:uid="{F52D85AE-FEBF-4773-A721-3CFBA15F737F}"/>
    <cellStyle name="60% - Accent2 2 2 2 5" xfId="4198" xr:uid="{F144589D-A1A4-4A40-A76F-13888F862378}"/>
    <cellStyle name="60% - Accent2 2 2 2 6" xfId="6088" xr:uid="{2A88827B-8419-4398-865D-669C17E821C0}"/>
    <cellStyle name="60% - Accent2 2 2 2 7" xfId="7978" xr:uid="{91EAC9A2-EB07-4CC0-A0B0-2C998F9B0710}"/>
    <cellStyle name="60% - Accent2 2 2 2 8" xfId="9868" xr:uid="{52193341-C257-446D-83ED-757514C8213C}"/>
    <cellStyle name="60% - Accent2 2 2 2 9" xfId="11758" xr:uid="{CC73D16C-A829-4F76-99F9-3B491AF2FC61}"/>
    <cellStyle name="60% - Accent2 2 2 20" xfId="28558" xr:uid="{720425AF-9FE4-41E9-91A2-94D98FCB2DC8}"/>
    <cellStyle name="60% - Accent2 2 2 21" xfId="30448" xr:uid="{64DC6C9A-A707-4020-9544-39549C528B75}"/>
    <cellStyle name="60% - Accent2 2 2 22" xfId="32338" xr:uid="{90E3D359-5BCD-4150-BDE2-5DADF3D3E997}"/>
    <cellStyle name="60% - Accent2 2 2 23" xfId="34228" xr:uid="{B5F02973-C247-4612-AD21-E2B56AE49E5E}"/>
    <cellStyle name="60% - Accent2 2 2 24" xfId="36118" xr:uid="{FB4DE81E-EC93-45A3-BE34-4A93C07C937B}"/>
    <cellStyle name="60% - Accent2 2 2 25" xfId="38008" xr:uid="{80887C01-F130-4BE6-8D86-3B42A08CD4AD}"/>
    <cellStyle name="60% - Accent2 2 2 26" xfId="39899" xr:uid="{FCD39CE3-3C02-429D-8250-84619D1F4004}"/>
    <cellStyle name="60% - Accent2 2 2 3" xfId="628" xr:uid="{BA071D2E-BB27-46AB-93A9-B3A309D998C8}"/>
    <cellStyle name="60% - Accent2 2 2 3 10" xfId="13858" xr:uid="{841D1E22-EC37-44DF-92C1-D4CD43DAB26F}"/>
    <cellStyle name="60% - Accent2 2 2 3 11" xfId="15748" xr:uid="{E2CA0BF0-04D9-44B8-9B9C-685E2D5E78C5}"/>
    <cellStyle name="60% - Accent2 2 2 3 12" xfId="17638" xr:uid="{37D99EB4-D72A-44D5-B548-EE1FE7379FA9}"/>
    <cellStyle name="60% - Accent2 2 2 3 13" xfId="19528" xr:uid="{58AB5538-798D-4229-ABEF-9660F5082765}"/>
    <cellStyle name="60% - Accent2 2 2 3 14" xfId="21418" xr:uid="{1630D8BC-5379-4AA7-9650-A7B3EB546E5E}"/>
    <cellStyle name="60% - Accent2 2 2 3 15" xfId="23308" xr:uid="{8B7FD0E5-E112-4852-8B11-F0455FC97B6F}"/>
    <cellStyle name="60% - Accent2 2 2 3 16" xfId="25198" xr:uid="{2B9FE450-442E-44B8-9778-3548AC9EB255}"/>
    <cellStyle name="60% - Accent2 2 2 3 17" xfId="27088" xr:uid="{41499ADB-2A55-40B9-B7DC-A1FB325DA47C}"/>
    <cellStyle name="60% - Accent2 2 2 3 18" xfId="28978" xr:uid="{CD43F3A9-C45C-4595-B367-422C52676F91}"/>
    <cellStyle name="60% - Accent2 2 2 3 19" xfId="30868" xr:uid="{FC95FFF4-896C-410E-88F9-A25944DEF9A9}"/>
    <cellStyle name="60% - Accent2 2 2 3 2" xfId="1258" xr:uid="{0558D618-A892-4968-9ED3-CC84F703A916}"/>
    <cellStyle name="60% - Accent2 2 2 3 2 10" xfId="18268" xr:uid="{B027417C-457D-478B-A15B-1AE279B0980E}"/>
    <cellStyle name="60% - Accent2 2 2 3 2 11" xfId="20158" xr:uid="{20C32E94-2C37-4476-83F8-9837899CA849}"/>
    <cellStyle name="60% - Accent2 2 2 3 2 12" xfId="22048" xr:uid="{C9A478B6-A469-44C9-8298-9052D045852A}"/>
    <cellStyle name="60% - Accent2 2 2 3 2 13" xfId="23938" xr:uid="{0146631D-55EC-4A7A-BAB5-013E99FE31F1}"/>
    <cellStyle name="60% - Accent2 2 2 3 2 14" xfId="25828" xr:uid="{DB501D0D-06C8-4201-9E97-F22340B3BF55}"/>
    <cellStyle name="60% - Accent2 2 2 3 2 15" xfId="27718" xr:uid="{ABBB6EA6-92A3-4E99-A671-F7085C87E258}"/>
    <cellStyle name="60% - Accent2 2 2 3 2 16" xfId="29608" xr:uid="{2AE450BC-4F5C-449E-B506-B4B149AE7340}"/>
    <cellStyle name="60% - Accent2 2 2 3 2 17" xfId="31498" xr:uid="{E2DC7F40-B670-499F-A0CD-4DF9802521A9}"/>
    <cellStyle name="60% - Accent2 2 2 3 2 18" xfId="33388" xr:uid="{1EF9C325-2D96-4C18-A9D8-416BB21C3AB0}"/>
    <cellStyle name="60% - Accent2 2 2 3 2 19" xfId="35278" xr:uid="{F6583C48-59FC-4BA1-852B-9E31AD40601E}"/>
    <cellStyle name="60% - Accent2 2 2 3 2 2" xfId="3148" xr:uid="{73543E91-36EE-4F99-9465-A353FDEC7026}"/>
    <cellStyle name="60% - Accent2 2 2 3 2 20" xfId="37168" xr:uid="{7DBFB34D-56E6-408B-95ED-D09B1C3F33B1}"/>
    <cellStyle name="60% - Accent2 2 2 3 2 21" xfId="39058" xr:uid="{DE307F0A-3CF7-4BD2-A74C-50D0858BCC08}"/>
    <cellStyle name="60% - Accent2 2 2 3 2 22" xfId="40949" xr:uid="{EC4B880E-BF93-4CE6-BF94-C6F2D39FA93B}"/>
    <cellStyle name="60% - Accent2 2 2 3 2 3" xfId="5038" xr:uid="{03078C99-761D-4436-AD41-6C761ECA555C}"/>
    <cellStyle name="60% - Accent2 2 2 3 2 4" xfId="6928" xr:uid="{873A2F83-F8AA-4AD4-9260-1DBB8365FF30}"/>
    <cellStyle name="60% - Accent2 2 2 3 2 5" xfId="8818" xr:uid="{3FCBB4BD-C6E2-41A8-8B64-EBB9AB774601}"/>
    <cellStyle name="60% - Accent2 2 2 3 2 6" xfId="10708" xr:uid="{192BC91F-FEF5-4187-970B-012DDBAA690E}"/>
    <cellStyle name="60% - Accent2 2 2 3 2 7" xfId="12598" xr:uid="{D9AD7826-7CF7-46D8-9D83-FD01EEFDDE8A}"/>
    <cellStyle name="60% - Accent2 2 2 3 2 8" xfId="14488" xr:uid="{D00A3D7C-F107-41B6-8931-470CF7D7405D}"/>
    <cellStyle name="60% - Accent2 2 2 3 2 9" xfId="16378" xr:uid="{B5104ED2-D8EB-41E5-88D2-3569ED2F7587}"/>
    <cellStyle name="60% - Accent2 2 2 3 20" xfId="32758" xr:uid="{FF358146-ADD0-4489-A8AC-D95ABD0DE514}"/>
    <cellStyle name="60% - Accent2 2 2 3 21" xfId="34648" xr:uid="{0A77CBDA-FCF9-4163-91B7-5EB4DAF1033B}"/>
    <cellStyle name="60% - Accent2 2 2 3 22" xfId="36538" xr:uid="{E561B993-8462-4128-BC3A-6BF11AC3F53B}"/>
    <cellStyle name="60% - Accent2 2 2 3 23" xfId="38428" xr:uid="{9BA2F9B8-AD60-4158-9D82-6243A2F23B54}"/>
    <cellStyle name="60% - Accent2 2 2 3 24" xfId="40319" xr:uid="{A4D0CDE5-1081-430C-B696-778662316F59}"/>
    <cellStyle name="60% - Accent2 2 2 3 3" xfId="1888" xr:uid="{59E298A8-507E-47C0-860E-75CC1283AA26}"/>
    <cellStyle name="60% - Accent2 2 2 3 3 10" xfId="18898" xr:uid="{416C13E0-306D-4729-B007-C602FF9A0D67}"/>
    <cellStyle name="60% - Accent2 2 2 3 3 11" xfId="20788" xr:uid="{7D9E2E9D-D734-4883-AD2A-9819CA857D4A}"/>
    <cellStyle name="60% - Accent2 2 2 3 3 12" xfId="22678" xr:uid="{C0EBB26F-8B41-4897-8459-A3B1CD4F4982}"/>
    <cellStyle name="60% - Accent2 2 2 3 3 13" xfId="24568" xr:uid="{898C5F78-E5E7-4EEF-AA88-3DB6FC3A1753}"/>
    <cellStyle name="60% - Accent2 2 2 3 3 14" xfId="26458" xr:uid="{7D769094-D872-4B67-95ED-B954989AC611}"/>
    <cellStyle name="60% - Accent2 2 2 3 3 15" xfId="28348" xr:uid="{89D0F178-B966-4997-AA19-48825509D176}"/>
    <cellStyle name="60% - Accent2 2 2 3 3 16" xfId="30238" xr:uid="{9A15339B-7BF5-4B25-88F1-405E6906B891}"/>
    <cellStyle name="60% - Accent2 2 2 3 3 17" xfId="32128" xr:uid="{148F6B92-6049-4B29-82AE-0A4825B62808}"/>
    <cellStyle name="60% - Accent2 2 2 3 3 18" xfId="34018" xr:uid="{333F0EF3-1E48-4D74-998D-7963ED9E3DFD}"/>
    <cellStyle name="60% - Accent2 2 2 3 3 19" xfId="35908" xr:uid="{EA096E3E-CF86-4058-BC46-0F4DE53C9157}"/>
    <cellStyle name="60% - Accent2 2 2 3 3 2" xfId="3778" xr:uid="{809B8D44-57A3-4C1C-8427-B918EF02B8B7}"/>
    <cellStyle name="60% - Accent2 2 2 3 3 20" xfId="37798" xr:uid="{B7CD1DDA-D6E5-4950-B722-3C94C7DC5335}"/>
    <cellStyle name="60% - Accent2 2 2 3 3 21" xfId="39688" xr:uid="{993692C6-07C0-48FA-8B0F-5225B087028C}"/>
    <cellStyle name="60% - Accent2 2 2 3 3 22" xfId="41579" xr:uid="{97A767B4-49CF-4DFF-9D7C-96C320226391}"/>
    <cellStyle name="60% - Accent2 2 2 3 3 3" xfId="5668" xr:uid="{00148698-B900-4161-A397-134A756FB409}"/>
    <cellStyle name="60% - Accent2 2 2 3 3 4" xfId="7558" xr:uid="{20A30D4B-2946-45D9-945D-DF31ADB69479}"/>
    <cellStyle name="60% - Accent2 2 2 3 3 5" xfId="9448" xr:uid="{23423FE6-B70B-46D2-A494-282604BDAE05}"/>
    <cellStyle name="60% - Accent2 2 2 3 3 6" xfId="11338" xr:uid="{3A804F23-7D6A-406C-8F3A-748B51BFFEB4}"/>
    <cellStyle name="60% - Accent2 2 2 3 3 7" xfId="13228" xr:uid="{BF91136F-66EB-4C27-B0FB-FB5101D0170F}"/>
    <cellStyle name="60% - Accent2 2 2 3 3 8" xfId="15118" xr:uid="{D5FFC3F7-56E7-460F-8ADB-1C3D4DA30122}"/>
    <cellStyle name="60% - Accent2 2 2 3 3 9" xfId="17008" xr:uid="{A984F65C-4E92-4789-B3FE-8222E6CB144E}"/>
    <cellStyle name="60% - Accent2 2 2 3 4" xfId="2518" xr:uid="{CAB83533-33AD-4B69-9090-709E10EC47E2}"/>
    <cellStyle name="60% - Accent2 2 2 3 5" xfId="4408" xr:uid="{4B7FCA98-1CED-48E5-928E-0A21BBF6C716}"/>
    <cellStyle name="60% - Accent2 2 2 3 6" xfId="6298" xr:uid="{346BAAEA-8511-429E-80CA-853B180DDF8A}"/>
    <cellStyle name="60% - Accent2 2 2 3 7" xfId="8188" xr:uid="{BD312ED9-F856-4B6E-A0DF-B0D77A3205A2}"/>
    <cellStyle name="60% - Accent2 2 2 3 8" xfId="10078" xr:uid="{4FB93429-E5D4-442C-BABC-C2C5DFF94EA5}"/>
    <cellStyle name="60% - Accent2 2 2 3 9" xfId="11968" xr:uid="{F99E0313-FA30-4AA2-996D-F210459C4046}"/>
    <cellStyle name="60% - Accent2 2 2 4" xfId="838" xr:uid="{98E00CBE-D631-4A02-A3AD-A5E593E0792B}"/>
    <cellStyle name="60% - Accent2 2 2 4 10" xfId="17848" xr:uid="{EBF24866-1F6E-414C-8875-7CF96DB18845}"/>
    <cellStyle name="60% - Accent2 2 2 4 11" xfId="19738" xr:uid="{054F119A-280D-4824-BF4E-44DBCB0FBAD9}"/>
    <cellStyle name="60% - Accent2 2 2 4 12" xfId="21628" xr:uid="{C7DB09FF-E6A5-4A61-80F4-C498BC220455}"/>
    <cellStyle name="60% - Accent2 2 2 4 13" xfId="23518" xr:uid="{BAC7FA8E-A54C-4CCE-866B-5E107632A5C4}"/>
    <cellStyle name="60% - Accent2 2 2 4 14" xfId="25408" xr:uid="{A7E642E9-EF03-4ECD-9993-85FAB4EABEB2}"/>
    <cellStyle name="60% - Accent2 2 2 4 15" xfId="27298" xr:uid="{9534EFF2-D97E-4A39-B252-69C18E98A730}"/>
    <cellStyle name="60% - Accent2 2 2 4 16" xfId="29188" xr:uid="{708B2C30-A99E-488F-83A0-BB4F7E11C3C1}"/>
    <cellStyle name="60% - Accent2 2 2 4 17" xfId="31078" xr:uid="{8AA2C51F-CAD6-4F8F-88BD-15398166C2D9}"/>
    <cellStyle name="60% - Accent2 2 2 4 18" xfId="32968" xr:uid="{13F9E8AF-C2C8-4D9F-86D4-31FDDA5DB038}"/>
    <cellStyle name="60% - Accent2 2 2 4 19" xfId="34858" xr:uid="{F5FB4424-E7AD-42A1-8B00-2112F6FB3F34}"/>
    <cellStyle name="60% - Accent2 2 2 4 2" xfId="2728" xr:uid="{7D5F4169-DA0F-4C58-AC97-C3E9E21E2004}"/>
    <cellStyle name="60% - Accent2 2 2 4 20" xfId="36748" xr:uid="{C69F16B2-316C-441D-ABEF-6BECCCC1E5BC}"/>
    <cellStyle name="60% - Accent2 2 2 4 21" xfId="38638" xr:uid="{29663785-EE51-4424-9FA0-C5AF7F099DD1}"/>
    <cellStyle name="60% - Accent2 2 2 4 22" xfId="40529" xr:uid="{03115EAC-F946-450F-8F2A-0793CD5F4F53}"/>
    <cellStyle name="60% - Accent2 2 2 4 3" xfId="4618" xr:uid="{7A6CF857-9E3B-4455-9A69-A05D8122045F}"/>
    <cellStyle name="60% - Accent2 2 2 4 4" xfId="6508" xr:uid="{76BF1549-372C-475B-9A40-E0D17A3CDD55}"/>
    <cellStyle name="60% - Accent2 2 2 4 5" xfId="8398" xr:uid="{5ED80FFF-8B85-4BEF-ACDC-1CFF834A24FE}"/>
    <cellStyle name="60% - Accent2 2 2 4 6" xfId="10288" xr:uid="{ABECEA16-B562-41B3-A90D-E7E50EA0B5E9}"/>
    <cellStyle name="60% - Accent2 2 2 4 7" xfId="12178" xr:uid="{62AF2270-F2D7-49BF-9A2A-10B6C1A67BFF}"/>
    <cellStyle name="60% - Accent2 2 2 4 8" xfId="14068" xr:uid="{62888163-B01F-471C-AD43-7548E61AE17D}"/>
    <cellStyle name="60% - Accent2 2 2 4 9" xfId="15958" xr:uid="{8553BFA7-5ED6-4758-86D5-2BD5E5C3DB8E}"/>
    <cellStyle name="60% - Accent2 2 2 5" xfId="1468" xr:uid="{FAE99819-61DD-4E49-B540-8A6A4ECC8FDF}"/>
    <cellStyle name="60% - Accent2 2 2 5 10" xfId="18478" xr:uid="{5C9348C6-E686-416E-A92B-6F3217CDA4C0}"/>
    <cellStyle name="60% - Accent2 2 2 5 11" xfId="20368" xr:uid="{7C496D11-6979-40A8-85D1-A49BC8FD77D6}"/>
    <cellStyle name="60% - Accent2 2 2 5 12" xfId="22258" xr:uid="{6BFDC9CB-13B4-430C-B175-442778150A53}"/>
    <cellStyle name="60% - Accent2 2 2 5 13" xfId="24148" xr:uid="{65EADDD8-4381-4CA6-B652-99226D0075F2}"/>
    <cellStyle name="60% - Accent2 2 2 5 14" xfId="26038" xr:uid="{376CE538-1E7A-4326-B3F5-8E9F10E4D8F6}"/>
    <cellStyle name="60% - Accent2 2 2 5 15" xfId="27928" xr:uid="{5E722EE3-2E35-47D1-B677-F2FE966015CD}"/>
    <cellStyle name="60% - Accent2 2 2 5 16" xfId="29818" xr:uid="{CBEC5111-0DBD-42BF-8A2B-1AEB15660017}"/>
    <cellStyle name="60% - Accent2 2 2 5 17" xfId="31708" xr:uid="{31056DE0-A2B2-4182-B5A6-F6B0D2BBE617}"/>
    <cellStyle name="60% - Accent2 2 2 5 18" xfId="33598" xr:uid="{11B51609-C82A-4088-B9C5-A4B24384BE92}"/>
    <cellStyle name="60% - Accent2 2 2 5 19" xfId="35488" xr:uid="{F3630F35-5CBC-442B-9E43-3E4D3686F0A2}"/>
    <cellStyle name="60% - Accent2 2 2 5 2" xfId="3358" xr:uid="{80F3D52D-4543-4E97-ADC2-3FF02C8807D8}"/>
    <cellStyle name="60% - Accent2 2 2 5 20" xfId="37378" xr:uid="{02D5D878-673E-434B-BAEB-E12AB7518EDB}"/>
    <cellStyle name="60% - Accent2 2 2 5 21" xfId="39268" xr:uid="{8FE17F91-0839-4FAA-BBFE-D79766E6AAA0}"/>
    <cellStyle name="60% - Accent2 2 2 5 22" xfId="41159" xr:uid="{88910B2C-66A9-403B-AF6C-F07A16D3AD5B}"/>
    <cellStyle name="60% - Accent2 2 2 5 3" xfId="5248" xr:uid="{1CB4B5B5-CDFB-4986-86E9-D32F01B082FF}"/>
    <cellStyle name="60% - Accent2 2 2 5 4" xfId="7138" xr:uid="{1A4DD59C-E3BB-4522-B263-B77F69AE3F42}"/>
    <cellStyle name="60% - Accent2 2 2 5 5" xfId="9028" xr:uid="{9F547EB2-96E4-4A51-9163-C62BA84A69A9}"/>
    <cellStyle name="60% - Accent2 2 2 5 6" xfId="10918" xr:uid="{B41957D8-EB41-4A3D-80B7-F930C871953E}"/>
    <cellStyle name="60% - Accent2 2 2 5 7" xfId="12808" xr:uid="{05CD67C0-0460-411C-B3B9-FE61DA021802}"/>
    <cellStyle name="60% - Accent2 2 2 5 8" xfId="14698" xr:uid="{0536556B-C2C7-4198-88F5-ABF9D5909DDF}"/>
    <cellStyle name="60% - Accent2 2 2 5 9" xfId="16588" xr:uid="{E78C7BAE-F26B-4956-8993-C64B0EF9E49C}"/>
    <cellStyle name="60% - Accent2 2 2 6" xfId="2098" xr:uid="{2D0F2F49-8CF7-42E0-A9A6-076BDFE2640B}"/>
    <cellStyle name="60% - Accent2 2 2 7" xfId="3988" xr:uid="{09335207-BD56-491C-B946-7B2F702FF74C}"/>
    <cellStyle name="60% - Accent2 2 2 8" xfId="5878" xr:uid="{0640A19D-1BAB-4A50-AD1A-729F39D0E006}"/>
    <cellStyle name="60% - Accent2 2 2 9" xfId="7768" xr:uid="{0BA0D28E-357E-40ED-B63F-3FE435C375CC}"/>
    <cellStyle name="60% - Accent2 2 20" xfId="26563" xr:uid="{3F22B252-4D6B-42E4-AD7B-675B5649B9D3}"/>
    <cellStyle name="60% - Accent2 2 21" xfId="28453" xr:uid="{9DBBD381-DAA3-441D-B32A-B22348CA52F3}"/>
    <cellStyle name="60% - Accent2 2 22" xfId="30343" xr:uid="{C11DF092-B70C-4B02-8D2B-FCC6258D7427}"/>
    <cellStyle name="60% - Accent2 2 23" xfId="32233" xr:uid="{2FD96F5E-06E9-48F9-8F3B-261B407F814B}"/>
    <cellStyle name="60% - Accent2 2 24" xfId="34123" xr:uid="{F330CDF8-8E50-4FBC-A0FE-D371E9A3F904}"/>
    <cellStyle name="60% - Accent2 2 25" xfId="36013" xr:uid="{F38285D3-F315-40E4-91C5-7BA0864BD83C}"/>
    <cellStyle name="60% - Accent2 2 26" xfId="37903" xr:uid="{F733C501-7E0B-4930-B862-B221806DE933}"/>
    <cellStyle name="60% - Accent2 2 27" xfId="39794" xr:uid="{4237BB2F-3B79-4E5C-A3AA-4418A83D362C}"/>
    <cellStyle name="60% - Accent2 2 3" xfId="313" xr:uid="{30D10D36-3CF0-46D5-BBA8-824DB55F2F94}"/>
    <cellStyle name="60% - Accent2 2 3 10" xfId="13543" xr:uid="{946065C6-1346-4FC3-A640-6CF64A7D0518}"/>
    <cellStyle name="60% - Accent2 2 3 11" xfId="15433" xr:uid="{2652211A-6AAC-4953-9905-3E6A31A1D4C6}"/>
    <cellStyle name="60% - Accent2 2 3 12" xfId="17323" xr:uid="{45291482-3264-423E-8934-CEA3E81C8568}"/>
    <cellStyle name="60% - Accent2 2 3 13" xfId="19213" xr:uid="{BCCAA7F2-9E0F-4900-91E0-E47E0B9FDC3B}"/>
    <cellStyle name="60% - Accent2 2 3 14" xfId="21103" xr:uid="{030B8843-4D63-4907-B152-F8BACF7DCF46}"/>
    <cellStyle name="60% - Accent2 2 3 15" xfId="22993" xr:uid="{BDE7C7E6-4A12-46C5-8F11-CD9D636594F0}"/>
    <cellStyle name="60% - Accent2 2 3 16" xfId="24883" xr:uid="{EDA54601-7972-4F0D-8D2C-2BE63CF7CB34}"/>
    <cellStyle name="60% - Accent2 2 3 17" xfId="26773" xr:uid="{B41FE86D-4DC4-4988-BF9B-76C62CFC9956}"/>
    <cellStyle name="60% - Accent2 2 3 18" xfId="28663" xr:uid="{E28EFC4B-3141-4C14-80AA-FF643E63A8B2}"/>
    <cellStyle name="60% - Accent2 2 3 19" xfId="30553" xr:uid="{167F381C-813C-4595-B1C9-B9C646D20408}"/>
    <cellStyle name="60% - Accent2 2 3 2" xfId="943" xr:uid="{F9E65D7A-FA5A-49F3-98F1-25BAC8643958}"/>
    <cellStyle name="60% - Accent2 2 3 2 10" xfId="17953" xr:uid="{959F1038-E443-4370-ACFC-AF91DE830FE0}"/>
    <cellStyle name="60% - Accent2 2 3 2 11" xfId="19843" xr:uid="{32D1F8B3-FF61-47C1-9892-779F2E26F18B}"/>
    <cellStyle name="60% - Accent2 2 3 2 12" xfId="21733" xr:uid="{43693FA3-9FF2-4946-AA29-E12010AB7CB6}"/>
    <cellStyle name="60% - Accent2 2 3 2 13" xfId="23623" xr:uid="{3D762B79-9B5E-4767-9E48-B540F02CA119}"/>
    <cellStyle name="60% - Accent2 2 3 2 14" xfId="25513" xr:uid="{8046E0E2-F11C-46F7-ACB5-844DC98A57F1}"/>
    <cellStyle name="60% - Accent2 2 3 2 15" xfId="27403" xr:uid="{81A15D1E-E748-4754-A3E8-D78DCE5E37FD}"/>
    <cellStyle name="60% - Accent2 2 3 2 16" xfId="29293" xr:uid="{9D995B39-6C97-42EF-B9AF-488A5FEDEE0F}"/>
    <cellStyle name="60% - Accent2 2 3 2 17" xfId="31183" xr:uid="{F95EC8A6-7185-4C55-89A7-0C115A8FEC07}"/>
    <cellStyle name="60% - Accent2 2 3 2 18" xfId="33073" xr:uid="{AC5A7EB3-8644-47FE-8692-0544C782567A}"/>
    <cellStyle name="60% - Accent2 2 3 2 19" xfId="34963" xr:uid="{F624796E-7A6A-424B-936D-24E715935DD2}"/>
    <cellStyle name="60% - Accent2 2 3 2 2" xfId="2833" xr:uid="{F406FFEF-5697-43AE-B8D6-13F1B5C7BC98}"/>
    <cellStyle name="60% - Accent2 2 3 2 20" xfId="36853" xr:uid="{0BCD7286-C8FF-4B44-B78B-BE37652B138F}"/>
    <cellStyle name="60% - Accent2 2 3 2 21" xfId="38743" xr:uid="{F43097BB-F2B6-4E91-8EA3-EE124440FEE7}"/>
    <cellStyle name="60% - Accent2 2 3 2 22" xfId="40634" xr:uid="{4994A518-83DA-4996-8D0C-2515D58B4B93}"/>
    <cellStyle name="60% - Accent2 2 3 2 3" xfId="4723" xr:uid="{AC588258-F43C-42C4-9A30-2AE96872029E}"/>
    <cellStyle name="60% - Accent2 2 3 2 4" xfId="6613" xr:uid="{16343E3B-925F-4FAC-8CBD-508B4B21FA97}"/>
    <cellStyle name="60% - Accent2 2 3 2 5" xfId="8503" xr:uid="{9BD98FAB-4E3C-4750-BB91-DB732F70448E}"/>
    <cellStyle name="60% - Accent2 2 3 2 6" xfId="10393" xr:uid="{B1E17B84-00A0-4C6D-A646-60A2727C9C67}"/>
    <cellStyle name="60% - Accent2 2 3 2 7" xfId="12283" xr:uid="{FB2A4C8E-6EF3-45DB-B4B9-52A7C6A381B0}"/>
    <cellStyle name="60% - Accent2 2 3 2 8" xfId="14173" xr:uid="{0B5ECA59-3C04-4F5A-A345-9D2AE330F86F}"/>
    <cellStyle name="60% - Accent2 2 3 2 9" xfId="16063" xr:uid="{6D2E17C6-2722-4558-B82C-82EA6245F1B6}"/>
    <cellStyle name="60% - Accent2 2 3 20" xfId="32443" xr:uid="{63F6E165-1FF7-468A-A301-F601F38A309E}"/>
    <cellStyle name="60% - Accent2 2 3 21" xfId="34333" xr:uid="{A6A24878-5507-40FD-B171-ADFA44C8A074}"/>
    <cellStyle name="60% - Accent2 2 3 22" xfId="36223" xr:uid="{F65E1BBE-C6B8-4B38-9693-B316E53C95BB}"/>
    <cellStyle name="60% - Accent2 2 3 23" xfId="38113" xr:uid="{1704B527-8C55-4886-80F3-51F8034B028B}"/>
    <cellStyle name="60% - Accent2 2 3 24" xfId="40004" xr:uid="{50CCF0E6-F002-4915-B34B-3C2F8C3C014C}"/>
    <cellStyle name="60% - Accent2 2 3 3" xfId="1573" xr:uid="{E73D29AC-CD13-4E63-9CA9-57EC760CA32A}"/>
    <cellStyle name="60% - Accent2 2 3 3 10" xfId="18583" xr:uid="{4567B5D3-DBA0-4D07-A821-B97F7E24A714}"/>
    <cellStyle name="60% - Accent2 2 3 3 11" xfId="20473" xr:uid="{FBFAF328-71EE-471D-B716-E15D3427F7A3}"/>
    <cellStyle name="60% - Accent2 2 3 3 12" xfId="22363" xr:uid="{B9877115-4D9B-4E6A-B1DB-1D5D0BD914F3}"/>
    <cellStyle name="60% - Accent2 2 3 3 13" xfId="24253" xr:uid="{A63FDAEA-81E5-4D69-A4AB-1A6561FDCC05}"/>
    <cellStyle name="60% - Accent2 2 3 3 14" xfId="26143" xr:uid="{A481E0B5-7557-43EF-95C1-712BDBC8C6E3}"/>
    <cellStyle name="60% - Accent2 2 3 3 15" xfId="28033" xr:uid="{3CDC52EC-44A6-4C96-BD61-8D93624528C8}"/>
    <cellStyle name="60% - Accent2 2 3 3 16" xfId="29923" xr:uid="{834A2783-F67B-42D5-A271-73F7F12F3BC9}"/>
    <cellStyle name="60% - Accent2 2 3 3 17" xfId="31813" xr:uid="{27B38F6B-DD80-44EE-8522-AEBE15487577}"/>
    <cellStyle name="60% - Accent2 2 3 3 18" xfId="33703" xr:uid="{CB9D31C7-02FF-47E2-9328-AC4A7A8F3D15}"/>
    <cellStyle name="60% - Accent2 2 3 3 19" xfId="35593" xr:uid="{4CC2AAC6-D54B-4CAC-B92B-817C7B9E9BB5}"/>
    <cellStyle name="60% - Accent2 2 3 3 2" xfId="3463" xr:uid="{1E44BAEF-0E04-41A7-B443-37DAC1836C9F}"/>
    <cellStyle name="60% - Accent2 2 3 3 20" xfId="37483" xr:uid="{F9D22B25-3ABC-44D8-9847-E6309ACD22B5}"/>
    <cellStyle name="60% - Accent2 2 3 3 21" xfId="39373" xr:uid="{A3756691-DB69-4580-9403-E3C1B210FA24}"/>
    <cellStyle name="60% - Accent2 2 3 3 22" xfId="41264" xr:uid="{43A1E9C2-6934-4E86-BD2D-0BC1DD6FE05E}"/>
    <cellStyle name="60% - Accent2 2 3 3 3" xfId="5353" xr:uid="{60E56570-8F77-4461-9BF6-3ACCC1E41402}"/>
    <cellStyle name="60% - Accent2 2 3 3 4" xfId="7243" xr:uid="{074C0D77-491D-4006-8D14-3CD11FE5B5AB}"/>
    <cellStyle name="60% - Accent2 2 3 3 5" xfId="9133" xr:uid="{20561A1E-270E-4A6C-AC48-074294C89AF6}"/>
    <cellStyle name="60% - Accent2 2 3 3 6" xfId="11023" xr:uid="{F53A19E4-EA12-4D06-8662-EE95D9F3617D}"/>
    <cellStyle name="60% - Accent2 2 3 3 7" xfId="12913" xr:uid="{82961EC7-B3CD-41D5-82DD-F54591237182}"/>
    <cellStyle name="60% - Accent2 2 3 3 8" xfId="14803" xr:uid="{3E08ADF4-3D6A-4E21-BA2F-CE759C69E754}"/>
    <cellStyle name="60% - Accent2 2 3 3 9" xfId="16693" xr:uid="{59AB8800-0722-4546-8E41-F8AAE1C2CCAB}"/>
    <cellStyle name="60% - Accent2 2 3 4" xfId="2203" xr:uid="{03CAE3A5-CC4F-458B-99D6-10BD757CEDCB}"/>
    <cellStyle name="60% - Accent2 2 3 5" xfId="4093" xr:uid="{A3E65219-8367-4971-A8E8-FBD3E033DF14}"/>
    <cellStyle name="60% - Accent2 2 3 6" xfId="5983" xr:uid="{BFACFA0A-B732-471C-A13C-7444F71518D4}"/>
    <cellStyle name="60% - Accent2 2 3 7" xfId="7873" xr:uid="{BCB8C7AB-3C13-4132-B0AC-A9042DEB26A1}"/>
    <cellStyle name="60% - Accent2 2 3 8" xfId="9763" xr:uid="{F35FE7F1-7810-4563-8AE0-F2AAEA501202}"/>
    <cellStyle name="60% - Accent2 2 3 9" xfId="11653" xr:uid="{45270DDF-C280-4509-B5FE-8164986CF844}"/>
    <cellStyle name="60% - Accent2 2 4" xfId="523" xr:uid="{F41B59C9-2BE9-48B3-BC36-014D36F0DC21}"/>
    <cellStyle name="60% - Accent2 2 4 10" xfId="13753" xr:uid="{4C5AC219-E943-4EA3-AE18-EDB1380B1A08}"/>
    <cellStyle name="60% - Accent2 2 4 11" xfId="15643" xr:uid="{5DE520E6-0E50-4A97-876F-3A7B405E3BBD}"/>
    <cellStyle name="60% - Accent2 2 4 12" xfId="17533" xr:uid="{4CF76469-6286-4170-A757-05946489212B}"/>
    <cellStyle name="60% - Accent2 2 4 13" xfId="19423" xr:uid="{19458965-69EA-4B97-BCA0-79F910D2B472}"/>
    <cellStyle name="60% - Accent2 2 4 14" xfId="21313" xr:uid="{150685AE-6F62-4F63-8CB4-DE7DB14988B5}"/>
    <cellStyle name="60% - Accent2 2 4 15" xfId="23203" xr:uid="{816741DF-030D-4823-ACF6-50FC96ABD29E}"/>
    <cellStyle name="60% - Accent2 2 4 16" xfId="25093" xr:uid="{533F5DF4-EE51-4443-90FF-952F119300AD}"/>
    <cellStyle name="60% - Accent2 2 4 17" xfId="26983" xr:uid="{358D0BC1-AD60-43C7-9BA7-65A7EC04F4E0}"/>
    <cellStyle name="60% - Accent2 2 4 18" xfId="28873" xr:uid="{3358C654-1414-43E3-A9C8-A71982CA9463}"/>
    <cellStyle name="60% - Accent2 2 4 19" xfId="30763" xr:uid="{D7C814B3-5FC2-4492-AE14-FDDBF1B1BC21}"/>
    <cellStyle name="60% - Accent2 2 4 2" xfId="1153" xr:uid="{5E6A6617-177C-467C-BAFC-AB823F819646}"/>
    <cellStyle name="60% - Accent2 2 4 2 10" xfId="18163" xr:uid="{4AB6EF82-72AA-42FB-8CC1-7124FC6D132A}"/>
    <cellStyle name="60% - Accent2 2 4 2 11" xfId="20053" xr:uid="{7FF37D59-A8E3-48B1-A6E5-73485659B571}"/>
    <cellStyle name="60% - Accent2 2 4 2 12" xfId="21943" xr:uid="{003DAAAF-CAA4-4E67-A1F3-7C3ED8CD667C}"/>
    <cellStyle name="60% - Accent2 2 4 2 13" xfId="23833" xr:uid="{2142EFF9-D236-42D9-95D1-CA26E7B3BE94}"/>
    <cellStyle name="60% - Accent2 2 4 2 14" xfId="25723" xr:uid="{9996606C-610F-4CD0-B1DB-695E217CFE67}"/>
    <cellStyle name="60% - Accent2 2 4 2 15" xfId="27613" xr:uid="{749F8E43-ACCF-450F-A1E4-3BC7AD0FF020}"/>
    <cellStyle name="60% - Accent2 2 4 2 16" xfId="29503" xr:uid="{9230D0F1-A25B-4D68-98BF-2DA8EF11700A}"/>
    <cellStyle name="60% - Accent2 2 4 2 17" xfId="31393" xr:uid="{96EE2AAD-514D-436D-8E9A-1FFCF6D4FF52}"/>
    <cellStyle name="60% - Accent2 2 4 2 18" xfId="33283" xr:uid="{243982CE-3CDF-458B-9A9F-272D23AF5823}"/>
    <cellStyle name="60% - Accent2 2 4 2 19" xfId="35173" xr:uid="{7500840B-1083-4A2F-8791-089EA2E65690}"/>
    <cellStyle name="60% - Accent2 2 4 2 2" xfId="3043" xr:uid="{B90E33BF-90ED-44DC-9F43-9A2B5BC7AB42}"/>
    <cellStyle name="60% - Accent2 2 4 2 20" xfId="37063" xr:uid="{BB9D4654-6D8C-417E-B4DF-0294C0B6680A}"/>
    <cellStyle name="60% - Accent2 2 4 2 21" xfId="38953" xr:uid="{227FED31-0264-4E5B-B61F-E170D6C6B909}"/>
    <cellStyle name="60% - Accent2 2 4 2 22" xfId="40844" xr:uid="{2BD64D2D-A478-4CDB-900F-F8EE0A95FDF1}"/>
    <cellStyle name="60% - Accent2 2 4 2 3" xfId="4933" xr:uid="{AEF7AE0B-67EE-423E-BEA1-C79E03AA868C}"/>
    <cellStyle name="60% - Accent2 2 4 2 4" xfId="6823" xr:uid="{0CCC55CF-4870-49E3-B999-10CEBA2139F5}"/>
    <cellStyle name="60% - Accent2 2 4 2 5" xfId="8713" xr:uid="{550ADB14-7022-4216-A925-2D4EA037DABD}"/>
    <cellStyle name="60% - Accent2 2 4 2 6" xfId="10603" xr:uid="{273ACB5B-A454-4F64-9594-41A9E165F14F}"/>
    <cellStyle name="60% - Accent2 2 4 2 7" xfId="12493" xr:uid="{426D47D1-AE82-4C8D-8585-56F2F83403BB}"/>
    <cellStyle name="60% - Accent2 2 4 2 8" xfId="14383" xr:uid="{B506F977-4F97-4B7A-9F1B-02B5C73EDA02}"/>
    <cellStyle name="60% - Accent2 2 4 2 9" xfId="16273" xr:uid="{0DC5A231-25B5-487E-A525-9E042A460671}"/>
    <cellStyle name="60% - Accent2 2 4 20" xfId="32653" xr:uid="{D4A9094B-71DF-468C-9132-B5139B679F18}"/>
    <cellStyle name="60% - Accent2 2 4 21" xfId="34543" xr:uid="{1C3CBABB-1147-4347-B83D-D286353194B9}"/>
    <cellStyle name="60% - Accent2 2 4 22" xfId="36433" xr:uid="{B6E56C6D-95F6-4C6D-9AD3-69F9623F9A54}"/>
    <cellStyle name="60% - Accent2 2 4 23" xfId="38323" xr:uid="{7C89A81B-481E-4113-842C-2264BD073F5C}"/>
    <cellStyle name="60% - Accent2 2 4 24" xfId="40214" xr:uid="{03564343-2839-478C-820C-CF2F2E478A32}"/>
    <cellStyle name="60% - Accent2 2 4 3" xfId="1783" xr:uid="{421C04F9-375B-4FE7-9772-A646D64ACA1C}"/>
    <cellStyle name="60% - Accent2 2 4 3 10" xfId="18793" xr:uid="{7EB80335-E376-400B-B873-D10271FF7E17}"/>
    <cellStyle name="60% - Accent2 2 4 3 11" xfId="20683" xr:uid="{B514F44F-F191-49F7-A692-87DE52AFFF5B}"/>
    <cellStyle name="60% - Accent2 2 4 3 12" xfId="22573" xr:uid="{3A0E03F6-AC0E-4EAC-BE8B-1FB7305C3286}"/>
    <cellStyle name="60% - Accent2 2 4 3 13" xfId="24463" xr:uid="{03C55E7E-BE96-422A-A7E4-3A0D1AFFEF6F}"/>
    <cellStyle name="60% - Accent2 2 4 3 14" xfId="26353" xr:uid="{51EB421C-BD6C-4360-B6A1-FEF0EC9462A6}"/>
    <cellStyle name="60% - Accent2 2 4 3 15" xfId="28243" xr:uid="{AF33929C-399B-462B-ADA5-9531F0040254}"/>
    <cellStyle name="60% - Accent2 2 4 3 16" xfId="30133" xr:uid="{A15A1F50-6B12-4EEE-82D2-60156A1B68B4}"/>
    <cellStyle name="60% - Accent2 2 4 3 17" xfId="32023" xr:uid="{F764DE8D-E87F-4CEA-B780-B1EFE25B61F7}"/>
    <cellStyle name="60% - Accent2 2 4 3 18" xfId="33913" xr:uid="{5CA61055-E8DA-471C-8D41-5BB7826AEC3A}"/>
    <cellStyle name="60% - Accent2 2 4 3 19" xfId="35803" xr:uid="{02EC1445-AE23-44DA-8B70-6A5837051E89}"/>
    <cellStyle name="60% - Accent2 2 4 3 2" xfId="3673" xr:uid="{595708CF-964F-4E39-9590-D00B0981A28C}"/>
    <cellStyle name="60% - Accent2 2 4 3 20" xfId="37693" xr:uid="{2C3C9079-161A-438C-B81F-FEF8D89BFAF9}"/>
    <cellStyle name="60% - Accent2 2 4 3 21" xfId="39583" xr:uid="{BBBA576E-5BDF-4503-BA29-62AAA22026F3}"/>
    <cellStyle name="60% - Accent2 2 4 3 22" xfId="41474" xr:uid="{D5962318-9406-4B74-81D5-8874AB9EFEC4}"/>
    <cellStyle name="60% - Accent2 2 4 3 3" xfId="5563" xr:uid="{EFA2F5AF-0E69-4DBF-84CB-0A8DF1A2CDBE}"/>
    <cellStyle name="60% - Accent2 2 4 3 4" xfId="7453" xr:uid="{D28570EC-5A61-4F9C-A8BD-2D4E5025CF15}"/>
    <cellStyle name="60% - Accent2 2 4 3 5" xfId="9343" xr:uid="{A6B1C993-B8D4-40B1-8F41-43C7353A0D9B}"/>
    <cellStyle name="60% - Accent2 2 4 3 6" xfId="11233" xr:uid="{46CD3D38-AA82-454F-B086-B6846468A1CC}"/>
    <cellStyle name="60% - Accent2 2 4 3 7" xfId="13123" xr:uid="{A74538DF-908A-459D-BF33-9413BDEE3B99}"/>
    <cellStyle name="60% - Accent2 2 4 3 8" xfId="15013" xr:uid="{694B0039-B1F8-48EC-B061-6BD51CF1AA76}"/>
    <cellStyle name="60% - Accent2 2 4 3 9" xfId="16903" xr:uid="{9DA5CACC-5C98-45C4-A36C-A6F212EAD533}"/>
    <cellStyle name="60% - Accent2 2 4 4" xfId="2413" xr:uid="{22CAE660-5ED5-4E68-ABFF-A373E5BA2B63}"/>
    <cellStyle name="60% - Accent2 2 4 5" xfId="4303" xr:uid="{0702ED53-BFA4-4816-BA21-FCA180FB5AB4}"/>
    <cellStyle name="60% - Accent2 2 4 6" xfId="6193" xr:uid="{30CEC9ED-7865-4AFC-8659-ADB3E11FF81D}"/>
    <cellStyle name="60% - Accent2 2 4 7" xfId="8083" xr:uid="{C3E2A14C-386C-4E12-991C-3720E9840B21}"/>
    <cellStyle name="60% - Accent2 2 4 8" xfId="9973" xr:uid="{558E04E3-F6B6-4D6A-A286-86E8C8FB174B}"/>
    <cellStyle name="60% - Accent2 2 4 9" xfId="11863" xr:uid="{996D71D2-33EE-4EF0-88E7-35272BD20DAA}"/>
    <cellStyle name="60% - Accent2 2 5" xfId="733" xr:uid="{087315A5-F1CD-4C76-9CA0-97B2B22BF96A}"/>
    <cellStyle name="60% - Accent2 2 5 10" xfId="17743" xr:uid="{651F052F-618A-43FB-B61B-B92DCB4F674C}"/>
    <cellStyle name="60% - Accent2 2 5 11" xfId="19633" xr:uid="{FA8E2CA0-4C0D-496C-BA6F-813A84CB3B5C}"/>
    <cellStyle name="60% - Accent2 2 5 12" xfId="21523" xr:uid="{D1E3843E-8C12-4D0F-B328-89D9E2D8D995}"/>
    <cellStyle name="60% - Accent2 2 5 13" xfId="23413" xr:uid="{F4780373-228A-4678-9EDE-AD8DD7CDB7E4}"/>
    <cellStyle name="60% - Accent2 2 5 14" xfId="25303" xr:uid="{F47D663E-EC64-4875-BEFF-B28E1E6726AF}"/>
    <cellStyle name="60% - Accent2 2 5 15" xfId="27193" xr:uid="{1BADD8B1-254A-46C3-9DB9-6B4E5DC89F2F}"/>
    <cellStyle name="60% - Accent2 2 5 16" xfId="29083" xr:uid="{FEF52E2F-F28B-49ED-ACBF-7526DF1D3D89}"/>
    <cellStyle name="60% - Accent2 2 5 17" xfId="30973" xr:uid="{B1B4CCE3-556F-4C25-BAC2-11F1E7608EA8}"/>
    <cellStyle name="60% - Accent2 2 5 18" xfId="32863" xr:uid="{B7CD6C7E-7271-4B3A-BFAB-F1C01FA8ECA7}"/>
    <cellStyle name="60% - Accent2 2 5 19" xfId="34753" xr:uid="{0E24EFB7-4ACB-49BA-883B-20532086632C}"/>
    <cellStyle name="60% - Accent2 2 5 2" xfId="2623" xr:uid="{BD844042-A3E3-4D01-B26C-7A566646A6A9}"/>
    <cellStyle name="60% - Accent2 2 5 20" xfId="36643" xr:uid="{36576B1F-E8A4-4D4F-ADAA-BEC06F6A4D6B}"/>
    <cellStyle name="60% - Accent2 2 5 21" xfId="38533" xr:uid="{D8D7CB04-C00A-4CEC-9070-EE3FC1A46052}"/>
    <cellStyle name="60% - Accent2 2 5 22" xfId="40424" xr:uid="{536688DB-47F0-4F07-8A51-D3B5042F4C34}"/>
    <cellStyle name="60% - Accent2 2 5 3" xfId="4513" xr:uid="{183F1927-F3AF-42C3-977F-2F69F96B1106}"/>
    <cellStyle name="60% - Accent2 2 5 4" xfId="6403" xr:uid="{3B591FA4-C10B-4C64-95D3-E026E4D602F2}"/>
    <cellStyle name="60% - Accent2 2 5 5" xfId="8293" xr:uid="{CF9FDB84-6648-4442-8207-A7CA3629D2BF}"/>
    <cellStyle name="60% - Accent2 2 5 6" xfId="10183" xr:uid="{235B85E7-E294-4C5F-AA69-0FAD509D2228}"/>
    <cellStyle name="60% - Accent2 2 5 7" xfId="12073" xr:uid="{0ADBECE5-E153-498F-B278-B74061C61566}"/>
    <cellStyle name="60% - Accent2 2 5 8" xfId="13963" xr:uid="{1D2D2DE2-B920-4358-9AE9-731A9B6F56B8}"/>
    <cellStyle name="60% - Accent2 2 5 9" xfId="15853" xr:uid="{AC03C96F-2B94-4E11-A22B-FC76C194B970}"/>
    <cellStyle name="60% - Accent2 2 6" xfId="1363" xr:uid="{4E72E06A-C82E-4349-BC62-CB6B3E0C1842}"/>
    <cellStyle name="60% - Accent2 2 6 10" xfId="18373" xr:uid="{63F1E2FB-CEE8-49D8-B2D8-BB0509BE7F90}"/>
    <cellStyle name="60% - Accent2 2 6 11" xfId="20263" xr:uid="{029919B0-A6F7-49D6-BCF8-DE50CBBDD642}"/>
    <cellStyle name="60% - Accent2 2 6 12" xfId="22153" xr:uid="{E90C9A27-825B-4FB6-8568-E6D2813AD8B3}"/>
    <cellStyle name="60% - Accent2 2 6 13" xfId="24043" xr:uid="{8A8A5AAB-5FC9-478F-856B-63C09E0341C1}"/>
    <cellStyle name="60% - Accent2 2 6 14" xfId="25933" xr:uid="{08681912-06DE-400A-A7A2-65BE9FEF0A57}"/>
    <cellStyle name="60% - Accent2 2 6 15" xfId="27823" xr:uid="{32CA82A4-2596-4133-8D42-8100C6F0DC75}"/>
    <cellStyle name="60% - Accent2 2 6 16" xfId="29713" xr:uid="{D18FCBC5-AB95-4C86-AD73-D766565C45F9}"/>
    <cellStyle name="60% - Accent2 2 6 17" xfId="31603" xr:uid="{D55A60C0-8922-4FB0-869F-ABFE17FD0141}"/>
    <cellStyle name="60% - Accent2 2 6 18" xfId="33493" xr:uid="{6818931B-3276-45DB-B752-03E036FB5DCD}"/>
    <cellStyle name="60% - Accent2 2 6 19" xfId="35383" xr:uid="{496FC282-CFE0-4C6C-92AE-1728AEA7D8F1}"/>
    <cellStyle name="60% - Accent2 2 6 2" xfId="3253" xr:uid="{0CE530CA-5622-4896-A4FD-4E0C8E9964E1}"/>
    <cellStyle name="60% - Accent2 2 6 20" xfId="37273" xr:uid="{DEB541BB-E2BE-4D87-A972-FFB222C6C97B}"/>
    <cellStyle name="60% - Accent2 2 6 21" xfId="39163" xr:uid="{BAEC4F95-A7AA-43DF-9DB2-65075EF92790}"/>
    <cellStyle name="60% - Accent2 2 6 22" xfId="41054" xr:uid="{A067D98D-E480-476E-B4DA-78C7CE7FAFAD}"/>
    <cellStyle name="60% - Accent2 2 6 3" xfId="5143" xr:uid="{7CFDD5B5-E628-4FE5-B4FE-4FAA70A54A42}"/>
    <cellStyle name="60% - Accent2 2 6 4" xfId="7033" xr:uid="{2B35F95D-9DD5-4CE9-A8BC-4839ADC7A8A7}"/>
    <cellStyle name="60% - Accent2 2 6 5" xfId="8923" xr:uid="{DE7CBDD3-692C-4983-A5B3-06560A51C702}"/>
    <cellStyle name="60% - Accent2 2 6 6" xfId="10813" xr:uid="{7FD49536-0718-47FF-9096-0652CEC31A74}"/>
    <cellStyle name="60% - Accent2 2 6 7" xfId="12703" xr:uid="{CFC80205-2D63-422C-8A2B-50BDFE40F681}"/>
    <cellStyle name="60% - Accent2 2 6 8" xfId="14593" xr:uid="{3414861F-E8F1-42CD-B57F-5D0ED07FF1D0}"/>
    <cellStyle name="60% - Accent2 2 6 9" xfId="16483" xr:uid="{C21AAABC-29BE-40B7-9F62-9957D271B9F6}"/>
    <cellStyle name="60% - Accent2 2 7" xfId="1993" xr:uid="{259B4485-9148-408F-ACA6-8BD0B28E5F47}"/>
    <cellStyle name="60% - Accent2 2 8" xfId="3883" xr:uid="{2690A3E9-8EA7-45B5-9339-BE0CDEE4AD84}"/>
    <cellStyle name="60% - Accent2 2 9" xfId="5773" xr:uid="{7C445F43-C873-4AE0-8B69-EB13D65220E6}"/>
    <cellStyle name="60% - Accent2 20" xfId="22761" xr:uid="{59C1A4A3-6516-4617-A8B6-C147AA7F8EE7}"/>
    <cellStyle name="60% - Accent2 21" xfId="24651" xr:uid="{30088EBE-08B5-4C7F-89EE-5262A2BC7680}"/>
    <cellStyle name="60% - Accent2 22" xfId="26541" xr:uid="{35C9EC99-010C-49DA-B9E6-45584A40547E}"/>
    <cellStyle name="60% - Accent2 23" xfId="28431" xr:uid="{DBFCF0E7-7E7F-4C40-BA09-7C335450DA84}"/>
    <cellStyle name="60% - Accent2 24" xfId="30321" xr:uid="{02D90C48-78BC-4BC7-8F40-59CCE97E0FAC}"/>
    <cellStyle name="60% - Accent2 25" xfId="32211" xr:uid="{6280A78F-A7E5-4950-AF4B-02F7ABBB4FCC}"/>
    <cellStyle name="60% - Accent2 26" xfId="34101" xr:uid="{CF354491-7F57-4444-9987-91C0F2D6FFEB}"/>
    <cellStyle name="60% - Accent2 27" xfId="35991" xr:uid="{896E51E1-6C79-43A8-AB0F-66ABEB38C3AD}"/>
    <cellStyle name="60% - Accent2 28" xfId="37881" xr:uid="{38DB76B5-0753-46DF-81DA-AA924D452EA2}"/>
    <cellStyle name="60% - Accent2 29" xfId="39772" xr:uid="{8C48BCE0-95B5-44FE-90E7-B1234358FB4C}"/>
    <cellStyle name="60% - Accent2 3" xfId="123" xr:uid="{4102BD2D-D665-4585-826B-B244A4597739}"/>
    <cellStyle name="60% - Accent2 3 10" xfId="7683" xr:uid="{B320823D-27BE-45C9-9E30-69117BF11972}"/>
    <cellStyle name="60% - Accent2 3 11" xfId="9573" xr:uid="{B887374E-C90A-4D80-9789-43FB5C811568}"/>
    <cellStyle name="60% - Accent2 3 12" xfId="11463" xr:uid="{5A56DC56-537F-460F-AECC-021D39B76481}"/>
    <cellStyle name="60% - Accent2 3 13" xfId="13353" xr:uid="{0F0E6FB1-E795-4702-AE9F-EFAFC570E469}"/>
    <cellStyle name="60% - Accent2 3 14" xfId="15243" xr:uid="{3E534074-67C9-4AFA-B089-5291446C3B92}"/>
    <cellStyle name="60% - Accent2 3 15" xfId="17133" xr:uid="{179A7DE1-0CD2-4E23-8BB4-ACBF89B656BF}"/>
    <cellStyle name="60% - Accent2 3 16" xfId="19023" xr:uid="{5EE4D327-7CCA-4E00-B5A1-369950B7AA0C}"/>
    <cellStyle name="60% - Accent2 3 17" xfId="20913" xr:uid="{80709B09-2D29-4B17-8469-6AA0C7FE1BDF}"/>
    <cellStyle name="60% - Accent2 3 18" xfId="22803" xr:uid="{605F4FBB-9F78-4F33-BFF8-53EC8BDE6CD4}"/>
    <cellStyle name="60% - Accent2 3 19" xfId="24693" xr:uid="{BC3EA141-AB65-46DB-8810-BC260B46DBF7}"/>
    <cellStyle name="60% - Accent2 3 2" xfId="228" xr:uid="{79EC18FB-4753-418E-8E99-E536C4F633D4}"/>
    <cellStyle name="60% - Accent2 3 2 10" xfId="9678" xr:uid="{1437304B-BC2B-48B4-850A-52474CA4F4B8}"/>
    <cellStyle name="60% - Accent2 3 2 11" xfId="11568" xr:uid="{14E355F8-B5B2-4FE1-A8B4-CD0D1DE73305}"/>
    <cellStyle name="60% - Accent2 3 2 12" xfId="13458" xr:uid="{75942BC2-66A2-4E57-A639-8B15A3392ECD}"/>
    <cellStyle name="60% - Accent2 3 2 13" xfId="15348" xr:uid="{F6E74C66-EF6F-4638-8689-7FEF2C1198E6}"/>
    <cellStyle name="60% - Accent2 3 2 14" xfId="17238" xr:uid="{C56F63D2-CAF0-4CB9-AEF4-4768CA7DD7DB}"/>
    <cellStyle name="60% - Accent2 3 2 15" xfId="19128" xr:uid="{EF0B8F6B-641F-47FD-8C92-FC8751E495B1}"/>
    <cellStyle name="60% - Accent2 3 2 16" xfId="21018" xr:uid="{ABB64906-7951-42AC-9431-CB62FA25BF52}"/>
    <cellStyle name="60% - Accent2 3 2 17" xfId="22908" xr:uid="{9F9199E4-BE77-4C75-A7AA-34C9D40B430C}"/>
    <cellStyle name="60% - Accent2 3 2 18" xfId="24798" xr:uid="{38B299CB-DC26-46A5-8E8A-3F563920C15D}"/>
    <cellStyle name="60% - Accent2 3 2 19" xfId="26688" xr:uid="{0BF8EB1F-0B39-4D65-AFEB-6DA8E8404450}"/>
    <cellStyle name="60% - Accent2 3 2 2" xfId="438" xr:uid="{1EF3E601-46B9-4096-976C-31FDD0B6057B}"/>
    <cellStyle name="60% - Accent2 3 2 2 10" xfId="13668" xr:uid="{DEC31744-51FD-407B-B6AD-85DE0D4CBD51}"/>
    <cellStyle name="60% - Accent2 3 2 2 11" xfId="15558" xr:uid="{208B54A8-BB52-44CD-88DE-28FE6C482937}"/>
    <cellStyle name="60% - Accent2 3 2 2 12" xfId="17448" xr:uid="{4FCCF35F-A748-4F33-AE7A-1BD22FDFB16C}"/>
    <cellStyle name="60% - Accent2 3 2 2 13" xfId="19338" xr:uid="{5FBAF141-D004-485D-95E6-B7860F1D4A72}"/>
    <cellStyle name="60% - Accent2 3 2 2 14" xfId="21228" xr:uid="{450479CD-B917-45C6-AB39-F6DB5F4865F7}"/>
    <cellStyle name="60% - Accent2 3 2 2 15" xfId="23118" xr:uid="{CD98803C-6D3C-4BAE-B46D-182141645C67}"/>
    <cellStyle name="60% - Accent2 3 2 2 16" xfId="25008" xr:uid="{8E9D525B-B93B-4C51-8324-20411D73F6C0}"/>
    <cellStyle name="60% - Accent2 3 2 2 17" xfId="26898" xr:uid="{53969FF9-DFA4-42C1-9BE8-060216813785}"/>
    <cellStyle name="60% - Accent2 3 2 2 18" xfId="28788" xr:uid="{3FFC27B6-37AC-4F38-899E-C7C8F5A8E832}"/>
    <cellStyle name="60% - Accent2 3 2 2 19" xfId="30678" xr:uid="{FF902B47-0F4D-4B24-950D-6AFF6B51A41D}"/>
    <cellStyle name="60% - Accent2 3 2 2 2" xfId="1068" xr:uid="{95F75015-5398-4C0D-87F0-39B5ED468D0B}"/>
    <cellStyle name="60% - Accent2 3 2 2 2 10" xfId="18078" xr:uid="{22EA4DAF-F3D9-485B-9359-97FDC2FBCF8A}"/>
    <cellStyle name="60% - Accent2 3 2 2 2 11" xfId="19968" xr:uid="{36A524EE-A9F3-41A5-A57A-32A48AF0A152}"/>
    <cellStyle name="60% - Accent2 3 2 2 2 12" xfId="21858" xr:uid="{0E390375-2694-4C7D-873D-100CF951D290}"/>
    <cellStyle name="60% - Accent2 3 2 2 2 13" xfId="23748" xr:uid="{6C134AD7-7705-4EE3-8DBF-853862120C15}"/>
    <cellStyle name="60% - Accent2 3 2 2 2 14" xfId="25638" xr:uid="{ADB8379D-B28E-408F-BEA6-DA2B644D04C4}"/>
    <cellStyle name="60% - Accent2 3 2 2 2 15" xfId="27528" xr:uid="{1E4B2244-9333-497F-AAED-B12EC655902A}"/>
    <cellStyle name="60% - Accent2 3 2 2 2 16" xfId="29418" xr:uid="{820EAE86-44BE-4EA4-B55E-8E092B572042}"/>
    <cellStyle name="60% - Accent2 3 2 2 2 17" xfId="31308" xr:uid="{23FB5597-DBC3-4FE9-B17B-E12352AD5109}"/>
    <cellStyle name="60% - Accent2 3 2 2 2 18" xfId="33198" xr:uid="{CD3F203D-C46E-43EF-BA8A-6CC748EDD395}"/>
    <cellStyle name="60% - Accent2 3 2 2 2 19" xfId="35088" xr:uid="{F492FE68-D8EB-4026-B476-553FA3868BBC}"/>
    <cellStyle name="60% - Accent2 3 2 2 2 2" xfId="2958" xr:uid="{0F1955A5-374A-4DA1-80A9-4AE6E1C28E89}"/>
    <cellStyle name="60% - Accent2 3 2 2 2 20" xfId="36978" xr:uid="{A4B62673-6503-4A57-8F90-C2949A84911C}"/>
    <cellStyle name="60% - Accent2 3 2 2 2 21" xfId="38868" xr:uid="{E513E257-7FD1-42B5-8A1A-D90FE654BDB5}"/>
    <cellStyle name="60% - Accent2 3 2 2 2 22" xfId="40759" xr:uid="{BF71F242-C22C-45AC-9205-B3964CA65637}"/>
    <cellStyle name="60% - Accent2 3 2 2 2 3" xfId="4848" xr:uid="{E0850790-3ABC-428C-AD55-4D0BA5A52B42}"/>
    <cellStyle name="60% - Accent2 3 2 2 2 4" xfId="6738" xr:uid="{7FB6E5BC-8498-4347-95AE-52D62339540E}"/>
    <cellStyle name="60% - Accent2 3 2 2 2 5" xfId="8628" xr:uid="{09A0B397-C9F2-47F4-AE55-3CEA0097F217}"/>
    <cellStyle name="60% - Accent2 3 2 2 2 6" xfId="10518" xr:uid="{1F96F9E8-33D9-4939-A177-9FF34B60310D}"/>
    <cellStyle name="60% - Accent2 3 2 2 2 7" xfId="12408" xr:uid="{0FE9030A-1DF8-4EFE-834B-A2868B25B28B}"/>
    <cellStyle name="60% - Accent2 3 2 2 2 8" xfId="14298" xr:uid="{91A5BB70-11BB-4741-98C3-56D707389827}"/>
    <cellStyle name="60% - Accent2 3 2 2 2 9" xfId="16188" xr:uid="{C5244ECC-23B4-451E-B7F3-825A72DD1A20}"/>
    <cellStyle name="60% - Accent2 3 2 2 20" xfId="32568" xr:uid="{EAACBD89-9B2D-46B0-B2CB-6DCD21102AF4}"/>
    <cellStyle name="60% - Accent2 3 2 2 21" xfId="34458" xr:uid="{4FCB1B00-B800-43F8-910E-CF6F9D29989A}"/>
    <cellStyle name="60% - Accent2 3 2 2 22" xfId="36348" xr:uid="{3E55EF22-88D1-4D9D-BFAD-8AA5B71F9561}"/>
    <cellStyle name="60% - Accent2 3 2 2 23" xfId="38238" xr:uid="{D4BDE77C-2977-4919-9C46-14286DA477BB}"/>
    <cellStyle name="60% - Accent2 3 2 2 24" xfId="40129" xr:uid="{5E9E02F7-6D17-42FE-83F7-CDAD5F46A55B}"/>
    <cellStyle name="60% - Accent2 3 2 2 3" xfId="1698" xr:uid="{8A04458A-4DEF-4BB3-9D7D-99FBAC2E3C27}"/>
    <cellStyle name="60% - Accent2 3 2 2 3 10" xfId="18708" xr:uid="{0378C862-12E0-4545-9730-AA7F207FF372}"/>
    <cellStyle name="60% - Accent2 3 2 2 3 11" xfId="20598" xr:uid="{69C07233-21EB-4199-9176-4FEF4285EB28}"/>
    <cellStyle name="60% - Accent2 3 2 2 3 12" xfId="22488" xr:uid="{46117783-EC5E-4232-AD13-C133677B754F}"/>
    <cellStyle name="60% - Accent2 3 2 2 3 13" xfId="24378" xr:uid="{8D511C79-9E30-44FA-B99B-928412576D1A}"/>
    <cellStyle name="60% - Accent2 3 2 2 3 14" xfId="26268" xr:uid="{CF635984-6AF5-4082-B049-4C278770008F}"/>
    <cellStyle name="60% - Accent2 3 2 2 3 15" xfId="28158" xr:uid="{002915B3-A17E-432F-A964-AAE886C6FC3E}"/>
    <cellStyle name="60% - Accent2 3 2 2 3 16" xfId="30048" xr:uid="{BB49B767-0864-473C-A37A-DC0F9A7F1035}"/>
    <cellStyle name="60% - Accent2 3 2 2 3 17" xfId="31938" xr:uid="{6C9B4E53-11FC-410E-9529-5C53669664AC}"/>
    <cellStyle name="60% - Accent2 3 2 2 3 18" xfId="33828" xr:uid="{19246D78-79A8-4FB8-B6D9-260A591BD1F7}"/>
    <cellStyle name="60% - Accent2 3 2 2 3 19" xfId="35718" xr:uid="{C81C613E-0D8E-46E1-AAC6-39692683A4B8}"/>
    <cellStyle name="60% - Accent2 3 2 2 3 2" xfId="3588" xr:uid="{FE921092-B828-4597-8004-D31CC7A05017}"/>
    <cellStyle name="60% - Accent2 3 2 2 3 20" xfId="37608" xr:uid="{42A0D078-A52D-44C8-AFB8-E006B1AA7D07}"/>
    <cellStyle name="60% - Accent2 3 2 2 3 21" xfId="39498" xr:uid="{C3F35BD3-E8B4-469B-8026-D60A08160959}"/>
    <cellStyle name="60% - Accent2 3 2 2 3 22" xfId="41389" xr:uid="{52B417E4-E452-4C50-9041-F84363752693}"/>
    <cellStyle name="60% - Accent2 3 2 2 3 3" xfId="5478" xr:uid="{EF0ED595-EC7F-47A9-8FC3-0E36AD8590DE}"/>
    <cellStyle name="60% - Accent2 3 2 2 3 4" xfId="7368" xr:uid="{4FC40743-531B-43FC-8F46-6540C0DB5D24}"/>
    <cellStyle name="60% - Accent2 3 2 2 3 5" xfId="9258" xr:uid="{B6849BD4-1FEC-48D0-B0DE-20F7AC6CD750}"/>
    <cellStyle name="60% - Accent2 3 2 2 3 6" xfId="11148" xr:uid="{CDF0DCDF-C224-48A6-90C7-832C6601F4B7}"/>
    <cellStyle name="60% - Accent2 3 2 2 3 7" xfId="13038" xr:uid="{EFF932ED-9351-45F3-B764-F6929E8E6F16}"/>
    <cellStyle name="60% - Accent2 3 2 2 3 8" xfId="14928" xr:uid="{9A2A5F3D-4B8C-4CD0-BF01-D0119D947EE4}"/>
    <cellStyle name="60% - Accent2 3 2 2 3 9" xfId="16818" xr:uid="{ADEFE707-DCB8-4781-B2AD-2662B6361592}"/>
    <cellStyle name="60% - Accent2 3 2 2 4" xfId="2328" xr:uid="{8A7BE9C0-1763-4893-B0DE-DEF6C3751878}"/>
    <cellStyle name="60% - Accent2 3 2 2 5" xfId="4218" xr:uid="{8792F3E3-6CF7-4862-959F-182010951716}"/>
    <cellStyle name="60% - Accent2 3 2 2 6" xfId="6108" xr:uid="{911D51E7-A28C-45CC-B0C8-C18C0FA4DFA9}"/>
    <cellStyle name="60% - Accent2 3 2 2 7" xfId="7998" xr:uid="{7EEC46FC-9DA5-404E-AE88-977EEA3D0A87}"/>
    <cellStyle name="60% - Accent2 3 2 2 8" xfId="9888" xr:uid="{D254DC1B-AC31-4527-9171-2814C34F182D}"/>
    <cellStyle name="60% - Accent2 3 2 2 9" xfId="11778" xr:uid="{A065E40D-6D41-4D83-89AF-C807A0428780}"/>
    <cellStyle name="60% - Accent2 3 2 20" xfId="28578" xr:uid="{8B4D6535-1B9A-4617-A98E-FB7AC03CD6FB}"/>
    <cellStyle name="60% - Accent2 3 2 21" xfId="30468" xr:uid="{9D198A90-ED63-44A9-B0F3-78771DB41B2B}"/>
    <cellStyle name="60% - Accent2 3 2 22" xfId="32358" xr:uid="{CA042027-E4A4-4CDC-8FC7-F5294AB5D12A}"/>
    <cellStyle name="60% - Accent2 3 2 23" xfId="34248" xr:uid="{2EBD826D-5231-4913-8F6B-C5C19370A905}"/>
    <cellStyle name="60% - Accent2 3 2 24" xfId="36138" xr:uid="{67C941F2-51C8-4708-BF9C-289A03F10CDB}"/>
    <cellStyle name="60% - Accent2 3 2 25" xfId="38028" xr:uid="{589A82FC-AFDA-45BE-BF2E-FA235E03B35E}"/>
    <cellStyle name="60% - Accent2 3 2 26" xfId="39919" xr:uid="{00F6C3BC-65FF-46DD-94B8-6A4F3CB3BD3F}"/>
    <cellStyle name="60% - Accent2 3 2 3" xfId="648" xr:uid="{88EFD145-34B1-4629-903E-D2F01C11B26B}"/>
    <cellStyle name="60% - Accent2 3 2 3 10" xfId="13878" xr:uid="{7EE0D3F1-FA7C-4657-BA84-DE45B889796E}"/>
    <cellStyle name="60% - Accent2 3 2 3 11" xfId="15768" xr:uid="{B3C37756-C308-4BA0-BC19-D36D63E8F9AA}"/>
    <cellStyle name="60% - Accent2 3 2 3 12" xfId="17658" xr:uid="{9C296F0A-E356-453A-955A-3BE10023A107}"/>
    <cellStyle name="60% - Accent2 3 2 3 13" xfId="19548" xr:uid="{CA150CB2-0153-4363-A8D0-50850B55ADE2}"/>
    <cellStyle name="60% - Accent2 3 2 3 14" xfId="21438" xr:uid="{24B83EB7-1051-4231-80EA-53BE121BE26B}"/>
    <cellStyle name="60% - Accent2 3 2 3 15" xfId="23328" xr:uid="{5B19D339-1968-4C44-A068-3F031BEDF808}"/>
    <cellStyle name="60% - Accent2 3 2 3 16" xfId="25218" xr:uid="{6E662633-A56E-472E-9518-199D16B3F8A9}"/>
    <cellStyle name="60% - Accent2 3 2 3 17" xfId="27108" xr:uid="{391105FB-6FC4-4E4E-B8BB-B0948DCD56FC}"/>
    <cellStyle name="60% - Accent2 3 2 3 18" xfId="28998" xr:uid="{352217F2-F7F6-4F46-928C-1DA7E9C212AD}"/>
    <cellStyle name="60% - Accent2 3 2 3 19" xfId="30888" xr:uid="{E2A016B4-B3D6-40BA-A664-2A37658F65DE}"/>
    <cellStyle name="60% - Accent2 3 2 3 2" xfId="1278" xr:uid="{582D07B3-A082-476C-99FA-C619EDA99035}"/>
    <cellStyle name="60% - Accent2 3 2 3 2 10" xfId="18288" xr:uid="{29B5054D-B95D-4EB6-91D7-135B193274D5}"/>
    <cellStyle name="60% - Accent2 3 2 3 2 11" xfId="20178" xr:uid="{D819A1D1-216C-402B-BA9D-F8E671A8BF19}"/>
    <cellStyle name="60% - Accent2 3 2 3 2 12" xfId="22068" xr:uid="{7663D6AC-4DE9-47C4-B49B-FF54535BDC7F}"/>
    <cellStyle name="60% - Accent2 3 2 3 2 13" xfId="23958" xr:uid="{5C05E38A-7390-436A-9759-E6BA55B86553}"/>
    <cellStyle name="60% - Accent2 3 2 3 2 14" xfId="25848" xr:uid="{F9A122C5-E7B0-4406-AA3F-BAB22081CB34}"/>
    <cellStyle name="60% - Accent2 3 2 3 2 15" xfId="27738" xr:uid="{D87980AD-55ED-4409-B500-1CB2DF92C76A}"/>
    <cellStyle name="60% - Accent2 3 2 3 2 16" xfId="29628" xr:uid="{C925D3CF-B14C-4F04-A9FD-CD07B57D096E}"/>
    <cellStyle name="60% - Accent2 3 2 3 2 17" xfId="31518" xr:uid="{999F684C-7318-40AD-821F-84216EA1A33F}"/>
    <cellStyle name="60% - Accent2 3 2 3 2 18" xfId="33408" xr:uid="{F5BF343A-6AAD-417A-97A8-73C09D321318}"/>
    <cellStyle name="60% - Accent2 3 2 3 2 19" xfId="35298" xr:uid="{AA3C9F37-FF9E-4243-B0D8-F8D6EBCD2803}"/>
    <cellStyle name="60% - Accent2 3 2 3 2 2" xfId="3168" xr:uid="{81FD4931-5362-4381-A0A6-E1EE6B776FA9}"/>
    <cellStyle name="60% - Accent2 3 2 3 2 20" xfId="37188" xr:uid="{2B50AE6E-62B1-4E63-BE44-3F12BC8B5C2D}"/>
    <cellStyle name="60% - Accent2 3 2 3 2 21" xfId="39078" xr:uid="{2470629F-2470-4D8A-867A-7C51CBD4768D}"/>
    <cellStyle name="60% - Accent2 3 2 3 2 22" xfId="40969" xr:uid="{354D3C67-A1D5-4EAC-8B51-E2A7105BD668}"/>
    <cellStyle name="60% - Accent2 3 2 3 2 3" xfId="5058" xr:uid="{A4C0DC95-D4D7-4788-A131-F6E9A1D7F4D3}"/>
    <cellStyle name="60% - Accent2 3 2 3 2 4" xfId="6948" xr:uid="{1EEDD1C3-ACDD-4B46-B699-35FC7185AFE5}"/>
    <cellStyle name="60% - Accent2 3 2 3 2 5" xfId="8838" xr:uid="{E07D4E58-8FCE-43C4-BAF4-7E1CF2F96B20}"/>
    <cellStyle name="60% - Accent2 3 2 3 2 6" xfId="10728" xr:uid="{C291D4F1-8371-4B5E-9C76-6D3492FDA5CE}"/>
    <cellStyle name="60% - Accent2 3 2 3 2 7" xfId="12618" xr:uid="{790E6C10-AB0C-49FA-80CF-3A4840E6C86A}"/>
    <cellStyle name="60% - Accent2 3 2 3 2 8" xfId="14508" xr:uid="{3AF50EC1-5615-4C2D-8BCF-F27005F53C23}"/>
    <cellStyle name="60% - Accent2 3 2 3 2 9" xfId="16398" xr:uid="{97BD8D01-5693-4FB1-AAB3-574BE4E24D6F}"/>
    <cellStyle name="60% - Accent2 3 2 3 20" xfId="32778" xr:uid="{6E888E08-7B15-4548-9092-C2D0272A7D9C}"/>
    <cellStyle name="60% - Accent2 3 2 3 21" xfId="34668" xr:uid="{80987B3B-5111-4E6C-AF03-38E3F0C266FA}"/>
    <cellStyle name="60% - Accent2 3 2 3 22" xfId="36558" xr:uid="{F46248EF-ECC1-4FDC-9F98-2659676B43D9}"/>
    <cellStyle name="60% - Accent2 3 2 3 23" xfId="38448" xr:uid="{66207DF8-556B-4A23-9A29-9339B98050BC}"/>
    <cellStyle name="60% - Accent2 3 2 3 24" xfId="40339" xr:uid="{3978E65F-694B-4BB7-9701-28507B4F7644}"/>
    <cellStyle name="60% - Accent2 3 2 3 3" xfId="1908" xr:uid="{B69495E0-0001-4C53-BD93-2442D360434E}"/>
    <cellStyle name="60% - Accent2 3 2 3 3 10" xfId="18918" xr:uid="{E21E6AAD-E9D3-4A40-B00B-A4A583579FD4}"/>
    <cellStyle name="60% - Accent2 3 2 3 3 11" xfId="20808" xr:uid="{8CCF6409-23EC-4F8B-9D68-115F07EB3AE2}"/>
    <cellStyle name="60% - Accent2 3 2 3 3 12" xfId="22698" xr:uid="{5F1F75B7-35F7-4494-988A-25481AB133C6}"/>
    <cellStyle name="60% - Accent2 3 2 3 3 13" xfId="24588" xr:uid="{2692FEBA-CD2B-4645-B38E-C0A39C3F2C1B}"/>
    <cellStyle name="60% - Accent2 3 2 3 3 14" xfId="26478" xr:uid="{6A8CDCA2-3368-43FC-A3F4-3C249C6B6818}"/>
    <cellStyle name="60% - Accent2 3 2 3 3 15" xfId="28368" xr:uid="{750C6BB2-D662-462A-9CB5-5338F6AAD712}"/>
    <cellStyle name="60% - Accent2 3 2 3 3 16" xfId="30258" xr:uid="{6CDC1D36-1D3A-412D-8189-70DB3B55D069}"/>
    <cellStyle name="60% - Accent2 3 2 3 3 17" xfId="32148" xr:uid="{0F1AB9D3-8FFD-483D-A3C6-56B26BEEAB56}"/>
    <cellStyle name="60% - Accent2 3 2 3 3 18" xfId="34038" xr:uid="{CD033843-8CCC-4A1F-B6E2-DEC8E5239217}"/>
    <cellStyle name="60% - Accent2 3 2 3 3 19" xfId="35928" xr:uid="{401CDC4F-DC94-4383-8804-2403FE02C2BF}"/>
    <cellStyle name="60% - Accent2 3 2 3 3 2" xfId="3798" xr:uid="{D45E46BF-AE96-4BBE-8DB0-083744F2C5B5}"/>
    <cellStyle name="60% - Accent2 3 2 3 3 20" xfId="37818" xr:uid="{7AAECB09-25E7-43B3-9E88-3B008129135F}"/>
    <cellStyle name="60% - Accent2 3 2 3 3 21" xfId="39708" xr:uid="{11E7584A-88A7-47CC-8B77-9E90727192B3}"/>
    <cellStyle name="60% - Accent2 3 2 3 3 22" xfId="41599" xr:uid="{814B7687-F830-4652-9BC9-935D6ACC1E01}"/>
    <cellStyle name="60% - Accent2 3 2 3 3 3" xfId="5688" xr:uid="{C326DEA6-5DF7-4405-A142-278F1EC91151}"/>
    <cellStyle name="60% - Accent2 3 2 3 3 4" xfId="7578" xr:uid="{5CDD8031-1503-4A4D-8152-A537738F0640}"/>
    <cellStyle name="60% - Accent2 3 2 3 3 5" xfId="9468" xr:uid="{58AB0B3C-1890-4A67-A724-03E56CF48820}"/>
    <cellStyle name="60% - Accent2 3 2 3 3 6" xfId="11358" xr:uid="{90686A01-A737-4F31-82B3-89E774E0B781}"/>
    <cellStyle name="60% - Accent2 3 2 3 3 7" xfId="13248" xr:uid="{6D53671D-F715-42EE-843F-E72B40CAEAA1}"/>
    <cellStyle name="60% - Accent2 3 2 3 3 8" xfId="15138" xr:uid="{5BAF4F48-DE48-43E0-A169-39CE54D40102}"/>
    <cellStyle name="60% - Accent2 3 2 3 3 9" xfId="17028" xr:uid="{6654D89D-0671-47C7-9367-C556987BD1D0}"/>
    <cellStyle name="60% - Accent2 3 2 3 4" xfId="2538" xr:uid="{2156C359-9FBF-4D95-9A5F-908D7A6D0ECB}"/>
    <cellStyle name="60% - Accent2 3 2 3 5" xfId="4428" xr:uid="{0A4D9A2C-10CA-4289-83D3-6CBF2D0F2C27}"/>
    <cellStyle name="60% - Accent2 3 2 3 6" xfId="6318" xr:uid="{17D01AC0-8CA3-4C1E-8046-D9926C1C4955}"/>
    <cellStyle name="60% - Accent2 3 2 3 7" xfId="8208" xr:uid="{ED4B9AB1-21E7-4717-9F8F-E83A678DF5B7}"/>
    <cellStyle name="60% - Accent2 3 2 3 8" xfId="10098" xr:uid="{4258DFC0-7FE1-48F0-B2D9-674689FF47B1}"/>
    <cellStyle name="60% - Accent2 3 2 3 9" xfId="11988" xr:uid="{3881538D-42B9-4761-8C14-9BDD1CCF3568}"/>
    <cellStyle name="60% - Accent2 3 2 4" xfId="858" xr:uid="{1D87DD44-AB3C-4C52-9A27-03704071230B}"/>
    <cellStyle name="60% - Accent2 3 2 4 10" xfId="17868" xr:uid="{7C8DBAAA-9129-47D1-984B-6943BFD3BC4C}"/>
    <cellStyle name="60% - Accent2 3 2 4 11" xfId="19758" xr:uid="{A2A3D029-4894-409A-B3E6-78B94398E63E}"/>
    <cellStyle name="60% - Accent2 3 2 4 12" xfId="21648" xr:uid="{644518C2-94B3-4CFA-B907-0ADAEB350538}"/>
    <cellStyle name="60% - Accent2 3 2 4 13" xfId="23538" xr:uid="{C128DF8D-BFC3-461F-A6BE-034787FD7D8C}"/>
    <cellStyle name="60% - Accent2 3 2 4 14" xfId="25428" xr:uid="{17B12CB4-C302-47D5-9618-88AECFD3DA70}"/>
    <cellStyle name="60% - Accent2 3 2 4 15" xfId="27318" xr:uid="{ED12A9C3-0B8C-46C1-8D8F-3DC472D196D2}"/>
    <cellStyle name="60% - Accent2 3 2 4 16" xfId="29208" xr:uid="{2279A9D7-9814-46BC-B323-4F27A4FAA7B4}"/>
    <cellStyle name="60% - Accent2 3 2 4 17" xfId="31098" xr:uid="{BE98619A-C2CB-4E92-AB23-AF0D0CB185D8}"/>
    <cellStyle name="60% - Accent2 3 2 4 18" xfId="32988" xr:uid="{81954F60-BF2C-4E52-B754-D326D3AB9C5D}"/>
    <cellStyle name="60% - Accent2 3 2 4 19" xfId="34878" xr:uid="{CDACE98C-28A2-4982-9482-E8E801E2202F}"/>
    <cellStyle name="60% - Accent2 3 2 4 2" xfId="2748" xr:uid="{633FCD88-348A-4E22-BF82-DACF1659D3B6}"/>
    <cellStyle name="60% - Accent2 3 2 4 20" xfId="36768" xr:uid="{E0A7A534-CD4F-47FC-B8E0-E55D5B4B8FBD}"/>
    <cellStyle name="60% - Accent2 3 2 4 21" xfId="38658" xr:uid="{77D56A57-BE91-49C1-894E-944584F49E29}"/>
    <cellStyle name="60% - Accent2 3 2 4 22" xfId="40549" xr:uid="{42E881DF-7482-4EA3-A15D-54C3840BD5BE}"/>
    <cellStyle name="60% - Accent2 3 2 4 3" xfId="4638" xr:uid="{B448BE03-E878-40B5-BE74-5CAB9B7D38FE}"/>
    <cellStyle name="60% - Accent2 3 2 4 4" xfId="6528" xr:uid="{3A64BEFB-2FF9-494F-B34E-39D4C19EB802}"/>
    <cellStyle name="60% - Accent2 3 2 4 5" xfId="8418" xr:uid="{8F65E178-21E1-4402-8C3C-B46B6F392279}"/>
    <cellStyle name="60% - Accent2 3 2 4 6" xfId="10308" xr:uid="{6BA016C7-48F9-4F67-A4F8-E35332403EAA}"/>
    <cellStyle name="60% - Accent2 3 2 4 7" xfId="12198" xr:uid="{3C9CE134-DDF8-45E7-9382-8AC1AD74F030}"/>
    <cellStyle name="60% - Accent2 3 2 4 8" xfId="14088" xr:uid="{E5D7679E-BBB3-4958-98BF-CFF3CCE94971}"/>
    <cellStyle name="60% - Accent2 3 2 4 9" xfId="15978" xr:uid="{A3E37CBA-FCEC-47BE-993B-1AFE4EB995DD}"/>
    <cellStyle name="60% - Accent2 3 2 5" xfId="1488" xr:uid="{D69DFFDA-CFD8-41DE-A9AC-B1C413212649}"/>
    <cellStyle name="60% - Accent2 3 2 5 10" xfId="18498" xr:uid="{E6C43BD0-8B3A-4B03-94E4-73E882341E99}"/>
    <cellStyle name="60% - Accent2 3 2 5 11" xfId="20388" xr:uid="{AFEA098C-D75D-47E9-A901-0BAF19411542}"/>
    <cellStyle name="60% - Accent2 3 2 5 12" xfId="22278" xr:uid="{4AFE7367-017B-48A5-A0B8-22031107CB78}"/>
    <cellStyle name="60% - Accent2 3 2 5 13" xfId="24168" xr:uid="{CEBAA946-68BE-4EB4-AEC8-C5CC204472EA}"/>
    <cellStyle name="60% - Accent2 3 2 5 14" xfId="26058" xr:uid="{D7E33199-926B-49A0-B0A9-DE776EEC3EB6}"/>
    <cellStyle name="60% - Accent2 3 2 5 15" xfId="27948" xr:uid="{D20DBDF2-C5BB-4320-B34F-B1222AB1D59E}"/>
    <cellStyle name="60% - Accent2 3 2 5 16" xfId="29838" xr:uid="{884E580C-4414-4641-A0F0-443CE5CDE819}"/>
    <cellStyle name="60% - Accent2 3 2 5 17" xfId="31728" xr:uid="{0C9120C1-0A27-4955-B1B0-FD4EBBDDD05A}"/>
    <cellStyle name="60% - Accent2 3 2 5 18" xfId="33618" xr:uid="{D6E966D0-1BD2-4923-9B9F-A330B4228B38}"/>
    <cellStyle name="60% - Accent2 3 2 5 19" xfId="35508" xr:uid="{31488B22-4F36-4484-8688-F805B4837ED6}"/>
    <cellStyle name="60% - Accent2 3 2 5 2" xfId="3378" xr:uid="{F99D1894-1BE8-4726-BDE1-7EEE7EFCF713}"/>
    <cellStyle name="60% - Accent2 3 2 5 20" xfId="37398" xr:uid="{53EFB3D0-66EE-4E55-ADFE-26ED3FCE91EB}"/>
    <cellStyle name="60% - Accent2 3 2 5 21" xfId="39288" xr:uid="{48742EB2-573D-45C3-A13A-299C34D5FA6B}"/>
    <cellStyle name="60% - Accent2 3 2 5 22" xfId="41179" xr:uid="{71B57258-3789-4F87-98ED-29EC95FB6824}"/>
    <cellStyle name="60% - Accent2 3 2 5 3" xfId="5268" xr:uid="{C7732601-CBA9-4E1D-ABF5-878E2C444EEF}"/>
    <cellStyle name="60% - Accent2 3 2 5 4" xfId="7158" xr:uid="{E7FECFAD-7B8D-464C-AB53-0CD310AAF61C}"/>
    <cellStyle name="60% - Accent2 3 2 5 5" xfId="9048" xr:uid="{F0753C55-68E3-41D4-AC54-D276DC28E445}"/>
    <cellStyle name="60% - Accent2 3 2 5 6" xfId="10938" xr:uid="{86A24E52-BE4D-4DC0-B4AC-821FB766CB08}"/>
    <cellStyle name="60% - Accent2 3 2 5 7" xfId="12828" xr:uid="{E9F2DF33-773D-4B37-B691-DB1E71A6E894}"/>
    <cellStyle name="60% - Accent2 3 2 5 8" xfId="14718" xr:uid="{514D8EA8-B14D-42DF-837B-C64EB6F80E49}"/>
    <cellStyle name="60% - Accent2 3 2 5 9" xfId="16608" xr:uid="{9F7558B7-DCFE-4A40-8BC6-7C1C83E9388F}"/>
    <cellStyle name="60% - Accent2 3 2 6" xfId="2118" xr:uid="{C7326020-1FEE-43B0-98DC-9EF30770CDE8}"/>
    <cellStyle name="60% - Accent2 3 2 7" xfId="4008" xr:uid="{30B273D4-C849-4BE8-9825-4E4FA264D749}"/>
    <cellStyle name="60% - Accent2 3 2 8" xfId="5898" xr:uid="{09BD3497-F970-4D2A-8733-ECCD7B2ABEB4}"/>
    <cellStyle name="60% - Accent2 3 2 9" xfId="7788" xr:uid="{470F9E73-B9C7-47CA-BFCB-FF79966EC8B5}"/>
    <cellStyle name="60% - Accent2 3 20" xfId="26583" xr:uid="{C403401D-6FD9-4A1F-B466-929583487495}"/>
    <cellStyle name="60% - Accent2 3 21" xfId="28473" xr:uid="{81879D05-81F7-4B17-A9A2-0219D0F2E2F2}"/>
    <cellStyle name="60% - Accent2 3 22" xfId="30363" xr:uid="{843921DB-A93A-4D55-A7AB-94D4D54166D2}"/>
    <cellStyle name="60% - Accent2 3 23" xfId="32253" xr:uid="{20050C93-05C7-4F87-9AF2-5C903F592D91}"/>
    <cellStyle name="60% - Accent2 3 24" xfId="34143" xr:uid="{E4404EEE-3A39-449F-A4B9-B18B02D5982A}"/>
    <cellStyle name="60% - Accent2 3 25" xfId="36033" xr:uid="{CB1E462D-DA7C-428B-8AE2-F87759C527F2}"/>
    <cellStyle name="60% - Accent2 3 26" xfId="37923" xr:uid="{73E2451B-F45C-4635-B89A-CF951AE68D1C}"/>
    <cellStyle name="60% - Accent2 3 27" xfId="39814" xr:uid="{438BA53B-9CF4-40B3-9138-9E419D8AD6B6}"/>
    <cellStyle name="60% - Accent2 3 3" xfId="333" xr:uid="{530580DA-86B2-4033-B8B7-97E0F2E30133}"/>
    <cellStyle name="60% - Accent2 3 3 10" xfId="13563" xr:uid="{DA8B6C11-9907-4FDB-80AC-759D360376C4}"/>
    <cellStyle name="60% - Accent2 3 3 11" xfId="15453" xr:uid="{C74EFDEE-8A75-4612-88AF-D44AE4AA1FEE}"/>
    <cellStyle name="60% - Accent2 3 3 12" xfId="17343" xr:uid="{91516957-27F7-47E5-BF74-DC3988F8F675}"/>
    <cellStyle name="60% - Accent2 3 3 13" xfId="19233" xr:uid="{F6AB0F5E-2CEE-4957-9502-75072595DAEB}"/>
    <cellStyle name="60% - Accent2 3 3 14" xfId="21123" xr:uid="{FC4191C5-1BE2-4526-8079-CB31B342A0F0}"/>
    <cellStyle name="60% - Accent2 3 3 15" xfId="23013" xr:uid="{A632E41A-D163-4CD7-8153-2FA5763E2F1E}"/>
    <cellStyle name="60% - Accent2 3 3 16" xfId="24903" xr:uid="{6302A1AA-9A13-4B78-81A6-65F6874D2FB8}"/>
    <cellStyle name="60% - Accent2 3 3 17" xfId="26793" xr:uid="{9C051F41-5544-4E71-98CD-347C8B388F7C}"/>
    <cellStyle name="60% - Accent2 3 3 18" xfId="28683" xr:uid="{A9FAD905-2A10-49E1-9D1E-69905E0A46E7}"/>
    <cellStyle name="60% - Accent2 3 3 19" xfId="30573" xr:uid="{FCFAE8F7-BF26-4556-9524-4BC738556E39}"/>
    <cellStyle name="60% - Accent2 3 3 2" xfId="963" xr:uid="{8875D9A7-587B-41A9-9057-4C1B226B29A1}"/>
    <cellStyle name="60% - Accent2 3 3 2 10" xfId="17973" xr:uid="{D641C721-BC24-48BE-99C5-0E3C29BB8431}"/>
    <cellStyle name="60% - Accent2 3 3 2 11" xfId="19863" xr:uid="{814BC462-D092-4E90-90B0-21DF9176226E}"/>
    <cellStyle name="60% - Accent2 3 3 2 12" xfId="21753" xr:uid="{DA607F2B-83B3-4746-9791-A65B1A0E0828}"/>
    <cellStyle name="60% - Accent2 3 3 2 13" xfId="23643" xr:uid="{69254A67-4815-4A7E-AFD8-1A7BB80F1077}"/>
    <cellStyle name="60% - Accent2 3 3 2 14" xfId="25533" xr:uid="{72D79C89-7B4B-4117-A08F-C459279050F3}"/>
    <cellStyle name="60% - Accent2 3 3 2 15" xfId="27423" xr:uid="{958297D4-7F7B-4A1C-AD36-0E8181C1EC8B}"/>
    <cellStyle name="60% - Accent2 3 3 2 16" xfId="29313" xr:uid="{24C29469-9D0B-4C5A-ACD8-DF4BF0BA5DF8}"/>
    <cellStyle name="60% - Accent2 3 3 2 17" xfId="31203" xr:uid="{1FFB988B-46E8-466E-A769-F8D28ECB7506}"/>
    <cellStyle name="60% - Accent2 3 3 2 18" xfId="33093" xr:uid="{2C080718-986C-4F27-A04C-205A7047FEB1}"/>
    <cellStyle name="60% - Accent2 3 3 2 19" xfId="34983" xr:uid="{BFE4454B-866E-49ED-AE1F-F8CE1952A76E}"/>
    <cellStyle name="60% - Accent2 3 3 2 2" xfId="2853" xr:uid="{C7290DC9-CE5C-451C-96F4-8739C8B0ED8E}"/>
    <cellStyle name="60% - Accent2 3 3 2 20" xfId="36873" xr:uid="{E49EB4A2-FFFD-4EA5-BE20-5B7345613234}"/>
    <cellStyle name="60% - Accent2 3 3 2 21" xfId="38763" xr:uid="{0B2279A4-366D-49AF-8881-A033AE85A745}"/>
    <cellStyle name="60% - Accent2 3 3 2 22" xfId="40654" xr:uid="{39931F71-36A3-4AC9-B1E3-D810C9388FB7}"/>
    <cellStyle name="60% - Accent2 3 3 2 3" xfId="4743" xr:uid="{62C1F2E4-E342-4A02-9629-39D5869495B8}"/>
    <cellStyle name="60% - Accent2 3 3 2 4" xfId="6633" xr:uid="{BFA73E12-F97C-463D-A1E8-C6C8701168A6}"/>
    <cellStyle name="60% - Accent2 3 3 2 5" xfId="8523" xr:uid="{6210CB0F-1C59-4644-B99D-4226FB83A83B}"/>
    <cellStyle name="60% - Accent2 3 3 2 6" xfId="10413" xr:uid="{E2C74DF5-E508-4241-8399-5C4768C55AFA}"/>
    <cellStyle name="60% - Accent2 3 3 2 7" xfId="12303" xr:uid="{90588246-4670-4199-8271-70398DD96A43}"/>
    <cellStyle name="60% - Accent2 3 3 2 8" xfId="14193" xr:uid="{8C7F7AFA-809A-44E5-97ED-26A8D4B0254A}"/>
    <cellStyle name="60% - Accent2 3 3 2 9" xfId="16083" xr:uid="{523805FD-751F-448A-9D89-E0E986781100}"/>
    <cellStyle name="60% - Accent2 3 3 20" xfId="32463" xr:uid="{F7D984DB-300A-4664-8B9A-383F7A247909}"/>
    <cellStyle name="60% - Accent2 3 3 21" xfId="34353" xr:uid="{3E4DD068-634B-4683-90FE-76A13661A16B}"/>
    <cellStyle name="60% - Accent2 3 3 22" xfId="36243" xr:uid="{FA92EE37-EE79-45A8-9758-7271A3046BC1}"/>
    <cellStyle name="60% - Accent2 3 3 23" xfId="38133" xr:uid="{A2D66E06-267C-42E9-8887-2E4076496673}"/>
    <cellStyle name="60% - Accent2 3 3 24" xfId="40024" xr:uid="{6F16A768-B87F-428C-9ECA-9D7EDE1A5D27}"/>
    <cellStyle name="60% - Accent2 3 3 3" xfId="1593" xr:uid="{DF30694E-8636-4CFE-93CA-C6424429A72D}"/>
    <cellStyle name="60% - Accent2 3 3 3 10" xfId="18603" xr:uid="{A2DFCEDD-674F-4FBB-BE34-F40A497857A5}"/>
    <cellStyle name="60% - Accent2 3 3 3 11" xfId="20493" xr:uid="{E30829B4-3DBA-437D-AC6A-C57EF76907B4}"/>
    <cellStyle name="60% - Accent2 3 3 3 12" xfId="22383" xr:uid="{C3468BB9-30C7-4627-B1FE-23A1CA8423A3}"/>
    <cellStyle name="60% - Accent2 3 3 3 13" xfId="24273" xr:uid="{81EAB62A-9EFB-4778-B5B5-9B7107BABDA9}"/>
    <cellStyle name="60% - Accent2 3 3 3 14" xfId="26163" xr:uid="{3834D0D4-A415-4A05-A3E9-E02114329A08}"/>
    <cellStyle name="60% - Accent2 3 3 3 15" xfId="28053" xr:uid="{63A40EDF-E529-42FA-B3A0-838CFB4861C0}"/>
    <cellStyle name="60% - Accent2 3 3 3 16" xfId="29943" xr:uid="{0AFCA686-C176-4639-AEB8-B982FD850219}"/>
    <cellStyle name="60% - Accent2 3 3 3 17" xfId="31833" xr:uid="{6FF1723B-27F0-4A7F-B5DC-76E8EED15968}"/>
    <cellStyle name="60% - Accent2 3 3 3 18" xfId="33723" xr:uid="{1490DB67-E6B2-4CE8-B169-F400F350D515}"/>
    <cellStyle name="60% - Accent2 3 3 3 19" xfId="35613" xr:uid="{DD0BD2F2-670A-448D-A075-34C99A21D005}"/>
    <cellStyle name="60% - Accent2 3 3 3 2" xfId="3483" xr:uid="{28C5E3C0-9951-4FB3-A238-749C9B8556CC}"/>
    <cellStyle name="60% - Accent2 3 3 3 20" xfId="37503" xr:uid="{AA792361-754C-4F52-9A3E-FEC9166342FC}"/>
    <cellStyle name="60% - Accent2 3 3 3 21" xfId="39393" xr:uid="{0CAD8DC9-9AAE-4425-9045-60413F1E411A}"/>
    <cellStyle name="60% - Accent2 3 3 3 22" xfId="41284" xr:uid="{AF5A685E-E94C-4B62-B613-712BE0ABE4B7}"/>
    <cellStyle name="60% - Accent2 3 3 3 3" xfId="5373" xr:uid="{C0D5AE1C-FB81-4915-A4A9-EBEC4134BF7D}"/>
    <cellStyle name="60% - Accent2 3 3 3 4" xfId="7263" xr:uid="{4C31CBDF-625D-4F87-9A18-4AEECB6A75C6}"/>
    <cellStyle name="60% - Accent2 3 3 3 5" xfId="9153" xr:uid="{9DB80539-94F6-43B0-8D75-93AE0FF63455}"/>
    <cellStyle name="60% - Accent2 3 3 3 6" xfId="11043" xr:uid="{7B80CD2D-0F94-4A97-87A1-01E7296D0E9A}"/>
    <cellStyle name="60% - Accent2 3 3 3 7" xfId="12933" xr:uid="{A5B548A7-E856-417C-BB9F-A83985771CCF}"/>
    <cellStyle name="60% - Accent2 3 3 3 8" xfId="14823" xr:uid="{7F3B058B-B077-4038-B446-1F89BF11E678}"/>
    <cellStyle name="60% - Accent2 3 3 3 9" xfId="16713" xr:uid="{40F91D5B-B0C9-4BF3-A147-DA6DFE66AD59}"/>
    <cellStyle name="60% - Accent2 3 3 4" xfId="2223" xr:uid="{3CFF5E33-5C85-495A-82E9-4B3E2A467F44}"/>
    <cellStyle name="60% - Accent2 3 3 5" xfId="4113" xr:uid="{07CF1230-A4AC-4FA4-9C43-67D4587927AC}"/>
    <cellStyle name="60% - Accent2 3 3 6" xfId="6003" xr:uid="{439F6C9E-C48D-4F1B-9BC9-F56B9D707E30}"/>
    <cellStyle name="60% - Accent2 3 3 7" xfId="7893" xr:uid="{5F43C8B9-C6DA-493D-8FF8-970C108757AD}"/>
    <cellStyle name="60% - Accent2 3 3 8" xfId="9783" xr:uid="{27BB4FE1-247A-4AF6-9E29-C37651737FE5}"/>
    <cellStyle name="60% - Accent2 3 3 9" xfId="11673" xr:uid="{95F2344F-4B81-4D61-9BC4-D21941F86700}"/>
    <cellStyle name="60% - Accent2 3 4" xfId="543" xr:uid="{852B3D17-3694-428E-8B89-BC1DC3AA142E}"/>
    <cellStyle name="60% - Accent2 3 4 10" xfId="13773" xr:uid="{C5E0175D-0EC2-44AD-B61D-D97E08164838}"/>
    <cellStyle name="60% - Accent2 3 4 11" xfId="15663" xr:uid="{AB69D7DF-0F90-405A-9093-E886274BC29D}"/>
    <cellStyle name="60% - Accent2 3 4 12" xfId="17553" xr:uid="{ACBC900A-7ECC-4C92-AD3D-972A6BFDDC9A}"/>
    <cellStyle name="60% - Accent2 3 4 13" xfId="19443" xr:uid="{0AC3F7EB-83B2-45D7-B53A-33986B94E2AA}"/>
    <cellStyle name="60% - Accent2 3 4 14" xfId="21333" xr:uid="{79D9259F-E416-4196-B014-C317DC03BE1B}"/>
    <cellStyle name="60% - Accent2 3 4 15" xfId="23223" xr:uid="{5FB1E768-9A5C-43E5-ACC4-895429096030}"/>
    <cellStyle name="60% - Accent2 3 4 16" xfId="25113" xr:uid="{25B61F59-6203-4DF2-A3DD-E81581F30CFF}"/>
    <cellStyle name="60% - Accent2 3 4 17" xfId="27003" xr:uid="{4CE29D27-FF12-4688-8A17-B41489C41DF8}"/>
    <cellStyle name="60% - Accent2 3 4 18" xfId="28893" xr:uid="{3C48665E-0E30-49F2-8C36-BF76F2F45007}"/>
    <cellStyle name="60% - Accent2 3 4 19" xfId="30783" xr:uid="{169B7D44-8DEE-4B9E-9DDD-85836CB5BF0C}"/>
    <cellStyle name="60% - Accent2 3 4 2" xfId="1173" xr:uid="{1FE95250-CDD6-4A93-8A9C-85AC6CA77874}"/>
    <cellStyle name="60% - Accent2 3 4 2 10" xfId="18183" xr:uid="{D90DE53B-E2C8-470B-9990-7ECC59514D5E}"/>
    <cellStyle name="60% - Accent2 3 4 2 11" xfId="20073" xr:uid="{55B71490-BFA8-45A8-BF00-693BF761815A}"/>
    <cellStyle name="60% - Accent2 3 4 2 12" xfId="21963" xr:uid="{7E37DD77-C097-46D1-B646-6E274842AF06}"/>
    <cellStyle name="60% - Accent2 3 4 2 13" xfId="23853" xr:uid="{14024953-52C1-4BFA-8AE2-578F4B7B8BBC}"/>
    <cellStyle name="60% - Accent2 3 4 2 14" xfId="25743" xr:uid="{BEF7060D-B5A5-4F36-95EE-41C4A92F0AE6}"/>
    <cellStyle name="60% - Accent2 3 4 2 15" xfId="27633" xr:uid="{9709425D-F2F3-4687-8B32-BCA125390C03}"/>
    <cellStyle name="60% - Accent2 3 4 2 16" xfId="29523" xr:uid="{A4819318-D1EC-47E4-A3CA-BF99B745E65E}"/>
    <cellStyle name="60% - Accent2 3 4 2 17" xfId="31413" xr:uid="{956CCA89-A17E-46C6-BC3F-051671090A8D}"/>
    <cellStyle name="60% - Accent2 3 4 2 18" xfId="33303" xr:uid="{2CFD1D69-CDB6-490F-A65C-FF23F7EA514C}"/>
    <cellStyle name="60% - Accent2 3 4 2 19" xfId="35193" xr:uid="{1FCB9E34-E8D2-4463-9F91-CEA2AC2FB86D}"/>
    <cellStyle name="60% - Accent2 3 4 2 2" xfId="3063" xr:uid="{7C7A1D6B-C3D4-47B0-8F0D-1FFFA33AE7D6}"/>
    <cellStyle name="60% - Accent2 3 4 2 20" xfId="37083" xr:uid="{06DF3ABA-75B3-4C36-A945-9544597F942B}"/>
    <cellStyle name="60% - Accent2 3 4 2 21" xfId="38973" xr:uid="{41785B0E-D9D8-4D43-A5ED-4BBB59CE1268}"/>
    <cellStyle name="60% - Accent2 3 4 2 22" xfId="40864" xr:uid="{C0AC2EB7-D6DD-4E1F-A964-AD37471F3636}"/>
    <cellStyle name="60% - Accent2 3 4 2 3" xfId="4953" xr:uid="{6921726F-FBA3-4578-9C72-A09ECA82EBF9}"/>
    <cellStyle name="60% - Accent2 3 4 2 4" xfId="6843" xr:uid="{7FBCE8ED-9678-4CE5-B8E4-863B60CCE447}"/>
    <cellStyle name="60% - Accent2 3 4 2 5" xfId="8733" xr:uid="{6DECFA23-F133-4343-BB97-6576FEFF1279}"/>
    <cellStyle name="60% - Accent2 3 4 2 6" xfId="10623" xr:uid="{DB367C92-885F-4816-8BCA-00AD2AE0B501}"/>
    <cellStyle name="60% - Accent2 3 4 2 7" xfId="12513" xr:uid="{07ECFBDD-2728-4C08-AD26-81F9DF5D03DA}"/>
    <cellStyle name="60% - Accent2 3 4 2 8" xfId="14403" xr:uid="{392E1074-A2EA-4584-A821-C445F37B39A9}"/>
    <cellStyle name="60% - Accent2 3 4 2 9" xfId="16293" xr:uid="{9DC4800A-E6E4-4E68-9184-BE61D938C6DB}"/>
    <cellStyle name="60% - Accent2 3 4 20" xfId="32673" xr:uid="{3123CABA-782C-4B76-822E-C90E5D22FB37}"/>
    <cellStyle name="60% - Accent2 3 4 21" xfId="34563" xr:uid="{8BF797B4-27E7-4099-81FB-F56835050DBA}"/>
    <cellStyle name="60% - Accent2 3 4 22" xfId="36453" xr:uid="{A604BEA3-5027-457D-AFBE-4D32DB5EF6BA}"/>
    <cellStyle name="60% - Accent2 3 4 23" xfId="38343" xr:uid="{544E7F5A-41AE-4355-85D6-83E7508FBEAB}"/>
    <cellStyle name="60% - Accent2 3 4 24" xfId="40234" xr:uid="{41F6DDA3-48F3-410B-916C-1655DBADF59F}"/>
    <cellStyle name="60% - Accent2 3 4 3" xfId="1803" xr:uid="{AA12C926-AB37-4727-B580-5DC7631AADC6}"/>
    <cellStyle name="60% - Accent2 3 4 3 10" xfId="18813" xr:uid="{E896DE3D-5A89-47C3-B8FC-DE6B198783F9}"/>
    <cellStyle name="60% - Accent2 3 4 3 11" xfId="20703" xr:uid="{CE41E2AA-4210-48AD-AEC4-D02447248ABD}"/>
    <cellStyle name="60% - Accent2 3 4 3 12" xfId="22593" xr:uid="{113683B1-E0BA-4816-BE98-125FC8B2C466}"/>
    <cellStyle name="60% - Accent2 3 4 3 13" xfId="24483" xr:uid="{0824B7B2-FC51-4AC5-BB77-7D60495C39CD}"/>
    <cellStyle name="60% - Accent2 3 4 3 14" xfId="26373" xr:uid="{652D43EA-CB83-4953-9081-D87E6F79E1AC}"/>
    <cellStyle name="60% - Accent2 3 4 3 15" xfId="28263" xr:uid="{4BC70DF9-7857-4071-844C-0AFE7AEA6F18}"/>
    <cellStyle name="60% - Accent2 3 4 3 16" xfId="30153" xr:uid="{14431D1A-A60D-4B77-A8DE-CD90183835B1}"/>
    <cellStyle name="60% - Accent2 3 4 3 17" xfId="32043" xr:uid="{30D72CA4-5F04-4A32-A1D0-47A6E8090963}"/>
    <cellStyle name="60% - Accent2 3 4 3 18" xfId="33933" xr:uid="{B24B9A98-9697-436C-921B-3A89B8597A81}"/>
    <cellStyle name="60% - Accent2 3 4 3 19" xfId="35823" xr:uid="{23F99B46-C956-461F-9052-93DDFF54A54B}"/>
    <cellStyle name="60% - Accent2 3 4 3 2" xfId="3693" xr:uid="{12A8651A-B38A-4F62-964F-DE236F5B3B1A}"/>
    <cellStyle name="60% - Accent2 3 4 3 20" xfId="37713" xr:uid="{E4F632B1-CBC2-40C9-B186-7965C06C860B}"/>
    <cellStyle name="60% - Accent2 3 4 3 21" xfId="39603" xr:uid="{3AE88282-EC74-4ADE-8F2F-CEB8C0051897}"/>
    <cellStyle name="60% - Accent2 3 4 3 22" xfId="41494" xr:uid="{DBD1BA46-2487-47F3-A38C-28E09C8420A5}"/>
    <cellStyle name="60% - Accent2 3 4 3 3" xfId="5583" xr:uid="{6B29FCE7-B453-44C7-919C-E0B0588182BF}"/>
    <cellStyle name="60% - Accent2 3 4 3 4" xfId="7473" xr:uid="{1CDA0257-D751-4C76-AF12-AB19B87A8B73}"/>
    <cellStyle name="60% - Accent2 3 4 3 5" xfId="9363" xr:uid="{35879EFA-731B-494A-B4EC-2234BF059C2B}"/>
    <cellStyle name="60% - Accent2 3 4 3 6" xfId="11253" xr:uid="{42929AF9-7121-4B35-ABAB-7EBBCDAD0630}"/>
    <cellStyle name="60% - Accent2 3 4 3 7" xfId="13143" xr:uid="{CF18D3C9-29A6-4FC5-BF73-F84133AD99E2}"/>
    <cellStyle name="60% - Accent2 3 4 3 8" xfId="15033" xr:uid="{EBAFF718-FE3E-43D6-8869-069C59D9879C}"/>
    <cellStyle name="60% - Accent2 3 4 3 9" xfId="16923" xr:uid="{E54383B0-97C8-42E3-858A-2A10EC6B8543}"/>
    <cellStyle name="60% - Accent2 3 4 4" xfId="2433" xr:uid="{3381AFDC-5DB0-4F16-9456-1D1FA81763B3}"/>
    <cellStyle name="60% - Accent2 3 4 5" xfId="4323" xr:uid="{92659440-A4AE-4776-868E-83BE8681760A}"/>
    <cellStyle name="60% - Accent2 3 4 6" xfId="6213" xr:uid="{BDD2897D-1D53-4145-A2CA-DC4DB85BE737}"/>
    <cellStyle name="60% - Accent2 3 4 7" xfId="8103" xr:uid="{FC8AEFE1-EC81-4C89-A745-BE5D0CA12A4E}"/>
    <cellStyle name="60% - Accent2 3 4 8" xfId="9993" xr:uid="{A1BF5533-E02C-4B75-BD0D-EF5F128F2DFD}"/>
    <cellStyle name="60% - Accent2 3 4 9" xfId="11883" xr:uid="{D83E7719-5F0F-4B60-8745-DF8F6CD3C92B}"/>
    <cellStyle name="60% - Accent2 3 5" xfId="753" xr:uid="{12C4C2B2-9BFD-434A-9AC4-3C719F884D74}"/>
    <cellStyle name="60% - Accent2 3 5 10" xfId="17763" xr:uid="{F4E20F96-7910-41D8-AB7B-C89FA47683B5}"/>
    <cellStyle name="60% - Accent2 3 5 11" xfId="19653" xr:uid="{9ECDA578-B86F-4D8A-B43A-0DAABE72798E}"/>
    <cellStyle name="60% - Accent2 3 5 12" xfId="21543" xr:uid="{572848D9-1BAC-4832-8930-3AE2E62EBCD2}"/>
    <cellStyle name="60% - Accent2 3 5 13" xfId="23433" xr:uid="{00549F27-21B0-42BB-B67B-CACC69BEEB85}"/>
    <cellStyle name="60% - Accent2 3 5 14" xfId="25323" xr:uid="{AC8410F4-3410-403B-BBDF-7679A7431F87}"/>
    <cellStyle name="60% - Accent2 3 5 15" xfId="27213" xr:uid="{80A8E69F-A4BD-4C05-8A83-AE53E8DBAC5C}"/>
    <cellStyle name="60% - Accent2 3 5 16" xfId="29103" xr:uid="{4FF35E3F-50DC-4ECD-B39A-ED9104F70948}"/>
    <cellStyle name="60% - Accent2 3 5 17" xfId="30993" xr:uid="{B676B5D0-A125-41FF-BF1A-7BE46298BAA0}"/>
    <cellStyle name="60% - Accent2 3 5 18" xfId="32883" xr:uid="{4EEF3D5B-2900-429A-BD88-284BC8FC89B8}"/>
    <cellStyle name="60% - Accent2 3 5 19" xfId="34773" xr:uid="{C690C578-E49E-41ED-9950-09D131236372}"/>
    <cellStyle name="60% - Accent2 3 5 2" xfId="2643" xr:uid="{0903C131-8F2E-4D44-BE09-4ABCB203AFCB}"/>
    <cellStyle name="60% - Accent2 3 5 20" xfId="36663" xr:uid="{73C2DE22-0174-497A-8B4C-DBE6F0F53713}"/>
    <cellStyle name="60% - Accent2 3 5 21" xfId="38553" xr:uid="{DC296E79-D8F6-45F2-A74D-52FE2CF13CD4}"/>
    <cellStyle name="60% - Accent2 3 5 22" xfId="40444" xr:uid="{70649BCD-BDEB-4F1B-916C-8AE7B5C04783}"/>
    <cellStyle name="60% - Accent2 3 5 3" xfId="4533" xr:uid="{211F9BBE-AB95-44A0-9BA1-915B58AD3A03}"/>
    <cellStyle name="60% - Accent2 3 5 4" xfId="6423" xr:uid="{6CDD4283-2468-4DD6-926B-3531116CB3FD}"/>
    <cellStyle name="60% - Accent2 3 5 5" xfId="8313" xr:uid="{BDD0B59D-A821-46F2-8F0C-015FB1804A4A}"/>
    <cellStyle name="60% - Accent2 3 5 6" xfId="10203" xr:uid="{7BF6A904-A639-414D-AF87-8554CCC972BE}"/>
    <cellStyle name="60% - Accent2 3 5 7" xfId="12093" xr:uid="{3B74CDB8-D073-47D3-B5DA-8C670FCF8599}"/>
    <cellStyle name="60% - Accent2 3 5 8" xfId="13983" xr:uid="{14421EB5-5937-45B8-95C9-CCDE3ECB18A3}"/>
    <cellStyle name="60% - Accent2 3 5 9" xfId="15873" xr:uid="{7F6A3046-FDFC-4420-96EC-035813CE0CED}"/>
    <cellStyle name="60% - Accent2 3 6" xfId="1383" xr:uid="{84E14120-9BB6-4BDF-AF48-280B97F616A4}"/>
    <cellStyle name="60% - Accent2 3 6 10" xfId="18393" xr:uid="{5B5265DF-84B6-461B-8E4A-49E440C00F44}"/>
    <cellStyle name="60% - Accent2 3 6 11" xfId="20283" xr:uid="{CBDA79E8-B6A1-4CA7-A13F-6AE6D98D7B50}"/>
    <cellStyle name="60% - Accent2 3 6 12" xfId="22173" xr:uid="{DD568F54-EE8E-4248-9599-3A51D188397E}"/>
    <cellStyle name="60% - Accent2 3 6 13" xfId="24063" xr:uid="{6F7A48BD-7288-41E7-880D-EE53235BB413}"/>
    <cellStyle name="60% - Accent2 3 6 14" xfId="25953" xr:uid="{F2131BA6-F1F2-4EC8-81DC-E2EF2045F5DD}"/>
    <cellStyle name="60% - Accent2 3 6 15" xfId="27843" xr:uid="{2877A290-AD8C-477A-8AEF-15B79642F6FB}"/>
    <cellStyle name="60% - Accent2 3 6 16" xfId="29733" xr:uid="{2A86AD35-33B9-42B9-AD12-2DAA74EE637D}"/>
    <cellStyle name="60% - Accent2 3 6 17" xfId="31623" xr:uid="{76EE58BA-A7CF-47E4-A193-15C37600348C}"/>
    <cellStyle name="60% - Accent2 3 6 18" xfId="33513" xr:uid="{A7B4C9BB-8D18-4E1F-88C0-E820AD70AE3B}"/>
    <cellStyle name="60% - Accent2 3 6 19" xfId="35403" xr:uid="{70A50713-8997-4B50-ADE4-AE2BD8D95F44}"/>
    <cellStyle name="60% - Accent2 3 6 2" xfId="3273" xr:uid="{EE8E8A2F-73E2-4954-A5BC-AB0AED8A891B}"/>
    <cellStyle name="60% - Accent2 3 6 20" xfId="37293" xr:uid="{5A2B7A32-8ED5-4FF2-AFDE-F0593040D8A6}"/>
    <cellStyle name="60% - Accent2 3 6 21" xfId="39183" xr:uid="{CD9756F8-19B5-44E7-867D-1EE430C35D16}"/>
    <cellStyle name="60% - Accent2 3 6 22" xfId="41074" xr:uid="{21EECBF2-834C-4320-AD2D-4C98C1360A12}"/>
    <cellStyle name="60% - Accent2 3 6 3" xfId="5163" xr:uid="{F6A384B7-10A7-4CDB-9770-6EFDE91A14EE}"/>
    <cellStyle name="60% - Accent2 3 6 4" xfId="7053" xr:uid="{E6649149-0213-4E60-9131-50496AEAC97C}"/>
    <cellStyle name="60% - Accent2 3 6 5" xfId="8943" xr:uid="{67320FA8-9298-4C0C-A4A2-324258D60A80}"/>
    <cellStyle name="60% - Accent2 3 6 6" xfId="10833" xr:uid="{24AC673E-E824-4B7B-9988-9F5AE80BCD6D}"/>
    <cellStyle name="60% - Accent2 3 6 7" xfId="12723" xr:uid="{7D25C54D-A48C-402A-8006-19857D066E45}"/>
    <cellStyle name="60% - Accent2 3 6 8" xfId="14613" xr:uid="{DFC8DF70-BB57-4473-BC8E-4572C7B9BB2E}"/>
    <cellStyle name="60% - Accent2 3 6 9" xfId="16503" xr:uid="{429F944C-B85B-416A-92C3-D644F32E5987}"/>
    <cellStyle name="60% - Accent2 3 7" xfId="2013" xr:uid="{9E41438D-C441-4090-ADC3-5BECB99D2E90}"/>
    <cellStyle name="60% - Accent2 3 8" xfId="3903" xr:uid="{2F9344CF-A337-4604-9D82-94DBE379BD2B}"/>
    <cellStyle name="60% - Accent2 3 9" xfId="5793" xr:uid="{7F6FB173-DBC5-4E51-A2D9-413A060D4C28}"/>
    <cellStyle name="60% - Accent2 4" xfId="186" xr:uid="{53571D6C-9E85-4F51-9445-7338C7503A1B}"/>
    <cellStyle name="60% - Accent2 4 10" xfId="9636" xr:uid="{01AC9579-7F26-412D-8ADF-1E4CE46B2C19}"/>
    <cellStyle name="60% - Accent2 4 11" xfId="11526" xr:uid="{F3075D8F-6EDC-459D-9D96-58A5FA5DA9EC}"/>
    <cellStyle name="60% - Accent2 4 12" xfId="13416" xr:uid="{1ABC0607-02CC-4825-9B70-61BF36377260}"/>
    <cellStyle name="60% - Accent2 4 13" xfId="15306" xr:uid="{89A465B4-C94C-44F6-9DC1-2A6B4DD659C6}"/>
    <cellStyle name="60% - Accent2 4 14" xfId="17196" xr:uid="{984A5A94-FB88-4B92-A9EA-91494F5D63E4}"/>
    <cellStyle name="60% - Accent2 4 15" xfId="19086" xr:uid="{A70D5600-A111-40E2-9CCB-E297974BB517}"/>
    <cellStyle name="60% - Accent2 4 16" xfId="20976" xr:uid="{F1806D5C-45BD-403D-8B08-DDF48F6FEA32}"/>
    <cellStyle name="60% - Accent2 4 17" xfId="22866" xr:uid="{F65C34AC-2423-4428-9A44-DED9D2971D2B}"/>
    <cellStyle name="60% - Accent2 4 18" xfId="24756" xr:uid="{2D53493E-3BF3-4000-9EC7-7CBEAA2498DE}"/>
    <cellStyle name="60% - Accent2 4 19" xfId="26646" xr:uid="{90AB2C6E-5776-4168-88DF-984FD1DC7EE1}"/>
    <cellStyle name="60% - Accent2 4 2" xfId="396" xr:uid="{61C1F03F-E080-48B2-8917-D74E37FEFE21}"/>
    <cellStyle name="60% - Accent2 4 2 10" xfId="13626" xr:uid="{606F2CEE-AED2-49A2-B61A-60904240C498}"/>
    <cellStyle name="60% - Accent2 4 2 11" xfId="15516" xr:uid="{564D0AC4-267F-4E21-8E1D-1E3F89BAFAF9}"/>
    <cellStyle name="60% - Accent2 4 2 12" xfId="17406" xr:uid="{00DC41FB-6C1E-4C9D-9063-E31EFD1D3147}"/>
    <cellStyle name="60% - Accent2 4 2 13" xfId="19296" xr:uid="{9A78F481-226E-410C-B9A2-716671302069}"/>
    <cellStyle name="60% - Accent2 4 2 14" xfId="21186" xr:uid="{54C8E21F-0E2B-4081-9124-800A74C85A62}"/>
    <cellStyle name="60% - Accent2 4 2 15" xfId="23076" xr:uid="{EE19B5F3-E624-4A2B-8EF7-252F0F9886F9}"/>
    <cellStyle name="60% - Accent2 4 2 16" xfId="24966" xr:uid="{19AD223E-BC5C-4E7E-B92F-AE02F7F48651}"/>
    <cellStyle name="60% - Accent2 4 2 17" xfId="26856" xr:uid="{82E34507-4622-4D77-88E6-80262D6A481C}"/>
    <cellStyle name="60% - Accent2 4 2 18" xfId="28746" xr:uid="{9816BEC3-D043-4296-9F10-8778607FDF59}"/>
    <cellStyle name="60% - Accent2 4 2 19" xfId="30636" xr:uid="{CF0931E0-C2A9-4EB9-9FD7-7600B01F093B}"/>
    <cellStyle name="60% - Accent2 4 2 2" xfId="1026" xr:uid="{CD568827-65AD-4372-B63C-22EE9887A9D3}"/>
    <cellStyle name="60% - Accent2 4 2 2 10" xfId="18036" xr:uid="{86626A1A-B06A-406D-B0FE-21F1697686AE}"/>
    <cellStyle name="60% - Accent2 4 2 2 11" xfId="19926" xr:uid="{1284826F-B775-419B-8170-89FFF87C7F37}"/>
    <cellStyle name="60% - Accent2 4 2 2 12" xfId="21816" xr:uid="{BDD33E77-226A-418A-B8CB-B4759B2AED53}"/>
    <cellStyle name="60% - Accent2 4 2 2 13" xfId="23706" xr:uid="{937BA0E7-47B9-4802-B203-E9A6674B9ADA}"/>
    <cellStyle name="60% - Accent2 4 2 2 14" xfId="25596" xr:uid="{3022A279-EF98-44B6-BF8E-FC40940719C8}"/>
    <cellStyle name="60% - Accent2 4 2 2 15" xfId="27486" xr:uid="{D1E94FC3-87CF-4D91-BF28-5334F94D20D1}"/>
    <cellStyle name="60% - Accent2 4 2 2 16" xfId="29376" xr:uid="{62184EBE-6CC6-470A-9D50-113E653A1C0F}"/>
    <cellStyle name="60% - Accent2 4 2 2 17" xfId="31266" xr:uid="{A425CD87-4B10-46FC-BDEA-7B25E27B7C0B}"/>
    <cellStyle name="60% - Accent2 4 2 2 18" xfId="33156" xr:uid="{242A9966-1D33-40F7-9323-BD14ABC82CE1}"/>
    <cellStyle name="60% - Accent2 4 2 2 19" xfId="35046" xr:uid="{03506827-B7C9-431C-B1EE-15A4C0FAECB9}"/>
    <cellStyle name="60% - Accent2 4 2 2 2" xfId="2916" xr:uid="{C34B7F85-D520-446A-9DFC-4F97F0C7A8AB}"/>
    <cellStyle name="60% - Accent2 4 2 2 20" xfId="36936" xr:uid="{50567BB1-F295-4446-B49D-9378FA7498C2}"/>
    <cellStyle name="60% - Accent2 4 2 2 21" xfId="38826" xr:uid="{9B273111-C9FF-4430-AD86-9D09E5AFF94A}"/>
    <cellStyle name="60% - Accent2 4 2 2 22" xfId="40717" xr:uid="{6CB9271E-2189-4C00-A1C4-2F14FAB50C08}"/>
    <cellStyle name="60% - Accent2 4 2 2 3" xfId="4806" xr:uid="{8AC9EFDC-D181-496E-ABE6-DB1EDAB494A3}"/>
    <cellStyle name="60% - Accent2 4 2 2 4" xfId="6696" xr:uid="{068D1D0D-5ACB-444B-9950-8C81FE506C25}"/>
    <cellStyle name="60% - Accent2 4 2 2 5" xfId="8586" xr:uid="{AED30C0B-27B4-4EF5-9CA5-AED8C667DAB4}"/>
    <cellStyle name="60% - Accent2 4 2 2 6" xfId="10476" xr:uid="{C5B81A2E-B965-434D-936B-6E100B1814DD}"/>
    <cellStyle name="60% - Accent2 4 2 2 7" xfId="12366" xr:uid="{68F2FD56-08AB-4142-A52A-555A99292AD7}"/>
    <cellStyle name="60% - Accent2 4 2 2 8" xfId="14256" xr:uid="{DBC20759-231D-4742-BA54-4A70345441CA}"/>
    <cellStyle name="60% - Accent2 4 2 2 9" xfId="16146" xr:uid="{0C242237-6B40-44FC-AB97-3FF76C7A16E4}"/>
    <cellStyle name="60% - Accent2 4 2 20" xfId="32526" xr:uid="{23E07B88-3E8F-49AF-900B-DFB2AF5DD283}"/>
    <cellStyle name="60% - Accent2 4 2 21" xfId="34416" xr:uid="{E5CBE812-86C7-4945-830D-61944CB69737}"/>
    <cellStyle name="60% - Accent2 4 2 22" xfId="36306" xr:uid="{AF8C5141-2018-44E0-9707-4354FDD1B360}"/>
    <cellStyle name="60% - Accent2 4 2 23" xfId="38196" xr:uid="{2BF270D7-15A5-4991-B9CD-7A587102C8B5}"/>
    <cellStyle name="60% - Accent2 4 2 24" xfId="40087" xr:uid="{B1C71D12-882E-471F-B31A-449FE062806F}"/>
    <cellStyle name="60% - Accent2 4 2 3" xfId="1656" xr:uid="{B10DA3EE-5EFE-457A-BF86-6FF0BF1E31D9}"/>
    <cellStyle name="60% - Accent2 4 2 3 10" xfId="18666" xr:uid="{13DF22C1-9444-4D91-BC2D-4C5A6A0B4094}"/>
    <cellStyle name="60% - Accent2 4 2 3 11" xfId="20556" xr:uid="{9FAE4D50-E78F-4023-A930-3B0BA6CEFF1E}"/>
    <cellStyle name="60% - Accent2 4 2 3 12" xfId="22446" xr:uid="{4ACA0879-DA95-43E6-95EC-9A6BBC40B551}"/>
    <cellStyle name="60% - Accent2 4 2 3 13" xfId="24336" xr:uid="{3B80127D-2EB5-4BB9-91CE-6B85E4A96920}"/>
    <cellStyle name="60% - Accent2 4 2 3 14" xfId="26226" xr:uid="{D4C1E3BF-9957-4484-B13B-4A612988A2A2}"/>
    <cellStyle name="60% - Accent2 4 2 3 15" xfId="28116" xr:uid="{DB89DA62-1B36-4DA2-B870-30AA58BFA0B5}"/>
    <cellStyle name="60% - Accent2 4 2 3 16" xfId="30006" xr:uid="{F858EBAE-44E7-41B4-9D64-B152FDE761F6}"/>
    <cellStyle name="60% - Accent2 4 2 3 17" xfId="31896" xr:uid="{2CA0FB65-8620-4D8B-9FED-D649E9123D4C}"/>
    <cellStyle name="60% - Accent2 4 2 3 18" xfId="33786" xr:uid="{CE8A1E92-B55B-47F7-A5F9-7F35C292EC0B}"/>
    <cellStyle name="60% - Accent2 4 2 3 19" xfId="35676" xr:uid="{DA6B176E-BEC5-4F2C-82A7-91BC1277CA9A}"/>
    <cellStyle name="60% - Accent2 4 2 3 2" xfId="3546" xr:uid="{C5FC2E62-81B5-4513-96E5-DB9CDA0D6DD7}"/>
    <cellStyle name="60% - Accent2 4 2 3 20" xfId="37566" xr:uid="{AF4B0356-20D3-4EA6-942E-C0F5D06F5C1F}"/>
    <cellStyle name="60% - Accent2 4 2 3 21" xfId="39456" xr:uid="{8B637143-C865-4C80-81C3-52CBD0CC159E}"/>
    <cellStyle name="60% - Accent2 4 2 3 22" xfId="41347" xr:uid="{4D041169-4DE4-4001-9185-5B879042472C}"/>
    <cellStyle name="60% - Accent2 4 2 3 3" xfId="5436" xr:uid="{AF8C824D-46DA-49F0-AF6F-B7E8BF7F4745}"/>
    <cellStyle name="60% - Accent2 4 2 3 4" xfId="7326" xr:uid="{4D9799DB-6D48-4717-BD36-26B767443F61}"/>
    <cellStyle name="60% - Accent2 4 2 3 5" xfId="9216" xr:uid="{0DD8ED48-C322-44F7-8D6F-CE38CF2C34DA}"/>
    <cellStyle name="60% - Accent2 4 2 3 6" xfId="11106" xr:uid="{228E6FE8-2DBF-4B96-9049-BAA924E0363D}"/>
    <cellStyle name="60% - Accent2 4 2 3 7" xfId="12996" xr:uid="{07E9125F-8D12-4488-9027-702491CDF156}"/>
    <cellStyle name="60% - Accent2 4 2 3 8" xfId="14886" xr:uid="{3C5AAA55-CC6D-4C45-B1D1-F8803A74C123}"/>
    <cellStyle name="60% - Accent2 4 2 3 9" xfId="16776" xr:uid="{F10B7131-E911-4035-A6CC-7F3A4753520D}"/>
    <cellStyle name="60% - Accent2 4 2 4" xfId="2286" xr:uid="{AF5F74E3-1A5C-4037-96AF-5F55CE29C281}"/>
    <cellStyle name="60% - Accent2 4 2 5" xfId="4176" xr:uid="{AC109C0C-9ECA-465C-96CA-81497DAC3F43}"/>
    <cellStyle name="60% - Accent2 4 2 6" xfId="6066" xr:uid="{59340A8B-B67C-419C-8FF0-8051BFCAC532}"/>
    <cellStyle name="60% - Accent2 4 2 7" xfId="7956" xr:uid="{57F0FE78-2695-4EA1-8B57-5F11C321BB30}"/>
    <cellStyle name="60% - Accent2 4 2 8" xfId="9846" xr:uid="{AAC932B1-EA5C-4FCF-8455-9D488CF35094}"/>
    <cellStyle name="60% - Accent2 4 2 9" xfId="11736" xr:uid="{5954D3B3-F6F8-4B7A-851D-ADC41B41F634}"/>
    <cellStyle name="60% - Accent2 4 20" xfId="28536" xr:uid="{F4F01997-B71D-4D54-8133-97C4B2912629}"/>
    <cellStyle name="60% - Accent2 4 21" xfId="30426" xr:uid="{631432C8-3CE1-4223-95A1-B732A4927863}"/>
    <cellStyle name="60% - Accent2 4 22" xfId="32316" xr:uid="{1849C3E9-8092-4D75-8E31-B46F17306EB2}"/>
    <cellStyle name="60% - Accent2 4 23" xfId="34206" xr:uid="{0ACD7381-CD03-4917-B697-0A3E1E953929}"/>
    <cellStyle name="60% - Accent2 4 24" xfId="36096" xr:uid="{AEA7DF2C-196E-405B-ACCE-D5FCB37E5EE7}"/>
    <cellStyle name="60% - Accent2 4 25" xfId="37986" xr:uid="{947E677A-1327-44D0-8041-A67CAAA21E17}"/>
    <cellStyle name="60% - Accent2 4 26" xfId="39877" xr:uid="{8DF2272B-8DA5-4012-8582-69768FC4F4A1}"/>
    <cellStyle name="60% - Accent2 4 3" xfId="606" xr:uid="{BFFA49E7-9362-4560-9DF0-0804A59F907F}"/>
    <cellStyle name="60% - Accent2 4 3 10" xfId="13836" xr:uid="{C269281F-6720-4CCA-8A1B-C0B1C869A2AE}"/>
    <cellStyle name="60% - Accent2 4 3 11" xfId="15726" xr:uid="{4912D2AA-3E20-4CE0-B484-E5DFF4C2690A}"/>
    <cellStyle name="60% - Accent2 4 3 12" xfId="17616" xr:uid="{58C16CB3-FF59-4BC9-AC94-901437B370BD}"/>
    <cellStyle name="60% - Accent2 4 3 13" xfId="19506" xr:uid="{0D79DB37-DAE5-4C45-BB53-37D23FA628D2}"/>
    <cellStyle name="60% - Accent2 4 3 14" xfId="21396" xr:uid="{175C1287-A405-46D5-9875-417D22C16405}"/>
    <cellStyle name="60% - Accent2 4 3 15" xfId="23286" xr:uid="{448BF6A6-D6E0-468C-B0D6-92A69994D27D}"/>
    <cellStyle name="60% - Accent2 4 3 16" xfId="25176" xr:uid="{9BADDC8D-BB38-43E9-8733-AA2163E8C26D}"/>
    <cellStyle name="60% - Accent2 4 3 17" xfId="27066" xr:uid="{BD7AFD40-88E2-4197-836D-0C4B1FC9955A}"/>
    <cellStyle name="60% - Accent2 4 3 18" xfId="28956" xr:uid="{6AF5EC45-ABEE-49B8-8CB3-CB6853FE6876}"/>
    <cellStyle name="60% - Accent2 4 3 19" xfId="30846" xr:uid="{A4164D77-1067-45B9-8848-2DB664494026}"/>
    <cellStyle name="60% - Accent2 4 3 2" xfId="1236" xr:uid="{015FDFA4-3F96-4B9F-8A8E-DCC6DBCFEC8B}"/>
    <cellStyle name="60% - Accent2 4 3 2 10" xfId="18246" xr:uid="{289A36E4-0702-46DE-88FC-1925094807B5}"/>
    <cellStyle name="60% - Accent2 4 3 2 11" xfId="20136" xr:uid="{97D45C3C-DD91-41FF-BFC9-BE7069B355F1}"/>
    <cellStyle name="60% - Accent2 4 3 2 12" xfId="22026" xr:uid="{2CE02D98-420A-4804-9D6C-2D396B97EE48}"/>
    <cellStyle name="60% - Accent2 4 3 2 13" xfId="23916" xr:uid="{763B8DC7-D8C1-4CFB-B3FE-B75EA10E839E}"/>
    <cellStyle name="60% - Accent2 4 3 2 14" xfId="25806" xr:uid="{23FE2915-2ECC-4A78-A5DE-9FA8D1307A2F}"/>
    <cellStyle name="60% - Accent2 4 3 2 15" xfId="27696" xr:uid="{0E28380D-CABA-4FC6-BE26-77D18915CCBC}"/>
    <cellStyle name="60% - Accent2 4 3 2 16" xfId="29586" xr:uid="{1E2B9564-DC5B-4781-89A9-C8D8ED257574}"/>
    <cellStyle name="60% - Accent2 4 3 2 17" xfId="31476" xr:uid="{4E0C9025-0B61-4A4B-84F3-8EC47E3A0F51}"/>
    <cellStyle name="60% - Accent2 4 3 2 18" xfId="33366" xr:uid="{899532D5-A5DD-46D6-9B63-DA7539DE4777}"/>
    <cellStyle name="60% - Accent2 4 3 2 19" xfId="35256" xr:uid="{32EA74C8-6DF0-4EA5-816D-9A7F1DB58758}"/>
    <cellStyle name="60% - Accent2 4 3 2 2" xfId="3126" xr:uid="{A38901A9-5039-43FB-8E39-1BBE84B87D37}"/>
    <cellStyle name="60% - Accent2 4 3 2 20" xfId="37146" xr:uid="{81872448-FA7A-4990-9E5E-D2458BD23277}"/>
    <cellStyle name="60% - Accent2 4 3 2 21" xfId="39036" xr:uid="{07BA000A-5A18-43E5-A5A3-E6946E176BDC}"/>
    <cellStyle name="60% - Accent2 4 3 2 22" xfId="40927" xr:uid="{5BAB0432-B7D8-4A18-A696-0E09134CF14B}"/>
    <cellStyle name="60% - Accent2 4 3 2 3" xfId="5016" xr:uid="{77B77A79-2B2C-49B7-BBB5-90A2946971ED}"/>
    <cellStyle name="60% - Accent2 4 3 2 4" xfId="6906" xr:uid="{AFB78522-4AA2-465E-B843-49A9DF3E6437}"/>
    <cellStyle name="60% - Accent2 4 3 2 5" xfId="8796" xr:uid="{04CCB18A-7A12-4FCE-B360-C7789513BA13}"/>
    <cellStyle name="60% - Accent2 4 3 2 6" xfId="10686" xr:uid="{2C9720DD-943A-4395-9B1E-32F24CCD6BCB}"/>
    <cellStyle name="60% - Accent2 4 3 2 7" xfId="12576" xr:uid="{3D5A4A6B-9FAF-49F3-A951-CCB6A38529D7}"/>
    <cellStyle name="60% - Accent2 4 3 2 8" xfId="14466" xr:uid="{5CA656F3-DEA2-490F-B7D6-92B8E4562BAC}"/>
    <cellStyle name="60% - Accent2 4 3 2 9" xfId="16356" xr:uid="{E0FA869B-ADCD-44A6-85FE-96AA58956570}"/>
    <cellStyle name="60% - Accent2 4 3 20" xfId="32736" xr:uid="{8FA23220-536F-4D7D-A698-81EF9CCD5534}"/>
    <cellStyle name="60% - Accent2 4 3 21" xfId="34626" xr:uid="{C827C413-A4E2-4A45-9BBD-78A170D7FA24}"/>
    <cellStyle name="60% - Accent2 4 3 22" xfId="36516" xr:uid="{9AAA7E73-CD95-4D4B-A44A-2B8A1974452F}"/>
    <cellStyle name="60% - Accent2 4 3 23" xfId="38406" xr:uid="{550630C5-B1A9-42CF-B93B-7A8136523C2D}"/>
    <cellStyle name="60% - Accent2 4 3 24" xfId="40297" xr:uid="{E46B4C84-7F13-4FDB-A60F-981D82DD3195}"/>
    <cellStyle name="60% - Accent2 4 3 3" xfId="1866" xr:uid="{5D46F656-261B-407D-AACC-75347E1AE669}"/>
    <cellStyle name="60% - Accent2 4 3 3 10" xfId="18876" xr:uid="{C056AB59-0EE7-48C4-82CE-48DF159C57C2}"/>
    <cellStyle name="60% - Accent2 4 3 3 11" xfId="20766" xr:uid="{D82147B1-DF72-4E2C-8893-F59A5A91D68E}"/>
    <cellStyle name="60% - Accent2 4 3 3 12" xfId="22656" xr:uid="{A50C2A52-1E87-4592-9F4B-CD116F4562A9}"/>
    <cellStyle name="60% - Accent2 4 3 3 13" xfId="24546" xr:uid="{7A6BB478-3913-4CFA-90EF-6F1F7250C582}"/>
    <cellStyle name="60% - Accent2 4 3 3 14" xfId="26436" xr:uid="{0456E975-F702-4051-9BB2-3E72B0271800}"/>
    <cellStyle name="60% - Accent2 4 3 3 15" xfId="28326" xr:uid="{EC3BDED0-338A-4E5F-8775-CFDA06F66951}"/>
    <cellStyle name="60% - Accent2 4 3 3 16" xfId="30216" xr:uid="{B9ADC1A2-FF89-4B1B-A7CD-EB74F17617E5}"/>
    <cellStyle name="60% - Accent2 4 3 3 17" xfId="32106" xr:uid="{C8B339E9-6FF6-4EDA-8112-DE5535EBB704}"/>
    <cellStyle name="60% - Accent2 4 3 3 18" xfId="33996" xr:uid="{4CB36106-B14A-48BE-8495-FE9ED0C11CE0}"/>
    <cellStyle name="60% - Accent2 4 3 3 19" xfId="35886" xr:uid="{DAB32CD9-BAD4-47B2-80D1-1076A10EFCC5}"/>
    <cellStyle name="60% - Accent2 4 3 3 2" xfId="3756" xr:uid="{37D8C573-8D23-47F9-B399-D202382AB34E}"/>
    <cellStyle name="60% - Accent2 4 3 3 20" xfId="37776" xr:uid="{6384A016-BCDE-477A-A884-40F647B51DEB}"/>
    <cellStyle name="60% - Accent2 4 3 3 21" xfId="39666" xr:uid="{5818224E-8E61-4E9C-803E-5D916D48B710}"/>
    <cellStyle name="60% - Accent2 4 3 3 22" xfId="41557" xr:uid="{544CC6EE-F19E-47A0-9B1E-51F122F040CA}"/>
    <cellStyle name="60% - Accent2 4 3 3 3" xfId="5646" xr:uid="{DC7992FB-E543-418E-B695-E830AF00744B}"/>
    <cellStyle name="60% - Accent2 4 3 3 4" xfId="7536" xr:uid="{EEAC5EEC-E5EE-4865-B297-110394116393}"/>
    <cellStyle name="60% - Accent2 4 3 3 5" xfId="9426" xr:uid="{B7F25DD9-A713-47F2-9B2A-94CCAB4C3206}"/>
    <cellStyle name="60% - Accent2 4 3 3 6" xfId="11316" xr:uid="{51AFE15F-C1A6-4CF4-B423-18C960A587D0}"/>
    <cellStyle name="60% - Accent2 4 3 3 7" xfId="13206" xr:uid="{EDC483E9-11E2-41F4-851B-387312309C80}"/>
    <cellStyle name="60% - Accent2 4 3 3 8" xfId="15096" xr:uid="{78BAB8D2-594E-48FE-9FAF-9817E0470AB4}"/>
    <cellStyle name="60% - Accent2 4 3 3 9" xfId="16986" xr:uid="{88238113-2530-490C-A0AF-DB962E189849}"/>
    <cellStyle name="60% - Accent2 4 3 4" xfId="2496" xr:uid="{0DBE041F-2FA1-4E61-AB1F-2AF5070AA32E}"/>
    <cellStyle name="60% - Accent2 4 3 5" xfId="4386" xr:uid="{294E4037-4582-43BD-A671-10E6B23DFF45}"/>
    <cellStyle name="60% - Accent2 4 3 6" xfId="6276" xr:uid="{3727AB82-CA8E-42B4-ACC2-EE8DF18720C0}"/>
    <cellStyle name="60% - Accent2 4 3 7" xfId="8166" xr:uid="{8A8238D0-F1B7-469A-A3E4-28844336C0D2}"/>
    <cellStyle name="60% - Accent2 4 3 8" xfId="10056" xr:uid="{F613B8ED-FF67-44E4-8292-782E92DB350C}"/>
    <cellStyle name="60% - Accent2 4 3 9" xfId="11946" xr:uid="{EE3A270C-9FE0-4355-9C88-6E99848C4427}"/>
    <cellStyle name="60% - Accent2 4 4" xfId="816" xr:uid="{4C1DF085-A6A5-4567-93D8-A1634E7F6C05}"/>
    <cellStyle name="60% - Accent2 4 4 10" xfId="17826" xr:uid="{E78224E6-CE0E-4B2D-9576-CF28799636CF}"/>
    <cellStyle name="60% - Accent2 4 4 11" xfId="19716" xr:uid="{68396F94-480F-4724-937E-15243B2480E8}"/>
    <cellStyle name="60% - Accent2 4 4 12" xfId="21606" xr:uid="{D4E0E25E-1098-4120-ADD7-9648488B5DF6}"/>
    <cellStyle name="60% - Accent2 4 4 13" xfId="23496" xr:uid="{63C3689B-E196-43C1-A801-597444D9D9E5}"/>
    <cellStyle name="60% - Accent2 4 4 14" xfId="25386" xr:uid="{5E77ECEA-7006-460D-902D-2ABDFFF41A74}"/>
    <cellStyle name="60% - Accent2 4 4 15" xfId="27276" xr:uid="{ADFDEE2B-B43B-43EC-A56F-A10F5B7074F8}"/>
    <cellStyle name="60% - Accent2 4 4 16" xfId="29166" xr:uid="{F7FBD886-20AD-4613-8382-965C13903B32}"/>
    <cellStyle name="60% - Accent2 4 4 17" xfId="31056" xr:uid="{E6D6B01D-F957-4DEB-8FC5-C9D9368217AB}"/>
    <cellStyle name="60% - Accent2 4 4 18" xfId="32946" xr:uid="{EE4BA234-5FA3-4878-8016-58615FEF9BBC}"/>
    <cellStyle name="60% - Accent2 4 4 19" xfId="34836" xr:uid="{50DAEB7B-0B0D-4439-B685-AD8D60221D11}"/>
    <cellStyle name="60% - Accent2 4 4 2" xfId="2706" xr:uid="{8069433B-D063-4C37-A9EF-D455E1708DDB}"/>
    <cellStyle name="60% - Accent2 4 4 20" xfId="36726" xr:uid="{25A2E9B8-0F46-46D8-82C9-D08942951B6D}"/>
    <cellStyle name="60% - Accent2 4 4 21" xfId="38616" xr:uid="{D6FD7259-5C49-4946-9B60-83B32BD7C7C7}"/>
    <cellStyle name="60% - Accent2 4 4 22" xfId="40507" xr:uid="{903985AE-E583-4A14-AB3C-84F1FC5DF7D2}"/>
    <cellStyle name="60% - Accent2 4 4 3" xfId="4596" xr:uid="{61188D2D-AAD0-4337-9A7D-535A9719CEC6}"/>
    <cellStyle name="60% - Accent2 4 4 4" xfId="6486" xr:uid="{8A6A3547-650B-4856-A696-A2E58AD6CD7C}"/>
    <cellStyle name="60% - Accent2 4 4 5" xfId="8376" xr:uid="{FF8C4A93-1D5A-4960-BF42-D6392099C6DB}"/>
    <cellStyle name="60% - Accent2 4 4 6" xfId="10266" xr:uid="{2E4FC8C0-8431-480A-9201-6F3D926704EB}"/>
    <cellStyle name="60% - Accent2 4 4 7" xfId="12156" xr:uid="{0A4660D1-12D7-451E-8619-FD50D7C16CF5}"/>
    <cellStyle name="60% - Accent2 4 4 8" xfId="14046" xr:uid="{64277F0C-D739-4BFE-9C6C-709B04CCC716}"/>
    <cellStyle name="60% - Accent2 4 4 9" xfId="15936" xr:uid="{7A2DC7D8-35C3-47F0-90D6-0064533EBBF5}"/>
    <cellStyle name="60% - Accent2 4 5" xfId="1446" xr:uid="{2449E0D4-5AF0-4F31-A1B4-CFC217FA19D0}"/>
    <cellStyle name="60% - Accent2 4 5 10" xfId="18456" xr:uid="{17B403A1-FBE4-45F0-B261-558ABB55D790}"/>
    <cellStyle name="60% - Accent2 4 5 11" xfId="20346" xr:uid="{7E7CE8EE-BFED-4AC9-A36F-D74EEF105FD4}"/>
    <cellStyle name="60% - Accent2 4 5 12" xfId="22236" xr:uid="{DC03D25B-2DBE-42B7-A119-3C33F1CB3A68}"/>
    <cellStyle name="60% - Accent2 4 5 13" xfId="24126" xr:uid="{678EFE8C-E028-4EAD-95F4-D0E97675137C}"/>
    <cellStyle name="60% - Accent2 4 5 14" xfId="26016" xr:uid="{4D29463C-1C85-4133-A1BD-C68CF125885D}"/>
    <cellStyle name="60% - Accent2 4 5 15" xfId="27906" xr:uid="{BB4BEEE1-9C7F-48DA-90E5-4DD7F513131B}"/>
    <cellStyle name="60% - Accent2 4 5 16" xfId="29796" xr:uid="{648A2060-3186-4B17-A148-5DBA342A3CED}"/>
    <cellStyle name="60% - Accent2 4 5 17" xfId="31686" xr:uid="{35BC03FC-9030-489D-BE77-C6DDB3183677}"/>
    <cellStyle name="60% - Accent2 4 5 18" xfId="33576" xr:uid="{22D6CAED-E96B-47B3-ABEE-1BAEA8888785}"/>
    <cellStyle name="60% - Accent2 4 5 19" xfId="35466" xr:uid="{73CA3713-29ED-49B4-8DA1-5A9ED8121C58}"/>
    <cellStyle name="60% - Accent2 4 5 2" xfId="3336" xr:uid="{0C513A68-B8D2-47AF-86A1-B22995AEAEBF}"/>
    <cellStyle name="60% - Accent2 4 5 20" xfId="37356" xr:uid="{5A1E930E-2B47-427B-BCEA-52431071C6FF}"/>
    <cellStyle name="60% - Accent2 4 5 21" xfId="39246" xr:uid="{F4AF5020-FD55-4608-A269-58827AB65CC6}"/>
    <cellStyle name="60% - Accent2 4 5 22" xfId="41137" xr:uid="{C53815EF-D11C-4FFD-BFBA-47AEF9D12ABF}"/>
    <cellStyle name="60% - Accent2 4 5 3" xfId="5226" xr:uid="{DCF8CF39-26F7-44E1-B750-3464482DE8C0}"/>
    <cellStyle name="60% - Accent2 4 5 4" xfId="7116" xr:uid="{8010B19F-55B4-40C0-9ACA-CA90EFA0410A}"/>
    <cellStyle name="60% - Accent2 4 5 5" xfId="9006" xr:uid="{63C1BF72-D56D-48C4-AA9F-BEC7A284F5EB}"/>
    <cellStyle name="60% - Accent2 4 5 6" xfId="10896" xr:uid="{BEF054A1-C334-46C2-80A9-A6405D84D045}"/>
    <cellStyle name="60% - Accent2 4 5 7" xfId="12786" xr:uid="{3EB9C944-DBFD-440A-837F-11D7FA67FF57}"/>
    <cellStyle name="60% - Accent2 4 5 8" xfId="14676" xr:uid="{5040B519-1AF9-4F47-AC0C-5125D0969DDB}"/>
    <cellStyle name="60% - Accent2 4 5 9" xfId="16566" xr:uid="{76FFDB5F-5332-48EC-8BCF-E1DBD8480E16}"/>
    <cellStyle name="60% - Accent2 4 6" xfId="2076" xr:uid="{6E008356-D82F-46D6-BA65-D47AA6AB409F}"/>
    <cellStyle name="60% - Accent2 4 7" xfId="3966" xr:uid="{8C3D0B00-A0B9-4684-81E5-0135EC710EA8}"/>
    <cellStyle name="60% - Accent2 4 8" xfId="5856" xr:uid="{DDD7A362-0CCF-4755-ACA0-E683354A012A}"/>
    <cellStyle name="60% - Accent2 4 9" xfId="7746" xr:uid="{99EA21EE-2760-4643-A258-CD2519B4118A}"/>
    <cellStyle name="60% - Accent2 5" xfId="291" xr:uid="{CB75D414-0D2D-4A93-AAD8-D1BCAD1344B6}"/>
    <cellStyle name="60% - Accent2 5 10" xfId="13521" xr:uid="{C856C7CA-767A-4F52-9A90-F69F1F20CADA}"/>
    <cellStyle name="60% - Accent2 5 11" xfId="15411" xr:uid="{8482B159-0B75-460F-950A-465C6AF519F7}"/>
    <cellStyle name="60% - Accent2 5 12" xfId="17301" xr:uid="{5DFFDE97-0C76-4315-B942-E9558FEE0D1A}"/>
    <cellStyle name="60% - Accent2 5 13" xfId="19191" xr:uid="{E10F7C57-86B6-408D-9ABE-E2B374A1A12C}"/>
    <cellStyle name="60% - Accent2 5 14" xfId="21081" xr:uid="{1E3C5754-3AAD-476E-9D7A-274840D80DEF}"/>
    <cellStyle name="60% - Accent2 5 15" xfId="22971" xr:uid="{BDFDEBD6-CFD1-422F-8D02-A1339B6ACCD6}"/>
    <cellStyle name="60% - Accent2 5 16" xfId="24861" xr:uid="{7DFA4F44-3E37-412E-9AA6-FD5C38A2EA8F}"/>
    <cellStyle name="60% - Accent2 5 17" xfId="26751" xr:uid="{0C03A719-0718-4F6C-8BDB-169E0B922331}"/>
    <cellStyle name="60% - Accent2 5 18" xfId="28641" xr:uid="{20F59BBC-0C47-4793-AA57-5EC623D57912}"/>
    <cellStyle name="60% - Accent2 5 19" xfId="30531" xr:uid="{282FE832-C162-4B70-8550-6314B487D32E}"/>
    <cellStyle name="60% - Accent2 5 2" xfId="921" xr:uid="{D856695F-668F-4D78-82F1-6EE1CD5E6CDF}"/>
    <cellStyle name="60% - Accent2 5 2 10" xfId="17931" xr:uid="{945E2F9E-1AE9-4199-910F-1E19E5EC1222}"/>
    <cellStyle name="60% - Accent2 5 2 11" xfId="19821" xr:uid="{12C3F355-25CA-4CFA-B91B-1F87F7EE34C7}"/>
    <cellStyle name="60% - Accent2 5 2 12" xfId="21711" xr:uid="{D3D5D5AC-3750-412D-A63A-B5A1C23B44BA}"/>
    <cellStyle name="60% - Accent2 5 2 13" xfId="23601" xr:uid="{43E2165F-4A1F-40EE-A849-AC05E2DCFF18}"/>
    <cellStyle name="60% - Accent2 5 2 14" xfId="25491" xr:uid="{F954BA94-C4F9-43CC-A706-789F7257E58A}"/>
    <cellStyle name="60% - Accent2 5 2 15" xfId="27381" xr:uid="{72F499EF-DE0E-44AB-BE25-F325EE981022}"/>
    <cellStyle name="60% - Accent2 5 2 16" xfId="29271" xr:uid="{8DC55AA8-4DAE-4417-853E-0443120B45A5}"/>
    <cellStyle name="60% - Accent2 5 2 17" xfId="31161" xr:uid="{0CF50D6F-2C7F-41C9-A50B-545401774157}"/>
    <cellStyle name="60% - Accent2 5 2 18" xfId="33051" xr:uid="{3E826328-C020-483A-B8A2-EF0A807BC287}"/>
    <cellStyle name="60% - Accent2 5 2 19" xfId="34941" xr:uid="{994CF413-B315-44CB-BFF7-454E70077FEF}"/>
    <cellStyle name="60% - Accent2 5 2 2" xfId="2811" xr:uid="{9A2EF818-7AFA-4AF6-B697-EE2F0570DE93}"/>
    <cellStyle name="60% - Accent2 5 2 20" xfId="36831" xr:uid="{AFB32541-06CA-4A80-A554-EB8CEA050929}"/>
    <cellStyle name="60% - Accent2 5 2 21" xfId="38721" xr:uid="{D21EBDC5-2018-4E8B-B637-98FC59B07E42}"/>
    <cellStyle name="60% - Accent2 5 2 22" xfId="40612" xr:uid="{B482175E-9775-4175-814D-80BA309E3FC8}"/>
    <cellStyle name="60% - Accent2 5 2 3" xfId="4701" xr:uid="{39AE7418-2725-409D-8F4D-D9CA732B8BC2}"/>
    <cellStyle name="60% - Accent2 5 2 4" xfId="6591" xr:uid="{3D44B33C-CE6D-4D3D-997A-282A94FBFF05}"/>
    <cellStyle name="60% - Accent2 5 2 5" xfId="8481" xr:uid="{15996A73-0A9A-416C-85F9-189324A604AE}"/>
    <cellStyle name="60% - Accent2 5 2 6" xfId="10371" xr:uid="{AC8ABC47-98B2-4091-94C3-947713608EC0}"/>
    <cellStyle name="60% - Accent2 5 2 7" xfId="12261" xr:uid="{3B66DE7B-F11B-49CC-A872-361A5DA64E76}"/>
    <cellStyle name="60% - Accent2 5 2 8" xfId="14151" xr:uid="{D5B4D5C5-DC58-456F-B603-4432410BABB9}"/>
    <cellStyle name="60% - Accent2 5 2 9" xfId="16041" xr:uid="{BF70E121-AF82-4078-B80C-EE218585CA2E}"/>
    <cellStyle name="60% - Accent2 5 20" xfId="32421" xr:uid="{41397FEA-7E52-4194-A7E7-F7E85F795991}"/>
    <cellStyle name="60% - Accent2 5 21" xfId="34311" xr:uid="{923864F5-E2F8-49CD-AD35-54759D2901D5}"/>
    <cellStyle name="60% - Accent2 5 22" xfId="36201" xr:uid="{3E79C2FC-2E14-4246-A882-048E7E9E5BE8}"/>
    <cellStyle name="60% - Accent2 5 23" xfId="38091" xr:uid="{B3B7FCCA-C877-4965-A90A-C1B788D30E78}"/>
    <cellStyle name="60% - Accent2 5 24" xfId="39982" xr:uid="{167878AE-45B9-4400-B674-9C46C20FADCB}"/>
    <cellStyle name="60% - Accent2 5 3" xfId="1551" xr:uid="{6020F61D-F1B9-4693-BBB0-479E15A310A2}"/>
    <cellStyle name="60% - Accent2 5 3 10" xfId="18561" xr:uid="{0FB52E1E-8942-4A17-B3D7-05637B4F0A0E}"/>
    <cellStyle name="60% - Accent2 5 3 11" xfId="20451" xr:uid="{A3708EB4-ACFB-4D30-BE84-6C5B30AECCFD}"/>
    <cellStyle name="60% - Accent2 5 3 12" xfId="22341" xr:uid="{C2B7C598-26B9-4E25-8039-979EC7630D03}"/>
    <cellStyle name="60% - Accent2 5 3 13" xfId="24231" xr:uid="{261E4638-E924-4221-9A8C-A5ED25220CA9}"/>
    <cellStyle name="60% - Accent2 5 3 14" xfId="26121" xr:uid="{F9BAC1A0-BD20-477B-93F6-244245AF7A06}"/>
    <cellStyle name="60% - Accent2 5 3 15" xfId="28011" xr:uid="{A2B2EEC8-BC0D-4644-8AD5-D0D8C2A2040F}"/>
    <cellStyle name="60% - Accent2 5 3 16" xfId="29901" xr:uid="{6A25FDE6-2009-49C8-928F-6310C4A9972D}"/>
    <cellStyle name="60% - Accent2 5 3 17" xfId="31791" xr:uid="{EC824B69-3574-4B83-8137-C5AF87FDBF94}"/>
    <cellStyle name="60% - Accent2 5 3 18" xfId="33681" xr:uid="{13886609-7864-461A-BEA1-32ED63253A37}"/>
    <cellStyle name="60% - Accent2 5 3 19" xfId="35571" xr:uid="{103EB1BB-54CA-4039-BAAA-764F9969B0B6}"/>
    <cellStyle name="60% - Accent2 5 3 2" xfId="3441" xr:uid="{676CA5B5-5517-482E-BFDC-CF6B0DBC670F}"/>
    <cellStyle name="60% - Accent2 5 3 20" xfId="37461" xr:uid="{70ED6A60-19DB-4B3A-953E-5B2C5C51A9E2}"/>
    <cellStyle name="60% - Accent2 5 3 21" xfId="39351" xr:uid="{6423DD3B-8648-4E05-AC08-D9251BB5EA78}"/>
    <cellStyle name="60% - Accent2 5 3 22" xfId="41242" xr:uid="{BAB9092B-E938-4849-86FF-7C10FD5517ED}"/>
    <cellStyle name="60% - Accent2 5 3 3" xfId="5331" xr:uid="{1A6FB3FB-C18B-4069-B029-50F6F4D8E3E5}"/>
    <cellStyle name="60% - Accent2 5 3 4" xfId="7221" xr:uid="{50AD5FD2-F72A-42CF-84EC-17DEF4ACFA21}"/>
    <cellStyle name="60% - Accent2 5 3 5" xfId="9111" xr:uid="{8D244D76-17CC-42D2-80E6-304AC672D49C}"/>
    <cellStyle name="60% - Accent2 5 3 6" xfId="11001" xr:uid="{C4775A11-39DD-42AF-B33B-CEFC0FA3001E}"/>
    <cellStyle name="60% - Accent2 5 3 7" xfId="12891" xr:uid="{DCD1543B-0645-4C62-B0EA-D54556C3E94F}"/>
    <cellStyle name="60% - Accent2 5 3 8" xfId="14781" xr:uid="{AAAD28D9-1784-4AEF-87C5-8C4EC1BE4DB3}"/>
    <cellStyle name="60% - Accent2 5 3 9" xfId="16671" xr:uid="{654E82F8-399A-4B1E-9D82-A1790267F8F9}"/>
    <cellStyle name="60% - Accent2 5 4" xfId="2181" xr:uid="{5B22CBA4-11AB-4C3C-8610-9287509CF94A}"/>
    <cellStyle name="60% - Accent2 5 5" xfId="4071" xr:uid="{69EA1C15-6740-4941-84E9-BDC1A47D43B7}"/>
    <cellStyle name="60% - Accent2 5 6" xfId="5961" xr:uid="{4FE3653B-795B-497B-9890-4A225C8CFB45}"/>
    <cellStyle name="60% - Accent2 5 7" xfId="7851" xr:uid="{13BE6320-3BE5-472B-9E23-5FD93F7D8872}"/>
    <cellStyle name="60% - Accent2 5 8" xfId="9741" xr:uid="{8F7059A6-EAB4-4472-A247-44B56839A62E}"/>
    <cellStyle name="60% - Accent2 5 9" xfId="11631" xr:uid="{77C13B68-4A50-45B5-88BC-F39F63ECEF54}"/>
    <cellStyle name="60% - Accent2 6" xfId="501" xr:uid="{0883AFC3-4632-411F-AB19-A98905ADF57E}"/>
    <cellStyle name="60% - Accent2 6 10" xfId="13731" xr:uid="{649C0E57-32CD-4970-961B-A9D090801081}"/>
    <cellStyle name="60% - Accent2 6 11" xfId="15621" xr:uid="{A1E8E28A-C404-42FF-8C7F-87B690BD99CF}"/>
    <cellStyle name="60% - Accent2 6 12" xfId="17511" xr:uid="{97E1ABDF-BECA-4F9E-B56B-BE29ECCD8A6D}"/>
    <cellStyle name="60% - Accent2 6 13" xfId="19401" xr:uid="{0CF6EDB4-6EBD-4C56-9AAE-37CACCAF0429}"/>
    <cellStyle name="60% - Accent2 6 14" xfId="21291" xr:uid="{B516676D-F045-454A-A58B-C1FCCA566EA8}"/>
    <cellStyle name="60% - Accent2 6 15" xfId="23181" xr:uid="{50837D19-5BE8-4BE1-88D2-2D2EA5B559F9}"/>
    <cellStyle name="60% - Accent2 6 16" xfId="25071" xr:uid="{87D90D17-47A1-48F4-89E6-CED447832A77}"/>
    <cellStyle name="60% - Accent2 6 17" xfId="26961" xr:uid="{C580FE42-8BFB-4627-AC43-0B6734CFFCB4}"/>
    <cellStyle name="60% - Accent2 6 18" xfId="28851" xr:uid="{74672626-15BF-405C-B918-9703F00FF1D9}"/>
    <cellStyle name="60% - Accent2 6 19" xfId="30741" xr:uid="{0605FFF6-6703-4541-ACBC-D94B933981AC}"/>
    <cellStyle name="60% - Accent2 6 2" xfId="1131" xr:uid="{7EA54F0A-0353-46A9-92B6-F3ACA6BFB948}"/>
    <cellStyle name="60% - Accent2 6 2 10" xfId="18141" xr:uid="{082EF756-F20B-4092-9578-B349F61C0F3B}"/>
    <cellStyle name="60% - Accent2 6 2 11" xfId="20031" xr:uid="{ED4F0014-AB41-450D-A03D-03A6CFE2C4DF}"/>
    <cellStyle name="60% - Accent2 6 2 12" xfId="21921" xr:uid="{AA5FD3E5-1F0D-46A0-962B-FF442109F326}"/>
    <cellStyle name="60% - Accent2 6 2 13" xfId="23811" xr:uid="{F2E878C5-7375-4EE1-A830-398922EB8C69}"/>
    <cellStyle name="60% - Accent2 6 2 14" xfId="25701" xr:uid="{4B73810D-1059-42C2-82A9-DA5668BAB555}"/>
    <cellStyle name="60% - Accent2 6 2 15" xfId="27591" xr:uid="{78F2D3DC-04B2-4DBA-A6AF-BF5204C6BAF1}"/>
    <cellStyle name="60% - Accent2 6 2 16" xfId="29481" xr:uid="{09E31403-CA8E-4E26-AECE-22A8F017F74A}"/>
    <cellStyle name="60% - Accent2 6 2 17" xfId="31371" xr:uid="{BB822594-C693-45F2-A4C9-77405B5F4DC5}"/>
    <cellStyle name="60% - Accent2 6 2 18" xfId="33261" xr:uid="{E9A5A581-FDD8-467A-A78A-FE53BAEFFA29}"/>
    <cellStyle name="60% - Accent2 6 2 19" xfId="35151" xr:uid="{345F3B2A-A35F-4693-9D32-8883EB07FAB5}"/>
    <cellStyle name="60% - Accent2 6 2 2" xfId="3021" xr:uid="{07FB02E1-AD12-48BF-850D-1CC84ADE962A}"/>
    <cellStyle name="60% - Accent2 6 2 20" xfId="37041" xr:uid="{043CD956-FC6A-4D5A-935E-7D59E1E6C41A}"/>
    <cellStyle name="60% - Accent2 6 2 21" xfId="38931" xr:uid="{2F30285A-5EA7-483E-8E4D-E95586AE4902}"/>
    <cellStyle name="60% - Accent2 6 2 22" xfId="40822" xr:uid="{177AE45F-1476-4B27-BE40-35848D5EEA50}"/>
    <cellStyle name="60% - Accent2 6 2 3" xfId="4911" xr:uid="{26B54639-115D-4E72-902A-7B3C53A7132A}"/>
    <cellStyle name="60% - Accent2 6 2 4" xfId="6801" xr:uid="{E77FD9A0-A404-4C7F-95B3-D99A00CB0F21}"/>
    <cellStyle name="60% - Accent2 6 2 5" xfId="8691" xr:uid="{AA8BCF53-3C2E-4A9C-BFB4-08E8F409F7FA}"/>
    <cellStyle name="60% - Accent2 6 2 6" xfId="10581" xr:uid="{B8D00620-1B51-461C-B848-F37615484BCD}"/>
    <cellStyle name="60% - Accent2 6 2 7" xfId="12471" xr:uid="{46C6FC79-642E-4CE4-9DBB-45EA5F48888D}"/>
    <cellStyle name="60% - Accent2 6 2 8" xfId="14361" xr:uid="{E1818A89-D8DE-40E0-8E4F-6EDC89B65785}"/>
    <cellStyle name="60% - Accent2 6 2 9" xfId="16251" xr:uid="{C6CC60ED-CE1A-4389-9A20-B579E934A4A5}"/>
    <cellStyle name="60% - Accent2 6 20" xfId="32631" xr:uid="{5FE7CEF5-9708-4043-B45E-E937B99CB3F1}"/>
    <cellStyle name="60% - Accent2 6 21" xfId="34521" xr:uid="{C55B5D02-2715-40FA-85A2-3B1163CF9521}"/>
    <cellStyle name="60% - Accent2 6 22" xfId="36411" xr:uid="{A282D916-A71E-48EE-B922-770F663704CB}"/>
    <cellStyle name="60% - Accent2 6 23" xfId="38301" xr:uid="{95AEAA6A-7FAF-466A-B1A3-385F21A84BD1}"/>
    <cellStyle name="60% - Accent2 6 24" xfId="40192" xr:uid="{ABCB2070-EE89-44BB-AB8A-3970BCBD92D1}"/>
    <cellStyle name="60% - Accent2 6 3" xfId="1761" xr:uid="{5809973D-F9AA-4D2E-815F-89A9BF85EFD3}"/>
    <cellStyle name="60% - Accent2 6 3 10" xfId="18771" xr:uid="{1D19F7FF-C588-4F46-9F9B-AF86BCF9171A}"/>
    <cellStyle name="60% - Accent2 6 3 11" xfId="20661" xr:uid="{C93E8AB7-57A7-4D4D-B310-8EA1E51F2E0D}"/>
    <cellStyle name="60% - Accent2 6 3 12" xfId="22551" xr:uid="{BD3248BA-8698-40CF-A2C0-03F18B73EF48}"/>
    <cellStyle name="60% - Accent2 6 3 13" xfId="24441" xr:uid="{6FAD6492-80F6-4C2A-AEEA-F7818811376E}"/>
    <cellStyle name="60% - Accent2 6 3 14" xfId="26331" xr:uid="{ED9F19F6-EA58-4EAD-89E4-415D3600062B}"/>
    <cellStyle name="60% - Accent2 6 3 15" xfId="28221" xr:uid="{B64EE173-B87C-424A-AA78-7508A604CB17}"/>
    <cellStyle name="60% - Accent2 6 3 16" xfId="30111" xr:uid="{2057C56C-2DD4-4127-B039-FB00D212B7A7}"/>
    <cellStyle name="60% - Accent2 6 3 17" xfId="32001" xr:uid="{9F9EB1D9-06DA-4975-A335-7E2C99B28FAA}"/>
    <cellStyle name="60% - Accent2 6 3 18" xfId="33891" xr:uid="{D3D645C6-B69D-4C0C-88FA-48BA81CB2537}"/>
    <cellStyle name="60% - Accent2 6 3 19" xfId="35781" xr:uid="{29451B38-FED9-4B71-9E2C-5FF10477303E}"/>
    <cellStyle name="60% - Accent2 6 3 2" xfId="3651" xr:uid="{3079AF4A-9A08-417C-86C2-A0060854ACD1}"/>
    <cellStyle name="60% - Accent2 6 3 20" xfId="37671" xr:uid="{8C6A1FF6-D8D5-4D9F-A21A-4FD5EECEDE51}"/>
    <cellStyle name="60% - Accent2 6 3 21" xfId="39561" xr:uid="{295D4AC5-BE8C-47FA-A21E-25D97F393E71}"/>
    <cellStyle name="60% - Accent2 6 3 22" xfId="41452" xr:uid="{32EA65B8-1DEC-4AF5-8D3A-05BC9091292E}"/>
    <cellStyle name="60% - Accent2 6 3 3" xfId="5541" xr:uid="{16F2BCC6-AF78-46AE-AA38-B6CDE6AB2E59}"/>
    <cellStyle name="60% - Accent2 6 3 4" xfId="7431" xr:uid="{57591555-A98C-47A9-82EA-3241FE85E555}"/>
    <cellStyle name="60% - Accent2 6 3 5" xfId="9321" xr:uid="{70937EC5-D83F-4518-B66C-ACBFCE05FADC}"/>
    <cellStyle name="60% - Accent2 6 3 6" xfId="11211" xr:uid="{567DE608-BEC2-4387-9FFC-1925AAB11753}"/>
    <cellStyle name="60% - Accent2 6 3 7" xfId="13101" xr:uid="{7AA99703-E911-478A-A043-5A766953549C}"/>
    <cellStyle name="60% - Accent2 6 3 8" xfId="14991" xr:uid="{8C563E58-4EB9-471E-990E-5F38E6C5246C}"/>
    <cellStyle name="60% - Accent2 6 3 9" xfId="16881" xr:uid="{639F6B0C-DEDC-44E7-8EF2-C8BD4B762B7F}"/>
    <cellStyle name="60% - Accent2 6 4" xfId="2391" xr:uid="{F0900E62-00AD-4CC8-81B3-3EF4107CFED8}"/>
    <cellStyle name="60% - Accent2 6 5" xfId="4281" xr:uid="{115CD470-F707-406B-BF3B-4808D0AF9925}"/>
    <cellStyle name="60% - Accent2 6 6" xfId="6171" xr:uid="{C7BA89EA-AAAA-469D-82A1-AE1E6F6CA3AB}"/>
    <cellStyle name="60% - Accent2 6 7" xfId="8061" xr:uid="{1E9B4FA7-4867-4B45-9CAD-C161E1A0083F}"/>
    <cellStyle name="60% - Accent2 6 8" xfId="9951" xr:uid="{23DF866A-1906-470D-8E53-B167CBCE8926}"/>
    <cellStyle name="60% - Accent2 6 9" xfId="11841" xr:uid="{50962902-FC43-4B63-8181-F3F4393D1FA3}"/>
    <cellStyle name="60% - Accent2 7" xfId="711" xr:uid="{DDB022AC-8187-494D-9CC3-29BE10BB9E35}"/>
    <cellStyle name="60% - Accent2 7 10" xfId="17721" xr:uid="{C1BF4FBB-F630-4D7D-916D-3AB30A2E0B61}"/>
    <cellStyle name="60% - Accent2 7 11" xfId="19611" xr:uid="{0FD5E9B8-A09B-42EE-A785-0EA1DA108054}"/>
    <cellStyle name="60% - Accent2 7 12" xfId="21501" xr:uid="{38A5AFDC-DFED-4F2B-892C-E41A437D9B6E}"/>
    <cellStyle name="60% - Accent2 7 13" xfId="23391" xr:uid="{41BEDD71-602E-4101-A9A4-9A103AD129E4}"/>
    <cellStyle name="60% - Accent2 7 14" xfId="25281" xr:uid="{922857CB-A350-4FEE-8EB0-7E7F858550C2}"/>
    <cellStyle name="60% - Accent2 7 15" xfId="27171" xr:uid="{07E31573-AF46-4C42-8135-A6F4D59B0369}"/>
    <cellStyle name="60% - Accent2 7 16" xfId="29061" xr:uid="{78A42EC4-B88B-4EF6-B6E2-9308982ABC77}"/>
    <cellStyle name="60% - Accent2 7 17" xfId="30951" xr:uid="{56047A6B-D03D-4905-934F-33C84C4F9BED}"/>
    <cellStyle name="60% - Accent2 7 18" xfId="32841" xr:uid="{9C7F695F-8A96-485D-8585-3809D2BC277E}"/>
    <cellStyle name="60% - Accent2 7 19" xfId="34731" xr:uid="{F18CFB7F-E9C4-4A5D-A1ED-F13F651A928A}"/>
    <cellStyle name="60% - Accent2 7 2" xfId="2601" xr:uid="{13BB021B-F01D-400D-B7DB-115697821B8D}"/>
    <cellStyle name="60% - Accent2 7 20" xfId="36621" xr:uid="{26291977-2AC4-4277-8DA8-269F2D8CCB65}"/>
    <cellStyle name="60% - Accent2 7 21" xfId="38511" xr:uid="{08F6AD1E-01C3-4A46-9961-8E9EFA7F0B8D}"/>
    <cellStyle name="60% - Accent2 7 22" xfId="40402" xr:uid="{488A18D0-E5C8-4B5B-99EC-1D98D0D3181C}"/>
    <cellStyle name="60% - Accent2 7 3" xfId="4491" xr:uid="{D34666BA-B16E-4AD7-920A-A77BC1588FA0}"/>
    <cellStyle name="60% - Accent2 7 4" xfId="6381" xr:uid="{A59FFB3D-D029-4229-AE28-B793F34A88CE}"/>
    <cellStyle name="60% - Accent2 7 5" xfId="8271" xr:uid="{9652218F-6EC6-494C-8E9F-12766C8D1D81}"/>
    <cellStyle name="60% - Accent2 7 6" xfId="10161" xr:uid="{D33CFED1-E9B8-4228-9870-88E4FB4C5909}"/>
    <cellStyle name="60% - Accent2 7 7" xfId="12051" xr:uid="{2C9F9103-7F69-438F-8979-D23B7E593151}"/>
    <cellStyle name="60% - Accent2 7 8" xfId="13941" xr:uid="{6E34CA17-4065-400A-890B-EDDA75052D36}"/>
    <cellStyle name="60% - Accent2 7 9" xfId="15831" xr:uid="{63197B99-9ACC-4064-A454-EB6CD5446020}"/>
    <cellStyle name="60% - Accent2 8" xfId="1341" xr:uid="{72A35D03-F68F-4910-BAFC-F0A2FA3D4270}"/>
    <cellStyle name="60% - Accent2 8 10" xfId="18351" xr:uid="{22538383-53BE-4409-809E-A4E59E03D263}"/>
    <cellStyle name="60% - Accent2 8 11" xfId="20241" xr:uid="{17E0D6A0-F8A8-4E71-B64F-12DFF453F7BA}"/>
    <cellStyle name="60% - Accent2 8 12" xfId="22131" xr:uid="{FD21BF11-6F4D-48C8-981D-FB1D75140293}"/>
    <cellStyle name="60% - Accent2 8 13" xfId="24021" xr:uid="{F82F742D-C97C-4505-BDD1-3DB46880D0C6}"/>
    <cellStyle name="60% - Accent2 8 14" xfId="25911" xr:uid="{ED90D337-D020-4CF1-866A-590414A5C17F}"/>
    <cellStyle name="60% - Accent2 8 15" xfId="27801" xr:uid="{2F3BB482-5858-4403-81FC-163EEB044C45}"/>
    <cellStyle name="60% - Accent2 8 16" xfId="29691" xr:uid="{3670693C-AE90-4658-9DE6-CDA274A79BE6}"/>
    <cellStyle name="60% - Accent2 8 17" xfId="31581" xr:uid="{07328C27-13DC-4AAB-B6CE-6F5F13321BCE}"/>
    <cellStyle name="60% - Accent2 8 18" xfId="33471" xr:uid="{F6968833-A2DF-4414-8F04-38AA78B28642}"/>
    <cellStyle name="60% - Accent2 8 19" xfId="35361" xr:uid="{75CD8065-B369-48BC-BF6A-887204ADB10A}"/>
    <cellStyle name="60% - Accent2 8 2" xfId="3231" xr:uid="{142945BE-2835-4CFF-9CDD-E877423729CF}"/>
    <cellStyle name="60% - Accent2 8 20" xfId="37251" xr:uid="{A2D65891-F3A1-4BF0-9662-20B7406DCC28}"/>
    <cellStyle name="60% - Accent2 8 21" xfId="39141" xr:uid="{25A20CE2-706B-4060-9862-970D0E394736}"/>
    <cellStyle name="60% - Accent2 8 22" xfId="41032" xr:uid="{073F1B87-EE78-4474-AA09-5DF4E93A98F1}"/>
    <cellStyle name="60% - Accent2 8 3" xfId="5121" xr:uid="{2D25923D-5904-4E24-87CC-41B5EBDA84F3}"/>
    <cellStyle name="60% - Accent2 8 4" xfId="7011" xr:uid="{ADFA4F00-AA22-4A8A-929D-1E8302FE2C7B}"/>
    <cellStyle name="60% - Accent2 8 5" xfId="8901" xr:uid="{D183BEF3-F36F-49B9-A0E9-1538359F2564}"/>
    <cellStyle name="60% - Accent2 8 6" xfId="10791" xr:uid="{AD7003F7-DA4D-4FE2-9E44-D27DF375855A}"/>
    <cellStyle name="60% - Accent2 8 7" xfId="12681" xr:uid="{0956F64E-81D1-44EC-A607-C10C9436B8F0}"/>
    <cellStyle name="60% - Accent2 8 8" xfId="14571" xr:uid="{3862C6B3-23C4-45FC-8319-47EE8DBBD0B9}"/>
    <cellStyle name="60% - Accent2 8 9" xfId="16461" xr:uid="{E8C86E61-9BF7-410B-82C9-5D0E8B2046C0}"/>
    <cellStyle name="60% - Accent2 9" xfId="1971" xr:uid="{E99EF0FE-AF11-4FA0-8D8E-03A9691548C7}"/>
    <cellStyle name="60% - Accent3" xfId="81" builtinId="40" customBuiltin="1"/>
    <cellStyle name="60% - Accent3 10" xfId="3864" xr:uid="{DFC186E8-DAD0-44C2-8C37-B4E5986135E2}"/>
    <cellStyle name="60% - Accent3 11" xfId="5754" xr:uid="{7D0340C8-13F1-401E-8A4D-39DEBBF37ABD}"/>
    <cellStyle name="60% - Accent3 12" xfId="7644" xr:uid="{67462B68-8F5C-4A4E-AD2D-F0E1E30B8313}"/>
    <cellStyle name="60% - Accent3 13" xfId="9534" xr:uid="{D12F1143-C9F8-4A88-BA44-55CB3D3DC837}"/>
    <cellStyle name="60% - Accent3 14" xfId="11424" xr:uid="{21E9A2D6-5C93-4544-9A3C-A2743736E96B}"/>
    <cellStyle name="60% - Accent3 15" xfId="13314" xr:uid="{ABC9E650-1D9D-44C9-AA75-D8CD571B7927}"/>
    <cellStyle name="60% - Accent3 16" xfId="15204" xr:uid="{4001D4A5-0480-4E7A-B5C3-AC2A5438C321}"/>
    <cellStyle name="60% - Accent3 17" xfId="17094" xr:uid="{0F301D10-5F51-4F2B-A561-9A7506C0624D}"/>
    <cellStyle name="60% - Accent3 18" xfId="18984" xr:uid="{B70B770B-2DFB-46F8-A632-8C819ABB6A3A}"/>
    <cellStyle name="60% - Accent3 19" xfId="20874" xr:uid="{B8774939-0C90-4D60-A830-C7462E655850}"/>
    <cellStyle name="60% - Accent3 2" xfId="106" xr:uid="{41B9AF85-457C-4D29-83BB-E6DFE2E6A993}"/>
    <cellStyle name="60% - Accent3 2 10" xfId="7666" xr:uid="{D49458BA-FA4C-4911-A584-A621B93B139E}"/>
    <cellStyle name="60% - Accent3 2 11" xfId="9556" xr:uid="{043A6B99-43FA-49B9-90E7-C0BD224138F2}"/>
    <cellStyle name="60% - Accent3 2 12" xfId="11446" xr:uid="{A40B21C7-179F-4A9B-A9B1-7B54EB1733D0}"/>
    <cellStyle name="60% - Accent3 2 13" xfId="13336" xr:uid="{363B6F95-FF38-4D26-9505-BC0331441D6F}"/>
    <cellStyle name="60% - Accent3 2 14" xfId="15226" xr:uid="{812C94D5-3B99-4C7F-A419-E661932B283E}"/>
    <cellStyle name="60% - Accent3 2 15" xfId="17116" xr:uid="{733111D7-3468-4909-911B-59F6D5E5D59C}"/>
    <cellStyle name="60% - Accent3 2 16" xfId="19006" xr:uid="{90BF9FFD-E6BA-4C60-AD83-9AD62965737D}"/>
    <cellStyle name="60% - Accent3 2 17" xfId="20896" xr:uid="{0FE7C039-6DE2-4949-8FEE-73E40CCEED06}"/>
    <cellStyle name="60% - Accent3 2 18" xfId="22786" xr:uid="{E8078E4E-1030-4B54-AA08-E5A10E577BEF}"/>
    <cellStyle name="60% - Accent3 2 19" xfId="24676" xr:uid="{705DB9B9-74CF-4F18-A3DD-8572169D74B3}"/>
    <cellStyle name="60% - Accent3 2 2" xfId="211" xr:uid="{88154CDD-884C-448E-B9E2-F86CB0752124}"/>
    <cellStyle name="60% - Accent3 2 2 10" xfId="9661" xr:uid="{6184AB8F-25BD-43E8-9141-9EEA49FA9167}"/>
    <cellStyle name="60% - Accent3 2 2 11" xfId="11551" xr:uid="{3C897BB5-8B7A-417C-A63C-88BAF0F61D50}"/>
    <cellStyle name="60% - Accent3 2 2 12" xfId="13441" xr:uid="{AB77A609-898D-440F-815D-3E5A9C2FEF8B}"/>
    <cellStyle name="60% - Accent3 2 2 13" xfId="15331" xr:uid="{587F0995-63C8-4930-B131-98C65F108316}"/>
    <cellStyle name="60% - Accent3 2 2 14" xfId="17221" xr:uid="{367C3159-FF8D-4A07-822A-B66A1567CB2F}"/>
    <cellStyle name="60% - Accent3 2 2 15" xfId="19111" xr:uid="{5103E469-5506-41F2-85B7-D0865C1C0CBB}"/>
    <cellStyle name="60% - Accent3 2 2 16" xfId="21001" xr:uid="{B055B8F5-7CB1-4EBC-819F-CB592E3C478E}"/>
    <cellStyle name="60% - Accent3 2 2 17" xfId="22891" xr:uid="{FCF55D23-F3FE-477D-8154-6E85CF2B4B9E}"/>
    <cellStyle name="60% - Accent3 2 2 18" xfId="24781" xr:uid="{9D67B9B1-978C-4999-B167-BA1BB7D67B2E}"/>
    <cellStyle name="60% - Accent3 2 2 19" xfId="26671" xr:uid="{2257982F-1917-4E62-8835-177E43FBBC35}"/>
    <cellStyle name="60% - Accent3 2 2 2" xfId="421" xr:uid="{7845A969-1EED-48A7-9974-D75F0D501F86}"/>
    <cellStyle name="60% - Accent3 2 2 2 10" xfId="13651" xr:uid="{BF25A60D-FAFD-47AD-B6D7-BA69AC8694DE}"/>
    <cellStyle name="60% - Accent3 2 2 2 11" xfId="15541" xr:uid="{63131B5E-5C21-4043-A377-3A75DC824101}"/>
    <cellStyle name="60% - Accent3 2 2 2 12" xfId="17431" xr:uid="{C9BA88AE-7562-4391-BE83-6311342592B9}"/>
    <cellStyle name="60% - Accent3 2 2 2 13" xfId="19321" xr:uid="{68528815-17E2-49B4-91B2-EB81073BC8E5}"/>
    <cellStyle name="60% - Accent3 2 2 2 14" xfId="21211" xr:uid="{6D062B48-45D0-4327-8EBA-A2529090D9A0}"/>
    <cellStyle name="60% - Accent3 2 2 2 15" xfId="23101" xr:uid="{66DAE2DC-D5A3-42C3-9DB4-DEC51CCA9939}"/>
    <cellStyle name="60% - Accent3 2 2 2 16" xfId="24991" xr:uid="{C6F659CE-8B4C-4C5C-9795-3E3D04F720D1}"/>
    <cellStyle name="60% - Accent3 2 2 2 17" xfId="26881" xr:uid="{2D22FD8D-EFCF-4231-BC61-BF78FD5DAA7E}"/>
    <cellStyle name="60% - Accent3 2 2 2 18" xfId="28771" xr:uid="{73AA5682-8695-4E36-B574-0A0E5EE8988B}"/>
    <cellStyle name="60% - Accent3 2 2 2 19" xfId="30661" xr:uid="{45E87666-E700-493E-99A3-147A720E5066}"/>
    <cellStyle name="60% - Accent3 2 2 2 2" xfId="1051" xr:uid="{00494056-AE82-4A20-AF39-8814709767F1}"/>
    <cellStyle name="60% - Accent3 2 2 2 2 10" xfId="18061" xr:uid="{57F16809-E233-42BF-98C6-8E87EE0383B6}"/>
    <cellStyle name="60% - Accent3 2 2 2 2 11" xfId="19951" xr:uid="{CEEA23CE-1AB2-4865-974D-AAA0B0902C15}"/>
    <cellStyle name="60% - Accent3 2 2 2 2 12" xfId="21841" xr:uid="{F92669F1-90C8-48FF-AFA9-7C65A953FCCD}"/>
    <cellStyle name="60% - Accent3 2 2 2 2 13" xfId="23731" xr:uid="{662E12D3-A73D-4FD0-B57D-63616F43569F}"/>
    <cellStyle name="60% - Accent3 2 2 2 2 14" xfId="25621" xr:uid="{CE1EC78D-9512-4B78-9CD0-5E27B42E9C24}"/>
    <cellStyle name="60% - Accent3 2 2 2 2 15" xfId="27511" xr:uid="{0D645A98-D5CA-4CD6-B3B4-9DC27CABAB08}"/>
    <cellStyle name="60% - Accent3 2 2 2 2 16" xfId="29401" xr:uid="{11463B96-944A-4C1D-9586-559B360D0B17}"/>
    <cellStyle name="60% - Accent3 2 2 2 2 17" xfId="31291" xr:uid="{3312CD99-1B8D-4294-80F2-C1EB37A46B7B}"/>
    <cellStyle name="60% - Accent3 2 2 2 2 18" xfId="33181" xr:uid="{E60A7858-0C7A-411B-883B-D8ED517E675B}"/>
    <cellStyle name="60% - Accent3 2 2 2 2 19" xfId="35071" xr:uid="{71E379D2-5CAD-4AA9-B0C2-78363FA0865F}"/>
    <cellStyle name="60% - Accent3 2 2 2 2 2" xfId="2941" xr:uid="{4C03739F-9414-4EC6-BE6B-F876FE80561D}"/>
    <cellStyle name="60% - Accent3 2 2 2 2 20" xfId="36961" xr:uid="{E60B5D7E-75F8-4AD0-9843-1FA1EE6E4DBA}"/>
    <cellStyle name="60% - Accent3 2 2 2 2 21" xfId="38851" xr:uid="{16A95B55-9B3E-4FD2-8A9C-8C689AE3DA23}"/>
    <cellStyle name="60% - Accent3 2 2 2 2 22" xfId="40742" xr:uid="{6806D5A5-727D-4422-91DE-AA02E8B6B50E}"/>
    <cellStyle name="60% - Accent3 2 2 2 2 3" xfId="4831" xr:uid="{1C532225-465A-4BCF-8EAE-4E50C29F7885}"/>
    <cellStyle name="60% - Accent3 2 2 2 2 4" xfId="6721" xr:uid="{CE170758-9200-41BD-AAB6-40338899F24F}"/>
    <cellStyle name="60% - Accent3 2 2 2 2 5" xfId="8611" xr:uid="{4E8BFE3E-F28A-429D-A6BB-3CDCDBE7A08A}"/>
    <cellStyle name="60% - Accent3 2 2 2 2 6" xfId="10501" xr:uid="{624F88F0-7230-44C1-9C1B-88EF14056679}"/>
    <cellStyle name="60% - Accent3 2 2 2 2 7" xfId="12391" xr:uid="{99BBEE16-65FD-4197-A8E8-F765C2DD612A}"/>
    <cellStyle name="60% - Accent3 2 2 2 2 8" xfId="14281" xr:uid="{ADE8BDF5-A720-4FAB-B333-8DE966255BE3}"/>
    <cellStyle name="60% - Accent3 2 2 2 2 9" xfId="16171" xr:uid="{96F20EE5-6DFB-4363-A11B-14A29CA9DDBE}"/>
    <cellStyle name="60% - Accent3 2 2 2 20" xfId="32551" xr:uid="{EDDCEEB9-D6E3-4A5F-97A2-7246AAD6C4B0}"/>
    <cellStyle name="60% - Accent3 2 2 2 21" xfId="34441" xr:uid="{09B81BDE-1F35-4DE7-A894-2C3FF09DFDCB}"/>
    <cellStyle name="60% - Accent3 2 2 2 22" xfId="36331" xr:uid="{ABE7EC96-22A5-4214-8B30-D7C497DC516C}"/>
    <cellStyle name="60% - Accent3 2 2 2 23" xfId="38221" xr:uid="{4B67C997-6E7E-4E08-9517-6BBFD6210E8D}"/>
    <cellStyle name="60% - Accent3 2 2 2 24" xfId="40112" xr:uid="{D93E4EE9-CF6E-459F-8C41-FC5F920F4714}"/>
    <cellStyle name="60% - Accent3 2 2 2 3" xfId="1681" xr:uid="{A64DA19A-FD27-43AE-AA30-4DBE56724AA6}"/>
    <cellStyle name="60% - Accent3 2 2 2 3 10" xfId="18691" xr:uid="{F3683A59-6F15-4264-AC2F-96B51DAEB146}"/>
    <cellStyle name="60% - Accent3 2 2 2 3 11" xfId="20581" xr:uid="{597A4DC3-5442-42B9-8476-5012D9D4AEF9}"/>
    <cellStyle name="60% - Accent3 2 2 2 3 12" xfId="22471" xr:uid="{F01B736C-CA4C-4596-86BD-D793F73200B1}"/>
    <cellStyle name="60% - Accent3 2 2 2 3 13" xfId="24361" xr:uid="{1BDEE12D-A388-4C22-958C-2141AF5B71D5}"/>
    <cellStyle name="60% - Accent3 2 2 2 3 14" xfId="26251" xr:uid="{A9751ED7-0DAE-4C29-9A1F-798ECD7A59E2}"/>
    <cellStyle name="60% - Accent3 2 2 2 3 15" xfId="28141" xr:uid="{ACFC850C-E603-4728-A3ED-D939A7182DEE}"/>
    <cellStyle name="60% - Accent3 2 2 2 3 16" xfId="30031" xr:uid="{E2083537-AE8A-4531-A68F-CE7502E5FFC0}"/>
    <cellStyle name="60% - Accent3 2 2 2 3 17" xfId="31921" xr:uid="{56E44F80-D24A-4888-ACB5-7B02C5B49B8E}"/>
    <cellStyle name="60% - Accent3 2 2 2 3 18" xfId="33811" xr:uid="{29DDC706-195A-47E7-8059-AA0120A885DE}"/>
    <cellStyle name="60% - Accent3 2 2 2 3 19" xfId="35701" xr:uid="{244B3AFF-7B06-4D85-97D6-2F69E6DE16D7}"/>
    <cellStyle name="60% - Accent3 2 2 2 3 2" xfId="3571" xr:uid="{C906E9E0-E3F6-433C-BBA2-5C685E3DBD92}"/>
    <cellStyle name="60% - Accent3 2 2 2 3 20" xfId="37591" xr:uid="{E3ACED2D-8A6E-46B9-96C4-67FAB61340EA}"/>
    <cellStyle name="60% - Accent3 2 2 2 3 21" xfId="39481" xr:uid="{C212412B-84D9-4684-BBFA-B7504CD06C3D}"/>
    <cellStyle name="60% - Accent3 2 2 2 3 22" xfId="41372" xr:uid="{04D33168-4583-4BFF-BFD0-B432392020FD}"/>
    <cellStyle name="60% - Accent3 2 2 2 3 3" xfId="5461" xr:uid="{F8CEB62D-BB36-447C-8F9A-A7EC33938751}"/>
    <cellStyle name="60% - Accent3 2 2 2 3 4" xfId="7351" xr:uid="{26986636-D722-407C-8F85-6DC8CFDE50AB}"/>
    <cellStyle name="60% - Accent3 2 2 2 3 5" xfId="9241" xr:uid="{65A4D0D0-B1ED-4FCC-8196-7BC3C7E4FEEA}"/>
    <cellStyle name="60% - Accent3 2 2 2 3 6" xfId="11131" xr:uid="{FB7CCE14-ECD3-41D7-921E-E6E3D0600DFA}"/>
    <cellStyle name="60% - Accent3 2 2 2 3 7" xfId="13021" xr:uid="{F666D45C-AF4F-421B-A91C-CC7743AA3F42}"/>
    <cellStyle name="60% - Accent3 2 2 2 3 8" xfId="14911" xr:uid="{1ACFD1D2-7361-4B25-A4FC-8E85FD19F1D7}"/>
    <cellStyle name="60% - Accent3 2 2 2 3 9" xfId="16801" xr:uid="{DAF4152B-DB47-4A92-8A5E-47F698AE61F6}"/>
    <cellStyle name="60% - Accent3 2 2 2 4" xfId="2311" xr:uid="{7B0836A3-D2F5-4987-B4AB-01EF99E7C7F4}"/>
    <cellStyle name="60% - Accent3 2 2 2 5" xfId="4201" xr:uid="{A1243CAD-B426-43EC-8B9B-3DD6B9AE7B0E}"/>
    <cellStyle name="60% - Accent3 2 2 2 6" xfId="6091" xr:uid="{E3BE2784-DE6E-49C7-B408-7B4DB06451CA}"/>
    <cellStyle name="60% - Accent3 2 2 2 7" xfId="7981" xr:uid="{F1C82A00-3736-42CC-981C-80814AC134FC}"/>
    <cellStyle name="60% - Accent3 2 2 2 8" xfId="9871" xr:uid="{20679D43-A8E6-4117-B98F-EB278DD79469}"/>
    <cellStyle name="60% - Accent3 2 2 2 9" xfId="11761" xr:uid="{436B7870-DC9A-459D-8392-F1BE0D3F6FAF}"/>
    <cellStyle name="60% - Accent3 2 2 20" xfId="28561" xr:uid="{3D7681EE-E45A-4637-B312-C78DA1D49BA3}"/>
    <cellStyle name="60% - Accent3 2 2 21" xfId="30451" xr:uid="{A926981F-51E6-4147-8889-04DED6AFE7D4}"/>
    <cellStyle name="60% - Accent3 2 2 22" xfId="32341" xr:uid="{481B616E-61A7-4A9E-A006-2730596D5603}"/>
    <cellStyle name="60% - Accent3 2 2 23" xfId="34231" xr:uid="{28A49B09-1B6C-44B2-AD45-27ED7349F186}"/>
    <cellStyle name="60% - Accent3 2 2 24" xfId="36121" xr:uid="{1134831C-97D6-4B99-A0F8-624B7B472C2F}"/>
    <cellStyle name="60% - Accent3 2 2 25" xfId="38011" xr:uid="{C7A924CC-A83A-47A1-BC46-78648D5D7524}"/>
    <cellStyle name="60% - Accent3 2 2 26" xfId="39902" xr:uid="{59F2DA40-0BAB-4B6F-9D9B-1FFD7A043E92}"/>
    <cellStyle name="60% - Accent3 2 2 3" xfId="631" xr:uid="{43E916FC-15A4-4374-8DB7-EA4561E2FFB3}"/>
    <cellStyle name="60% - Accent3 2 2 3 10" xfId="13861" xr:uid="{AAFB3F9F-FD55-448E-95D3-564C1622EB26}"/>
    <cellStyle name="60% - Accent3 2 2 3 11" xfId="15751" xr:uid="{36D9EFB3-5A52-4A0D-B309-8A4200DED215}"/>
    <cellStyle name="60% - Accent3 2 2 3 12" xfId="17641" xr:uid="{99DF12A4-74CF-4C5B-94D9-C528ED8D4594}"/>
    <cellStyle name="60% - Accent3 2 2 3 13" xfId="19531" xr:uid="{10C2E48F-B172-4C65-88B6-9E1770296C71}"/>
    <cellStyle name="60% - Accent3 2 2 3 14" xfId="21421" xr:uid="{2339D5CC-9DE3-4565-8029-5ECF33AEC482}"/>
    <cellStyle name="60% - Accent3 2 2 3 15" xfId="23311" xr:uid="{F1A801B3-4598-4A70-9835-B8DB7F5BDF47}"/>
    <cellStyle name="60% - Accent3 2 2 3 16" xfId="25201" xr:uid="{B291E9DD-4DA3-40BD-B07D-BC40D539183D}"/>
    <cellStyle name="60% - Accent3 2 2 3 17" xfId="27091" xr:uid="{772D99A1-5BC1-40E2-ABE3-9D7EE2A9291A}"/>
    <cellStyle name="60% - Accent3 2 2 3 18" xfId="28981" xr:uid="{FCC97A55-62BD-43F0-A613-666672BDD88B}"/>
    <cellStyle name="60% - Accent3 2 2 3 19" xfId="30871" xr:uid="{80C5555A-3757-4EEA-A95B-7DD2B0511E0F}"/>
    <cellStyle name="60% - Accent3 2 2 3 2" xfId="1261" xr:uid="{F9DDA6F5-5480-4C29-8E6D-00048B8C666F}"/>
    <cellStyle name="60% - Accent3 2 2 3 2 10" xfId="18271" xr:uid="{D36B18DF-E079-408B-9548-53FE89B88DD7}"/>
    <cellStyle name="60% - Accent3 2 2 3 2 11" xfId="20161" xr:uid="{13E68255-4F37-4C4C-BE4D-BDF57668AD6B}"/>
    <cellStyle name="60% - Accent3 2 2 3 2 12" xfId="22051" xr:uid="{8A55E7C6-EC7B-4D5D-899E-D182A0783892}"/>
    <cellStyle name="60% - Accent3 2 2 3 2 13" xfId="23941" xr:uid="{AE80FF2A-02E7-43DC-90F9-C6B2FB7C6C5A}"/>
    <cellStyle name="60% - Accent3 2 2 3 2 14" xfId="25831" xr:uid="{BE0FFE7E-CF79-4744-AECF-4617582549EA}"/>
    <cellStyle name="60% - Accent3 2 2 3 2 15" xfId="27721" xr:uid="{B69066E9-E7E9-4F25-9CC2-F018D1E02CBD}"/>
    <cellStyle name="60% - Accent3 2 2 3 2 16" xfId="29611" xr:uid="{69582128-43DB-4C69-9686-DD041D55C750}"/>
    <cellStyle name="60% - Accent3 2 2 3 2 17" xfId="31501" xr:uid="{DB1A4850-1F7C-4095-8518-B3F509915CFC}"/>
    <cellStyle name="60% - Accent3 2 2 3 2 18" xfId="33391" xr:uid="{F324BDA6-7712-4989-BD18-151B1B095EB1}"/>
    <cellStyle name="60% - Accent3 2 2 3 2 19" xfId="35281" xr:uid="{DFA1B1C2-0721-4E95-A48E-9767B586F408}"/>
    <cellStyle name="60% - Accent3 2 2 3 2 2" xfId="3151" xr:uid="{C3A52D84-1841-4909-98D5-CBBB5D8C03B6}"/>
    <cellStyle name="60% - Accent3 2 2 3 2 20" xfId="37171" xr:uid="{DD291753-7CAC-463C-8DCA-C68790625B20}"/>
    <cellStyle name="60% - Accent3 2 2 3 2 21" xfId="39061" xr:uid="{8990B828-E484-41A3-9659-F4F749B26F69}"/>
    <cellStyle name="60% - Accent3 2 2 3 2 22" xfId="40952" xr:uid="{9F330F6B-4293-466D-86A5-8E5CE4481F29}"/>
    <cellStyle name="60% - Accent3 2 2 3 2 3" xfId="5041" xr:uid="{81684CD7-31E0-4C0D-9DAE-20ABAC146506}"/>
    <cellStyle name="60% - Accent3 2 2 3 2 4" xfId="6931" xr:uid="{B4647EB1-830D-4D08-A317-9531171D2765}"/>
    <cellStyle name="60% - Accent3 2 2 3 2 5" xfId="8821" xr:uid="{1007401F-AE4A-4AA8-9CA7-BB99C6570FC8}"/>
    <cellStyle name="60% - Accent3 2 2 3 2 6" xfId="10711" xr:uid="{0384D52F-053E-409E-B37D-28DF04CD6414}"/>
    <cellStyle name="60% - Accent3 2 2 3 2 7" xfId="12601" xr:uid="{C7108F18-8C2C-4902-87A3-24FF7D1B8146}"/>
    <cellStyle name="60% - Accent3 2 2 3 2 8" xfId="14491" xr:uid="{4D97BCA3-0981-4F2E-87BE-7E0A859D2C1E}"/>
    <cellStyle name="60% - Accent3 2 2 3 2 9" xfId="16381" xr:uid="{8E75B951-71BF-4BE2-BEA0-2F7336EB320E}"/>
    <cellStyle name="60% - Accent3 2 2 3 20" xfId="32761" xr:uid="{6BCAF97F-6911-4C69-B9D2-BA7802B1434E}"/>
    <cellStyle name="60% - Accent3 2 2 3 21" xfId="34651" xr:uid="{1FD1BE2B-E14C-49E5-9475-E6EE8A2C1210}"/>
    <cellStyle name="60% - Accent3 2 2 3 22" xfId="36541" xr:uid="{2835BC18-54D1-411D-97D8-40F39B8CD421}"/>
    <cellStyle name="60% - Accent3 2 2 3 23" xfId="38431" xr:uid="{3319B0C5-254A-4FEC-A578-902F9FB31642}"/>
    <cellStyle name="60% - Accent3 2 2 3 24" xfId="40322" xr:uid="{12F7C175-2D8D-4E13-888D-978A00283658}"/>
    <cellStyle name="60% - Accent3 2 2 3 3" xfId="1891" xr:uid="{6F8B78EE-E2EC-4F08-9BDD-A22C4101A1EA}"/>
    <cellStyle name="60% - Accent3 2 2 3 3 10" xfId="18901" xr:uid="{02655D1B-A4FB-4A2A-A7C8-6060631DA694}"/>
    <cellStyle name="60% - Accent3 2 2 3 3 11" xfId="20791" xr:uid="{2157147D-8E2E-4B12-A6B6-243EBE55AB1E}"/>
    <cellStyle name="60% - Accent3 2 2 3 3 12" xfId="22681" xr:uid="{171DAE1F-4905-4E82-BA5B-9A7B17F621D1}"/>
    <cellStyle name="60% - Accent3 2 2 3 3 13" xfId="24571" xr:uid="{1CA4E198-1637-43EF-8649-4CDAB604FF68}"/>
    <cellStyle name="60% - Accent3 2 2 3 3 14" xfId="26461" xr:uid="{277D9B7A-44F5-4ABD-8BA5-4189573577E6}"/>
    <cellStyle name="60% - Accent3 2 2 3 3 15" xfId="28351" xr:uid="{C23F5997-389E-43F0-8B3F-AF280C567537}"/>
    <cellStyle name="60% - Accent3 2 2 3 3 16" xfId="30241" xr:uid="{A31BBC03-7A2A-476A-9241-9F75A16F6CBD}"/>
    <cellStyle name="60% - Accent3 2 2 3 3 17" xfId="32131" xr:uid="{4217CEDC-A2E0-4BAF-9CA5-9284AD3FCFE2}"/>
    <cellStyle name="60% - Accent3 2 2 3 3 18" xfId="34021" xr:uid="{98F73D5D-2776-4578-938E-9012AECB7B27}"/>
    <cellStyle name="60% - Accent3 2 2 3 3 19" xfId="35911" xr:uid="{1A626A16-5057-46C0-A343-17980200EF8E}"/>
    <cellStyle name="60% - Accent3 2 2 3 3 2" xfId="3781" xr:uid="{6569C121-3BE8-4817-AF6C-2DB12035B99E}"/>
    <cellStyle name="60% - Accent3 2 2 3 3 20" xfId="37801" xr:uid="{E1C349CC-FDAC-4216-8F34-DF3945B5DD8D}"/>
    <cellStyle name="60% - Accent3 2 2 3 3 21" xfId="39691" xr:uid="{39D96D82-60A1-421C-9814-E11A314997B5}"/>
    <cellStyle name="60% - Accent3 2 2 3 3 22" xfId="41582" xr:uid="{4C56F549-F5E4-4ECE-9318-AB86D8A4B056}"/>
    <cellStyle name="60% - Accent3 2 2 3 3 3" xfId="5671" xr:uid="{4973B6B8-FCDD-4AB5-824A-CFD22A7190D3}"/>
    <cellStyle name="60% - Accent3 2 2 3 3 4" xfId="7561" xr:uid="{E045C19C-2AA9-472D-86F0-1D46AA661629}"/>
    <cellStyle name="60% - Accent3 2 2 3 3 5" xfId="9451" xr:uid="{045F4948-EF65-4AA1-84F2-F8A08466F2BC}"/>
    <cellStyle name="60% - Accent3 2 2 3 3 6" xfId="11341" xr:uid="{7023370A-F68A-46AE-A14F-4E543203D2D9}"/>
    <cellStyle name="60% - Accent3 2 2 3 3 7" xfId="13231" xr:uid="{5AA8A60F-CE0B-4CA1-BFA3-D96149E20402}"/>
    <cellStyle name="60% - Accent3 2 2 3 3 8" xfId="15121" xr:uid="{FAF36D0C-27D1-438B-9074-68D5D62910B3}"/>
    <cellStyle name="60% - Accent3 2 2 3 3 9" xfId="17011" xr:uid="{0DB93F0E-C973-4157-AED4-23F20EEEA024}"/>
    <cellStyle name="60% - Accent3 2 2 3 4" xfId="2521" xr:uid="{BD4750A6-1076-4319-BF1A-C7D9CDEBCB0E}"/>
    <cellStyle name="60% - Accent3 2 2 3 5" xfId="4411" xr:uid="{757788A1-2756-4498-8431-9376536C5D65}"/>
    <cellStyle name="60% - Accent3 2 2 3 6" xfId="6301" xr:uid="{EBC668F1-C4A9-48C8-8A9C-E557AC923070}"/>
    <cellStyle name="60% - Accent3 2 2 3 7" xfId="8191" xr:uid="{07D6C557-0B3F-4B19-B00C-7986CA68346C}"/>
    <cellStyle name="60% - Accent3 2 2 3 8" xfId="10081" xr:uid="{DEF8E6FA-7CAC-454C-A322-C10532003444}"/>
    <cellStyle name="60% - Accent3 2 2 3 9" xfId="11971" xr:uid="{04924184-09A6-4C3E-9E6D-C9C1777084F1}"/>
    <cellStyle name="60% - Accent3 2 2 4" xfId="841" xr:uid="{F459918F-B77D-48FE-9C59-33D462FD31CF}"/>
    <cellStyle name="60% - Accent3 2 2 4 10" xfId="17851" xr:uid="{B3F798B6-5EC2-455F-8063-4AA867B557FB}"/>
    <cellStyle name="60% - Accent3 2 2 4 11" xfId="19741" xr:uid="{AD76448B-3927-4E7B-A7F2-994A250DF34C}"/>
    <cellStyle name="60% - Accent3 2 2 4 12" xfId="21631" xr:uid="{F763484C-9CCE-4392-AD16-1BC576A5DF18}"/>
    <cellStyle name="60% - Accent3 2 2 4 13" xfId="23521" xr:uid="{44594D17-93AA-4945-A8A6-34B9BA01EAC2}"/>
    <cellStyle name="60% - Accent3 2 2 4 14" xfId="25411" xr:uid="{CE3CBD0C-73E8-4E60-9CAC-9B4DF3B97801}"/>
    <cellStyle name="60% - Accent3 2 2 4 15" xfId="27301" xr:uid="{2ADECFAB-47E5-47D6-8C26-F68BA6E6C135}"/>
    <cellStyle name="60% - Accent3 2 2 4 16" xfId="29191" xr:uid="{9955EB7A-0465-4584-92D5-74264B5F840F}"/>
    <cellStyle name="60% - Accent3 2 2 4 17" xfId="31081" xr:uid="{635E0215-17B0-43A5-B999-98678FEB9587}"/>
    <cellStyle name="60% - Accent3 2 2 4 18" xfId="32971" xr:uid="{50E9F932-AB33-4572-AE84-2CB7192D14E3}"/>
    <cellStyle name="60% - Accent3 2 2 4 19" xfId="34861" xr:uid="{87902D19-D88B-485F-BA2A-F3A2592D7B1D}"/>
    <cellStyle name="60% - Accent3 2 2 4 2" xfId="2731" xr:uid="{0C320BD2-46FF-4F94-83CF-F018E1BF4F08}"/>
    <cellStyle name="60% - Accent3 2 2 4 20" xfId="36751" xr:uid="{507E3051-1AEC-44D5-B595-94835AED802A}"/>
    <cellStyle name="60% - Accent3 2 2 4 21" xfId="38641" xr:uid="{7CB20AB1-7D90-432C-B35B-91D96BB27E3B}"/>
    <cellStyle name="60% - Accent3 2 2 4 22" xfId="40532" xr:uid="{165D08A3-405A-4D37-9FC1-31C083BF43FB}"/>
    <cellStyle name="60% - Accent3 2 2 4 3" xfId="4621" xr:uid="{19FBEB33-00F3-4F42-A9A7-FF6C756800D0}"/>
    <cellStyle name="60% - Accent3 2 2 4 4" xfId="6511" xr:uid="{1E4FA229-AC03-4C86-8E53-67FB3715AB78}"/>
    <cellStyle name="60% - Accent3 2 2 4 5" xfId="8401" xr:uid="{A72ECCA2-A576-4252-BA0E-85B32A1ED1C4}"/>
    <cellStyle name="60% - Accent3 2 2 4 6" xfId="10291" xr:uid="{BBA1F950-6687-4B19-94DB-6A200C57D3E7}"/>
    <cellStyle name="60% - Accent3 2 2 4 7" xfId="12181" xr:uid="{5547C587-0746-47AB-8132-93F235FDBE72}"/>
    <cellStyle name="60% - Accent3 2 2 4 8" xfId="14071" xr:uid="{1F3BC69F-EE7A-4CA0-B884-BC751463C7BA}"/>
    <cellStyle name="60% - Accent3 2 2 4 9" xfId="15961" xr:uid="{CE11D712-A0D3-4CD1-80B0-029B921CA1A9}"/>
    <cellStyle name="60% - Accent3 2 2 5" xfId="1471" xr:uid="{31DBFDBB-F047-49C6-95C6-98D3C54AF830}"/>
    <cellStyle name="60% - Accent3 2 2 5 10" xfId="18481" xr:uid="{DD778B00-5456-451B-A7AE-DEBE8A628E29}"/>
    <cellStyle name="60% - Accent3 2 2 5 11" xfId="20371" xr:uid="{39B6151E-DACE-4D28-B96C-715DDBA0005E}"/>
    <cellStyle name="60% - Accent3 2 2 5 12" xfId="22261" xr:uid="{283D5158-6A40-4C31-83BC-FC7D73B34E7C}"/>
    <cellStyle name="60% - Accent3 2 2 5 13" xfId="24151" xr:uid="{B9EE93DA-0266-474E-85C8-862BCE83CC00}"/>
    <cellStyle name="60% - Accent3 2 2 5 14" xfId="26041" xr:uid="{279F5BCD-3639-4DF6-BCD8-EC02EC3FC5C2}"/>
    <cellStyle name="60% - Accent3 2 2 5 15" xfId="27931" xr:uid="{0B5389FB-958A-4CBD-B1C3-80291912DF01}"/>
    <cellStyle name="60% - Accent3 2 2 5 16" xfId="29821" xr:uid="{5E02EAB5-3D73-4029-B67B-E46ED50F76FF}"/>
    <cellStyle name="60% - Accent3 2 2 5 17" xfId="31711" xr:uid="{51B69D15-2AA0-41C6-AFAB-04DB2DFD7156}"/>
    <cellStyle name="60% - Accent3 2 2 5 18" xfId="33601" xr:uid="{9F6B8BCD-3AE7-4767-B6B2-0335D60E19D7}"/>
    <cellStyle name="60% - Accent3 2 2 5 19" xfId="35491" xr:uid="{A9339F41-0788-445D-A174-DAAAF773A44D}"/>
    <cellStyle name="60% - Accent3 2 2 5 2" xfId="3361" xr:uid="{9416A56B-B1B6-42DD-BCC4-E0DD80E4D06F}"/>
    <cellStyle name="60% - Accent3 2 2 5 20" xfId="37381" xr:uid="{82830E65-5FCC-4607-9AC2-E49357247109}"/>
    <cellStyle name="60% - Accent3 2 2 5 21" xfId="39271" xr:uid="{C6CC4FD1-E393-4C5A-856F-E61C086B2EA4}"/>
    <cellStyle name="60% - Accent3 2 2 5 22" xfId="41162" xr:uid="{5AB9FF83-0D48-408E-931B-EEA2BEDC4D64}"/>
    <cellStyle name="60% - Accent3 2 2 5 3" xfId="5251" xr:uid="{D6F834AD-7243-4603-A962-5C84288664A7}"/>
    <cellStyle name="60% - Accent3 2 2 5 4" xfId="7141" xr:uid="{64B5F631-9009-48DD-97AE-7F22F756A0D9}"/>
    <cellStyle name="60% - Accent3 2 2 5 5" xfId="9031" xr:uid="{9F5FF414-BD0B-4F26-AAAF-34E9D77018DB}"/>
    <cellStyle name="60% - Accent3 2 2 5 6" xfId="10921" xr:uid="{4B3F84B8-5E12-4EC4-A834-7E46382EE6BB}"/>
    <cellStyle name="60% - Accent3 2 2 5 7" xfId="12811" xr:uid="{7E69E269-9F44-419F-BC03-004ADF66DD40}"/>
    <cellStyle name="60% - Accent3 2 2 5 8" xfId="14701" xr:uid="{7DA17BB9-B690-4B19-9E18-F9C78BB3E5C6}"/>
    <cellStyle name="60% - Accent3 2 2 5 9" xfId="16591" xr:uid="{A1E91DEC-8F18-4D65-9C32-5516CE8FD64A}"/>
    <cellStyle name="60% - Accent3 2 2 6" xfId="2101" xr:uid="{E196A1FB-F54E-44A0-8DA1-FBE8342CD6B9}"/>
    <cellStyle name="60% - Accent3 2 2 7" xfId="3991" xr:uid="{43A04C4E-991F-4836-BD55-58CB39C4F484}"/>
    <cellStyle name="60% - Accent3 2 2 8" xfId="5881" xr:uid="{BEB2184F-EFA6-4ACF-80B3-5B8043711DAF}"/>
    <cellStyle name="60% - Accent3 2 2 9" xfId="7771" xr:uid="{CE73DE0F-178D-49BC-B5F8-6C88D8D7B988}"/>
    <cellStyle name="60% - Accent3 2 20" xfId="26566" xr:uid="{50F3756C-17E3-451D-95E6-783AC9E27489}"/>
    <cellStyle name="60% - Accent3 2 21" xfId="28456" xr:uid="{B61D5516-E159-49F6-AC23-566E3C2D471E}"/>
    <cellStyle name="60% - Accent3 2 22" xfId="30346" xr:uid="{45F06B3C-FFD0-4F03-AD41-E95E7B320404}"/>
    <cellStyle name="60% - Accent3 2 23" xfId="32236" xr:uid="{3B5683E9-DB7C-4311-85A8-7E003613DB25}"/>
    <cellStyle name="60% - Accent3 2 24" xfId="34126" xr:uid="{98A8D8C1-8BEF-44B9-8DA6-30DC6D4F74AE}"/>
    <cellStyle name="60% - Accent3 2 25" xfId="36016" xr:uid="{5AB9EB43-9848-4EBC-A25E-CC2C150A5E64}"/>
    <cellStyle name="60% - Accent3 2 26" xfId="37906" xr:uid="{303956E8-413C-48A9-8B3A-6D8D19C9CB9F}"/>
    <cellStyle name="60% - Accent3 2 27" xfId="39797" xr:uid="{203EAF00-11C8-4F8A-8F11-F3E9F5E99693}"/>
    <cellStyle name="60% - Accent3 2 3" xfId="316" xr:uid="{4E25FF5A-805E-4413-8383-76A7CA15808A}"/>
    <cellStyle name="60% - Accent3 2 3 10" xfId="13546" xr:uid="{27FD506F-DD89-41E4-ADCA-FC7CDECE797B}"/>
    <cellStyle name="60% - Accent3 2 3 11" xfId="15436" xr:uid="{CCB7EAF8-F859-428A-B8F2-FA1110413268}"/>
    <cellStyle name="60% - Accent3 2 3 12" xfId="17326" xr:uid="{7479996E-F747-4A55-8BCC-77F11C87D7B5}"/>
    <cellStyle name="60% - Accent3 2 3 13" xfId="19216" xr:uid="{77333F9E-C13B-4528-83F9-4C56C3AEF8E7}"/>
    <cellStyle name="60% - Accent3 2 3 14" xfId="21106" xr:uid="{F68DD2C0-D286-4851-A8D2-128F388CCAFC}"/>
    <cellStyle name="60% - Accent3 2 3 15" xfId="22996" xr:uid="{AB354C50-5EDF-49CD-A37A-CB617350B8A3}"/>
    <cellStyle name="60% - Accent3 2 3 16" xfId="24886" xr:uid="{0B8C55D9-7C02-443D-8D94-67AC96191B3A}"/>
    <cellStyle name="60% - Accent3 2 3 17" xfId="26776" xr:uid="{FA6B792E-53DB-4F64-A1C7-E9A00F164445}"/>
    <cellStyle name="60% - Accent3 2 3 18" xfId="28666" xr:uid="{48808A48-7E96-40FF-8F21-63ADF50FC213}"/>
    <cellStyle name="60% - Accent3 2 3 19" xfId="30556" xr:uid="{E7E56B74-5D4D-48E5-A41D-29C596C5F717}"/>
    <cellStyle name="60% - Accent3 2 3 2" xfId="946" xr:uid="{C9DE75D4-9EDF-4DEE-A0CF-C20F7DAECF68}"/>
    <cellStyle name="60% - Accent3 2 3 2 10" xfId="17956" xr:uid="{438BF9EC-48D4-4603-8EFE-7A60DBB3937B}"/>
    <cellStyle name="60% - Accent3 2 3 2 11" xfId="19846" xr:uid="{AFD2EAD8-EEF7-46A9-8CBA-120EA79DBEEA}"/>
    <cellStyle name="60% - Accent3 2 3 2 12" xfId="21736" xr:uid="{641462A6-26F1-4276-9379-1C70583480EB}"/>
    <cellStyle name="60% - Accent3 2 3 2 13" xfId="23626" xr:uid="{575DCB11-93C3-4D76-B70D-5ADEFAB55234}"/>
    <cellStyle name="60% - Accent3 2 3 2 14" xfId="25516" xr:uid="{DDFF9226-63EA-4A1E-B503-0D9ADAEBE46F}"/>
    <cellStyle name="60% - Accent3 2 3 2 15" xfId="27406" xr:uid="{B35FDB19-8D8A-4054-B72C-69F628B675F7}"/>
    <cellStyle name="60% - Accent3 2 3 2 16" xfId="29296" xr:uid="{FADECF00-1B8D-4F94-9E8D-45A4365BBA06}"/>
    <cellStyle name="60% - Accent3 2 3 2 17" xfId="31186" xr:uid="{11E83D7E-7E3C-41B2-9920-68EFCD585295}"/>
    <cellStyle name="60% - Accent3 2 3 2 18" xfId="33076" xr:uid="{E31D14EC-C461-44F9-996F-58C0C31AB567}"/>
    <cellStyle name="60% - Accent3 2 3 2 19" xfId="34966" xr:uid="{95805A87-3F95-4F9F-A465-216FAF301B6F}"/>
    <cellStyle name="60% - Accent3 2 3 2 2" xfId="2836" xr:uid="{A51C9AAE-82EC-4211-B188-D8725D31A961}"/>
    <cellStyle name="60% - Accent3 2 3 2 20" xfId="36856" xr:uid="{EE31A378-C5CA-4774-AD4D-D12E3F17B71C}"/>
    <cellStyle name="60% - Accent3 2 3 2 21" xfId="38746" xr:uid="{8515F1E1-4279-4BAE-80FE-83A3FA5CFB73}"/>
    <cellStyle name="60% - Accent3 2 3 2 22" xfId="40637" xr:uid="{096EBFFE-83BC-40B8-9B1F-B0AC21F408D4}"/>
    <cellStyle name="60% - Accent3 2 3 2 3" xfId="4726" xr:uid="{80E61A15-C734-46E1-A5EE-93AD5578864C}"/>
    <cellStyle name="60% - Accent3 2 3 2 4" xfId="6616" xr:uid="{40A23849-124D-4597-9BB6-CFCD61FCDDA1}"/>
    <cellStyle name="60% - Accent3 2 3 2 5" xfId="8506" xr:uid="{4BF01D41-3426-4AF8-854C-1FF1A7563D08}"/>
    <cellStyle name="60% - Accent3 2 3 2 6" xfId="10396" xr:uid="{6D15391E-0CF4-453C-AE6B-E2E764FFDE02}"/>
    <cellStyle name="60% - Accent3 2 3 2 7" xfId="12286" xr:uid="{14137707-F34D-4DF7-B567-CE96B12489DF}"/>
    <cellStyle name="60% - Accent3 2 3 2 8" xfId="14176" xr:uid="{E197B242-5B0A-420F-B534-3C094454CB9F}"/>
    <cellStyle name="60% - Accent3 2 3 2 9" xfId="16066" xr:uid="{C13153C2-579B-4FC7-BC31-59FF64340487}"/>
    <cellStyle name="60% - Accent3 2 3 20" xfId="32446" xr:uid="{A09CC43D-3EF8-4703-9F46-045C910E5E0A}"/>
    <cellStyle name="60% - Accent3 2 3 21" xfId="34336" xr:uid="{91228D21-3F66-42D5-9163-D8AC17256A5F}"/>
    <cellStyle name="60% - Accent3 2 3 22" xfId="36226" xr:uid="{DDF2D2E7-D3C6-4F23-9122-9CD93EB29B31}"/>
    <cellStyle name="60% - Accent3 2 3 23" xfId="38116" xr:uid="{538DF75F-54D9-4E14-8409-8F53ECAE88CB}"/>
    <cellStyle name="60% - Accent3 2 3 24" xfId="40007" xr:uid="{CF3506C8-0295-4082-A7D2-E07CE65C5185}"/>
    <cellStyle name="60% - Accent3 2 3 3" xfId="1576" xr:uid="{FB769D9F-7890-459D-93F9-5AD0BEA6FA07}"/>
    <cellStyle name="60% - Accent3 2 3 3 10" xfId="18586" xr:uid="{90EACFF3-E46C-4A7C-8555-7083760C1574}"/>
    <cellStyle name="60% - Accent3 2 3 3 11" xfId="20476" xr:uid="{B58983CD-6DDA-47C3-9FB4-D33A820798A2}"/>
    <cellStyle name="60% - Accent3 2 3 3 12" xfId="22366" xr:uid="{70B6E2B3-BFCF-41EE-9992-A7256BB0BC67}"/>
    <cellStyle name="60% - Accent3 2 3 3 13" xfId="24256" xr:uid="{30898294-FD3F-4A9B-81D8-C85C390A2DAC}"/>
    <cellStyle name="60% - Accent3 2 3 3 14" xfId="26146" xr:uid="{F38D11E2-FBA4-45EF-B2A0-41C321D5338E}"/>
    <cellStyle name="60% - Accent3 2 3 3 15" xfId="28036" xr:uid="{53EC6C58-5216-4635-B991-8F112B878488}"/>
    <cellStyle name="60% - Accent3 2 3 3 16" xfId="29926" xr:uid="{7A6468FD-BB2B-4CB1-A0E4-293B2508F11D}"/>
    <cellStyle name="60% - Accent3 2 3 3 17" xfId="31816" xr:uid="{AD0B577F-8BBC-4AF7-B3BA-9455C23505FC}"/>
    <cellStyle name="60% - Accent3 2 3 3 18" xfId="33706" xr:uid="{75D24B49-F694-4312-9E49-2FB59666712C}"/>
    <cellStyle name="60% - Accent3 2 3 3 19" xfId="35596" xr:uid="{B142E155-A374-480D-8AA7-2E8F7B688B8A}"/>
    <cellStyle name="60% - Accent3 2 3 3 2" xfId="3466" xr:uid="{A907B249-0BC6-4747-B767-AAD643FDB2E6}"/>
    <cellStyle name="60% - Accent3 2 3 3 20" xfId="37486" xr:uid="{02F23B9C-C7C0-4BFE-9509-ED72ECAB3596}"/>
    <cellStyle name="60% - Accent3 2 3 3 21" xfId="39376" xr:uid="{ED9144AA-DAEC-4021-86AC-54FBA6E57DE2}"/>
    <cellStyle name="60% - Accent3 2 3 3 22" xfId="41267" xr:uid="{8BBFCC76-3670-4E3A-BA69-B7482C5239CF}"/>
    <cellStyle name="60% - Accent3 2 3 3 3" xfId="5356" xr:uid="{71B82B56-1165-4F65-A112-A12884E2DE8B}"/>
    <cellStyle name="60% - Accent3 2 3 3 4" xfId="7246" xr:uid="{0300CB71-22AF-4FDB-ABD6-8A4A0BD2E73A}"/>
    <cellStyle name="60% - Accent3 2 3 3 5" xfId="9136" xr:uid="{B7ED9248-CB77-4853-BEE8-88D80906358A}"/>
    <cellStyle name="60% - Accent3 2 3 3 6" xfId="11026" xr:uid="{2413DEAE-90CA-45FF-908C-34EC78C5A94E}"/>
    <cellStyle name="60% - Accent3 2 3 3 7" xfId="12916" xr:uid="{490DE982-E276-465B-9BD7-FC7834CF512B}"/>
    <cellStyle name="60% - Accent3 2 3 3 8" xfId="14806" xr:uid="{50A754AD-7BED-43EF-9085-784EB9F9E661}"/>
    <cellStyle name="60% - Accent3 2 3 3 9" xfId="16696" xr:uid="{862B3910-5C92-4747-AFA4-7C757EDB5130}"/>
    <cellStyle name="60% - Accent3 2 3 4" xfId="2206" xr:uid="{491B0CF8-925B-4854-ACB7-7634B998FEAD}"/>
    <cellStyle name="60% - Accent3 2 3 5" xfId="4096" xr:uid="{A764175B-C1CD-4A9B-897B-E75627E9CA85}"/>
    <cellStyle name="60% - Accent3 2 3 6" xfId="5986" xr:uid="{1B4B48A1-B840-4A4B-8B91-729DFD36C501}"/>
    <cellStyle name="60% - Accent3 2 3 7" xfId="7876" xr:uid="{6C84E264-0C42-4A59-B91A-F9E2E2110996}"/>
    <cellStyle name="60% - Accent3 2 3 8" xfId="9766" xr:uid="{C991F9B0-F04C-4621-8B74-1620F69BDF4E}"/>
    <cellStyle name="60% - Accent3 2 3 9" xfId="11656" xr:uid="{8A0F5E33-9275-4C5A-A81F-A0397057A626}"/>
    <cellStyle name="60% - Accent3 2 4" xfId="526" xr:uid="{C73231D2-E6D4-46F7-8FDA-7BFF9A991E04}"/>
    <cellStyle name="60% - Accent3 2 4 10" xfId="13756" xr:uid="{D8C695DB-09A6-4BB4-B4D1-3A0DF40BEA2D}"/>
    <cellStyle name="60% - Accent3 2 4 11" xfId="15646" xr:uid="{BB74AF13-1A0E-40CE-9802-E3F30C783746}"/>
    <cellStyle name="60% - Accent3 2 4 12" xfId="17536" xr:uid="{C1BF8417-4643-486E-9E30-60FFB7AB7255}"/>
    <cellStyle name="60% - Accent3 2 4 13" xfId="19426" xr:uid="{2029E293-E727-4890-9160-86D3FC2EA0DB}"/>
    <cellStyle name="60% - Accent3 2 4 14" xfId="21316" xr:uid="{3BB7E72A-927A-43AE-A5D6-C0F24B242BEA}"/>
    <cellStyle name="60% - Accent3 2 4 15" xfId="23206" xr:uid="{310D56E6-4403-4F01-948E-DCEC4947680E}"/>
    <cellStyle name="60% - Accent3 2 4 16" xfId="25096" xr:uid="{131B4126-64DE-4C93-8F98-F102AFB8C532}"/>
    <cellStyle name="60% - Accent3 2 4 17" xfId="26986" xr:uid="{2746A3B0-90DF-4482-9A69-75E3B99C3F9E}"/>
    <cellStyle name="60% - Accent3 2 4 18" xfId="28876" xr:uid="{5BB2E06A-ACBB-4449-B9B5-AFF68A3771FF}"/>
    <cellStyle name="60% - Accent3 2 4 19" xfId="30766" xr:uid="{1932E7C1-6B6F-4ADE-B7F1-6B219101CE5A}"/>
    <cellStyle name="60% - Accent3 2 4 2" xfId="1156" xr:uid="{D95BFC86-5656-4987-A48B-4DD70D3E440E}"/>
    <cellStyle name="60% - Accent3 2 4 2 10" xfId="18166" xr:uid="{226AD617-1529-46B0-BB59-43FF7ACA0E8D}"/>
    <cellStyle name="60% - Accent3 2 4 2 11" xfId="20056" xr:uid="{D2683038-E252-49F6-A62C-E1325088C3F6}"/>
    <cellStyle name="60% - Accent3 2 4 2 12" xfId="21946" xr:uid="{C92FA8DD-F27A-487A-B8D3-08AB97BE77BA}"/>
    <cellStyle name="60% - Accent3 2 4 2 13" xfId="23836" xr:uid="{7CE2BEFE-697B-4DE4-9FE5-39346ABB782E}"/>
    <cellStyle name="60% - Accent3 2 4 2 14" xfId="25726" xr:uid="{3497EC59-A72D-4B0B-8DD8-1DA35651EFFF}"/>
    <cellStyle name="60% - Accent3 2 4 2 15" xfId="27616" xr:uid="{BC808F51-B781-449F-B82F-E179ADF0C3E2}"/>
    <cellStyle name="60% - Accent3 2 4 2 16" xfId="29506" xr:uid="{DC9E70AE-9A44-43B4-838E-FCE2AB162E28}"/>
    <cellStyle name="60% - Accent3 2 4 2 17" xfId="31396" xr:uid="{CDDE7310-546B-4722-A22F-83BE1F06F7DF}"/>
    <cellStyle name="60% - Accent3 2 4 2 18" xfId="33286" xr:uid="{1AC4F5AD-B2ED-45E8-B159-480B3F9AE878}"/>
    <cellStyle name="60% - Accent3 2 4 2 19" xfId="35176" xr:uid="{4ECC3D2D-CDB9-4A1B-BECB-6702514F6427}"/>
    <cellStyle name="60% - Accent3 2 4 2 2" xfId="3046" xr:uid="{61197780-335B-4E86-8240-A502B4EB6C07}"/>
    <cellStyle name="60% - Accent3 2 4 2 20" xfId="37066" xr:uid="{E345EEEE-4CB3-472C-A42E-CEB6E1933C65}"/>
    <cellStyle name="60% - Accent3 2 4 2 21" xfId="38956" xr:uid="{1B6C90FB-D9D4-4D6C-8C9F-F0499FD17D88}"/>
    <cellStyle name="60% - Accent3 2 4 2 22" xfId="40847" xr:uid="{61380556-973B-462B-9FB6-B9505ED94A93}"/>
    <cellStyle name="60% - Accent3 2 4 2 3" xfId="4936" xr:uid="{967A1CF0-086D-4D80-90F6-2C5F8720B633}"/>
    <cellStyle name="60% - Accent3 2 4 2 4" xfId="6826" xr:uid="{F9487B85-F274-4C9B-9BE2-9276995ECD69}"/>
    <cellStyle name="60% - Accent3 2 4 2 5" xfId="8716" xr:uid="{06E60E48-893F-48C4-B1B0-C9E6E81A96FD}"/>
    <cellStyle name="60% - Accent3 2 4 2 6" xfId="10606" xr:uid="{4EF91F19-42EC-4C42-A866-D524A91D0769}"/>
    <cellStyle name="60% - Accent3 2 4 2 7" xfId="12496" xr:uid="{A518A923-38E6-45D8-A243-1EB096685E4A}"/>
    <cellStyle name="60% - Accent3 2 4 2 8" xfId="14386" xr:uid="{4BD2E5C8-DE56-4731-9698-9494D2307213}"/>
    <cellStyle name="60% - Accent3 2 4 2 9" xfId="16276" xr:uid="{F949551A-7447-4308-B519-273D9EDC254B}"/>
    <cellStyle name="60% - Accent3 2 4 20" xfId="32656" xr:uid="{F34EAFBB-2F3A-480E-930D-FAD88AF5E562}"/>
    <cellStyle name="60% - Accent3 2 4 21" xfId="34546" xr:uid="{18B02002-7BAA-454C-BFAF-087E593C8873}"/>
    <cellStyle name="60% - Accent3 2 4 22" xfId="36436" xr:uid="{0EECE120-A6E3-4799-879D-1C2ABCE66982}"/>
    <cellStyle name="60% - Accent3 2 4 23" xfId="38326" xr:uid="{5329D8EC-FBF5-430D-8107-4E9E88477C62}"/>
    <cellStyle name="60% - Accent3 2 4 24" xfId="40217" xr:uid="{856594B6-689D-4E5D-98AF-0C79015712E5}"/>
    <cellStyle name="60% - Accent3 2 4 3" xfId="1786" xr:uid="{2C18B513-9A84-46FE-AE4D-F9622C1003F2}"/>
    <cellStyle name="60% - Accent3 2 4 3 10" xfId="18796" xr:uid="{BB3F612B-63C9-46AD-AE4B-FE5C1BCABCC4}"/>
    <cellStyle name="60% - Accent3 2 4 3 11" xfId="20686" xr:uid="{CE629E47-0512-44FA-A323-B35FED74E1D5}"/>
    <cellStyle name="60% - Accent3 2 4 3 12" xfId="22576" xr:uid="{1C2ABD2C-02F8-4601-B66D-A1344C589638}"/>
    <cellStyle name="60% - Accent3 2 4 3 13" xfId="24466" xr:uid="{E2B9FD4D-09F7-45F0-8A66-4EE12B791386}"/>
    <cellStyle name="60% - Accent3 2 4 3 14" xfId="26356" xr:uid="{4D907E3E-BD1E-4C43-9F46-E697F83F7D40}"/>
    <cellStyle name="60% - Accent3 2 4 3 15" xfId="28246" xr:uid="{900E602A-927B-4304-9BB7-7C114E29ED15}"/>
    <cellStyle name="60% - Accent3 2 4 3 16" xfId="30136" xr:uid="{D8F608FB-D467-46D7-8884-454A2DDF5148}"/>
    <cellStyle name="60% - Accent3 2 4 3 17" xfId="32026" xr:uid="{508C6D33-22FD-4BE0-B1EA-A04D98D8183A}"/>
    <cellStyle name="60% - Accent3 2 4 3 18" xfId="33916" xr:uid="{5271D290-CBF2-430A-A5DC-3A0A6223FCA0}"/>
    <cellStyle name="60% - Accent3 2 4 3 19" xfId="35806" xr:uid="{9759D2D1-E19F-4D58-B8D6-38647D60A272}"/>
    <cellStyle name="60% - Accent3 2 4 3 2" xfId="3676" xr:uid="{C314600E-20A3-4807-870B-2C6708D73795}"/>
    <cellStyle name="60% - Accent3 2 4 3 20" xfId="37696" xr:uid="{86E7CC1A-CD5D-4A0F-94CA-AAB311308E10}"/>
    <cellStyle name="60% - Accent3 2 4 3 21" xfId="39586" xr:uid="{F1EE3EB4-72E1-4BB1-95E2-31AF78986C9E}"/>
    <cellStyle name="60% - Accent3 2 4 3 22" xfId="41477" xr:uid="{2487AE21-9219-46FC-AA9D-48829C488913}"/>
    <cellStyle name="60% - Accent3 2 4 3 3" xfId="5566" xr:uid="{6337C76E-5AA3-445E-96C0-D96C7F7E8772}"/>
    <cellStyle name="60% - Accent3 2 4 3 4" xfId="7456" xr:uid="{5C0CA715-07CA-4F8A-A718-A48BB918EBA1}"/>
    <cellStyle name="60% - Accent3 2 4 3 5" xfId="9346" xr:uid="{6F2F355F-EC54-4D3A-A671-074D72656553}"/>
    <cellStyle name="60% - Accent3 2 4 3 6" xfId="11236" xr:uid="{3A1FC306-8DC4-44B5-8F65-A336773FB66F}"/>
    <cellStyle name="60% - Accent3 2 4 3 7" xfId="13126" xr:uid="{186CF247-81CA-4CB0-BC04-9E1EB0AAD7D5}"/>
    <cellStyle name="60% - Accent3 2 4 3 8" xfId="15016" xr:uid="{9866ADB8-FFC9-496F-AF90-C0AEF3421FF7}"/>
    <cellStyle name="60% - Accent3 2 4 3 9" xfId="16906" xr:uid="{F3647F87-013F-4685-A274-6247722D29AA}"/>
    <cellStyle name="60% - Accent3 2 4 4" xfId="2416" xr:uid="{84DCF071-84B5-455B-B235-1A1B2691B991}"/>
    <cellStyle name="60% - Accent3 2 4 5" xfId="4306" xr:uid="{3448A74D-3301-41D1-BD01-E34466AD2664}"/>
    <cellStyle name="60% - Accent3 2 4 6" xfId="6196" xr:uid="{F2986824-04FD-4E76-BEF3-D7B2ED9E7D74}"/>
    <cellStyle name="60% - Accent3 2 4 7" xfId="8086" xr:uid="{4C0D10DC-6E78-421F-9EDE-654BAED6658E}"/>
    <cellStyle name="60% - Accent3 2 4 8" xfId="9976" xr:uid="{FAB75B78-BA68-496B-83CC-2421B85D87E0}"/>
    <cellStyle name="60% - Accent3 2 4 9" xfId="11866" xr:uid="{CD81A3C1-E328-4F8C-A749-0FA24448425F}"/>
    <cellStyle name="60% - Accent3 2 5" xfId="736" xr:uid="{93580B68-512A-440C-B6AA-E15D778EB384}"/>
    <cellStyle name="60% - Accent3 2 5 10" xfId="17746" xr:uid="{2E3CFB4F-D1F0-4C1D-BD33-655941F3C40A}"/>
    <cellStyle name="60% - Accent3 2 5 11" xfId="19636" xr:uid="{DD934F68-0AFA-4956-9600-F2CCE3DF016E}"/>
    <cellStyle name="60% - Accent3 2 5 12" xfId="21526" xr:uid="{5FB425DA-5ED9-4C9B-8D9A-E9DD9E77CEB4}"/>
    <cellStyle name="60% - Accent3 2 5 13" xfId="23416" xr:uid="{1A829C6C-CD85-40B1-B25D-C9E3F421528B}"/>
    <cellStyle name="60% - Accent3 2 5 14" xfId="25306" xr:uid="{6C931C60-4004-4B4A-A720-0B3A0DB69C67}"/>
    <cellStyle name="60% - Accent3 2 5 15" xfId="27196" xr:uid="{F889B3C3-01CE-4FF0-A94A-1171C64B6321}"/>
    <cellStyle name="60% - Accent3 2 5 16" xfId="29086" xr:uid="{700BB8B8-D2E1-4EC4-8228-1702D7D5262B}"/>
    <cellStyle name="60% - Accent3 2 5 17" xfId="30976" xr:uid="{DCAC0849-593E-47B1-8575-CF3AEA1BD5AE}"/>
    <cellStyle name="60% - Accent3 2 5 18" xfId="32866" xr:uid="{A86F13E2-FF37-4471-B440-976AACF2BD1F}"/>
    <cellStyle name="60% - Accent3 2 5 19" xfId="34756" xr:uid="{22EFC0FF-49BB-4C65-A1EE-E4ED89079675}"/>
    <cellStyle name="60% - Accent3 2 5 2" xfId="2626" xr:uid="{DB018E98-ADDC-44E1-88B0-9B186219645D}"/>
    <cellStyle name="60% - Accent3 2 5 20" xfId="36646" xr:uid="{92DE9580-8F4E-4C7B-A94B-11412D52CBBA}"/>
    <cellStyle name="60% - Accent3 2 5 21" xfId="38536" xr:uid="{D9AD0A30-306A-4833-956E-8D1541B6A0DC}"/>
    <cellStyle name="60% - Accent3 2 5 22" xfId="40427" xr:uid="{D53C9762-0580-4B08-B599-2508A225982B}"/>
    <cellStyle name="60% - Accent3 2 5 3" xfId="4516" xr:uid="{8ED71241-30AF-428D-9716-8CC73E6B504B}"/>
    <cellStyle name="60% - Accent3 2 5 4" xfId="6406" xr:uid="{17B9BC71-6392-4AE5-B1C8-DDC489827BDA}"/>
    <cellStyle name="60% - Accent3 2 5 5" xfId="8296" xr:uid="{7AD32FB8-61C3-40E3-A797-6E2A8CDDEBB7}"/>
    <cellStyle name="60% - Accent3 2 5 6" xfId="10186" xr:uid="{1ED25B4B-638D-4A2C-ADB7-6E7216E6F820}"/>
    <cellStyle name="60% - Accent3 2 5 7" xfId="12076" xr:uid="{8636287E-7364-4584-A489-641F1C4C49E1}"/>
    <cellStyle name="60% - Accent3 2 5 8" xfId="13966" xr:uid="{ED6F06FF-8DF2-41CC-8EA2-74248B289887}"/>
    <cellStyle name="60% - Accent3 2 5 9" xfId="15856" xr:uid="{5C7A63EE-592B-4673-B0C3-B87A144E9C61}"/>
    <cellStyle name="60% - Accent3 2 6" xfId="1366" xr:uid="{2AAEBD00-9B9F-4CD9-BF76-1F6FCC8054D9}"/>
    <cellStyle name="60% - Accent3 2 6 10" xfId="18376" xr:uid="{68E2FFFC-8AD4-4989-AB55-2E1C6BD37C43}"/>
    <cellStyle name="60% - Accent3 2 6 11" xfId="20266" xr:uid="{9A0B812E-23A0-4C0C-BB75-D20828109F60}"/>
    <cellStyle name="60% - Accent3 2 6 12" xfId="22156" xr:uid="{FCFB7414-03B1-4427-B6DA-37CC2AAA7D61}"/>
    <cellStyle name="60% - Accent3 2 6 13" xfId="24046" xr:uid="{A2010DA9-C5D8-4A4D-80A9-896BFD26F1E4}"/>
    <cellStyle name="60% - Accent3 2 6 14" xfId="25936" xr:uid="{031C3012-B775-41F4-90D1-A38C63F0CF25}"/>
    <cellStyle name="60% - Accent3 2 6 15" xfId="27826" xr:uid="{42465645-DDA1-4D46-8EC9-587030466C30}"/>
    <cellStyle name="60% - Accent3 2 6 16" xfId="29716" xr:uid="{DB531EBD-3316-44B2-9360-F371B2480010}"/>
    <cellStyle name="60% - Accent3 2 6 17" xfId="31606" xr:uid="{26DA252B-9DCC-41E0-9894-E67460324FD2}"/>
    <cellStyle name="60% - Accent3 2 6 18" xfId="33496" xr:uid="{1D220EF4-D80A-4133-9A4B-D083602983E2}"/>
    <cellStyle name="60% - Accent3 2 6 19" xfId="35386" xr:uid="{B9BB5F61-8E37-4E56-BBB5-9DAE3905DEC4}"/>
    <cellStyle name="60% - Accent3 2 6 2" xfId="3256" xr:uid="{F67E5E9C-9B4E-44F0-8C7F-264FDF7D5486}"/>
    <cellStyle name="60% - Accent3 2 6 20" xfId="37276" xr:uid="{C2EE0AF5-1796-4505-AA17-480A7D76DA54}"/>
    <cellStyle name="60% - Accent3 2 6 21" xfId="39166" xr:uid="{E2DC80D5-2447-4453-8FBF-86F86136D03C}"/>
    <cellStyle name="60% - Accent3 2 6 22" xfId="41057" xr:uid="{63D8AFE5-6612-4BD1-8EF3-017B72EEF243}"/>
    <cellStyle name="60% - Accent3 2 6 3" xfId="5146" xr:uid="{97CEF917-EC7C-44F4-A398-AC97B8C6FE24}"/>
    <cellStyle name="60% - Accent3 2 6 4" xfId="7036" xr:uid="{AA24209C-0EE9-4C0B-8B08-BB760DCBA5E4}"/>
    <cellStyle name="60% - Accent3 2 6 5" xfId="8926" xr:uid="{B8EAAD42-8BB0-43B4-929F-D20F80AB1C2B}"/>
    <cellStyle name="60% - Accent3 2 6 6" xfId="10816" xr:uid="{64AC43E4-9CFC-4CF1-BFBB-EC7EED0FE0EA}"/>
    <cellStyle name="60% - Accent3 2 6 7" xfId="12706" xr:uid="{66EEC026-83EE-4042-B46C-16E487B427B1}"/>
    <cellStyle name="60% - Accent3 2 6 8" xfId="14596" xr:uid="{1D44660B-E8AA-4AC5-AAD4-18D7A632FAC0}"/>
    <cellStyle name="60% - Accent3 2 6 9" xfId="16486" xr:uid="{83392BE7-D7E4-46B5-8F5A-3484139D3D7C}"/>
    <cellStyle name="60% - Accent3 2 7" xfId="1996" xr:uid="{16004A45-C4E0-4B06-98DD-532876E36440}"/>
    <cellStyle name="60% - Accent3 2 8" xfId="3886" xr:uid="{317CDD50-A03E-438C-B6EF-9DEDA1B655AA}"/>
    <cellStyle name="60% - Accent3 2 9" xfId="5776" xr:uid="{8B91DE7A-37C7-4425-B3E9-8DF576AB0AA8}"/>
    <cellStyle name="60% - Accent3 20" xfId="22764" xr:uid="{2D49C34F-CA49-4CC8-A855-963CD41A2D44}"/>
    <cellStyle name="60% - Accent3 21" xfId="24654" xr:uid="{623D5C64-9410-4A26-84EB-75794F8209C9}"/>
    <cellStyle name="60% - Accent3 22" xfId="26544" xr:uid="{05DAC1C3-681A-4580-92F6-116B60D188F7}"/>
    <cellStyle name="60% - Accent3 23" xfId="28434" xr:uid="{6D2420CB-02D1-4D4F-9694-7FED064A296D}"/>
    <cellStyle name="60% - Accent3 24" xfId="30324" xr:uid="{321A9941-C4B5-45DE-B70F-F4C8109ECA19}"/>
    <cellStyle name="60% - Accent3 25" xfId="32214" xr:uid="{30A0FD17-9FBA-4D90-AC00-E857C8C66FE3}"/>
    <cellStyle name="60% - Accent3 26" xfId="34104" xr:uid="{3732D359-6A87-46D1-B6D9-CD40784A5CD9}"/>
    <cellStyle name="60% - Accent3 27" xfId="35994" xr:uid="{E47B2DF2-210B-4086-939D-F5FD30EAAFE3}"/>
    <cellStyle name="60% - Accent3 28" xfId="37884" xr:uid="{690E7B86-32B2-407D-9B70-1B0C539BA995}"/>
    <cellStyle name="60% - Accent3 29" xfId="39775" xr:uid="{704E185D-A9B9-4817-95E0-427D8D3C15B3}"/>
    <cellStyle name="60% - Accent3 3" xfId="126" xr:uid="{8BDEA0F0-1F41-4C95-BA2B-38E11FC6D0AE}"/>
    <cellStyle name="60% - Accent3 3 10" xfId="7686" xr:uid="{B7F6F205-2BE4-4E02-ACC3-1838482275A0}"/>
    <cellStyle name="60% - Accent3 3 11" xfId="9576" xr:uid="{CFAA5E87-312E-41CA-9763-3B32AFAC9E99}"/>
    <cellStyle name="60% - Accent3 3 12" xfId="11466" xr:uid="{FCA2C0A1-26C8-4510-A49D-E0CC579D519D}"/>
    <cellStyle name="60% - Accent3 3 13" xfId="13356" xr:uid="{71C14326-298C-43BE-9B82-E985B969DE76}"/>
    <cellStyle name="60% - Accent3 3 14" xfId="15246" xr:uid="{EF874D27-9F7E-459F-BE74-F1C318830468}"/>
    <cellStyle name="60% - Accent3 3 15" xfId="17136" xr:uid="{2F26C426-BA2E-4BF8-8507-19820F39A7F9}"/>
    <cellStyle name="60% - Accent3 3 16" xfId="19026" xr:uid="{6A23E7DE-D43B-4822-9857-ECD9210EEA09}"/>
    <cellStyle name="60% - Accent3 3 17" xfId="20916" xr:uid="{886C3965-2E33-46DE-B5B6-C81F4A867EBC}"/>
    <cellStyle name="60% - Accent3 3 18" xfId="22806" xr:uid="{AB3F516A-A76A-4B6C-9272-B362BD799373}"/>
    <cellStyle name="60% - Accent3 3 19" xfId="24696" xr:uid="{F86AD10D-96E3-478A-B4B5-4C2D9E8AE549}"/>
    <cellStyle name="60% - Accent3 3 2" xfId="231" xr:uid="{DAEB69B2-5C8D-43F2-97D6-CD75E6FF02B7}"/>
    <cellStyle name="60% - Accent3 3 2 10" xfId="9681" xr:uid="{6F36D579-736C-4DA0-BCD5-63D7D3F50887}"/>
    <cellStyle name="60% - Accent3 3 2 11" xfId="11571" xr:uid="{08A4FA04-E042-4C86-AD12-67DA68BEDFD8}"/>
    <cellStyle name="60% - Accent3 3 2 12" xfId="13461" xr:uid="{5A3D7247-0769-4AA8-A63B-BE851D58D7F5}"/>
    <cellStyle name="60% - Accent3 3 2 13" xfId="15351" xr:uid="{EDB0D949-CD12-43C8-88C5-C1FBFE3BC5AC}"/>
    <cellStyle name="60% - Accent3 3 2 14" xfId="17241" xr:uid="{6E53E3F6-2FBF-4F31-9313-219E497DDC60}"/>
    <cellStyle name="60% - Accent3 3 2 15" xfId="19131" xr:uid="{A61B85F4-C4D0-4121-B073-BBF643E07B01}"/>
    <cellStyle name="60% - Accent3 3 2 16" xfId="21021" xr:uid="{C5A2856A-0058-4EBC-BA9D-CA7585DF5EE7}"/>
    <cellStyle name="60% - Accent3 3 2 17" xfId="22911" xr:uid="{81AF1093-EB9C-48CF-B1BF-D22C28ABCB11}"/>
    <cellStyle name="60% - Accent3 3 2 18" xfId="24801" xr:uid="{859B3329-CED4-428A-8FF3-DAF027B7A86B}"/>
    <cellStyle name="60% - Accent3 3 2 19" xfId="26691" xr:uid="{81DAECFF-A553-4540-BF6A-0A16E80396B8}"/>
    <cellStyle name="60% - Accent3 3 2 2" xfId="441" xr:uid="{1ACE9193-BA58-4171-822C-3D4680CE828E}"/>
    <cellStyle name="60% - Accent3 3 2 2 10" xfId="13671" xr:uid="{C98BC1AD-2B22-4D8C-9594-4E77332B8E03}"/>
    <cellStyle name="60% - Accent3 3 2 2 11" xfId="15561" xr:uid="{D6CF6314-9846-4DE7-A5AC-8EB5007CCA44}"/>
    <cellStyle name="60% - Accent3 3 2 2 12" xfId="17451" xr:uid="{03FE608C-9BB3-4E74-BC95-E424E7616788}"/>
    <cellStyle name="60% - Accent3 3 2 2 13" xfId="19341" xr:uid="{F4A9886C-6E76-4EEE-A9B4-559A702BC328}"/>
    <cellStyle name="60% - Accent3 3 2 2 14" xfId="21231" xr:uid="{B40238A6-E863-48EA-8B09-3B9066875884}"/>
    <cellStyle name="60% - Accent3 3 2 2 15" xfId="23121" xr:uid="{6FBDD329-76D9-4FA7-9F99-F6D6E6F30E64}"/>
    <cellStyle name="60% - Accent3 3 2 2 16" xfId="25011" xr:uid="{2AD27FE3-B157-4C03-8117-459B28B468EE}"/>
    <cellStyle name="60% - Accent3 3 2 2 17" xfId="26901" xr:uid="{72FAF6F2-C974-4566-9C72-A3EA480FC673}"/>
    <cellStyle name="60% - Accent3 3 2 2 18" xfId="28791" xr:uid="{9E1302E3-EA4C-4996-BFFD-72D8DBA95134}"/>
    <cellStyle name="60% - Accent3 3 2 2 19" xfId="30681" xr:uid="{7AD396EA-5D2E-4EC5-9C7D-F2A795BEABB6}"/>
    <cellStyle name="60% - Accent3 3 2 2 2" xfId="1071" xr:uid="{838362C1-A070-4846-829F-BCF183F3E8D7}"/>
    <cellStyle name="60% - Accent3 3 2 2 2 10" xfId="18081" xr:uid="{466A0EDE-CA5B-46C4-8166-B445EE573029}"/>
    <cellStyle name="60% - Accent3 3 2 2 2 11" xfId="19971" xr:uid="{B5C4CA4E-1D8E-4530-9028-532DF3E3C7A4}"/>
    <cellStyle name="60% - Accent3 3 2 2 2 12" xfId="21861" xr:uid="{E92AB823-61C1-41B8-B41F-5A6D35E99656}"/>
    <cellStyle name="60% - Accent3 3 2 2 2 13" xfId="23751" xr:uid="{9C74EB7C-3CE8-4FA5-9350-AB1C732D54F9}"/>
    <cellStyle name="60% - Accent3 3 2 2 2 14" xfId="25641" xr:uid="{0862574A-E94E-40C0-B1EB-EFED1007D4F8}"/>
    <cellStyle name="60% - Accent3 3 2 2 2 15" xfId="27531" xr:uid="{41B22CE7-EFF2-4A7A-B5B4-9C2C0668F804}"/>
    <cellStyle name="60% - Accent3 3 2 2 2 16" xfId="29421" xr:uid="{BE9197B7-F261-46B3-88BA-4ABD35319FD5}"/>
    <cellStyle name="60% - Accent3 3 2 2 2 17" xfId="31311" xr:uid="{78D03DDE-0CAC-4367-8252-1D23232C20F2}"/>
    <cellStyle name="60% - Accent3 3 2 2 2 18" xfId="33201" xr:uid="{AAA38A47-89BE-43D6-A3D8-8B5E4C114950}"/>
    <cellStyle name="60% - Accent3 3 2 2 2 19" xfId="35091" xr:uid="{F6649110-0F08-4669-8752-0361B7C10020}"/>
    <cellStyle name="60% - Accent3 3 2 2 2 2" xfId="2961" xr:uid="{D0BF2B63-1411-4C36-ABBB-1B67E637161E}"/>
    <cellStyle name="60% - Accent3 3 2 2 2 20" xfId="36981" xr:uid="{5657D046-D1CB-4DA6-B8FC-B1508E1F6D90}"/>
    <cellStyle name="60% - Accent3 3 2 2 2 21" xfId="38871" xr:uid="{95E4FCA5-D8AF-494C-869C-F437836EE293}"/>
    <cellStyle name="60% - Accent3 3 2 2 2 22" xfId="40762" xr:uid="{2804ACDD-F372-460C-A833-00F93EE1B443}"/>
    <cellStyle name="60% - Accent3 3 2 2 2 3" xfId="4851" xr:uid="{C0E24307-07FA-449B-B2D1-F1B2AE1AFC26}"/>
    <cellStyle name="60% - Accent3 3 2 2 2 4" xfId="6741" xr:uid="{5AC333A5-E816-4AE5-9D0A-D9498F287C9D}"/>
    <cellStyle name="60% - Accent3 3 2 2 2 5" xfId="8631" xr:uid="{6BF5C973-8B36-45B7-BB97-7F97531FBF8B}"/>
    <cellStyle name="60% - Accent3 3 2 2 2 6" xfId="10521" xr:uid="{1050CDBA-6C3D-4DEC-AB5D-52E3B8FEB5B0}"/>
    <cellStyle name="60% - Accent3 3 2 2 2 7" xfId="12411" xr:uid="{56B8AF9A-F3F5-4E0A-BEC5-2E44974CB595}"/>
    <cellStyle name="60% - Accent3 3 2 2 2 8" xfId="14301" xr:uid="{06C32671-C656-41E0-A1CB-D9246FCB23CB}"/>
    <cellStyle name="60% - Accent3 3 2 2 2 9" xfId="16191" xr:uid="{45F7F267-A92D-4519-AD5E-C8C1806F2968}"/>
    <cellStyle name="60% - Accent3 3 2 2 20" xfId="32571" xr:uid="{B23F34F7-5B72-488B-B412-099CE5EC68E2}"/>
    <cellStyle name="60% - Accent3 3 2 2 21" xfId="34461" xr:uid="{E71829E8-A664-42A8-A217-A13E60AB932E}"/>
    <cellStyle name="60% - Accent3 3 2 2 22" xfId="36351" xr:uid="{A693CDA0-03AB-4AEA-9332-2A4799B4D071}"/>
    <cellStyle name="60% - Accent3 3 2 2 23" xfId="38241" xr:uid="{C6AC80D9-B4DB-4B73-BA95-D407164F08C4}"/>
    <cellStyle name="60% - Accent3 3 2 2 24" xfId="40132" xr:uid="{92780647-9EB9-4393-B7D6-1E43EEAA5B02}"/>
    <cellStyle name="60% - Accent3 3 2 2 3" xfId="1701" xr:uid="{ACC15B1E-15B2-489E-B2D4-80C8E03964FE}"/>
    <cellStyle name="60% - Accent3 3 2 2 3 10" xfId="18711" xr:uid="{7A8C1235-19D9-49C1-B60D-73FE7D2B8334}"/>
    <cellStyle name="60% - Accent3 3 2 2 3 11" xfId="20601" xr:uid="{20B29352-84FE-414D-A605-0EA030E26E0E}"/>
    <cellStyle name="60% - Accent3 3 2 2 3 12" xfId="22491" xr:uid="{28993476-C33B-491F-B018-8BFA0182BF45}"/>
    <cellStyle name="60% - Accent3 3 2 2 3 13" xfId="24381" xr:uid="{A3BC6143-FFED-42EE-BCB0-8C68D8585D0E}"/>
    <cellStyle name="60% - Accent3 3 2 2 3 14" xfId="26271" xr:uid="{C8A9E742-03D6-44F5-A3C7-17EC5D63CBF1}"/>
    <cellStyle name="60% - Accent3 3 2 2 3 15" xfId="28161" xr:uid="{14AA5131-B250-488A-8900-2F2C0C81A583}"/>
    <cellStyle name="60% - Accent3 3 2 2 3 16" xfId="30051" xr:uid="{F0272F36-AAD8-4674-8C6C-99E4578D8769}"/>
    <cellStyle name="60% - Accent3 3 2 2 3 17" xfId="31941" xr:uid="{5A167B6F-DBD9-477E-8663-0BD4E94CA7AB}"/>
    <cellStyle name="60% - Accent3 3 2 2 3 18" xfId="33831" xr:uid="{BEB9F5CF-51CE-4A27-92F8-C20D47E1A81E}"/>
    <cellStyle name="60% - Accent3 3 2 2 3 19" xfId="35721" xr:uid="{2E3B1CEE-76D4-437B-98F6-A2533187ED59}"/>
    <cellStyle name="60% - Accent3 3 2 2 3 2" xfId="3591" xr:uid="{A63C4751-4D82-4A92-8CC3-0514AA3D9EDE}"/>
    <cellStyle name="60% - Accent3 3 2 2 3 20" xfId="37611" xr:uid="{7D561099-FD62-4A78-8A11-960B995550CD}"/>
    <cellStyle name="60% - Accent3 3 2 2 3 21" xfId="39501" xr:uid="{B68DBD79-EA40-464F-8B28-AB176A409308}"/>
    <cellStyle name="60% - Accent3 3 2 2 3 22" xfId="41392" xr:uid="{FEF5BA52-D50D-4DA2-B0AB-155F8286BE99}"/>
    <cellStyle name="60% - Accent3 3 2 2 3 3" xfId="5481" xr:uid="{5FFB1E85-C117-41A7-8C28-12A4D3929FF7}"/>
    <cellStyle name="60% - Accent3 3 2 2 3 4" xfId="7371" xr:uid="{A8437760-A1C7-4F24-84E7-F29DC73E2F1C}"/>
    <cellStyle name="60% - Accent3 3 2 2 3 5" xfId="9261" xr:uid="{83BE8620-9BD6-4CE6-A0C6-770BEE9006C7}"/>
    <cellStyle name="60% - Accent3 3 2 2 3 6" xfId="11151" xr:uid="{9584A420-D25A-4991-8D24-3136A192FCF4}"/>
    <cellStyle name="60% - Accent3 3 2 2 3 7" xfId="13041" xr:uid="{40698ADE-BA3C-4872-BD93-DED7020F8D1F}"/>
    <cellStyle name="60% - Accent3 3 2 2 3 8" xfId="14931" xr:uid="{2D527CA6-CD57-4751-BFCE-FA28E175CC63}"/>
    <cellStyle name="60% - Accent3 3 2 2 3 9" xfId="16821" xr:uid="{D37EA2FC-B318-43C7-AF9F-A918290DC011}"/>
    <cellStyle name="60% - Accent3 3 2 2 4" xfId="2331" xr:uid="{CE6955C1-A7CC-4FC5-9D46-53815C2A8CA9}"/>
    <cellStyle name="60% - Accent3 3 2 2 5" xfId="4221" xr:uid="{4433AA06-19E8-44F2-88DB-69D0B2D8EADD}"/>
    <cellStyle name="60% - Accent3 3 2 2 6" xfId="6111" xr:uid="{8452C1B4-8F56-40BD-BAE2-FF2B558A4297}"/>
    <cellStyle name="60% - Accent3 3 2 2 7" xfId="8001" xr:uid="{9EB54D0A-DCBD-4CC5-B76E-1FD37C76D7D7}"/>
    <cellStyle name="60% - Accent3 3 2 2 8" xfId="9891" xr:uid="{2AC60AF7-7680-4679-AED2-70995BB06198}"/>
    <cellStyle name="60% - Accent3 3 2 2 9" xfId="11781" xr:uid="{8EF3B4A0-B9D9-49F0-BBF0-AF21438AC258}"/>
    <cellStyle name="60% - Accent3 3 2 20" xfId="28581" xr:uid="{25717F92-CAA6-46E1-AE80-BBABD4420EF1}"/>
    <cellStyle name="60% - Accent3 3 2 21" xfId="30471" xr:uid="{A536A0B0-3687-4B18-987B-95D4DA568F5D}"/>
    <cellStyle name="60% - Accent3 3 2 22" xfId="32361" xr:uid="{AC430E5F-BE0E-42C2-AA32-9DBDEFB41FCF}"/>
    <cellStyle name="60% - Accent3 3 2 23" xfId="34251" xr:uid="{A05D4926-6013-4C22-B857-2E388F04EC08}"/>
    <cellStyle name="60% - Accent3 3 2 24" xfId="36141" xr:uid="{4F399B2A-4A42-4368-BD5A-5B78B2ACB5EE}"/>
    <cellStyle name="60% - Accent3 3 2 25" xfId="38031" xr:uid="{207F3FD1-F6EF-4F77-B394-F9B1CEF1FE3E}"/>
    <cellStyle name="60% - Accent3 3 2 26" xfId="39922" xr:uid="{272D6485-BE8D-4605-88ED-340CA1F8650A}"/>
    <cellStyle name="60% - Accent3 3 2 3" xfId="651" xr:uid="{FD19145B-1072-4F54-962B-407597C753B6}"/>
    <cellStyle name="60% - Accent3 3 2 3 10" xfId="13881" xr:uid="{74FB28EC-DAC7-4C40-8E9C-A42403D143D7}"/>
    <cellStyle name="60% - Accent3 3 2 3 11" xfId="15771" xr:uid="{F1C9D4E7-BE8B-4413-829A-3BF46DB0A5C6}"/>
    <cellStyle name="60% - Accent3 3 2 3 12" xfId="17661" xr:uid="{84100578-1C09-4E9A-93B0-B2EA07D18193}"/>
    <cellStyle name="60% - Accent3 3 2 3 13" xfId="19551" xr:uid="{094E3EA0-55DB-4177-80A0-74624CC2F9BE}"/>
    <cellStyle name="60% - Accent3 3 2 3 14" xfId="21441" xr:uid="{6BE3D978-7A12-4C00-8B08-A6FB1E381A4D}"/>
    <cellStyle name="60% - Accent3 3 2 3 15" xfId="23331" xr:uid="{0A630EAA-14A5-403A-942E-EA4B1669034E}"/>
    <cellStyle name="60% - Accent3 3 2 3 16" xfId="25221" xr:uid="{EAE13DB5-74BF-40D9-AEE6-3FEFE05676EE}"/>
    <cellStyle name="60% - Accent3 3 2 3 17" xfId="27111" xr:uid="{CD61325E-EE33-4968-9623-2D628833C7A3}"/>
    <cellStyle name="60% - Accent3 3 2 3 18" xfId="29001" xr:uid="{CCC892E0-CD1C-4D61-95C5-1458273C5154}"/>
    <cellStyle name="60% - Accent3 3 2 3 19" xfId="30891" xr:uid="{3808429C-1869-4DA9-BD09-900C7BB2DD37}"/>
    <cellStyle name="60% - Accent3 3 2 3 2" xfId="1281" xr:uid="{69B73F20-C57D-4582-9F7E-849305217B3F}"/>
    <cellStyle name="60% - Accent3 3 2 3 2 10" xfId="18291" xr:uid="{0C1C1E5D-B614-4420-8717-16A5A9842C6A}"/>
    <cellStyle name="60% - Accent3 3 2 3 2 11" xfId="20181" xr:uid="{F465C53C-30F1-4CFD-AA73-EEF8AB7510A4}"/>
    <cellStyle name="60% - Accent3 3 2 3 2 12" xfId="22071" xr:uid="{3598BB3D-B030-4FBA-8DF1-17864F7F56E6}"/>
    <cellStyle name="60% - Accent3 3 2 3 2 13" xfId="23961" xr:uid="{82E0DAD6-ED76-41CF-9103-7C9406C907BC}"/>
    <cellStyle name="60% - Accent3 3 2 3 2 14" xfId="25851" xr:uid="{5B07FF42-CD20-4F56-BEDF-B60294F67360}"/>
    <cellStyle name="60% - Accent3 3 2 3 2 15" xfId="27741" xr:uid="{E4B8E3CA-563B-477B-8CA0-C48E4A3D1B2B}"/>
    <cellStyle name="60% - Accent3 3 2 3 2 16" xfId="29631" xr:uid="{CC34C694-A18B-405E-9940-141650DA31C5}"/>
    <cellStyle name="60% - Accent3 3 2 3 2 17" xfId="31521" xr:uid="{606C53E6-75C6-4751-8122-5074A84317A4}"/>
    <cellStyle name="60% - Accent3 3 2 3 2 18" xfId="33411" xr:uid="{F7FD4FA9-F9BA-4B15-8C31-1709C266066C}"/>
    <cellStyle name="60% - Accent3 3 2 3 2 19" xfId="35301" xr:uid="{266F30AC-2FDC-4A4B-A959-D63AB8EE81FC}"/>
    <cellStyle name="60% - Accent3 3 2 3 2 2" xfId="3171" xr:uid="{67BDB795-8AD9-47E9-AAF9-8FAAE53FA953}"/>
    <cellStyle name="60% - Accent3 3 2 3 2 20" xfId="37191" xr:uid="{B2E26E6C-A57B-4593-90B4-32A886DEBFDF}"/>
    <cellStyle name="60% - Accent3 3 2 3 2 21" xfId="39081" xr:uid="{941391EE-8DFD-4058-91AB-D26113E0590A}"/>
    <cellStyle name="60% - Accent3 3 2 3 2 22" xfId="40972" xr:uid="{630089D9-B37C-4ADC-8A9B-2F212D1763C3}"/>
    <cellStyle name="60% - Accent3 3 2 3 2 3" xfId="5061" xr:uid="{84F9ADEB-B270-4BCA-98F0-9FE452F04178}"/>
    <cellStyle name="60% - Accent3 3 2 3 2 4" xfId="6951" xr:uid="{5AD0982B-2760-48F5-A0A4-02C6EA753667}"/>
    <cellStyle name="60% - Accent3 3 2 3 2 5" xfId="8841" xr:uid="{48220D56-CEB4-4A8F-9F32-BD76B943E50A}"/>
    <cellStyle name="60% - Accent3 3 2 3 2 6" xfId="10731" xr:uid="{72B9B414-37A5-414C-ADB0-404E7A32D114}"/>
    <cellStyle name="60% - Accent3 3 2 3 2 7" xfId="12621" xr:uid="{7EDACCF3-1D5E-4FA4-AB92-EEB587B02A4D}"/>
    <cellStyle name="60% - Accent3 3 2 3 2 8" xfId="14511" xr:uid="{C8C2B88C-20F9-470C-86FF-79D550542730}"/>
    <cellStyle name="60% - Accent3 3 2 3 2 9" xfId="16401" xr:uid="{CEF5CB2B-F73C-4276-85A7-2CDF31C3562D}"/>
    <cellStyle name="60% - Accent3 3 2 3 20" xfId="32781" xr:uid="{A83B1493-5228-4A1D-A670-DCCE894DDFDA}"/>
    <cellStyle name="60% - Accent3 3 2 3 21" xfId="34671" xr:uid="{1220E177-D704-468B-BBCC-4AE34000BC14}"/>
    <cellStyle name="60% - Accent3 3 2 3 22" xfId="36561" xr:uid="{F8624146-0657-49EC-A88F-9213B258D7CF}"/>
    <cellStyle name="60% - Accent3 3 2 3 23" xfId="38451" xr:uid="{71D6ACCA-B7D9-4830-96E5-1B0686B95BAD}"/>
    <cellStyle name="60% - Accent3 3 2 3 24" xfId="40342" xr:uid="{1BE5DBAA-3696-49B9-AD04-3A8D335C9FA3}"/>
    <cellStyle name="60% - Accent3 3 2 3 3" xfId="1911" xr:uid="{5833EBBE-ECBA-4133-B5D7-0CCFA9B488F2}"/>
    <cellStyle name="60% - Accent3 3 2 3 3 10" xfId="18921" xr:uid="{8FCE2674-0ED4-491A-A480-773621BD4665}"/>
    <cellStyle name="60% - Accent3 3 2 3 3 11" xfId="20811" xr:uid="{8E2136CB-A6CE-4E73-829C-0AA5B6CDF217}"/>
    <cellStyle name="60% - Accent3 3 2 3 3 12" xfId="22701" xr:uid="{A191FCC4-6E73-4385-B55C-78C47639CD3F}"/>
    <cellStyle name="60% - Accent3 3 2 3 3 13" xfId="24591" xr:uid="{38AE682F-FEDD-4F27-B987-D15EC79BC4EF}"/>
    <cellStyle name="60% - Accent3 3 2 3 3 14" xfId="26481" xr:uid="{899918E7-8A18-486E-B05A-0B3ACF4E44C2}"/>
    <cellStyle name="60% - Accent3 3 2 3 3 15" xfId="28371" xr:uid="{ECCFE46E-2F5F-4A39-9A12-BDFDE3A7E9BF}"/>
    <cellStyle name="60% - Accent3 3 2 3 3 16" xfId="30261" xr:uid="{98383DF6-1283-4E48-A7D8-7405E4B28D01}"/>
    <cellStyle name="60% - Accent3 3 2 3 3 17" xfId="32151" xr:uid="{92F46708-1E66-4BDF-A226-AFF1E85772D8}"/>
    <cellStyle name="60% - Accent3 3 2 3 3 18" xfId="34041" xr:uid="{35667FC5-3E7F-442B-B83F-5016601362B6}"/>
    <cellStyle name="60% - Accent3 3 2 3 3 19" xfId="35931" xr:uid="{8CCE1FEE-3208-4E55-ADF1-94047CCDE3BA}"/>
    <cellStyle name="60% - Accent3 3 2 3 3 2" xfId="3801" xr:uid="{B4E808D7-D83A-4A79-8440-F9DDA99466FF}"/>
    <cellStyle name="60% - Accent3 3 2 3 3 20" xfId="37821" xr:uid="{7D58E7E0-70E6-450A-AC4E-9E590BC3AEDE}"/>
    <cellStyle name="60% - Accent3 3 2 3 3 21" xfId="39711" xr:uid="{3BFF2C65-CC21-4C49-99CD-46B15B1AD295}"/>
    <cellStyle name="60% - Accent3 3 2 3 3 22" xfId="41602" xr:uid="{4B75CD68-526B-4774-A622-C4FBE33CF492}"/>
    <cellStyle name="60% - Accent3 3 2 3 3 3" xfId="5691" xr:uid="{55A63302-1433-487E-BF6D-012701579175}"/>
    <cellStyle name="60% - Accent3 3 2 3 3 4" xfId="7581" xr:uid="{984A0A70-55B8-4FB2-85B8-2BFA79C90B91}"/>
    <cellStyle name="60% - Accent3 3 2 3 3 5" xfId="9471" xr:uid="{1EAEAD96-7028-4555-9F87-8B6FBAF7054B}"/>
    <cellStyle name="60% - Accent3 3 2 3 3 6" xfId="11361" xr:uid="{331502EF-AED4-4F50-8493-08E917EA9D12}"/>
    <cellStyle name="60% - Accent3 3 2 3 3 7" xfId="13251" xr:uid="{846DFEDB-889E-4F9D-8953-D91A519D1749}"/>
    <cellStyle name="60% - Accent3 3 2 3 3 8" xfId="15141" xr:uid="{0D1E2140-7A83-4DC8-83F0-9A38D7A8EFB4}"/>
    <cellStyle name="60% - Accent3 3 2 3 3 9" xfId="17031" xr:uid="{16F63B2A-90BC-4029-A37D-54D6195495D4}"/>
    <cellStyle name="60% - Accent3 3 2 3 4" xfId="2541" xr:uid="{E1E8E2EC-08E2-4B71-9988-06D84B9E4C39}"/>
    <cellStyle name="60% - Accent3 3 2 3 5" xfId="4431" xr:uid="{D66CB0D9-E01A-44B5-80E0-0A6B9CECB089}"/>
    <cellStyle name="60% - Accent3 3 2 3 6" xfId="6321" xr:uid="{09A650BF-02BA-491B-80D9-4C705CA1441C}"/>
    <cellStyle name="60% - Accent3 3 2 3 7" xfId="8211" xr:uid="{755A09D2-3EBF-4EDC-A0DB-D104BF4446ED}"/>
    <cellStyle name="60% - Accent3 3 2 3 8" xfId="10101" xr:uid="{8725DB00-7675-40EF-B14F-9BD514130AF4}"/>
    <cellStyle name="60% - Accent3 3 2 3 9" xfId="11991" xr:uid="{37D41432-9764-44FA-8A5E-EB917DD78704}"/>
    <cellStyle name="60% - Accent3 3 2 4" xfId="861" xr:uid="{C74ECD2B-ABE9-40E1-B944-224D04C96D36}"/>
    <cellStyle name="60% - Accent3 3 2 4 10" xfId="17871" xr:uid="{DAC706F9-9D1C-48FE-82BD-6D4961291780}"/>
    <cellStyle name="60% - Accent3 3 2 4 11" xfId="19761" xr:uid="{0A6F1E21-5263-4181-A4E2-4F56367CFA38}"/>
    <cellStyle name="60% - Accent3 3 2 4 12" xfId="21651" xr:uid="{08ACD723-9620-4DC4-A0E3-DB19A828B75F}"/>
    <cellStyle name="60% - Accent3 3 2 4 13" xfId="23541" xr:uid="{063AA92F-8E69-49D9-B67A-CEB936CAAB60}"/>
    <cellStyle name="60% - Accent3 3 2 4 14" xfId="25431" xr:uid="{A3C7BB99-8932-4917-A85E-AAA2A075FABF}"/>
    <cellStyle name="60% - Accent3 3 2 4 15" xfId="27321" xr:uid="{A117176A-FFC6-4DD5-B1CF-4B8F57CE5EB0}"/>
    <cellStyle name="60% - Accent3 3 2 4 16" xfId="29211" xr:uid="{559E9853-9004-4963-93D3-82E3262B569C}"/>
    <cellStyle name="60% - Accent3 3 2 4 17" xfId="31101" xr:uid="{9098B78B-3F61-46A9-9173-410FF9800263}"/>
    <cellStyle name="60% - Accent3 3 2 4 18" xfId="32991" xr:uid="{D6800FD1-E6C2-4CE9-A311-FBEED968AE79}"/>
    <cellStyle name="60% - Accent3 3 2 4 19" xfId="34881" xr:uid="{C8D517EB-769D-408E-81C5-810B97A11051}"/>
    <cellStyle name="60% - Accent3 3 2 4 2" xfId="2751" xr:uid="{3221DA02-5A51-4632-BF9F-4902D0FE61E2}"/>
    <cellStyle name="60% - Accent3 3 2 4 20" xfId="36771" xr:uid="{35483394-5814-42DC-B4B3-82F615EB1C5E}"/>
    <cellStyle name="60% - Accent3 3 2 4 21" xfId="38661" xr:uid="{B37E9C3E-D89A-4A9E-BA9B-5336626D0BD8}"/>
    <cellStyle name="60% - Accent3 3 2 4 22" xfId="40552" xr:uid="{74B2E2BE-9388-481B-A4AC-C1CA718ED090}"/>
    <cellStyle name="60% - Accent3 3 2 4 3" xfId="4641" xr:uid="{D05C0EE6-7CA3-41BC-B732-FE7191D81D37}"/>
    <cellStyle name="60% - Accent3 3 2 4 4" xfId="6531" xr:uid="{B782C226-B1F8-4C2C-96BF-96CD759A40A0}"/>
    <cellStyle name="60% - Accent3 3 2 4 5" xfId="8421" xr:uid="{B29B7F22-1CF3-43AF-8444-2670B6E59A36}"/>
    <cellStyle name="60% - Accent3 3 2 4 6" xfId="10311" xr:uid="{907201CB-A667-486A-932D-6256206E5E31}"/>
    <cellStyle name="60% - Accent3 3 2 4 7" xfId="12201" xr:uid="{46A4343B-5E63-4BAB-94D2-430DF1D8BBCA}"/>
    <cellStyle name="60% - Accent3 3 2 4 8" xfId="14091" xr:uid="{BDFCCCF3-38E2-420D-A32B-1B0E51537F3B}"/>
    <cellStyle name="60% - Accent3 3 2 4 9" xfId="15981" xr:uid="{B1CD6F22-13BC-4E28-BADA-79D37A261DB2}"/>
    <cellStyle name="60% - Accent3 3 2 5" xfId="1491" xr:uid="{F8C84B3F-CA97-4F30-B6DA-0106FFCFE8E5}"/>
    <cellStyle name="60% - Accent3 3 2 5 10" xfId="18501" xr:uid="{13DE9973-B266-4E1D-8718-D2845552470D}"/>
    <cellStyle name="60% - Accent3 3 2 5 11" xfId="20391" xr:uid="{4D9B0BFC-6DF8-4DE1-8F3B-93A1F8887D6D}"/>
    <cellStyle name="60% - Accent3 3 2 5 12" xfId="22281" xr:uid="{A03CDB71-F9FC-4264-983F-FFF2AE761C37}"/>
    <cellStyle name="60% - Accent3 3 2 5 13" xfId="24171" xr:uid="{65C90CD0-7F57-460A-992E-5783E310340A}"/>
    <cellStyle name="60% - Accent3 3 2 5 14" xfId="26061" xr:uid="{07C23264-F95F-4CFB-9B73-FBE8A74C4244}"/>
    <cellStyle name="60% - Accent3 3 2 5 15" xfId="27951" xr:uid="{3056E549-E9CA-4D3E-AE07-510A7956DD3F}"/>
    <cellStyle name="60% - Accent3 3 2 5 16" xfId="29841" xr:uid="{6F6B9658-64B3-44A7-9D44-7F3BD9698111}"/>
    <cellStyle name="60% - Accent3 3 2 5 17" xfId="31731" xr:uid="{6FD1F1FE-6077-48C4-9123-78B48C625AA4}"/>
    <cellStyle name="60% - Accent3 3 2 5 18" xfId="33621" xr:uid="{1C984031-6C5A-41CB-B1DE-81C167B36075}"/>
    <cellStyle name="60% - Accent3 3 2 5 19" xfId="35511" xr:uid="{662E5E5D-915F-48FA-A8EA-689B621E4FD5}"/>
    <cellStyle name="60% - Accent3 3 2 5 2" xfId="3381" xr:uid="{36FA0C87-9F74-4164-A499-433F7312F696}"/>
    <cellStyle name="60% - Accent3 3 2 5 20" xfId="37401" xr:uid="{88B4E3A7-2F67-469B-8FC0-30C9592A3785}"/>
    <cellStyle name="60% - Accent3 3 2 5 21" xfId="39291" xr:uid="{8FE65303-CD0A-44B9-B5D9-BF34139F8F9A}"/>
    <cellStyle name="60% - Accent3 3 2 5 22" xfId="41182" xr:uid="{CC524B18-B1CC-403A-9DFC-D41AC976B14B}"/>
    <cellStyle name="60% - Accent3 3 2 5 3" xfId="5271" xr:uid="{63CBA864-8BB4-4E3E-A44C-F441AA20E4D1}"/>
    <cellStyle name="60% - Accent3 3 2 5 4" xfId="7161" xr:uid="{ABD47C4D-7B23-4435-B543-F50CA7F30D12}"/>
    <cellStyle name="60% - Accent3 3 2 5 5" xfId="9051" xr:uid="{DBBED0CB-CCED-441A-A82C-AFBA097C7F4C}"/>
    <cellStyle name="60% - Accent3 3 2 5 6" xfId="10941" xr:uid="{23F3D320-01EC-4949-8DDF-F1556A13D65F}"/>
    <cellStyle name="60% - Accent3 3 2 5 7" xfId="12831" xr:uid="{6FB0E132-AC30-459B-8D06-B4CF83D820EF}"/>
    <cellStyle name="60% - Accent3 3 2 5 8" xfId="14721" xr:uid="{00DB0C09-839A-47EA-949A-1F1AFD62BC25}"/>
    <cellStyle name="60% - Accent3 3 2 5 9" xfId="16611" xr:uid="{42442CC4-51BC-47E6-9CC7-A6D3C7442A25}"/>
    <cellStyle name="60% - Accent3 3 2 6" xfId="2121" xr:uid="{8AEA7753-6579-43CC-968B-880FD3C7C066}"/>
    <cellStyle name="60% - Accent3 3 2 7" xfId="4011" xr:uid="{8B2149E1-6111-41CD-AF62-123273480440}"/>
    <cellStyle name="60% - Accent3 3 2 8" xfId="5901" xr:uid="{445BA22B-09B6-44F5-AD05-B426687E69C1}"/>
    <cellStyle name="60% - Accent3 3 2 9" xfId="7791" xr:uid="{462733A4-B831-4C03-9A3E-C76AF8830966}"/>
    <cellStyle name="60% - Accent3 3 20" xfId="26586" xr:uid="{2FEDC36F-48A2-4D28-AF28-6AEBB8030AE2}"/>
    <cellStyle name="60% - Accent3 3 21" xfId="28476" xr:uid="{2339AF88-02D2-4CBC-AEC7-06D5329F312B}"/>
    <cellStyle name="60% - Accent3 3 22" xfId="30366" xr:uid="{0041C738-217C-49C7-ABC9-AC85101D30FD}"/>
    <cellStyle name="60% - Accent3 3 23" xfId="32256" xr:uid="{750B7969-50F5-4FEA-9F80-300DDEFB70F4}"/>
    <cellStyle name="60% - Accent3 3 24" xfId="34146" xr:uid="{5A69898D-E6BE-4011-A082-94766EF1461B}"/>
    <cellStyle name="60% - Accent3 3 25" xfId="36036" xr:uid="{8A8227CB-EC85-4049-8634-4D8967F3C9D7}"/>
    <cellStyle name="60% - Accent3 3 26" xfId="37926" xr:uid="{B8F67312-A48F-4A13-ACE5-03046FBF38BD}"/>
    <cellStyle name="60% - Accent3 3 27" xfId="39817" xr:uid="{352FFF06-AB49-498C-B381-6007BEF536F4}"/>
    <cellStyle name="60% - Accent3 3 3" xfId="336" xr:uid="{80C0FCAF-1CE3-4A0C-810D-67CF4677C118}"/>
    <cellStyle name="60% - Accent3 3 3 10" xfId="13566" xr:uid="{1A04CE46-14A0-4CBE-A5D3-87A77E7EC2DF}"/>
    <cellStyle name="60% - Accent3 3 3 11" xfId="15456" xr:uid="{916ED217-A1C7-4318-B922-C279EA6FE2EE}"/>
    <cellStyle name="60% - Accent3 3 3 12" xfId="17346" xr:uid="{04ACF0C0-3CD8-4D51-8F81-49865FD62C5B}"/>
    <cellStyle name="60% - Accent3 3 3 13" xfId="19236" xr:uid="{97A0F620-87A8-4CB1-A422-1E16B9CA9ED7}"/>
    <cellStyle name="60% - Accent3 3 3 14" xfId="21126" xr:uid="{02577D8D-C913-483D-BB1F-7589854B206E}"/>
    <cellStyle name="60% - Accent3 3 3 15" xfId="23016" xr:uid="{90B9839E-8F6B-43EE-90B9-AEF8A601002D}"/>
    <cellStyle name="60% - Accent3 3 3 16" xfId="24906" xr:uid="{B059C237-FD2E-4151-A9FA-8C80D7F8A472}"/>
    <cellStyle name="60% - Accent3 3 3 17" xfId="26796" xr:uid="{2948817D-4299-4DB9-958D-4A841265CDD0}"/>
    <cellStyle name="60% - Accent3 3 3 18" xfId="28686" xr:uid="{014F618A-E435-4458-AC9D-7DCB38D1D17E}"/>
    <cellStyle name="60% - Accent3 3 3 19" xfId="30576" xr:uid="{62644E0B-081B-40ED-A07F-E295F1E0FAE6}"/>
    <cellStyle name="60% - Accent3 3 3 2" xfId="966" xr:uid="{51724670-182F-4431-A644-A33A0D1E1117}"/>
    <cellStyle name="60% - Accent3 3 3 2 10" xfId="17976" xr:uid="{39A6D06B-CA46-406F-A55D-282E3DF23D5B}"/>
    <cellStyle name="60% - Accent3 3 3 2 11" xfId="19866" xr:uid="{B1575E93-056F-41D4-B8DE-9579556A3F56}"/>
    <cellStyle name="60% - Accent3 3 3 2 12" xfId="21756" xr:uid="{12CD02F4-95AA-49CE-BFF1-80BE7DB6EB4C}"/>
    <cellStyle name="60% - Accent3 3 3 2 13" xfId="23646" xr:uid="{3ED385EC-CF5D-4F98-A4A2-1FBE5965AA6C}"/>
    <cellStyle name="60% - Accent3 3 3 2 14" xfId="25536" xr:uid="{87BF9E1C-7FD3-4A94-AEFB-39A02A8565A5}"/>
    <cellStyle name="60% - Accent3 3 3 2 15" xfId="27426" xr:uid="{922173AC-1EE2-4A0A-8266-D75511F9E901}"/>
    <cellStyle name="60% - Accent3 3 3 2 16" xfId="29316" xr:uid="{0CC67713-2A5A-42A6-8E5C-1F88E1A01C8B}"/>
    <cellStyle name="60% - Accent3 3 3 2 17" xfId="31206" xr:uid="{8E148458-BD21-4FD2-BD32-59547BD62CC6}"/>
    <cellStyle name="60% - Accent3 3 3 2 18" xfId="33096" xr:uid="{31F05772-7FF9-4D6C-ADC2-BCEE597FCFBF}"/>
    <cellStyle name="60% - Accent3 3 3 2 19" xfId="34986" xr:uid="{AAE2377D-43CB-4CB9-9281-303D32B6A8AB}"/>
    <cellStyle name="60% - Accent3 3 3 2 2" xfId="2856" xr:uid="{D9510359-E00E-4C2B-881C-83205F55ABBD}"/>
    <cellStyle name="60% - Accent3 3 3 2 20" xfId="36876" xr:uid="{C48B53E0-47D0-4CFE-98E0-2E302436F56E}"/>
    <cellStyle name="60% - Accent3 3 3 2 21" xfId="38766" xr:uid="{479FE51C-CA7C-414B-98C9-28188EB8F364}"/>
    <cellStyle name="60% - Accent3 3 3 2 22" xfId="40657" xr:uid="{2C53A3CB-9539-4AA1-A7C6-51CCE0836A0A}"/>
    <cellStyle name="60% - Accent3 3 3 2 3" xfId="4746" xr:uid="{D3C6C742-FD05-4CDD-A89E-90B37071CBF7}"/>
    <cellStyle name="60% - Accent3 3 3 2 4" xfId="6636" xr:uid="{E76D862C-FF89-413B-8279-1FDA6CF5E5B0}"/>
    <cellStyle name="60% - Accent3 3 3 2 5" xfId="8526" xr:uid="{47C2FAD0-CF54-4C9D-BA65-B13E41D1CD73}"/>
    <cellStyle name="60% - Accent3 3 3 2 6" xfId="10416" xr:uid="{1F2715B4-BF36-4B5A-937E-DE2DA9AACB43}"/>
    <cellStyle name="60% - Accent3 3 3 2 7" xfId="12306" xr:uid="{1E6DDBC9-6870-4595-90FA-096394A2D09D}"/>
    <cellStyle name="60% - Accent3 3 3 2 8" xfId="14196" xr:uid="{E48BC4CB-149A-4C6E-A2C2-FE12F58123C0}"/>
    <cellStyle name="60% - Accent3 3 3 2 9" xfId="16086" xr:uid="{DCD4BD89-D9F5-4FF4-8E21-62AD1F3C2E4D}"/>
    <cellStyle name="60% - Accent3 3 3 20" xfId="32466" xr:uid="{2A38615C-CFEF-469B-BA51-341B1486B103}"/>
    <cellStyle name="60% - Accent3 3 3 21" xfId="34356" xr:uid="{90C6C505-83EE-4663-AF00-C114F0A22354}"/>
    <cellStyle name="60% - Accent3 3 3 22" xfId="36246" xr:uid="{3388DF68-5CB5-41D1-805F-CD80D92C6028}"/>
    <cellStyle name="60% - Accent3 3 3 23" xfId="38136" xr:uid="{693D1F80-F0C1-4490-9841-640E376CF359}"/>
    <cellStyle name="60% - Accent3 3 3 24" xfId="40027" xr:uid="{80541678-4E87-435B-AD23-F053C28EBA24}"/>
    <cellStyle name="60% - Accent3 3 3 3" xfId="1596" xr:uid="{A99A8419-2096-4ED7-90CD-E7E69EC0130B}"/>
    <cellStyle name="60% - Accent3 3 3 3 10" xfId="18606" xr:uid="{9C4B81CC-49B9-4FD9-A9F5-57657BAD4F33}"/>
    <cellStyle name="60% - Accent3 3 3 3 11" xfId="20496" xr:uid="{803778A6-16CD-4882-AD69-47668F5A2D1F}"/>
    <cellStyle name="60% - Accent3 3 3 3 12" xfId="22386" xr:uid="{6F4C1EBC-6337-4587-A136-E4128688DD4C}"/>
    <cellStyle name="60% - Accent3 3 3 3 13" xfId="24276" xr:uid="{95CAE245-CBB1-4B62-8958-DAAA26A4CC66}"/>
    <cellStyle name="60% - Accent3 3 3 3 14" xfId="26166" xr:uid="{8CF785B5-9291-4E8D-8F62-DD872B2E69CA}"/>
    <cellStyle name="60% - Accent3 3 3 3 15" xfId="28056" xr:uid="{90D99685-4BD9-443D-B62B-2A81EFECF731}"/>
    <cellStyle name="60% - Accent3 3 3 3 16" xfId="29946" xr:uid="{BF2D11CF-447D-40AD-A927-047436860276}"/>
    <cellStyle name="60% - Accent3 3 3 3 17" xfId="31836" xr:uid="{EC84109D-8F50-4079-8941-F075B5D27213}"/>
    <cellStyle name="60% - Accent3 3 3 3 18" xfId="33726" xr:uid="{2C6F91EF-8396-4C93-B3C1-857B8F7360CD}"/>
    <cellStyle name="60% - Accent3 3 3 3 19" xfId="35616" xr:uid="{07234803-D2B7-4076-BF88-EEED9B934DB0}"/>
    <cellStyle name="60% - Accent3 3 3 3 2" xfId="3486" xr:uid="{D1E94C03-4C48-4C57-953D-BADE9317C9C4}"/>
    <cellStyle name="60% - Accent3 3 3 3 20" xfId="37506" xr:uid="{08B8CA37-0A9C-45B7-9A95-BA6BDF2F8064}"/>
    <cellStyle name="60% - Accent3 3 3 3 21" xfId="39396" xr:uid="{997F122F-1133-4ADD-A5F0-9F4DB07096CD}"/>
    <cellStyle name="60% - Accent3 3 3 3 22" xfId="41287" xr:uid="{4AA405BD-6902-4319-A364-7681E0ED246F}"/>
    <cellStyle name="60% - Accent3 3 3 3 3" xfId="5376" xr:uid="{9F91298E-757F-4249-B196-F7FFF73C48BC}"/>
    <cellStyle name="60% - Accent3 3 3 3 4" xfId="7266" xr:uid="{F8E2E10A-8DA9-4F1B-8CAA-DBC431C77703}"/>
    <cellStyle name="60% - Accent3 3 3 3 5" xfId="9156" xr:uid="{608BC46D-F381-462C-AB4B-A220AA652395}"/>
    <cellStyle name="60% - Accent3 3 3 3 6" xfId="11046" xr:uid="{77D959B6-8C51-459E-A22A-9096A052D076}"/>
    <cellStyle name="60% - Accent3 3 3 3 7" xfId="12936" xr:uid="{D1C4C7DA-6ABA-40B0-A26F-2E64703EC087}"/>
    <cellStyle name="60% - Accent3 3 3 3 8" xfId="14826" xr:uid="{B5444309-9E57-410F-B527-67C4177F0BFE}"/>
    <cellStyle name="60% - Accent3 3 3 3 9" xfId="16716" xr:uid="{705C516B-1DC7-4172-A689-DA9D37285246}"/>
    <cellStyle name="60% - Accent3 3 3 4" xfId="2226" xr:uid="{2067E786-B7B5-4A60-A156-BAA3F397F9CD}"/>
    <cellStyle name="60% - Accent3 3 3 5" xfId="4116" xr:uid="{FFCBEFB0-FABF-4CB7-9DEE-3DC512F3602D}"/>
    <cellStyle name="60% - Accent3 3 3 6" xfId="6006" xr:uid="{226C4A24-2E83-4368-8C01-BD3838FD6D03}"/>
    <cellStyle name="60% - Accent3 3 3 7" xfId="7896" xr:uid="{2E01590F-BB3E-47B9-A5FC-9A8C50CB4DBB}"/>
    <cellStyle name="60% - Accent3 3 3 8" xfId="9786" xr:uid="{7B6DD3DE-39A2-4741-ACB4-1974A9A861C5}"/>
    <cellStyle name="60% - Accent3 3 3 9" xfId="11676" xr:uid="{E2B3D8BC-59E3-4572-9110-B35BE8F47111}"/>
    <cellStyle name="60% - Accent3 3 4" xfId="546" xr:uid="{1DE04B9C-1DB7-42E2-965D-0EC921CB4324}"/>
    <cellStyle name="60% - Accent3 3 4 10" xfId="13776" xr:uid="{18DA3996-CE98-4277-838F-650B7AEEE236}"/>
    <cellStyle name="60% - Accent3 3 4 11" xfId="15666" xr:uid="{7FBFADBA-8AED-45CA-9DD1-3D765A1418A6}"/>
    <cellStyle name="60% - Accent3 3 4 12" xfId="17556" xr:uid="{81E10279-99C6-4594-82F7-CE360B1AE257}"/>
    <cellStyle name="60% - Accent3 3 4 13" xfId="19446" xr:uid="{7F5B393B-D2EA-4ACD-8442-AB9E258F3910}"/>
    <cellStyle name="60% - Accent3 3 4 14" xfId="21336" xr:uid="{C39FC8D2-FB1C-4D96-B07B-61C6809E8DA4}"/>
    <cellStyle name="60% - Accent3 3 4 15" xfId="23226" xr:uid="{4E09BA0F-985B-4250-B3FB-E056848558E5}"/>
    <cellStyle name="60% - Accent3 3 4 16" xfId="25116" xr:uid="{216AE8C5-25BC-4342-8965-DCCA3F53E225}"/>
    <cellStyle name="60% - Accent3 3 4 17" xfId="27006" xr:uid="{719799FB-3F30-4459-8CD4-CF72ABE1F979}"/>
    <cellStyle name="60% - Accent3 3 4 18" xfId="28896" xr:uid="{3BE2B92F-00DF-4663-AEFE-4009FF204127}"/>
    <cellStyle name="60% - Accent3 3 4 19" xfId="30786" xr:uid="{B775350A-75C3-472B-A9C4-992C94449668}"/>
    <cellStyle name="60% - Accent3 3 4 2" xfId="1176" xr:uid="{E3B1AC96-3BAD-459D-9FB1-019AC7A4505D}"/>
    <cellStyle name="60% - Accent3 3 4 2 10" xfId="18186" xr:uid="{8E07AC3B-91D8-4C5A-8E97-94E42825BC4B}"/>
    <cellStyle name="60% - Accent3 3 4 2 11" xfId="20076" xr:uid="{97252A75-DD27-4F9F-A194-90A6BBDCBF1B}"/>
    <cellStyle name="60% - Accent3 3 4 2 12" xfId="21966" xr:uid="{B0EBAD45-621C-4899-A1A7-2571E5098727}"/>
    <cellStyle name="60% - Accent3 3 4 2 13" xfId="23856" xr:uid="{D0AC093C-1C02-4614-A348-D071A402375F}"/>
    <cellStyle name="60% - Accent3 3 4 2 14" xfId="25746" xr:uid="{ED62643F-B737-477B-9AC9-D9C708356298}"/>
    <cellStyle name="60% - Accent3 3 4 2 15" xfId="27636" xr:uid="{CFEF20CA-F115-48C6-8731-70193BE3D557}"/>
    <cellStyle name="60% - Accent3 3 4 2 16" xfId="29526" xr:uid="{48B63A9B-16AB-441D-A120-9E6157532AF9}"/>
    <cellStyle name="60% - Accent3 3 4 2 17" xfId="31416" xr:uid="{0A531233-9B6A-4AF8-8BD1-B2176B6AC1B4}"/>
    <cellStyle name="60% - Accent3 3 4 2 18" xfId="33306" xr:uid="{772987C1-BB6A-42CC-932A-5E63C86647B0}"/>
    <cellStyle name="60% - Accent3 3 4 2 19" xfId="35196" xr:uid="{02133457-9162-438A-8F63-3A83EADE421B}"/>
    <cellStyle name="60% - Accent3 3 4 2 2" xfId="3066" xr:uid="{2ED93362-64E2-4CFE-B302-51F82ADB368F}"/>
    <cellStyle name="60% - Accent3 3 4 2 20" xfId="37086" xr:uid="{653E61DD-1D9A-4CA5-9455-9F739B2BEC2D}"/>
    <cellStyle name="60% - Accent3 3 4 2 21" xfId="38976" xr:uid="{D88792A6-8DA4-4E4D-9D2F-40D92F28F2B4}"/>
    <cellStyle name="60% - Accent3 3 4 2 22" xfId="40867" xr:uid="{BADE4EC5-CE55-489A-9AB6-80E563731BC6}"/>
    <cellStyle name="60% - Accent3 3 4 2 3" xfId="4956" xr:uid="{2E1FE96C-F764-4F57-A8D6-29D6E28F369E}"/>
    <cellStyle name="60% - Accent3 3 4 2 4" xfId="6846" xr:uid="{4D893547-C6A9-425B-9D24-C73A563ED7CE}"/>
    <cellStyle name="60% - Accent3 3 4 2 5" xfId="8736" xr:uid="{468E294C-71AE-4DD5-93BD-852A0D4DC49B}"/>
    <cellStyle name="60% - Accent3 3 4 2 6" xfId="10626" xr:uid="{BDF9A240-166F-4C58-B931-289FDDBF088F}"/>
    <cellStyle name="60% - Accent3 3 4 2 7" xfId="12516" xr:uid="{6E3C53ED-D345-482D-8106-2C07B1598152}"/>
    <cellStyle name="60% - Accent3 3 4 2 8" xfId="14406" xr:uid="{FE9B3168-26D9-4960-9690-F96B80ABF5F7}"/>
    <cellStyle name="60% - Accent3 3 4 2 9" xfId="16296" xr:uid="{3E805982-7A07-4EAC-9BA6-EB0AD9B2D311}"/>
    <cellStyle name="60% - Accent3 3 4 20" xfId="32676" xr:uid="{75F4A827-C7C8-44E2-93F6-2EBF4D1F7B5D}"/>
    <cellStyle name="60% - Accent3 3 4 21" xfId="34566" xr:uid="{E33CE12E-1DE2-4509-8683-EE5DF212BD60}"/>
    <cellStyle name="60% - Accent3 3 4 22" xfId="36456" xr:uid="{9552A2DC-11F7-4917-8DEE-6BBC14D97F74}"/>
    <cellStyle name="60% - Accent3 3 4 23" xfId="38346" xr:uid="{2CB1F8D0-F990-4744-A9A8-42975412CC85}"/>
    <cellStyle name="60% - Accent3 3 4 24" xfId="40237" xr:uid="{37C6E500-02C0-49DA-8420-0A6C77AF75E0}"/>
    <cellStyle name="60% - Accent3 3 4 3" xfId="1806" xr:uid="{23BBA93A-3503-4C14-8A15-8F1D280CE226}"/>
    <cellStyle name="60% - Accent3 3 4 3 10" xfId="18816" xr:uid="{0BCC27FB-81F2-495C-B2BC-C092211DB9F6}"/>
    <cellStyle name="60% - Accent3 3 4 3 11" xfId="20706" xr:uid="{AEC30127-1736-42CF-AE89-4A71CDB508CB}"/>
    <cellStyle name="60% - Accent3 3 4 3 12" xfId="22596" xr:uid="{15F047B5-7C1A-43D3-99D5-42CF868D134C}"/>
    <cellStyle name="60% - Accent3 3 4 3 13" xfId="24486" xr:uid="{EC0B3FF0-36F7-4B27-89B3-072E58F3DE92}"/>
    <cellStyle name="60% - Accent3 3 4 3 14" xfId="26376" xr:uid="{3DA82E76-09D4-49B7-B4DB-644196E76CC9}"/>
    <cellStyle name="60% - Accent3 3 4 3 15" xfId="28266" xr:uid="{E9E09179-0F7A-47AB-B3D2-81123179776F}"/>
    <cellStyle name="60% - Accent3 3 4 3 16" xfId="30156" xr:uid="{A7CC5359-F6FA-4F62-92B9-1F6F13A00CFC}"/>
    <cellStyle name="60% - Accent3 3 4 3 17" xfId="32046" xr:uid="{39E521D0-239E-47D2-9CCE-6142E37286E1}"/>
    <cellStyle name="60% - Accent3 3 4 3 18" xfId="33936" xr:uid="{04088ECF-70C9-4202-A0D3-B3B1946102F6}"/>
    <cellStyle name="60% - Accent3 3 4 3 19" xfId="35826" xr:uid="{2B8BBBCC-D907-410B-9A44-F65A6D05330D}"/>
    <cellStyle name="60% - Accent3 3 4 3 2" xfId="3696" xr:uid="{1E29524C-FF6C-41E8-9AAA-80B85D8115B4}"/>
    <cellStyle name="60% - Accent3 3 4 3 20" xfId="37716" xr:uid="{5C72286D-F1AA-4DA8-9906-3125BC72B6EF}"/>
    <cellStyle name="60% - Accent3 3 4 3 21" xfId="39606" xr:uid="{04088FE7-6D98-4EA7-83ED-7E11E6832EC1}"/>
    <cellStyle name="60% - Accent3 3 4 3 22" xfId="41497" xr:uid="{2147B67A-9F89-402B-933B-10BD0CE49CCD}"/>
    <cellStyle name="60% - Accent3 3 4 3 3" xfId="5586" xr:uid="{73CBB850-D5D5-4E2F-AAA2-FA036E6D5215}"/>
    <cellStyle name="60% - Accent3 3 4 3 4" xfId="7476" xr:uid="{1195E340-9116-49EE-8D73-E6EAC6C21AEF}"/>
    <cellStyle name="60% - Accent3 3 4 3 5" xfId="9366" xr:uid="{3BBF681C-3643-421D-92F9-13ED6FEADCB2}"/>
    <cellStyle name="60% - Accent3 3 4 3 6" xfId="11256" xr:uid="{4E5DE79C-7C1C-4AE1-9227-93024AA89DCC}"/>
    <cellStyle name="60% - Accent3 3 4 3 7" xfId="13146" xr:uid="{8208D4AC-E1E2-4391-BC41-CC59A0B829A7}"/>
    <cellStyle name="60% - Accent3 3 4 3 8" xfId="15036" xr:uid="{901F4690-2407-4633-84AF-0D16F5713BAE}"/>
    <cellStyle name="60% - Accent3 3 4 3 9" xfId="16926" xr:uid="{2D14B0F3-B40E-4BE0-8958-BD53CAABF907}"/>
    <cellStyle name="60% - Accent3 3 4 4" xfId="2436" xr:uid="{9975983A-9F85-4186-8619-F456DFB5EAC3}"/>
    <cellStyle name="60% - Accent3 3 4 5" xfId="4326" xr:uid="{2FC99D47-DBAB-4FDB-9AE7-FF8E0BA3DA55}"/>
    <cellStyle name="60% - Accent3 3 4 6" xfId="6216" xr:uid="{A31D11F3-7FDD-46B7-90D0-A032E22792CB}"/>
    <cellStyle name="60% - Accent3 3 4 7" xfId="8106" xr:uid="{1A997A6D-1388-418A-9ABC-6073AACB459C}"/>
    <cellStyle name="60% - Accent3 3 4 8" xfId="9996" xr:uid="{A4A813E2-EEE7-408E-AAA4-3E1A1DFADECA}"/>
    <cellStyle name="60% - Accent3 3 4 9" xfId="11886" xr:uid="{6FA1E1D1-A827-47C7-B9B8-06648F244E4C}"/>
    <cellStyle name="60% - Accent3 3 5" xfId="756" xr:uid="{08C9E9B2-B355-45F6-8B0C-51077EE38619}"/>
    <cellStyle name="60% - Accent3 3 5 10" xfId="17766" xr:uid="{724742CD-EB02-41F6-803E-3A5AC6AD277D}"/>
    <cellStyle name="60% - Accent3 3 5 11" xfId="19656" xr:uid="{25DEC023-18F9-4D40-9BA6-329BCD3C170D}"/>
    <cellStyle name="60% - Accent3 3 5 12" xfId="21546" xr:uid="{3A337406-515A-4E1A-9066-F1B4C23C87F4}"/>
    <cellStyle name="60% - Accent3 3 5 13" xfId="23436" xr:uid="{F28F6D72-A4DA-42C3-B126-2F5A6261843D}"/>
    <cellStyle name="60% - Accent3 3 5 14" xfId="25326" xr:uid="{59C5D7FA-ACF0-4D61-8C67-77579168D268}"/>
    <cellStyle name="60% - Accent3 3 5 15" xfId="27216" xr:uid="{16FAB4DD-A7BA-4532-81D3-1818B5A4FF52}"/>
    <cellStyle name="60% - Accent3 3 5 16" xfId="29106" xr:uid="{5E6ADEDC-93DE-4EA8-9410-59DA98E2F02C}"/>
    <cellStyle name="60% - Accent3 3 5 17" xfId="30996" xr:uid="{59252E56-D0AE-4CEB-8336-AD3C83A60B0C}"/>
    <cellStyle name="60% - Accent3 3 5 18" xfId="32886" xr:uid="{C9967410-19D2-4A61-8528-63BB897DC02D}"/>
    <cellStyle name="60% - Accent3 3 5 19" xfId="34776" xr:uid="{F76E7A74-CB5F-43FE-BDCF-9A10CF14554F}"/>
    <cellStyle name="60% - Accent3 3 5 2" xfId="2646" xr:uid="{8C6A256B-961D-488A-AD27-F993B734C60A}"/>
    <cellStyle name="60% - Accent3 3 5 20" xfId="36666" xr:uid="{57D66970-4C20-46C1-81B8-CAACA9542211}"/>
    <cellStyle name="60% - Accent3 3 5 21" xfId="38556" xr:uid="{28332E7E-7184-47F9-BCBD-323A229AC5FA}"/>
    <cellStyle name="60% - Accent3 3 5 22" xfId="40447" xr:uid="{99C62894-408B-48B3-BA56-FA7181BC5688}"/>
    <cellStyle name="60% - Accent3 3 5 3" xfId="4536" xr:uid="{705BF2F1-1F5B-4F2C-8BE2-4E2B4300FB04}"/>
    <cellStyle name="60% - Accent3 3 5 4" xfId="6426" xr:uid="{3A029A1F-58CF-4723-8F9E-B20BA04CA9C2}"/>
    <cellStyle name="60% - Accent3 3 5 5" xfId="8316" xr:uid="{C27371DF-A887-47AF-A64D-035123451092}"/>
    <cellStyle name="60% - Accent3 3 5 6" xfId="10206" xr:uid="{22ACD441-1301-4636-9FC5-D03B8877B370}"/>
    <cellStyle name="60% - Accent3 3 5 7" xfId="12096" xr:uid="{17FEF08A-DD57-4278-979D-57A1BFF24E1C}"/>
    <cellStyle name="60% - Accent3 3 5 8" xfId="13986" xr:uid="{EEC6D1A8-5730-4808-8EE4-77930A518ABF}"/>
    <cellStyle name="60% - Accent3 3 5 9" xfId="15876" xr:uid="{51A8008D-98B5-4854-81EC-78C151401463}"/>
    <cellStyle name="60% - Accent3 3 6" xfId="1386" xr:uid="{3AA750BD-B56F-47BC-8863-88A58FD64D71}"/>
    <cellStyle name="60% - Accent3 3 6 10" xfId="18396" xr:uid="{B2FE4346-0DB3-4E8C-ACAF-AFAA9943D170}"/>
    <cellStyle name="60% - Accent3 3 6 11" xfId="20286" xr:uid="{CFAC4D65-CD5C-45CD-902E-4945BC0E5E81}"/>
    <cellStyle name="60% - Accent3 3 6 12" xfId="22176" xr:uid="{F6612CCB-7C47-4898-BF70-410026BA70E1}"/>
    <cellStyle name="60% - Accent3 3 6 13" xfId="24066" xr:uid="{D48D9608-B8E5-49F0-8DAF-84B78AC2A1D7}"/>
    <cellStyle name="60% - Accent3 3 6 14" xfId="25956" xr:uid="{EC93348F-EB1D-462F-8ADE-3C33A642BA50}"/>
    <cellStyle name="60% - Accent3 3 6 15" xfId="27846" xr:uid="{609944CB-6D94-4E98-B13F-9A4AAE0BAC2F}"/>
    <cellStyle name="60% - Accent3 3 6 16" xfId="29736" xr:uid="{20FF0FBA-CD12-41D3-BD59-FE14876E9AEA}"/>
    <cellStyle name="60% - Accent3 3 6 17" xfId="31626" xr:uid="{599E4C3C-C508-48B5-9FCB-708489AEA417}"/>
    <cellStyle name="60% - Accent3 3 6 18" xfId="33516" xr:uid="{53AE6669-CC79-4F00-B1E8-3EE4286560A2}"/>
    <cellStyle name="60% - Accent3 3 6 19" xfId="35406" xr:uid="{6FA16C0D-0FE6-4F13-A87F-C4A35A59A5E9}"/>
    <cellStyle name="60% - Accent3 3 6 2" xfId="3276" xr:uid="{376328B8-1611-4331-8A09-314DD57AEC36}"/>
    <cellStyle name="60% - Accent3 3 6 20" xfId="37296" xr:uid="{394727A5-85D1-4D2D-B0D6-8DCD5AE488EA}"/>
    <cellStyle name="60% - Accent3 3 6 21" xfId="39186" xr:uid="{0C2927A2-E3D9-447B-B345-20607ACC1BE6}"/>
    <cellStyle name="60% - Accent3 3 6 22" xfId="41077" xr:uid="{B55B023F-7292-4872-BE6A-4A5F0CBED1B4}"/>
    <cellStyle name="60% - Accent3 3 6 3" xfId="5166" xr:uid="{DDCFC415-3C54-44FE-BCD4-92EDD8938792}"/>
    <cellStyle name="60% - Accent3 3 6 4" xfId="7056" xr:uid="{DD36922A-7D85-4C57-A85C-D69C8B6DA477}"/>
    <cellStyle name="60% - Accent3 3 6 5" xfId="8946" xr:uid="{6B5FB6B5-F880-47C3-9E4A-6F2EB318A6F5}"/>
    <cellStyle name="60% - Accent3 3 6 6" xfId="10836" xr:uid="{67D6B5F3-5D18-43BA-92D7-83D79B896ACD}"/>
    <cellStyle name="60% - Accent3 3 6 7" xfId="12726" xr:uid="{79FC7E15-7F55-4AC8-8911-1B530BE55DAF}"/>
    <cellStyle name="60% - Accent3 3 6 8" xfId="14616" xr:uid="{C2D2D923-F7B2-4C7C-A882-F5799A6E8F26}"/>
    <cellStyle name="60% - Accent3 3 6 9" xfId="16506" xr:uid="{5DDDD061-8747-4B25-B097-50532BBD6A49}"/>
    <cellStyle name="60% - Accent3 3 7" xfId="2016" xr:uid="{98061247-01B2-4F02-8A55-5DE759033C90}"/>
    <cellStyle name="60% - Accent3 3 8" xfId="3906" xr:uid="{F86EA6AB-2F18-4ABB-BDAB-87699CCEFDA9}"/>
    <cellStyle name="60% - Accent3 3 9" xfId="5796" xr:uid="{98D120EA-A885-4D5C-8C27-8079E0BC4C75}"/>
    <cellStyle name="60% - Accent3 4" xfId="189" xr:uid="{428B1ED3-56ED-4F48-B557-613B923FD824}"/>
    <cellStyle name="60% - Accent3 4 10" xfId="9639" xr:uid="{8C579535-B2F3-4F10-A3F6-4921558117FF}"/>
    <cellStyle name="60% - Accent3 4 11" xfId="11529" xr:uid="{8F68389B-E404-4C72-A627-56160B68CBEA}"/>
    <cellStyle name="60% - Accent3 4 12" xfId="13419" xr:uid="{E15E6F09-1EC1-445C-9E56-6E7C78862904}"/>
    <cellStyle name="60% - Accent3 4 13" xfId="15309" xr:uid="{DDEA392C-7F9E-4B89-8736-0D8E2164E3AD}"/>
    <cellStyle name="60% - Accent3 4 14" xfId="17199" xr:uid="{4F7C8D21-DC8C-41B3-9ECA-EF6F6F8FC1E2}"/>
    <cellStyle name="60% - Accent3 4 15" xfId="19089" xr:uid="{055E0EE6-8EEB-4212-A333-0637BFF6C79A}"/>
    <cellStyle name="60% - Accent3 4 16" xfId="20979" xr:uid="{932F5D15-EEFC-4515-90BA-067122FD1A72}"/>
    <cellStyle name="60% - Accent3 4 17" xfId="22869" xr:uid="{6A96D50E-9943-492D-B8BA-CF2F3F0845DC}"/>
    <cellStyle name="60% - Accent3 4 18" xfId="24759" xr:uid="{8F494117-A554-49E8-BC51-55B7F49C23C8}"/>
    <cellStyle name="60% - Accent3 4 19" xfId="26649" xr:uid="{F543B554-E980-4FF8-9F38-1BE404298BF7}"/>
    <cellStyle name="60% - Accent3 4 2" xfId="399" xr:uid="{9765B446-985A-4B41-8009-CB2EA1C667F6}"/>
    <cellStyle name="60% - Accent3 4 2 10" xfId="13629" xr:uid="{FC69E170-7B76-4873-A7E1-35521FD88DBF}"/>
    <cellStyle name="60% - Accent3 4 2 11" xfId="15519" xr:uid="{20EBDFC1-A178-44DC-82BE-3F63AB8F7F19}"/>
    <cellStyle name="60% - Accent3 4 2 12" xfId="17409" xr:uid="{EC60B55D-5ED5-4B7D-AEBA-17B77ED8F1EA}"/>
    <cellStyle name="60% - Accent3 4 2 13" xfId="19299" xr:uid="{10FC8B36-C32F-4D8E-B426-B31913AFA356}"/>
    <cellStyle name="60% - Accent3 4 2 14" xfId="21189" xr:uid="{8E63E009-5F7D-434D-829F-EB15F3191768}"/>
    <cellStyle name="60% - Accent3 4 2 15" xfId="23079" xr:uid="{15101739-3F66-469A-A893-923FE3510333}"/>
    <cellStyle name="60% - Accent3 4 2 16" xfId="24969" xr:uid="{8A7D8890-7D92-4DE6-980C-7299BA6FE8F7}"/>
    <cellStyle name="60% - Accent3 4 2 17" xfId="26859" xr:uid="{5C4A52E2-6CA5-4836-94F9-90D732085472}"/>
    <cellStyle name="60% - Accent3 4 2 18" xfId="28749" xr:uid="{60C3BBF8-A41B-41A6-B747-ECA06867A6DA}"/>
    <cellStyle name="60% - Accent3 4 2 19" xfId="30639" xr:uid="{C9392D66-2AD4-45E8-89A2-B24D756053D9}"/>
    <cellStyle name="60% - Accent3 4 2 2" xfId="1029" xr:uid="{A00D1953-8C5E-44EF-A66F-E099E5A8EEEF}"/>
    <cellStyle name="60% - Accent3 4 2 2 10" xfId="18039" xr:uid="{B51F42A1-C3E4-4F01-A3F7-DAFDE3BFFF30}"/>
    <cellStyle name="60% - Accent3 4 2 2 11" xfId="19929" xr:uid="{C4697BC4-97A9-4DF7-A748-1E29FDD7624F}"/>
    <cellStyle name="60% - Accent3 4 2 2 12" xfId="21819" xr:uid="{DD0BEE04-D128-437F-B609-C79F8AEC2B25}"/>
    <cellStyle name="60% - Accent3 4 2 2 13" xfId="23709" xr:uid="{96CAF497-5FA4-4FBD-915E-6BD9EC0702F4}"/>
    <cellStyle name="60% - Accent3 4 2 2 14" xfId="25599" xr:uid="{BF4C8724-FCA7-429F-9831-0935FFFE4770}"/>
    <cellStyle name="60% - Accent3 4 2 2 15" xfId="27489" xr:uid="{59E64412-0F85-4AFB-81EB-72612E297E3D}"/>
    <cellStyle name="60% - Accent3 4 2 2 16" xfId="29379" xr:uid="{D2A60DA0-BB90-4C0E-85C0-1C6E591A5AC5}"/>
    <cellStyle name="60% - Accent3 4 2 2 17" xfId="31269" xr:uid="{68B05017-F627-449E-8C1A-017C75093FB0}"/>
    <cellStyle name="60% - Accent3 4 2 2 18" xfId="33159" xr:uid="{28A769C2-9B7C-496F-82B0-A3BCBE03A4CC}"/>
    <cellStyle name="60% - Accent3 4 2 2 19" xfId="35049" xr:uid="{E2F4B8C1-7D18-4982-A9C3-3B075E984BFE}"/>
    <cellStyle name="60% - Accent3 4 2 2 2" xfId="2919" xr:uid="{7B7EC7D0-E811-4ADC-853F-BBC7F225F466}"/>
    <cellStyle name="60% - Accent3 4 2 2 20" xfId="36939" xr:uid="{FCAEA48B-6A8F-4058-8333-2AAA0B16FC51}"/>
    <cellStyle name="60% - Accent3 4 2 2 21" xfId="38829" xr:uid="{2D2DC84B-B72D-4D50-BB07-5A5F4724C5C4}"/>
    <cellStyle name="60% - Accent3 4 2 2 22" xfId="40720" xr:uid="{73A7F665-1316-49C6-8DE6-4D5C0FE600CD}"/>
    <cellStyle name="60% - Accent3 4 2 2 3" xfId="4809" xr:uid="{6F5FF9EF-E9CC-42D1-A1D5-F340B86481F4}"/>
    <cellStyle name="60% - Accent3 4 2 2 4" xfId="6699" xr:uid="{2819F936-0EF2-47CF-BD85-B69A6BFC2322}"/>
    <cellStyle name="60% - Accent3 4 2 2 5" xfId="8589" xr:uid="{18BB05E3-7843-447D-B0AA-CC063DC73EDF}"/>
    <cellStyle name="60% - Accent3 4 2 2 6" xfId="10479" xr:uid="{C48DAF1B-4BBB-4992-838E-693836E4CF8C}"/>
    <cellStyle name="60% - Accent3 4 2 2 7" xfId="12369" xr:uid="{30A11E9B-C3B0-471A-8459-A9E429A32882}"/>
    <cellStyle name="60% - Accent3 4 2 2 8" xfId="14259" xr:uid="{43A61540-C9A0-4C6F-9337-A8DB51741352}"/>
    <cellStyle name="60% - Accent3 4 2 2 9" xfId="16149" xr:uid="{B7AA0195-1648-486A-AC7F-D8352F67507D}"/>
    <cellStyle name="60% - Accent3 4 2 20" xfId="32529" xr:uid="{E462032E-ADEC-4AF5-88D4-DBE51C84ADD2}"/>
    <cellStyle name="60% - Accent3 4 2 21" xfId="34419" xr:uid="{A7FA7DA0-57E1-4D99-BE02-BDBF9FC9F1A2}"/>
    <cellStyle name="60% - Accent3 4 2 22" xfId="36309" xr:uid="{901F0057-C80B-4D65-A820-926A055404C2}"/>
    <cellStyle name="60% - Accent3 4 2 23" xfId="38199" xr:uid="{99F34AAD-6287-4D5E-A30B-CC2C528C56CA}"/>
    <cellStyle name="60% - Accent3 4 2 24" xfId="40090" xr:uid="{7B007D09-AEDA-4616-8EA5-095BB31E110F}"/>
    <cellStyle name="60% - Accent3 4 2 3" xfId="1659" xr:uid="{A300E4C0-6620-4A94-A0DD-B8E40DFA6EAE}"/>
    <cellStyle name="60% - Accent3 4 2 3 10" xfId="18669" xr:uid="{9B79BCF7-BC2F-4891-83BD-75661B8B3927}"/>
    <cellStyle name="60% - Accent3 4 2 3 11" xfId="20559" xr:uid="{EC9FFE97-0B09-46D8-85D3-F9038E3578F3}"/>
    <cellStyle name="60% - Accent3 4 2 3 12" xfId="22449" xr:uid="{7C0217C7-31F0-4C86-94DA-8BAF562D16F6}"/>
    <cellStyle name="60% - Accent3 4 2 3 13" xfId="24339" xr:uid="{1F70C71C-4292-4A97-BDE1-38C836C379C2}"/>
    <cellStyle name="60% - Accent3 4 2 3 14" xfId="26229" xr:uid="{555648EC-5496-4A3C-9205-DD4C5FB6F425}"/>
    <cellStyle name="60% - Accent3 4 2 3 15" xfId="28119" xr:uid="{9A8B35F4-79B9-4157-B091-EB739AAB785B}"/>
    <cellStyle name="60% - Accent3 4 2 3 16" xfId="30009" xr:uid="{23106A0F-2D14-4A90-8512-B74A5F64B30F}"/>
    <cellStyle name="60% - Accent3 4 2 3 17" xfId="31899" xr:uid="{1BFE6E1C-037F-478A-BE6C-907094C2EF0C}"/>
    <cellStyle name="60% - Accent3 4 2 3 18" xfId="33789" xr:uid="{05EF6F66-DCCC-48F6-B327-E5560DF1E00A}"/>
    <cellStyle name="60% - Accent3 4 2 3 19" xfId="35679" xr:uid="{BC74333D-E543-4C29-A3D0-9E8288C9E837}"/>
    <cellStyle name="60% - Accent3 4 2 3 2" xfId="3549" xr:uid="{46C14EE0-0410-4751-84EC-1751FE77789A}"/>
    <cellStyle name="60% - Accent3 4 2 3 20" xfId="37569" xr:uid="{1E54389D-6A02-4ED5-B6F8-8BB8A3B2D999}"/>
    <cellStyle name="60% - Accent3 4 2 3 21" xfId="39459" xr:uid="{A8B1967F-D494-4DCA-94D3-465CA426A934}"/>
    <cellStyle name="60% - Accent3 4 2 3 22" xfId="41350" xr:uid="{CD76B4B0-3119-4FFC-9682-3181D9BE87A8}"/>
    <cellStyle name="60% - Accent3 4 2 3 3" xfId="5439" xr:uid="{AD2192BF-B969-4892-8726-AB00FA40DE08}"/>
    <cellStyle name="60% - Accent3 4 2 3 4" xfId="7329" xr:uid="{634F40CA-3C28-4C53-9F04-A6FBE1534EC2}"/>
    <cellStyle name="60% - Accent3 4 2 3 5" xfId="9219" xr:uid="{67FE65FC-317A-4957-9B12-3FDB87DD52F3}"/>
    <cellStyle name="60% - Accent3 4 2 3 6" xfId="11109" xr:uid="{0CE74EF0-8143-4D2B-A1A6-2E9723F462FC}"/>
    <cellStyle name="60% - Accent3 4 2 3 7" xfId="12999" xr:uid="{CF7E9C77-029E-4D34-814B-594B6745BDD0}"/>
    <cellStyle name="60% - Accent3 4 2 3 8" xfId="14889" xr:uid="{6B796CEB-EC73-44AD-ADBA-BD539AC2A820}"/>
    <cellStyle name="60% - Accent3 4 2 3 9" xfId="16779" xr:uid="{4B1FBAB0-3A7B-442C-B640-4845F45937BE}"/>
    <cellStyle name="60% - Accent3 4 2 4" xfId="2289" xr:uid="{23F985C1-2ED6-4082-83B9-50496F6B0A79}"/>
    <cellStyle name="60% - Accent3 4 2 5" xfId="4179" xr:uid="{C4494BCF-4F34-4593-9E00-CA7315EA885C}"/>
    <cellStyle name="60% - Accent3 4 2 6" xfId="6069" xr:uid="{AABC5414-C341-48B7-A3EF-B82A7B33E7D8}"/>
    <cellStyle name="60% - Accent3 4 2 7" xfId="7959" xr:uid="{0915B628-8084-4FFF-AB19-0324F15E9DCB}"/>
    <cellStyle name="60% - Accent3 4 2 8" xfId="9849" xr:uid="{2992B06A-F538-4064-A51A-FD83EE979C7E}"/>
    <cellStyle name="60% - Accent3 4 2 9" xfId="11739" xr:uid="{1CE41D16-BF76-445A-8503-591891E8B50F}"/>
    <cellStyle name="60% - Accent3 4 20" xfId="28539" xr:uid="{7FB0D567-2A99-4C1F-A881-0AF3BF82A8D5}"/>
    <cellStyle name="60% - Accent3 4 21" xfId="30429" xr:uid="{ED7A95FD-FFCC-434D-B1F2-0120D638A258}"/>
    <cellStyle name="60% - Accent3 4 22" xfId="32319" xr:uid="{433AC2DB-421B-41B5-8D94-7C17AB0E15D9}"/>
    <cellStyle name="60% - Accent3 4 23" xfId="34209" xr:uid="{716AC73A-5DE6-4811-9F8E-C49ABB44270C}"/>
    <cellStyle name="60% - Accent3 4 24" xfId="36099" xr:uid="{28518E73-A667-45C1-94D2-F20CE8F75E45}"/>
    <cellStyle name="60% - Accent3 4 25" xfId="37989" xr:uid="{66F45983-A526-4591-ABD2-995747A75893}"/>
    <cellStyle name="60% - Accent3 4 26" xfId="39880" xr:uid="{892612ED-1315-456B-A78C-7B69E31D597D}"/>
    <cellStyle name="60% - Accent3 4 3" xfId="609" xr:uid="{45506B4B-7C37-43C0-B679-F12D6EF94AE0}"/>
    <cellStyle name="60% - Accent3 4 3 10" xfId="13839" xr:uid="{5E2634DD-056D-4F0B-94B7-DC61CD649447}"/>
    <cellStyle name="60% - Accent3 4 3 11" xfId="15729" xr:uid="{6CE4CC3C-6151-4DD4-A7BB-57A51D31464E}"/>
    <cellStyle name="60% - Accent3 4 3 12" xfId="17619" xr:uid="{3524D93B-2FE4-4F26-8D89-8A38ACCD7E24}"/>
    <cellStyle name="60% - Accent3 4 3 13" xfId="19509" xr:uid="{DF1FDCE6-EE92-4FFD-8CC9-EE735C37CA32}"/>
    <cellStyle name="60% - Accent3 4 3 14" xfId="21399" xr:uid="{80CD18B4-B44B-4CA8-AD26-E0C47BC64DBD}"/>
    <cellStyle name="60% - Accent3 4 3 15" xfId="23289" xr:uid="{FA3D43E6-1E08-48F3-9E89-361A6A6E7F21}"/>
    <cellStyle name="60% - Accent3 4 3 16" xfId="25179" xr:uid="{BC2852BC-4CF7-416F-8AC4-4FF24F4DFE28}"/>
    <cellStyle name="60% - Accent3 4 3 17" xfId="27069" xr:uid="{3F048596-94E7-4082-87AC-596E1918FFAB}"/>
    <cellStyle name="60% - Accent3 4 3 18" xfId="28959" xr:uid="{1BC33384-39D9-48CD-BF19-97EB679CCAC4}"/>
    <cellStyle name="60% - Accent3 4 3 19" xfId="30849" xr:uid="{955BF126-FC4E-445D-B310-86E96A474F8F}"/>
    <cellStyle name="60% - Accent3 4 3 2" xfId="1239" xr:uid="{466B1242-598C-4B16-BFAD-EE4A6EE76201}"/>
    <cellStyle name="60% - Accent3 4 3 2 10" xfId="18249" xr:uid="{B4265158-2B60-4AC6-B9DD-990CDBD23CFB}"/>
    <cellStyle name="60% - Accent3 4 3 2 11" xfId="20139" xr:uid="{1B58C67E-0A72-45B7-9EB8-45530BD340B8}"/>
    <cellStyle name="60% - Accent3 4 3 2 12" xfId="22029" xr:uid="{D56CCBC2-93A5-42E2-B733-E8E747352F67}"/>
    <cellStyle name="60% - Accent3 4 3 2 13" xfId="23919" xr:uid="{F797EEC4-7499-4168-A23C-83E2D1C8E6B8}"/>
    <cellStyle name="60% - Accent3 4 3 2 14" xfId="25809" xr:uid="{E5ED6F35-3665-4E94-BF5A-208A7ED3267B}"/>
    <cellStyle name="60% - Accent3 4 3 2 15" xfId="27699" xr:uid="{B80AC568-310F-4A84-B75E-497544257EFA}"/>
    <cellStyle name="60% - Accent3 4 3 2 16" xfId="29589" xr:uid="{A7B1A562-24BC-4CD0-9CC2-E8314738C779}"/>
    <cellStyle name="60% - Accent3 4 3 2 17" xfId="31479" xr:uid="{8810218D-1A9D-4564-8842-8E035569D546}"/>
    <cellStyle name="60% - Accent3 4 3 2 18" xfId="33369" xr:uid="{B7908553-681D-433E-AD68-5B3FCB853559}"/>
    <cellStyle name="60% - Accent3 4 3 2 19" xfId="35259" xr:uid="{E3057F9B-A644-4F26-9375-13AB34F97CF6}"/>
    <cellStyle name="60% - Accent3 4 3 2 2" xfId="3129" xr:uid="{436A1BA0-58EB-42BA-877E-32237B70B3EE}"/>
    <cellStyle name="60% - Accent3 4 3 2 20" xfId="37149" xr:uid="{97F3959E-EF8A-4D5A-AA83-66C39AACD78E}"/>
    <cellStyle name="60% - Accent3 4 3 2 21" xfId="39039" xr:uid="{8EF17CBD-855A-40CB-BC29-6285B5C995FF}"/>
    <cellStyle name="60% - Accent3 4 3 2 22" xfId="40930" xr:uid="{8263F044-9625-42F9-A0CB-71A5FA4BC006}"/>
    <cellStyle name="60% - Accent3 4 3 2 3" xfId="5019" xr:uid="{2F9B49E3-876A-4EF8-A470-E6DC7EF00A7D}"/>
    <cellStyle name="60% - Accent3 4 3 2 4" xfId="6909" xr:uid="{763787CE-290B-40AF-B8D8-CCE6E286F93C}"/>
    <cellStyle name="60% - Accent3 4 3 2 5" xfId="8799" xr:uid="{4A5B6921-28DB-498D-9761-6F352235536E}"/>
    <cellStyle name="60% - Accent3 4 3 2 6" xfId="10689" xr:uid="{6B155619-E5E5-489E-8F19-4C43B4429FF2}"/>
    <cellStyle name="60% - Accent3 4 3 2 7" xfId="12579" xr:uid="{0F135029-E606-4AE5-A9B6-F8FBB9AAAF34}"/>
    <cellStyle name="60% - Accent3 4 3 2 8" xfId="14469" xr:uid="{CEC93E15-0A33-4CB9-841E-6833408DFF9D}"/>
    <cellStyle name="60% - Accent3 4 3 2 9" xfId="16359" xr:uid="{86919F19-6D2F-4DF2-AEEB-75A08E6B262F}"/>
    <cellStyle name="60% - Accent3 4 3 20" xfId="32739" xr:uid="{C6EB952A-80C6-4A3D-A97E-8445C4BBDF18}"/>
    <cellStyle name="60% - Accent3 4 3 21" xfId="34629" xr:uid="{3EFF8AC9-AA7A-46AA-B4B8-30B79A06B9C1}"/>
    <cellStyle name="60% - Accent3 4 3 22" xfId="36519" xr:uid="{F26271E0-42D5-47AA-B4EA-B53A7C0B4F9B}"/>
    <cellStyle name="60% - Accent3 4 3 23" xfId="38409" xr:uid="{F9B8BFF1-1124-45E0-89A1-232FD8297A9E}"/>
    <cellStyle name="60% - Accent3 4 3 24" xfId="40300" xr:uid="{37B6559C-93B3-44A2-A1C3-595D90E795A1}"/>
    <cellStyle name="60% - Accent3 4 3 3" xfId="1869" xr:uid="{DD324E9F-0D7B-4678-BB54-BC0EBC921A5D}"/>
    <cellStyle name="60% - Accent3 4 3 3 10" xfId="18879" xr:uid="{A19595CB-6C92-44D2-8039-03D95FEC3997}"/>
    <cellStyle name="60% - Accent3 4 3 3 11" xfId="20769" xr:uid="{8ECA2D5D-B7EA-48B0-9A22-9E80CE2702FF}"/>
    <cellStyle name="60% - Accent3 4 3 3 12" xfId="22659" xr:uid="{C106DE58-AFFC-4846-B218-9DEE765FE1B9}"/>
    <cellStyle name="60% - Accent3 4 3 3 13" xfId="24549" xr:uid="{5FA5984D-9E4F-4CA7-836D-F526394470F0}"/>
    <cellStyle name="60% - Accent3 4 3 3 14" xfId="26439" xr:uid="{96F2E58F-1A3B-4EBF-BCFB-6C5FC72EF020}"/>
    <cellStyle name="60% - Accent3 4 3 3 15" xfId="28329" xr:uid="{5FD698F1-CE43-4A98-B02D-5A0F41915725}"/>
    <cellStyle name="60% - Accent3 4 3 3 16" xfId="30219" xr:uid="{86BCEBA3-C323-4028-BA43-B56044676D55}"/>
    <cellStyle name="60% - Accent3 4 3 3 17" xfId="32109" xr:uid="{418C970D-7E31-4EE1-B39F-40DC087BBB3C}"/>
    <cellStyle name="60% - Accent3 4 3 3 18" xfId="33999" xr:uid="{C7E42ADB-64D4-4D50-9DC8-A2CE2762BF17}"/>
    <cellStyle name="60% - Accent3 4 3 3 19" xfId="35889" xr:uid="{E21CAADE-E047-4E6D-9B11-28A29EA6A136}"/>
    <cellStyle name="60% - Accent3 4 3 3 2" xfId="3759" xr:uid="{5455B657-5E90-402F-855C-C61088F1B9D5}"/>
    <cellStyle name="60% - Accent3 4 3 3 20" xfId="37779" xr:uid="{F67D59D6-3D15-4806-8725-357C5F237331}"/>
    <cellStyle name="60% - Accent3 4 3 3 21" xfId="39669" xr:uid="{B3CCE146-82CE-4A2E-AB29-1B708DF83B77}"/>
    <cellStyle name="60% - Accent3 4 3 3 22" xfId="41560" xr:uid="{B19D1394-4AB8-403E-8D28-B243046D7C74}"/>
    <cellStyle name="60% - Accent3 4 3 3 3" xfId="5649" xr:uid="{A5FFF22E-3182-402F-84E6-BAC0AE79D8D1}"/>
    <cellStyle name="60% - Accent3 4 3 3 4" xfId="7539" xr:uid="{E22291F2-F9DD-4EA8-B78D-BE4079B844D6}"/>
    <cellStyle name="60% - Accent3 4 3 3 5" xfId="9429" xr:uid="{BA5E35F4-D296-456F-BDCF-17D3691F23DB}"/>
    <cellStyle name="60% - Accent3 4 3 3 6" xfId="11319" xr:uid="{19271C8E-B9ED-42D1-980D-A44771B9E140}"/>
    <cellStyle name="60% - Accent3 4 3 3 7" xfId="13209" xr:uid="{CFEDB393-E304-466C-84D1-157226C4EE3F}"/>
    <cellStyle name="60% - Accent3 4 3 3 8" xfId="15099" xr:uid="{497079E8-F845-428A-83F5-A58275538AD9}"/>
    <cellStyle name="60% - Accent3 4 3 3 9" xfId="16989" xr:uid="{26A00DB7-E709-43C6-8F01-15E7795C9B22}"/>
    <cellStyle name="60% - Accent3 4 3 4" xfId="2499" xr:uid="{1D45B70C-4388-4497-98F7-D195BDDE80AE}"/>
    <cellStyle name="60% - Accent3 4 3 5" xfId="4389" xr:uid="{449131B0-85FD-4875-B296-766D47DBC5CC}"/>
    <cellStyle name="60% - Accent3 4 3 6" xfId="6279" xr:uid="{3951C66B-5604-4202-BC5F-1863C96C58DF}"/>
    <cellStyle name="60% - Accent3 4 3 7" xfId="8169" xr:uid="{40750A96-9490-43A4-AEAA-3D7058CEA797}"/>
    <cellStyle name="60% - Accent3 4 3 8" xfId="10059" xr:uid="{EDB2BE5A-3FEA-457A-9BFA-D0BE46EBFBD3}"/>
    <cellStyle name="60% - Accent3 4 3 9" xfId="11949" xr:uid="{FD9D6FAD-7700-4F58-8115-3DD359EF414D}"/>
    <cellStyle name="60% - Accent3 4 4" xfId="819" xr:uid="{CD936927-69CF-4CD5-B32D-147FBF88F6EA}"/>
    <cellStyle name="60% - Accent3 4 4 10" xfId="17829" xr:uid="{15F7D4DA-7D30-4A28-B146-25A6DFB4FE99}"/>
    <cellStyle name="60% - Accent3 4 4 11" xfId="19719" xr:uid="{1BA8136F-33A1-474A-8498-A24833C3C663}"/>
    <cellStyle name="60% - Accent3 4 4 12" xfId="21609" xr:uid="{40F27C2C-E720-403F-AEF6-CD0771E45B4D}"/>
    <cellStyle name="60% - Accent3 4 4 13" xfId="23499" xr:uid="{9843FD6E-692C-4A01-97B0-28C8DB00B46C}"/>
    <cellStyle name="60% - Accent3 4 4 14" xfId="25389" xr:uid="{BB0BEF73-E3F6-4587-83E3-8E51721039C5}"/>
    <cellStyle name="60% - Accent3 4 4 15" xfId="27279" xr:uid="{9DA0A44B-78FC-4A0F-BBAC-CF5E0922CFAF}"/>
    <cellStyle name="60% - Accent3 4 4 16" xfId="29169" xr:uid="{A261F13F-9F00-4279-B9B8-56FA30777B38}"/>
    <cellStyle name="60% - Accent3 4 4 17" xfId="31059" xr:uid="{99884FC0-BD73-459C-A2BA-BA11E5AD8B3F}"/>
    <cellStyle name="60% - Accent3 4 4 18" xfId="32949" xr:uid="{E9B907EA-1B2F-4AC0-B457-4267D53C7C25}"/>
    <cellStyle name="60% - Accent3 4 4 19" xfId="34839" xr:uid="{ACB8E1CA-407D-43F9-ACDB-5816852CD932}"/>
    <cellStyle name="60% - Accent3 4 4 2" xfId="2709" xr:uid="{9FBE770B-0AFD-46C0-AAF5-AE205338C289}"/>
    <cellStyle name="60% - Accent3 4 4 20" xfId="36729" xr:uid="{0E03A751-1695-463C-A93D-AB338BF88727}"/>
    <cellStyle name="60% - Accent3 4 4 21" xfId="38619" xr:uid="{9A907FE5-64F8-413D-A845-BAEED1A52179}"/>
    <cellStyle name="60% - Accent3 4 4 22" xfId="40510" xr:uid="{9AE51693-90C5-411B-8754-67A300187EFE}"/>
    <cellStyle name="60% - Accent3 4 4 3" xfId="4599" xr:uid="{804F9643-3A8B-4EB1-B06C-19EB659A5156}"/>
    <cellStyle name="60% - Accent3 4 4 4" xfId="6489" xr:uid="{71367FD0-4D57-47EE-90D6-E5D784AC7787}"/>
    <cellStyle name="60% - Accent3 4 4 5" xfId="8379" xr:uid="{34EE5AED-F3D1-4AAD-BB38-E145AA7690B2}"/>
    <cellStyle name="60% - Accent3 4 4 6" xfId="10269" xr:uid="{21293DF2-37B8-4E0D-B777-8522D604E658}"/>
    <cellStyle name="60% - Accent3 4 4 7" xfId="12159" xr:uid="{30912F30-77C9-4F1C-89C6-94DD4EE16A21}"/>
    <cellStyle name="60% - Accent3 4 4 8" xfId="14049" xr:uid="{56C534F7-0F66-4936-B320-371309D809BC}"/>
    <cellStyle name="60% - Accent3 4 4 9" xfId="15939" xr:uid="{1C92059B-B88B-4110-AFA9-8D41D6DAA22A}"/>
    <cellStyle name="60% - Accent3 4 5" xfId="1449" xr:uid="{B47EBCC6-D444-4C83-90B4-1EC525808EE8}"/>
    <cellStyle name="60% - Accent3 4 5 10" xfId="18459" xr:uid="{50FDFAEA-0A73-4089-8751-FB990347C121}"/>
    <cellStyle name="60% - Accent3 4 5 11" xfId="20349" xr:uid="{B7E368E9-A8E9-4282-9D7B-C8E898119942}"/>
    <cellStyle name="60% - Accent3 4 5 12" xfId="22239" xr:uid="{91033257-5B06-4CD8-894F-4D91B5C8B976}"/>
    <cellStyle name="60% - Accent3 4 5 13" xfId="24129" xr:uid="{2D266DA2-15DA-4E76-952F-07431341965D}"/>
    <cellStyle name="60% - Accent3 4 5 14" xfId="26019" xr:uid="{0E869B62-E643-4C92-A001-F67E4B344913}"/>
    <cellStyle name="60% - Accent3 4 5 15" xfId="27909" xr:uid="{91E12B27-654D-4E80-B3B5-480BDE9EEEEF}"/>
    <cellStyle name="60% - Accent3 4 5 16" xfId="29799" xr:uid="{D5B806FE-F237-4A26-A5A2-36BCCC70609F}"/>
    <cellStyle name="60% - Accent3 4 5 17" xfId="31689" xr:uid="{42C27FD3-3DDE-486E-914B-FA1C71750768}"/>
    <cellStyle name="60% - Accent3 4 5 18" xfId="33579" xr:uid="{BA1BD18B-41C3-485A-9520-34E97D9232A7}"/>
    <cellStyle name="60% - Accent3 4 5 19" xfId="35469" xr:uid="{20B98170-A534-4785-A753-86E2570324FF}"/>
    <cellStyle name="60% - Accent3 4 5 2" xfId="3339" xr:uid="{39CAAC5E-8FA7-4A0F-B42F-358796811CB2}"/>
    <cellStyle name="60% - Accent3 4 5 20" xfId="37359" xr:uid="{3A3C488A-6EE8-4BD9-9FE5-A8E6D978C11B}"/>
    <cellStyle name="60% - Accent3 4 5 21" xfId="39249" xr:uid="{74CB6230-ACCB-4511-93A9-EDB3BC9EBA1F}"/>
    <cellStyle name="60% - Accent3 4 5 22" xfId="41140" xr:uid="{BA00382C-03C4-487F-BA5B-3AF6E4D71834}"/>
    <cellStyle name="60% - Accent3 4 5 3" xfId="5229" xr:uid="{6336AE24-736A-4C9E-A4D6-606B8F9DB94A}"/>
    <cellStyle name="60% - Accent3 4 5 4" xfId="7119" xr:uid="{1532010A-A42E-4B7D-BB35-3A5EB2B210B1}"/>
    <cellStyle name="60% - Accent3 4 5 5" xfId="9009" xr:uid="{C8B52079-3FB0-412A-B72C-1010D80030CA}"/>
    <cellStyle name="60% - Accent3 4 5 6" xfId="10899" xr:uid="{9D76EBFB-4FD5-4BEE-AFAC-0A1195A6429C}"/>
    <cellStyle name="60% - Accent3 4 5 7" xfId="12789" xr:uid="{1308DFA6-4996-40A6-B96D-DE6DC2130DB3}"/>
    <cellStyle name="60% - Accent3 4 5 8" xfId="14679" xr:uid="{D4D28293-6F3A-4B63-8A09-3E2A0FF2F83C}"/>
    <cellStyle name="60% - Accent3 4 5 9" xfId="16569" xr:uid="{CCBC70AD-B71E-4B73-8D0B-AABBABFA37C5}"/>
    <cellStyle name="60% - Accent3 4 6" xfId="2079" xr:uid="{C8BF7F06-B05C-4F2C-AF51-53B2F55498E7}"/>
    <cellStyle name="60% - Accent3 4 7" xfId="3969" xr:uid="{11EB5128-B396-402F-8BCC-8633CF54799E}"/>
    <cellStyle name="60% - Accent3 4 8" xfId="5859" xr:uid="{AEFC304B-8DDE-4C1A-B3F0-50E4D4E326A3}"/>
    <cellStyle name="60% - Accent3 4 9" xfId="7749" xr:uid="{60875144-6291-40DD-91EA-DEAF8B68ABEE}"/>
    <cellStyle name="60% - Accent3 5" xfId="294" xr:uid="{C571E89E-348F-4A99-B2A8-73C887DFBE17}"/>
    <cellStyle name="60% - Accent3 5 10" xfId="13524" xr:uid="{4A9C7026-AEFA-40A2-97FE-66062ED31CDC}"/>
    <cellStyle name="60% - Accent3 5 11" xfId="15414" xr:uid="{C399D8D4-E102-4332-82BD-0DB7286EB957}"/>
    <cellStyle name="60% - Accent3 5 12" xfId="17304" xr:uid="{2BAB8987-28B5-45FB-A92D-026CBC41395C}"/>
    <cellStyle name="60% - Accent3 5 13" xfId="19194" xr:uid="{28F2EBF2-272C-414D-ACB4-5876B2A09038}"/>
    <cellStyle name="60% - Accent3 5 14" xfId="21084" xr:uid="{CB26D681-5576-41E9-A079-8B2E48B5511F}"/>
    <cellStyle name="60% - Accent3 5 15" xfId="22974" xr:uid="{74A66CEF-9435-4DF4-9147-13720A3B2CF7}"/>
    <cellStyle name="60% - Accent3 5 16" xfId="24864" xr:uid="{AFDE30AB-B3EF-4033-9E39-32F38E98D870}"/>
    <cellStyle name="60% - Accent3 5 17" xfId="26754" xr:uid="{B6432F21-338C-452E-BA38-11878DE219B3}"/>
    <cellStyle name="60% - Accent3 5 18" xfId="28644" xr:uid="{4132FDBD-FAE8-4F63-B6CE-D7DF74C58149}"/>
    <cellStyle name="60% - Accent3 5 19" xfId="30534" xr:uid="{925EE17A-B11B-458B-89CC-05DF331EE8EA}"/>
    <cellStyle name="60% - Accent3 5 2" xfId="924" xr:uid="{DAA32D39-F6C3-464E-9BF8-797DA9786957}"/>
    <cellStyle name="60% - Accent3 5 2 10" xfId="17934" xr:uid="{A1AB52DE-3EB2-4894-B63F-E1E35B748D4B}"/>
    <cellStyle name="60% - Accent3 5 2 11" xfId="19824" xr:uid="{527E8DEB-AC12-4891-9A5B-B7E38BD56DB8}"/>
    <cellStyle name="60% - Accent3 5 2 12" xfId="21714" xr:uid="{BC453ABA-3F67-43E1-8E3F-92BD1AEAFC96}"/>
    <cellStyle name="60% - Accent3 5 2 13" xfId="23604" xr:uid="{8A60AD1A-413C-4641-8B37-3D7A3BD47A77}"/>
    <cellStyle name="60% - Accent3 5 2 14" xfId="25494" xr:uid="{D75184C5-FFCD-4756-A06E-D29E3330C6CA}"/>
    <cellStyle name="60% - Accent3 5 2 15" xfId="27384" xr:uid="{A1D4AEC9-41F6-4EA7-8B4A-A9F919AC52B5}"/>
    <cellStyle name="60% - Accent3 5 2 16" xfId="29274" xr:uid="{C30241DD-C6DF-418F-8BD1-4D7DD53CE6B9}"/>
    <cellStyle name="60% - Accent3 5 2 17" xfId="31164" xr:uid="{70A105C1-E604-4317-A6B3-1A387FFDE837}"/>
    <cellStyle name="60% - Accent3 5 2 18" xfId="33054" xr:uid="{C0357F61-CBBB-4A8A-AEF3-88B8BA03E142}"/>
    <cellStyle name="60% - Accent3 5 2 19" xfId="34944" xr:uid="{57559794-84BB-499F-AA9D-8A1C22FCB108}"/>
    <cellStyle name="60% - Accent3 5 2 2" xfId="2814" xr:uid="{A9263A70-B49A-4EA9-9BA9-881DECD7840E}"/>
    <cellStyle name="60% - Accent3 5 2 20" xfId="36834" xr:uid="{9FCD3CAF-ACB5-4FA8-9F9A-4B6C1A6C17E5}"/>
    <cellStyle name="60% - Accent3 5 2 21" xfId="38724" xr:uid="{997643E0-7156-4660-BCF6-2AF72E7673C6}"/>
    <cellStyle name="60% - Accent3 5 2 22" xfId="40615" xr:uid="{2C70E496-0116-449F-9F8F-E2A65C89476F}"/>
    <cellStyle name="60% - Accent3 5 2 3" xfId="4704" xr:uid="{78DF58BA-ECD3-44C6-906F-3F1832DF9ECD}"/>
    <cellStyle name="60% - Accent3 5 2 4" xfId="6594" xr:uid="{816E5E0F-74E0-415E-B203-0C9D2406A9B1}"/>
    <cellStyle name="60% - Accent3 5 2 5" xfId="8484" xr:uid="{AC84DDCF-C664-43FB-BFD8-5242C6F54C53}"/>
    <cellStyle name="60% - Accent3 5 2 6" xfId="10374" xr:uid="{8C37BC3B-E8F3-4C08-BA2C-651A04EA0F98}"/>
    <cellStyle name="60% - Accent3 5 2 7" xfId="12264" xr:uid="{73431B86-C135-44EB-81A5-415EB17219E8}"/>
    <cellStyle name="60% - Accent3 5 2 8" xfId="14154" xr:uid="{4EC33B71-CDCA-4B5B-8730-08018AF7C957}"/>
    <cellStyle name="60% - Accent3 5 2 9" xfId="16044" xr:uid="{4E429B63-7D18-42B5-BB27-04821258F19C}"/>
    <cellStyle name="60% - Accent3 5 20" xfId="32424" xr:uid="{4E38C03C-6871-4101-8499-3A7933256410}"/>
    <cellStyle name="60% - Accent3 5 21" xfId="34314" xr:uid="{C88A39F6-C46D-433B-A4D4-FF8889D6D19C}"/>
    <cellStyle name="60% - Accent3 5 22" xfId="36204" xr:uid="{63183E24-C23F-486F-A7DA-F7FE0B1350A8}"/>
    <cellStyle name="60% - Accent3 5 23" xfId="38094" xr:uid="{780EBFA4-987F-4444-8557-B56C0D87FF3C}"/>
    <cellStyle name="60% - Accent3 5 24" xfId="39985" xr:uid="{23DD5091-B91D-4B19-8D18-066CD5A961ED}"/>
    <cellStyle name="60% - Accent3 5 3" xfId="1554" xr:uid="{581DFF67-9600-4D5E-AEE5-1909EB4870A8}"/>
    <cellStyle name="60% - Accent3 5 3 10" xfId="18564" xr:uid="{8F4C636E-215B-450C-BB4F-C1A29917AF2F}"/>
    <cellStyle name="60% - Accent3 5 3 11" xfId="20454" xr:uid="{80DAE4E9-7066-45B6-9619-DB807B4B179C}"/>
    <cellStyle name="60% - Accent3 5 3 12" xfId="22344" xr:uid="{66517612-5FEC-499B-B977-D7D7E83ED153}"/>
    <cellStyle name="60% - Accent3 5 3 13" xfId="24234" xr:uid="{0D27F5CF-A8A2-4F20-9ABA-C97E3135A8BE}"/>
    <cellStyle name="60% - Accent3 5 3 14" xfId="26124" xr:uid="{99E3C45D-39E5-49BD-995B-5E3F576559C6}"/>
    <cellStyle name="60% - Accent3 5 3 15" xfId="28014" xr:uid="{2A0799E5-CD97-4869-BF9C-594C76CED479}"/>
    <cellStyle name="60% - Accent3 5 3 16" xfId="29904" xr:uid="{CFC61DFB-A42E-419F-96E2-F6CB939167C4}"/>
    <cellStyle name="60% - Accent3 5 3 17" xfId="31794" xr:uid="{39092AF8-2358-47E7-9915-87162100C3E4}"/>
    <cellStyle name="60% - Accent3 5 3 18" xfId="33684" xr:uid="{56AF11B3-6DEE-4D55-869C-B41714A03020}"/>
    <cellStyle name="60% - Accent3 5 3 19" xfId="35574" xr:uid="{6BFA04E8-9ADF-4405-B552-BD7042B27DF7}"/>
    <cellStyle name="60% - Accent3 5 3 2" xfId="3444" xr:uid="{AD833C57-1826-4CC0-B40D-32A1E3EEF80A}"/>
    <cellStyle name="60% - Accent3 5 3 20" xfId="37464" xr:uid="{162C1271-2E61-4D84-AFFB-B342F05F2AC7}"/>
    <cellStyle name="60% - Accent3 5 3 21" xfId="39354" xr:uid="{D7B2970D-0869-4C6A-9E7F-168E60878DD5}"/>
    <cellStyle name="60% - Accent3 5 3 22" xfId="41245" xr:uid="{5E3CFD1D-4682-4995-AC14-E4A87A294DE3}"/>
    <cellStyle name="60% - Accent3 5 3 3" xfId="5334" xr:uid="{96A58B47-9DEE-4B19-A8FB-02A5CDE1D33E}"/>
    <cellStyle name="60% - Accent3 5 3 4" xfId="7224" xr:uid="{B6533104-CCE2-4479-81FD-9AC968B55D17}"/>
    <cellStyle name="60% - Accent3 5 3 5" xfId="9114" xr:uid="{593D1B49-558F-4266-92E3-5538E2D44DF7}"/>
    <cellStyle name="60% - Accent3 5 3 6" xfId="11004" xr:uid="{0F388D66-D818-43B3-8D83-4434132385D8}"/>
    <cellStyle name="60% - Accent3 5 3 7" xfId="12894" xr:uid="{11C0385D-5BA1-472A-8DE3-CCC6BD73DEF3}"/>
    <cellStyle name="60% - Accent3 5 3 8" xfId="14784" xr:uid="{C720D27E-7787-49A7-80A8-689732570805}"/>
    <cellStyle name="60% - Accent3 5 3 9" xfId="16674" xr:uid="{B4977101-FD35-4B1E-BB63-4110E8F9A836}"/>
    <cellStyle name="60% - Accent3 5 4" xfId="2184" xr:uid="{E5337A54-0E28-4BEC-A55B-BA58A9C45EB8}"/>
    <cellStyle name="60% - Accent3 5 5" xfId="4074" xr:uid="{21DCC434-693F-4664-B777-F2158DEFDC26}"/>
    <cellStyle name="60% - Accent3 5 6" xfId="5964" xr:uid="{C44567F6-3B9B-4CAD-ADF4-4D164E3B7694}"/>
    <cellStyle name="60% - Accent3 5 7" xfId="7854" xr:uid="{997A72F9-2DB3-44ED-8830-7DB25EF56B74}"/>
    <cellStyle name="60% - Accent3 5 8" xfId="9744" xr:uid="{7C0C2806-5216-45C1-9B51-D072307FC0A1}"/>
    <cellStyle name="60% - Accent3 5 9" xfId="11634" xr:uid="{A00E9F8D-9A20-4AD6-95A4-339619753513}"/>
    <cellStyle name="60% - Accent3 6" xfId="504" xr:uid="{C75FD6A2-200B-4B10-86ED-C565F6ABE3B5}"/>
    <cellStyle name="60% - Accent3 6 10" xfId="13734" xr:uid="{2670D42E-FD10-44B0-B31D-12B47BD0AECC}"/>
    <cellStyle name="60% - Accent3 6 11" xfId="15624" xr:uid="{0FB9F750-7C38-4555-ADA3-FE241B84998F}"/>
    <cellStyle name="60% - Accent3 6 12" xfId="17514" xr:uid="{A66102EB-3711-42DB-A530-4393E041A3CF}"/>
    <cellStyle name="60% - Accent3 6 13" xfId="19404" xr:uid="{70B94752-0D8A-4ACA-BBE3-02458A3733B2}"/>
    <cellStyle name="60% - Accent3 6 14" xfId="21294" xr:uid="{939749D9-1757-4316-95A7-7BA0675C484C}"/>
    <cellStyle name="60% - Accent3 6 15" xfId="23184" xr:uid="{7C9AB505-8873-47E5-B20B-B0B33E43E2E8}"/>
    <cellStyle name="60% - Accent3 6 16" xfId="25074" xr:uid="{6DC69B29-2A0A-4080-A9F4-F634752CEB89}"/>
    <cellStyle name="60% - Accent3 6 17" xfId="26964" xr:uid="{9331E8B7-EF64-4AA3-ACA2-5474F45499E4}"/>
    <cellStyle name="60% - Accent3 6 18" xfId="28854" xr:uid="{CF461DFE-F069-4F76-BEBE-B91A62D89AAF}"/>
    <cellStyle name="60% - Accent3 6 19" xfId="30744" xr:uid="{754BE875-D4BD-461C-B636-7E2578F268B1}"/>
    <cellStyle name="60% - Accent3 6 2" xfId="1134" xr:uid="{973735B4-BA05-459B-B7F9-9E245DB7F443}"/>
    <cellStyle name="60% - Accent3 6 2 10" xfId="18144" xr:uid="{2F2FFDCB-0B88-4660-97A7-2A2FED103A16}"/>
    <cellStyle name="60% - Accent3 6 2 11" xfId="20034" xr:uid="{4FCE4C33-6A92-4B85-9665-274B68D4A2EF}"/>
    <cellStyle name="60% - Accent3 6 2 12" xfId="21924" xr:uid="{9C732467-0D63-4D3C-B134-DFFA2D9C28C6}"/>
    <cellStyle name="60% - Accent3 6 2 13" xfId="23814" xr:uid="{1CEDD82E-4423-459C-847B-DFCA5C7BEF2F}"/>
    <cellStyle name="60% - Accent3 6 2 14" xfId="25704" xr:uid="{A0061B2A-B299-41DE-ADC0-583A107CDBF3}"/>
    <cellStyle name="60% - Accent3 6 2 15" xfId="27594" xr:uid="{B53780BC-AA2A-4537-913A-6A69E4F1BC92}"/>
    <cellStyle name="60% - Accent3 6 2 16" xfId="29484" xr:uid="{E02BC752-C91E-4CAF-8A27-C191F9FAF215}"/>
    <cellStyle name="60% - Accent3 6 2 17" xfId="31374" xr:uid="{A7DA5CD9-001A-428E-BFCC-FD5203FD1AA7}"/>
    <cellStyle name="60% - Accent3 6 2 18" xfId="33264" xr:uid="{D65A1424-146B-45D6-AA1A-2278BE64FFC6}"/>
    <cellStyle name="60% - Accent3 6 2 19" xfId="35154" xr:uid="{4A12F9AD-0CBB-4409-B654-E348DD22533E}"/>
    <cellStyle name="60% - Accent3 6 2 2" xfId="3024" xr:uid="{AA91C992-91DF-4A85-8694-AE1C05041C59}"/>
    <cellStyle name="60% - Accent3 6 2 20" xfId="37044" xr:uid="{70C165A1-F517-4590-814F-AF3507CA3604}"/>
    <cellStyle name="60% - Accent3 6 2 21" xfId="38934" xr:uid="{5E50B8DF-5B0B-4060-A0F8-844913F4BC56}"/>
    <cellStyle name="60% - Accent3 6 2 22" xfId="40825" xr:uid="{28B6E99D-332D-431A-9894-564FB6155CEA}"/>
    <cellStyle name="60% - Accent3 6 2 3" xfId="4914" xr:uid="{FD2B95F7-F11E-4D67-B67B-DBFFB61D7BCD}"/>
    <cellStyle name="60% - Accent3 6 2 4" xfId="6804" xr:uid="{D2190119-EFDC-40D2-B739-A4524EF0FACD}"/>
    <cellStyle name="60% - Accent3 6 2 5" xfId="8694" xr:uid="{B05F661F-22DF-4966-A9CB-1F2FA0373302}"/>
    <cellStyle name="60% - Accent3 6 2 6" xfId="10584" xr:uid="{C7BE874A-6CF2-41B6-906E-8F45F7968A02}"/>
    <cellStyle name="60% - Accent3 6 2 7" xfId="12474" xr:uid="{822959AD-2C49-418C-A278-210A0A1DAC58}"/>
    <cellStyle name="60% - Accent3 6 2 8" xfId="14364" xr:uid="{5F1517BE-C2AF-4909-852D-97F415EF1E9B}"/>
    <cellStyle name="60% - Accent3 6 2 9" xfId="16254" xr:uid="{B130D530-BDE2-4208-A41C-B10A37CCC41A}"/>
    <cellStyle name="60% - Accent3 6 20" xfId="32634" xr:uid="{FE5C376C-EB82-4C32-B84E-E6A1B5D56C77}"/>
    <cellStyle name="60% - Accent3 6 21" xfId="34524" xr:uid="{4F513FB4-F76A-4688-9BDC-5E20AA260377}"/>
    <cellStyle name="60% - Accent3 6 22" xfId="36414" xr:uid="{A8C25851-92EB-4B0A-A476-9CA5F0D2E170}"/>
    <cellStyle name="60% - Accent3 6 23" xfId="38304" xr:uid="{756F248B-619B-4993-ADB2-C9550DB74B4F}"/>
    <cellStyle name="60% - Accent3 6 24" xfId="40195" xr:uid="{2CDF379D-9629-400A-B485-0BB8467F5825}"/>
    <cellStyle name="60% - Accent3 6 3" xfId="1764" xr:uid="{A45510AF-F2A5-452B-BA32-326D35BA740C}"/>
    <cellStyle name="60% - Accent3 6 3 10" xfId="18774" xr:uid="{446D1941-6726-4898-BD82-3C656A2198E8}"/>
    <cellStyle name="60% - Accent3 6 3 11" xfId="20664" xr:uid="{DDA40E6E-EDC4-490D-9091-2C92E508355F}"/>
    <cellStyle name="60% - Accent3 6 3 12" xfId="22554" xr:uid="{8EFD25B3-F7BE-4740-BE0D-023AF79E3999}"/>
    <cellStyle name="60% - Accent3 6 3 13" xfId="24444" xr:uid="{80198E29-801F-46E6-BC62-EBEF07E4AA19}"/>
    <cellStyle name="60% - Accent3 6 3 14" xfId="26334" xr:uid="{8FD508AC-0EDB-4802-9190-086AF53AD226}"/>
    <cellStyle name="60% - Accent3 6 3 15" xfId="28224" xr:uid="{DD73D421-B47D-45AA-BFE5-1497C74C37DD}"/>
    <cellStyle name="60% - Accent3 6 3 16" xfId="30114" xr:uid="{7DB9D558-5F2A-4C25-8113-A67BEBFE9F44}"/>
    <cellStyle name="60% - Accent3 6 3 17" xfId="32004" xr:uid="{31AE5348-E957-4EB5-89B8-E1CD4DE77042}"/>
    <cellStyle name="60% - Accent3 6 3 18" xfId="33894" xr:uid="{88A791A7-4225-4ABD-9C53-8B8CBBFC225C}"/>
    <cellStyle name="60% - Accent3 6 3 19" xfId="35784" xr:uid="{A084D524-495F-4401-8DCB-0A3C462FEE97}"/>
    <cellStyle name="60% - Accent3 6 3 2" xfId="3654" xr:uid="{D1612D19-ECC6-4028-B48B-67960C013D16}"/>
    <cellStyle name="60% - Accent3 6 3 20" xfId="37674" xr:uid="{A0287E66-56FF-4DA3-9770-6EF6261A54BD}"/>
    <cellStyle name="60% - Accent3 6 3 21" xfId="39564" xr:uid="{3A66640E-F42E-4695-B086-6831817A0F87}"/>
    <cellStyle name="60% - Accent3 6 3 22" xfId="41455" xr:uid="{63A8123D-78A0-472F-A0AF-E9AC7A4D787A}"/>
    <cellStyle name="60% - Accent3 6 3 3" xfId="5544" xr:uid="{27D4F43A-18E9-4C9E-AE42-8E008DAAE236}"/>
    <cellStyle name="60% - Accent3 6 3 4" xfId="7434" xr:uid="{7E931849-C08D-4FC6-9339-9B4E40C951FD}"/>
    <cellStyle name="60% - Accent3 6 3 5" xfId="9324" xr:uid="{1F06C552-9F2D-4C5A-A41E-E009DF1FF7F4}"/>
    <cellStyle name="60% - Accent3 6 3 6" xfId="11214" xr:uid="{35D012D5-FA59-4B80-9576-2330C7E5A921}"/>
    <cellStyle name="60% - Accent3 6 3 7" xfId="13104" xr:uid="{90AE88A8-8FC4-475D-B1D3-0CA2E5268497}"/>
    <cellStyle name="60% - Accent3 6 3 8" xfId="14994" xr:uid="{6586A4B5-2845-4622-ABA0-1EE1E3E68DD9}"/>
    <cellStyle name="60% - Accent3 6 3 9" xfId="16884" xr:uid="{2BDE48E0-970D-4176-88F1-B221FA78CBCE}"/>
    <cellStyle name="60% - Accent3 6 4" xfId="2394" xr:uid="{D475CAA3-4B86-4B75-833C-A8F1CCD65107}"/>
    <cellStyle name="60% - Accent3 6 5" xfId="4284" xr:uid="{3B80C455-2B26-4A7A-A141-103871014012}"/>
    <cellStyle name="60% - Accent3 6 6" xfId="6174" xr:uid="{C7BFC706-66B0-4937-922E-E650E7F5EFDE}"/>
    <cellStyle name="60% - Accent3 6 7" xfId="8064" xr:uid="{739A7BF1-C467-4532-96A3-480D449DD915}"/>
    <cellStyle name="60% - Accent3 6 8" xfId="9954" xr:uid="{73453B43-48B9-4C1F-8822-8B112CD0CD46}"/>
    <cellStyle name="60% - Accent3 6 9" xfId="11844" xr:uid="{E6B89750-5AEB-4296-93AA-90BB3D915CE6}"/>
    <cellStyle name="60% - Accent3 7" xfId="714" xr:uid="{1E4E8605-BBC6-445E-A0DF-886FF29F2640}"/>
    <cellStyle name="60% - Accent3 7 10" xfId="17724" xr:uid="{87D726A8-2A83-46B0-A7F8-FC282CDCA10F}"/>
    <cellStyle name="60% - Accent3 7 11" xfId="19614" xr:uid="{E230D8DC-BBBA-4191-BA32-CB55BAB97AAD}"/>
    <cellStyle name="60% - Accent3 7 12" xfId="21504" xr:uid="{2E8231C7-5542-4B08-B9BD-CB07D948C0E5}"/>
    <cellStyle name="60% - Accent3 7 13" xfId="23394" xr:uid="{D1EF3DE4-7F58-4191-A418-E745C8A5DD47}"/>
    <cellStyle name="60% - Accent3 7 14" xfId="25284" xr:uid="{FFF29EB1-C703-4560-A495-B53F28EF8466}"/>
    <cellStyle name="60% - Accent3 7 15" xfId="27174" xr:uid="{16F5B3C6-588E-4E3F-B564-6E1E195CDD92}"/>
    <cellStyle name="60% - Accent3 7 16" xfId="29064" xr:uid="{300128D1-F961-494E-8C7E-92B2CCF33B60}"/>
    <cellStyle name="60% - Accent3 7 17" xfId="30954" xr:uid="{25779446-9C31-47B4-8515-3A93F3168363}"/>
    <cellStyle name="60% - Accent3 7 18" xfId="32844" xr:uid="{349A41D0-9A22-4D33-8B7D-3780A7A34866}"/>
    <cellStyle name="60% - Accent3 7 19" xfId="34734" xr:uid="{92B330EF-8AAA-45E5-A3CD-EB7114563091}"/>
    <cellStyle name="60% - Accent3 7 2" xfId="2604" xr:uid="{9399FE16-FB81-47F3-A277-D662E4542D73}"/>
    <cellStyle name="60% - Accent3 7 20" xfId="36624" xr:uid="{5999FD21-EC2B-4522-A059-33C9CABB2AEB}"/>
    <cellStyle name="60% - Accent3 7 21" xfId="38514" xr:uid="{594AAC4E-F853-4D9E-96BC-8874C5F0E229}"/>
    <cellStyle name="60% - Accent3 7 22" xfId="40405" xr:uid="{0CD938A5-44A5-45C0-AB3A-C4D526A9230D}"/>
    <cellStyle name="60% - Accent3 7 3" xfId="4494" xr:uid="{88C0E226-93CC-4C11-8616-82BAA7B6D38C}"/>
    <cellStyle name="60% - Accent3 7 4" xfId="6384" xr:uid="{C76C8E10-3BF8-4687-BD1D-FB3F4C18A69F}"/>
    <cellStyle name="60% - Accent3 7 5" xfId="8274" xr:uid="{F66F9306-4E00-43EF-9424-E9B4BACFDC55}"/>
    <cellStyle name="60% - Accent3 7 6" xfId="10164" xr:uid="{9FE8355C-CA44-44CE-A2F0-C37EC76E2A16}"/>
    <cellStyle name="60% - Accent3 7 7" xfId="12054" xr:uid="{C2A06AF2-A4CD-40BF-876F-A46FFC76B7AC}"/>
    <cellStyle name="60% - Accent3 7 8" xfId="13944" xr:uid="{183A1FAC-AF2C-402A-8203-4A0949BB89EB}"/>
    <cellStyle name="60% - Accent3 7 9" xfId="15834" xr:uid="{07786677-CA34-4CF4-801D-BB4F83F12EA9}"/>
    <cellStyle name="60% - Accent3 8" xfId="1344" xr:uid="{C3BABFCF-2CBA-4F6D-BC48-52B6ECEA788D}"/>
    <cellStyle name="60% - Accent3 8 10" xfId="18354" xr:uid="{FC9B58F2-00DA-4EC0-9CA8-04492E7A1D8B}"/>
    <cellStyle name="60% - Accent3 8 11" xfId="20244" xr:uid="{339C7B64-99F6-445F-8FCB-4A934DBF5314}"/>
    <cellStyle name="60% - Accent3 8 12" xfId="22134" xr:uid="{275B7239-20D0-4B90-BE16-7D72345D14CF}"/>
    <cellStyle name="60% - Accent3 8 13" xfId="24024" xr:uid="{E6BDCE1A-7BC7-44DD-91E0-8D47A6D86395}"/>
    <cellStyle name="60% - Accent3 8 14" xfId="25914" xr:uid="{89502D2E-409F-4C9C-B5CE-4D4082E971C5}"/>
    <cellStyle name="60% - Accent3 8 15" xfId="27804" xr:uid="{C586A330-8419-450B-8F9D-E72453024FB0}"/>
    <cellStyle name="60% - Accent3 8 16" xfId="29694" xr:uid="{3EDE76E9-1998-450B-A967-6A74455D9E5B}"/>
    <cellStyle name="60% - Accent3 8 17" xfId="31584" xr:uid="{9E375BEE-0EC9-4982-A324-8E1E09111EFD}"/>
    <cellStyle name="60% - Accent3 8 18" xfId="33474" xr:uid="{DC612E0F-CCE6-43D9-8F1B-1494D3F7BD73}"/>
    <cellStyle name="60% - Accent3 8 19" xfId="35364" xr:uid="{2714E954-AE95-44D6-B472-93AB77140988}"/>
    <cellStyle name="60% - Accent3 8 2" xfId="3234" xr:uid="{CCB3440E-4A19-4AA8-A399-185BED8E4FE9}"/>
    <cellStyle name="60% - Accent3 8 20" xfId="37254" xr:uid="{CE324D12-4DD1-4879-9A1B-80BF006634FD}"/>
    <cellStyle name="60% - Accent3 8 21" xfId="39144" xr:uid="{ADABDD2D-4CDE-4995-817E-C32CF4418801}"/>
    <cellStyle name="60% - Accent3 8 22" xfId="41035" xr:uid="{B078138A-B173-4816-B888-5A8A254F8F65}"/>
    <cellStyle name="60% - Accent3 8 3" xfId="5124" xr:uid="{6D7018BB-2EB4-4AA6-8A97-AD3AEDDBBFAC}"/>
    <cellStyle name="60% - Accent3 8 4" xfId="7014" xr:uid="{A204DC31-0BD0-4EC3-A8BF-80A37966B26E}"/>
    <cellStyle name="60% - Accent3 8 5" xfId="8904" xr:uid="{5C0E9197-2281-475D-B6B6-4AF332EAD4BA}"/>
    <cellStyle name="60% - Accent3 8 6" xfId="10794" xr:uid="{BDBF5F7B-DFC5-479B-A21B-EAE028BDBD48}"/>
    <cellStyle name="60% - Accent3 8 7" xfId="12684" xr:uid="{0A12C269-6B25-4CC2-92EB-6B2CFF0A32F0}"/>
    <cellStyle name="60% - Accent3 8 8" xfId="14574" xr:uid="{6625E382-C3FD-4424-BF02-24742EB1C470}"/>
    <cellStyle name="60% - Accent3 8 9" xfId="16464" xr:uid="{DA6DF9DA-3E63-4739-9F38-DE8760CCF7DE}"/>
    <cellStyle name="60% - Accent3 9" xfId="1974" xr:uid="{E1A78DCD-4F31-4F3C-B269-9A249A5C0F33}"/>
    <cellStyle name="60% - Accent4" xfId="85" builtinId="44" customBuiltin="1"/>
    <cellStyle name="60% - Accent4 10" xfId="3867" xr:uid="{C74A6B4A-B251-491F-80BF-AA3F9AA738C0}"/>
    <cellStyle name="60% - Accent4 11" xfId="5757" xr:uid="{B3993EA3-19A3-4B95-B941-F729412A6BCE}"/>
    <cellStyle name="60% - Accent4 12" xfId="7647" xr:uid="{EA6785EF-029E-4FE2-A09F-75C47474C753}"/>
    <cellStyle name="60% - Accent4 13" xfId="9537" xr:uid="{D242C9D3-5DB3-43A5-9AB0-CA175016EB4C}"/>
    <cellStyle name="60% - Accent4 14" xfId="11427" xr:uid="{9FCA953A-5396-407E-A7A4-A1C9E2DF8B3B}"/>
    <cellStyle name="60% - Accent4 15" xfId="13317" xr:uid="{6E9F6A0F-ADF4-4AD0-B2B9-7C11C62011EE}"/>
    <cellStyle name="60% - Accent4 16" xfId="15207" xr:uid="{D8ABFE8E-C90B-45B9-BCE1-C2F866D7477D}"/>
    <cellStyle name="60% - Accent4 17" xfId="17097" xr:uid="{FA3F971E-F19D-4B13-9EDA-ACABA7F669E2}"/>
    <cellStyle name="60% - Accent4 18" xfId="18987" xr:uid="{96C359EB-333E-4D9C-9119-A67D5FBF33D9}"/>
    <cellStyle name="60% - Accent4 19" xfId="20877" xr:uid="{34667847-DD4F-4CE6-B44D-BE8986A78F17}"/>
    <cellStyle name="60% - Accent4 2" xfId="109" xr:uid="{6E99742F-81D4-4640-8346-F350ADD7040D}"/>
    <cellStyle name="60% - Accent4 2 10" xfId="7669" xr:uid="{12B07670-60F9-45E7-A302-777E543CB5E5}"/>
    <cellStyle name="60% - Accent4 2 11" xfId="9559" xr:uid="{F83D5939-97BB-4BAB-AD07-8549A24245C9}"/>
    <cellStyle name="60% - Accent4 2 12" xfId="11449" xr:uid="{EC4F354E-899D-4437-B3DF-327B60156564}"/>
    <cellStyle name="60% - Accent4 2 13" xfId="13339" xr:uid="{9FE39B58-AC7C-4B25-B43B-E0513199BA30}"/>
    <cellStyle name="60% - Accent4 2 14" xfId="15229" xr:uid="{C4DBF3B9-7C86-4837-B8BA-39D71668E72C}"/>
    <cellStyle name="60% - Accent4 2 15" xfId="17119" xr:uid="{399F98B1-DDED-4346-A0BD-B4CB8C7C5C65}"/>
    <cellStyle name="60% - Accent4 2 16" xfId="19009" xr:uid="{B9DB8C13-B4BF-4606-87B8-8BE3E845D12C}"/>
    <cellStyle name="60% - Accent4 2 17" xfId="20899" xr:uid="{F5AD85D1-6264-4CBC-B7A3-1F40E44F7C35}"/>
    <cellStyle name="60% - Accent4 2 18" xfId="22789" xr:uid="{FD19B396-262D-4FAF-923A-EA62F0A0404E}"/>
    <cellStyle name="60% - Accent4 2 19" xfId="24679" xr:uid="{803CE2BE-5AAB-4D8E-91B5-5FA6CB5E74D1}"/>
    <cellStyle name="60% - Accent4 2 2" xfId="214" xr:uid="{FBD3F18A-C699-4C74-A9A4-7A4CCABE4639}"/>
    <cellStyle name="60% - Accent4 2 2 10" xfId="9664" xr:uid="{4E7F00EE-D1AF-4286-8880-9C4398844BD2}"/>
    <cellStyle name="60% - Accent4 2 2 11" xfId="11554" xr:uid="{FFB69C7F-2E92-41D8-BFA6-15EF55CCAB8F}"/>
    <cellStyle name="60% - Accent4 2 2 12" xfId="13444" xr:uid="{C33DCDEC-8F1E-4D49-ABC4-885819E06D16}"/>
    <cellStyle name="60% - Accent4 2 2 13" xfId="15334" xr:uid="{D65F9C56-9CA6-4489-A9A8-FF4EDBE10E27}"/>
    <cellStyle name="60% - Accent4 2 2 14" xfId="17224" xr:uid="{4468753B-AC85-49DB-A372-AF268265B787}"/>
    <cellStyle name="60% - Accent4 2 2 15" xfId="19114" xr:uid="{3D63E54A-8741-455B-A0DD-2AE60240F945}"/>
    <cellStyle name="60% - Accent4 2 2 16" xfId="21004" xr:uid="{A18260AD-1FFE-4D64-8D41-47F99C9989C0}"/>
    <cellStyle name="60% - Accent4 2 2 17" xfId="22894" xr:uid="{4F3C6948-6A34-40A9-A6AE-7522ADB3F8FC}"/>
    <cellStyle name="60% - Accent4 2 2 18" xfId="24784" xr:uid="{C99ECD75-D02E-47BB-879A-16397CEDCC3A}"/>
    <cellStyle name="60% - Accent4 2 2 19" xfId="26674" xr:uid="{B6212B52-F844-4A19-83BF-68C120A98869}"/>
    <cellStyle name="60% - Accent4 2 2 2" xfId="424" xr:uid="{48BDE7EF-B466-4858-8E3B-34F9CA6D11A3}"/>
    <cellStyle name="60% - Accent4 2 2 2 10" xfId="13654" xr:uid="{25E40DAD-0748-4BF2-B340-0C86D4ABE0D2}"/>
    <cellStyle name="60% - Accent4 2 2 2 11" xfId="15544" xr:uid="{E10D9E72-9B08-498A-855B-3BD558857760}"/>
    <cellStyle name="60% - Accent4 2 2 2 12" xfId="17434" xr:uid="{F5B3A1FE-6309-4942-91AA-41A66E6A21AB}"/>
    <cellStyle name="60% - Accent4 2 2 2 13" xfId="19324" xr:uid="{FB5DDFEE-BC56-4BB4-9D4E-343ECACD5691}"/>
    <cellStyle name="60% - Accent4 2 2 2 14" xfId="21214" xr:uid="{BBEBEF60-6120-4C30-BA0F-1FF76C9EAB73}"/>
    <cellStyle name="60% - Accent4 2 2 2 15" xfId="23104" xr:uid="{60607588-3144-48EE-9C79-879829D01500}"/>
    <cellStyle name="60% - Accent4 2 2 2 16" xfId="24994" xr:uid="{7BCBDE72-F479-41FE-AB22-3D869C87B9DE}"/>
    <cellStyle name="60% - Accent4 2 2 2 17" xfId="26884" xr:uid="{80443980-250A-47D9-A6CE-D03D82661BAE}"/>
    <cellStyle name="60% - Accent4 2 2 2 18" xfId="28774" xr:uid="{840C2E61-D30B-45EC-803E-12B036CFDB3D}"/>
    <cellStyle name="60% - Accent4 2 2 2 19" xfId="30664" xr:uid="{704CAF96-D44D-4B50-9BA6-070D403172D0}"/>
    <cellStyle name="60% - Accent4 2 2 2 2" xfId="1054" xr:uid="{ADE04190-05DB-4F57-8888-5A710984DBD7}"/>
    <cellStyle name="60% - Accent4 2 2 2 2 10" xfId="18064" xr:uid="{20218436-ADDD-4D24-A0EB-0195C9B39374}"/>
    <cellStyle name="60% - Accent4 2 2 2 2 11" xfId="19954" xr:uid="{24841E46-68D8-4443-8315-DEFC8DB5C330}"/>
    <cellStyle name="60% - Accent4 2 2 2 2 12" xfId="21844" xr:uid="{DA780DEC-0C56-49D7-B171-4B17D023F464}"/>
    <cellStyle name="60% - Accent4 2 2 2 2 13" xfId="23734" xr:uid="{F54BAF45-8280-43D7-939D-C239A22B6694}"/>
    <cellStyle name="60% - Accent4 2 2 2 2 14" xfId="25624" xr:uid="{1B9133EB-FB44-4723-BABD-7DDE20779CA8}"/>
    <cellStyle name="60% - Accent4 2 2 2 2 15" xfId="27514" xr:uid="{AAC7C509-E5E3-4ED4-AB48-594C28E4B5AF}"/>
    <cellStyle name="60% - Accent4 2 2 2 2 16" xfId="29404" xr:uid="{396BC8BD-9A4C-4F15-A628-D887BEA7BA26}"/>
    <cellStyle name="60% - Accent4 2 2 2 2 17" xfId="31294" xr:uid="{D354FA55-DE77-4DB9-9967-1C77A456046A}"/>
    <cellStyle name="60% - Accent4 2 2 2 2 18" xfId="33184" xr:uid="{F1E8CB21-68BB-41D4-AC49-67AECF13764F}"/>
    <cellStyle name="60% - Accent4 2 2 2 2 19" xfId="35074" xr:uid="{B771EC74-8D82-4DD3-A430-AC2EECCC15D2}"/>
    <cellStyle name="60% - Accent4 2 2 2 2 2" xfId="2944" xr:uid="{DC9551DC-B59D-476B-9EE8-02D54A32CB8A}"/>
    <cellStyle name="60% - Accent4 2 2 2 2 20" xfId="36964" xr:uid="{C4C7E27E-4DD3-4DC2-9905-CF9B25D46F4A}"/>
    <cellStyle name="60% - Accent4 2 2 2 2 21" xfId="38854" xr:uid="{8B0F21C5-C29C-4D8C-BA60-4448F70FB858}"/>
    <cellStyle name="60% - Accent4 2 2 2 2 22" xfId="40745" xr:uid="{E55059AD-6431-47EE-9341-21A09ECC842F}"/>
    <cellStyle name="60% - Accent4 2 2 2 2 3" xfId="4834" xr:uid="{C96DBF8B-7AFB-404A-9C09-19ABDB6625A3}"/>
    <cellStyle name="60% - Accent4 2 2 2 2 4" xfId="6724" xr:uid="{C04E193A-002A-407B-8FA5-CF68F1AC711B}"/>
    <cellStyle name="60% - Accent4 2 2 2 2 5" xfId="8614" xr:uid="{92AE364A-4233-4F62-AB28-BB80BA27E637}"/>
    <cellStyle name="60% - Accent4 2 2 2 2 6" xfId="10504" xr:uid="{3B1B13D5-69A9-4901-BA8E-485A266A2C4D}"/>
    <cellStyle name="60% - Accent4 2 2 2 2 7" xfId="12394" xr:uid="{49DDEED2-259E-4FBA-A2C4-6AC4F2E39C0B}"/>
    <cellStyle name="60% - Accent4 2 2 2 2 8" xfId="14284" xr:uid="{FB35B725-A49D-40AC-82AE-62B4BD152A8D}"/>
    <cellStyle name="60% - Accent4 2 2 2 2 9" xfId="16174" xr:uid="{686B7C72-A0A9-4319-AE95-6DB2BB60B296}"/>
    <cellStyle name="60% - Accent4 2 2 2 20" xfId="32554" xr:uid="{465BBB60-D3DD-4F5C-9D5C-4EAC9BA45699}"/>
    <cellStyle name="60% - Accent4 2 2 2 21" xfId="34444" xr:uid="{A8C69AE5-DCC6-464E-AE61-E1A8545B58DD}"/>
    <cellStyle name="60% - Accent4 2 2 2 22" xfId="36334" xr:uid="{37C104BB-BB3A-4035-B889-AF146FE39EAC}"/>
    <cellStyle name="60% - Accent4 2 2 2 23" xfId="38224" xr:uid="{11A07468-DBF1-4921-B8EA-82CB28D584F3}"/>
    <cellStyle name="60% - Accent4 2 2 2 24" xfId="40115" xr:uid="{30A3FABA-7329-41F9-A9E7-333B8218EE57}"/>
    <cellStyle name="60% - Accent4 2 2 2 3" xfId="1684" xr:uid="{33DC1287-2422-4DE1-9DD4-787499005C9E}"/>
    <cellStyle name="60% - Accent4 2 2 2 3 10" xfId="18694" xr:uid="{B81B66A3-DB7E-4AB5-A2C6-610D4688A760}"/>
    <cellStyle name="60% - Accent4 2 2 2 3 11" xfId="20584" xr:uid="{960142B7-33F8-4DA8-BD39-521F456F562A}"/>
    <cellStyle name="60% - Accent4 2 2 2 3 12" xfId="22474" xr:uid="{55AB9603-32D5-421F-81A3-7FCEE2D01392}"/>
    <cellStyle name="60% - Accent4 2 2 2 3 13" xfId="24364" xr:uid="{447EB6AE-9CAC-4929-9DB9-F0794DC9A3B3}"/>
    <cellStyle name="60% - Accent4 2 2 2 3 14" xfId="26254" xr:uid="{6D0B184B-7C97-412F-8650-B8943261A589}"/>
    <cellStyle name="60% - Accent4 2 2 2 3 15" xfId="28144" xr:uid="{DCE823C9-A441-457D-A8B0-2501CC6E2CD2}"/>
    <cellStyle name="60% - Accent4 2 2 2 3 16" xfId="30034" xr:uid="{F7FCCBE2-AEF8-490C-A962-56A16AB9594E}"/>
    <cellStyle name="60% - Accent4 2 2 2 3 17" xfId="31924" xr:uid="{4234289D-4AF6-4296-A9CA-540641EA881E}"/>
    <cellStyle name="60% - Accent4 2 2 2 3 18" xfId="33814" xr:uid="{89DBDCAA-1F4E-44CC-A901-12B863A3376E}"/>
    <cellStyle name="60% - Accent4 2 2 2 3 19" xfId="35704" xr:uid="{1C93CA41-B776-4317-9E03-6D03A76A72E2}"/>
    <cellStyle name="60% - Accent4 2 2 2 3 2" xfId="3574" xr:uid="{6D3F6762-4FA8-4DBE-BF6F-79FFD0941674}"/>
    <cellStyle name="60% - Accent4 2 2 2 3 20" xfId="37594" xr:uid="{CC476B86-F4E4-4E11-9B2E-1F88E5AF1164}"/>
    <cellStyle name="60% - Accent4 2 2 2 3 21" xfId="39484" xr:uid="{2210559F-C670-4964-9DEC-03E3C6B6DF0A}"/>
    <cellStyle name="60% - Accent4 2 2 2 3 22" xfId="41375" xr:uid="{D36D23A5-9316-4ACF-B0FE-AA0A1C9D744F}"/>
    <cellStyle name="60% - Accent4 2 2 2 3 3" xfId="5464" xr:uid="{4AD2FFC7-057A-4937-9790-7A53A55734B6}"/>
    <cellStyle name="60% - Accent4 2 2 2 3 4" xfId="7354" xr:uid="{11C3DA64-1B7C-4FE4-B2DA-8B098ABDB4C7}"/>
    <cellStyle name="60% - Accent4 2 2 2 3 5" xfId="9244" xr:uid="{50E66F26-F16B-4FA2-918D-AA0AB0C04EC5}"/>
    <cellStyle name="60% - Accent4 2 2 2 3 6" xfId="11134" xr:uid="{C6F45E48-C27F-4E7E-9795-E6C2FD6E882C}"/>
    <cellStyle name="60% - Accent4 2 2 2 3 7" xfId="13024" xr:uid="{ED35C8F8-052D-4A78-B0D1-F9AD4C253943}"/>
    <cellStyle name="60% - Accent4 2 2 2 3 8" xfId="14914" xr:uid="{8FEABC9E-7915-4A8C-8A9C-1950479BC0B4}"/>
    <cellStyle name="60% - Accent4 2 2 2 3 9" xfId="16804" xr:uid="{9596954D-C9A4-4021-8B8E-D92188BC7E5F}"/>
    <cellStyle name="60% - Accent4 2 2 2 4" xfId="2314" xr:uid="{3407274F-8F10-4133-A477-F6936C62FF21}"/>
    <cellStyle name="60% - Accent4 2 2 2 5" xfId="4204" xr:uid="{5DA1AFE5-324F-4AF2-9E9A-926F9F54A46C}"/>
    <cellStyle name="60% - Accent4 2 2 2 6" xfId="6094" xr:uid="{A8A50F48-F905-463E-9D08-0FF0D8558D58}"/>
    <cellStyle name="60% - Accent4 2 2 2 7" xfId="7984" xr:uid="{534A0040-2F10-4FDC-8741-A34B63D47294}"/>
    <cellStyle name="60% - Accent4 2 2 2 8" xfId="9874" xr:uid="{4B1E56EC-7EB1-4A13-8C7D-4C51FCFC5406}"/>
    <cellStyle name="60% - Accent4 2 2 2 9" xfId="11764" xr:uid="{705CEEE8-92CF-4801-9CAF-09344D265CBA}"/>
    <cellStyle name="60% - Accent4 2 2 20" xfId="28564" xr:uid="{AC20F791-B87A-479B-BDCE-254E874DF3D0}"/>
    <cellStyle name="60% - Accent4 2 2 21" xfId="30454" xr:uid="{272BEA6D-ECCE-4C03-AE30-6F2B1BD6601E}"/>
    <cellStyle name="60% - Accent4 2 2 22" xfId="32344" xr:uid="{219E0F11-2C2B-4994-809F-122597CDCDCA}"/>
    <cellStyle name="60% - Accent4 2 2 23" xfId="34234" xr:uid="{E5582FFE-F62B-4603-AA70-FF4AF95F2D97}"/>
    <cellStyle name="60% - Accent4 2 2 24" xfId="36124" xr:uid="{9ED0DAFF-0553-40EE-BD22-3CECF0AF3E73}"/>
    <cellStyle name="60% - Accent4 2 2 25" xfId="38014" xr:uid="{8AB24339-CD79-483E-B6D8-BE0B6A270557}"/>
    <cellStyle name="60% - Accent4 2 2 26" xfId="39905" xr:uid="{E3ECC344-6988-4E3E-B514-58F4913D9A93}"/>
    <cellStyle name="60% - Accent4 2 2 3" xfId="634" xr:uid="{38241FD8-1907-497B-8617-CB60E58A198B}"/>
    <cellStyle name="60% - Accent4 2 2 3 10" xfId="13864" xr:uid="{ADCB7AA3-A238-4461-B831-A79EAFABB870}"/>
    <cellStyle name="60% - Accent4 2 2 3 11" xfId="15754" xr:uid="{E20F470F-D3B7-4D4E-B39C-B63675BCD973}"/>
    <cellStyle name="60% - Accent4 2 2 3 12" xfId="17644" xr:uid="{F935A6DA-894A-4A6C-8359-8C30D0869E09}"/>
    <cellStyle name="60% - Accent4 2 2 3 13" xfId="19534" xr:uid="{C8DADA91-7C12-48D5-90B9-2045AD2750CC}"/>
    <cellStyle name="60% - Accent4 2 2 3 14" xfId="21424" xr:uid="{29C5958E-2A08-44B3-AA7C-DFBFB3C5BBE3}"/>
    <cellStyle name="60% - Accent4 2 2 3 15" xfId="23314" xr:uid="{6F6256B6-4CCB-441B-87DA-3C00069144B5}"/>
    <cellStyle name="60% - Accent4 2 2 3 16" xfId="25204" xr:uid="{7CF7F44D-1348-4FBA-A37F-6F5F4BDA25B4}"/>
    <cellStyle name="60% - Accent4 2 2 3 17" xfId="27094" xr:uid="{1DE136F5-618E-421D-8200-80337A0188DA}"/>
    <cellStyle name="60% - Accent4 2 2 3 18" xfId="28984" xr:uid="{718D3687-1D62-4ABC-91EE-82706C7E8918}"/>
    <cellStyle name="60% - Accent4 2 2 3 19" xfId="30874" xr:uid="{B0275DB2-5198-43BA-B692-04E95BC5B365}"/>
    <cellStyle name="60% - Accent4 2 2 3 2" xfId="1264" xr:uid="{6D1D1D20-598F-43E5-A03F-71E6C98ECEFE}"/>
    <cellStyle name="60% - Accent4 2 2 3 2 10" xfId="18274" xr:uid="{39167653-2EAC-40F7-9674-0930A1441BDD}"/>
    <cellStyle name="60% - Accent4 2 2 3 2 11" xfId="20164" xr:uid="{985BCCFD-E197-4EAE-910B-13394AB748C2}"/>
    <cellStyle name="60% - Accent4 2 2 3 2 12" xfId="22054" xr:uid="{9DDC3E04-1FA2-40DD-A36D-352939D64F6B}"/>
    <cellStyle name="60% - Accent4 2 2 3 2 13" xfId="23944" xr:uid="{4518F458-E77C-4E00-BCA2-1CF66748B83D}"/>
    <cellStyle name="60% - Accent4 2 2 3 2 14" xfId="25834" xr:uid="{0378E4D5-F382-48C1-B7D9-43653EA93CB8}"/>
    <cellStyle name="60% - Accent4 2 2 3 2 15" xfId="27724" xr:uid="{C6FE0640-9D2B-4FFA-8B3E-4B0D7874FE5A}"/>
    <cellStyle name="60% - Accent4 2 2 3 2 16" xfId="29614" xr:uid="{AC15D58D-A061-4C91-BCAE-E66919BEDC53}"/>
    <cellStyle name="60% - Accent4 2 2 3 2 17" xfId="31504" xr:uid="{C3C05683-7CA1-4CA1-BC2D-590D81204724}"/>
    <cellStyle name="60% - Accent4 2 2 3 2 18" xfId="33394" xr:uid="{7A794FF6-00BF-4A16-8C37-5FF57E8F3319}"/>
    <cellStyle name="60% - Accent4 2 2 3 2 19" xfId="35284" xr:uid="{87AEF875-C0C6-47E4-AA50-D230AE3CFC2D}"/>
    <cellStyle name="60% - Accent4 2 2 3 2 2" xfId="3154" xr:uid="{EFEF7C84-3C61-4324-9594-8A704FA0769F}"/>
    <cellStyle name="60% - Accent4 2 2 3 2 20" xfId="37174" xr:uid="{B9FD2B9B-F831-4263-92EF-B38DCD59614C}"/>
    <cellStyle name="60% - Accent4 2 2 3 2 21" xfId="39064" xr:uid="{6FA5F0D9-26C1-4705-A5BA-4BFB28F61D6A}"/>
    <cellStyle name="60% - Accent4 2 2 3 2 22" xfId="40955" xr:uid="{F8292865-D7F1-45BF-95E2-E2920A438AF3}"/>
    <cellStyle name="60% - Accent4 2 2 3 2 3" xfId="5044" xr:uid="{3EBAE080-3672-4247-8BCC-2FBAC81D8C0E}"/>
    <cellStyle name="60% - Accent4 2 2 3 2 4" xfId="6934" xr:uid="{58AB70B9-4978-4B1D-891C-1644EB84D5A6}"/>
    <cellStyle name="60% - Accent4 2 2 3 2 5" xfId="8824" xr:uid="{D60D0DB8-2373-4D07-BE06-805A7A1E7F4E}"/>
    <cellStyle name="60% - Accent4 2 2 3 2 6" xfId="10714" xr:uid="{C60F07B0-BA18-4702-B995-68A5766A1D08}"/>
    <cellStyle name="60% - Accent4 2 2 3 2 7" xfId="12604" xr:uid="{B4EC456A-5196-4B62-A834-684B0E31AC77}"/>
    <cellStyle name="60% - Accent4 2 2 3 2 8" xfId="14494" xr:uid="{372CDABA-7BA2-4E27-9D05-6487B892685C}"/>
    <cellStyle name="60% - Accent4 2 2 3 2 9" xfId="16384" xr:uid="{5FB14565-DD00-4F76-999A-9C958C793580}"/>
    <cellStyle name="60% - Accent4 2 2 3 20" xfId="32764" xr:uid="{4E04C9FC-A789-4B23-9F40-ABF4A35B2969}"/>
    <cellStyle name="60% - Accent4 2 2 3 21" xfId="34654" xr:uid="{D355F6D7-1EC8-48FB-B7B6-A2B8D7500713}"/>
    <cellStyle name="60% - Accent4 2 2 3 22" xfId="36544" xr:uid="{8F0E7328-1456-44D6-ADB0-A9AD9B80CF36}"/>
    <cellStyle name="60% - Accent4 2 2 3 23" xfId="38434" xr:uid="{658D815A-1552-437A-BA54-317E085B0643}"/>
    <cellStyle name="60% - Accent4 2 2 3 24" xfId="40325" xr:uid="{37D93A74-CF1A-4310-A83E-65FEBB28F36A}"/>
    <cellStyle name="60% - Accent4 2 2 3 3" xfId="1894" xr:uid="{ED192AED-D409-4E35-8489-194D6EB99A3C}"/>
    <cellStyle name="60% - Accent4 2 2 3 3 10" xfId="18904" xr:uid="{5746C691-E5D1-4CA5-BB2C-5523D985AF13}"/>
    <cellStyle name="60% - Accent4 2 2 3 3 11" xfId="20794" xr:uid="{6EE06E02-B3A9-45D0-8282-89F5E5FC16F0}"/>
    <cellStyle name="60% - Accent4 2 2 3 3 12" xfId="22684" xr:uid="{6115BEE8-6C36-4ED1-8FE8-9ED02FDAFA65}"/>
    <cellStyle name="60% - Accent4 2 2 3 3 13" xfId="24574" xr:uid="{42C0700A-5D19-47E3-A257-68E30A4519E6}"/>
    <cellStyle name="60% - Accent4 2 2 3 3 14" xfId="26464" xr:uid="{B5A29B84-3335-4ECC-8FA5-82BEE4AD3379}"/>
    <cellStyle name="60% - Accent4 2 2 3 3 15" xfId="28354" xr:uid="{BDDF6B8C-543E-47FF-86E1-B7F44171C273}"/>
    <cellStyle name="60% - Accent4 2 2 3 3 16" xfId="30244" xr:uid="{617BC77F-7590-46C3-87F8-7D308E35215D}"/>
    <cellStyle name="60% - Accent4 2 2 3 3 17" xfId="32134" xr:uid="{B8FBB5AC-1DA6-4CE4-ADD1-D203709B8FDE}"/>
    <cellStyle name="60% - Accent4 2 2 3 3 18" xfId="34024" xr:uid="{28561A3D-7798-41CC-94E5-19AA9C6F5947}"/>
    <cellStyle name="60% - Accent4 2 2 3 3 19" xfId="35914" xr:uid="{3A403F58-1203-42B8-95E4-6CBA8FD5360B}"/>
    <cellStyle name="60% - Accent4 2 2 3 3 2" xfId="3784" xr:uid="{8E6B0A0D-5BF2-4B5B-9943-6FDC4FFDB00A}"/>
    <cellStyle name="60% - Accent4 2 2 3 3 20" xfId="37804" xr:uid="{FD701C10-63FA-4A83-9052-DB40E3F11326}"/>
    <cellStyle name="60% - Accent4 2 2 3 3 21" xfId="39694" xr:uid="{62810E65-0212-4553-8F6F-456C5D68A396}"/>
    <cellStyle name="60% - Accent4 2 2 3 3 22" xfId="41585" xr:uid="{2F8798BE-5EDC-4D0C-86CC-C17CCDEF48B5}"/>
    <cellStyle name="60% - Accent4 2 2 3 3 3" xfId="5674" xr:uid="{D63E098F-26AA-48D1-B7C9-E65226C69E29}"/>
    <cellStyle name="60% - Accent4 2 2 3 3 4" xfId="7564" xr:uid="{6EEAFE82-F771-4496-81A2-19E825263E8A}"/>
    <cellStyle name="60% - Accent4 2 2 3 3 5" xfId="9454" xr:uid="{26DEB4CF-CBCD-4013-95CA-27B57437B54D}"/>
    <cellStyle name="60% - Accent4 2 2 3 3 6" xfId="11344" xr:uid="{D3C87932-1E0C-4E9C-AAB0-27A47FFCF69B}"/>
    <cellStyle name="60% - Accent4 2 2 3 3 7" xfId="13234" xr:uid="{0AE7F115-9D8B-4554-883E-8CD9D0E6C728}"/>
    <cellStyle name="60% - Accent4 2 2 3 3 8" xfId="15124" xr:uid="{455F1F13-4504-44D4-8779-82E16F2E7FD6}"/>
    <cellStyle name="60% - Accent4 2 2 3 3 9" xfId="17014" xr:uid="{F55ECC32-4814-4043-BF4F-7FBF98622DF8}"/>
    <cellStyle name="60% - Accent4 2 2 3 4" xfId="2524" xr:uid="{9FF57FF0-3005-43B2-87C8-D51C29BE7DA1}"/>
    <cellStyle name="60% - Accent4 2 2 3 5" xfId="4414" xr:uid="{84A11EC8-FAF9-45AE-8B93-92FD1EB1D73F}"/>
    <cellStyle name="60% - Accent4 2 2 3 6" xfId="6304" xr:uid="{9E84B1B4-04D9-42DE-95E2-7DB9171BC134}"/>
    <cellStyle name="60% - Accent4 2 2 3 7" xfId="8194" xr:uid="{745C9A35-9889-4B7A-8105-3D62E59BAA28}"/>
    <cellStyle name="60% - Accent4 2 2 3 8" xfId="10084" xr:uid="{A725C4C1-0155-4596-842C-52952A009907}"/>
    <cellStyle name="60% - Accent4 2 2 3 9" xfId="11974" xr:uid="{CB237F86-54F8-480D-A22B-2D358CBCD9D2}"/>
    <cellStyle name="60% - Accent4 2 2 4" xfId="844" xr:uid="{4E92204F-1218-4267-A3F3-E137D8589ACD}"/>
    <cellStyle name="60% - Accent4 2 2 4 10" xfId="17854" xr:uid="{667F54F6-42C2-4B42-9681-847753A33570}"/>
    <cellStyle name="60% - Accent4 2 2 4 11" xfId="19744" xr:uid="{8ADAC628-091C-4D4B-A028-49381A36F00C}"/>
    <cellStyle name="60% - Accent4 2 2 4 12" xfId="21634" xr:uid="{B7FF2E78-C890-4439-A5C9-2E98811910AC}"/>
    <cellStyle name="60% - Accent4 2 2 4 13" xfId="23524" xr:uid="{8AB2E676-14C1-48A8-A745-58F48FF1DD3E}"/>
    <cellStyle name="60% - Accent4 2 2 4 14" xfId="25414" xr:uid="{8142D74C-1149-4E80-8146-8240972B4143}"/>
    <cellStyle name="60% - Accent4 2 2 4 15" xfId="27304" xr:uid="{081D8283-DAB1-4CFC-98B0-2942EA2166E7}"/>
    <cellStyle name="60% - Accent4 2 2 4 16" xfId="29194" xr:uid="{2AFD04F2-FD4B-4BAA-9D70-AF0077898BCD}"/>
    <cellStyle name="60% - Accent4 2 2 4 17" xfId="31084" xr:uid="{83348652-E430-474D-9B45-E980A9F7515F}"/>
    <cellStyle name="60% - Accent4 2 2 4 18" xfId="32974" xr:uid="{B74B401D-5EB4-4038-94A5-DD081417B44C}"/>
    <cellStyle name="60% - Accent4 2 2 4 19" xfId="34864" xr:uid="{9BD1FF1A-65CE-4A05-BE57-7ACC326DE5D8}"/>
    <cellStyle name="60% - Accent4 2 2 4 2" xfId="2734" xr:uid="{BDEAA2C7-81D5-4BE3-A974-D8D64FE333F3}"/>
    <cellStyle name="60% - Accent4 2 2 4 20" xfId="36754" xr:uid="{1601D6A6-CB3C-4688-A32C-D1B593F99B2E}"/>
    <cellStyle name="60% - Accent4 2 2 4 21" xfId="38644" xr:uid="{DAD6502C-A097-4EDD-90FC-EF7EE757F526}"/>
    <cellStyle name="60% - Accent4 2 2 4 22" xfId="40535" xr:uid="{7CF4F374-77B3-4862-B01C-F003ADB17198}"/>
    <cellStyle name="60% - Accent4 2 2 4 3" xfId="4624" xr:uid="{5B76F586-B97B-4552-979C-E51E2233051C}"/>
    <cellStyle name="60% - Accent4 2 2 4 4" xfId="6514" xr:uid="{583EEA15-E15D-4D5A-A52A-8B287CC63C32}"/>
    <cellStyle name="60% - Accent4 2 2 4 5" xfId="8404" xr:uid="{F533BDA2-573C-4D15-A30F-016953833B8D}"/>
    <cellStyle name="60% - Accent4 2 2 4 6" xfId="10294" xr:uid="{F664893C-8232-4BE0-A975-D418CD92D717}"/>
    <cellStyle name="60% - Accent4 2 2 4 7" xfId="12184" xr:uid="{574CB536-F4E1-44A5-ADC6-E1AB72B37195}"/>
    <cellStyle name="60% - Accent4 2 2 4 8" xfId="14074" xr:uid="{5E38A2B3-0BD1-4199-AEE0-3CBC9720B773}"/>
    <cellStyle name="60% - Accent4 2 2 4 9" xfId="15964" xr:uid="{400E6966-702D-4A6E-8D49-D893DB51B7FD}"/>
    <cellStyle name="60% - Accent4 2 2 5" xfId="1474" xr:uid="{927148B1-2E23-4247-87C2-E2922F997313}"/>
    <cellStyle name="60% - Accent4 2 2 5 10" xfId="18484" xr:uid="{CF18C202-7B5C-4740-9F56-88A515C5955F}"/>
    <cellStyle name="60% - Accent4 2 2 5 11" xfId="20374" xr:uid="{0CF9DB6D-EDAD-4DE2-A0EC-C674B7DF0BDF}"/>
    <cellStyle name="60% - Accent4 2 2 5 12" xfId="22264" xr:uid="{FEF9181E-DEB2-4E41-97B1-B5E1E73DFCD5}"/>
    <cellStyle name="60% - Accent4 2 2 5 13" xfId="24154" xr:uid="{5F8628E9-E264-4FD5-ABB9-150996BA0760}"/>
    <cellStyle name="60% - Accent4 2 2 5 14" xfId="26044" xr:uid="{4F50BF4B-088F-4D52-829C-745639E40BDC}"/>
    <cellStyle name="60% - Accent4 2 2 5 15" xfId="27934" xr:uid="{EBE92D1D-BB13-4CE0-A706-33F70FBC096E}"/>
    <cellStyle name="60% - Accent4 2 2 5 16" xfId="29824" xr:uid="{908FC943-561F-4803-AA43-521065F54C37}"/>
    <cellStyle name="60% - Accent4 2 2 5 17" xfId="31714" xr:uid="{C06C3821-175F-42F4-89F0-C009F3F2996E}"/>
    <cellStyle name="60% - Accent4 2 2 5 18" xfId="33604" xr:uid="{9E72A016-5614-49EC-88DB-CFD53BAD10C6}"/>
    <cellStyle name="60% - Accent4 2 2 5 19" xfId="35494" xr:uid="{86E2D2BC-8516-4F3B-8861-F72209D942E8}"/>
    <cellStyle name="60% - Accent4 2 2 5 2" xfId="3364" xr:uid="{BA7F62A7-6D9E-4044-8F63-6A1D08E25423}"/>
    <cellStyle name="60% - Accent4 2 2 5 20" xfId="37384" xr:uid="{0D36321F-1374-4540-936D-42832B55DC8A}"/>
    <cellStyle name="60% - Accent4 2 2 5 21" xfId="39274" xr:uid="{0C38A4E6-66EA-410D-BC3D-F82B1DA7FF9A}"/>
    <cellStyle name="60% - Accent4 2 2 5 22" xfId="41165" xr:uid="{3E9D9952-1D82-47ED-87AB-1B33A12800EA}"/>
    <cellStyle name="60% - Accent4 2 2 5 3" xfId="5254" xr:uid="{50B74275-F7F4-44E5-8091-5FA170D3A27F}"/>
    <cellStyle name="60% - Accent4 2 2 5 4" xfId="7144" xr:uid="{8FF5885D-89D9-43F6-AF3C-3FA549C39C70}"/>
    <cellStyle name="60% - Accent4 2 2 5 5" xfId="9034" xr:uid="{344D5FB1-2A9D-4E8E-B0AD-0E072B6C7011}"/>
    <cellStyle name="60% - Accent4 2 2 5 6" xfId="10924" xr:uid="{B152FD69-B355-4C08-82BB-D6AD733B7E25}"/>
    <cellStyle name="60% - Accent4 2 2 5 7" xfId="12814" xr:uid="{D82E083F-8212-4E4D-A742-C05752AF858E}"/>
    <cellStyle name="60% - Accent4 2 2 5 8" xfId="14704" xr:uid="{FE58163D-6919-4BB9-A342-3FA7F4A71A5F}"/>
    <cellStyle name="60% - Accent4 2 2 5 9" xfId="16594" xr:uid="{3929CF02-EA75-4657-AD09-A73D8929321C}"/>
    <cellStyle name="60% - Accent4 2 2 6" xfId="2104" xr:uid="{E71243A6-4B47-4833-BA83-1622062CEA8B}"/>
    <cellStyle name="60% - Accent4 2 2 7" xfId="3994" xr:uid="{8E1A6C0E-BC89-41CA-B2B1-FDCB15CD40CA}"/>
    <cellStyle name="60% - Accent4 2 2 8" xfId="5884" xr:uid="{B942AD9A-EE92-481A-97EB-F9D7C760AAAC}"/>
    <cellStyle name="60% - Accent4 2 2 9" xfId="7774" xr:uid="{EBB5B5F9-1999-48F8-8126-70A3FCEDB23C}"/>
    <cellStyle name="60% - Accent4 2 20" xfId="26569" xr:uid="{6B93EF0C-D456-45F6-846E-10FC0B238CE5}"/>
    <cellStyle name="60% - Accent4 2 21" xfId="28459" xr:uid="{5F086192-8011-4A17-86CA-3DB60CE89A37}"/>
    <cellStyle name="60% - Accent4 2 22" xfId="30349" xr:uid="{22ADBBD3-8E6F-44B5-8492-E17BB93AB1C4}"/>
    <cellStyle name="60% - Accent4 2 23" xfId="32239" xr:uid="{7465276E-4BF1-4465-BC1E-F823AC316DCA}"/>
    <cellStyle name="60% - Accent4 2 24" xfId="34129" xr:uid="{712B1CA9-BD67-4D94-B7D4-2EA9DB8416C6}"/>
    <cellStyle name="60% - Accent4 2 25" xfId="36019" xr:uid="{95D05A63-7773-460F-86AA-825C041D841C}"/>
    <cellStyle name="60% - Accent4 2 26" xfId="37909" xr:uid="{64B8C6B3-E48A-427F-84CC-C8174FD8C5F4}"/>
    <cellStyle name="60% - Accent4 2 27" xfId="39800" xr:uid="{CB9FB22A-00CB-4C9D-BF47-56017B383DC6}"/>
    <cellStyle name="60% - Accent4 2 3" xfId="319" xr:uid="{CCE9C6B4-B76E-4D3A-8228-88DA88E8672D}"/>
    <cellStyle name="60% - Accent4 2 3 10" xfId="13549" xr:uid="{B5EB301E-6E38-48AD-B30F-09EE6987F603}"/>
    <cellStyle name="60% - Accent4 2 3 11" xfId="15439" xr:uid="{A485EC37-4E47-4886-A64F-1093BF569D2A}"/>
    <cellStyle name="60% - Accent4 2 3 12" xfId="17329" xr:uid="{2FCAED89-843B-4269-93CF-0400C9B37F31}"/>
    <cellStyle name="60% - Accent4 2 3 13" xfId="19219" xr:uid="{763B5FC5-BD86-4D34-8415-20BB9759D49B}"/>
    <cellStyle name="60% - Accent4 2 3 14" xfId="21109" xr:uid="{27CA8C04-80E6-4A7A-B883-31166A838CDF}"/>
    <cellStyle name="60% - Accent4 2 3 15" xfId="22999" xr:uid="{4CFBCCAB-91B9-46A7-93CB-71879DC1C9F1}"/>
    <cellStyle name="60% - Accent4 2 3 16" xfId="24889" xr:uid="{5174408D-6F19-4027-8241-E703870E9C05}"/>
    <cellStyle name="60% - Accent4 2 3 17" xfId="26779" xr:uid="{DB54CC56-EFC8-4ED7-8E18-A6902E1F0284}"/>
    <cellStyle name="60% - Accent4 2 3 18" xfId="28669" xr:uid="{BBE478A1-0B1A-4148-B4CA-201981B2DCE4}"/>
    <cellStyle name="60% - Accent4 2 3 19" xfId="30559" xr:uid="{2F19D934-1AD6-47A0-BC7C-A520416328AE}"/>
    <cellStyle name="60% - Accent4 2 3 2" xfId="949" xr:uid="{92AFBC77-6056-44A6-AE64-C8F9C8F0BEC8}"/>
    <cellStyle name="60% - Accent4 2 3 2 10" xfId="17959" xr:uid="{00BE194E-6D0F-4130-BAEA-AE673D79CDA6}"/>
    <cellStyle name="60% - Accent4 2 3 2 11" xfId="19849" xr:uid="{F1ADB789-48E4-43D5-ABD5-C688592AA3BF}"/>
    <cellStyle name="60% - Accent4 2 3 2 12" xfId="21739" xr:uid="{A2DC3BA5-458E-455D-8598-2E6F3B815F94}"/>
    <cellStyle name="60% - Accent4 2 3 2 13" xfId="23629" xr:uid="{C406ECEB-5CC5-4D6F-9078-BC6B7D706264}"/>
    <cellStyle name="60% - Accent4 2 3 2 14" xfId="25519" xr:uid="{17324062-BF14-44FE-9D11-E8A2995134AB}"/>
    <cellStyle name="60% - Accent4 2 3 2 15" xfId="27409" xr:uid="{A6637243-C232-4CC3-A2C4-6EBBCF74A1AA}"/>
    <cellStyle name="60% - Accent4 2 3 2 16" xfId="29299" xr:uid="{39A45ED2-E05B-464B-AA2A-CD627C8857AE}"/>
    <cellStyle name="60% - Accent4 2 3 2 17" xfId="31189" xr:uid="{AFADDDF4-6EF9-4CDA-B925-20229EB2C26E}"/>
    <cellStyle name="60% - Accent4 2 3 2 18" xfId="33079" xr:uid="{4DFBC99A-18C2-4B92-9132-2F6255F3316D}"/>
    <cellStyle name="60% - Accent4 2 3 2 19" xfId="34969" xr:uid="{965F36AE-D9BD-490B-A422-142F59BDFB92}"/>
    <cellStyle name="60% - Accent4 2 3 2 2" xfId="2839" xr:uid="{283350A6-3943-4FAC-883E-88A5113BA8B3}"/>
    <cellStyle name="60% - Accent4 2 3 2 20" xfId="36859" xr:uid="{A40055CE-292B-4B4E-8A9E-DB115509F1EB}"/>
    <cellStyle name="60% - Accent4 2 3 2 21" xfId="38749" xr:uid="{9DBA7060-7BB6-48BF-BDD5-2AFDAC2E049F}"/>
    <cellStyle name="60% - Accent4 2 3 2 22" xfId="40640" xr:uid="{A6D85D62-DB42-4A16-AA55-89E93E4EC386}"/>
    <cellStyle name="60% - Accent4 2 3 2 3" xfId="4729" xr:uid="{7EDE8106-28E4-4A4C-B91F-94395B6B341C}"/>
    <cellStyle name="60% - Accent4 2 3 2 4" xfId="6619" xr:uid="{275D162E-E76A-4129-AA37-F1B274F22D8E}"/>
    <cellStyle name="60% - Accent4 2 3 2 5" xfId="8509" xr:uid="{E3D631BD-73B0-4B1B-8292-C3E94506AA59}"/>
    <cellStyle name="60% - Accent4 2 3 2 6" xfId="10399" xr:uid="{CAE83544-35E3-420C-ABC1-FDAB4EC4BAA0}"/>
    <cellStyle name="60% - Accent4 2 3 2 7" xfId="12289" xr:uid="{875FD14B-3DAB-4A12-8082-D30ACD4630F2}"/>
    <cellStyle name="60% - Accent4 2 3 2 8" xfId="14179" xr:uid="{151DA77A-42F5-4175-B44F-47B9ADA3CDAB}"/>
    <cellStyle name="60% - Accent4 2 3 2 9" xfId="16069" xr:uid="{9FD93B55-1F69-4D9B-9BF8-07C95FD91204}"/>
    <cellStyle name="60% - Accent4 2 3 20" xfId="32449" xr:uid="{8C37463C-C26E-4A74-A552-F44300E8554B}"/>
    <cellStyle name="60% - Accent4 2 3 21" xfId="34339" xr:uid="{3CE7FD19-49D8-489D-9F60-1739B53D67B8}"/>
    <cellStyle name="60% - Accent4 2 3 22" xfId="36229" xr:uid="{8429BC29-4225-40AD-935D-44C9D6FC728B}"/>
    <cellStyle name="60% - Accent4 2 3 23" xfId="38119" xr:uid="{7ECFCA1E-3417-4CA3-8CDD-4DC241F01805}"/>
    <cellStyle name="60% - Accent4 2 3 24" xfId="40010" xr:uid="{7A77E36D-FCEC-46F8-BCFF-6E474E01B717}"/>
    <cellStyle name="60% - Accent4 2 3 3" xfId="1579" xr:uid="{DBC4C16C-D3F0-44F9-8785-A9031253999F}"/>
    <cellStyle name="60% - Accent4 2 3 3 10" xfId="18589" xr:uid="{C0559BDD-08E4-4E9F-980D-AC468DE0B763}"/>
    <cellStyle name="60% - Accent4 2 3 3 11" xfId="20479" xr:uid="{7DF58472-3616-4341-8650-A3C40E29218C}"/>
    <cellStyle name="60% - Accent4 2 3 3 12" xfId="22369" xr:uid="{8309FCAD-3E82-47FD-BAAB-E69FE78BCDDD}"/>
    <cellStyle name="60% - Accent4 2 3 3 13" xfId="24259" xr:uid="{82E99B58-2CD2-442B-94A0-C39C9D6BFB9A}"/>
    <cellStyle name="60% - Accent4 2 3 3 14" xfId="26149" xr:uid="{421500C7-359A-494F-8606-AB8CE3964B32}"/>
    <cellStyle name="60% - Accent4 2 3 3 15" xfId="28039" xr:uid="{4EE54F7F-ACE9-4618-A18D-FD688EF4A73E}"/>
    <cellStyle name="60% - Accent4 2 3 3 16" xfId="29929" xr:uid="{B809C518-DA23-49D1-915C-735E88F9F5EF}"/>
    <cellStyle name="60% - Accent4 2 3 3 17" xfId="31819" xr:uid="{6EEBF85B-2ED9-4DFF-A496-FA1C8AB07063}"/>
    <cellStyle name="60% - Accent4 2 3 3 18" xfId="33709" xr:uid="{A255F886-FAD7-4562-8529-802613564A3E}"/>
    <cellStyle name="60% - Accent4 2 3 3 19" xfId="35599" xr:uid="{72063419-4690-4F31-A8BF-B853C1DF2E99}"/>
    <cellStyle name="60% - Accent4 2 3 3 2" xfId="3469" xr:uid="{C30EABFA-1F35-4287-BAB5-AA7BDADBD2A4}"/>
    <cellStyle name="60% - Accent4 2 3 3 20" xfId="37489" xr:uid="{133C888C-CA6B-43E3-8982-BB65C042D472}"/>
    <cellStyle name="60% - Accent4 2 3 3 21" xfId="39379" xr:uid="{8F854AA1-8E99-4D6E-8C8A-68F23349C8BF}"/>
    <cellStyle name="60% - Accent4 2 3 3 22" xfId="41270" xr:uid="{C525B684-6086-40D0-9053-4C06CA3B7FA9}"/>
    <cellStyle name="60% - Accent4 2 3 3 3" xfId="5359" xr:uid="{18E90F3C-12BD-42C0-9D87-C3A595AED216}"/>
    <cellStyle name="60% - Accent4 2 3 3 4" xfId="7249" xr:uid="{7AB50565-0B44-4C59-AAD5-1EA46D778073}"/>
    <cellStyle name="60% - Accent4 2 3 3 5" xfId="9139" xr:uid="{F084D425-BABF-4370-87F0-698368EE1648}"/>
    <cellStyle name="60% - Accent4 2 3 3 6" xfId="11029" xr:uid="{999D5356-880F-4CDC-85B7-B5B08DEDF009}"/>
    <cellStyle name="60% - Accent4 2 3 3 7" xfId="12919" xr:uid="{011B14FB-C617-4A0C-895D-4F005052315A}"/>
    <cellStyle name="60% - Accent4 2 3 3 8" xfId="14809" xr:uid="{6EC01D3B-98A9-4D85-88FD-493969A72FEA}"/>
    <cellStyle name="60% - Accent4 2 3 3 9" xfId="16699" xr:uid="{24DC3CBD-E7C9-4098-BCDC-CA8628AA08FD}"/>
    <cellStyle name="60% - Accent4 2 3 4" xfId="2209" xr:uid="{206B942D-FF8B-4F84-8FDE-821D0F811D5C}"/>
    <cellStyle name="60% - Accent4 2 3 5" xfId="4099" xr:uid="{0A8B504A-A9DE-4EE9-8FCF-8257BBFF6335}"/>
    <cellStyle name="60% - Accent4 2 3 6" xfId="5989" xr:uid="{5DBEF7B7-1921-4F85-A94F-CB5BFC7063CD}"/>
    <cellStyle name="60% - Accent4 2 3 7" xfId="7879" xr:uid="{AF676E1F-D049-4BA3-A81F-F935A19500CD}"/>
    <cellStyle name="60% - Accent4 2 3 8" xfId="9769" xr:uid="{CC0E8FE7-AEFE-40FE-B111-F0C885F93675}"/>
    <cellStyle name="60% - Accent4 2 3 9" xfId="11659" xr:uid="{ADF1776C-F5F6-4E91-99FB-E60804C9F978}"/>
    <cellStyle name="60% - Accent4 2 4" xfId="529" xr:uid="{6815DFCE-C168-47BF-BE2B-097CB9BC394A}"/>
    <cellStyle name="60% - Accent4 2 4 10" xfId="13759" xr:uid="{22049A9D-28E2-4D2E-B616-A1D772358E2A}"/>
    <cellStyle name="60% - Accent4 2 4 11" xfId="15649" xr:uid="{28401010-0C7B-422A-9824-0866E6614A7E}"/>
    <cellStyle name="60% - Accent4 2 4 12" xfId="17539" xr:uid="{1AA6CD77-ED7E-497E-BD99-7798582ED9DB}"/>
    <cellStyle name="60% - Accent4 2 4 13" xfId="19429" xr:uid="{4504BA23-2E3B-423F-985F-DE5E5D0C145B}"/>
    <cellStyle name="60% - Accent4 2 4 14" xfId="21319" xr:uid="{DAE80C4B-8E37-4723-9A5D-64F7F0E8F56A}"/>
    <cellStyle name="60% - Accent4 2 4 15" xfId="23209" xr:uid="{5EAC899A-563F-4B59-9B60-C8697427037A}"/>
    <cellStyle name="60% - Accent4 2 4 16" xfId="25099" xr:uid="{B32F85A1-DD4B-40F4-8148-04AAAE798582}"/>
    <cellStyle name="60% - Accent4 2 4 17" xfId="26989" xr:uid="{6AC68C6B-A9C9-4993-A053-5FF6BE9A8BE1}"/>
    <cellStyle name="60% - Accent4 2 4 18" xfId="28879" xr:uid="{D1B539DE-E001-4044-8336-516378546822}"/>
    <cellStyle name="60% - Accent4 2 4 19" xfId="30769" xr:uid="{459B0E08-9B8B-488F-8D31-73DF24DB5B11}"/>
    <cellStyle name="60% - Accent4 2 4 2" xfId="1159" xr:uid="{38D1FCA8-BD02-42C1-A740-0A681EC9E16C}"/>
    <cellStyle name="60% - Accent4 2 4 2 10" xfId="18169" xr:uid="{41C01D03-2126-44FC-9EEC-1BE402F3D6C1}"/>
    <cellStyle name="60% - Accent4 2 4 2 11" xfId="20059" xr:uid="{1B7F3312-01CA-4059-AA9A-04D8CB54FCB0}"/>
    <cellStyle name="60% - Accent4 2 4 2 12" xfId="21949" xr:uid="{084C3E3E-4C57-4AA1-881F-A06860E9E52C}"/>
    <cellStyle name="60% - Accent4 2 4 2 13" xfId="23839" xr:uid="{18D624BF-807C-4F35-85C7-5C51D4A22E98}"/>
    <cellStyle name="60% - Accent4 2 4 2 14" xfId="25729" xr:uid="{DCDCA7C8-713A-436C-9962-BB0CE8957A7B}"/>
    <cellStyle name="60% - Accent4 2 4 2 15" xfId="27619" xr:uid="{D223F77A-594A-40F4-9AF6-AC558F0BE67E}"/>
    <cellStyle name="60% - Accent4 2 4 2 16" xfId="29509" xr:uid="{A2D62AF8-AE86-478A-AB26-866E6944BEB1}"/>
    <cellStyle name="60% - Accent4 2 4 2 17" xfId="31399" xr:uid="{4EDDF9C2-E9B6-4BB7-B084-6374BBBEF2C8}"/>
    <cellStyle name="60% - Accent4 2 4 2 18" xfId="33289" xr:uid="{3126CA4E-11CB-4BBB-B86E-62A99FE71E11}"/>
    <cellStyle name="60% - Accent4 2 4 2 19" xfId="35179" xr:uid="{86FF5E8E-E67E-451E-9F6D-0D1128C2E87F}"/>
    <cellStyle name="60% - Accent4 2 4 2 2" xfId="3049" xr:uid="{64C8FD87-BEF0-4A83-AFEE-5C867C7F96C0}"/>
    <cellStyle name="60% - Accent4 2 4 2 20" xfId="37069" xr:uid="{27E94CE5-B4E1-4AE2-8FEE-AAF801FC4FB2}"/>
    <cellStyle name="60% - Accent4 2 4 2 21" xfId="38959" xr:uid="{ED45252D-59CA-4A11-A851-836783605784}"/>
    <cellStyle name="60% - Accent4 2 4 2 22" xfId="40850" xr:uid="{1FFD3733-1E87-4DEF-99CB-21C4BC0C1E94}"/>
    <cellStyle name="60% - Accent4 2 4 2 3" xfId="4939" xr:uid="{9EDC401D-73F9-4263-BDD8-BD19D224E80A}"/>
    <cellStyle name="60% - Accent4 2 4 2 4" xfId="6829" xr:uid="{461E8602-C5F1-4CE7-8CBD-2D239AA83D14}"/>
    <cellStyle name="60% - Accent4 2 4 2 5" xfId="8719" xr:uid="{DB6496E8-D6DE-40B9-ADD9-7D16FBEE3CAA}"/>
    <cellStyle name="60% - Accent4 2 4 2 6" xfId="10609" xr:uid="{9DA87499-D57A-4FC8-9443-6ED20064A3C6}"/>
    <cellStyle name="60% - Accent4 2 4 2 7" xfId="12499" xr:uid="{031A6405-98EB-4C41-982A-7E5134BD5234}"/>
    <cellStyle name="60% - Accent4 2 4 2 8" xfId="14389" xr:uid="{F4536F36-CCD1-4CD7-9DAA-C9A57D8A06C6}"/>
    <cellStyle name="60% - Accent4 2 4 2 9" xfId="16279" xr:uid="{C92B904F-BC2B-4EE9-87A9-3B0EBB694FB0}"/>
    <cellStyle name="60% - Accent4 2 4 20" xfId="32659" xr:uid="{B7ABB623-79FC-4D8E-B93A-59BDDAD0F93E}"/>
    <cellStyle name="60% - Accent4 2 4 21" xfId="34549" xr:uid="{A09F173F-30D9-4B84-B7C6-47D7C6AD66CF}"/>
    <cellStyle name="60% - Accent4 2 4 22" xfId="36439" xr:uid="{97EAB65E-F8A8-480C-AF84-BFD2C374C01D}"/>
    <cellStyle name="60% - Accent4 2 4 23" xfId="38329" xr:uid="{F581426A-30A7-4219-8477-F987C4A31217}"/>
    <cellStyle name="60% - Accent4 2 4 24" xfId="40220" xr:uid="{26084A4C-47AF-40D4-8E89-48C54A526621}"/>
    <cellStyle name="60% - Accent4 2 4 3" xfId="1789" xr:uid="{6B830824-72A5-4A76-A01C-8AE447F5188E}"/>
    <cellStyle name="60% - Accent4 2 4 3 10" xfId="18799" xr:uid="{C793F2AA-D1AD-4033-B4B8-F93206366200}"/>
    <cellStyle name="60% - Accent4 2 4 3 11" xfId="20689" xr:uid="{70B36958-B62C-482B-9545-CB4C64E0145F}"/>
    <cellStyle name="60% - Accent4 2 4 3 12" xfId="22579" xr:uid="{F763E5D2-D08D-413C-8101-F92FBB209B48}"/>
    <cellStyle name="60% - Accent4 2 4 3 13" xfId="24469" xr:uid="{536ED29B-8790-40A6-8665-A9E0EF63EE71}"/>
    <cellStyle name="60% - Accent4 2 4 3 14" xfId="26359" xr:uid="{0681D2DE-41D9-42DD-8F12-7CA05ABF9B35}"/>
    <cellStyle name="60% - Accent4 2 4 3 15" xfId="28249" xr:uid="{C1B42FD4-45F7-4C55-9262-07FC4ABA2A2B}"/>
    <cellStyle name="60% - Accent4 2 4 3 16" xfId="30139" xr:uid="{93A3D6D8-9899-4BCE-8A72-140B317C8AF8}"/>
    <cellStyle name="60% - Accent4 2 4 3 17" xfId="32029" xr:uid="{E50F44C3-A46A-451B-A4A1-21051CA39CE8}"/>
    <cellStyle name="60% - Accent4 2 4 3 18" xfId="33919" xr:uid="{434E773F-B4EA-4AB7-8865-E622D2311E26}"/>
    <cellStyle name="60% - Accent4 2 4 3 19" xfId="35809" xr:uid="{CE0D12D2-07E7-46A4-A90B-F5DE4EB34FAC}"/>
    <cellStyle name="60% - Accent4 2 4 3 2" xfId="3679" xr:uid="{67EB1706-1A56-446D-94E0-34EE32BD749C}"/>
    <cellStyle name="60% - Accent4 2 4 3 20" xfId="37699" xr:uid="{5B1FC20F-FC0E-4A11-9C0C-EF6EA920DCBE}"/>
    <cellStyle name="60% - Accent4 2 4 3 21" xfId="39589" xr:uid="{689BDFB7-53C8-4796-A836-073BAD26BFFC}"/>
    <cellStyle name="60% - Accent4 2 4 3 22" xfId="41480" xr:uid="{8B527E01-B3B9-4A92-ABDA-11CEFC8AD785}"/>
    <cellStyle name="60% - Accent4 2 4 3 3" xfId="5569" xr:uid="{73CFA32D-789A-49CA-BD3D-3093D22EEDF0}"/>
    <cellStyle name="60% - Accent4 2 4 3 4" xfId="7459" xr:uid="{FDAE33A9-F656-4C26-B534-E5E6590031BF}"/>
    <cellStyle name="60% - Accent4 2 4 3 5" xfId="9349" xr:uid="{33C4E572-A965-42C3-AF63-C75A0A7851B1}"/>
    <cellStyle name="60% - Accent4 2 4 3 6" xfId="11239" xr:uid="{660DB787-C337-48B6-806B-D256D183F5A3}"/>
    <cellStyle name="60% - Accent4 2 4 3 7" xfId="13129" xr:uid="{E51A83B8-FAF0-4695-9C28-53BD1B21850A}"/>
    <cellStyle name="60% - Accent4 2 4 3 8" xfId="15019" xr:uid="{CA5CE81B-73E7-4B5C-B55A-CC03F57A0EBD}"/>
    <cellStyle name="60% - Accent4 2 4 3 9" xfId="16909" xr:uid="{523B7A95-4AC9-4DA6-8288-138E485BD75F}"/>
    <cellStyle name="60% - Accent4 2 4 4" xfId="2419" xr:uid="{56CF56E1-FB0B-4CCC-9B32-789B5D3939F6}"/>
    <cellStyle name="60% - Accent4 2 4 5" xfId="4309" xr:uid="{82E720D0-F033-4CBD-ABA4-D77F9226E90A}"/>
    <cellStyle name="60% - Accent4 2 4 6" xfId="6199" xr:uid="{75672A2D-860E-448A-99CD-7931D6E02C58}"/>
    <cellStyle name="60% - Accent4 2 4 7" xfId="8089" xr:uid="{DFB773B2-8DB6-4DCF-A3A8-6CC8C9903FF9}"/>
    <cellStyle name="60% - Accent4 2 4 8" xfId="9979" xr:uid="{789E24E0-8529-4BBA-9DA0-BF06B6197AB9}"/>
    <cellStyle name="60% - Accent4 2 4 9" xfId="11869" xr:uid="{5061ACD1-32BF-4050-B742-A99BBFD309B3}"/>
    <cellStyle name="60% - Accent4 2 5" xfId="739" xr:uid="{A266313A-D11C-4647-9BA5-7C7C816B2C53}"/>
    <cellStyle name="60% - Accent4 2 5 10" xfId="17749" xr:uid="{8282E045-E5CD-46FB-82D5-D19EC3E3CA95}"/>
    <cellStyle name="60% - Accent4 2 5 11" xfId="19639" xr:uid="{ADE3D194-6A7D-45A6-8C77-C4305CF05F5E}"/>
    <cellStyle name="60% - Accent4 2 5 12" xfId="21529" xr:uid="{E4B35A33-2509-45F7-BD17-404122363C7E}"/>
    <cellStyle name="60% - Accent4 2 5 13" xfId="23419" xr:uid="{57FF35AA-9B24-4561-943A-581F1B3FE5D8}"/>
    <cellStyle name="60% - Accent4 2 5 14" xfId="25309" xr:uid="{243064DC-7291-4DAE-B076-A324A723AD1C}"/>
    <cellStyle name="60% - Accent4 2 5 15" xfId="27199" xr:uid="{0809C619-F78D-41BA-B637-2354B4706ED9}"/>
    <cellStyle name="60% - Accent4 2 5 16" xfId="29089" xr:uid="{13AABB35-56B0-404B-AD8E-C62FC5D3E6DE}"/>
    <cellStyle name="60% - Accent4 2 5 17" xfId="30979" xr:uid="{9A1B4BEF-4FDF-48FC-BA9A-87198BF5AEED}"/>
    <cellStyle name="60% - Accent4 2 5 18" xfId="32869" xr:uid="{A2884607-F923-4E00-A81B-FA7D09D030B2}"/>
    <cellStyle name="60% - Accent4 2 5 19" xfId="34759" xr:uid="{50F640F1-0FB1-406F-93C8-C8093E5E3157}"/>
    <cellStyle name="60% - Accent4 2 5 2" xfId="2629" xr:uid="{EF5C7772-978F-417E-B70D-66A451953E17}"/>
    <cellStyle name="60% - Accent4 2 5 20" xfId="36649" xr:uid="{8F75AB6E-9702-48D6-B870-BC07BDA8B936}"/>
    <cellStyle name="60% - Accent4 2 5 21" xfId="38539" xr:uid="{33DAB470-1E3D-4535-812D-9A077F973F26}"/>
    <cellStyle name="60% - Accent4 2 5 22" xfId="40430" xr:uid="{6515B70B-2444-4C9C-B721-2E8DC6F8D3BA}"/>
    <cellStyle name="60% - Accent4 2 5 3" xfId="4519" xr:uid="{A8FDA02F-8B85-40B7-9A14-9B4DED4E8439}"/>
    <cellStyle name="60% - Accent4 2 5 4" xfId="6409" xr:uid="{8BA21CE2-B3F8-407C-A216-A7F9AE562AD6}"/>
    <cellStyle name="60% - Accent4 2 5 5" xfId="8299" xr:uid="{668EDC75-207A-4C23-AE84-5A035632635D}"/>
    <cellStyle name="60% - Accent4 2 5 6" xfId="10189" xr:uid="{B3757F06-992B-4130-9D50-00434FD94707}"/>
    <cellStyle name="60% - Accent4 2 5 7" xfId="12079" xr:uid="{7DB6B010-0447-4CFC-A1C7-5DE492B519B8}"/>
    <cellStyle name="60% - Accent4 2 5 8" xfId="13969" xr:uid="{7C780DE4-3440-4030-9612-7D2309B41C00}"/>
    <cellStyle name="60% - Accent4 2 5 9" xfId="15859" xr:uid="{9585D82A-C8D1-4428-BFEC-C6256B9D3326}"/>
    <cellStyle name="60% - Accent4 2 6" xfId="1369" xr:uid="{0E2C06DF-74B2-44DF-9A41-F68555DA7335}"/>
    <cellStyle name="60% - Accent4 2 6 10" xfId="18379" xr:uid="{FD02D310-6730-46FC-BAF1-D718ECD756D2}"/>
    <cellStyle name="60% - Accent4 2 6 11" xfId="20269" xr:uid="{7982AE32-BC05-4282-873A-8318A27A1800}"/>
    <cellStyle name="60% - Accent4 2 6 12" xfId="22159" xr:uid="{5CAEF454-1D0B-4AE0-952C-AA7FB225A003}"/>
    <cellStyle name="60% - Accent4 2 6 13" xfId="24049" xr:uid="{743AC6D3-BCB9-49F2-9E79-611C55803D25}"/>
    <cellStyle name="60% - Accent4 2 6 14" xfId="25939" xr:uid="{1D3BEBBC-F0DE-4F50-BC2F-13E7314151D7}"/>
    <cellStyle name="60% - Accent4 2 6 15" xfId="27829" xr:uid="{C90CD249-5C3F-4EB1-97A9-F0A0ED7FC928}"/>
    <cellStyle name="60% - Accent4 2 6 16" xfId="29719" xr:uid="{B1F69A27-4132-4A98-BE86-7670D3F3B2CE}"/>
    <cellStyle name="60% - Accent4 2 6 17" xfId="31609" xr:uid="{65BE202C-0CDB-448C-B33C-84AFAFFC435F}"/>
    <cellStyle name="60% - Accent4 2 6 18" xfId="33499" xr:uid="{8545B812-2FE7-4AA1-B7D1-622B35068E33}"/>
    <cellStyle name="60% - Accent4 2 6 19" xfId="35389" xr:uid="{DEB93DCE-CAD0-4208-906A-4B629B49725E}"/>
    <cellStyle name="60% - Accent4 2 6 2" xfId="3259" xr:uid="{D53E7F88-90C0-4707-979D-3BAA3F13BAD8}"/>
    <cellStyle name="60% - Accent4 2 6 20" xfId="37279" xr:uid="{77AE4FD7-BC6C-4291-8E8C-13D0B8FE98E0}"/>
    <cellStyle name="60% - Accent4 2 6 21" xfId="39169" xr:uid="{300A4066-A8D9-422E-A34B-18C06DF4960D}"/>
    <cellStyle name="60% - Accent4 2 6 22" xfId="41060" xr:uid="{AF75C59E-ABDF-491E-BCB1-3F1EB657B0BE}"/>
    <cellStyle name="60% - Accent4 2 6 3" xfId="5149" xr:uid="{91367C18-A584-4A3A-B288-E8F6CE75E84D}"/>
    <cellStyle name="60% - Accent4 2 6 4" xfId="7039" xr:uid="{66B30607-3411-4D12-9DBD-FCC0B0DEEB27}"/>
    <cellStyle name="60% - Accent4 2 6 5" xfId="8929" xr:uid="{C3F84050-31AE-4481-AFD2-459BAFEC15E7}"/>
    <cellStyle name="60% - Accent4 2 6 6" xfId="10819" xr:uid="{A5B3BC7C-3619-40EF-BADF-69468597EB39}"/>
    <cellStyle name="60% - Accent4 2 6 7" xfId="12709" xr:uid="{D2062242-96E4-4193-8EF2-200E1F55D853}"/>
    <cellStyle name="60% - Accent4 2 6 8" xfId="14599" xr:uid="{90B62C89-FC8F-492E-AB63-8D99D38F1270}"/>
    <cellStyle name="60% - Accent4 2 6 9" xfId="16489" xr:uid="{760A59A6-AFA6-468C-A13F-15AF87AB6697}"/>
    <cellStyle name="60% - Accent4 2 7" xfId="1999" xr:uid="{E244A22F-8A40-4718-924C-7FFDF6E722FF}"/>
    <cellStyle name="60% - Accent4 2 8" xfId="3889" xr:uid="{5294AD1F-A03D-4136-9DBF-7D74B3DFB1C1}"/>
    <cellStyle name="60% - Accent4 2 9" xfId="5779" xr:uid="{03BA8482-AAE8-4258-8A46-A25129A9E55A}"/>
    <cellStyle name="60% - Accent4 20" xfId="22767" xr:uid="{EF5CC04E-600B-4436-B72B-7F7F71669B3B}"/>
    <cellStyle name="60% - Accent4 21" xfId="24657" xr:uid="{95636872-B160-4D32-849C-31FFD46B9B44}"/>
    <cellStyle name="60% - Accent4 22" xfId="26547" xr:uid="{C6BAD58C-6A84-4BA4-ABB5-3B033F069AA2}"/>
    <cellStyle name="60% - Accent4 23" xfId="28437" xr:uid="{D77488B1-1976-4174-BBF2-F3A6855F955D}"/>
    <cellStyle name="60% - Accent4 24" xfId="30327" xr:uid="{C28FCDA0-10C2-4C6C-B244-194F3684316E}"/>
    <cellStyle name="60% - Accent4 25" xfId="32217" xr:uid="{473DB1EF-8118-43B4-ADA2-921FCE1B37DE}"/>
    <cellStyle name="60% - Accent4 26" xfId="34107" xr:uid="{88FF2727-6D22-48EB-BDE3-CFC87B3D226B}"/>
    <cellStyle name="60% - Accent4 27" xfId="35997" xr:uid="{A957420B-5774-489A-BAD1-6066BFDEBF2A}"/>
    <cellStyle name="60% - Accent4 28" xfId="37887" xr:uid="{91D1C0B1-69DF-4FAC-A083-540683076016}"/>
    <cellStyle name="60% - Accent4 29" xfId="39778" xr:uid="{746A750B-00E4-41B4-A8F1-D425C264ECF5}"/>
    <cellStyle name="60% - Accent4 3" xfId="129" xr:uid="{11386AE9-0786-4476-BF01-FD655B87D02D}"/>
    <cellStyle name="60% - Accent4 3 10" xfId="7689" xr:uid="{C39D6AB6-7AD9-442C-9B37-21A2B636CAB6}"/>
    <cellStyle name="60% - Accent4 3 11" xfId="9579" xr:uid="{0FA49896-F575-430D-A1CB-6113CB27C4E8}"/>
    <cellStyle name="60% - Accent4 3 12" xfId="11469" xr:uid="{690329C7-892E-4AFB-AC24-EA1E691190CF}"/>
    <cellStyle name="60% - Accent4 3 13" xfId="13359" xr:uid="{14B70554-B21B-4378-81A9-38FB9AE9B14F}"/>
    <cellStyle name="60% - Accent4 3 14" xfId="15249" xr:uid="{3201EE18-9681-4263-90D1-72B6FF21D93B}"/>
    <cellStyle name="60% - Accent4 3 15" xfId="17139" xr:uid="{B72F5DE3-15F5-49D3-BF47-47AAE03B4E96}"/>
    <cellStyle name="60% - Accent4 3 16" xfId="19029" xr:uid="{C5863B72-5335-4830-BF5A-789FEBDC8597}"/>
    <cellStyle name="60% - Accent4 3 17" xfId="20919" xr:uid="{3A91575B-CD0A-416C-A2C3-3C99E37B9D4C}"/>
    <cellStyle name="60% - Accent4 3 18" xfId="22809" xr:uid="{3E92BCA2-F28B-4354-ACA6-BDD8DA5CFE6C}"/>
    <cellStyle name="60% - Accent4 3 19" xfId="24699" xr:uid="{B4B2A570-E837-4EF7-9DA5-E815368D29BA}"/>
    <cellStyle name="60% - Accent4 3 2" xfId="234" xr:uid="{C97BDE88-5852-405E-8B4E-C9EBA294E5DD}"/>
    <cellStyle name="60% - Accent4 3 2 10" xfId="9684" xr:uid="{EB5AD497-6EDC-4635-A009-D03D93563735}"/>
    <cellStyle name="60% - Accent4 3 2 11" xfId="11574" xr:uid="{090987E4-425E-4F60-B400-0BC9BDB919E6}"/>
    <cellStyle name="60% - Accent4 3 2 12" xfId="13464" xr:uid="{2069456B-EAD1-41F3-A459-267FE832EA43}"/>
    <cellStyle name="60% - Accent4 3 2 13" xfId="15354" xr:uid="{0B6B8274-69C4-4A32-BA67-49F721F4AA00}"/>
    <cellStyle name="60% - Accent4 3 2 14" xfId="17244" xr:uid="{EDEB882D-B258-4FDD-889B-48DAC76B89F6}"/>
    <cellStyle name="60% - Accent4 3 2 15" xfId="19134" xr:uid="{E921F1AE-75FB-4F91-9976-BF02AB882DB7}"/>
    <cellStyle name="60% - Accent4 3 2 16" xfId="21024" xr:uid="{726C1293-C447-48B9-BDFF-9D98A26E0C23}"/>
    <cellStyle name="60% - Accent4 3 2 17" xfId="22914" xr:uid="{CC1F9677-20F3-4F62-A12C-CE4019F5E133}"/>
    <cellStyle name="60% - Accent4 3 2 18" xfId="24804" xr:uid="{45C17C25-1E53-4C15-B19D-80F542FBF6B7}"/>
    <cellStyle name="60% - Accent4 3 2 19" xfId="26694" xr:uid="{D075A5BA-BE21-4746-A87C-78823DA78B0B}"/>
    <cellStyle name="60% - Accent4 3 2 2" xfId="444" xr:uid="{96815E0D-54EC-4EDE-849E-DFA96DB1E507}"/>
    <cellStyle name="60% - Accent4 3 2 2 10" xfId="13674" xr:uid="{B4B926E3-554F-4CDB-A122-D2DAAA6D5109}"/>
    <cellStyle name="60% - Accent4 3 2 2 11" xfId="15564" xr:uid="{290B384B-92EC-4357-855D-74455B3C2370}"/>
    <cellStyle name="60% - Accent4 3 2 2 12" xfId="17454" xr:uid="{4ADC47ED-6DD3-4C6F-9EB0-BDB12C9D58EF}"/>
    <cellStyle name="60% - Accent4 3 2 2 13" xfId="19344" xr:uid="{B1CFC879-1E22-4EF1-8FE8-217D061D850E}"/>
    <cellStyle name="60% - Accent4 3 2 2 14" xfId="21234" xr:uid="{E10E3E85-C7F2-4E6A-9269-69353349DFAA}"/>
    <cellStyle name="60% - Accent4 3 2 2 15" xfId="23124" xr:uid="{C95838CA-25EC-4A40-AE16-DFB82C12DA5F}"/>
    <cellStyle name="60% - Accent4 3 2 2 16" xfId="25014" xr:uid="{D00B139A-FEEE-4B8E-ACCD-ED8050C35DEB}"/>
    <cellStyle name="60% - Accent4 3 2 2 17" xfId="26904" xr:uid="{D29C69FF-81C8-43FB-9873-14398DB051B7}"/>
    <cellStyle name="60% - Accent4 3 2 2 18" xfId="28794" xr:uid="{458497DA-1FDE-4F55-8B6A-201820862C27}"/>
    <cellStyle name="60% - Accent4 3 2 2 19" xfId="30684" xr:uid="{EDE9561B-68F9-4B0D-A157-98962BC3C8D0}"/>
    <cellStyle name="60% - Accent4 3 2 2 2" xfId="1074" xr:uid="{531D1CFD-2E23-489B-AFCF-596948165B1C}"/>
    <cellStyle name="60% - Accent4 3 2 2 2 10" xfId="18084" xr:uid="{44BA34BB-3829-45D5-B17A-AFEA1F33E8A2}"/>
    <cellStyle name="60% - Accent4 3 2 2 2 11" xfId="19974" xr:uid="{640F6131-CBA9-4C06-BC9F-125BE1854A4A}"/>
    <cellStyle name="60% - Accent4 3 2 2 2 12" xfId="21864" xr:uid="{B70E2A57-20BE-4BED-91F9-CB7AF4E74827}"/>
    <cellStyle name="60% - Accent4 3 2 2 2 13" xfId="23754" xr:uid="{21DA0D81-EACC-4D85-8E60-11A2FE372102}"/>
    <cellStyle name="60% - Accent4 3 2 2 2 14" xfId="25644" xr:uid="{2585EE14-9262-4186-AF68-A9DFFC09AB29}"/>
    <cellStyle name="60% - Accent4 3 2 2 2 15" xfId="27534" xr:uid="{14F1685A-8640-404D-B541-90A4D18422F9}"/>
    <cellStyle name="60% - Accent4 3 2 2 2 16" xfId="29424" xr:uid="{C95C2AC0-F03D-4302-B83C-AC48AE30928E}"/>
    <cellStyle name="60% - Accent4 3 2 2 2 17" xfId="31314" xr:uid="{004891D0-35D7-4C6D-8604-C2907F511DA6}"/>
    <cellStyle name="60% - Accent4 3 2 2 2 18" xfId="33204" xr:uid="{AEB2251D-66D2-4D39-84BE-9AF1501BC335}"/>
    <cellStyle name="60% - Accent4 3 2 2 2 19" xfId="35094" xr:uid="{D479939B-6F5E-4190-B495-38B4DBFB6A56}"/>
    <cellStyle name="60% - Accent4 3 2 2 2 2" xfId="2964" xr:uid="{13B1191A-6C91-4E30-B199-C26986E76E6D}"/>
    <cellStyle name="60% - Accent4 3 2 2 2 20" xfId="36984" xr:uid="{A1E13545-7B27-4DA6-AA71-03A29238184D}"/>
    <cellStyle name="60% - Accent4 3 2 2 2 21" xfId="38874" xr:uid="{60D04AC3-F154-4FB9-B5B1-4B543F3F8110}"/>
    <cellStyle name="60% - Accent4 3 2 2 2 22" xfId="40765" xr:uid="{9881CBDF-ED13-4933-8B68-3EF5FCE86C91}"/>
    <cellStyle name="60% - Accent4 3 2 2 2 3" xfId="4854" xr:uid="{FCC5DC19-129B-4F41-843D-00F04F91CE73}"/>
    <cellStyle name="60% - Accent4 3 2 2 2 4" xfId="6744" xr:uid="{D20E17AE-3E6A-4303-83C0-739FA4518E02}"/>
    <cellStyle name="60% - Accent4 3 2 2 2 5" xfId="8634" xr:uid="{09B9F536-7364-4973-8E89-ED8AF5EDE067}"/>
    <cellStyle name="60% - Accent4 3 2 2 2 6" xfId="10524" xr:uid="{F31DDBF0-CB22-4505-9F0A-E816F9EB1770}"/>
    <cellStyle name="60% - Accent4 3 2 2 2 7" xfId="12414" xr:uid="{915C82C4-1978-473E-A9A2-31C5A7E08366}"/>
    <cellStyle name="60% - Accent4 3 2 2 2 8" xfId="14304" xr:uid="{2D9CD4F5-EE76-45F1-A54C-84E3E28285CF}"/>
    <cellStyle name="60% - Accent4 3 2 2 2 9" xfId="16194" xr:uid="{BDF9B37D-5BB8-4BC4-95B1-43DA72277A1F}"/>
    <cellStyle name="60% - Accent4 3 2 2 20" xfId="32574" xr:uid="{1F328EE0-641B-471E-86CF-81ED126EDBE7}"/>
    <cellStyle name="60% - Accent4 3 2 2 21" xfId="34464" xr:uid="{B7F14746-9B39-45FE-8F0F-F654B54B5E55}"/>
    <cellStyle name="60% - Accent4 3 2 2 22" xfId="36354" xr:uid="{E2F543AC-E67B-4733-AF83-454A61A3C1B2}"/>
    <cellStyle name="60% - Accent4 3 2 2 23" xfId="38244" xr:uid="{F8CB5E2B-D92F-4479-B176-684E927FC7DC}"/>
    <cellStyle name="60% - Accent4 3 2 2 24" xfId="40135" xr:uid="{3038A8F9-A735-4504-BC5B-69EE1CD1CA43}"/>
    <cellStyle name="60% - Accent4 3 2 2 3" xfId="1704" xr:uid="{3DF6E915-B4F9-4D32-97DF-264E8904B679}"/>
    <cellStyle name="60% - Accent4 3 2 2 3 10" xfId="18714" xr:uid="{6E7E1334-2876-4EEB-9127-321FB12E07D2}"/>
    <cellStyle name="60% - Accent4 3 2 2 3 11" xfId="20604" xr:uid="{68DBAF61-F121-4E1C-A39F-3058902A424A}"/>
    <cellStyle name="60% - Accent4 3 2 2 3 12" xfId="22494" xr:uid="{7ED054DF-A5BB-4250-AA19-5457DC5382CC}"/>
    <cellStyle name="60% - Accent4 3 2 2 3 13" xfId="24384" xr:uid="{C764D259-F042-4174-AB9C-0C6A906788F6}"/>
    <cellStyle name="60% - Accent4 3 2 2 3 14" xfId="26274" xr:uid="{5149B97F-35D7-43B0-A279-F99C3B24B11A}"/>
    <cellStyle name="60% - Accent4 3 2 2 3 15" xfId="28164" xr:uid="{93D466E5-7A2E-4F3F-BCCA-3447D8997DB2}"/>
    <cellStyle name="60% - Accent4 3 2 2 3 16" xfId="30054" xr:uid="{5B9C53DF-3B55-421C-8AC4-3CF7C287F27F}"/>
    <cellStyle name="60% - Accent4 3 2 2 3 17" xfId="31944" xr:uid="{942F147E-4312-4C1E-88A8-8008D2DFD274}"/>
    <cellStyle name="60% - Accent4 3 2 2 3 18" xfId="33834" xr:uid="{4F58B049-7441-4256-8FBC-978D18388709}"/>
    <cellStyle name="60% - Accent4 3 2 2 3 19" xfId="35724" xr:uid="{CB04DB00-FB0E-4A53-B7C8-D07693465169}"/>
    <cellStyle name="60% - Accent4 3 2 2 3 2" xfId="3594" xr:uid="{157CF4B7-BC07-4DAF-9DAC-24D44BC7B641}"/>
    <cellStyle name="60% - Accent4 3 2 2 3 20" xfId="37614" xr:uid="{60D4A4B0-6ADA-4627-B37B-EDEBC84E8867}"/>
    <cellStyle name="60% - Accent4 3 2 2 3 21" xfId="39504" xr:uid="{952A1043-7141-40F4-98F5-E9F1922B6D5F}"/>
    <cellStyle name="60% - Accent4 3 2 2 3 22" xfId="41395" xr:uid="{2F464A25-2D27-45E2-A86C-E13099519871}"/>
    <cellStyle name="60% - Accent4 3 2 2 3 3" xfId="5484" xr:uid="{4B69E5E4-E230-496E-A3D8-8A6FAE9879CC}"/>
    <cellStyle name="60% - Accent4 3 2 2 3 4" xfId="7374" xr:uid="{E6145F67-D773-47AC-B581-BE9C3A254F00}"/>
    <cellStyle name="60% - Accent4 3 2 2 3 5" xfId="9264" xr:uid="{CA60CAD4-C8D3-45D1-AE42-2AAAD43014BD}"/>
    <cellStyle name="60% - Accent4 3 2 2 3 6" xfId="11154" xr:uid="{D711D66E-DE6B-4889-90AF-4082D8A60B1A}"/>
    <cellStyle name="60% - Accent4 3 2 2 3 7" xfId="13044" xr:uid="{961C0FC0-4510-4851-817A-AA615C0FFDBB}"/>
    <cellStyle name="60% - Accent4 3 2 2 3 8" xfId="14934" xr:uid="{2E1686CD-D228-4159-ABE9-E759EAC29C83}"/>
    <cellStyle name="60% - Accent4 3 2 2 3 9" xfId="16824" xr:uid="{8F5309F7-6168-4545-9ECC-EB56C5E1E890}"/>
    <cellStyle name="60% - Accent4 3 2 2 4" xfId="2334" xr:uid="{47C8683D-9538-4894-B442-5C51DB63DA77}"/>
    <cellStyle name="60% - Accent4 3 2 2 5" xfId="4224" xr:uid="{D5F193A9-426B-4FCE-8428-64A68F1FF1E4}"/>
    <cellStyle name="60% - Accent4 3 2 2 6" xfId="6114" xr:uid="{E7758A35-E10D-413C-9AA4-5D1B37FD4546}"/>
    <cellStyle name="60% - Accent4 3 2 2 7" xfId="8004" xr:uid="{D60AE1A2-50F6-4677-B325-3525E7E9FE80}"/>
    <cellStyle name="60% - Accent4 3 2 2 8" xfId="9894" xr:uid="{3C612666-5496-485C-A552-254DDC6DF268}"/>
    <cellStyle name="60% - Accent4 3 2 2 9" xfId="11784" xr:uid="{C29F55F6-371F-4893-AE48-BAB004E0FEAF}"/>
    <cellStyle name="60% - Accent4 3 2 20" xfId="28584" xr:uid="{6EFDCEFA-9797-4704-8AC8-202D15B615BC}"/>
    <cellStyle name="60% - Accent4 3 2 21" xfId="30474" xr:uid="{0BA6C0A3-BDF7-4562-A5DB-84637BD7CA6F}"/>
    <cellStyle name="60% - Accent4 3 2 22" xfId="32364" xr:uid="{6879E222-F258-462D-B54E-FA5985F1A76B}"/>
    <cellStyle name="60% - Accent4 3 2 23" xfId="34254" xr:uid="{35E93B6A-76DC-492E-891C-8EF2EF88E130}"/>
    <cellStyle name="60% - Accent4 3 2 24" xfId="36144" xr:uid="{968704C6-AE50-49DE-A1F4-BCBA13126B73}"/>
    <cellStyle name="60% - Accent4 3 2 25" xfId="38034" xr:uid="{53A004AB-11A9-4B45-8AE9-76524854258A}"/>
    <cellStyle name="60% - Accent4 3 2 26" xfId="39925" xr:uid="{6B3C1CD8-E5DA-4994-87EA-DDF4D4463DD2}"/>
    <cellStyle name="60% - Accent4 3 2 3" xfId="654" xr:uid="{99A6F1E2-F689-489E-B5BF-D827DD211962}"/>
    <cellStyle name="60% - Accent4 3 2 3 10" xfId="13884" xr:uid="{9F3DE622-2FDB-43BA-A9C6-CAE0AB4D1241}"/>
    <cellStyle name="60% - Accent4 3 2 3 11" xfId="15774" xr:uid="{1B80463E-9D8E-4CE1-AA26-7CC3FF77C6C9}"/>
    <cellStyle name="60% - Accent4 3 2 3 12" xfId="17664" xr:uid="{56E6A0D9-2EEE-4ABF-9799-B75640A6B60A}"/>
    <cellStyle name="60% - Accent4 3 2 3 13" xfId="19554" xr:uid="{C087CA0D-CE24-408A-9DDD-70960027ADB7}"/>
    <cellStyle name="60% - Accent4 3 2 3 14" xfId="21444" xr:uid="{31A03890-4799-4346-A6CF-22C27B3AE53D}"/>
    <cellStyle name="60% - Accent4 3 2 3 15" xfId="23334" xr:uid="{2D666CC5-A7B5-4CD6-85BA-0400435D932A}"/>
    <cellStyle name="60% - Accent4 3 2 3 16" xfId="25224" xr:uid="{4D7DE8AB-605C-4A03-9C2E-BB622CA1255A}"/>
    <cellStyle name="60% - Accent4 3 2 3 17" xfId="27114" xr:uid="{07D8C8C4-4C89-4314-B19B-E0313B94E120}"/>
    <cellStyle name="60% - Accent4 3 2 3 18" xfId="29004" xr:uid="{450F1974-9C1A-4117-B0FC-15DC3FA37C82}"/>
    <cellStyle name="60% - Accent4 3 2 3 19" xfId="30894" xr:uid="{2626047E-8E80-4789-BB1D-50683E1A17EE}"/>
    <cellStyle name="60% - Accent4 3 2 3 2" xfId="1284" xr:uid="{59858F65-8B73-499D-842E-456E0DB8A264}"/>
    <cellStyle name="60% - Accent4 3 2 3 2 10" xfId="18294" xr:uid="{E40A1603-4F10-422C-98B1-2820448D8A78}"/>
    <cellStyle name="60% - Accent4 3 2 3 2 11" xfId="20184" xr:uid="{269BA951-FD9A-420D-9371-BD1BE70F8935}"/>
    <cellStyle name="60% - Accent4 3 2 3 2 12" xfId="22074" xr:uid="{C15B7732-015C-4AF1-AC36-5A8E796BFCF2}"/>
    <cellStyle name="60% - Accent4 3 2 3 2 13" xfId="23964" xr:uid="{24A17569-2EC0-49E2-9087-5F0B87D76AC2}"/>
    <cellStyle name="60% - Accent4 3 2 3 2 14" xfId="25854" xr:uid="{E5190AB3-ECF1-4232-94FF-93EEF7D86C8B}"/>
    <cellStyle name="60% - Accent4 3 2 3 2 15" xfId="27744" xr:uid="{2EE6BD52-82A0-4AC3-A022-1C5FD248BBE0}"/>
    <cellStyle name="60% - Accent4 3 2 3 2 16" xfId="29634" xr:uid="{BB9A1ADB-CBC0-4822-BCAB-D8485BA553F0}"/>
    <cellStyle name="60% - Accent4 3 2 3 2 17" xfId="31524" xr:uid="{7F671601-536F-4054-AA78-219914195946}"/>
    <cellStyle name="60% - Accent4 3 2 3 2 18" xfId="33414" xr:uid="{52B3550A-2F37-4C83-86DC-32521F799CE2}"/>
    <cellStyle name="60% - Accent4 3 2 3 2 19" xfId="35304" xr:uid="{8E89E1EC-EDA1-4EED-B70A-DE177223178E}"/>
    <cellStyle name="60% - Accent4 3 2 3 2 2" xfId="3174" xr:uid="{AE95FC51-585F-4759-8319-18909478D7AE}"/>
    <cellStyle name="60% - Accent4 3 2 3 2 20" xfId="37194" xr:uid="{2C1B0025-22EB-4F43-8B3B-983546A7A806}"/>
    <cellStyle name="60% - Accent4 3 2 3 2 21" xfId="39084" xr:uid="{8ECDAB17-5486-4D92-B5DE-D19C0A102D02}"/>
    <cellStyle name="60% - Accent4 3 2 3 2 22" xfId="40975" xr:uid="{4700FA38-4244-4344-BA0B-93A556727AE9}"/>
    <cellStyle name="60% - Accent4 3 2 3 2 3" xfId="5064" xr:uid="{D430948C-02B1-4ED7-8328-00A4B5609CBD}"/>
    <cellStyle name="60% - Accent4 3 2 3 2 4" xfId="6954" xr:uid="{AE5896AE-2465-4403-9F66-60BDD043E168}"/>
    <cellStyle name="60% - Accent4 3 2 3 2 5" xfId="8844" xr:uid="{41F8FACA-F8AB-4052-81D8-CCA0562B782E}"/>
    <cellStyle name="60% - Accent4 3 2 3 2 6" xfId="10734" xr:uid="{287E13F2-3565-4342-B1B6-FF98CE01A455}"/>
    <cellStyle name="60% - Accent4 3 2 3 2 7" xfId="12624" xr:uid="{0D1CBDE9-A88F-4F1D-98F8-EAACEFF46A2F}"/>
    <cellStyle name="60% - Accent4 3 2 3 2 8" xfId="14514" xr:uid="{EAA9662C-2751-4F7C-B621-5B08587288D9}"/>
    <cellStyle name="60% - Accent4 3 2 3 2 9" xfId="16404" xr:uid="{75684A9B-88E9-4380-802A-BF0C4D3BD808}"/>
    <cellStyle name="60% - Accent4 3 2 3 20" xfId="32784" xr:uid="{070C20B5-289D-4976-9424-1FA2A34FD3AC}"/>
    <cellStyle name="60% - Accent4 3 2 3 21" xfId="34674" xr:uid="{0579B0B5-3B1D-4710-A216-CBEC3928A3F6}"/>
    <cellStyle name="60% - Accent4 3 2 3 22" xfId="36564" xr:uid="{6C19ADF2-1101-45B1-9159-ED0C146160E4}"/>
    <cellStyle name="60% - Accent4 3 2 3 23" xfId="38454" xr:uid="{91CCF221-9F5A-4AC8-B3EB-2985305A1F85}"/>
    <cellStyle name="60% - Accent4 3 2 3 24" xfId="40345" xr:uid="{A2B07957-0019-421C-B927-E9A205AE5C42}"/>
    <cellStyle name="60% - Accent4 3 2 3 3" xfId="1914" xr:uid="{606EDE2A-BF85-4213-86B7-E8C281168AB5}"/>
    <cellStyle name="60% - Accent4 3 2 3 3 10" xfId="18924" xr:uid="{26C8F22F-4168-450A-A362-1837F4017B2A}"/>
    <cellStyle name="60% - Accent4 3 2 3 3 11" xfId="20814" xr:uid="{36FFAF8D-B222-4D26-A943-4CBEDD845163}"/>
    <cellStyle name="60% - Accent4 3 2 3 3 12" xfId="22704" xr:uid="{3BAEE7A3-EA48-42D0-9BE7-EAD9D39405F2}"/>
    <cellStyle name="60% - Accent4 3 2 3 3 13" xfId="24594" xr:uid="{9002A5B8-0947-4C74-B3AE-A847F106A27A}"/>
    <cellStyle name="60% - Accent4 3 2 3 3 14" xfId="26484" xr:uid="{38C22CE2-1C7D-43B8-B381-A2DEB3977B3F}"/>
    <cellStyle name="60% - Accent4 3 2 3 3 15" xfId="28374" xr:uid="{D1480DDB-11D3-4CB8-B917-C22F005C2749}"/>
    <cellStyle name="60% - Accent4 3 2 3 3 16" xfId="30264" xr:uid="{C7CB86E4-4F6F-4589-9563-6C986AC27FAB}"/>
    <cellStyle name="60% - Accent4 3 2 3 3 17" xfId="32154" xr:uid="{5A0A46B7-65ED-485C-9DBE-74F61E3C8770}"/>
    <cellStyle name="60% - Accent4 3 2 3 3 18" xfId="34044" xr:uid="{82407132-93A6-4FA3-9951-3AD38E727929}"/>
    <cellStyle name="60% - Accent4 3 2 3 3 19" xfId="35934" xr:uid="{FF7D8D51-4233-42F1-B66E-1474038BB281}"/>
    <cellStyle name="60% - Accent4 3 2 3 3 2" xfId="3804" xr:uid="{6066CCD4-E0E6-48E0-A42B-1D328F4EF0D8}"/>
    <cellStyle name="60% - Accent4 3 2 3 3 20" xfId="37824" xr:uid="{D105035F-7629-4E50-AE68-9EA3B083B8EF}"/>
    <cellStyle name="60% - Accent4 3 2 3 3 21" xfId="39714" xr:uid="{7DEC758D-0F07-43DC-9CC6-750F56DCC421}"/>
    <cellStyle name="60% - Accent4 3 2 3 3 22" xfId="41605" xr:uid="{92637A34-AD4F-4441-8CFC-F05E3DBF83BF}"/>
    <cellStyle name="60% - Accent4 3 2 3 3 3" xfId="5694" xr:uid="{F9BB4BEE-ECAF-41E0-B7A4-20CE6776B438}"/>
    <cellStyle name="60% - Accent4 3 2 3 3 4" xfId="7584" xr:uid="{5420EF92-440D-4101-9C1E-1894A8FAD0C8}"/>
    <cellStyle name="60% - Accent4 3 2 3 3 5" xfId="9474" xr:uid="{2632A399-35A4-4091-B42A-11676E1105D0}"/>
    <cellStyle name="60% - Accent4 3 2 3 3 6" xfId="11364" xr:uid="{DA42DC8F-DC94-4D30-8BD0-C10011CC6975}"/>
    <cellStyle name="60% - Accent4 3 2 3 3 7" xfId="13254" xr:uid="{DD7AE21F-4008-4E8B-B100-B318BA0C1BBF}"/>
    <cellStyle name="60% - Accent4 3 2 3 3 8" xfId="15144" xr:uid="{F2E9119F-5906-427C-954F-FE99F4E8281C}"/>
    <cellStyle name="60% - Accent4 3 2 3 3 9" xfId="17034" xr:uid="{9653E57E-D9D6-4AD5-982B-3AB9CCAA8878}"/>
    <cellStyle name="60% - Accent4 3 2 3 4" xfId="2544" xr:uid="{60D773F9-12AD-4F61-BB8A-1AD945A076BB}"/>
    <cellStyle name="60% - Accent4 3 2 3 5" xfId="4434" xr:uid="{30531A04-A6DA-47A7-B349-C713A08E0B62}"/>
    <cellStyle name="60% - Accent4 3 2 3 6" xfId="6324" xr:uid="{B926346A-F617-4500-BC19-BBFC4FD971CD}"/>
    <cellStyle name="60% - Accent4 3 2 3 7" xfId="8214" xr:uid="{2AC01711-9AF7-4376-A451-3205E6DA5AD6}"/>
    <cellStyle name="60% - Accent4 3 2 3 8" xfId="10104" xr:uid="{6FD2AF36-FF5D-419D-97DF-148E219F0F68}"/>
    <cellStyle name="60% - Accent4 3 2 3 9" xfId="11994" xr:uid="{B9EBBCF3-225E-4A19-822F-D8578F832F7F}"/>
    <cellStyle name="60% - Accent4 3 2 4" xfId="864" xr:uid="{3D056F4B-E32C-4985-9893-9952C862ADC4}"/>
    <cellStyle name="60% - Accent4 3 2 4 10" xfId="17874" xr:uid="{74E91F42-A0C6-499F-9C5C-FA611B7B6F15}"/>
    <cellStyle name="60% - Accent4 3 2 4 11" xfId="19764" xr:uid="{BDDADB6F-3CBC-4207-BB7A-BCAD675EAE50}"/>
    <cellStyle name="60% - Accent4 3 2 4 12" xfId="21654" xr:uid="{E40227B7-B4EC-4345-AC09-6F734832165F}"/>
    <cellStyle name="60% - Accent4 3 2 4 13" xfId="23544" xr:uid="{B11F17DF-1573-4567-8C1C-4D9A1CB7062B}"/>
    <cellStyle name="60% - Accent4 3 2 4 14" xfId="25434" xr:uid="{85361E9F-09C7-405D-AA57-A7148F0E63E4}"/>
    <cellStyle name="60% - Accent4 3 2 4 15" xfId="27324" xr:uid="{E2C3C99B-D34C-40E3-9541-E758965F4848}"/>
    <cellStyle name="60% - Accent4 3 2 4 16" xfId="29214" xr:uid="{F8E08860-5EEF-4713-AA8E-76DA6ADB7602}"/>
    <cellStyle name="60% - Accent4 3 2 4 17" xfId="31104" xr:uid="{97246B5D-1C1A-4E04-BD68-E932540DF4B7}"/>
    <cellStyle name="60% - Accent4 3 2 4 18" xfId="32994" xr:uid="{0B634264-075C-46AE-AA12-D1F6032BAC8E}"/>
    <cellStyle name="60% - Accent4 3 2 4 19" xfId="34884" xr:uid="{1EFB9E49-1173-4267-905E-A9877CFD4560}"/>
    <cellStyle name="60% - Accent4 3 2 4 2" xfId="2754" xr:uid="{7B2CC803-CA5C-439E-96CE-16E0D1F5B1C8}"/>
    <cellStyle name="60% - Accent4 3 2 4 20" xfId="36774" xr:uid="{6A156188-E90D-437A-BCF3-576DDACD0CAC}"/>
    <cellStyle name="60% - Accent4 3 2 4 21" xfId="38664" xr:uid="{F05F0322-AEAB-4FBD-837D-68706593A5E4}"/>
    <cellStyle name="60% - Accent4 3 2 4 22" xfId="40555" xr:uid="{88304D07-89D6-4B9A-AFEC-A9D8084EB666}"/>
    <cellStyle name="60% - Accent4 3 2 4 3" xfId="4644" xr:uid="{FAF7497A-DBF0-491B-801C-B21CAFF5B1E2}"/>
    <cellStyle name="60% - Accent4 3 2 4 4" xfId="6534" xr:uid="{E6C8D325-A134-47EB-A663-947DEDA9BB54}"/>
    <cellStyle name="60% - Accent4 3 2 4 5" xfId="8424" xr:uid="{B275B267-E5EC-494D-BA32-6431EE448AF3}"/>
    <cellStyle name="60% - Accent4 3 2 4 6" xfId="10314" xr:uid="{5B528382-E4AE-4A11-A089-C817BC4EA14C}"/>
    <cellStyle name="60% - Accent4 3 2 4 7" xfId="12204" xr:uid="{1E124186-60DF-4785-B5DA-01EE70262253}"/>
    <cellStyle name="60% - Accent4 3 2 4 8" xfId="14094" xr:uid="{7254A961-B92C-4723-8A5E-EFE4454C8FA6}"/>
    <cellStyle name="60% - Accent4 3 2 4 9" xfId="15984" xr:uid="{56127111-B5F6-4C1C-AB59-B103680185A2}"/>
    <cellStyle name="60% - Accent4 3 2 5" xfId="1494" xr:uid="{4808B179-B9ED-4320-B9E6-EC589FB7E72F}"/>
    <cellStyle name="60% - Accent4 3 2 5 10" xfId="18504" xr:uid="{859E904B-D6D2-4C30-B08B-B61095C6E97B}"/>
    <cellStyle name="60% - Accent4 3 2 5 11" xfId="20394" xr:uid="{15554AD8-BD91-45E3-A78E-E97D4F197427}"/>
    <cellStyle name="60% - Accent4 3 2 5 12" xfId="22284" xr:uid="{87DA6E0C-05D8-4BCA-A480-4EAF916F8D81}"/>
    <cellStyle name="60% - Accent4 3 2 5 13" xfId="24174" xr:uid="{AAA564F9-EF9B-468F-AD5F-C5354148F58D}"/>
    <cellStyle name="60% - Accent4 3 2 5 14" xfId="26064" xr:uid="{C97C1417-D7FF-4AB8-B145-EF1710018876}"/>
    <cellStyle name="60% - Accent4 3 2 5 15" xfId="27954" xr:uid="{6F9BF612-8560-4913-81F7-9D241EC4E71E}"/>
    <cellStyle name="60% - Accent4 3 2 5 16" xfId="29844" xr:uid="{DA03393B-2E6D-4BDD-A9BE-432D0E9B4BCF}"/>
    <cellStyle name="60% - Accent4 3 2 5 17" xfId="31734" xr:uid="{B2579F16-EA65-4EC2-8BEF-4E71E8916558}"/>
    <cellStyle name="60% - Accent4 3 2 5 18" xfId="33624" xr:uid="{247BA542-D645-45E3-A6ED-5CEB1745324A}"/>
    <cellStyle name="60% - Accent4 3 2 5 19" xfId="35514" xr:uid="{79072BD1-EF07-4506-8028-3C9EC4FDD839}"/>
    <cellStyle name="60% - Accent4 3 2 5 2" xfId="3384" xr:uid="{0CF3CE8D-B928-43FA-9DA9-12301543E6D7}"/>
    <cellStyle name="60% - Accent4 3 2 5 20" xfId="37404" xr:uid="{E2B16AB2-0EBB-4C9C-BB5D-4CE88A1AECE2}"/>
    <cellStyle name="60% - Accent4 3 2 5 21" xfId="39294" xr:uid="{CEB117FC-CA50-4AD8-A75A-F01AC3CEC000}"/>
    <cellStyle name="60% - Accent4 3 2 5 22" xfId="41185" xr:uid="{92F811E9-C52E-4A14-B8E2-8A69C086C620}"/>
    <cellStyle name="60% - Accent4 3 2 5 3" xfId="5274" xr:uid="{59FA69DC-7F1C-43B9-8B4E-5504BA603B5D}"/>
    <cellStyle name="60% - Accent4 3 2 5 4" xfId="7164" xr:uid="{74103E2F-F300-46AE-A84A-D7FDC7DF7C5D}"/>
    <cellStyle name="60% - Accent4 3 2 5 5" xfId="9054" xr:uid="{A7FA9FCA-D2FE-4960-B2B4-37DB87F192DE}"/>
    <cellStyle name="60% - Accent4 3 2 5 6" xfId="10944" xr:uid="{FAB2FE85-3DDD-4E9D-B7C0-E0D884C86518}"/>
    <cellStyle name="60% - Accent4 3 2 5 7" xfId="12834" xr:uid="{98F1881F-ED32-4F14-BCC5-C8965FFC8239}"/>
    <cellStyle name="60% - Accent4 3 2 5 8" xfId="14724" xr:uid="{F4B73DA4-E2BF-4079-8325-CDD1FE2A55C2}"/>
    <cellStyle name="60% - Accent4 3 2 5 9" xfId="16614" xr:uid="{3297A309-E67F-4E0B-A781-A41998214342}"/>
    <cellStyle name="60% - Accent4 3 2 6" xfId="2124" xr:uid="{D4BBCDFF-87CA-4870-940C-B593BB305E49}"/>
    <cellStyle name="60% - Accent4 3 2 7" xfId="4014" xr:uid="{B823C6BD-090F-4105-B165-31D4234AACDD}"/>
    <cellStyle name="60% - Accent4 3 2 8" xfId="5904" xr:uid="{C346B3B0-0EFE-4BA0-8960-67485508E0AC}"/>
    <cellStyle name="60% - Accent4 3 2 9" xfId="7794" xr:uid="{94332E0E-26EA-40B5-A7FB-C1A0896EFCB2}"/>
    <cellStyle name="60% - Accent4 3 20" xfId="26589" xr:uid="{AE8B4E14-ED23-4CF6-8C5F-87D6AA19CAD1}"/>
    <cellStyle name="60% - Accent4 3 21" xfId="28479" xr:uid="{2092A75F-A19F-483A-A38B-AD0FCEC7EF18}"/>
    <cellStyle name="60% - Accent4 3 22" xfId="30369" xr:uid="{47C82E4F-CF95-44CD-9C1C-287A085BDE6D}"/>
    <cellStyle name="60% - Accent4 3 23" xfId="32259" xr:uid="{A15C0367-AB8D-4655-A54B-BF4A2325F711}"/>
    <cellStyle name="60% - Accent4 3 24" xfId="34149" xr:uid="{796CEECF-03EB-4CC6-9E17-141856C8343E}"/>
    <cellStyle name="60% - Accent4 3 25" xfId="36039" xr:uid="{5D1666A0-90E4-49DC-B079-9288E695BDD1}"/>
    <cellStyle name="60% - Accent4 3 26" xfId="37929" xr:uid="{D48DFE63-470F-4A00-AB56-DDCC58778FD1}"/>
    <cellStyle name="60% - Accent4 3 27" xfId="39820" xr:uid="{82425416-E919-4D64-AAA3-B9F7FB1B8673}"/>
    <cellStyle name="60% - Accent4 3 3" xfId="339" xr:uid="{393E1649-0CFE-4426-B26C-37642DB5C5DC}"/>
    <cellStyle name="60% - Accent4 3 3 10" xfId="13569" xr:uid="{06ECBC80-73D4-4171-AF92-5AA749A66329}"/>
    <cellStyle name="60% - Accent4 3 3 11" xfId="15459" xr:uid="{763B3BA8-7813-4E63-9B6A-1C777F01A88A}"/>
    <cellStyle name="60% - Accent4 3 3 12" xfId="17349" xr:uid="{E06BD890-A6B2-4C3D-BDA6-C8B7962C10AF}"/>
    <cellStyle name="60% - Accent4 3 3 13" xfId="19239" xr:uid="{E6B83E8A-3CC6-4117-BAA1-DBD2B990EBB2}"/>
    <cellStyle name="60% - Accent4 3 3 14" xfId="21129" xr:uid="{E8E9882D-DD02-4A6F-A82C-04B0A09D6CAE}"/>
    <cellStyle name="60% - Accent4 3 3 15" xfId="23019" xr:uid="{D432E16F-4BEE-4EFE-871D-5CC6A56DA280}"/>
    <cellStyle name="60% - Accent4 3 3 16" xfId="24909" xr:uid="{1BA737D9-FD0D-4CCD-9735-EC765A3F5F3A}"/>
    <cellStyle name="60% - Accent4 3 3 17" xfId="26799" xr:uid="{80A693A9-2C56-457C-AFD6-DB8C3C50B469}"/>
    <cellStyle name="60% - Accent4 3 3 18" xfId="28689" xr:uid="{89D365D1-5CA8-4D9B-83D5-AAF93B176A59}"/>
    <cellStyle name="60% - Accent4 3 3 19" xfId="30579" xr:uid="{2E2B7739-4651-4B9E-955C-888F9F58F08A}"/>
    <cellStyle name="60% - Accent4 3 3 2" xfId="969" xr:uid="{F9F94DC0-7DB7-4DBB-B155-819579BFA896}"/>
    <cellStyle name="60% - Accent4 3 3 2 10" xfId="17979" xr:uid="{A1462EA2-35DA-4B44-9847-613B189DCD5A}"/>
    <cellStyle name="60% - Accent4 3 3 2 11" xfId="19869" xr:uid="{1F559603-0E63-4E0B-A679-2FB3DBAD973F}"/>
    <cellStyle name="60% - Accent4 3 3 2 12" xfId="21759" xr:uid="{FD5FBB76-D8A7-46C2-97CF-15CE97F090ED}"/>
    <cellStyle name="60% - Accent4 3 3 2 13" xfId="23649" xr:uid="{F30625ED-EC36-4919-B206-D01E07654E29}"/>
    <cellStyle name="60% - Accent4 3 3 2 14" xfId="25539" xr:uid="{29CBA1BC-E90F-4D73-997C-6F692FEF45BB}"/>
    <cellStyle name="60% - Accent4 3 3 2 15" xfId="27429" xr:uid="{236BB256-EC14-4CE4-8DA9-BDF933C6BDB4}"/>
    <cellStyle name="60% - Accent4 3 3 2 16" xfId="29319" xr:uid="{E1F3BE85-B0DC-4CF9-B5E1-637D5C8DBA58}"/>
    <cellStyle name="60% - Accent4 3 3 2 17" xfId="31209" xr:uid="{07ACABFC-5917-49A3-B639-B1CAD1F8EB8C}"/>
    <cellStyle name="60% - Accent4 3 3 2 18" xfId="33099" xr:uid="{02B0EB3E-CE48-4630-AAC6-5148B5543A18}"/>
    <cellStyle name="60% - Accent4 3 3 2 19" xfId="34989" xr:uid="{64A29FFF-F5D5-489C-A6AA-4337B1C1E1C7}"/>
    <cellStyle name="60% - Accent4 3 3 2 2" xfId="2859" xr:uid="{5BA5B8DB-F8B0-4570-B9CD-9F6CC2E2EDBE}"/>
    <cellStyle name="60% - Accent4 3 3 2 20" xfId="36879" xr:uid="{718B7D0A-B92A-418E-B1BF-F5E8FF49A1D6}"/>
    <cellStyle name="60% - Accent4 3 3 2 21" xfId="38769" xr:uid="{83127C15-BF16-4B6C-9B61-EEAC6BA1CC6A}"/>
    <cellStyle name="60% - Accent4 3 3 2 22" xfId="40660" xr:uid="{6122B226-025C-42C8-B6AA-B59E994BF978}"/>
    <cellStyle name="60% - Accent4 3 3 2 3" xfId="4749" xr:uid="{63A03AE4-464F-4354-8075-EB5A445CE5BA}"/>
    <cellStyle name="60% - Accent4 3 3 2 4" xfId="6639" xr:uid="{693398A7-CEE8-4D55-A6A2-E3064A56367C}"/>
    <cellStyle name="60% - Accent4 3 3 2 5" xfId="8529" xr:uid="{A766F02D-33BC-490A-8C51-8E36EDBDA6F1}"/>
    <cellStyle name="60% - Accent4 3 3 2 6" xfId="10419" xr:uid="{11259EA4-7729-4375-8DB6-40C8FC111F21}"/>
    <cellStyle name="60% - Accent4 3 3 2 7" xfId="12309" xr:uid="{6288A6A1-7564-48F1-A9A0-13BBA1051121}"/>
    <cellStyle name="60% - Accent4 3 3 2 8" xfId="14199" xr:uid="{C839E177-05E2-4C8D-9B14-75C37561CA46}"/>
    <cellStyle name="60% - Accent4 3 3 2 9" xfId="16089" xr:uid="{A715BF68-E361-47FE-A848-138E81023EE1}"/>
    <cellStyle name="60% - Accent4 3 3 20" xfId="32469" xr:uid="{2D533A9C-6103-47DC-8D05-DF92EEC334CE}"/>
    <cellStyle name="60% - Accent4 3 3 21" xfId="34359" xr:uid="{946F9D54-C66F-4264-B464-35B78406D34D}"/>
    <cellStyle name="60% - Accent4 3 3 22" xfId="36249" xr:uid="{9F710DA1-B335-478E-94B3-66EAE9A0E8E1}"/>
    <cellStyle name="60% - Accent4 3 3 23" xfId="38139" xr:uid="{D9250AB4-7563-47A7-9532-1016E5F7D4EB}"/>
    <cellStyle name="60% - Accent4 3 3 24" xfId="40030" xr:uid="{37D9130A-8ACC-4AE2-8924-7C3C5C8532F8}"/>
    <cellStyle name="60% - Accent4 3 3 3" xfId="1599" xr:uid="{29520677-84C9-4BB2-9CA0-A12A5717C511}"/>
    <cellStyle name="60% - Accent4 3 3 3 10" xfId="18609" xr:uid="{ED7DA84D-D829-4183-980A-DB0304408D57}"/>
    <cellStyle name="60% - Accent4 3 3 3 11" xfId="20499" xr:uid="{811758EB-751D-48DE-9F25-C4F8391E4154}"/>
    <cellStyle name="60% - Accent4 3 3 3 12" xfId="22389" xr:uid="{179813D2-4FF1-4387-A91F-286E6226C906}"/>
    <cellStyle name="60% - Accent4 3 3 3 13" xfId="24279" xr:uid="{BAAA5F65-9CA9-49AF-88E4-85F2C7385B6B}"/>
    <cellStyle name="60% - Accent4 3 3 3 14" xfId="26169" xr:uid="{4BE721D0-35F9-47D4-84B9-B67ED3F894EB}"/>
    <cellStyle name="60% - Accent4 3 3 3 15" xfId="28059" xr:uid="{104D0BB9-FADC-4323-8CAC-CA442F0394F9}"/>
    <cellStyle name="60% - Accent4 3 3 3 16" xfId="29949" xr:uid="{07453152-4E0E-4004-B7F1-D30EB565F058}"/>
    <cellStyle name="60% - Accent4 3 3 3 17" xfId="31839" xr:uid="{07BB94B5-876E-48D2-9C6D-3D13253ACD45}"/>
    <cellStyle name="60% - Accent4 3 3 3 18" xfId="33729" xr:uid="{819FDF15-9C75-409F-A2E0-A63A8AE54146}"/>
    <cellStyle name="60% - Accent4 3 3 3 19" xfId="35619" xr:uid="{9C1F1D67-8338-437B-AC99-2DB66D2E2812}"/>
    <cellStyle name="60% - Accent4 3 3 3 2" xfId="3489" xr:uid="{854AFF50-AA50-4A3B-8AD3-88A612C3B839}"/>
    <cellStyle name="60% - Accent4 3 3 3 20" xfId="37509" xr:uid="{A4B5C96E-69C2-4981-BE62-B40E37F5D583}"/>
    <cellStyle name="60% - Accent4 3 3 3 21" xfId="39399" xr:uid="{B527DD42-BB69-4D4D-A5B9-CD5255EC09F7}"/>
    <cellStyle name="60% - Accent4 3 3 3 22" xfId="41290" xr:uid="{583DEC83-C9F6-4B6B-A1E5-67106497809E}"/>
    <cellStyle name="60% - Accent4 3 3 3 3" xfId="5379" xr:uid="{428B7612-1A86-4D4B-A26F-1F6021104C40}"/>
    <cellStyle name="60% - Accent4 3 3 3 4" xfId="7269" xr:uid="{40B16932-4FC5-48DD-B694-3A24F0EF616E}"/>
    <cellStyle name="60% - Accent4 3 3 3 5" xfId="9159" xr:uid="{44050617-C8D9-4BB1-8DC2-86F4173AAF5A}"/>
    <cellStyle name="60% - Accent4 3 3 3 6" xfId="11049" xr:uid="{1A0C707D-2933-4A2F-BC79-64054F4C0368}"/>
    <cellStyle name="60% - Accent4 3 3 3 7" xfId="12939" xr:uid="{FA888360-7DA8-42E7-AF5B-4CCA83222FB5}"/>
    <cellStyle name="60% - Accent4 3 3 3 8" xfId="14829" xr:uid="{E7807323-5102-4BFC-94D0-A515417137A6}"/>
    <cellStyle name="60% - Accent4 3 3 3 9" xfId="16719" xr:uid="{2A4A992D-C048-4AB6-A47D-18D43CB02207}"/>
    <cellStyle name="60% - Accent4 3 3 4" xfId="2229" xr:uid="{7947E4EA-E254-4905-8433-5B2AB22288BC}"/>
    <cellStyle name="60% - Accent4 3 3 5" xfId="4119" xr:uid="{B2D03B2D-7552-4C1E-A6CB-92A516AAC89E}"/>
    <cellStyle name="60% - Accent4 3 3 6" xfId="6009" xr:uid="{58225C5A-0C90-475C-AA82-71C110F137C5}"/>
    <cellStyle name="60% - Accent4 3 3 7" xfId="7899" xr:uid="{D5D5EA6F-64A9-415F-A8B7-6E21A597A803}"/>
    <cellStyle name="60% - Accent4 3 3 8" xfId="9789" xr:uid="{D31430EF-EF94-4410-9DEC-F55430855E79}"/>
    <cellStyle name="60% - Accent4 3 3 9" xfId="11679" xr:uid="{47F49638-BA06-4937-AF34-830E48116FEF}"/>
    <cellStyle name="60% - Accent4 3 4" xfId="549" xr:uid="{109861E4-003B-4E1F-9A3D-8BD3EDBEA7C8}"/>
    <cellStyle name="60% - Accent4 3 4 10" xfId="13779" xr:uid="{BAD23227-7716-4911-BE04-9EE3DD2A617B}"/>
    <cellStyle name="60% - Accent4 3 4 11" xfId="15669" xr:uid="{A9FA6E86-993B-4651-88CF-83FA89F7173C}"/>
    <cellStyle name="60% - Accent4 3 4 12" xfId="17559" xr:uid="{22CD927D-4066-4FC8-BA37-F62B07D5202A}"/>
    <cellStyle name="60% - Accent4 3 4 13" xfId="19449" xr:uid="{D18211BF-E6EB-46E1-BB21-7762BE6C2838}"/>
    <cellStyle name="60% - Accent4 3 4 14" xfId="21339" xr:uid="{ADADA7A8-1A73-4A91-BF0B-1DA518B13F63}"/>
    <cellStyle name="60% - Accent4 3 4 15" xfId="23229" xr:uid="{9EFCDD54-535A-4956-9B1D-615144EA9835}"/>
    <cellStyle name="60% - Accent4 3 4 16" xfId="25119" xr:uid="{9CE23A10-1A4C-46DF-AE9C-CE8AF660FA61}"/>
    <cellStyle name="60% - Accent4 3 4 17" xfId="27009" xr:uid="{DD3C14FA-E4D2-436F-8CCF-114DF381E136}"/>
    <cellStyle name="60% - Accent4 3 4 18" xfId="28899" xr:uid="{78B05BAD-8AFC-41FD-A257-0D1E360FA8FB}"/>
    <cellStyle name="60% - Accent4 3 4 19" xfId="30789" xr:uid="{9DA1D0D0-C210-480A-B237-02443A28E946}"/>
    <cellStyle name="60% - Accent4 3 4 2" xfId="1179" xr:uid="{EF87CD85-BC65-4300-A713-FDC4BF5505AD}"/>
    <cellStyle name="60% - Accent4 3 4 2 10" xfId="18189" xr:uid="{8D13006F-510F-4890-825D-19125959CDB6}"/>
    <cellStyle name="60% - Accent4 3 4 2 11" xfId="20079" xr:uid="{FDA75FE7-D7CA-4107-A1F5-1102552DCB7B}"/>
    <cellStyle name="60% - Accent4 3 4 2 12" xfId="21969" xr:uid="{5E19A5AB-C0C1-46BC-A148-4E5F2DC1AC00}"/>
    <cellStyle name="60% - Accent4 3 4 2 13" xfId="23859" xr:uid="{208EDDF2-991E-4796-A6E1-6D13131D962F}"/>
    <cellStyle name="60% - Accent4 3 4 2 14" xfId="25749" xr:uid="{59B24BD4-BF39-4C9C-B41D-BFA7922F64F7}"/>
    <cellStyle name="60% - Accent4 3 4 2 15" xfId="27639" xr:uid="{6F563048-5BBC-4585-B86E-D53BCC311EA0}"/>
    <cellStyle name="60% - Accent4 3 4 2 16" xfId="29529" xr:uid="{09497FCF-34F6-40EF-9F19-BFF40D60137E}"/>
    <cellStyle name="60% - Accent4 3 4 2 17" xfId="31419" xr:uid="{2DC7D177-E4CE-4C17-8586-FFA44EC2BBF1}"/>
    <cellStyle name="60% - Accent4 3 4 2 18" xfId="33309" xr:uid="{1D7A46F6-4614-413F-883D-7FB1AC011769}"/>
    <cellStyle name="60% - Accent4 3 4 2 19" xfId="35199" xr:uid="{37334B33-42A4-4DC2-9C52-2D72FBFED64D}"/>
    <cellStyle name="60% - Accent4 3 4 2 2" xfId="3069" xr:uid="{F10D18CD-07E9-4081-B0EC-5139DC2153D7}"/>
    <cellStyle name="60% - Accent4 3 4 2 20" xfId="37089" xr:uid="{D59ECD8C-74BF-4EA4-9C1D-51E2BAE47928}"/>
    <cellStyle name="60% - Accent4 3 4 2 21" xfId="38979" xr:uid="{C30D51B6-E6A0-4516-B710-29F8185EB882}"/>
    <cellStyle name="60% - Accent4 3 4 2 22" xfId="40870" xr:uid="{5269DE72-5D2E-46ED-9369-092C5626C718}"/>
    <cellStyle name="60% - Accent4 3 4 2 3" xfId="4959" xr:uid="{8F1BCCD0-AEF7-4078-A1DE-04DDABF2EF35}"/>
    <cellStyle name="60% - Accent4 3 4 2 4" xfId="6849" xr:uid="{9CC52274-6695-4A01-9532-411ABD276FDD}"/>
    <cellStyle name="60% - Accent4 3 4 2 5" xfId="8739" xr:uid="{5656C5F5-03AE-4FDC-9B69-BF18242960BD}"/>
    <cellStyle name="60% - Accent4 3 4 2 6" xfId="10629" xr:uid="{7B7DEBB4-EC09-4F10-B8CF-C438AE2FA388}"/>
    <cellStyle name="60% - Accent4 3 4 2 7" xfId="12519" xr:uid="{F2D0BF50-D810-4DD2-AD44-6F0023D5C4F4}"/>
    <cellStyle name="60% - Accent4 3 4 2 8" xfId="14409" xr:uid="{25BE5833-CED1-4CDF-9DA4-9D1D2B58A3F4}"/>
    <cellStyle name="60% - Accent4 3 4 2 9" xfId="16299" xr:uid="{8ADF8613-DBD2-4142-A208-63565134A3EC}"/>
    <cellStyle name="60% - Accent4 3 4 20" xfId="32679" xr:uid="{FE2005E7-8DA1-409D-B9C3-D7F9C2689BD0}"/>
    <cellStyle name="60% - Accent4 3 4 21" xfId="34569" xr:uid="{E2992339-C5FD-464C-AF47-299C35FFA0A7}"/>
    <cellStyle name="60% - Accent4 3 4 22" xfId="36459" xr:uid="{29475DEB-30FF-4274-A5EC-20CBE61AD277}"/>
    <cellStyle name="60% - Accent4 3 4 23" xfId="38349" xr:uid="{AD94DBD4-DD69-4571-9F7D-EB83AF5B1A2F}"/>
    <cellStyle name="60% - Accent4 3 4 24" xfId="40240" xr:uid="{BADD3E4B-48E5-4AC9-A0D7-C2B94FFF718F}"/>
    <cellStyle name="60% - Accent4 3 4 3" xfId="1809" xr:uid="{B5E13AD3-696C-47CA-947D-369F293CAE62}"/>
    <cellStyle name="60% - Accent4 3 4 3 10" xfId="18819" xr:uid="{AB3AEAB1-0350-4805-BC4F-1DCB941B7EAC}"/>
    <cellStyle name="60% - Accent4 3 4 3 11" xfId="20709" xr:uid="{A3E90350-86C7-42C5-86AE-20790B7F7802}"/>
    <cellStyle name="60% - Accent4 3 4 3 12" xfId="22599" xr:uid="{A88540AC-FF30-4EF5-ADE1-0412AB762179}"/>
    <cellStyle name="60% - Accent4 3 4 3 13" xfId="24489" xr:uid="{0AB4887B-73F9-4215-84CE-428C36708E6A}"/>
    <cellStyle name="60% - Accent4 3 4 3 14" xfId="26379" xr:uid="{0D1B636E-2F38-4CCB-BB0F-E7A26FFEE4D0}"/>
    <cellStyle name="60% - Accent4 3 4 3 15" xfId="28269" xr:uid="{632CDF2D-467D-4D53-ADBC-BA024AF4B4B6}"/>
    <cellStyle name="60% - Accent4 3 4 3 16" xfId="30159" xr:uid="{CC36252E-B1C5-45A5-91CF-CC1139647B9F}"/>
    <cellStyle name="60% - Accent4 3 4 3 17" xfId="32049" xr:uid="{3B1F84D8-9637-4E28-81A9-903CBB524515}"/>
    <cellStyle name="60% - Accent4 3 4 3 18" xfId="33939" xr:uid="{3389EE65-D837-4062-94CA-3BC4C621845A}"/>
    <cellStyle name="60% - Accent4 3 4 3 19" xfId="35829" xr:uid="{7979E7A2-DFED-4005-8A8F-060751303C2C}"/>
    <cellStyle name="60% - Accent4 3 4 3 2" xfId="3699" xr:uid="{533A83F2-7ED2-4540-B24E-D26AC2C01A7A}"/>
    <cellStyle name="60% - Accent4 3 4 3 20" xfId="37719" xr:uid="{12369275-2F5A-46DD-B93B-D14A2F5ADB19}"/>
    <cellStyle name="60% - Accent4 3 4 3 21" xfId="39609" xr:uid="{F6F27C25-21E0-4E8B-AF98-AF5BDBB91767}"/>
    <cellStyle name="60% - Accent4 3 4 3 22" xfId="41500" xr:uid="{E79CE002-CF85-44A3-AE3C-9951E340DCD8}"/>
    <cellStyle name="60% - Accent4 3 4 3 3" xfId="5589" xr:uid="{AC339022-2B98-4F01-A9AF-AD42B71F0CE6}"/>
    <cellStyle name="60% - Accent4 3 4 3 4" xfId="7479" xr:uid="{7D79DC7C-CF35-4817-AC41-B13B615B634F}"/>
    <cellStyle name="60% - Accent4 3 4 3 5" xfId="9369" xr:uid="{186A50C6-8199-4958-BE70-04A58CCE5B03}"/>
    <cellStyle name="60% - Accent4 3 4 3 6" xfId="11259" xr:uid="{63A7472A-3F07-47DE-B40D-9C576084E979}"/>
    <cellStyle name="60% - Accent4 3 4 3 7" xfId="13149" xr:uid="{1E51C3C6-E2A8-4477-B7EA-32D152521B17}"/>
    <cellStyle name="60% - Accent4 3 4 3 8" xfId="15039" xr:uid="{3C54E6E0-A3AD-4830-B42C-64628CE262E0}"/>
    <cellStyle name="60% - Accent4 3 4 3 9" xfId="16929" xr:uid="{91FD1BE2-B9D8-49AE-8FE7-8DC619AB9F54}"/>
    <cellStyle name="60% - Accent4 3 4 4" xfId="2439" xr:uid="{EF803CEF-D396-4989-8804-C1B77925D1F2}"/>
    <cellStyle name="60% - Accent4 3 4 5" xfId="4329" xr:uid="{76401244-3A52-4E63-959A-FFDB39715E3E}"/>
    <cellStyle name="60% - Accent4 3 4 6" xfId="6219" xr:uid="{1BCD122C-445B-40B8-8A4C-299E286400C9}"/>
    <cellStyle name="60% - Accent4 3 4 7" xfId="8109" xr:uid="{ED1A0288-8422-4149-8C9E-0A7B71B93E00}"/>
    <cellStyle name="60% - Accent4 3 4 8" xfId="9999" xr:uid="{83DC69B1-EB19-4A83-B538-3D478AD4C0D2}"/>
    <cellStyle name="60% - Accent4 3 4 9" xfId="11889" xr:uid="{D6BB52DD-E4D1-43B4-AD8A-2A17698A5E22}"/>
    <cellStyle name="60% - Accent4 3 5" xfId="759" xr:uid="{C16ED5A6-4B33-4ECF-ACC9-AD76808897FE}"/>
    <cellStyle name="60% - Accent4 3 5 10" xfId="17769" xr:uid="{6CA27EB8-A50A-4EEE-986A-180DD1BB20CB}"/>
    <cellStyle name="60% - Accent4 3 5 11" xfId="19659" xr:uid="{B9E7E233-22BE-476E-9A21-B5741C64FF56}"/>
    <cellStyle name="60% - Accent4 3 5 12" xfId="21549" xr:uid="{0739548F-EF62-4C2B-8464-58D51E3892ED}"/>
    <cellStyle name="60% - Accent4 3 5 13" xfId="23439" xr:uid="{0273823F-C634-48C5-BA27-61EC3E31E7CF}"/>
    <cellStyle name="60% - Accent4 3 5 14" xfId="25329" xr:uid="{0DD59ACA-AFF1-4076-B2B0-DEE0698A4858}"/>
    <cellStyle name="60% - Accent4 3 5 15" xfId="27219" xr:uid="{270842DD-3EA6-428C-9FB7-A644C697C64D}"/>
    <cellStyle name="60% - Accent4 3 5 16" xfId="29109" xr:uid="{55E2E4FE-F1B7-4D4B-9AAA-13AF18C77C90}"/>
    <cellStyle name="60% - Accent4 3 5 17" xfId="30999" xr:uid="{9B4DDDFE-9597-4B21-BD55-F841843FAF5E}"/>
    <cellStyle name="60% - Accent4 3 5 18" xfId="32889" xr:uid="{CE3A1792-07F4-4569-A4CA-C90AC7FFF08E}"/>
    <cellStyle name="60% - Accent4 3 5 19" xfId="34779" xr:uid="{D00D324D-06F3-40C4-95E0-263C1EC6A425}"/>
    <cellStyle name="60% - Accent4 3 5 2" xfId="2649" xr:uid="{CEE8F7E8-552A-43F6-8AC9-C5EB35C88A4A}"/>
    <cellStyle name="60% - Accent4 3 5 20" xfId="36669" xr:uid="{0865206D-B715-4EA3-818B-5D334ED9E07B}"/>
    <cellStyle name="60% - Accent4 3 5 21" xfId="38559" xr:uid="{45D7047F-23F5-4F3D-9161-2048BE00AC57}"/>
    <cellStyle name="60% - Accent4 3 5 22" xfId="40450" xr:uid="{EFBC7812-3AEE-4C72-BC0A-69AA3745CDD4}"/>
    <cellStyle name="60% - Accent4 3 5 3" xfId="4539" xr:uid="{696203CB-D2F2-40C4-835C-0C2946EB61B2}"/>
    <cellStyle name="60% - Accent4 3 5 4" xfId="6429" xr:uid="{CE88F502-E36A-4355-980F-BB62B2EB91AC}"/>
    <cellStyle name="60% - Accent4 3 5 5" xfId="8319" xr:uid="{187CA998-5BF7-4CD2-A6A1-D265B3764CCE}"/>
    <cellStyle name="60% - Accent4 3 5 6" xfId="10209" xr:uid="{248853A2-21EF-493E-B2A8-6B7D805C660B}"/>
    <cellStyle name="60% - Accent4 3 5 7" xfId="12099" xr:uid="{2A57C33B-4499-4FD7-8020-7DF0B59E6FA6}"/>
    <cellStyle name="60% - Accent4 3 5 8" xfId="13989" xr:uid="{A6E5BF69-5B48-4EBE-BFAA-D035922103FB}"/>
    <cellStyle name="60% - Accent4 3 5 9" xfId="15879" xr:uid="{EEB5F6D7-4034-49BB-B61C-704CBC6EC444}"/>
    <cellStyle name="60% - Accent4 3 6" xfId="1389" xr:uid="{F50C523C-97B4-4449-A203-316BD7FC63C7}"/>
    <cellStyle name="60% - Accent4 3 6 10" xfId="18399" xr:uid="{624E03F8-FEA0-4F24-9A47-CBDFAE01BB5E}"/>
    <cellStyle name="60% - Accent4 3 6 11" xfId="20289" xr:uid="{54C1379E-AC6E-415C-87AB-779DF93D0A7C}"/>
    <cellStyle name="60% - Accent4 3 6 12" xfId="22179" xr:uid="{377548D7-C8D0-495E-B7F8-EBB7B4A9E95C}"/>
    <cellStyle name="60% - Accent4 3 6 13" xfId="24069" xr:uid="{D19DAB4B-92D7-4A31-B85F-0069859D99A0}"/>
    <cellStyle name="60% - Accent4 3 6 14" xfId="25959" xr:uid="{CE71F882-42BB-4CAE-A313-6FF3DBFE0D78}"/>
    <cellStyle name="60% - Accent4 3 6 15" xfId="27849" xr:uid="{5F4D489B-950D-4DE6-9A84-067AE9AE5071}"/>
    <cellStyle name="60% - Accent4 3 6 16" xfId="29739" xr:uid="{C81374F1-E56B-4086-A772-696AB1E631CB}"/>
    <cellStyle name="60% - Accent4 3 6 17" xfId="31629" xr:uid="{4A1BDE54-5114-4E17-8596-A7C80C10252F}"/>
    <cellStyle name="60% - Accent4 3 6 18" xfId="33519" xr:uid="{71C56073-C630-4009-9099-D153B69DED0F}"/>
    <cellStyle name="60% - Accent4 3 6 19" xfId="35409" xr:uid="{FAD08264-670D-4BA7-A27F-FDD6F4A32B5E}"/>
    <cellStyle name="60% - Accent4 3 6 2" xfId="3279" xr:uid="{17C48260-5E1C-4BC7-AA3E-379D94211A8D}"/>
    <cellStyle name="60% - Accent4 3 6 20" xfId="37299" xr:uid="{A11CC1EF-D852-413A-93C8-3A1258B78C84}"/>
    <cellStyle name="60% - Accent4 3 6 21" xfId="39189" xr:uid="{24BFFE4B-5411-4BF7-A34A-F412660CB2F3}"/>
    <cellStyle name="60% - Accent4 3 6 22" xfId="41080" xr:uid="{923534C0-6BFD-4EE9-9BD5-C63549BBD920}"/>
    <cellStyle name="60% - Accent4 3 6 3" xfId="5169" xr:uid="{E954BBA5-07B0-451B-961A-742FA2272489}"/>
    <cellStyle name="60% - Accent4 3 6 4" xfId="7059" xr:uid="{35A01EDC-6BD0-4005-817A-5BF6B429DAB9}"/>
    <cellStyle name="60% - Accent4 3 6 5" xfId="8949" xr:uid="{04641648-EA19-436B-96DF-082231353E61}"/>
    <cellStyle name="60% - Accent4 3 6 6" xfId="10839" xr:uid="{223B988B-F765-407E-AF7D-A300A8C2AE3D}"/>
    <cellStyle name="60% - Accent4 3 6 7" xfId="12729" xr:uid="{486F06C2-5B7F-4A2D-A724-55888DC89A91}"/>
    <cellStyle name="60% - Accent4 3 6 8" xfId="14619" xr:uid="{38F99A8E-B02C-40B6-9B9C-2778FEA65311}"/>
    <cellStyle name="60% - Accent4 3 6 9" xfId="16509" xr:uid="{82EECBFB-476F-4C77-94E1-427B11C5F9AC}"/>
    <cellStyle name="60% - Accent4 3 7" xfId="2019" xr:uid="{1822B004-5D10-4DCA-B09F-61810BC0A613}"/>
    <cellStyle name="60% - Accent4 3 8" xfId="3909" xr:uid="{4469BC4F-4FFC-4964-A977-E0E79ED14B8B}"/>
    <cellStyle name="60% - Accent4 3 9" xfId="5799" xr:uid="{5AB9AF4A-9AB3-44B6-8A08-21E0B3B055FA}"/>
    <cellStyle name="60% - Accent4 4" xfId="192" xr:uid="{9CE83071-AC85-46FF-942E-B2E2F49394E5}"/>
    <cellStyle name="60% - Accent4 4 10" xfId="9642" xr:uid="{C9717233-6D71-4097-9B19-803CCD6271F6}"/>
    <cellStyle name="60% - Accent4 4 11" xfId="11532" xr:uid="{6E08DDAA-BDE0-4773-B4B8-22F9C101F7E3}"/>
    <cellStyle name="60% - Accent4 4 12" xfId="13422" xr:uid="{98E93119-840A-46AF-83FA-1C1757AC4D4D}"/>
    <cellStyle name="60% - Accent4 4 13" xfId="15312" xr:uid="{BC80A3BA-615D-47C5-9D0B-0F4070B3B0F8}"/>
    <cellStyle name="60% - Accent4 4 14" xfId="17202" xr:uid="{57D20D3B-E584-47F2-BC2A-FBEEE664E9A8}"/>
    <cellStyle name="60% - Accent4 4 15" xfId="19092" xr:uid="{2CAB35A6-0E53-488E-9FE9-5A1CD33D7483}"/>
    <cellStyle name="60% - Accent4 4 16" xfId="20982" xr:uid="{BE9A8259-1AE6-422B-99EB-CF9CEBEAB569}"/>
    <cellStyle name="60% - Accent4 4 17" xfId="22872" xr:uid="{C733F489-2A90-4302-B07F-25E0A9AE00ED}"/>
    <cellStyle name="60% - Accent4 4 18" xfId="24762" xr:uid="{BB3A052F-7950-4F43-B6C8-9154E15E0A45}"/>
    <cellStyle name="60% - Accent4 4 19" xfId="26652" xr:uid="{B4752E39-8253-4B44-8ED4-0DC02BD5B064}"/>
    <cellStyle name="60% - Accent4 4 2" xfId="402" xr:uid="{463AD5CE-9762-468D-8647-192605FA2207}"/>
    <cellStyle name="60% - Accent4 4 2 10" xfId="13632" xr:uid="{0C8CF5B3-A182-433F-94C9-F6FAB5381853}"/>
    <cellStyle name="60% - Accent4 4 2 11" xfId="15522" xr:uid="{148EA250-D2C2-4FE6-8BE5-A420187AC2D2}"/>
    <cellStyle name="60% - Accent4 4 2 12" xfId="17412" xr:uid="{3E6F0DDD-6277-459F-B49C-15A5EDC8B257}"/>
    <cellStyle name="60% - Accent4 4 2 13" xfId="19302" xr:uid="{4C93CFE1-98FD-48C0-A998-15C90310FDB4}"/>
    <cellStyle name="60% - Accent4 4 2 14" xfId="21192" xr:uid="{66643351-2A06-4D7C-BB70-0F3783F7D635}"/>
    <cellStyle name="60% - Accent4 4 2 15" xfId="23082" xr:uid="{52F6E047-A573-49D5-886E-19818FE38A5B}"/>
    <cellStyle name="60% - Accent4 4 2 16" xfId="24972" xr:uid="{C3BFB245-D3FD-41E9-9EC1-0C7CEA074FC7}"/>
    <cellStyle name="60% - Accent4 4 2 17" xfId="26862" xr:uid="{6D952526-441C-4296-AFC1-FBAE3603A41B}"/>
    <cellStyle name="60% - Accent4 4 2 18" xfId="28752" xr:uid="{1376ABD4-11E4-413D-B689-20D9D60E380B}"/>
    <cellStyle name="60% - Accent4 4 2 19" xfId="30642" xr:uid="{D23299FD-CFFD-4DDF-A982-9AA8982D332B}"/>
    <cellStyle name="60% - Accent4 4 2 2" xfId="1032" xr:uid="{854A4C8B-A9E4-4195-B7A4-294BF922990A}"/>
    <cellStyle name="60% - Accent4 4 2 2 10" xfId="18042" xr:uid="{FDCE345C-D1A5-4FAD-897A-48C0EC9B4C41}"/>
    <cellStyle name="60% - Accent4 4 2 2 11" xfId="19932" xr:uid="{E54DD6A8-6318-4A81-ABC2-50F0A921D322}"/>
    <cellStyle name="60% - Accent4 4 2 2 12" xfId="21822" xr:uid="{F16B8BEA-91E1-4D72-A140-3D9E5EDD7D5A}"/>
    <cellStyle name="60% - Accent4 4 2 2 13" xfId="23712" xr:uid="{6CC33D66-7DD6-406A-9421-A6FE73116B43}"/>
    <cellStyle name="60% - Accent4 4 2 2 14" xfId="25602" xr:uid="{1B115153-6D8D-44E5-BEFD-0FDA309CB91C}"/>
    <cellStyle name="60% - Accent4 4 2 2 15" xfId="27492" xr:uid="{3472BC45-E7F4-433A-A04D-69765CF7BFF4}"/>
    <cellStyle name="60% - Accent4 4 2 2 16" xfId="29382" xr:uid="{3CBDA3C1-686C-4E90-BA5D-F3E5746B1690}"/>
    <cellStyle name="60% - Accent4 4 2 2 17" xfId="31272" xr:uid="{D7CEDAFE-C1CB-4082-B41D-13ABFE7CD8C1}"/>
    <cellStyle name="60% - Accent4 4 2 2 18" xfId="33162" xr:uid="{9FFE3D35-62CF-4304-A361-3AB26BAB7B77}"/>
    <cellStyle name="60% - Accent4 4 2 2 19" xfId="35052" xr:uid="{1E3AE2BB-BA79-4E97-8E36-C35A36D2AD57}"/>
    <cellStyle name="60% - Accent4 4 2 2 2" xfId="2922" xr:uid="{0DBCD68D-4E6E-4D61-9CDF-2A846972F3E9}"/>
    <cellStyle name="60% - Accent4 4 2 2 20" xfId="36942" xr:uid="{1577F217-9B70-4717-B895-520383A49F95}"/>
    <cellStyle name="60% - Accent4 4 2 2 21" xfId="38832" xr:uid="{BA144302-CD71-4266-A34B-D723BF29CC0E}"/>
    <cellStyle name="60% - Accent4 4 2 2 22" xfId="40723" xr:uid="{31D5C8AB-8AA0-493E-9974-D7C66B214F4A}"/>
    <cellStyle name="60% - Accent4 4 2 2 3" xfId="4812" xr:uid="{B9FDDE46-C7F0-45AB-B97C-EDA4795A017D}"/>
    <cellStyle name="60% - Accent4 4 2 2 4" xfId="6702" xr:uid="{9E59591E-FC29-495B-A881-75BF451D5638}"/>
    <cellStyle name="60% - Accent4 4 2 2 5" xfId="8592" xr:uid="{91D0DA9B-4760-4BC9-979F-8B18F64B2BC9}"/>
    <cellStyle name="60% - Accent4 4 2 2 6" xfId="10482" xr:uid="{D03BAFFE-B4D5-468D-B569-B0AC8742DB95}"/>
    <cellStyle name="60% - Accent4 4 2 2 7" xfId="12372" xr:uid="{572ECD9D-0350-408F-8CC3-DE14FA09EACD}"/>
    <cellStyle name="60% - Accent4 4 2 2 8" xfId="14262" xr:uid="{365B51BE-E028-4E20-BC4B-F07CB61D6A96}"/>
    <cellStyle name="60% - Accent4 4 2 2 9" xfId="16152" xr:uid="{F344F9D0-498B-4B9F-9548-524A40445623}"/>
    <cellStyle name="60% - Accent4 4 2 20" xfId="32532" xr:uid="{8C05825D-400D-430C-93BC-6628895936E8}"/>
    <cellStyle name="60% - Accent4 4 2 21" xfId="34422" xr:uid="{E17D9F07-BA0E-46C1-BFAB-77B545624C61}"/>
    <cellStyle name="60% - Accent4 4 2 22" xfId="36312" xr:uid="{68EB3ABA-D8BE-4695-BB54-91FFA72E23C2}"/>
    <cellStyle name="60% - Accent4 4 2 23" xfId="38202" xr:uid="{8F489698-40E7-42BF-9636-397A9A080302}"/>
    <cellStyle name="60% - Accent4 4 2 24" xfId="40093" xr:uid="{A8584456-7684-470E-BFAE-4891CA2D22C2}"/>
    <cellStyle name="60% - Accent4 4 2 3" xfId="1662" xr:uid="{202B4483-1D7B-4DAA-B40F-9E05FE1EBAEE}"/>
    <cellStyle name="60% - Accent4 4 2 3 10" xfId="18672" xr:uid="{0610FD4D-E6DC-4ED7-88F7-5762E87E0F16}"/>
    <cellStyle name="60% - Accent4 4 2 3 11" xfId="20562" xr:uid="{791F7A4D-E895-45A3-BFAC-5A251C976E55}"/>
    <cellStyle name="60% - Accent4 4 2 3 12" xfId="22452" xr:uid="{B679CC20-A529-4B4E-8812-F6CDBF6F90AE}"/>
    <cellStyle name="60% - Accent4 4 2 3 13" xfId="24342" xr:uid="{246FC229-5DB9-4806-945D-A974AC0A4362}"/>
    <cellStyle name="60% - Accent4 4 2 3 14" xfId="26232" xr:uid="{8EF6B550-51B7-4B7B-850C-28FD5B1F08F3}"/>
    <cellStyle name="60% - Accent4 4 2 3 15" xfId="28122" xr:uid="{9A7EA8B5-FE4A-4B00-B7C5-24473B753612}"/>
    <cellStyle name="60% - Accent4 4 2 3 16" xfId="30012" xr:uid="{962A15FB-7459-4DCF-AFF2-C32A7C259311}"/>
    <cellStyle name="60% - Accent4 4 2 3 17" xfId="31902" xr:uid="{5C81D9A6-11CC-4D0B-9A7F-740B908A4893}"/>
    <cellStyle name="60% - Accent4 4 2 3 18" xfId="33792" xr:uid="{2FFB64BF-6FD0-4F23-A0DD-3A95155F712D}"/>
    <cellStyle name="60% - Accent4 4 2 3 19" xfId="35682" xr:uid="{25533DF2-A05A-483B-B921-FC6103064890}"/>
    <cellStyle name="60% - Accent4 4 2 3 2" xfId="3552" xr:uid="{D78B1297-6DCF-4082-8750-E116B9BC5B91}"/>
    <cellStyle name="60% - Accent4 4 2 3 20" xfId="37572" xr:uid="{2B5B9BB2-903D-4AEE-800C-DD4531EF5430}"/>
    <cellStyle name="60% - Accent4 4 2 3 21" xfId="39462" xr:uid="{1142F774-43E2-4D27-B8E1-373CD78219E7}"/>
    <cellStyle name="60% - Accent4 4 2 3 22" xfId="41353" xr:uid="{09E5DCC8-05B3-46EB-8BF6-BD3CF914D162}"/>
    <cellStyle name="60% - Accent4 4 2 3 3" xfId="5442" xr:uid="{9101E695-F54F-4033-8CF9-DDAF1CE8D3C7}"/>
    <cellStyle name="60% - Accent4 4 2 3 4" xfId="7332" xr:uid="{DEEE3C3D-58A6-4D59-8FD4-D0C7D22C073F}"/>
    <cellStyle name="60% - Accent4 4 2 3 5" xfId="9222" xr:uid="{C82B244A-62C4-4E54-8524-FA8561848B1E}"/>
    <cellStyle name="60% - Accent4 4 2 3 6" xfId="11112" xr:uid="{79F54544-CB4B-4BEE-A497-8728A83FD416}"/>
    <cellStyle name="60% - Accent4 4 2 3 7" xfId="13002" xr:uid="{738D8442-1434-4C30-9410-CF9D8A6290AE}"/>
    <cellStyle name="60% - Accent4 4 2 3 8" xfId="14892" xr:uid="{04C1D072-452B-4CB2-9E1D-92C1E6AD51F5}"/>
    <cellStyle name="60% - Accent4 4 2 3 9" xfId="16782" xr:uid="{0EC95C6A-4788-4EF0-AE15-4D162F7EB1FC}"/>
    <cellStyle name="60% - Accent4 4 2 4" xfId="2292" xr:uid="{61AB109A-B8BA-4F31-8028-CC5786213E0E}"/>
    <cellStyle name="60% - Accent4 4 2 5" xfId="4182" xr:uid="{5F560E06-7EC1-40D7-97B1-5B3FD63C6576}"/>
    <cellStyle name="60% - Accent4 4 2 6" xfId="6072" xr:uid="{CD18019D-EB04-4FC9-AD2D-3E113FF29FA6}"/>
    <cellStyle name="60% - Accent4 4 2 7" xfId="7962" xr:uid="{451914B9-D4DE-4123-9724-FD83F96EDF49}"/>
    <cellStyle name="60% - Accent4 4 2 8" xfId="9852" xr:uid="{05DEADA2-E7D2-4494-9CBD-19DBC597A6D1}"/>
    <cellStyle name="60% - Accent4 4 2 9" xfId="11742" xr:uid="{7B6218EA-B3DA-48ED-908C-BB5071D369C7}"/>
    <cellStyle name="60% - Accent4 4 20" xfId="28542" xr:uid="{3850AB98-C3E6-42BB-8888-F4984AFABB18}"/>
    <cellStyle name="60% - Accent4 4 21" xfId="30432" xr:uid="{BDE2154D-0696-4CD3-8D5F-0E6FCF84A12C}"/>
    <cellStyle name="60% - Accent4 4 22" xfId="32322" xr:uid="{C450597C-07F6-41DC-8AC7-F29C58BA4E28}"/>
    <cellStyle name="60% - Accent4 4 23" xfId="34212" xr:uid="{F0853EA1-C9C9-46F4-8E3B-CD7AD11416EB}"/>
    <cellStyle name="60% - Accent4 4 24" xfId="36102" xr:uid="{FD739068-D154-477D-8778-0F8E1ED9E8BB}"/>
    <cellStyle name="60% - Accent4 4 25" xfId="37992" xr:uid="{EC3846A9-E305-44D2-AD8F-E27E4B109F49}"/>
    <cellStyle name="60% - Accent4 4 26" xfId="39883" xr:uid="{1B419DB2-19D0-487C-B06B-6361619FA5FD}"/>
    <cellStyle name="60% - Accent4 4 3" xfId="612" xr:uid="{644505DC-B0B5-4F60-8F37-41B8D86A9A05}"/>
    <cellStyle name="60% - Accent4 4 3 10" xfId="13842" xr:uid="{04BE8417-EFE1-46BF-8DD1-BA99785D3120}"/>
    <cellStyle name="60% - Accent4 4 3 11" xfId="15732" xr:uid="{933853F9-D210-4F5E-8CE9-67D9DF16FB14}"/>
    <cellStyle name="60% - Accent4 4 3 12" xfId="17622" xr:uid="{70FE7BD0-0A43-42DA-A9A3-29337657F5C7}"/>
    <cellStyle name="60% - Accent4 4 3 13" xfId="19512" xr:uid="{5385E25F-EC77-4271-8CA4-CB610DC2980D}"/>
    <cellStyle name="60% - Accent4 4 3 14" xfId="21402" xr:uid="{F524996F-F3E0-425E-AEAB-887B13ECA13A}"/>
    <cellStyle name="60% - Accent4 4 3 15" xfId="23292" xr:uid="{BE18BAB3-82C7-427F-80EC-177810715C81}"/>
    <cellStyle name="60% - Accent4 4 3 16" xfId="25182" xr:uid="{4F8A4B11-2157-450E-B201-D829E9F6D4B0}"/>
    <cellStyle name="60% - Accent4 4 3 17" xfId="27072" xr:uid="{2C5EB678-9E2F-4F1A-963D-9977880BE3F8}"/>
    <cellStyle name="60% - Accent4 4 3 18" xfId="28962" xr:uid="{E25D3964-23F7-4B1F-9937-33331CF44ED5}"/>
    <cellStyle name="60% - Accent4 4 3 19" xfId="30852" xr:uid="{D4BD2D8D-2134-4D65-8CC6-095AFDD8375B}"/>
    <cellStyle name="60% - Accent4 4 3 2" xfId="1242" xr:uid="{8F2EDEB6-037A-4E3B-9858-1C8E9A7C6916}"/>
    <cellStyle name="60% - Accent4 4 3 2 10" xfId="18252" xr:uid="{AB10DFF9-060C-49F7-8314-64D0C4973957}"/>
    <cellStyle name="60% - Accent4 4 3 2 11" xfId="20142" xr:uid="{43916E66-BA42-44DB-B8E5-0AEE76A55830}"/>
    <cellStyle name="60% - Accent4 4 3 2 12" xfId="22032" xr:uid="{84F0CEE3-D58B-4B18-AD23-7B93221DA51A}"/>
    <cellStyle name="60% - Accent4 4 3 2 13" xfId="23922" xr:uid="{0A5DF3E5-5F4B-4D1D-BEBB-ED9EFD846737}"/>
    <cellStyle name="60% - Accent4 4 3 2 14" xfId="25812" xr:uid="{B7175836-2BAD-4667-983D-2F254D61F5AC}"/>
    <cellStyle name="60% - Accent4 4 3 2 15" xfId="27702" xr:uid="{F8DC4895-44EB-47A3-B343-C9329A424D67}"/>
    <cellStyle name="60% - Accent4 4 3 2 16" xfId="29592" xr:uid="{D1B74943-36BB-4849-A6D4-F2750388AD4D}"/>
    <cellStyle name="60% - Accent4 4 3 2 17" xfId="31482" xr:uid="{B7EF0857-3A9C-487A-8B3B-FAF753B9CE1A}"/>
    <cellStyle name="60% - Accent4 4 3 2 18" xfId="33372" xr:uid="{FC9DC3F0-7091-4CE3-A7B7-165F0F7D20BE}"/>
    <cellStyle name="60% - Accent4 4 3 2 19" xfId="35262" xr:uid="{559E80C5-B554-4A3F-857E-E39082CEBC6E}"/>
    <cellStyle name="60% - Accent4 4 3 2 2" xfId="3132" xr:uid="{9421C76E-2629-448F-A3E2-1695A21DEC30}"/>
    <cellStyle name="60% - Accent4 4 3 2 20" xfId="37152" xr:uid="{A3C3B73D-78A0-43BA-BA99-EB725E6243C1}"/>
    <cellStyle name="60% - Accent4 4 3 2 21" xfId="39042" xr:uid="{3548272C-51CC-45A0-A039-3778E020C315}"/>
    <cellStyle name="60% - Accent4 4 3 2 22" xfId="40933" xr:uid="{C647C03F-BE17-4D46-8349-34D76399D844}"/>
    <cellStyle name="60% - Accent4 4 3 2 3" xfId="5022" xr:uid="{BECE1904-EBB3-4E1A-893B-942C4BBAE55D}"/>
    <cellStyle name="60% - Accent4 4 3 2 4" xfId="6912" xr:uid="{9752C078-7FFB-4EF0-BF99-367A91BBA9A2}"/>
    <cellStyle name="60% - Accent4 4 3 2 5" xfId="8802" xr:uid="{0474C1A4-81F2-4B52-A917-EDED18612ECD}"/>
    <cellStyle name="60% - Accent4 4 3 2 6" xfId="10692" xr:uid="{333718F8-8440-46DB-9C61-3B3240D0E403}"/>
    <cellStyle name="60% - Accent4 4 3 2 7" xfId="12582" xr:uid="{4CA8B711-7C59-434F-9D66-D17150C16A03}"/>
    <cellStyle name="60% - Accent4 4 3 2 8" xfId="14472" xr:uid="{F2BB88CD-DEA6-4829-9514-A3FC1C665CB4}"/>
    <cellStyle name="60% - Accent4 4 3 2 9" xfId="16362" xr:uid="{6F93160D-4614-4B20-A5AE-3BA83222FA83}"/>
    <cellStyle name="60% - Accent4 4 3 20" xfId="32742" xr:uid="{BAD2D070-D25E-4214-BC32-7F1EFCE6E1A3}"/>
    <cellStyle name="60% - Accent4 4 3 21" xfId="34632" xr:uid="{EE1AC220-BA7A-4FE9-9C23-78D2E47254E3}"/>
    <cellStyle name="60% - Accent4 4 3 22" xfId="36522" xr:uid="{0D2EF414-958C-43D0-BA02-3C94A6EF1E91}"/>
    <cellStyle name="60% - Accent4 4 3 23" xfId="38412" xr:uid="{DCE0DCC5-6B0C-4FC6-A5E6-A4826415DB4C}"/>
    <cellStyle name="60% - Accent4 4 3 24" xfId="40303" xr:uid="{CFD9CEE6-2D4D-4FCF-BD16-09E21CF73DC9}"/>
    <cellStyle name="60% - Accent4 4 3 3" xfId="1872" xr:uid="{B611E4D4-8B9F-4A5A-A6C3-F5274AF8F9F9}"/>
    <cellStyle name="60% - Accent4 4 3 3 10" xfId="18882" xr:uid="{34AB8AC9-BB96-4DFE-AA23-C31E4E5DD6B8}"/>
    <cellStyle name="60% - Accent4 4 3 3 11" xfId="20772" xr:uid="{473468CC-F1D7-4B47-8765-3F85F6DBC9E4}"/>
    <cellStyle name="60% - Accent4 4 3 3 12" xfId="22662" xr:uid="{1292B4C8-6D47-423E-ADA8-A60C82CC0C57}"/>
    <cellStyle name="60% - Accent4 4 3 3 13" xfId="24552" xr:uid="{26E14383-5EE3-484B-8DCA-078D2C2E118A}"/>
    <cellStyle name="60% - Accent4 4 3 3 14" xfId="26442" xr:uid="{1C054551-48D8-44D0-B275-94224DA3418B}"/>
    <cellStyle name="60% - Accent4 4 3 3 15" xfId="28332" xr:uid="{4300A0C0-013B-4474-A6FE-FBB6935570F8}"/>
    <cellStyle name="60% - Accent4 4 3 3 16" xfId="30222" xr:uid="{165DD08B-5BAD-4FEA-BBBB-9C06446B2A06}"/>
    <cellStyle name="60% - Accent4 4 3 3 17" xfId="32112" xr:uid="{40B533E1-AED4-469B-8599-678E85846E13}"/>
    <cellStyle name="60% - Accent4 4 3 3 18" xfId="34002" xr:uid="{FA6CC3E8-6FF3-491E-A41F-2E403F626B3B}"/>
    <cellStyle name="60% - Accent4 4 3 3 19" xfId="35892" xr:uid="{6AB79156-A97A-42C0-B609-33B348722D40}"/>
    <cellStyle name="60% - Accent4 4 3 3 2" xfId="3762" xr:uid="{1343C822-7C64-42DF-85EA-F220853FBB91}"/>
    <cellStyle name="60% - Accent4 4 3 3 20" xfId="37782" xr:uid="{67920A59-5AA6-426F-A33B-6AB320DFEA79}"/>
    <cellStyle name="60% - Accent4 4 3 3 21" xfId="39672" xr:uid="{A4006F72-90EF-4B9E-A47D-99C8AA5EC02E}"/>
    <cellStyle name="60% - Accent4 4 3 3 22" xfId="41563" xr:uid="{9743DD0C-1810-4F58-9470-8D7EC16A0920}"/>
    <cellStyle name="60% - Accent4 4 3 3 3" xfId="5652" xr:uid="{64DB630D-B192-4480-90B6-ABE21992B135}"/>
    <cellStyle name="60% - Accent4 4 3 3 4" xfId="7542" xr:uid="{FCB08AF9-E11F-4BD4-A55B-468F95694A64}"/>
    <cellStyle name="60% - Accent4 4 3 3 5" xfId="9432" xr:uid="{D65D6842-0DA7-46EA-BDB8-E9D78E6C5B42}"/>
    <cellStyle name="60% - Accent4 4 3 3 6" xfId="11322" xr:uid="{345595E4-3985-4B91-BDC0-7D414ED2F815}"/>
    <cellStyle name="60% - Accent4 4 3 3 7" xfId="13212" xr:uid="{58B1D542-26CA-4FC4-AA68-6C815EEBCF61}"/>
    <cellStyle name="60% - Accent4 4 3 3 8" xfId="15102" xr:uid="{D235321F-043F-4F90-957B-A23A9C3ED5D5}"/>
    <cellStyle name="60% - Accent4 4 3 3 9" xfId="16992" xr:uid="{DC0BC175-6A67-4F94-AF29-3CC51A8B6D81}"/>
    <cellStyle name="60% - Accent4 4 3 4" xfId="2502" xr:uid="{CE71944C-0DB8-47AB-8EBA-AD03AAB79F78}"/>
    <cellStyle name="60% - Accent4 4 3 5" xfId="4392" xr:uid="{FE6B2E27-5A74-431D-8DD0-29E816A1F3B4}"/>
    <cellStyle name="60% - Accent4 4 3 6" xfId="6282" xr:uid="{16612C5C-346F-4F49-9BF1-9499C760F229}"/>
    <cellStyle name="60% - Accent4 4 3 7" xfId="8172" xr:uid="{C3A1527B-6BFE-4BA7-86E0-ED39BDDA16DB}"/>
    <cellStyle name="60% - Accent4 4 3 8" xfId="10062" xr:uid="{A9B60031-8C79-463F-BA72-A627054A3BE4}"/>
    <cellStyle name="60% - Accent4 4 3 9" xfId="11952" xr:uid="{CB4A05E2-E239-4640-99F4-6CAB86325A17}"/>
    <cellStyle name="60% - Accent4 4 4" xfId="822" xr:uid="{2C8186A6-C3CC-46B9-B734-B0258F1B5FD1}"/>
    <cellStyle name="60% - Accent4 4 4 10" xfId="17832" xr:uid="{3D1466D6-6409-4950-AD0F-EF77923A5A64}"/>
    <cellStyle name="60% - Accent4 4 4 11" xfId="19722" xr:uid="{25CC7292-1DD3-4282-BEA7-999A98AFB472}"/>
    <cellStyle name="60% - Accent4 4 4 12" xfId="21612" xr:uid="{F613334E-4206-4D5D-B810-AAFF0147D003}"/>
    <cellStyle name="60% - Accent4 4 4 13" xfId="23502" xr:uid="{14A7EB88-CFC6-4A9D-929C-13C7BFD227E4}"/>
    <cellStyle name="60% - Accent4 4 4 14" xfId="25392" xr:uid="{11580D98-4C67-4480-9CAE-AA551E71B77E}"/>
    <cellStyle name="60% - Accent4 4 4 15" xfId="27282" xr:uid="{72C867EB-DA57-4127-A4A6-DE9B619C4CC4}"/>
    <cellStyle name="60% - Accent4 4 4 16" xfId="29172" xr:uid="{F743AE36-78DA-4C91-B317-11A365FA2C8E}"/>
    <cellStyle name="60% - Accent4 4 4 17" xfId="31062" xr:uid="{CC90F8E4-C4CD-47E6-A3D9-2EB515690A4B}"/>
    <cellStyle name="60% - Accent4 4 4 18" xfId="32952" xr:uid="{18C70C61-E067-4512-8EEF-43AB3472CB1B}"/>
    <cellStyle name="60% - Accent4 4 4 19" xfId="34842" xr:uid="{143D4C48-501A-430B-BFDD-F6DE42A8FF1C}"/>
    <cellStyle name="60% - Accent4 4 4 2" xfId="2712" xr:uid="{1AE543EB-BD1A-49F5-83F9-50AA726D3553}"/>
    <cellStyle name="60% - Accent4 4 4 20" xfId="36732" xr:uid="{CA9435CE-46EE-448D-AAEB-55D81D96BA07}"/>
    <cellStyle name="60% - Accent4 4 4 21" xfId="38622" xr:uid="{1BCBD683-0CB3-4EC0-BA2F-A209F0A02396}"/>
    <cellStyle name="60% - Accent4 4 4 22" xfId="40513" xr:uid="{FA7779C0-E813-4518-86FF-B9C38E683AF0}"/>
    <cellStyle name="60% - Accent4 4 4 3" xfId="4602" xr:uid="{6D790227-B63B-4154-B339-BCA5F8007BFC}"/>
    <cellStyle name="60% - Accent4 4 4 4" xfId="6492" xr:uid="{882672B0-B6BB-453E-8109-12468F504529}"/>
    <cellStyle name="60% - Accent4 4 4 5" xfId="8382" xr:uid="{C0A75E60-C40A-4FDD-9344-0DFE750756F9}"/>
    <cellStyle name="60% - Accent4 4 4 6" xfId="10272" xr:uid="{6C937EC7-EF7F-49A1-A266-64712AA504D1}"/>
    <cellStyle name="60% - Accent4 4 4 7" xfId="12162" xr:uid="{D9F8E93C-753C-44F0-BB9A-4C05172CE459}"/>
    <cellStyle name="60% - Accent4 4 4 8" xfId="14052" xr:uid="{15881CBD-A2FC-47FF-BC97-93CB51155A3A}"/>
    <cellStyle name="60% - Accent4 4 4 9" xfId="15942" xr:uid="{916366B5-5C8D-41AE-B0DB-D9B3DF378C32}"/>
    <cellStyle name="60% - Accent4 4 5" xfId="1452" xr:uid="{CA425338-C92B-4146-9DDC-F821214E29A9}"/>
    <cellStyle name="60% - Accent4 4 5 10" xfId="18462" xr:uid="{D656E55E-2A7F-4D86-9002-1C684B1FE551}"/>
    <cellStyle name="60% - Accent4 4 5 11" xfId="20352" xr:uid="{DD31CF2C-F4AE-4276-8D5F-98D0BC3AF11F}"/>
    <cellStyle name="60% - Accent4 4 5 12" xfId="22242" xr:uid="{5E6BFFCD-1F39-43D9-A0FC-F3FFEF706211}"/>
    <cellStyle name="60% - Accent4 4 5 13" xfId="24132" xr:uid="{51059312-FAA1-4EEE-8E3A-937C5992C68A}"/>
    <cellStyle name="60% - Accent4 4 5 14" xfId="26022" xr:uid="{7E3626E6-A4C8-4063-85A2-A4ADF76D5EFA}"/>
    <cellStyle name="60% - Accent4 4 5 15" xfId="27912" xr:uid="{7C6B2E1F-EB84-4391-84D8-B49DA39B517A}"/>
    <cellStyle name="60% - Accent4 4 5 16" xfId="29802" xr:uid="{54B75C66-45AA-4157-A815-23293E266AA5}"/>
    <cellStyle name="60% - Accent4 4 5 17" xfId="31692" xr:uid="{D99E5F04-30B4-438B-8ADE-7004D7164224}"/>
    <cellStyle name="60% - Accent4 4 5 18" xfId="33582" xr:uid="{FC8ABF96-68B2-4368-B0F0-91B62EAEA179}"/>
    <cellStyle name="60% - Accent4 4 5 19" xfId="35472" xr:uid="{B40774F8-40D7-492F-BA06-48B837075825}"/>
    <cellStyle name="60% - Accent4 4 5 2" xfId="3342" xr:uid="{0446B9AD-7ED9-4297-9F20-2B4CEE9365EE}"/>
    <cellStyle name="60% - Accent4 4 5 20" xfId="37362" xr:uid="{4D0D0381-8AFA-436E-A99B-8DAAEF8B7D16}"/>
    <cellStyle name="60% - Accent4 4 5 21" xfId="39252" xr:uid="{37B9863C-7452-49DA-9D87-7742750E6341}"/>
    <cellStyle name="60% - Accent4 4 5 22" xfId="41143" xr:uid="{8C19B94F-0CBA-491F-82C9-AFC8469C6490}"/>
    <cellStyle name="60% - Accent4 4 5 3" xfId="5232" xr:uid="{EE35AB16-12C9-41F4-BD4B-0F0CAE03DF9D}"/>
    <cellStyle name="60% - Accent4 4 5 4" xfId="7122" xr:uid="{148D4227-F640-478F-9EAA-4A7FD0313BB9}"/>
    <cellStyle name="60% - Accent4 4 5 5" xfId="9012" xr:uid="{39E645A8-A807-4D9A-A23A-75B8384A645D}"/>
    <cellStyle name="60% - Accent4 4 5 6" xfId="10902" xr:uid="{4DDC71A0-17E2-450E-B404-7046A1720B72}"/>
    <cellStyle name="60% - Accent4 4 5 7" xfId="12792" xr:uid="{9AA4FF3F-CF15-427C-A3DA-23A2E9F13845}"/>
    <cellStyle name="60% - Accent4 4 5 8" xfId="14682" xr:uid="{FF49B7E0-DB7D-451E-BA4E-6F32407A1B31}"/>
    <cellStyle name="60% - Accent4 4 5 9" xfId="16572" xr:uid="{90252A1E-1C79-441E-ACCD-E06366C7A991}"/>
    <cellStyle name="60% - Accent4 4 6" xfId="2082" xr:uid="{BE443CCF-D62D-478B-BC87-0359DA885BCB}"/>
    <cellStyle name="60% - Accent4 4 7" xfId="3972" xr:uid="{97D132E3-72CD-48EF-ADF9-A2C600ACA46B}"/>
    <cellStyle name="60% - Accent4 4 8" xfId="5862" xr:uid="{9E29EA63-4238-441B-8779-8FFD092444C1}"/>
    <cellStyle name="60% - Accent4 4 9" xfId="7752" xr:uid="{2DAA007F-2C31-4F57-BBC9-81C388D8F8D0}"/>
    <cellStyle name="60% - Accent4 5" xfId="297" xr:uid="{A76A2174-914A-4D48-B901-104CDEFFBA32}"/>
    <cellStyle name="60% - Accent4 5 10" xfId="13527" xr:uid="{374197E8-1410-4B9E-AD0E-5DE714CC7EE6}"/>
    <cellStyle name="60% - Accent4 5 11" xfId="15417" xr:uid="{518ED404-A92A-4743-95EE-7B46703F22BA}"/>
    <cellStyle name="60% - Accent4 5 12" xfId="17307" xr:uid="{9315023C-8F08-43F7-9828-0A93C6D8C677}"/>
    <cellStyle name="60% - Accent4 5 13" xfId="19197" xr:uid="{D576E311-1AF8-4DBC-B1D1-9E43E6CDA9C4}"/>
    <cellStyle name="60% - Accent4 5 14" xfId="21087" xr:uid="{26CFCB43-4A6C-4367-AA07-361AB0A8BA99}"/>
    <cellStyle name="60% - Accent4 5 15" xfId="22977" xr:uid="{4E14F230-5285-49C6-9F2F-4493BA8843AE}"/>
    <cellStyle name="60% - Accent4 5 16" xfId="24867" xr:uid="{983694A2-6F24-41F5-8994-AF99AC01E76E}"/>
    <cellStyle name="60% - Accent4 5 17" xfId="26757" xr:uid="{785B872D-1F1B-47A1-836D-5223DF78702B}"/>
    <cellStyle name="60% - Accent4 5 18" xfId="28647" xr:uid="{F5084E84-B323-4A7B-A5D6-E02E30406D96}"/>
    <cellStyle name="60% - Accent4 5 19" xfId="30537" xr:uid="{CD42414F-5C7E-416C-8428-A875593DE730}"/>
    <cellStyle name="60% - Accent4 5 2" xfId="927" xr:uid="{A8A5994C-C0B2-47FF-8A3A-D5BB1B961240}"/>
    <cellStyle name="60% - Accent4 5 2 10" xfId="17937" xr:uid="{7EFD4CD1-4CA8-4445-A0C0-6D0E9E561FFD}"/>
    <cellStyle name="60% - Accent4 5 2 11" xfId="19827" xr:uid="{F2E06E34-273D-4A13-97E2-5812DD7B0A4E}"/>
    <cellStyle name="60% - Accent4 5 2 12" xfId="21717" xr:uid="{CBA82917-F041-4ACD-B374-3CE2C4EB42E3}"/>
    <cellStyle name="60% - Accent4 5 2 13" xfId="23607" xr:uid="{C47091A7-39C8-47DB-8F14-5438A0955847}"/>
    <cellStyle name="60% - Accent4 5 2 14" xfId="25497" xr:uid="{671CF0D2-BE08-4242-A8B8-6175430760AA}"/>
    <cellStyle name="60% - Accent4 5 2 15" xfId="27387" xr:uid="{57EEBDCD-4CBE-45FC-9B4F-DAFA760B0859}"/>
    <cellStyle name="60% - Accent4 5 2 16" xfId="29277" xr:uid="{637DB709-7CFE-459C-B9D1-D25DD79E3013}"/>
    <cellStyle name="60% - Accent4 5 2 17" xfId="31167" xr:uid="{8292D4E7-34A0-4243-93F4-A6CE18AC28E0}"/>
    <cellStyle name="60% - Accent4 5 2 18" xfId="33057" xr:uid="{59866B3D-8FD3-40A5-8655-EB565DD6E6CC}"/>
    <cellStyle name="60% - Accent4 5 2 19" xfId="34947" xr:uid="{97408D88-21B1-4141-A96F-5D4342B2C00C}"/>
    <cellStyle name="60% - Accent4 5 2 2" xfId="2817" xr:uid="{A55E27F9-352C-4B80-A486-1AA5FD8BD4A1}"/>
    <cellStyle name="60% - Accent4 5 2 20" xfId="36837" xr:uid="{0C56C345-ED52-4E85-98D8-250ADBBF42A1}"/>
    <cellStyle name="60% - Accent4 5 2 21" xfId="38727" xr:uid="{ECE357C1-66F2-4DFA-854F-E2CB105F8EED}"/>
    <cellStyle name="60% - Accent4 5 2 22" xfId="40618" xr:uid="{7B7D1933-F2C0-4445-A5EA-EB52D1A7AE0D}"/>
    <cellStyle name="60% - Accent4 5 2 3" xfId="4707" xr:uid="{491B6F06-1549-4C01-839F-D6213EAA8C73}"/>
    <cellStyle name="60% - Accent4 5 2 4" xfId="6597" xr:uid="{FF7E80C6-F61A-47CA-8A09-686DDCCA3700}"/>
    <cellStyle name="60% - Accent4 5 2 5" xfId="8487" xr:uid="{4F8B352C-B33A-4A2C-A825-53752C127341}"/>
    <cellStyle name="60% - Accent4 5 2 6" xfId="10377" xr:uid="{C600823A-0E2E-4DB9-9A3A-8A9CC3BAC5B9}"/>
    <cellStyle name="60% - Accent4 5 2 7" xfId="12267" xr:uid="{2EBE7EC4-0290-4656-862D-62545431D1A0}"/>
    <cellStyle name="60% - Accent4 5 2 8" xfId="14157" xr:uid="{930D92A0-7FE2-4127-87EE-F4B9FEAD37F6}"/>
    <cellStyle name="60% - Accent4 5 2 9" xfId="16047" xr:uid="{A130E550-AD53-4AE1-A9E5-59C2D4004A39}"/>
    <cellStyle name="60% - Accent4 5 20" xfId="32427" xr:uid="{47DBCED5-7A86-4657-95D5-1B00150CCF8A}"/>
    <cellStyle name="60% - Accent4 5 21" xfId="34317" xr:uid="{32966B55-79CE-4DDF-8064-53521F15A0BC}"/>
    <cellStyle name="60% - Accent4 5 22" xfId="36207" xr:uid="{DC600CC5-AC07-4774-A74C-A5121FB697AF}"/>
    <cellStyle name="60% - Accent4 5 23" xfId="38097" xr:uid="{C39CFB29-B7BE-4FFC-A3A7-97C1EA4D0F70}"/>
    <cellStyle name="60% - Accent4 5 24" xfId="39988" xr:uid="{3123F2E9-6EEB-405D-936B-C9D15573035F}"/>
    <cellStyle name="60% - Accent4 5 3" xfId="1557" xr:uid="{351430AC-F2F0-4386-BAA2-29BAECD83D63}"/>
    <cellStyle name="60% - Accent4 5 3 10" xfId="18567" xr:uid="{30698278-2BC5-4FD4-9938-16FFAFAE3BFE}"/>
    <cellStyle name="60% - Accent4 5 3 11" xfId="20457" xr:uid="{0DEA67FA-503C-4755-9124-A9BC3676CBC1}"/>
    <cellStyle name="60% - Accent4 5 3 12" xfId="22347" xr:uid="{76D092A9-9237-4A7F-ACCD-B10544FAC585}"/>
    <cellStyle name="60% - Accent4 5 3 13" xfId="24237" xr:uid="{6134E2B2-ECF8-4F8C-8A54-0B7FEAED67EE}"/>
    <cellStyle name="60% - Accent4 5 3 14" xfId="26127" xr:uid="{9665BF75-9827-465C-9E50-7E9E35D2F5AA}"/>
    <cellStyle name="60% - Accent4 5 3 15" xfId="28017" xr:uid="{ADAE16F1-A9BD-443D-BDCA-B4B8C135C9E7}"/>
    <cellStyle name="60% - Accent4 5 3 16" xfId="29907" xr:uid="{023C57C7-7457-49FD-83A0-5D44CFED8895}"/>
    <cellStyle name="60% - Accent4 5 3 17" xfId="31797" xr:uid="{E1E8E701-CD31-4854-8893-92245411F4F6}"/>
    <cellStyle name="60% - Accent4 5 3 18" xfId="33687" xr:uid="{6497540A-58D2-4247-B397-BB1C93C8F91A}"/>
    <cellStyle name="60% - Accent4 5 3 19" xfId="35577" xr:uid="{47271890-DE33-428B-91A7-D1BDBF395818}"/>
    <cellStyle name="60% - Accent4 5 3 2" xfId="3447" xr:uid="{B1444E23-D3E6-4FF1-B5DC-7889CAC1E286}"/>
    <cellStyle name="60% - Accent4 5 3 20" xfId="37467" xr:uid="{F90665A4-8F59-452A-8F44-8272CD4EC416}"/>
    <cellStyle name="60% - Accent4 5 3 21" xfId="39357" xr:uid="{992D3D5A-EBC8-4C38-ABC8-C2425514D871}"/>
    <cellStyle name="60% - Accent4 5 3 22" xfId="41248" xr:uid="{362AC252-6178-44BA-A2F1-FDD00E5A4576}"/>
    <cellStyle name="60% - Accent4 5 3 3" xfId="5337" xr:uid="{4086D469-0FB1-4F37-AC01-00ABEF2D090A}"/>
    <cellStyle name="60% - Accent4 5 3 4" xfId="7227" xr:uid="{272F1AD8-998A-4F0C-B456-CE6BEBABA44F}"/>
    <cellStyle name="60% - Accent4 5 3 5" xfId="9117" xr:uid="{2A4FFBC2-B351-4CF1-A68B-C41183C95091}"/>
    <cellStyle name="60% - Accent4 5 3 6" xfId="11007" xr:uid="{106AB40C-7D97-43DD-95C5-CCDF1C40328D}"/>
    <cellStyle name="60% - Accent4 5 3 7" xfId="12897" xr:uid="{87A50A39-DB61-4BBD-B839-70F7DF749363}"/>
    <cellStyle name="60% - Accent4 5 3 8" xfId="14787" xr:uid="{EF20066E-DCBA-4CAC-A94A-1595A7649ECB}"/>
    <cellStyle name="60% - Accent4 5 3 9" xfId="16677" xr:uid="{57486A1C-7BB9-4DAE-9E94-E04705DF3EEF}"/>
    <cellStyle name="60% - Accent4 5 4" xfId="2187" xr:uid="{4435B5F1-670C-4B93-A7AD-307B4868AFD6}"/>
    <cellStyle name="60% - Accent4 5 5" xfId="4077" xr:uid="{589783CD-A52E-4643-AD7E-AA51FCD4EE18}"/>
    <cellStyle name="60% - Accent4 5 6" xfId="5967" xr:uid="{50AF5D66-AE16-43DE-8CD5-166B8CC495EF}"/>
    <cellStyle name="60% - Accent4 5 7" xfId="7857" xr:uid="{3F808BBC-9B9B-457C-B63F-22F83C32D2BA}"/>
    <cellStyle name="60% - Accent4 5 8" xfId="9747" xr:uid="{DA7A76E0-7199-4E6F-887C-FE6A95D22163}"/>
    <cellStyle name="60% - Accent4 5 9" xfId="11637" xr:uid="{8C500974-EB7C-4887-A8C3-85EFDFC63F7C}"/>
    <cellStyle name="60% - Accent4 6" xfId="507" xr:uid="{78408299-0877-4802-A919-DD91A2E3D689}"/>
    <cellStyle name="60% - Accent4 6 10" xfId="13737" xr:uid="{4D5696B9-056F-4C65-8C42-3BE80B2F36E5}"/>
    <cellStyle name="60% - Accent4 6 11" xfId="15627" xr:uid="{A7461183-39E9-4517-B4A6-FAAB087FB2F5}"/>
    <cellStyle name="60% - Accent4 6 12" xfId="17517" xr:uid="{C7743D0C-0E57-43C9-8DF7-DFFA7C9DCD6D}"/>
    <cellStyle name="60% - Accent4 6 13" xfId="19407" xr:uid="{D2454596-F3CC-4349-B570-38CEB05A1047}"/>
    <cellStyle name="60% - Accent4 6 14" xfId="21297" xr:uid="{C57F88D4-B5AF-434E-A35F-FF1C7F573AA8}"/>
    <cellStyle name="60% - Accent4 6 15" xfId="23187" xr:uid="{4FA63871-8700-4E95-BDF7-75604760DC68}"/>
    <cellStyle name="60% - Accent4 6 16" xfId="25077" xr:uid="{EEA3E6E3-D363-4CAC-90AD-2E326744E34C}"/>
    <cellStyle name="60% - Accent4 6 17" xfId="26967" xr:uid="{62BC7D96-78C8-45C3-9AF5-92682A99B9FC}"/>
    <cellStyle name="60% - Accent4 6 18" xfId="28857" xr:uid="{CF11A839-9178-4BF6-80FC-03EFFC18640E}"/>
    <cellStyle name="60% - Accent4 6 19" xfId="30747" xr:uid="{B8CEEFE6-7E38-48BD-9593-61B6DD09FCB2}"/>
    <cellStyle name="60% - Accent4 6 2" xfId="1137" xr:uid="{1FB4BEAA-BCCB-4564-8D6C-7E80654FB4BD}"/>
    <cellStyle name="60% - Accent4 6 2 10" xfId="18147" xr:uid="{FBD408A3-B0AA-4183-9B27-1240B51FB828}"/>
    <cellStyle name="60% - Accent4 6 2 11" xfId="20037" xr:uid="{678F4D5D-D99C-472B-A056-53C37A4419D6}"/>
    <cellStyle name="60% - Accent4 6 2 12" xfId="21927" xr:uid="{0A5233B8-F514-40E5-80B6-EC67DE7EDB35}"/>
    <cellStyle name="60% - Accent4 6 2 13" xfId="23817" xr:uid="{EBE36AB1-A416-47A7-8D23-08BC7ED5BE7E}"/>
    <cellStyle name="60% - Accent4 6 2 14" xfId="25707" xr:uid="{4D2757FF-2E04-4C04-B4F8-E95895EFE68E}"/>
    <cellStyle name="60% - Accent4 6 2 15" xfId="27597" xr:uid="{7469A552-26DF-41ED-AE8D-3285175FE603}"/>
    <cellStyle name="60% - Accent4 6 2 16" xfId="29487" xr:uid="{94EA1501-AD51-42E1-82D5-384984C263DB}"/>
    <cellStyle name="60% - Accent4 6 2 17" xfId="31377" xr:uid="{67836D93-3C1C-4CA5-83BD-A3FCAED9B9D0}"/>
    <cellStyle name="60% - Accent4 6 2 18" xfId="33267" xr:uid="{F4E78AF9-203D-4189-9D28-8FCF817C89A6}"/>
    <cellStyle name="60% - Accent4 6 2 19" xfId="35157" xr:uid="{551164F5-63BF-4E06-9895-AC603110DE44}"/>
    <cellStyle name="60% - Accent4 6 2 2" xfId="3027" xr:uid="{51E47B13-801E-4585-B061-45C4D7D37892}"/>
    <cellStyle name="60% - Accent4 6 2 20" xfId="37047" xr:uid="{9ED25FE2-2226-41C8-95A4-46423801DC25}"/>
    <cellStyle name="60% - Accent4 6 2 21" xfId="38937" xr:uid="{98BDD9E5-1417-48A7-B524-DFD8D12EDCCA}"/>
    <cellStyle name="60% - Accent4 6 2 22" xfId="40828" xr:uid="{E76644BE-8BA3-4E45-85D9-F98E5302BF2A}"/>
    <cellStyle name="60% - Accent4 6 2 3" xfId="4917" xr:uid="{DBEB2204-D244-4A55-ABF3-FCD3893C3FC7}"/>
    <cellStyle name="60% - Accent4 6 2 4" xfId="6807" xr:uid="{914740E4-B694-405B-B43A-FA95BF3280F6}"/>
    <cellStyle name="60% - Accent4 6 2 5" xfId="8697" xr:uid="{3DECC133-B952-4A27-B008-20AD9236315F}"/>
    <cellStyle name="60% - Accent4 6 2 6" xfId="10587" xr:uid="{D9D4D7FB-E09E-44F1-A3B5-85D700E64239}"/>
    <cellStyle name="60% - Accent4 6 2 7" xfId="12477" xr:uid="{3C5C3B64-6AAB-4DE9-B61B-9AF780648CE8}"/>
    <cellStyle name="60% - Accent4 6 2 8" xfId="14367" xr:uid="{8C788397-07C4-4855-B5C1-B10CDEA8A502}"/>
    <cellStyle name="60% - Accent4 6 2 9" xfId="16257" xr:uid="{B3CD3805-9A2A-483C-A4EE-7A24682127A0}"/>
    <cellStyle name="60% - Accent4 6 20" xfId="32637" xr:uid="{8D923734-FAAE-4179-9C6F-D39A3152B916}"/>
    <cellStyle name="60% - Accent4 6 21" xfId="34527" xr:uid="{C0C7F087-5A11-49E2-BA71-E86702A63C56}"/>
    <cellStyle name="60% - Accent4 6 22" xfId="36417" xr:uid="{5790BA42-8A82-48DB-93D3-39FB912B8632}"/>
    <cellStyle name="60% - Accent4 6 23" xfId="38307" xr:uid="{FFBCDF4D-F1FE-4060-B302-DCFD27E03561}"/>
    <cellStyle name="60% - Accent4 6 24" xfId="40198" xr:uid="{D3336E23-99A5-42F9-9A47-ABEE67B58C06}"/>
    <cellStyle name="60% - Accent4 6 3" xfId="1767" xr:uid="{15896E7B-8AA6-4739-BF06-617E9CAD61FD}"/>
    <cellStyle name="60% - Accent4 6 3 10" xfId="18777" xr:uid="{9056914B-5A0C-44A4-9D4B-224ECF7D965F}"/>
    <cellStyle name="60% - Accent4 6 3 11" xfId="20667" xr:uid="{F3BF3B0E-8B35-4181-8529-7A5FBC84B5BF}"/>
    <cellStyle name="60% - Accent4 6 3 12" xfId="22557" xr:uid="{57F3DD89-BCEA-447A-96FA-1EC18FEDC2A1}"/>
    <cellStyle name="60% - Accent4 6 3 13" xfId="24447" xr:uid="{F5AB4053-F60B-4414-92C5-76D5F71AA066}"/>
    <cellStyle name="60% - Accent4 6 3 14" xfId="26337" xr:uid="{1F5F2179-CBA1-4280-8BB8-A61E6EE9CD98}"/>
    <cellStyle name="60% - Accent4 6 3 15" xfId="28227" xr:uid="{78A88A34-768E-43BA-8FD9-8079E23418AF}"/>
    <cellStyle name="60% - Accent4 6 3 16" xfId="30117" xr:uid="{FA544F38-43A8-4860-A765-CBF0CAFA8AF0}"/>
    <cellStyle name="60% - Accent4 6 3 17" xfId="32007" xr:uid="{3C850299-72A2-4072-A803-1261B9E8CC10}"/>
    <cellStyle name="60% - Accent4 6 3 18" xfId="33897" xr:uid="{8FF6C66A-0D47-45B3-81F3-4C52F1DFB89B}"/>
    <cellStyle name="60% - Accent4 6 3 19" xfId="35787" xr:uid="{6BAAFC30-1DF8-451C-A887-BE634C91992D}"/>
    <cellStyle name="60% - Accent4 6 3 2" xfId="3657" xr:uid="{7965EAEC-2376-46BF-9B57-280BB02CC776}"/>
    <cellStyle name="60% - Accent4 6 3 20" xfId="37677" xr:uid="{B5A17F9E-F32E-4DE1-ABAC-2E5548A48439}"/>
    <cellStyle name="60% - Accent4 6 3 21" xfId="39567" xr:uid="{C8A6CF7D-E59D-4FBB-A304-9AE5E2BCA584}"/>
    <cellStyle name="60% - Accent4 6 3 22" xfId="41458" xr:uid="{2B9AD4DA-350C-4B44-8B37-CDFB488CA5D3}"/>
    <cellStyle name="60% - Accent4 6 3 3" xfId="5547" xr:uid="{65151BC3-3095-43BF-BD25-6A702FE92F9C}"/>
    <cellStyle name="60% - Accent4 6 3 4" xfId="7437" xr:uid="{BE1AE57B-A799-497F-A4DB-0207641863B5}"/>
    <cellStyle name="60% - Accent4 6 3 5" xfId="9327" xr:uid="{519E3168-9C46-476B-8505-57579B5E10A1}"/>
    <cellStyle name="60% - Accent4 6 3 6" xfId="11217" xr:uid="{D9FEDAB4-0FD2-4559-BF36-063CB006BB5E}"/>
    <cellStyle name="60% - Accent4 6 3 7" xfId="13107" xr:uid="{1AE3BBE0-EED5-4519-A27A-EF0374FCFAC6}"/>
    <cellStyle name="60% - Accent4 6 3 8" xfId="14997" xr:uid="{A89970CA-D1C8-4897-9164-0DD617C27DD7}"/>
    <cellStyle name="60% - Accent4 6 3 9" xfId="16887" xr:uid="{56BB99A7-C4AA-40CE-B039-3CB83FB1FDD3}"/>
    <cellStyle name="60% - Accent4 6 4" xfId="2397" xr:uid="{0B838079-7A70-4017-94FD-AE9625DD9B72}"/>
    <cellStyle name="60% - Accent4 6 5" xfId="4287" xr:uid="{746E23A5-E2FF-43DE-8798-65DF2833C6DE}"/>
    <cellStyle name="60% - Accent4 6 6" xfId="6177" xr:uid="{9CB2DF5D-58B9-4AF8-8609-2FB39E4513C5}"/>
    <cellStyle name="60% - Accent4 6 7" xfId="8067" xr:uid="{42344C44-E289-4C4D-B527-7C617B40D787}"/>
    <cellStyle name="60% - Accent4 6 8" xfId="9957" xr:uid="{7E6609A8-3284-4C2A-BAE6-E53CFB1EF942}"/>
    <cellStyle name="60% - Accent4 6 9" xfId="11847" xr:uid="{D40D4EC9-5FEE-468D-8FBD-44925AFC2527}"/>
    <cellStyle name="60% - Accent4 7" xfId="717" xr:uid="{52C3D85E-776A-44FF-9D57-92F47D593427}"/>
    <cellStyle name="60% - Accent4 7 10" xfId="17727" xr:uid="{A4AE4BFB-A483-41F3-BBCD-3250F3E9577B}"/>
    <cellStyle name="60% - Accent4 7 11" xfId="19617" xr:uid="{B83BCBA3-2C94-490B-AD55-0DF56F1788A6}"/>
    <cellStyle name="60% - Accent4 7 12" xfId="21507" xr:uid="{A9402AD5-9AB6-4DEA-A96D-E732C5DA4AF5}"/>
    <cellStyle name="60% - Accent4 7 13" xfId="23397" xr:uid="{5CEBD8E9-26DC-4FB7-8D84-F9CEBE12FFF8}"/>
    <cellStyle name="60% - Accent4 7 14" xfId="25287" xr:uid="{8E386FCB-092B-4659-8FB7-9A7677B0D439}"/>
    <cellStyle name="60% - Accent4 7 15" xfId="27177" xr:uid="{F863F749-4628-4A16-9425-C9541E55B39A}"/>
    <cellStyle name="60% - Accent4 7 16" xfId="29067" xr:uid="{B15ED0E9-B10B-4246-B1D1-5FB00FE5CFEB}"/>
    <cellStyle name="60% - Accent4 7 17" xfId="30957" xr:uid="{AFFBF329-79A5-40A4-B803-76ECAF5BBB0F}"/>
    <cellStyle name="60% - Accent4 7 18" xfId="32847" xr:uid="{0F09E2C0-C1D6-49B0-8FD5-1E97D87694E8}"/>
    <cellStyle name="60% - Accent4 7 19" xfId="34737" xr:uid="{4DE62AFE-9D7D-42FA-9071-316AFA1CB25F}"/>
    <cellStyle name="60% - Accent4 7 2" xfId="2607" xr:uid="{6ABDBC73-33A8-4065-AB0D-3E4DE05D3B27}"/>
    <cellStyle name="60% - Accent4 7 20" xfId="36627" xr:uid="{587179D2-94DA-468A-9B80-98D13915D1D3}"/>
    <cellStyle name="60% - Accent4 7 21" xfId="38517" xr:uid="{3A4545D7-CA0D-4C5A-B744-C1A9353EF272}"/>
    <cellStyle name="60% - Accent4 7 22" xfId="40408" xr:uid="{06084DA6-1C41-4910-9F00-9123E9C5C540}"/>
    <cellStyle name="60% - Accent4 7 3" xfId="4497" xr:uid="{87029CC1-29F9-488F-9C33-ECFCB49C152E}"/>
    <cellStyle name="60% - Accent4 7 4" xfId="6387" xr:uid="{A8707364-AE20-4723-A671-A23119033BFC}"/>
    <cellStyle name="60% - Accent4 7 5" xfId="8277" xr:uid="{AA971A31-CB80-463B-B1A2-53B3D7EEAD0E}"/>
    <cellStyle name="60% - Accent4 7 6" xfId="10167" xr:uid="{C1A86DF7-CDE5-46B0-84A9-A3D48BBD500A}"/>
    <cellStyle name="60% - Accent4 7 7" xfId="12057" xr:uid="{F2CDD715-4A69-4750-8462-CCD1153EC467}"/>
    <cellStyle name="60% - Accent4 7 8" xfId="13947" xr:uid="{F3229788-51B7-415B-ADC2-F0BA401D2F42}"/>
    <cellStyle name="60% - Accent4 7 9" xfId="15837" xr:uid="{7ACCD525-6D9E-44B7-A9D9-1F1E4D9B6907}"/>
    <cellStyle name="60% - Accent4 8" xfId="1347" xr:uid="{83DECDCC-B382-4553-8164-822EA53A9977}"/>
    <cellStyle name="60% - Accent4 8 10" xfId="18357" xr:uid="{E2FC8E54-3F48-4D9B-B7AA-5E0D014C35F5}"/>
    <cellStyle name="60% - Accent4 8 11" xfId="20247" xr:uid="{5175B9D4-64D9-4794-9103-2289FF4C2D3D}"/>
    <cellStyle name="60% - Accent4 8 12" xfId="22137" xr:uid="{EC395B9A-E466-44D2-9996-DEAF1F31AFC3}"/>
    <cellStyle name="60% - Accent4 8 13" xfId="24027" xr:uid="{3E2E3DE0-7142-482F-B024-BD34A655A302}"/>
    <cellStyle name="60% - Accent4 8 14" xfId="25917" xr:uid="{B90EF73C-F8BE-49CE-9997-EC4B5AEE454E}"/>
    <cellStyle name="60% - Accent4 8 15" xfId="27807" xr:uid="{9E2D0512-7BF0-4725-9807-DD9BADA08737}"/>
    <cellStyle name="60% - Accent4 8 16" xfId="29697" xr:uid="{92851E36-C4A4-4DAB-879E-AB0A998AEB2A}"/>
    <cellStyle name="60% - Accent4 8 17" xfId="31587" xr:uid="{92B0C985-8E7B-4F7E-B019-FCC4AE4D1191}"/>
    <cellStyle name="60% - Accent4 8 18" xfId="33477" xr:uid="{9144AF43-0C48-4851-9967-484A05285404}"/>
    <cellStyle name="60% - Accent4 8 19" xfId="35367" xr:uid="{CC04396C-D2F3-40DE-9955-75F371A7C950}"/>
    <cellStyle name="60% - Accent4 8 2" xfId="3237" xr:uid="{4DF7A50D-0108-4912-BC68-88888E8CB877}"/>
    <cellStyle name="60% - Accent4 8 20" xfId="37257" xr:uid="{52158870-6436-4E86-9399-4B190C07699F}"/>
    <cellStyle name="60% - Accent4 8 21" xfId="39147" xr:uid="{378FDE83-3C9A-43A2-9CC8-39B0DD831EDB}"/>
    <cellStyle name="60% - Accent4 8 22" xfId="41038" xr:uid="{EBD3CBA3-0F0A-4C2A-A5A3-0637BD18B6A9}"/>
    <cellStyle name="60% - Accent4 8 3" xfId="5127" xr:uid="{597B5C82-2168-483B-81F4-DB83F4969799}"/>
    <cellStyle name="60% - Accent4 8 4" xfId="7017" xr:uid="{0BEA9049-E5C0-4B10-8DC2-7AEC380D865B}"/>
    <cellStyle name="60% - Accent4 8 5" xfId="8907" xr:uid="{CED81D13-CA40-4C62-B5B8-189FDEEC17DE}"/>
    <cellStyle name="60% - Accent4 8 6" xfId="10797" xr:uid="{2B377858-54DA-4818-AB2D-A0CAE029DB08}"/>
    <cellStyle name="60% - Accent4 8 7" xfId="12687" xr:uid="{650AD7E3-0312-4C4D-895F-32181F49047C}"/>
    <cellStyle name="60% - Accent4 8 8" xfId="14577" xr:uid="{762AA7E6-6013-42CB-B81E-C10C7A9E62ED}"/>
    <cellStyle name="60% - Accent4 8 9" xfId="16467" xr:uid="{6018CD64-40C6-4F48-97F8-26C701F62B92}"/>
    <cellStyle name="60% - Accent4 9" xfId="1977" xr:uid="{F01AB7DB-0864-425C-B09A-79331D171A19}"/>
    <cellStyle name="60% - Accent5" xfId="89" builtinId="48" customBuiltin="1"/>
    <cellStyle name="60% - Accent5 10" xfId="3870" xr:uid="{FA94E29E-2EFB-4FCB-87FB-B02ABCFBCD83}"/>
    <cellStyle name="60% - Accent5 11" xfId="5760" xr:uid="{62ADE6B8-04F8-4E0E-8798-B5F3FB4CF3A0}"/>
    <cellStyle name="60% - Accent5 12" xfId="7650" xr:uid="{2D8FCA8D-A5CF-477E-BC66-51007CE6238F}"/>
    <cellStyle name="60% - Accent5 13" xfId="9540" xr:uid="{337AAF06-0202-44CD-9646-1D7688C74A70}"/>
    <cellStyle name="60% - Accent5 14" xfId="11430" xr:uid="{8982BA4A-517D-4C4F-A960-0C693E44091E}"/>
    <cellStyle name="60% - Accent5 15" xfId="13320" xr:uid="{30711D59-F8C2-415A-B2B2-604B675BC770}"/>
    <cellStyle name="60% - Accent5 16" xfId="15210" xr:uid="{46AD1DA8-DFA1-4633-9557-126EC0F8942E}"/>
    <cellStyle name="60% - Accent5 17" xfId="17100" xr:uid="{B6BF9CA4-1EF4-4192-9E70-26884CE2688F}"/>
    <cellStyle name="60% - Accent5 18" xfId="18990" xr:uid="{73223D2D-2903-45F1-BE34-E3EFC2C28B41}"/>
    <cellStyle name="60% - Accent5 19" xfId="20880" xr:uid="{E9463290-D68C-4A9D-86CD-F32CD5ECAAB5}"/>
    <cellStyle name="60% - Accent5 2" xfId="112" xr:uid="{FEAB82DD-88A9-49B2-9A5B-5401D3D3FBF1}"/>
    <cellStyle name="60% - Accent5 2 10" xfId="7672" xr:uid="{1D11E4E0-F5D4-49FC-BF17-880F2AA273E8}"/>
    <cellStyle name="60% - Accent5 2 11" xfId="9562" xr:uid="{62762122-9BFD-46CA-9145-EA3F01AE03B4}"/>
    <cellStyle name="60% - Accent5 2 12" xfId="11452" xr:uid="{C1112C52-C370-4D18-977F-2788B3930F18}"/>
    <cellStyle name="60% - Accent5 2 13" xfId="13342" xr:uid="{C5998524-9AB4-4B29-BE64-440F0706053F}"/>
    <cellStyle name="60% - Accent5 2 14" xfId="15232" xr:uid="{7F6AA63C-34D7-44D4-8A38-CC153F76A277}"/>
    <cellStyle name="60% - Accent5 2 15" xfId="17122" xr:uid="{8FF74E16-690E-4110-8BD8-ADCAF7F3BA61}"/>
    <cellStyle name="60% - Accent5 2 16" xfId="19012" xr:uid="{0C7BF4B8-C841-43B4-A115-17616CA3F921}"/>
    <cellStyle name="60% - Accent5 2 17" xfId="20902" xr:uid="{AAC355BB-B3B2-40F2-9DD6-3362FB373185}"/>
    <cellStyle name="60% - Accent5 2 18" xfId="22792" xr:uid="{87DD2478-599B-44AD-8B6F-26B76305E19E}"/>
    <cellStyle name="60% - Accent5 2 19" xfId="24682" xr:uid="{BBED2C99-67CD-423F-B5DB-EF2886C9C969}"/>
    <cellStyle name="60% - Accent5 2 2" xfId="217" xr:uid="{0A9B75E5-2A1F-4138-BCBC-F4C7A6EAC551}"/>
    <cellStyle name="60% - Accent5 2 2 10" xfId="9667" xr:uid="{C3FB4E41-7C1B-4D36-B429-CED3CA01EC0F}"/>
    <cellStyle name="60% - Accent5 2 2 11" xfId="11557" xr:uid="{0E7C0533-361E-41D0-9F27-9C738FB68B8E}"/>
    <cellStyle name="60% - Accent5 2 2 12" xfId="13447" xr:uid="{ED0D39BD-E311-4577-90AC-7F482C189897}"/>
    <cellStyle name="60% - Accent5 2 2 13" xfId="15337" xr:uid="{FED03211-9066-4391-B759-932E4529739B}"/>
    <cellStyle name="60% - Accent5 2 2 14" xfId="17227" xr:uid="{88E4D5B3-1E4A-49FA-B352-2BBDB099352C}"/>
    <cellStyle name="60% - Accent5 2 2 15" xfId="19117" xr:uid="{12EA7148-B18C-47AA-B799-835DB17A8DA5}"/>
    <cellStyle name="60% - Accent5 2 2 16" xfId="21007" xr:uid="{536E49CD-0FA8-4A7C-B825-E77BFF8056AE}"/>
    <cellStyle name="60% - Accent5 2 2 17" xfId="22897" xr:uid="{871D255F-FC05-424C-9CE5-B6E81E907FC4}"/>
    <cellStyle name="60% - Accent5 2 2 18" xfId="24787" xr:uid="{009B9F08-9686-4282-9273-EF99388B9383}"/>
    <cellStyle name="60% - Accent5 2 2 19" xfId="26677" xr:uid="{4970CCA9-3435-42EF-B212-D686356D3455}"/>
    <cellStyle name="60% - Accent5 2 2 2" xfId="427" xr:uid="{6ED27289-34C9-4B32-93F7-00031A510495}"/>
    <cellStyle name="60% - Accent5 2 2 2 10" xfId="13657" xr:uid="{E9016596-A555-4A2E-BA88-A9B9EC25EE12}"/>
    <cellStyle name="60% - Accent5 2 2 2 11" xfId="15547" xr:uid="{2DA2594B-BCED-4F31-B909-04B6793ED470}"/>
    <cellStyle name="60% - Accent5 2 2 2 12" xfId="17437" xr:uid="{55348DD5-2F1B-445D-B19B-AA906C02163E}"/>
    <cellStyle name="60% - Accent5 2 2 2 13" xfId="19327" xr:uid="{943E15D8-04E1-4AE8-BD30-88D7C3DDEE8C}"/>
    <cellStyle name="60% - Accent5 2 2 2 14" xfId="21217" xr:uid="{5A541672-AD0C-40CC-9DCC-16CC92D553CA}"/>
    <cellStyle name="60% - Accent5 2 2 2 15" xfId="23107" xr:uid="{D137829A-6F8D-4AC2-8790-A6695A639A08}"/>
    <cellStyle name="60% - Accent5 2 2 2 16" xfId="24997" xr:uid="{70865426-E633-4CD9-9EB0-B0DBD92D7804}"/>
    <cellStyle name="60% - Accent5 2 2 2 17" xfId="26887" xr:uid="{9B95AED7-4739-4AF6-B05C-1F62A9E42DE6}"/>
    <cellStyle name="60% - Accent5 2 2 2 18" xfId="28777" xr:uid="{29549A9C-E89C-4D7D-BA4E-0D82E8F74487}"/>
    <cellStyle name="60% - Accent5 2 2 2 19" xfId="30667" xr:uid="{B744DDF1-85B5-48C7-9932-1C6D36D44F39}"/>
    <cellStyle name="60% - Accent5 2 2 2 2" xfId="1057" xr:uid="{C1987B65-6108-4187-B77B-AE0C05C4238C}"/>
    <cellStyle name="60% - Accent5 2 2 2 2 10" xfId="18067" xr:uid="{704AC950-D4AC-479E-BBCA-A6A574D51617}"/>
    <cellStyle name="60% - Accent5 2 2 2 2 11" xfId="19957" xr:uid="{D568EEA3-BA8B-45C8-89D4-FB9DBFF03436}"/>
    <cellStyle name="60% - Accent5 2 2 2 2 12" xfId="21847" xr:uid="{4898F4E0-0150-4C8E-9517-DCFADBB6282F}"/>
    <cellStyle name="60% - Accent5 2 2 2 2 13" xfId="23737" xr:uid="{F4DEE7EE-2772-4196-AB0A-189A8DE4F8B7}"/>
    <cellStyle name="60% - Accent5 2 2 2 2 14" xfId="25627" xr:uid="{BF1F96D9-EA5E-4594-95B8-55D7E2E0C526}"/>
    <cellStyle name="60% - Accent5 2 2 2 2 15" xfId="27517" xr:uid="{8733D7D9-F1A7-42E8-9856-E767CA0E6E5D}"/>
    <cellStyle name="60% - Accent5 2 2 2 2 16" xfId="29407" xr:uid="{B394531A-C92C-43C1-AA5B-E0EA119A3CD5}"/>
    <cellStyle name="60% - Accent5 2 2 2 2 17" xfId="31297" xr:uid="{C9C1987D-3E1A-4CE0-8042-526B187BB978}"/>
    <cellStyle name="60% - Accent5 2 2 2 2 18" xfId="33187" xr:uid="{F53C0EE9-9BC8-4F73-9EB6-755DBC3F326B}"/>
    <cellStyle name="60% - Accent5 2 2 2 2 19" xfId="35077" xr:uid="{DC0FAA14-CC42-4E26-8009-0B7FB70C2A62}"/>
    <cellStyle name="60% - Accent5 2 2 2 2 2" xfId="2947" xr:uid="{4E7F4CCD-45D5-4A36-95AA-629996BD1B4C}"/>
    <cellStyle name="60% - Accent5 2 2 2 2 20" xfId="36967" xr:uid="{67A40588-026D-4B50-95BA-3A62EECE0BB4}"/>
    <cellStyle name="60% - Accent5 2 2 2 2 21" xfId="38857" xr:uid="{FC8C1341-4796-4994-94ED-7419ED05B6FC}"/>
    <cellStyle name="60% - Accent5 2 2 2 2 22" xfId="40748" xr:uid="{72216108-1963-402F-B54A-77CEF3E96475}"/>
    <cellStyle name="60% - Accent5 2 2 2 2 3" xfId="4837" xr:uid="{1CF29BE5-5F60-4E02-A65B-40DB0D1C560D}"/>
    <cellStyle name="60% - Accent5 2 2 2 2 4" xfId="6727" xr:uid="{FE6DC697-4F29-4C76-A114-FFB4176292C0}"/>
    <cellStyle name="60% - Accent5 2 2 2 2 5" xfId="8617" xr:uid="{9BC04ED1-B374-49AD-85A3-9FF64FC878E2}"/>
    <cellStyle name="60% - Accent5 2 2 2 2 6" xfId="10507" xr:uid="{1B4F4892-1ACF-4570-97F2-0A1E483BC21F}"/>
    <cellStyle name="60% - Accent5 2 2 2 2 7" xfId="12397" xr:uid="{45A35F4D-6A54-4514-BF3C-22D07E7EC111}"/>
    <cellStyle name="60% - Accent5 2 2 2 2 8" xfId="14287" xr:uid="{852511A7-BDD0-40C9-BA77-B2BAFF0F362A}"/>
    <cellStyle name="60% - Accent5 2 2 2 2 9" xfId="16177" xr:uid="{50519DA5-1B2C-4396-8066-79E8E9A8BF04}"/>
    <cellStyle name="60% - Accent5 2 2 2 20" xfId="32557" xr:uid="{1BE4A5F6-4C1E-475B-A790-96144182D210}"/>
    <cellStyle name="60% - Accent5 2 2 2 21" xfId="34447" xr:uid="{F5F56160-F367-45E3-B8B9-FB4319030986}"/>
    <cellStyle name="60% - Accent5 2 2 2 22" xfId="36337" xr:uid="{ECEB7219-6658-4A00-9CFA-A11EEAA20049}"/>
    <cellStyle name="60% - Accent5 2 2 2 23" xfId="38227" xr:uid="{CB6C30C5-A3D5-40CC-9FAF-53952735E37E}"/>
    <cellStyle name="60% - Accent5 2 2 2 24" xfId="40118" xr:uid="{3D1BBCA6-27F5-47B1-BCFD-F417F6BFED88}"/>
    <cellStyle name="60% - Accent5 2 2 2 3" xfId="1687" xr:uid="{ACE1DF99-99ED-4A12-9912-83AD44238BE7}"/>
    <cellStyle name="60% - Accent5 2 2 2 3 10" xfId="18697" xr:uid="{6A7BCF55-7E46-4101-9ECE-097ABF1A8612}"/>
    <cellStyle name="60% - Accent5 2 2 2 3 11" xfId="20587" xr:uid="{D5C9DF73-BA71-4F8A-AB22-B6739CB1808C}"/>
    <cellStyle name="60% - Accent5 2 2 2 3 12" xfId="22477" xr:uid="{9C0672BA-7956-4F02-AAD9-290F28FEA4A0}"/>
    <cellStyle name="60% - Accent5 2 2 2 3 13" xfId="24367" xr:uid="{E738EA1C-941D-4907-8FED-6A2A362C38B2}"/>
    <cellStyle name="60% - Accent5 2 2 2 3 14" xfId="26257" xr:uid="{4185E238-3CFB-4FBB-B8C3-9ED1ED40B664}"/>
    <cellStyle name="60% - Accent5 2 2 2 3 15" xfId="28147" xr:uid="{6CBC065C-3234-4CE7-94AF-F94CDCBBC9B2}"/>
    <cellStyle name="60% - Accent5 2 2 2 3 16" xfId="30037" xr:uid="{FB098267-5180-4D08-B969-29F2C889B3F5}"/>
    <cellStyle name="60% - Accent5 2 2 2 3 17" xfId="31927" xr:uid="{90FC37EC-C841-49DD-B760-66E8478F489F}"/>
    <cellStyle name="60% - Accent5 2 2 2 3 18" xfId="33817" xr:uid="{BC9F930D-470C-4F78-B640-92C470621A69}"/>
    <cellStyle name="60% - Accent5 2 2 2 3 19" xfId="35707" xr:uid="{90201E3A-266C-4CC1-A4CA-BBB7292A9929}"/>
    <cellStyle name="60% - Accent5 2 2 2 3 2" xfId="3577" xr:uid="{CFDCD45D-C905-43C6-A3FA-E39C5ED2EB52}"/>
    <cellStyle name="60% - Accent5 2 2 2 3 20" xfId="37597" xr:uid="{A1F6DCD0-F10D-45B4-8F1B-15B369166641}"/>
    <cellStyle name="60% - Accent5 2 2 2 3 21" xfId="39487" xr:uid="{659E1CC1-B03A-450D-AD25-49FC9F4356E5}"/>
    <cellStyle name="60% - Accent5 2 2 2 3 22" xfId="41378" xr:uid="{7472FFBD-0CB1-4FB3-931F-921F33A95A4A}"/>
    <cellStyle name="60% - Accent5 2 2 2 3 3" xfId="5467" xr:uid="{65A1E8F0-8B33-470A-9C48-4E994679840E}"/>
    <cellStyle name="60% - Accent5 2 2 2 3 4" xfId="7357" xr:uid="{8494FFCD-75BF-4A58-A896-4E868D04AC3E}"/>
    <cellStyle name="60% - Accent5 2 2 2 3 5" xfId="9247" xr:uid="{43711439-6DC5-4851-A98B-FD112DB20AE4}"/>
    <cellStyle name="60% - Accent5 2 2 2 3 6" xfId="11137" xr:uid="{8058ECE8-BFB7-4C7E-8F85-609562681E96}"/>
    <cellStyle name="60% - Accent5 2 2 2 3 7" xfId="13027" xr:uid="{A2939DA0-4F13-424F-8E05-0AC9ACF19530}"/>
    <cellStyle name="60% - Accent5 2 2 2 3 8" xfId="14917" xr:uid="{6309CDF9-F215-472F-8551-2FBBA7A647BD}"/>
    <cellStyle name="60% - Accent5 2 2 2 3 9" xfId="16807" xr:uid="{DE397D6D-0DFB-4242-BDFD-E727EF4E146E}"/>
    <cellStyle name="60% - Accent5 2 2 2 4" xfId="2317" xr:uid="{3A8E2298-4D7B-45A7-BDC7-E4983DB5975A}"/>
    <cellStyle name="60% - Accent5 2 2 2 5" xfId="4207" xr:uid="{789E052C-C052-41B3-93D4-79C5B6D24D64}"/>
    <cellStyle name="60% - Accent5 2 2 2 6" xfId="6097" xr:uid="{A9F7420A-12B9-4591-9FCE-CEA687E2BEEE}"/>
    <cellStyle name="60% - Accent5 2 2 2 7" xfId="7987" xr:uid="{14FA8CF1-BECA-4F30-A241-AE3E5E7703A8}"/>
    <cellStyle name="60% - Accent5 2 2 2 8" xfId="9877" xr:uid="{FBB3F928-B74F-4BD2-83A6-EB4D9F8F255E}"/>
    <cellStyle name="60% - Accent5 2 2 2 9" xfId="11767" xr:uid="{CADA1552-33DA-42CF-B6F8-67B2273B8C45}"/>
    <cellStyle name="60% - Accent5 2 2 20" xfId="28567" xr:uid="{D2702A97-4C5C-4550-885E-12545B8FE3FF}"/>
    <cellStyle name="60% - Accent5 2 2 21" xfId="30457" xr:uid="{0605DC17-E96F-4A7B-A0EB-7A795044CFD6}"/>
    <cellStyle name="60% - Accent5 2 2 22" xfId="32347" xr:uid="{8BD4BDF9-77F1-4422-A3A1-EC73A5961D39}"/>
    <cellStyle name="60% - Accent5 2 2 23" xfId="34237" xr:uid="{27E65208-A5AB-4B28-8DA7-493BD6C48FBC}"/>
    <cellStyle name="60% - Accent5 2 2 24" xfId="36127" xr:uid="{C7E776A3-54EC-4D78-82AD-E3DF4A4E6555}"/>
    <cellStyle name="60% - Accent5 2 2 25" xfId="38017" xr:uid="{B4857E46-9296-43C0-B7A7-5F09107A8D0D}"/>
    <cellStyle name="60% - Accent5 2 2 26" xfId="39908" xr:uid="{A84E7705-CB79-4C9A-BAE9-C0A079114A89}"/>
    <cellStyle name="60% - Accent5 2 2 3" xfId="637" xr:uid="{64F1FAC9-43F2-48A4-88D7-9184FFB668EE}"/>
    <cellStyle name="60% - Accent5 2 2 3 10" xfId="13867" xr:uid="{0484517C-ACF3-4D10-8FCB-E3332A235A3A}"/>
    <cellStyle name="60% - Accent5 2 2 3 11" xfId="15757" xr:uid="{7867D839-3DDB-49BD-82B4-9E67F44DF43C}"/>
    <cellStyle name="60% - Accent5 2 2 3 12" xfId="17647" xr:uid="{A9DB125C-F1DA-47E1-BF0D-EEC5B74C3332}"/>
    <cellStyle name="60% - Accent5 2 2 3 13" xfId="19537" xr:uid="{4BC00407-EACA-45BD-A9A9-1DC756B7E9E9}"/>
    <cellStyle name="60% - Accent5 2 2 3 14" xfId="21427" xr:uid="{7D3ABB4F-9BA6-496D-AFFA-072BD2219127}"/>
    <cellStyle name="60% - Accent5 2 2 3 15" xfId="23317" xr:uid="{0F412B40-52AD-4B92-B341-01BCD487A339}"/>
    <cellStyle name="60% - Accent5 2 2 3 16" xfId="25207" xr:uid="{15DC0056-7AF7-4B23-99C3-53B0E8A6FB16}"/>
    <cellStyle name="60% - Accent5 2 2 3 17" xfId="27097" xr:uid="{0ADFC5F2-8071-4CF5-8B47-97874ABE7154}"/>
    <cellStyle name="60% - Accent5 2 2 3 18" xfId="28987" xr:uid="{4BE055EA-CF9E-4BF4-858E-E6C2C5B603CD}"/>
    <cellStyle name="60% - Accent5 2 2 3 19" xfId="30877" xr:uid="{7FD3133B-C24E-4C9B-9ABC-CCFA89066A37}"/>
    <cellStyle name="60% - Accent5 2 2 3 2" xfId="1267" xr:uid="{A904EBA6-AF42-41BF-B043-AEED8E46881F}"/>
    <cellStyle name="60% - Accent5 2 2 3 2 10" xfId="18277" xr:uid="{74E1913C-415E-4C6B-9F24-A288AC51A6AA}"/>
    <cellStyle name="60% - Accent5 2 2 3 2 11" xfId="20167" xr:uid="{390B5B6F-C985-455F-A375-9CE8D4AF90B6}"/>
    <cellStyle name="60% - Accent5 2 2 3 2 12" xfId="22057" xr:uid="{74998DB9-67E5-4564-BDD9-3EF71CF35370}"/>
    <cellStyle name="60% - Accent5 2 2 3 2 13" xfId="23947" xr:uid="{97C82776-B37B-455A-B368-FDAB0DF8EC28}"/>
    <cellStyle name="60% - Accent5 2 2 3 2 14" xfId="25837" xr:uid="{164C33E1-0AEE-4D45-8ECF-FCE1BBA2EA3A}"/>
    <cellStyle name="60% - Accent5 2 2 3 2 15" xfId="27727" xr:uid="{BF39EC4A-8E1F-47FC-9D38-06A8067DA031}"/>
    <cellStyle name="60% - Accent5 2 2 3 2 16" xfId="29617" xr:uid="{8ED95D81-D1E8-498A-881F-CE267A74D41F}"/>
    <cellStyle name="60% - Accent5 2 2 3 2 17" xfId="31507" xr:uid="{0E4A36F1-4114-4016-A087-C275E37D7DD0}"/>
    <cellStyle name="60% - Accent5 2 2 3 2 18" xfId="33397" xr:uid="{30FAA420-CC58-40ED-A3E7-2671637421DB}"/>
    <cellStyle name="60% - Accent5 2 2 3 2 19" xfId="35287" xr:uid="{47154972-6360-48C8-922C-1E364173F8CB}"/>
    <cellStyle name="60% - Accent5 2 2 3 2 2" xfId="3157" xr:uid="{38048FCD-4F93-4FA7-86DF-B9A2C781CB49}"/>
    <cellStyle name="60% - Accent5 2 2 3 2 20" xfId="37177" xr:uid="{50919A70-3A27-41ED-B445-8EDF876F2AE5}"/>
    <cellStyle name="60% - Accent5 2 2 3 2 21" xfId="39067" xr:uid="{15368D1D-5915-4D75-AE8B-5D288EF3A840}"/>
    <cellStyle name="60% - Accent5 2 2 3 2 22" xfId="40958" xr:uid="{C1FFEBC5-CB3E-4787-BCA3-8075B0BAB4E1}"/>
    <cellStyle name="60% - Accent5 2 2 3 2 3" xfId="5047" xr:uid="{853F96B6-875B-47BB-B7AC-73BA47880C0B}"/>
    <cellStyle name="60% - Accent5 2 2 3 2 4" xfId="6937" xr:uid="{23CD2703-121C-4A3A-BAEA-D08CE63BC468}"/>
    <cellStyle name="60% - Accent5 2 2 3 2 5" xfId="8827" xr:uid="{46528EA9-EC1B-4DA8-AC53-541DCD8AC74A}"/>
    <cellStyle name="60% - Accent5 2 2 3 2 6" xfId="10717" xr:uid="{801F27B0-4725-4D47-8EAB-E27BB4BFA393}"/>
    <cellStyle name="60% - Accent5 2 2 3 2 7" xfId="12607" xr:uid="{5D4A2BEB-B5F1-489A-A55C-57B0AAF8F5B2}"/>
    <cellStyle name="60% - Accent5 2 2 3 2 8" xfId="14497" xr:uid="{C244EB43-DE91-49FC-B9DE-9A59A0AF476D}"/>
    <cellStyle name="60% - Accent5 2 2 3 2 9" xfId="16387" xr:uid="{B94BC7D6-6786-4F1F-98A9-6768426869E0}"/>
    <cellStyle name="60% - Accent5 2 2 3 20" xfId="32767" xr:uid="{D9E9080B-9069-4BD1-91AB-1B07147E924D}"/>
    <cellStyle name="60% - Accent5 2 2 3 21" xfId="34657" xr:uid="{4C276D48-D8B4-4E62-A955-8EB2C7488697}"/>
    <cellStyle name="60% - Accent5 2 2 3 22" xfId="36547" xr:uid="{789947BE-CC95-478A-9BE0-BFDC19EE4DFC}"/>
    <cellStyle name="60% - Accent5 2 2 3 23" xfId="38437" xr:uid="{33259342-8981-4BF3-ABB1-FA51F88FC256}"/>
    <cellStyle name="60% - Accent5 2 2 3 24" xfId="40328" xr:uid="{0C672DF2-484C-48A4-BA76-37974DB30935}"/>
    <cellStyle name="60% - Accent5 2 2 3 3" xfId="1897" xr:uid="{248695A4-B05C-44CC-9B32-AFCF5AB292E8}"/>
    <cellStyle name="60% - Accent5 2 2 3 3 10" xfId="18907" xr:uid="{174241EC-437F-4106-BB5E-70BA7D776228}"/>
    <cellStyle name="60% - Accent5 2 2 3 3 11" xfId="20797" xr:uid="{69119D1E-0638-42E0-84DC-76DF752C2B49}"/>
    <cellStyle name="60% - Accent5 2 2 3 3 12" xfId="22687" xr:uid="{2D238130-08C7-48C1-B02F-EC497BFEF2EE}"/>
    <cellStyle name="60% - Accent5 2 2 3 3 13" xfId="24577" xr:uid="{4E3E9D09-D0DA-4E14-A41A-0A59A0539234}"/>
    <cellStyle name="60% - Accent5 2 2 3 3 14" xfId="26467" xr:uid="{F991FA84-4040-4A01-B63D-6A5893B1B42F}"/>
    <cellStyle name="60% - Accent5 2 2 3 3 15" xfId="28357" xr:uid="{C3CE85E2-F101-4442-A44B-3D6D0AF2D0BE}"/>
    <cellStyle name="60% - Accent5 2 2 3 3 16" xfId="30247" xr:uid="{C2727270-24B2-4DA4-B27A-C7F40DE1BFAC}"/>
    <cellStyle name="60% - Accent5 2 2 3 3 17" xfId="32137" xr:uid="{905EFC9F-A2D1-46FF-8691-DA93DA8F49EA}"/>
    <cellStyle name="60% - Accent5 2 2 3 3 18" xfId="34027" xr:uid="{7B04DED9-CE1A-4A1D-9D72-2483262717EF}"/>
    <cellStyle name="60% - Accent5 2 2 3 3 19" xfId="35917" xr:uid="{F510DFD1-78AD-4752-BE60-E49486C34208}"/>
    <cellStyle name="60% - Accent5 2 2 3 3 2" xfId="3787" xr:uid="{2B00A459-4CAE-44CC-865D-A6A47CBFBBD2}"/>
    <cellStyle name="60% - Accent5 2 2 3 3 20" xfId="37807" xr:uid="{7C5DEEBD-CADC-46C4-9B28-BEFD0BFDBE3B}"/>
    <cellStyle name="60% - Accent5 2 2 3 3 21" xfId="39697" xr:uid="{4E233AE1-76E4-4A15-8AFC-E3D332193D1C}"/>
    <cellStyle name="60% - Accent5 2 2 3 3 22" xfId="41588" xr:uid="{6877FE7D-F206-43DA-AFD1-AFB62C878155}"/>
    <cellStyle name="60% - Accent5 2 2 3 3 3" xfId="5677" xr:uid="{493CEAF8-20E7-4A07-97B5-A8A7B83564C3}"/>
    <cellStyle name="60% - Accent5 2 2 3 3 4" xfId="7567" xr:uid="{63DDB63E-E67F-4470-B60A-4D3093632D64}"/>
    <cellStyle name="60% - Accent5 2 2 3 3 5" xfId="9457" xr:uid="{E48D6EBC-C231-489E-9822-CA4414AC7543}"/>
    <cellStyle name="60% - Accent5 2 2 3 3 6" xfId="11347" xr:uid="{C9D59F75-D802-44C0-994F-66FE2D4EEF81}"/>
    <cellStyle name="60% - Accent5 2 2 3 3 7" xfId="13237" xr:uid="{B7ED76DA-F9C8-456B-AEB3-A6454DA401CD}"/>
    <cellStyle name="60% - Accent5 2 2 3 3 8" xfId="15127" xr:uid="{F59C6BDF-2D5A-4BDD-B0BE-EDC21FDD8BF6}"/>
    <cellStyle name="60% - Accent5 2 2 3 3 9" xfId="17017" xr:uid="{E19B8F44-428D-4761-890B-FC780CAF1DEC}"/>
    <cellStyle name="60% - Accent5 2 2 3 4" xfId="2527" xr:uid="{B01AE049-91F7-4594-A1EF-B7BE2C82CBF0}"/>
    <cellStyle name="60% - Accent5 2 2 3 5" xfId="4417" xr:uid="{96C284EB-AEC7-45A8-9D50-FD17FD95C695}"/>
    <cellStyle name="60% - Accent5 2 2 3 6" xfId="6307" xr:uid="{CF1492BF-7E58-4F0D-9ADF-B6F0FCE26618}"/>
    <cellStyle name="60% - Accent5 2 2 3 7" xfId="8197" xr:uid="{F1CEF72F-E834-4F3D-95CC-711F43127CF8}"/>
    <cellStyle name="60% - Accent5 2 2 3 8" xfId="10087" xr:uid="{DCC399D5-F496-439A-96F0-08CACC176A23}"/>
    <cellStyle name="60% - Accent5 2 2 3 9" xfId="11977" xr:uid="{BD0FD889-6B94-4502-AE8C-4541C8880473}"/>
    <cellStyle name="60% - Accent5 2 2 4" xfId="847" xr:uid="{8509F1CD-84BC-4EEE-8160-614C5E68B717}"/>
    <cellStyle name="60% - Accent5 2 2 4 10" xfId="17857" xr:uid="{F6F65E43-3B44-4568-B6A8-6DD34097356B}"/>
    <cellStyle name="60% - Accent5 2 2 4 11" xfId="19747" xr:uid="{5C2C131E-A7B4-4420-8B33-120BD2182A92}"/>
    <cellStyle name="60% - Accent5 2 2 4 12" xfId="21637" xr:uid="{9BD34A65-8B70-4644-8118-1FDC6A61B53C}"/>
    <cellStyle name="60% - Accent5 2 2 4 13" xfId="23527" xr:uid="{4BBEA1F5-1E16-4F7C-B429-38BD72CD0A0F}"/>
    <cellStyle name="60% - Accent5 2 2 4 14" xfId="25417" xr:uid="{F3E6882D-902C-46F0-843E-973824CEA2A5}"/>
    <cellStyle name="60% - Accent5 2 2 4 15" xfId="27307" xr:uid="{1804B309-AAE8-4DDA-BA1D-1599BC4B0EDF}"/>
    <cellStyle name="60% - Accent5 2 2 4 16" xfId="29197" xr:uid="{90ADB3D0-7375-4B68-847C-7C7FB0FA058C}"/>
    <cellStyle name="60% - Accent5 2 2 4 17" xfId="31087" xr:uid="{BB456C9A-490A-4EDE-9A19-A71A49907D33}"/>
    <cellStyle name="60% - Accent5 2 2 4 18" xfId="32977" xr:uid="{76099058-7338-4B76-BC8E-E77053AB6195}"/>
    <cellStyle name="60% - Accent5 2 2 4 19" xfId="34867" xr:uid="{44C941CF-F7A7-4E38-9620-BD7937AD4F2B}"/>
    <cellStyle name="60% - Accent5 2 2 4 2" xfId="2737" xr:uid="{BF36E0A9-1E69-4BFC-97A5-E68A67DF32F5}"/>
    <cellStyle name="60% - Accent5 2 2 4 20" xfId="36757" xr:uid="{08105CCD-5381-4C54-8239-ECC0C1119A08}"/>
    <cellStyle name="60% - Accent5 2 2 4 21" xfId="38647" xr:uid="{1D45E166-EF4B-47F6-B972-FA917633D973}"/>
    <cellStyle name="60% - Accent5 2 2 4 22" xfId="40538" xr:uid="{ED853286-A1F1-4B63-ABD7-77125D083E77}"/>
    <cellStyle name="60% - Accent5 2 2 4 3" xfId="4627" xr:uid="{ACA12A6A-2078-4483-9361-E6694C559034}"/>
    <cellStyle name="60% - Accent5 2 2 4 4" xfId="6517" xr:uid="{7576C670-86E3-461A-A565-AC0427316B23}"/>
    <cellStyle name="60% - Accent5 2 2 4 5" xfId="8407" xr:uid="{9D597316-CB18-46D6-9A83-16CD2699AADA}"/>
    <cellStyle name="60% - Accent5 2 2 4 6" xfId="10297" xr:uid="{9B7C2878-E0CB-4DC8-8EC7-3F4E04A4008E}"/>
    <cellStyle name="60% - Accent5 2 2 4 7" xfId="12187" xr:uid="{DCC38429-411B-4537-B94B-BB08554EF47B}"/>
    <cellStyle name="60% - Accent5 2 2 4 8" xfId="14077" xr:uid="{D1385F7A-5B5E-4EC3-A6FB-D29F5DBFC250}"/>
    <cellStyle name="60% - Accent5 2 2 4 9" xfId="15967" xr:uid="{BC4B598D-3E8B-4CCC-A6C3-B192AC32187A}"/>
    <cellStyle name="60% - Accent5 2 2 5" xfId="1477" xr:uid="{791C5239-A316-49BD-BC87-057DB6D31A5E}"/>
    <cellStyle name="60% - Accent5 2 2 5 10" xfId="18487" xr:uid="{82000C7F-A20B-4EEF-A953-DF71C9F440C5}"/>
    <cellStyle name="60% - Accent5 2 2 5 11" xfId="20377" xr:uid="{20D6BC96-D2FC-425A-89C6-7AF826609EFB}"/>
    <cellStyle name="60% - Accent5 2 2 5 12" xfId="22267" xr:uid="{171A02D2-38AB-4860-B58A-B7C5D9AA0671}"/>
    <cellStyle name="60% - Accent5 2 2 5 13" xfId="24157" xr:uid="{66A26E70-20C6-4C90-B2A9-A38BAA03B4C7}"/>
    <cellStyle name="60% - Accent5 2 2 5 14" xfId="26047" xr:uid="{94131CAA-55CC-4BCB-88E4-8E9E492C422D}"/>
    <cellStyle name="60% - Accent5 2 2 5 15" xfId="27937" xr:uid="{5D6187AA-3D0D-448E-AC98-965DD480AED0}"/>
    <cellStyle name="60% - Accent5 2 2 5 16" xfId="29827" xr:uid="{30368D20-BD0D-4FE9-911C-8F2A4A923AC5}"/>
    <cellStyle name="60% - Accent5 2 2 5 17" xfId="31717" xr:uid="{9D4222BC-1700-4F70-9851-D016B6C15C91}"/>
    <cellStyle name="60% - Accent5 2 2 5 18" xfId="33607" xr:uid="{87374F2B-285F-4AB7-B9CF-100FF3FD762A}"/>
    <cellStyle name="60% - Accent5 2 2 5 19" xfId="35497" xr:uid="{9222ED0B-7758-410A-920E-A41280F30C94}"/>
    <cellStyle name="60% - Accent5 2 2 5 2" xfId="3367" xr:uid="{769EBE34-86D1-4888-A92D-3869F704228D}"/>
    <cellStyle name="60% - Accent5 2 2 5 20" xfId="37387" xr:uid="{14FFACF5-B4AA-412F-81FF-410A69A1503C}"/>
    <cellStyle name="60% - Accent5 2 2 5 21" xfId="39277" xr:uid="{00F5E197-F2B2-4D74-BDC8-493B2181ABAA}"/>
    <cellStyle name="60% - Accent5 2 2 5 22" xfId="41168" xr:uid="{5854D6B5-5DF0-41FE-8655-F72853201A23}"/>
    <cellStyle name="60% - Accent5 2 2 5 3" xfId="5257" xr:uid="{BA0FCDA3-B284-4274-A7EF-6435DB5790FA}"/>
    <cellStyle name="60% - Accent5 2 2 5 4" xfId="7147" xr:uid="{EDB142A3-A125-4F3C-98E2-1A2A5F877377}"/>
    <cellStyle name="60% - Accent5 2 2 5 5" xfId="9037" xr:uid="{AFDADD4C-9E35-4674-BDC1-BC40B5E26FB0}"/>
    <cellStyle name="60% - Accent5 2 2 5 6" xfId="10927" xr:uid="{A2795BA5-29F5-438B-92F4-DF0DDEFD88D2}"/>
    <cellStyle name="60% - Accent5 2 2 5 7" xfId="12817" xr:uid="{B1E32FA3-321A-42DF-9533-06EBC2B18CC6}"/>
    <cellStyle name="60% - Accent5 2 2 5 8" xfId="14707" xr:uid="{4526E2AC-F223-4A12-8279-A49B6F818545}"/>
    <cellStyle name="60% - Accent5 2 2 5 9" xfId="16597" xr:uid="{F5651CE5-60E3-4127-B37F-CAF268E85521}"/>
    <cellStyle name="60% - Accent5 2 2 6" xfId="2107" xr:uid="{2380081A-EC3F-4C52-848C-D144FF4FE0CC}"/>
    <cellStyle name="60% - Accent5 2 2 7" xfId="3997" xr:uid="{1154EF0B-A5EE-4C77-8C81-0E6EB0970718}"/>
    <cellStyle name="60% - Accent5 2 2 8" xfId="5887" xr:uid="{D22FE576-BD4C-4646-8622-5F98C000777C}"/>
    <cellStyle name="60% - Accent5 2 2 9" xfId="7777" xr:uid="{2B18DAD7-97BC-4F67-A2EA-DBED12874EB6}"/>
    <cellStyle name="60% - Accent5 2 20" xfId="26572" xr:uid="{3D517CF5-962D-4E68-BAC3-CDD29DF7BD9D}"/>
    <cellStyle name="60% - Accent5 2 21" xfId="28462" xr:uid="{EB195F93-E6FB-41A6-A4EF-0B3EC6F4D70E}"/>
    <cellStyle name="60% - Accent5 2 22" xfId="30352" xr:uid="{5912F2A6-43C2-4668-BDD9-9A583B36901A}"/>
    <cellStyle name="60% - Accent5 2 23" xfId="32242" xr:uid="{2EF3338D-9231-47F3-833A-6E494E6E87F5}"/>
    <cellStyle name="60% - Accent5 2 24" xfId="34132" xr:uid="{7F522237-1705-4580-BAA6-9D5F73F5BE74}"/>
    <cellStyle name="60% - Accent5 2 25" xfId="36022" xr:uid="{6C877AFA-AA28-4E5C-913D-D74E1B2DA3C2}"/>
    <cellStyle name="60% - Accent5 2 26" xfId="37912" xr:uid="{2DD3C614-9182-4056-AD0A-2203DE9D7E14}"/>
    <cellStyle name="60% - Accent5 2 27" xfId="39803" xr:uid="{32934812-63F7-473F-84C3-C6BEC9A3170A}"/>
    <cellStyle name="60% - Accent5 2 3" xfId="322" xr:uid="{90A0CDAD-D19C-4E69-9738-2D30943AABDD}"/>
    <cellStyle name="60% - Accent5 2 3 10" xfId="13552" xr:uid="{A0005295-2291-4FC3-9541-A12A301B9D85}"/>
    <cellStyle name="60% - Accent5 2 3 11" xfId="15442" xr:uid="{7082CB68-6EA4-4A0D-BB0B-5B591BE15B19}"/>
    <cellStyle name="60% - Accent5 2 3 12" xfId="17332" xr:uid="{A3EEA2F7-735F-4FEB-BB73-F13875632281}"/>
    <cellStyle name="60% - Accent5 2 3 13" xfId="19222" xr:uid="{144F9F97-F05E-4408-BD7E-B57FD47E3BEF}"/>
    <cellStyle name="60% - Accent5 2 3 14" xfId="21112" xr:uid="{526B7878-C915-4779-A67E-4657EA1F954D}"/>
    <cellStyle name="60% - Accent5 2 3 15" xfId="23002" xr:uid="{FB6444F6-C103-4E42-8C3A-977D3D55AF88}"/>
    <cellStyle name="60% - Accent5 2 3 16" xfId="24892" xr:uid="{61FDCFDC-2A59-4CF5-BA5E-1E5F76AE8754}"/>
    <cellStyle name="60% - Accent5 2 3 17" xfId="26782" xr:uid="{843E1A0F-1569-4C56-B4D6-97BFBE14AA04}"/>
    <cellStyle name="60% - Accent5 2 3 18" xfId="28672" xr:uid="{B69FD584-A4AE-4E6E-A124-D325CBF8F67E}"/>
    <cellStyle name="60% - Accent5 2 3 19" xfId="30562" xr:uid="{12E6775E-A147-48B8-AB78-AEAA8B326032}"/>
    <cellStyle name="60% - Accent5 2 3 2" xfId="952" xr:uid="{408AF537-84F9-4517-A64A-F1D668A4C041}"/>
    <cellStyle name="60% - Accent5 2 3 2 10" xfId="17962" xr:uid="{F53D3797-BFBA-444C-B09F-EE349F71E7D4}"/>
    <cellStyle name="60% - Accent5 2 3 2 11" xfId="19852" xr:uid="{1ED8C914-FBDF-4EC4-BF99-708A8B7F0A2F}"/>
    <cellStyle name="60% - Accent5 2 3 2 12" xfId="21742" xr:uid="{7641D75F-EAC8-4DB6-AA0C-FFDCC02ECA24}"/>
    <cellStyle name="60% - Accent5 2 3 2 13" xfId="23632" xr:uid="{7B7D07BD-CB99-4AEC-A593-3C97E10E8CC7}"/>
    <cellStyle name="60% - Accent5 2 3 2 14" xfId="25522" xr:uid="{71D02EE4-428B-414F-B82C-492A29693E26}"/>
    <cellStyle name="60% - Accent5 2 3 2 15" xfId="27412" xr:uid="{ABFD6E9F-9C66-4FFD-B674-839D0D0C887C}"/>
    <cellStyle name="60% - Accent5 2 3 2 16" xfId="29302" xr:uid="{DF3D8CC5-B61E-45A7-9EA4-EFA49ABC4E95}"/>
    <cellStyle name="60% - Accent5 2 3 2 17" xfId="31192" xr:uid="{F492A794-DD79-423D-BAC1-D01559850844}"/>
    <cellStyle name="60% - Accent5 2 3 2 18" xfId="33082" xr:uid="{DB063E04-96CB-485A-AB5A-F041B279C6AE}"/>
    <cellStyle name="60% - Accent5 2 3 2 19" xfId="34972" xr:uid="{4E516606-EC57-49DF-B84F-8CAE1EC0F1A2}"/>
    <cellStyle name="60% - Accent5 2 3 2 2" xfId="2842" xr:uid="{D13C6393-CB0A-4293-A0A3-BAC2FE9DBDD9}"/>
    <cellStyle name="60% - Accent5 2 3 2 20" xfId="36862" xr:uid="{0126270B-872B-4FCE-BACC-424CB4BA1230}"/>
    <cellStyle name="60% - Accent5 2 3 2 21" xfId="38752" xr:uid="{FC33589D-17DA-4608-AD69-880419C7D17E}"/>
    <cellStyle name="60% - Accent5 2 3 2 22" xfId="40643" xr:uid="{32393700-C89F-483B-8855-463140BE9EC9}"/>
    <cellStyle name="60% - Accent5 2 3 2 3" xfId="4732" xr:uid="{A58D756B-1E63-4F25-81E7-5DD9A98FF417}"/>
    <cellStyle name="60% - Accent5 2 3 2 4" xfId="6622" xr:uid="{AD494BB3-FEB7-452B-B7DC-5FBE0DE0E268}"/>
    <cellStyle name="60% - Accent5 2 3 2 5" xfId="8512" xr:uid="{6B62A4EB-DF3C-492D-A565-6942C83D5919}"/>
    <cellStyle name="60% - Accent5 2 3 2 6" xfId="10402" xr:uid="{AC13D413-C414-407A-AB94-826E83502399}"/>
    <cellStyle name="60% - Accent5 2 3 2 7" xfId="12292" xr:uid="{2D66E2D4-0725-4FA2-85DA-7945B5D0C47C}"/>
    <cellStyle name="60% - Accent5 2 3 2 8" xfId="14182" xr:uid="{C457A358-22CF-409A-9813-BC630A11222A}"/>
    <cellStyle name="60% - Accent5 2 3 2 9" xfId="16072" xr:uid="{55398CCD-3591-4ED4-9305-9ACB2238F2C1}"/>
    <cellStyle name="60% - Accent5 2 3 20" xfId="32452" xr:uid="{DE8D3762-B7E7-4ADB-8654-AFE53E49B916}"/>
    <cellStyle name="60% - Accent5 2 3 21" xfId="34342" xr:uid="{AD1551D6-6473-4918-AE82-72FB0CD835DC}"/>
    <cellStyle name="60% - Accent5 2 3 22" xfId="36232" xr:uid="{0997FDE6-71B2-450D-8B32-C0B9D5606D6F}"/>
    <cellStyle name="60% - Accent5 2 3 23" xfId="38122" xr:uid="{2FB503CE-0B0A-4D3B-9858-DF42513C53CD}"/>
    <cellStyle name="60% - Accent5 2 3 24" xfId="40013" xr:uid="{E2E1E28B-D822-4477-BA9D-4B0C454B84A6}"/>
    <cellStyle name="60% - Accent5 2 3 3" xfId="1582" xr:uid="{3D831048-1816-4736-9C5B-D278380F5B75}"/>
    <cellStyle name="60% - Accent5 2 3 3 10" xfId="18592" xr:uid="{83582C93-C2B7-42F4-A129-4388A2E600DD}"/>
    <cellStyle name="60% - Accent5 2 3 3 11" xfId="20482" xr:uid="{0FB795B3-F6EE-4965-8102-3C2753172F03}"/>
    <cellStyle name="60% - Accent5 2 3 3 12" xfId="22372" xr:uid="{374AF638-98C3-4E38-A21D-E4FEEF8908EE}"/>
    <cellStyle name="60% - Accent5 2 3 3 13" xfId="24262" xr:uid="{5E0A19CC-10C6-4F2F-8A43-ECA0106AD455}"/>
    <cellStyle name="60% - Accent5 2 3 3 14" xfId="26152" xr:uid="{54319AD1-295A-4AE4-94C7-64F6190D384D}"/>
    <cellStyle name="60% - Accent5 2 3 3 15" xfId="28042" xr:uid="{61A4804B-9749-46A1-866D-047C7E93B1E3}"/>
    <cellStyle name="60% - Accent5 2 3 3 16" xfId="29932" xr:uid="{F18BB753-A045-4831-AD7C-A0AA94630644}"/>
    <cellStyle name="60% - Accent5 2 3 3 17" xfId="31822" xr:uid="{00E54B3E-98F4-4219-8F0B-92293FDDCC43}"/>
    <cellStyle name="60% - Accent5 2 3 3 18" xfId="33712" xr:uid="{8A9B0B3D-34FC-431C-885E-4B9A2D38BCF7}"/>
    <cellStyle name="60% - Accent5 2 3 3 19" xfId="35602" xr:uid="{7BE6699B-1652-4760-A6FA-C30072065D47}"/>
    <cellStyle name="60% - Accent5 2 3 3 2" xfId="3472" xr:uid="{206885FE-751B-4D55-8175-A1303E70FBFB}"/>
    <cellStyle name="60% - Accent5 2 3 3 20" xfId="37492" xr:uid="{C2A31449-CC75-4034-B47B-AA3B208D1530}"/>
    <cellStyle name="60% - Accent5 2 3 3 21" xfId="39382" xr:uid="{813D1999-EC1B-47AC-B8AD-B36D40CE7186}"/>
    <cellStyle name="60% - Accent5 2 3 3 22" xfId="41273" xr:uid="{76B8CB21-8BBD-4856-886B-A99D1DC0EA54}"/>
    <cellStyle name="60% - Accent5 2 3 3 3" xfId="5362" xr:uid="{555C6018-57B2-4285-AE84-CF2F3FF4DE3D}"/>
    <cellStyle name="60% - Accent5 2 3 3 4" xfId="7252" xr:uid="{DBC8D947-6FAD-42A3-BA22-2F61DE20E011}"/>
    <cellStyle name="60% - Accent5 2 3 3 5" xfId="9142" xr:uid="{5E1A0125-4EC3-409D-A9B1-BBE0387EF9DC}"/>
    <cellStyle name="60% - Accent5 2 3 3 6" xfId="11032" xr:uid="{014FBA0C-8ACD-4F25-B576-8177DF213270}"/>
    <cellStyle name="60% - Accent5 2 3 3 7" xfId="12922" xr:uid="{7E8F98CF-31FE-406C-8FB5-96A108EA7BD6}"/>
    <cellStyle name="60% - Accent5 2 3 3 8" xfId="14812" xr:uid="{3AECE729-A9B5-43B1-94A8-D15C6ED9F2C1}"/>
    <cellStyle name="60% - Accent5 2 3 3 9" xfId="16702" xr:uid="{D911F402-9E32-44B0-BE96-4AD78D3A4FCB}"/>
    <cellStyle name="60% - Accent5 2 3 4" xfId="2212" xr:uid="{1DE408DF-2382-44B6-A9C8-0775A45F56AE}"/>
    <cellStyle name="60% - Accent5 2 3 5" xfId="4102" xr:uid="{6ED475E0-D6F3-4FE2-AA53-1CC656251D49}"/>
    <cellStyle name="60% - Accent5 2 3 6" xfId="5992" xr:uid="{18357F0E-6963-4EEE-847E-F0A7DB82D56C}"/>
    <cellStyle name="60% - Accent5 2 3 7" xfId="7882" xr:uid="{E04D0139-B33F-4E3C-B0F9-6F8864384CAD}"/>
    <cellStyle name="60% - Accent5 2 3 8" xfId="9772" xr:uid="{49C7C794-8C92-4D25-A78C-EB7C30026A3A}"/>
    <cellStyle name="60% - Accent5 2 3 9" xfId="11662" xr:uid="{EDDD9F6E-7663-4215-8705-B9E8AAA118B7}"/>
    <cellStyle name="60% - Accent5 2 4" xfId="532" xr:uid="{5C61850A-BB49-446C-B7B4-5C8FDDE22BF6}"/>
    <cellStyle name="60% - Accent5 2 4 10" xfId="13762" xr:uid="{4E7FF3EF-E55D-42CC-8536-5F149F58E4A1}"/>
    <cellStyle name="60% - Accent5 2 4 11" xfId="15652" xr:uid="{F525AA8E-5722-4916-BFF9-4CCC9D19F1A6}"/>
    <cellStyle name="60% - Accent5 2 4 12" xfId="17542" xr:uid="{F6B02ED6-7E4A-4777-ACA6-FE1CDBC42B77}"/>
    <cellStyle name="60% - Accent5 2 4 13" xfId="19432" xr:uid="{353F6910-4CF2-46D1-B09F-380C99BC1BE7}"/>
    <cellStyle name="60% - Accent5 2 4 14" xfId="21322" xr:uid="{FA041916-7C11-448D-AFBD-C5B5E9D4605A}"/>
    <cellStyle name="60% - Accent5 2 4 15" xfId="23212" xr:uid="{135CDDA6-1475-4C27-95EC-D85001DBD566}"/>
    <cellStyle name="60% - Accent5 2 4 16" xfId="25102" xr:uid="{276CCD07-81BA-46D2-BEB8-F40E811FABF7}"/>
    <cellStyle name="60% - Accent5 2 4 17" xfId="26992" xr:uid="{F7199991-CB7F-45A9-991B-3E36287D75BD}"/>
    <cellStyle name="60% - Accent5 2 4 18" xfId="28882" xr:uid="{B152C233-228D-441C-B4AA-3D956FDADBF7}"/>
    <cellStyle name="60% - Accent5 2 4 19" xfId="30772" xr:uid="{58537B3D-E2A3-45C7-8422-F701FC2DCC92}"/>
    <cellStyle name="60% - Accent5 2 4 2" xfId="1162" xr:uid="{1463A88C-A578-48D7-B9E8-816E319EEB48}"/>
    <cellStyle name="60% - Accent5 2 4 2 10" xfId="18172" xr:uid="{8118A1FF-45CD-4E0E-A8AC-E89C91AADA91}"/>
    <cellStyle name="60% - Accent5 2 4 2 11" xfId="20062" xr:uid="{0D960B51-D9EC-4548-ADA8-FFB9954B0F36}"/>
    <cellStyle name="60% - Accent5 2 4 2 12" xfId="21952" xr:uid="{EF69955F-5162-4D3A-A51E-0B3D4E8024D0}"/>
    <cellStyle name="60% - Accent5 2 4 2 13" xfId="23842" xr:uid="{1166CAC8-420B-45B2-87B3-DC65ACFE7268}"/>
    <cellStyle name="60% - Accent5 2 4 2 14" xfId="25732" xr:uid="{5A56782D-8F30-4825-86FE-B68D4F9E7496}"/>
    <cellStyle name="60% - Accent5 2 4 2 15" xfId="27622" xr:uid="{8CCD74FC-CA8F-4C88-A02D-C5447307DA26}"/>
    <cellStyle name="60% - Accent5 2 4 2 16" xfId="29512" xr:uid="{7CC8070C-1036-4A1A-9C3C-9AE27D28AB04}"/>
    <cellStyle name="60% - Accent5 2 4 2 17" xfId="31402" xr:uid="{E59B6B52-A381-47DA-BC15-E8EDE8A124B0}"/>
    <cellStyle name="60% - Accent5 2 4 2 18" xfId="33292" xr:uid="{C7FA5FE2-11A8-45E2-8BC4-C523906A6046}"/>
    <cellStyle name="60% - Accent5 2 4 2 19" xfId="35182" xr:uid="{C8D610FD-909E-4DAA-8B50-752ACEDE51AE}"/>
    <cellStyle name="60% - Accent5 2 4 2 2" xfId="3052" xr:uid="{C9F60ADA-7299-4A12-BB4A-C6E1C27B9486}"/>
    <cellStyle name="60% - Accent5 2 4 2 20" xfId="37072" xr:uid="{0A8A367F-CB4E-4BAD-A4BA-B7438CB6CC64}"/>
    <cellStyle name="60% - Accent5 2 4 2 21" xfId="38962" xr:uid="{DA0B69D2-7ACC-4035-9F5B-DD2845FC84BB}"/>
    <cellStyle name="60% - Accent5 2 4 2 22" xfId="40853" xr:uid="{EB497D9A-FD4F-493C-B314-0AA1EFB967E3}"/>
    <cellStyle name="60% - Accent5 2 4 2 3" xfId="4942" xr:uid="{614520EF-7B7E-458E-A7C9-E89993C12882}"/>
    <cellStyle name="60% - Accent5 2 4 2 4" xfId="6832" xr:uid="{0585A6AC-4309-4F2A-8E18-E951B8114EC3}"/>
    <cellStyle name="60% - Accent5 2 4 2 5" xfId="8722" xr:uid="{7366B7EB-DFE0-4AE8-B140-D0E0B1DC189D}"/>
    <cellStyle name="60% - Accent5 2 4 2 6" xfId="10612" xr:uid="{858E879D-0896-4636-98A2-F98BCD9FF9CA}"/>
    <cellStyle name="60% - Accent5 2 4 2 7" xfId="12502" xr:uid="{30A1CCAF-61E2-4866-A4C5-DBDC3C093B56}"/>
    <cellStyle name="60% - Accent5 2 4 2 8" xfId="14392" xr:uid="{FA735B76-357E-4216-BA7C-7BD7F2E31E28}"/>
    <cellStyle name="60% - Accent5 2 4 2 9" xfId="16282" xr:uid="{9CD36D35-304F-4B59-8785-EAEE64CD5180}"/>
    <cellStyle name="60% - Accent5 2 4 20" xfId="32662" xr:uid="{A39C76FD-11FF-43FE-ACC9-32039B217B82}"/>
    <cellStyle name="60% - Accent5 2 4 21" xfId="34552" xr:uid="{C00AD9B1-4594-4AF3-BBDB-21FECE163FB8}"/>
    <cellStyle name="60% - Accent5 2 4 22" xfId="36442" xr:uid="{64B02B07-3022-481B-8E78-38449F502C88}"/>
    <cellStyle name="60% - Accent5 2 4 23" xfId="38332" xr:uid="{A079B6D8-71B1-4C19-A069-51FD6613C16E}"/>
    <cellStyle name="60% - Accent5 2 4 24" xfId="40223" xr:uid="{7C791E1C-C2E1-4B9E-AB85-AB2C93D564DF}"/>
    <cellStyle name="60% - Accent5 2 4 3" xfId="1792" xr:uid="{5C731B95-8E60-4B34-8710-5CF59E8AD5C2}"/>
    <cellStyle name="60% - Accent5 2 4 3 10" xfId="18802" xr:uid="{DC9ECAC8-C851-4386-B80E-F401BAD7BF97}"/>
    <cellStyle name="60% - Accent5 2 4 3 11" xfId="20692" xr:uid="{D276C870-7FB2-4774-8F23-9261F0E7B257}"/>
    <cellStyle name="60% - Accent5 2 4 3 12" xfId="22582" xr:uid="{95E6B426-4165-401A-8D1F-C000943311A4}"/>
    <cellStyle name="60% - Accent5 2 4 3 13" xfId="24472" xr:uid="{8407EC99-7B26-42F7-B86D-391D9EB86C1B}"/>
    <cellStyle name="60% - Accent5 2 4 3 14" xfId="26362" xr:uid="{4381977B-15D3-4F30-8C27-26A2424B92C2}"/>
    <cellStyle name="60% - Accent5 2 4 3 15" xfId="28252" xr:uid="{A8176944-78E0-4B3C-A14C-683224541889}"/>
    <cellStyle name="60% - Accent5 2 4 3 16" xfId="30142" xr:uid="{983258E4-003E-46E6-94CC-44CAA6A4D16F}"/>
    <cellStyle name="60% - Accent5 2 4 3 17" xfId="32032" xr:uid="{E5F2BC28-C535-4E6A-ADC8-39A7656F2815}"/>
    <cellStyle name="60% - Accent5 2 4 3 18" xfId="33922" xr:uid="{E2EB613A-8DFD-4ABC-8F6D-55E532573DEC}"/>
    <cellStyle name="60% - Accent5 2 4 3 19" xfId="35812" xr:uid="{C081497C-55FC-4D39-B4E1-48D59658F3DF}"/>
    <cellStyle name="60% - Accent5 2 4 3 2" xfId="3682" xr:uid="{CDDED075-792C-4CC0-884E-523B94F7683E}"/>
    <cellStyle name="60% - Accent5 2 4 3 20" xfId="37702" xr:uid="{785B9D5B-9BA4-46F7-B9BF-491D66DE3FE2}"/>
    <cellStyle name="60% - Accent5 2 4 3 21" xfId="39592" xr:uid="{61E58B4E-4471-4E8F-9BCE-8CE446160EAC}"/>
    <cellStyle name="60% - Accent5 2 4 3 22" xfId="41483" xr:uid="{57466F2A-C652-40E0-826D-F112EBB598D9}"/>
    <cellStyle name="60% - Accent5 2 4 3 3" xfId="5572" xr:uid="{169D5800-50F0-4487-8809-152184D6AD72}"/>
    <cellStyle name="60% - Accent5 2 4 3 4" xfId="7462" xr:uid="{B440A4EA-90E0-4B22-9D48-1EF1BFD192A0}"/>
    <cellStyle name="60% - Accent5 2 4 3 5" xfId="9352" xr:uid="{86DF9BA7-A79B-4F52-B1CE-544EE0954366}"/>
    <cellStyle name="60% - Accent5 2 4 3 6" xfId="11242" xr:uid="{8FE7BB3E-BC83-4BED-9C04-306DB9C72153}"/>
    <cellStyle name="60% - Accent5 2 4 3 7" xfId="13132" xr:uid="{BF6EED2A-89C2-401C-A5E2-51FFFCD1CAF8}"/>
    <cellStyle name="60% - Accent5 2 4 3 8" xfId="15022" xr:uid="{FA959998-255A-47CC-8C0E-1DB85C350F40}"/>
    <cellStyle name="60% - Accent5 2 4 3 9" xfId="16912" xr:uid="{8CD0410D-59AB-4D76-8EFA-7C0A44F8AA11}"/>
    <cellStyle name="60% - Accent5 2 4 4" xfId="2422" xr:uid="{036BE6C5-1435-4BD2-86EF-A699AE1C72BE}"/>
    <cellStyle name="60% - Accent5 2 4 5" xfId="4312" xr:uid="{143AB3A3-6336-4715-BD81-3B3C62078FB6}"/>
    <cellStyle name="60% - Accent5 2 4 6" xfId="6202" xr:uid="{C7333BFC-7FC3-4B55-A0FA-B8A06F0448B1}"/>
    <cellStyle name="60% - Accent5 2 4 7" xfId="8092" xr:uid="{F6A78FE3-A725-48C7-8CC7-6AC4A1FC81C5}"/>
    <cellStyle name="60% - Accent5 2 4 8" xfId="9982" xr:uid="{A72863C1-E497-44F2-A792-A1EA27E910F1}"/>
    <cellStyle name="60% - Accent5 2 4 9" xfId="11872" xr:uid="{4BF2B3FB-4123-4878-ADC0-CC3BDAB7D72D}"/>
    <cellStyle name="60% - Accent5 2 5" xfId="742" xr:uid="{16CBD54B-41A4-4A1C-84E7-24B3EE733ED6}"/>
    <cellStyle name="60% - Accent5 2 5 10" xfId="17752" xr:uid="{D1D81647-DD45-4E3B-8A6C-673A8C7B21F9}"/>
    <cellStyle name="60% - Accent5 2 5 11" xfId="19642" xr:uid="{57E837B4-67E9-4D1B-8F53-53FEA433E5F2}"/>
    <cellStyle name="60% - Accent5 2 5 12" xfId="21532" xr:uid="{8396C12D-621C-40BD-A046-A54F9678BDEE}"/>
    <cellStyle name="60% - Accent5 2 5 13" xfId="23422" xr:uid="{A4B8B3CA-AF60-40A4-87E0-DB5FA050135B}"/>
    <cellStyle name="60% - Accent5 2 5 14" xfId="25312" xr:uid="{ADEFCC49-19F3-4058-995A-D84B3B0A50A2}"/>
    <cellStyle name="60% - Accent5 2 5 15" xfId="27202" xr:uid="{839A02D4-0DF8-4B0E-8B3D-4EBB1A32FCC0}"/>
    <cellStyle name="60% - Accent5 2 5 16" xfId="29092" xr:uid="{12CC1092-BA35-477B-806B-470C55A04E16}"/>
    <cellStyle name="60% - Accent5 2 5 17" xfId="30982" xr:uid="{17725726-84DF-4F78-8DC1-8DE701BFE546}"/>
    <cellStyle name="60% - Accent5 2 5 18" xfId="32872" xr:uid="{0745EDE6-F3E2-4F25-8BB2-2BD6C738E1F6}"/>
    <cellStyle name="60% - Accent5 2 5 19" xfId="34762" xr:uid="{A383590A-AE7B-4384-9B4C-E84390726702}"/>
    <cellStyle name="60% - Accent5 2 5 2" xfId="2632" xr:uid="{952E2A09-7DFC-401F-96F4-AF4D49B64845}"/>
    <cellStyle name="60% - Accent5 2 5 20" xfId="36652" xr:uid="{1D11872E-2E92-40D4-A172-9537ABCB3D75}"/>
    <cellStyle name="60% - Accent5 2 5 21" xfId="38542" xr:uid="{6D832785-4707-470C-9300-C01BB0B406FB}"/>
    <cellStyle name="60% - Accent5 2 5 22" xfId="40433" xr:uid="{414ACEC7-E744-4627-BB27-419A1EE74DAA}"/>
    <cellStyle name="60% - Accent5 2 5 3" xfId="4522" xr:uid="{CF3783B0-838E-4A8D-A8C9-587D13E74812}"/>
    <cellStyle name="60% - Accent5 2 5 4" xfId="6412" xr:uid="{A0DA03CF-D696-43EB-8D65-0C86BE1B1362}"/>
    <cellStyle name="60% - Accent5 2 5 5" xfId="8302" xr:uid="{A88CBF73-2AF8-4FA8-83FD-67E57C4C734A}"/>
    <cellStyle name="60% - Accent5 2 5 6" xfId="10192" xr:uid="{26EB5863-350B-4ED4-9103-65AA3DB9BDA6}"/>
    <cellStyle name="60% - Accent5 2 5 7" xfId="12082" xr:uid="{192F9AD9-0DB1-4200-82ED-E84DB295C5AA}"/>
    <cellStyle name="60% - Accent5 2 5 8" xfId="13972" xr:uid="{4066D9A9-3CC1-41AE-B6EB-8A944CDE0145}"/>
    <cellStyle name="60% - Accent5 2 5 9" xfId="15862" xr:uid="{3C12DD2A-8DAF-4CEE-885B-9B7A20000D74}"/>
    <cellStyle name="60% - Accent5 2 6" xfId="1372" xr:uid="{219A710E-AE20-4973-9457-628130B7BA68}"/>
    <cellStyle name="60% - Accent5 2 6 10" xfId="18382" xr:uid="{829BF93F-8FFF-4B82-B984-3FE030D2A2B2}"/>
    <cellStyle name="60% - Accent5 2 6 11" xfId="20272" xr:uid="{14344B51-484B-4701-A3C1-1ECAEFB99747}"/>
    <cellStyle name="60% - Accent5 2 6 12" xfId="22162" xr:uid="{C3974FDA-65A2-492A-B880-981021346499}"/>
    <cellStyle name="60% - Accent5 2 6 13" xfId="24052" xr:uid="{2BA09EB6-4614-4BFC-B632-7C7CA4192CFE}"/>
    <cellStyle name="60% - Accent5 2 6 14" xfId="25942" xr:uid="{A2125F8E-BEE8-4675-8350-5A9D7CD0B08D}"/>
    <cellStyle name="60% - Accent5 2 6 15" xfId="27832" xr:uid="{FE4341DD-7A50-447B-BFC4-291C7D6A687D}"/>
    <cellStyle name="60% - Accent5 2 6 16" xfId="29722" xr:uid="{465E9E2D-574E-4C77-810A-0CEF35E6599E}"/>
    <cellStyle name="60% - Accent5 2 6 17" xfId="31612" xr:uid="{69456D03-47FD-49A0-A3BD-D186E5362A4E}"/>
    <cellStyle name="60% - Accent5 2 6 18" xfId="33502" xr:uid="{B7A5ECCE-D285-4798-84DE-10EE11666D9F}"/>
    <cellStyle name="60% - Accent5 2 6 19" xfId="35392" xr:uid="{5B37A4AB-AC6F-4C92-9317-691A6AA0CA48}"/>
    <cellStyle name="60% - Accent5 2 6 2" xfId="3262" xr:uid="{BE2D7449-8DC1-48A4-BF75-6BF68E2DFA40}"/>
    <cellStyle name="60% - Accent5 2 6 20" xfId="37282" xr:uid="{400ED26E-B35F-401D-8130-7F5C4315C31E}"/>
    <cellStyle name="60% - Accent5 2 6 21" xfId="39172" xr:uid="{64193884-51A6-474A-84BC-EEA7B10AF1FE}"/>
    <cellStyle name="60% - Accent5 2 6 22" xfId="41063" xr:uid="{A1602350-44A1-4748-AE71-29513AED7786}"/>
    <cellStyle name="60% - Accent5 2 6 3" xfId="5152" xr:uid="{BBE654D9-98AD-4D0D-BAFE-3744BEEC2C9F}"/>
    <cellStyle name="60% - Accent5 2 6 4" xfId="7042" xr:uid="{51D9752A-1D43-4E3F-B21A-9E66A4F95192}"/>
    <cellStyle name="60% - Accent5 2 6 5" xfId="8932" xr:uid="{591A7B53-D38A-42BA-9D08-E9793DBAA468}"/>
    <cellStyle name="60% - Accent5 2 6 6" xfId="10822" xr:uid="{DEB52EB7-3B32-49D6-B772-DBFB0F8C0A45}"/>
    <cellStyle name="60% - Accent5 2 6 7" xfId="12712" xr:uid="{FC08C38D-223C-447E-B753-5E7CDFC309BB}"/>
    <cellStyle name="60% - Accent5 2 6 8" xfId="14602" xr:uid="{0D75A8DE-B010-464E-A3DD-5F5B7380C940}"/>
    <cellStyle name="60% - Accent5 2 6 9" xfId="16492" xr:uid="{5B04BFC3-70C2-4EFF-9B6C-AF64B697E746}"/>
    <cellStyle name="60% - Accent5 2 7" xfId="2002" xr:uid="{652B2AA2-1C72-45D2-BF87-30A5CDB621A3}"/>
    <cellStyle name="60% - Accent5 2 8" xfId="3892" xr:uid="{0DFAA643-51B0-4392-9628-71DA05BEDE5D}"/>
    <cellStyle name="60% - Accent5 2 9" xfId="5782" xr:uid="{9DC31798-79E1-4932-ADAE-25CD3B26B780}"/>
    <cellStyle name="60% - Accent5 20" xfId="22770" xr:uid="{7B9CB135-D137-40C0-966C-7839CB1CAA89}"/>
    <cellStyle name="60% - Accent5 21" xfId="24660" xr:uid="{01EFAA43-2314-4E60-9CF4-B0A1D76056F9}"/>
    <cellStyle name="60% - Accent5 22" xfId="26550" xr:uid="{43EB191C-A973-4101-959D-9A823C326A37}"/>
    <cellStyle name="60% - Accent5 23" xfId="28440" xr:uid="{A5F9D9EE-EB9B-4055-BF30-32299B65E17B}"/>
    <cellStyle name="60% - Accent5 24" xfId="30330" xr:uid="{E1623E3F-A8C2-41DA-A09D-0893A76EF9F0}"/>
    <cellStyle name="60% - Accent5 25" xfId="32220" xr:uid="{1779E7C7-083D-4635-854C-7D4FD7B62D9E}"/>
    <cellStyle name="60% - Accent5 26" xfId="34110" xr:uid="{072FE52E-815E-414F-AA48-737694CA825B}"/>
    <cellStyle name="60% - Accent5 27" xfId="36000" xr:uid="{1D3DD15D-BA75-417B-9C69-91DA4E6455B4}"/>
    <cellStyle name="60% - Accent5 28" xfId="37890" xr:uid="{4FF2F91D-300E-454E-92E8-2925F839BF07}"/>
    <cellStyle name="60% - Accent5 29" xfId="39781" xr:uid="{66FC4060-FB50-4D88-92E2-D7C6E6961776}"/>
    <cellStyle name="60% - Accent5 3" xfId="132" xr:uid="{974FC230-1BEC-4FB1-8A65-15CC4986C0D0}"/>
    <cellStyle name="60% - Accent5 3 10" xfId="7692" xr:uid="{F3104CEF-724A-4608-8F4E-DC21FCDA9D65}"/>
    <cellStyle name="60% - Accent5 3 11" xfId="9582" xr:uid="{C555705F-4AFC-49C3-9815-9CADB18EBD9D}"/>
    <cellStyle name="60% - Accent5 3 12" xfId="11472" xr:uid="{11EA409B-62F9-4470-BEC1-4336A29525F0}"/>
    <cellStyle name="60% - Accent5 3 13" xfId="13362" xr:uid="{B4FEB6E5-A0E2-4368-A086-E6CCAA3E3FE6}"/>
    <cellStyle name="60% - Accent5 3 14" xfId="15252" xr:uid="{39759F25-A519-4247-9A9D-E2BDFDAFB6CD}"/>
    <cellStyle name="60% - Accent5 3 15" xfId="17142" xr:uid="{33DC5F03-5FB8-4DAF-9A21-72E69CE8DD95}"/>
    <cellStyle name="60% - Accent5 3 16" xfId="19032" xr:uid="{3A77AF9A-1AAB-4768-BAB6-A517EBDD35CA}"/>
    <cellStyle name="60% - Accent5 3 17" xfId="20922" xr:uid="{007A1399-39BD-427E-9B1B-D66DC61CDB05}"/>
    <cellStyle name="60% - Accent5 3 18" xfId="22812" xr:uid="{670F2CD2-AE4F-4BCA-8D8E-83F1105F52FE}"/>
    <cellStyle name="60% - Accent5 3 19" xfId="24702" xr:uid="{FABB9B4B-05AE-400B-A2F6-5A4E08FC552C}"/>
    <cellStyle name="60% - Accent5 3 2" xfId="237" xr:uid="{D4E739C3-F0B8-4DB5-B600-B258B10A53B8}"/>
    <cellStyle name="60% - Accent5 3 2 10" xfId="9687" xr:uid="{53A5BC80-CCF1-4019-AF1D-63C8621DFFA9}"/>
    <cellStyle name="60% - Accent5 3 2 11" xfId="11577" xr:uid="{6B04D10A-1FCB-494B-8EFD-AB8A0658CE29}"/>
    <cellStyle name="60% - Accent5 3 2 12" xfId="13467" xr:uid="{D8DF44BF-3839-48DD-86A8-5D63BB2F8A16}"/>
    <cellStyle name="60% - Accent5 3 2 13" xfId="15357" xr:uid="{C2CC746B-AF85-496E-83A2-710C09A1FFFF}"/>
    <cellStyle name="60% - Accent5 3 2 14" xfId="17247" xr:uid="{C3E5BB4D-4C7F-437C-AEFC-4C7A8DF583AB}"/>
    <cellStyle name="60% - Accent5 3 2 15" xfId="19137" xr:uid="{64E84841-B2AA-4283-847F-2CBEBF576FEA}"/>
    <cellStyle name="60% - Accent5 3 2 16" xfId="21027" xr:uid="{3DF67E08-733E-433F-916D-9DD5624A7741}"/>
    <cellStyle name="60% - Accent5 3 2 17" xfId="22917" xr:uid="{3840728D-B7B6-4A0D-BF48-695503859B27}"/>
    <cellStyle name="60% - Accent5 3 2 18" xfId="24807" xr:uid="{F9A7BDE3-EC64-4347-B334-948D9B519380}"/>
    <cellStyle name="60% - Accent5 3 2 19" xfId="26697" xr:uid="{92165340-09AE-4D3D-AF7D-FFAEC3DE4D5E}"/>
    <cellStyle name="60% - Accent5 3 2 2" xfId="447" xr:uid="{E5C5C992-3811-4399-B292-F2649B66AF42}"/>
    <cellStyle name="60% - Accent5 3 2 2 10" xfId="13677" xr:uid="{D4D29704-DF39-44F7-8450-356BDE916A1C}"/>
    <cellStyle name="60% - Accent5 3 2 2 11" xfId="15567" xr:uid="{21A70B86-73DE-4819-9DFC-A42693759E32}"/>
    <cellStyle name="60% - Accent5 3 2 2 12" xfId="17457" xr:uid="{27A2AA16-BF24-4411-AB49-30C84AE6A74E}"/>
    <cellStyle name="60% - Accent5 3 2 2 13" xfId="19347" xr:uid="{D45C6770-514C-4870-8BC5-2AE3C5D35A7C}"/>
    <cellStyle name="60% - Accent5 3 2 2 14" xfId="21237" xr:uid="{2CB44AF0-BB8A-4865-8934-5676EF5282D1}"/>
    <cellStyle name="60% - Accent5 3 2 2 15" xfId="23127" xr:uid="{FA4252B6-FC6A-4E76-83D0-5313F4DE06C8}"/>
    <cellStyle name="60% - Accent5 3 2 2 16" xfId="25017" xr:uid="{2879C044-7B54-4D6E-ADB6-B3434823BC5A}"/>
    <cellStyle name="60% - Accent5 3 2 2 17" xfId="26907" xr:uid="{A5EB5727-A696-40C5-9BAA-B210BDD30495}"/>
    <cellStyle name="60% - Accent5 3 2 2 18" xfId="28797" xr:uid="{D0265C43-A618-4665-9DEE-9225EE0FCFB9}"/>
    <cellStyle name="60% - Accent5 3 2 2 19" xfId="30687" xr:uid="{DED9A6B8-49B2-4B30-893B-50AE4D9D16E5}"/>
    <cellStyle name="60% - Accent5 3 2 2 2" xfId="1077" xr:uid="{01B597A3-D511-48B6-A257-20C2CA39C479}"/>
    <cellStyle name="60% - Accent5 3 2 2 2 10" xfId="18087" xr:uid="{FEE20858-8EC0-4612-B935-B4C348818169}"/>
    <cellStyle name="60% - Accent5 3 2 2 2 11" xfId="19977" xr:uid="{F52D2F1F-1354-4758-B79A-24D01521A8F4}"/>
    <cellStyle name="60% - Accent5 3 2 2 2 12" xfId="21867" xr:uid="{629FA989-DAB7-4175-A5FF-452315E1A1EF}"/>
    <cellStyle name="60% - Accent5 3 2 2 2 13" xfId="23757" xr:uid="{917EAACF-F1F7-4CA7-82C6-C077080DB258}"/>
    <cellStyle name="60% - Accent5 3 2 2 2 14" xfId="25647" xr:uid="{0145EA75-93C7-4708-A343-844AC2BB918C}"/>
    <cellStyle name="60% - Accent5 3 2 2 2 15" xfId="27537" xr:uid="{D6848A93-B21F-46FD-80DD-1E4805B6575B}"/>
    <cellStyle name="60% - Accent5 3 2 2 2 16" xfId="29427" xr:uid="{CC90A84F-A27D-40ED-BD41-F42F379D955F}"/>
    <cellStyle name="60% - Accent5 3 2 2 2 17" xfId="31317" xr:uid="{30D326D8-A75E-453F-9006-68924C18FC29}"/>
    <cellStyle name="60% - Accent5 3 2 2 2 18" xfId="33207" xr:uid="{5D21AB27-E190-46E1-BC35-D4F367ADBB48}"/>
    <cellStyle name="60% - Accent5 3 2 2 2 19" xfId="35097" xr:uid="{6C6C3983-294C-41E2-B9F2-71786BDCAE75}"/>
    <cellStyle name="60% - Accent5 3 2 2 2 2" xfId="2967" xr:uid="{53F1D1DC-F7B4-496F-88E3-C318AB2229D0}"/>
    <cellStyle name="60% - Accent5 3 2 2 2 20" xfId="36987" xr:uid="{6CC463A1-CF96-4888-A058-3C84163B4DFD}"/>
    <cellStyle name="60% - Accent5 3 2 2 2 21" xfId="38877" xr:uid="{740D9252-81F1-4817-BA47-FB26BD0797C3}"/>
    <cellStyle name="60% - Accent5 3 2 2 2 22" xfId="40768" xr:uid="{A0286D8F-3319-44CE-8892-FAB811B9F97F}"/>
    <cellStyle name="60% - Accent5 3 2 2 2 3" xfId="4857" xr:uid="{54CCB4C0-7612-4922-84DA-2377CC0940F1}"/>
    <cellStyle name="60% - Accent5 3 2 2 2 4" xfId="6747" xr:uid="{D336782B-399E-4039-B808-3E97B07B0507}"/>
    <cellStyle name="60% - Accent5 3 2 2 2 5" xfId="8637" xr:uid="{85E5E66B-5A0D-4F02-81C2-5DEC04AC58DB}"/>
    <cellStyle name="60% - Accent5 3 2 2 2 6" xfId="10527" xr:uid="{DDB36FDB-673D-422D-A90D-5A9BB9B79A37}"/>
    <cellStyle name="60% - Accent5 3 2 2 2 7" xfId="12417" xr:uid="{BE05B70F-B52B-4C7A-B477-E39F8EB86CF7}"/>
    <cellStyle name="60% - Accent5 3 2 2 2 8" xfId="14307" xr:uid="{74AF5857-BA3F-4996-A4ED-EAA649510F9E}"/>
    <cellStyle name="60% - Accent5 3 2 2 2 9" xfId="16197" xr:uid="{EB456B44-7527-4984-90A9-1A1A4EDA86D4}"/>
    <cellStyle name="60% - Accent5 3 2 2 20" xfId="32577" xr:uid="{3D20243C-248A-4F87-A544-C646844914AF}"/>
    <cellStyle name="60% - Accent5 3 2 2 21" xfId="34467" xr:uid="{72A126D1-EADE-4C57-BA91-6F1ACF09DE97}"/>
    <cellStyle name="60% - Accent5 3 2 2 22" xfId="36357" xr:uid="{A8229767-0EF4-43B4-BB6B-B80B7EFD5C3C}"/>
    <cellStyle name="60% - Accent5 3 2 2 23" xfId="38247" xr:uid="{EB1CD3A1-71E8-4F6B-BF7C-CB66C6C1A55A}"/>
    <cellStyle name="60% - Accent5 3 2 2 24" xfId="40138" xr:uid="{3988DED7-BD80-4689-B5A3-1E6A1AF9B477}"/>
    <cellStyle name="60% - Accent5 3 2 2 3" xfId="1707" xr:uid="{89375917-AAE4-4EE2-9849-8C47FEB6FC4E}"/>
    <cellStyle name="60% - Accent5 3 2 2 3 10" xfId="18717" xr:uid="{F79363C3-B500-4F76-96A9-08348E353639}"/>
    <cellStyle name="60% - Accent5 3 2 2 3 11" xfId="20607" xr:uid="{A6427F80-3EF1-41CF-8BD7-B213CEF82BF2}"/>
    <cellStyle name="60% - Accent5 3 2 2 3 12" xfId="22497" xr:uid="{E9E8A4DC-85C5-4948-93AF-6980EC1C92BC}"/>
    <cellStyle name="60% - Accent5 3 2 2 3 13" xfId="24387" xr:uid="{1A7EF54A-65E8-490B-B149-66648FD2E4DF}"/>
    <cellStyle name="60% - Accent5 3 2 2 3 14" xfId="26277" xr:uid="{2E50A9AF-2C2F-4246-8760-73E2D2B85A20}"/>
    <cellStyle name="60% - Accent5 3 2 2 3 15" xfId="28167" xr:uid="{3AFFE216-7CD5-410C-8944-8093BBCF33C1}"/>
    <cellStyle name="60% - Accent5 3 2 2 3 16" xfId="30057" xr:uid="{74A67A91-0AD2-423C-B5FE-B51D36D7A73F}"/>
    <cellStyle name="60% - Accent5 3 2 2 3 17" xfId="31947" xr:uid="{64CFEAE4-B5CE-4D0E-9018-CD64E20A4802}"/>
    <cellStyle name="60% - Accent5 3 2 2 3 18" xfId="33837" xr:uid="{C3A10E17-D24A-4798-9254-DC661DA5B3DC}"/>
    <cellStyle name="60% - Accent5 3 2 2 3 19" xfId="35727" xr:uid="{DDB7CAB9-8900-44FE-825C-5917534004CA}"/>
    <cellStyle name="60% - Accent5 3 2 2 3 2" xfId="3597" xr:uid="{837057F9-5B08-4A96-A46A-F8DD4C71DF10}"/>
    <cellStyle name="60% - Accent5 3 2 2 3 20" xfId="37617" xr:uid="{129C7071-136B-4E93-BE27-130423946C4D}"/>
    <cellStyle name="60% - Accent5 3 2 2 3 21" xfId="39507" xr:uid="{99A5DA94-0ED6-4F1E-9481-99581E1BAFD9}"/>
    <cellStyle name="60% - Accent5 3 2 2 3 22" xfId="41398" xr:uid="{630AF7D6-E122-4BA4-8237-20D46CDBA2B4}"/>
    <cellStyle name="60% - Accent5 3 2 2 3 3" xfId="5487" xr:uid="{5C776644-FBB4-4C0B-97F0-1312DA1A41AF}"/>
    <cellStyle name="60% - Accent5 3 2 2 3 4" xfId="7377" xr:uid="{6428705A-AF2C-4A3B-AC9E-3F3108BB1B3C}"/>
    <cellStyle name="60% - Accent5 3 2 2 3 5" xfId="9267" xr:uid="{689D5291-BC6A-4925-B86D-5039EE24D5D6}"/>
    <cellStyle name="60% - Accent5 3 2 2 3 6" xfId="11157" xr:uid="{A8192148-ED60-4E52-8E4B-462152A71086}"/>
    <cellStyle name="60% - Accent5 3 2 2 3 7" xfId="13047" xr:uid="{1039471B-0FFD-4E9C-889E-8B38895E7577}"/>
    <cellStyle name="60% - Accent5 3 2 2 3 8" xfId="14937" xr:uid="{526294F5-D955-4CAF-B8B6-03CB62890F26}"/>
    <cellStyle name="60% - Accent5 3 2 2 3 9" xfId="16827" xr:uid="{F20644EF-6351-404B-BF26-8C4725C9CD94}"/>
    <cellStyle name="60% - Accent5 3 2 2 4" xfId="2337" xr:uid="{165DE091-6C20-4D56-8AE0-36E292BEFF66}"/>
    <cellStyle name="60% - Accent5 3 2 2 5" xfId="4227" xr:uid="{7BCE5988-F4FF-4AB3-8D87-B76C528176DD}"/>
    <cellStyle name="60% - Accent5 3 2 2 6" xfId="6117" xr:uid="{5FC8E572-65E4-4F0E-88FE-F3158A000367}"/>
    <cellStyle name="60% - Accent5 3 2 2 7" xfId="8007" xr:uid="{F1DE29C3-3AEE-4A2A-89C0-AF018F367DF9}"/>
    <cellStyle name="60% - Accent5 3 2 2 8" xfId="9897" xr:uid="{9D105626-6DF9-4739-BDC9-382E44BB8798}"/>
    <cellStyle name="60% - Accent5 3 2 2 9" xfId="11787" xr:uid="{8455CD97-492B-406B-A2A3-77F51C95497D}"/>
    <cellStyle name="60% - Accent5 3 2 20" xfId="28587" xr:uid="{9D24356F-DF4F-4A13-ADF6-E3BE30B1DE5E}"/>
    <cellStyle name="60% - Accent5 3 2 21" xfId="30477" xr:uid="{651A0A97-A932-4212-A4C9-5231BC1C236E}"/>
    <cellStyle name="60% - Accent5 3 2 22" xfId="32367" xr:uid="{16FA157D-A006-4146-8ED5-652221B7158E}"/>
    <cellStyle name="60% - Accent5 3 2 23" xfId="34257" xr:uid="{E9456721-12E8-4D47-BCE1-AAE914E45859}"/>
    <cellStyle name="60% - Accent5 3 2 24" xfId="36147" xr:uid="{455F99BD-BE0B-4D74-87AE-1D39A97D2B76}"/>
    <cellStyle name="60% - Accent5 3 2 25" xfId="38037" xr:uid="{78DFAB86-00A3-4AD0-8AF7-26DA53FD5278}"/>
    <cellStyle name="60% - Accent5 3 2 26" xfId="39928" xr:uid="{32FBA182-F84B-4864-BF68-25224474872B}"/>
    <cellStyle name="60% - Accent5 3 2 3" xfId="657" xr:uid="{E3902536-0396-41B5-A426-A6FC4B7D12C2}"/>
    <cellStyle name="60% - Accent5 3 2 3 10" xfId="13887" xr:uid="{BD68E8BB-EFA8-4D34-BB71-4646180C1F14}"/>
    <cellStyle name="60% - Accent5 3 2 3 11" xfId="15777" xr:uid="{7FE50FB5-9791-4BE4-8424-B94A1BAE4033}"/>
    <cellStyle name="60% - Accent5 3 2 3 12" xfId="17667" xr:uid="{4A7E6B93-B093-4353-900E-60FA38ECED04}"/>
    <cellStyle name="60% - Accent5 3 2 3 13" xfId="19557" xr:uid="{8E4A8908-477E-41C2-9B7B-E27708C84646}"/>
    <cellStyle name="60% - Accent5 3 2 3 14" xfId="21447" xr:uid="{F21B4B24-50A8-4253-8C9C-D94255836E1A}"/>
    <cellStyle name="60% - Accent5 3 2 3 15" xfId="23337" xr:uid="{BB09C445-D8F5-451C-A847-022713D41AA5}"/>
    <cellStyle name="60% - Accent5 3 2 3 16" xfId="25227" xr:uid="{8278360F-B851-4BDE-B213-9FBEADBF33C1}"/>
    <cellStyle name="60% - Accent5 3 2 3 17" xfId="27117" xr:uid="{1F594288-0512-421E-93F7-26A846B58566}"/>
    <cellStyle name="60% - Accent5 3 2 3 18" xfId="29007" xr:uid="{968F5CA2-01E7-4738-917C-D163E0B22450}"/>
    <cellStyle name="60% - Accent5 3 2 3 19" xfId="30897" xr:uid="{7D802CAE-846C-4793-BBBA-E0F90A68DB31}"/>
    <cellStyle name="60% - Accent5 3 2 3 2" xfId="1287" xr:uid="{17B81D90-612A-41ED-B0CD-C62D6C2D46A8}"/>
    <cellStyle name="60% - Accent5 3 2 3 2 10" xfId="18297" xr:uid="{54FEF7FE-5F8D-4C9E-B32F-2EF22772CF4E}"/>
    <cellStyle name="60% - Accent5 3 2 3 2 11" xfId="20187" xr:uid="{B6F69447-E676-474B-B849-D2FEE580321D}"/>
    <cellStyle name="60% - Accent5 3 2 3 2 12" xfId="22077" xr:uid="{42B3643E-46FA-480D-86C7-20E688FDB0D2}"/>
    <cellStyle name="60% - Accent5 3 2 3 2 13" xfId="23967" xr:uid="{F6BD9D07-6324-4467-AA28-E2101208A772}"/>
    <cellStyle name="60% - Accent5 3 2 3 2 14" xfId="25857" xr:uid="{D9F8A9E1-D28F-4BB1-B6A4-F2F87D86C99F}"/>
    <cellStyle name="60% - Accent5 3 2 3 2 15" xfId="27747" xr:uid="{DC294228-56B6-49AF-AC0F-9EEC8D2AC1E5}"/>
    <cellStyle name="60% - Accent5 3 2 3 2 16" xfId="29637" xr:uid="{B4D3B314-5672-458A-B1AF-E1753C9723A1}"/>
    <cellStyle name="60% - Accent5 3 2 3 2 17" xfId="31527" xr:uid="{8165FDE9-B0E9-4A9A-8398-BF6772283C4E}"/>
    <cellStyle name="60% - Accent5 3 2 3 2 18" xfId="33417" xr:uid="{6AA77988-943C-4BDC-B95B-789AAE6581C6}"/>
    <cellStyle name="60% - Accent5 3 2 3 2 19" xfId="35307" xr:uid="{B808BD86-12B3-4553-A8D9-EC917E56E3A5}"/>
    <cellStyle name="60% - Accent5 3 2 3 2 2" xfId="3177" xr:uid="{03A23338-AB5F-4DB8-96CE-024B9441B4C6}"/>
    <cellStyle name="60% - Accent5 3 2 3 2 20" xfId="37197" xr:uid="{2D231E9E-3904-4AE8-86D2-F238B85975DF}"/>
    <cellStyle name="60% - Accent5 3 2 3 2 21" xfId="39087" xr:uid="{CFDA1D61-5533-42EC-B19A-91D91152477F}"/>
    <cellStyle name="60% - Accent5 3 2 3 2 22" xfId="40978" xr:uid="{D8BE1C37-7BA9-4F95-A389-343BB5AD6AC5}"/>
    <cellStyle name="60% - Accent5 3 2 3 2 3" xfId="5067" xr:uid="{14A0DC08-15F3-49F3-823B-852BDEED7C5F}"/>
    <cellStyle name="60% - Accent5 3 2 3 2 4" xfId="6957" xr:uid="{6F23F833-285D-47E1-82FB-1CB9701432B8}"/>
    <cellStyle name="60% - Accent5 3 2 3 2 5" xfId="8847" xr:uid="{938FB4B8-D34D-4779-9D2A-5541886FEE8E}"/>
    <cellStyle name="60% - Accent5 3 2 3 2 6" xfId="10737" xr:uid="{5EE61B51-91AE-40B6-B587-070E321D0746}"/>
    <cellStyle name="60% - Accent5 3 2 3 2 7" xfId="12627" xr:uid="{791240B3-63EE-4B70-89DA-622ACAE6A8D2}"/>
    <cellStyle name="60% - Accent5 3 2 3 2 8" xfId="14517" xr:uid="{E7EFFF3F-38A3-4892-B9CF-C5D65DC11E3E}"/>
    <cellStyle name="60% - Accent5 3 2 3 2 9" xfId="16407" xr:uid="{4A027A89-931A-402E-BCA9-A153DAE9C7A7}"/>
    <cellStyle name="60% - Accent5 3 2 3 20" xfId="32787" xr:uid="{38CFEC87-673B-47EB-9CAB-94F22AFF8231}"/>
    <cellStyle name="60% - Accent5 3 2 3 21" xfId="34677" xr:uid="{94821037-84E6-4E47-9738-B39D57042A58}"/>
    <cellStyle name="60% - Accent5 3 2 3 22" xfId="36567" xr:uid="{9557EF9C-C195-4057-A0F4-5631433424A3}"/>
    <cellStyle name="60% - Accent5 3 2 3 23" xfId="38457" xr:uid="{DF9C4138-88FE-43A8-9C96-373D5DD5A2E3}"/>
    <cellStyle name="60% - Accent5 3 2 3 24" xfId="40348" xr:uid="{867D7107-F557-41B1-B3B4-5E24FBE05FEF}"/>
    <cellStyle name="60% - Accent5 3 2 3 3" xfId="1917" xr:uid="{6F58E715-94B7-40DF-9FA4-DB4191AF0742}"/>
    <cellStyle name="60% - Accent5 3 2 3 3 10" xfId="18927" xr:uid="{D30257AC-4746-4E1D-9C09-711FCC50EA37}"/>
    <cellStyle name="60% - Accent5 3 2 3 3 11" xfId="20817" xr:uid="{D9E2AE50-C502-40E5-BF39-8191984FD0DE}"/>
    <cellStyle name="60% - Accent5 3 2 3 3 12" xfId="22707" xr:uid="{3940E2CE-A49C-4327-9E4E-F183830D97E2}"/>
    <cellStyle name="60% - Accent5 3 2 3 3 13" xfId="24597" xr:uid="{510268FE-15D1-4661-8514-BCBC7181744D}"/>
    <cellStyle name="60% - Accent5 3 2 3 3 14" xfId="26487" xr:uid="{D4CC96B3-5706-4EA6-9B44-46432E9D325C}"/>
    <cellStyle name="60% - Accent5 3 2 3 3 15" xfId="28377" xr:uid="{0DC1A94E-D6B4-439E-9909-C5B1645E76AC}"/>
    <cellStyle name="60% - Accent5 3 2 3 3 16" xfId="30267" xr:uid="{8F0F0831-E09F-40A1-9DA4-63B20C522513}"/>
    <cellStyle name="60% - Accent5 3 2 3 3 17" xfId="32157" xr:uid="{6175BE4C-8368-464D-BD2A-E700C8F79CD7}"/>
    <cellStyle name="60% - Accent5 3 2 3 3 18" xfId="34047" xr:uid="{78F00BE6-241A-41B4-AE43-8574F1BAC618}"/>
    <cellStyle name="60% - Accent5 3 2 3 3 19" xfId="35937" xr:uid="{DF0C7457-CE4C-4D95-A1DD-267DE95A7076}"/>
    <cellStyle name="60% - Accent5 3 2 3 3 2" xfId="3807" xr:uid="{6A209873-45CF-42C7-850A-7B953E95D1DE}"/>
    <cellStyle name="60% - Accent5 3 2 3 3 20" xfId="37827" xr:uid="{E52539E7-AD5A-4D19-97B7-D84FD7EA2204}"/>
    <cellStyle name="60% - Accent5 3 2 3 3 21" xfId="39717" xr:uid="{2877441F-4D90-4944-8EA7-EA72BC30AD60}"/>
    <cellStyle name="60% - Accent5 3 2 3 3 22" xfId="41608" xr:uid="{D2849C28-2295-42BB-8F75-4CCCBC12CD0C}"/>
    <cellStyle name="60% - Accent5 3 2 3 3 3" xfId="5697" xr:uid="{924D9121-07F8-48C2-955A-47DA7390C062}"/>
    <cellStyle name="60% - Accent5 3 2 3 3 4" xfId="7587" xr:uid="{C268D1A0-26B7-4A09-B3CB-85F11F841397}"/>
    <cellStyle name="60% - Accent5 3 2 3 3 5" xfId="9477" xr:uid="{D6277B6C-CEBC-4B48-A27E-3A80184CF5C2}"/>
    <cellStyle name="60% - Accent5 3 2 3 3 6" xfId="11367" xr:uid="{B79B48E5-52E8-4297-9D94-6660DDBE7902}"/>
    <cellStyle name="60% - Accent5 3 2 3 3 7" xfId="13257" xr:uid="{7F410AEF-594A-40AB-B1D3-F47CF69AF409}"/>
    <cellStyle name="60% - Accent5 3 2 3 3 8" xfId="15147" xr:uid="{309355A2-2654-49C2-A0FB-F54B9EFCB8A0}"/>
    <cellStyle name="60% - Accent5 3 2 3 3 9" xfId="17037" xr:uid="{EB94EB45-8A54-4ED1-A9DE-47316BC543EF}"/>
    <cellStyle name="60% - Accent5 3 2 3 4" xfId="2547" xr:uid="{18F4F75E-CDB9-4432-8653-6029698DEF05}"/>
    <cellStyle name="60% - Accent5 3 2 3 5" xfId="4437" xr:uid="{649F53A7-5A5F-43B8-804C-6EC89E2AD549}"/>
    <cellStyle name="60% - Accent5 3 2 3 6" xfId="6327" xr:uid="{9F2911F7-0959-4115-B27D-CA50253FB1F2}"/>
    <cellStyle name="60% - Accent5 3 2 3 7" xfId="8217" xr:uid="{B0BBD81C-841A-46FD-B08B-C7FCF4EB584C}"/>
    <cellStyle name="60% - Accent5 3 2 3 8" xfId="10107" xr:uid="{64276975-39C9-4FA0-8F79-5356D000A087}"/>
    <cellStyle name="60% - Accent5 3 2 3 9" xfId="11997" xr:uid="{99756F38-A981-4CED-81CE-16C17306F113}"/>
    <cellStyle name="60% - Accent5 3 2 4" xfId="867" xr:uid="{81BFE417-4F04-49DA-81DE-DB9E1DC76F31}"/>
    <cellStyle name="60% - Accent5 3 2 4 10" xfId="17877" xr:uid="{FA723C46-BAA4-4D82-9F43-F9249F8F8419}"/>
    <cellStyle name="60% - Accent5 3 2 4 11" xfId="19767" xr:uid="{EE9157F5-A3A4-410E-BDA7-0113B0942119}"/>
    <cellStyle name="60% - Accent5 3 2 4 12" xfId="21657" xr:uid="{C772B66A-E712-4877-86DC-F7ADADAF9DC9}"/>
    <cellStyle name="60% - Accent5 3 2 4 13" xfId="23547" xr:uid="{9165BB3F-ECA2-4D60-A673-CF7EE1368FC8}"/>
    <cellStyle name="60% - Accent5 3 2 4 14" xfId="25437" xr:uid="{F88668E5-9EF3-44B8-A5A5-C5BD67D5F419}"/>
    <cellStyle name="60% - Accent5 3 2 4 15" xfId="27327" xr:uid="{0AE7571B-25B7-4F71-82B3-A4E330630811}"/>
    <cellStyle name="60% - Accent5 3 2 4 16" xfId="29217" xr:uid="{1CEDEB7C-12E6-4ED3-868E-44F5366842E7}"/>
    <cellStyle name="60% - Accent5 3 2 4 17" xfId="31107" xr:uid="{C53E57A9-835F-481C-AB00-47E2F51491D5}"/>
    <cellStyle name="60% - Accent5 3 2 4 18" xfId="32997" xr:uid="{08D308A3-AC5A-408A-BF32-14018967FC69}"/>
    <cellStyle name="60% - Accent5 3 2 4 19" xfId="34887" xr:uid="{36757F4E-C584-46A8-B637-2B40D72E2E57}"/>
    <cellStyle name="60% - Accent5 3 2 4 2" xfId="2757" xr:uid="{A75F8E18-3CF9-4EF3-8CD3-8DDD62F051D3}"/>
    <cellStyle name="60% - Accent5 3 2 4 20" xfId="36777" xr:uid="{8FE49865-A4A9-42B4-B0A3-6105DAD077B0}"/>
    <cellStyle name="60% - Accent5 3 2 4 21" xfId="38667" xr:uid="{6402FB49-1729-496E-AF22-D9F35EC61E6D}"/>
    <cellStyle name="60% - Accent5 3 2 4 22" xfId="40558" xr:uid="{CE90B9AD-41FE-471A-89D5-C1C12C202786}"/>
    <cellStyle name="60% - Accent5 3 2 4 3" xfId="4647" xr:uid="{15C705DC-8439-4820-B821-87173C821121}"/>
    <cellStyle name="60% - Accent5 3 2 4 4" xfId="6537" xr:uid="{07AF06E8-BB07-4FC6-9A1F-ADC41AA08D4B}"/>
    <cellStyle name="60% - Accent5 3 2 4 5" xfId="8427" xr:uid="{112674F2-7E7E-4410-B284-9A9BD27F7778}"/>
    <cellStyle name="60% - Accent5 3 2 4 6" xfId="10317" xr:uid="{36D51D07-7B37-43CB-B29D-4DB65BB60D25}"/>
    <cellStyle name="60% - Accent5 3 2 4 7" xfId="12207" xr:uid="{F628474E-F26A-431D-B525-B09472EB2A11}"/>
    <cellStyle name="60% - Accent5 3 2 4 8" xfId="14097" xr:uid="{87B098D0-C38B-4A80-BB84-4582C4CFE32B}"/>
    <cellStyle name="60% - Accent5 3 2 4 9" xfId="15987" xr:uid="{35FC1956-1A18-4420-87BA-FE13D7E91DB7}"/>
    <cellStyle name="60% - Accent5 3 2 5" xfId="1497" xr:uid="{7FD574F9-D6AD-42F2-99B5-4460E383FB62}"/>
    <cellStyle name="60% - Accent5 3 2 5 10" xfId="18507" xr:uid="{3729F927-D05E-4F8D-BD3C-5D5A3DBF79F9}"/>
    <cellStyle name="60% - Accent5 3 2 5 11" xfId="20397" xr:uid="{2285AAAA-34B9-410F-8E10-A6EBB62DC84F}"/>
    <cellStyle name="60% - Accent5 3 2 5 12" xfId="22287" xr:uid="{C96B2392-62A5-4C4E-8291-712104721965}"/>
    <cellStyle name="60% - Accent5 3 2 5 13" xfId="24177" xr:uid="{60B84E8C-6507-460C-A128-89265E6963DC}"/>
    <cellStyle name="60% - Accent5 3 2 5 14" xfId="26067" xr:uid="{24A37443-3080-480C-9B1C-733B1F6588BE}"/>
    <cellStyle name="60% - Accent5 3 2 5 15" xfId="27957" xr:uid="{BDC3283C-A40A-4654-A7E2-433491AB3902}"/>
    <cellStyle name="60% - Accent5 3 2 5 16" xfId="29847" xr:uid="{44614619-E8D3-4795-9203-3A363D0E898E}"/>
    <cellStyle name="60% - Accent5 3 2 5 17" xfId="31737" xr:uid="{78C0EA58-4D6E-4B9B-A18B-E6512DA8E2FF}"/>
    <cellStyle name="60% - Accent5 3 2 5 18" xfId="33627" xr:uid="{10042F4C-DDB6-4866-9E4A-C5D825ACF5CB}"/>
    <cellStyle name="60% - Accent5 3 2 5 19" xfId="35517" xr:uid="{1367A14E-6FAE-41CF-95B8-1B01F6E5CD85}"/>
    <cellStyle name="60% - Accent5 3 2 5 2" xfId="3387" xr:uid="{E42BDDFB-21E5-491A-8FC0-A0A7BDDBA4D0}"/>
    <cellStyle name="60% - Accent5 3 2 5 20" xfId="37407" xr:uid="{E8D3DAEA-9713-4524-892C-33F0473F4009}"/>
    <cellStyle name="60% - Accent5 3 2 5 21" xfId="39297" xr:uid="{EE56284B-0563-4D87-A9F4-A12EE79F9249}"/>
    <cellStyle name="60% - Accent5 3 2 5 22" xfId="41188" xr:uid="{95FF084B-D1FB-4454-876C-C46AB661900B}"/>
    <cellStyle name="60% - Accent5 3 2 5 3" xfId="5277" xr:uid="{8BB1AB1D-378F-4B96-AF13-909FE2D70D5D}"/>
    <cellStyle name="60% - Accent5 3 2 5 4" xfId="7167" xr:uid="{5CB7724F-7CF9-4B26-A144-A1C2791B4E08}"/>
    <cellStyle name="60% - Accent5 3 2 5 5" xfId="9057" xr:uid="{695CEB9F-0C93-4666-85FD-67BC016D06B8}"/>
    <cellStyle name="60% - Accent5 3 2 5 6" xfId="10947" xr:uid="{4592FDF0-2024-4AF5-85EB-98625E58D3A8}"/>
    <cellStyle name="60% - Accent5 3 2 5 7" xfId="12837" xr:uid="{27AA9344-A8BA-4EB8-923A-01004B10C216}"/>
    <cellStyle name="60% - Accent5 3 2 5 8" xfId="14727" xr:uid="{330500DD-43EA-4045-A514-BB6165DD8C0B}"/>
    <cellStyle name="60% - Accent5 3 2 5 9" xfId="16617" xr:uid="{A4A28249-BC3B-4BD8-94DF-A56A16D84692}"/>
    <cellStyle name="60% - Accent5 3 2 6" xfId="2127" xr:uid="{44311114-F3BA-4F87-9082-1E9AA3B7F753}"/>
    <cellStyle name="60% - Accent5 3 2 7" xfId="4017" xr:uid="{920E7B3E-F306-44B2-818D-92BA7F84454E}"/>
    <cellStyle name="60% - Accent5 3 2 8" xfId="5907" xr:uid="{F1BDB719-4062-459A-A58E-15380B469478}"/>
    <cellStyle name="60% - Accent5 3 2 9" xfId="7797" xr:uid="{3DCDE400-4B2B-4647-9986-006A4BBC78C2}"/>
    <cellStyle name="60% - Accent5 3 20" xfId="26592" xr:uid="{27310B57-F83C-4545-8346-3897CC10FF61}"/>
    <cellStyle name="60% - Accent5 3 21" xfId="28482" xr:uid="{0381FC75-0991-4FD1-A9C1-1BAF9EE8C071}"/>
    <cellStyle name="60% - Accent5 3 22" xfId="30372" xr:uid="{E1797290-D767-4885-AB69-8BED59193530}"/>
    <cellStyle name="60% - Accent5 3 23" xfId="32262" xr:uid="{BD0F04BC-AAA4-4A27-932C-084E5B98CEB2}"/>
    <cellStyle name="60% - Accent5 3 24" xfId="34152" xr:uid="{FBBF6C04-B006-4AA5-B478-0C102BAB4B21}"/>
    <cellStyle name="60% - Accent5 3 25" xfId="36042" xr:uid="{E8DC67D9-95B9-46AD-BEAE-F51B9F9366FF}"/>
    <cellStyle name="60% - Accent5 3 26" xfId="37932" xr:uid="{C8170C84-2DD4-49B5-B4CB-54328ADF3E0C}"/>
    <cellStyle name="60% - Accent5 3 27" xfId="39823" xr:uid="{33AE2B9C-A5DF-45A6-B919-F21613E7126D}"/>
    <cellStyle name="60% - Accent5 3 3" xfId="342" xr:uid="{7E689BDC-7E07-4B7E-91DF-F536624C561C}"/>
    <cellStyle name="60% - Accent5 3 3 10" xfId="13572" xr:uid="{08BE7849-66B4-429B-B830-21FDE8D52BD6}"/>
    <cellStyle name="60% - Accent5 3 3 11" xfId="15462" xr:uid="{5DE577DF-F6F4-4E5F-AC40-A6CF313B7416}"/>
    <cellStyle name="60% - Accent5 3 3 12" xfId="17352" xr:uid="{75D070E5-4AAF-4F64-9AA1-E50A92F77423}"/>
    <cellStyle name="60% - Accent5 3 3 13" xfId="19242" xr:uid="{389F6734-730D-4F4F-9AAA-31F4710551DE}"/>
    <cellStyle name="60% - Accent5 3 3 14" xfId="21132" xr:uid="{EE59AF56-E0DE-4C39-9FB6-D62F3F9BEB96}"/>
    <cellStyle name="60% - Accent5 3 3 15" xfId="23022" xr:uid="{5E50D951-6E95-434C-B9A3-253D8851089A}"/>
    <cellStyle name="60% - Accent5 3 3 16" xfId="24912" xr:uid="{46FF3FA1-4DCF-4D65-8872-9696494622A5}"/>
    <cellStyle name="60% - Accent5 3 3 17" xfId="26802" xr:uid="{3349BBC5-CC75-4F74-8DC8-9C8A8573685F}"/>
    <cellStyle name="60% - Accent5 3 3 18" xfId="28692" xr:uid="{3B769F9F-B35C-4F35-96AD-C24F47B39A53}"/>
    <cellStyle name="60% - Accent5 3 3 19" xfId="30582" xr:uid="{9812D5AB-700B-4B6D-BC7B-012ABEAB8002}"/>
    <cellStyle name="60% - Accent5 3 3 2" xfId="972" xr:uid="{ACF1430B-F88C-4512-8C0E-A7E24B281099}"/>
    <cellStyle name="60% - Accent5 3 3 2 10" xfId="17982" xr:uid="{23BAB8BA-D5EC-42B2-BB9F-E1A09FE58529}"/>
    <cellStyle name="60% - Accent5 3 3 2 11" xfId="19872" xr:uid="{88EF9E9D-67D0-4C05-881B-607E07677BCB}"/>
    <cellStyle name="60% - Accent5 3 3 2 12" xfId="21762" xr:uid="{959201C1-19DC-4201-A61C-F12B59A5EC40}"/>
    <cellStyle name="60% - Accent5 3 3 2 13" xfId="23652" xr:uid="{0B01910A-2AC7-4FC0-A3E0-F33A69C5C352}"/>
    <cellStyle name="60% - Accent5 3 3 2 14" xfId="25542" xr:uid="{018E914F-0E53-4E9C-A51F-94FDB60EB31D}"/>
    <cellStyle name="60% - Accent5 3 3 2 15" xfId="27432" xr:uid="{40F18AC4-9EA8-4E57-BFA7-0A3D1521AA19}"/>
    <cellStyle name="60% - Accent5 3 3 2 16" xfId="29322" xr:uid="{8269EFEE-C54F-480B-9A69-29D2DB91BE14}"/>
    <cellStyle name="60% - Accent5 3 3 2 17" xfId="31212" xr:uid="{F741346F-9932-492C-A355-7DA258BEFA19}"/>
    <cellStyle name="60% - Accent5 3 3 2 18" xfId="33102" xr:uid="{5AB84B34-D5AD-4608-9D83-1B252C7F3EFA}"/>
    <cellStyle name="60% - Accent5 3 3 2 19" xfId="34992" xr:uid="{C5FE04D8-AE82-43DA-86F7-DBEDC6472DB5}"/>
    <cellStyle name="60% - Accent5 3 3 2 2" xfId="2862" xr:uid="{31308BAE-2054-4AB2-BA3E-B46082DA4662}"/>
    <cellStyle name="60% - Accent5 3 3 2 20" xfId="36882" xr:uid="{336EBB6C-531C-4F2D-9301-B5E4B80CCB17}"/>
    <cellStyle name="60% - Accent5 3 3 2 21" xfId="38772" xr:uid="{F27CB211-51CC-4124-9830-B03F69C0A05D}"/>
    <cellStyle name="60% - Accent5 3 3 2 22" xfId="40663" xr:uid="{862B419F-AAC8-4B73-99B8-FC5A8C5A182D}"/>
    <cellStyle name="60% - Accent5 3 3 2 3" xfId="4752" xr:uid="{F9EDB0AB-535C-4034-9065-B352EFEF528B}"/>
    <cellStyle name="60% - Accent5 3 3 2 4" xfId="6642" xr:uid="{1964D335-58FF-47A1-AE7E-9EA6E7ADBF93}"/>
    <cellStyle name="60% - Accent5 3 3 2 5" xfId="8532" xr:uid="{8DADDD37-8C6D-4B13-9FDF-E46144401869}"/>
    <cellStyle name="60% - Accent5 3 3 2 6" xfId="10422" xr:uid="{7EB98367-D0D8-407F-B00A-A98F61EDE423}"/>
    <cellStyle name="60% - Accent5 3 3 2 7" xfId="12312" xr:uid="{565FEE86-28B6-4419-B1FC-667B70D4ED45}"/>
    <cellStyle name="60% - Accent5 3 3 2 8" xfId="14202" xr:uid="{3DFAEAF5-63F4-4664-A83A-36F509D34502}"/>
    <cellStyle name="60% - Accent5 3 3 2 9" xfId="16092" xr:uid="{046EB4AD-3840-46D1-810B-0AABBF4CB5D6}"/>
    <cellStyle name="60% - Accent5 3 3 20" xfId="32472" xr:uid="{4B224817-9DAE-4B50-8258-C43118B50B81}"/>
    <cellStyle name="60% - Accent5 3 3 21" xfId="34362" xr:uid="{C4D4845B-D809-4C94-9AEA-084204705273}"/>
    <cellStyle name="60% - Accent5 3 3 22" xfId="36252" xr:uid="{33CFDDB7-BE5A-40D0-B47C-F8E902C0574B}"/>
    <cellStyle name="60% - Accent5 3 3 23" xfId="38142" xr:uid="{81F6F6E6-5F66-488F-8419-9307BDBAE986}"/>
    <cellStyle name="60% - Accent5 3 3 24" xfId="40033" xr:uid="{10791821-5F6D-4F0B-BC3C-FA0B76F100A1}"/>
    <cellStyle name="60% - Accent5 3 3 3" xfId="1602" xr:uid="{5BD0CBBA-CA9B-4A9F-A35E-B7FB1175A587}"/>
    <cellStyle name="60% - Accent5 3 3 3 10" xfId="18612" xr:uid="{EA774A27-C5E0-470C-AFBB-D329757AD888}"/>
    <cellStyle name="60% - Accent5 3 3 3 11" xfId="20502" xr:uid="{C4CD4D01-31DC-4F94-8B9E-9603860554AC}"/>
    <cellStyle name="60% - Accent5 3 3 3 12" xfId="22392" xr:uid="{FE7DF916-930B-4BA4-A935-9DFEFF829BF6}"/>
    <cellStyle name="60% - Accent5 3 3 3 13" xfId="24282" xr:uid="{03E71374-3F66-4828-BEBC-636DB8C96DEA}"/>
    <cellStyle name="60% - Accent5 3 3 3 14" xfId="26172" xr:uid="{C0CA688E-6D31-4290-9080-C5164441B0CC}"/>
    <cellStyle name="60% - Accent5 3 3 3 15" xfId="28062" xr:uid="{19E74F36-D8C1-4E4C-8D51-A2DBE39B3452}"/>
    <cellStyle name="60% - Accent5 3 3 3 16" xfId="29952" xr:uid="{FDFF6EC3-8CA1-49B3-93E6-B9859A25C570}"/>
    <cellStyle name="60% - Accent5 3 3 3 17" xfId="31842" xr:uid="{1D454A59-96F3-4FD2-9DBD-4B8675AB0B16}"/>
    <cellStyle name="60% - Accent5 3 3 3 18" xfId="33732" xr:uid="{74BD0735-60FC-486A-A0B2-D2E280895C2E}"/>
    <cellStyle name="60% - Accent5 3 3 3 19" xfId="35622" xr:uid="{D36A16F4-3E51-4051-940F-191414624890}"/>
    <cellStyle name="60% - Accent5 3 3 3 2" xfId="3492" xr:uid="{E8AAE610-0A29-45DC-ADC0-86D8CF561C6F}"/>
    <cellStyle name="60% - Accent5 3 3 3 20" xfId="37512" xr:uid="{B0035EEC-5CBC-4AC7-BACB-BAE7BD19C728}"/>
    <cellStyle name="60% - Accent5 3 3 3 21" xfId="39402" xr:uid="{ACF11715-A968-4CB4-9995-E383DE9AF409}"/>
    <cellStyle name="60% - Accent5 3 3 3 22" xfId="41293" xr:uid="{BB466295-E099-4B4F-BD22-55B0FF74E688}"/>
    <cellStyle name="60% - Accent5 3 3 3 3" xfId="5382" xr:uid="{4392CC94-E956-4479-BC63-8AFEE7AA2438}"/>
    <cellStyle name="60% - Accent5 3 3 3 4" xfId="7272" xr:uid="{43943AD6-EC65-4D66-A048-9CFB69C211AF}"/>
    <cellStyle name="60% - Accent5 3 3 3 5" xfId="9162" xr:uid="{6D9F1F40-C31B-4B3D-9B26-869764CF415F}"/>
    <cellStyle name="60% - Accent5 3 3 3 6" xfId="11052" xr:uid="{8397315C-EBBD-46E2-AF98-9CBD9BC0749A}"/>
    <cellStyle name="60% - Accent5 3 3 3 7" xfId="12942" xr:uid="{E101394A-82A2-4935-BDD0-E01053B138FF}"/>
    <cellStyle name="60% - Accent5 3 3 3 8" xfId="14832" xr:uid="{3593D3E1-A649-4B3A-B41C-1C5FD4CEFFBF}"/>
    <cellStyle name="60% - Accent5 3 3 3 9" xfId="16722" xr:uid="{ACB8E33B-7835-45AE-BDDC-2C6857991D2F}"/>
    <cellStyle name="60% - Accent5 3 3 4" xfId="2232" xr:uid="{2B3A51A9-B252-4190-ACA5-B76AB5F7B432}"/>
    <cellStyle name="60% - Accent5 3 3 5" xfId="4122" xr:uid="{9685B4E5-B9DC-4C6C-93BE-1574B2DFAD4F}"/>
    <cellStyle name="60% - Accent5 3 3 6" xfId="6012" xr:uid="{AE596969-AECA-463F-99B0-697E14FCB077}"/>
    <cellStyle name="60% - Accent5 3 3 7" xfId="7902" xr:uid="{1822A6AD-9D43-4C1C-9591-D54009EE0D9F}"/>
    <cellStyle name="60% - Accent5 3 3 8" xfId="9792" xr:uid="{866A4995-C9E8-4AF7-8D02-98613B514A0B}"/>
    <cellStyle name="60% - Accent5 3 3 9" xfId="11682" xr:uid="{847BDA07-D06C-40B5-BB5E-58B93B5EF1F0}"/>
    <cellStyle name="60% - Accent5 3 4" xfId="552" xr:uid="{EDF81F50-4095-443B-AF95-AB1422AFB19E}"/>
    <cellStyle name="60% - Accent5 3 4 10" xfId="13782" xr:uid="{49E0A4D3-67B7-4D65-86B1-F643B1B7DDCC}"/>
    <cellStyle name="60% - Accent5 3 4 11" xfId="15672" xr:uid="{65C38561-FE80-4AAD-A86B-263A030BCE27}"/>
    <cellStyle name="60% - Accent5 3 4 12" xfId="17562" xr:uid="{E0BCD9E8-B357-4E61-88D9-35E1B0381232}"/>
    <cellStyle name="60% - Accent5 3 4 13" xfId="19452" xr:uid="{91295185-647F-42DB-A6AE-E6E1D1205A50}"/>
    <cellStyle name="60% - Accent5 3 4 14" xfId="21342" xr:uid="{1F93B77D-339D-4773-8697-B4A5150D869F}"/>
    <cellStyle name="60% - Accent5 3 4 15" xfId="23232" xr:uid="{2BFF7879-8685-47A2-9205-CB209742D9CB}"/>
    <cellStyle name="60% - Accent5 3 4 16" xfId="25122" xr:uid="{FA90775D-0CF2-4C0F-961C-C276891182DE}"/>
    <cellStyle name="60% - Accent5 3 4 17" xfId="27012" xr:uid="{009EE872-69A0-4A53-9E9F-7F6E3FC9C8D0}"/>
    <cellStyle name="60% - Accent5 3 4 18" xfId="28902" xr:uid="{4E4A483E-639D-49DD-AFDD-35F226410774}"/>
    <cellStyle name="60% - Accent5 3 4 19" xfId="30792" xr:uid="{231C39E0-BB9F-4311-97E8-BF5DEA6E5155}"/>
    <cellStyle name="60% - Accent5 3 4 2" xfId="1182" xr:uid="{D2A09A57-DF47-4C04-B91D-58D67E4F8945}"/>
    <cellStyle name="60% - Accent5 3 4 2 10" xfId="18192" xr:uid="{48AC7322-42DF-4487-A37F-E055256D8FAB}"/>
    <cellStyle name="60% - Accent5 3 4 2 11" xfId="20082" xr:uid="{9E7ED948-EB56-4F2B-BF65-40F3A494AEF5}"/>
    <cellStyle name="60% - Accent5 3 4 2 12" xfId="21972" xr:uid="{5512B559-269A-4C55-8CAE-8232247D3362}"/>
    <cellStyle name="60% - Accent5 3 4 2 13" xfId="23862" xr:uid="{E099EB92-7FDE-424A-9956-4C81FFFA16CB}"/>
    <cellStyle name="60% - Accent5 3 4 2 14" xfId="25752" xr:uid="{0C092AC9-8B49-4861-9933-2CA40E5FE1F8}"/>
    <cellStyle name="60% - Accent5 3 4 2 15" xfId="27642" xr:uid="{871AECB6-D887-4C22-B2B1-B26EC0C0C450}"/>
    <cellStyle name="60% - Accent5 3 4 2 16" xfId="29532" xr:uid="{F8F6D6E0-124E-44B9-8933-64AAD98957E0}"/>
    <cellStyle name="60% - Accent5 3 4 2 17" xfId="31422" xr:uid="{4B81BD26-8AAE-4EB5-9611-8D0FE94CBDAF}"/>
    <cellStyle name="60% - Accent5 3 4 2 18" xfId="33312" xr:uid="{7B973BFF-9F91-48E8-A5C6-B26D20D1FE41}"/>
    <cellStyle name="60% - Accent5 3 4 2 19" xfId="35202" xr:uid="{19DAB9F2-22E7-4C07-9552-338BA0408056}"/>
    <cellStyle name="60% - Accent5 3 4 2 2" xfId="3072" xr:uid="{B54A483A-EEF7-44B5-9B59-1D41B44A96FB}"/>
    <cellStyle name="60% - Accent5 3 4 2 20" xfId="37092" xr:uid="{20E58C34-A0DE-4B2B-B275-CC8299DCD8F5}"/>
    <cellStyle name="60% - Accent5 3 4 2 21" xfId="38982" xr:uid="{78D8A918-1C83-4454-9FBB-7921BCD4D9C3}"/>
    <cellStyle name="60% - Accent5 3 4 2 22" xfId="40873" xr:uid="{1C332C1F-553B-4768-81BA-0991D511DE6D}"/>
    <cellStyle name="60% - Accent5 3 4 2 3" xfId="4962" xr:uid="{C2E99C88-04C8-464E-AB43-36990FCAABFA}"/>
    <cellStyle name="60% - Accent5 3 4 2 4" xfId="6852" xr:uid="{769D2EA5-D7B9-4D91-A176-F3D4A63C5362}"/>
    <cellStyle name="60% - Accent5 3 4 2 5" xfId="8742" xr:uid="{4D0F030B-B164-42A1-A1A0-1B6EE1316585}"/>
    <cellStyle name="60% - Accent5 3 4 2 6" xfId="10632" xr:uid="{7B786C66-4001-40DE-85BE-11F28C77F23C}"/>
    <cellStyle name="60% - Accent5 3 4 2 7" xfId="12522" xr:uid="{E89A2722-1601-4C20-8C74-40171089601A}"/>
    <cellStyle name="60% - Accent5 3 4 2 8" xfId="14412" xr:uid="{E9788A3F-68E0-46FA-9F68-FE46858A7FAF}"/>
    <cellStyle name="60% - Accent5 3 4 2 9" xfId="16302" xr:uid="{BCB32987-E08D-4D95-A1EB-9D380498D53B}"/>
    <cellStyle name="60% - Accent5 3 4 20" xfId="32682" xr:uid="{3A1B0538-BED6-4466-B0CB-E4635039EA5A}"/>
    <cellStyle name="60% - Accent5 3 4 21" xfId="34572" xr:uid="{5FEFB0BD-6939-4221-B04A-7C75EF74683C}"/>
    <cellStyle name="60% - Accent5 3 4 22" xfId="36462" xr:uid="{44B184A8-A398-4EB6-889A-4968ECF2055C}"/>
    <cellStyle name="60% - Accent5 3 4 23" xfId="38352" xr:uid="{77EAD308-386F-4196-B25F-2465D8874184}"/>
    <cellStyle name="60% - Accent5 3 4 24" xfId="40243" xr:uid="{6F61BC1A-781A-49B3-AE74-77D913EA59C9}"/>
    <cellStyle name="60% - Accent5 3 4 3" xfId="1812" xr:uid="{7A81B3D2-4363-4239-A19F-64A2FBE2477A}"/>
    <cellStyle name="60% - Accent5 3 4 3 10" xfId="18822" xr:uid="{4BF41FB2-5D33-4D8B-9B8A-D288CA5BD060}"/>
    <cellStyle name="60% - Accent5 3 4 3 11" xfId="20712" xr:uid="{C3723E8F-631C-41C6-BDCE-5DAA87497594}"/>
    <cellStyle name="60% - Accent5 3 4 3 12" xfId="22602" xr:uid="{F8A2B2C1-84DA-4DFC-B691-64E84B5B91E6}"/>
    <cellStyle name="60% - Accent5 3 4 3 13" xfId="24492" xr:uid="{50073AD0-D0C9-4EE5-9D39-6C6D3927FB51}"/>
    <cellStyle name="60% - Accent5 3 4 3 14" xfId="26382" xr:uid="{887D4474-ACCB-4AC2-891C-45C738C846F1}"/>
    <cellStyle name="60% - Accent5 3 4 3 15" xfId="28272" xr:uid="{D246A4D4-4C9B-4103-8DBD-83E588397179}"/>
    <cellStyle name="60% - Accent5 3 4 3 16" xfId="30162" xr:uid="{38C49ED8-E432-4DA5-81A4-C19C0EAF2FD9}"/>
    <cellStyle name="60% - Accent5 3 4 3 17" xfId="32052" xr:uid="{01A16EDE-C693-4E52-A704-B11B19F48DC7}"/>
    <cellStyle name="60% - Accent5 3 4 3 18" xfId="33942" xr:uid="{65C0072F-838C-4825-BB3A-53DC405BBF1C}"/>
    <cellStyle name="60% - Accent5 3 4 3 19" xfId="35832" xr:uid="{497B3DEE-2329-49F4-A3F4-D1FA18A2DC8C}"/>
    <cellStyle name="60% - Accent5 3 4 3 2" xfId="3702" xr:uid="{D404194E-3732-4170-BD87-F920138C571E}"/>
    <cellStyle name="60% - Accent5 3 4 3 20" xfId="37722" xr:uid="{2709D0AD-8556-49B5-8BB4-6CEBC165B339}"/>
    <cellStyle name="60% - Accent5 3 4 3 21" xfId="39612" xr:uid="{B1786625-3258-450F-8181-021560C36EA0}"/>
    <cellStyle name="60% - Accent5 3 4 3 22" xfId="41503" xr:uid="{FB1D4EB5-B74C-447C-997E-74B6B5544430}"/>
    <cellStyle name="60% - Accent5 3 4 3 3" xfId="5592" xr:uid="{ABAA1BC1-56B4-412F-B05D-12AC5D46B3F9}"/>
    <cellStyle name="60% - Accent5 3 4 3 4" xfId="7482" xr:uid="{19061FC5-1282-45B5-BCAB-B2C4E0F8443D}"/>
    <cellStyle name="60% - Accent5 3 4 3 5" xfId="9372" xr:uid="{3F5A7B90-1192-44AD-A208-3A5C18307E43}"/>
    <cellStyle name="60% - Accent5 3 4 3 6" xfId="11262" xr:uid="{6CE21A67-687E-48E9-8982-296C0880ECBF}"/>
    <cellStyle name="60% - Accent5 3 4 3 7" xfId="13152" xr:uid="{B731FA5D-138B-4C1E-BF4E-4B3601278FE0}"/>
    <cellStyle name="60% - Accent5 3 4 3 8" xfId="15042" xr:uid="{F0FA2B72-8383-4BF9-B811-588136698594}"/>
    <cellStyle name="60% - Accent5 3 4 3 9" xfId="16932" xr:uid="{02FE156C-02DB-4ECF-B560-9F0506ABF746}"/>
    <cellStyle name="60% - Accent5 3 4 4" xfId="2442" xr:uid="{A2975BEF-9315-4E47-B34B-FA7132228B94}"/>
    <cellStyle name="60% - Accent5 3 4 5" xfId="4332" xr:uid="{0E2B0391-E74A-43C3-8995-D248E9F82A09}"/>
    <cellStyle name="60% - Accent5 3 4 6" xfId="6222" xr:uid="{D8C0E9D5-E8D0-477D-B55B-442F15FA999A}"/>
    <cellStyle name="60% - Accent5 3 4 7" xfId="8112" xr:uid="{22F29A0C-8CF0-4DFA-B2BE-DF00C5C04E85}"/>
    <cellStyle name="60% - Accent5 3 4 8" xfId="10002" xr:uid="{237EB49E-5A41-4A2A-AFEE-22EAF1FA68E9}"/>
    <cellStyle name="60% - Accent5 3 4 9" xfId="11892" xr:uid="{2A54348C-5C93-4B79-A32E-EEC86FFF6F6A}"/>
    <cellStyle name="60% - Accent5 3 5" xfId="762" xr:uid="{C23A2E73-E3B7-4ECC-8CD8-2A5EEFB2AFAA}"/>
    <cellStyle name="60% - Accent5 3 5 10" xfId="17772" xr:uid="{37B2BE9E-D4E7-486D-BBC2-582EC5BBA0A0}"/>
    <cellStyle name="60% - Accent5 3 5 11" xfId="19662" xr:uid="{DE452CB8-9121-47F7-98B1-1C88A4CAB95B}"/>
    <cellStyle name="60% - Accent5 3 5 12" xfId="21552" xr:uid="{B5F698C9-F7B3-446E-A82A-BB63B0D1AEAD}"/>
    <cellStyle name="60% - Accent5 3 5 13" xfId="23442" xr:uid="{C183DF55-744B-41CD-8F63-5C61238A5375}"/>
    <cellStyle name="60% - Accent5 3 5 14" xfId="25332" xr:uid="{F5CCFF49-DED9-47A0-AADC-CD456B191F47}"/>
    <cellStyle name="60% - Accent5 3 5 15" xfId="27222" xr:uid="{116E4B05-FE3F-4D67-A483-AB9BDBC6AC92}"/>
    <cellStyle name="60% - Accent5 3 5 16" xfId="29112" xr:uid="{049A775D-EC1F-44F0-A338-7B0CCDC51D7E}"/>
    <cellStyle name="60% - Accent5 3 5 17" xfId="31002" xr:uid="{0AD99A96-3F75-4CC1-8218-28581C0907D7}"/>
    <cellStyle name="60% - Accent5 3 5 18" xfId="32892" xr:uid="{7F251171-E73D-48CD-B7DA-38918C6D1B90}"/>
    <cellStyle name="60% - Accent5 3 5 19" xfId="34782" xr:uid="{941412BC-3D2F-4011-95D9-540DDB0A7693}"/>
    <cellStyle name="60% - Accent5 3 5 2" xfId="2652" xr:uid="{EBF3F1FA-35F1-429F-B543-9F460714B525}"/>
    <cellStyle name="60% - Accent5 3 5 20" xfId="36672" xr:uid="{A63C1CB7-99AF-43BC-98E8-8BF965EFE83B}"/>
    <cellStyle name="60% - Accent5 3 5 21" xfId="38562" xr:uid="{3FE60CA2-0C93-447E-84AB-CAFB237774FA}"/>
    <cellStyle name="60% - Accent5 3 5 22" xfId="40453" xr:uid="{7A140E5C-7810-4221-9E98-AD1649A5B906}"/>
    <cellStyle name="60% - Accent5 3 5 3" xfId="4542" xr:uid="{C7386FA3-5A7B-48ED-978D-B68B56B4FD02}"/>
    <cellStyle name="60% - Accent5 3 5 4" xfId="6432" xr:uid="{0021B831-727A-4FDF-8C5C-368A1742FF39}"/>
    <cellStyle name="60% - Accent5 3 5 5" xfId="8322" xr:uid="{85D558FC-EE08-4621-B48C-AD9E2904B184}"/>
    <cellStyle name="60% - Accent5 3 5 6" xfId="10212" xr:uid="{D874685B-8C1C-40A3-AC27-4B7EC986C9D1}"/>
    <cellStyle name="60% - Accent5 3 5 7" xfId="12102" xr:uid="{8F1BA874-86D6-46AD-A955-46FC8138BC9E}"/>
    <cellStyle name="60% - Accent5 3 5 8" xfId="13992" xr:uid="{7D86B437-98CB-44B0-892D-34748308CBDF}"/>
    <cellStyle name="60% - Accent5 3 5 9" xfId="15882" xr:uid="{4FA8EF28-EE41-44F4-8320-529038A1AC9F}"/>
    <cellStyle name="60% - Accent5 3 6" xfId="1392" xr:uid="{8ADEC55D-24EB-425D-B197-6D47CEE7DE34}"/>
    <cellStyle name="60% - Accent5 3 6 10" xfId="18402" xr:uid="{06EE890D-8CFD-4B1E-A0EA-AD7DE1D6938A}"/>
    <cellStyle name="60% - Accent5 3 6 11" xfId="20292" xr:uid="{34794F87-2869-413C-ACFE-B864B468E4D1}"/>
    <cellStyle name="60% - Accent5 3 6 12" xfId="22182" xr:uid="{D5E136D2-4741-4158-8FD3-A94948068625}"/>
    <cellStyle name="60% - Accent5 3 6 13" xfId="24072" xr:uid="{B963DC59-F4FE-4F82-A198-FEAC810D795A}"/>
    <cellStyle name="60% - Accent5 3 6 14" xfId="25962" xr:uid="{26E87F2A-70E2-4960-B8A1-49A41EF4E7D1}"/>
    <cellStyle name="60% - Accent5 3 6 15" xfId="27852" xr:uid="{67C9D64A-8287-4BB9-9FAE-0A86F4D0673A}"/>
    <cellStyle name="60% - Accent5 3 6 16" xfId="29742" xr:uid="{3EBDC7E4-186A-4397-A5CA-7624615708AC}"/>
    <cellStyle name="60% - Accent5 3 6 17" xfId="31632" xr:uid="{F174DE79-B904-4E3D-9047-1F44E35C3539}"/>
    <cellStyle name="60% - Accent5 3 6 18" xfId="33522" xr:uid="{DFB706D1-96FC-4E3F-865E-C9C35411C8A1}"/>
    <cellStyle name="60% - Accent5 3 6 19" xfId="35412" xr:uid="{434F5DBB-76E5-419D-BE74-96DC85D6F5E1}"/>
    <cellStyle name="60% - Accent5 3 6 2" xfId="3282" xr:uid="{599DA385-00DD-424F-A285-627B366A5D10}"/>
    <cellStyle name="60% - Accent5 3 6 20" xfId="37302" xr:uid="{86BC48C9-8366-4526-8E20-E6CB7E487B58}"/>
    <cellStyle name="60% - Accent5 3 6 21" xfId="39192" xr:uid="{5A198C41-D441-49AC-B743-8FCFCD1402ED}"/>
    <cellStyle name="60% - Accent5 3 6 22" xfId="41083" xr:uid="{2B9FBD15-4865-4210-959B-05F550387758}"/>
    <cellStyle name="60% - Accent5 3 6 3" xfId="5172" xr:uid="{3A427075-A3A9-4F23-9720-53B777B24A1C}"/>
    <cellStyle name="60% - Accent5 3 6 4" xfId="7062" xr:uid="{36045BF4-3506-44F1-8713-38238F31C2B2}"/>
    <cellStyle name="60% - Accent5 3 6 5" xfId="8952" xr:uid="{ED556E5D-5F80-4440-A484-1AE0EB1A1047}"/>
    <cellStyle name="60% - Accent5 3 6 6" xfId="10842" xr:uid="{6ADF46E6-C507-48C3-8EA4-C7DD3B8C7304}"/>
    <cellStyle name="60% - Accent5 3 6 7" xfId="12732" xr:uid="{F72B41EE-A1B1-484A-A09C-686594BE2E6C}"/>
    <cellStyle name="60% - Accent5 3 6 8" xfId="14622" xr:uid="{F4D17D4A-D9E0-4F95-B0C1-7B3A9D83139F}"/>
    <cellStyle name="60% - Accent5 3 6 9" xfId="16512" xr:uid="{62279328-4FA8-41FA-8310-7AEE079B8242}"/>
    <cellStyle name="60% - Accent5 3 7" xfId="2022" xr:uid="{E21C47FF-374B-4093-96F7-B512029ADBD9}"/>
    <cellStyle name="60% - Accent5 3 8" xfId="3912" xr:uid="{E41F6859-3BEC-4F34-9B56-BB5F5DE649AD}"/>
    <cellStyle name="60% - Accent5 3 9" xfId="5802" xr:uid="{D6EE4BBE-9586-4036-8A83-DE69C787FDBF}"/>
    <cellStyle name="60% - Accent5 4" xfId="195" xr:uid="{8DB5B2E1-3441-42A7-BF06-47D5DD605CAB}"/>
    <cellStyle name="60% - Accent5 4 10" xfId="9645" xr:uid="{55D692D3-AA71-4C3D-BEA1-9297D2FEF34D}"/>
    <cellStyle name="60% - Accent5 4 11" xfId="11535" xr:uid="{29926D7B-88CA-4E47-89C6-0909D3A61623}"/>
    <cellStyle name="60% - Accent5 4 12" xfId="13425" xr:uid="{5B2F15B9-6AA7-4F11-8151-611CF09DDD62}"/>
    <cellStyle name="60% - Accent5 4 13" xfId="15315" xr:uid="{45E1E8F6-F2EA-4A67-88FD-AD85467843FA}"/>
    <cellStyle name="60% - Accent5 4 14" xfId="17205" xr:uid="{0AE35E8C-7CA4-445D-BB1F-CD32B14BD60A}"/>
    <cellStyle name="60% - Accent5 4 15" xfId="19095" xr:uid="{C64D9A15-EC8A-4A74-8EED-A611244AE181}"/>
    <cellStyle name="60% - Accent5 4 16" xfId="20985" xr:uid="{81223B7E-16B1-469A-8B45-5C3736051F21}"/>
    <cellStyle name="60% - Accent5 4 17" xfId="22875" xr:uid="{E11A8824-604C-46A5-A8D0-7EA666B3F6F7}"/>
    <cellStyle name="60% - Accent5 4 18" xfId="24765" xr:uid="{BFA535CD-E9FA-4E8B-9749-5963B0555370}"/>
    <cellStyle name="60% - Accent5 4 19" xfId="26655" xr:uid="{06DD0A11-7C6B-4359-85D1-AD8DABABC349}"/>
    <cellStyle name="60% - Accent5 4 2" xfId="405" xr:uid="{A4669E12-F449-4BB5-9703-4A3285EFADAF}"/>
    <cellStyle name="60% - Accent5 4 2 10" xfId="13635" xr:uid="{E9EDABC4-95CA-448C-9E2A-A3E594FF443C}"/>
    <cellStyle name="60% - Accent5 4 2 11" xfId="15525" xr:uid="{E60ADEA4-9E95-4754-ADB0-1B1234886D36}"/>
    <cellStyle name="60% - Accent5 4 2 12" xfId="17415" xr:uid="{526395D3-89A9-4396-98F1-44B81AF233A4}"/>
    <cellStyle name="60% - Accent5 4 2 13" xfId="19305" xr:uid="{AEE4B556-DFA2-4130-912D-0B62A39EA0D9}"/>
    <cellStyle name="60% - Accent5 4 2 14" xfId="21195" xr:uid="{5E01B304-6A1F-425A-B4CA-CDA4181D8141}"/>
    <cellStyle name="60% - Accent5 4 2 15" xfId="23085" xr:uid="{06A6B5E9-2EB7-4CA1-9EC6-CEC24300D486}"/>
    <cellStyle name="60% - Accent5 4 2 16" xfId="24975" xr:uid="{824CD23A-F955-40F7-A8EE-2D9DE8363593}"/>
    <cellStyle name="60% - Accent5 4 2 17" xfId="26865" xr:uid="{A4E20827-2505-4902-876C-6FB065F85A6D}"/>
    <cellStyle name="60% - Accent5 4 2 18" xfId="28755" xr:uid="{CF255F2A-20A8-4395-8C1F-EE1069B85D71}"/>
    <cellStyle name="60% - Accent5 4 2 19" xfId="30645" xr:uid="{3EE9BEB4-55EB-40E5-929D-E94F67C93433}"/>
    <cellStyle name="60% - Accent5 4 2 2" xfId="1035" xr:uid="{89DCD05D-05B4-46DF-8F5E-6B8D21FACE4F}"/>
    <cellStyle name="60% - Accent5 4 2 2 10" xfId="18045" xr:uid="{8DD4024E-F8F7-4768-86FA-A1B8853CB25E}"/>
    <cellStyle name="60% - Accent5 4 2 2 11" xfId="19935" xr:uid="{63D020AE-C51C-41DE-A87D-007ABFC9C0E7}"/>
    <cellStyle name="60% - Accent5 4 2 2 12" xfId="21825" xr:uid="{955CBDFD-83EE-4496-AFB1-000370EBB100}"/>
    <cellStyle name="60% - Accent5 4 2 2 13" xfId="23715" xr:uid="{2E274E0B-5D41-4C2C-B633-FBABF94874C9}"/>
    <cellStyle name="60% - Accent5 4 2 2 14" xfId="25605" xr:uid="{A06BF8F1-0BFB-46BA-BBBB-7BBF5F71C64B}"/>
    <cellStyle name="60% - Accent5 4 2 2 15" xfId="27495" xr:uid="{CD3189EE-EEDA-44F0-B70E-5DC5737D8AB4}"/>
    <cellStyle name="60% - Accent5 4 2 2 16" xfId="29385" xr:uid="{EF8C9FDA-17A4-43E7-825F-812D0E8E3168}"/>
    <cellStyle name="60% - Accent5 4 2 2 17" xfId="31275" xr:uid="{DBD0EFFA-3B0F-46F4-8440-A39463FBBD37}"/>
    <cellStyle name="60% - Accent5 4 2 2 18" xfId="33165" xr:uid="{8CF7DCD6-0305-4D04-A067-35E5FBF992D1}"/>
    <cellStyle name="60% - Accent5 4 2 2 19" xfId="35055" xr:uid="{F89DC089-9690-4E03-AEC7-27C0279FC481}"/>
    <cellStyle name="60% - Accent5 4 2 2 2" xfId="2925" xr:uid="{ED513BD0-DE86-4090-A3D0-C050CCFF043A}"/>
    <cellStyle name="60% - Accent5 4 2 2 20" xfId="36945" xr:uid="{F3B79A49-871F-4B67-AF91-FE9EBF011B03}"/>
    <cellStyle name="60% - Accent5 4 2 2 21" xfId="38835" xr:uid="{472D6E31-5B17-4F42-8061-EEDDD0D3E348}"/>
    <cellStyle name="60% - Accent5 4 2 2 22" xfId="40726" xr:uid="{3ABF514E-D694-4916-A8E6-444F03C32D34}"/>
    <cellStyle name="60% - Accent5 4 2 2 3" xfId="4815" xr:uid="{320EB84B-89FE-4148-BF81-D6DD5AFE8A50}"/>
    <cellStyle name="60% - Accent5 4 2 2 4" xfId="6705" xr:uid="{0A5FB5F6-CB4C-4404-BB4A-9D4F0BBE19CC}"/>
    <cellStyle name="60% - Accent5 4 2 2 5" xfId="8595" xr:uid="{143BA12B-A651-4B46-8E2F-307CA298C1E5}"/>
    <cellStyle name="60% - Accent5 4 2 2 6" xfId="10485" xr:uid="{2F96C5E8-9264-433B-B525-00FE19860BD6}"/>
    <cellStyle name="60% - Accent5 4 2 2 7" xfId="12375" xr:uid="{83E0E851-5482-45E5-A7F2-A462E7858C69}"/>
    <cellStyle name="60% - Accent5 4 2 2 8" xfId="14265" xr:uid="{668ECACB-5741-4B41-A498-4B556B43FE0A}"/>
    <cellStyle name="60% - Accent5 4 2 2 9" xfId="16155" xr:uid="{DC96A8F3-5EA1-44E5-BAB4-DB97F7D07A5C}"/>
    <cellStyle name="60% - Accent5 4 2 20" xfId="32535" xr:uid="{1FE312E9-9401-439A-A38E-5EB7EF99420A}"/>
    <cellStyle name="60% - Accent5 4 2 21" xfId="34425" xr:uid="{5AEFC343-3CDA-4941-88BA-DA7AC021AEAB}"/>
    <cellStyle name="60% - Accent5 4 2 22" xfId="36315" xr:uid="{50CBCDDE-15C5-412D-AD22-E611A0B330C9}"/>
    <cellStyle name="60% - Accent5 4 2 23" xfId="38205" xr:uid="{6B3E0230-E4A1-4E5F-A36B-9D40BAAE6F9D}"/>
    <cellStyle name="60% - Accent5 4 2 24" xfId="40096" xr:uid="{CB8AABEA-DED7-4AFF-8DBF-2B15E48E2BA0}"/>
    <cellStyle name="60% - Accent5 4 2 3" xfId="1665" xr:uid="{9862B113-B1EC-4552-8F6A-9AEA229F74B4}"/>
    <cellStyle name="60% - Accent5 4 2 3 10" xfId="18675" xr:uid="{988E0826-3D8D-4F58-8427-B3BAB6CD274B}"/>
    <cellStyle name="60% - Accent5 4 2 3 11" xfId="20565" xr:uid="{7E1039C3-E37E-4A99-B3A3-3D7A1CA3EBC2}"/>
    <cellStyle name="60% - Accent5 4 2 3 12" xfId="22455" xr:uid="{09022D54-0CE4-43F1-A4DB-A7349AE3474D}"/>
    <cellStyle name="60% - Accent5 4 2 3 13" xfId="24345" xr:uid="{A01CE41E-F965-4360-A76C-C53BD0EFEBF2}"/>
    <cellStyle name="60% - Accent5 4 2 3 14" xfId="26235" xr:uid="{9B6E5396-603D-43AD-9F3C-2F80C77C1782}"/>
    <cellStyle name="60% - Accent5 4 2 3 15" xfId="28125" xr:uid="{ABC398F2-400C-4610-B5A4-A94F60CB92A5}"/>
    <cellStyle name="60% - Accent5 4 2 3 16" xfId="30015" xr:uid="{1F6DBE12-B65C-491C-8E7F-B596D51371BD}"/>
    <cellStyle name="60% - Accent5 4 2 3 17" xfId="31905" xr:uid="{04EADCF1-EF1F-4203-B1E2-947E0B43E76C}"/>
    <cellStyle name="60% - Accent5 4 2 3 18" xfId="33795" xr:uid="{88162508-47FC-4775-A7F3-F2504CBB0E9E}"/>
    <cellStyle name="60% - Accent5 4 2 3 19" xfId="35685" xr:uid="{6F42D3E2-0319-42F1-A789-19ED65926F86}"/>
    <cellStyle name="60% - Accent5 4 2 3 2" xfId="3555" xr:uid="{BE598303-2F36-4EFB-9361-DC8AEDC7A4B6}"/>
    <cellStyle name="60% - Accent5 4 2 3 20" xfId="37575" xr:uid="{AE602B6F-F1FE-4C9E-AABE-0C8C72A7A11F}"/>
    <cellStyle name="60% - Accent5 4 2 3 21" xfId="39465" xr:uid="{7902859D-D598-4EAB-9F2F-CBF5F46CB4BA}"/>
    <cellStyle name="60% - Accent5 4 2 3 22" xfId="41356" xr:uid="{D0109CD4-8F03-4E38-88E8-B20EF45B51D9}"/>
    <cellStyle name="60% - Accent5 4 2 3 3" xfId="5445" xr:uid="{D060244F-F892-4F0D-9C79-5B8900F8BA86}"/>
    <cellStyle name="60% - Accent5 4 2 3 4" xfId="7335" xr:uid="{EC29091E-7D9E-4467-8350-130B35CE2AB3}"/>
    <cellStyle name="60% - Accent5 4 2 3 5" xfId="9225" xr:uid="{402BCB5B-178B-4AC0-9419-795874E9665A}"/>
    <cellStyle name="60% - Accent5 4 2 3 6" xfId="11115" xr:uid="{F41E565B-213C-4512-B772-0023FA1CDF3F}"/>
    <cellStyle name="60% - Accent5 4 2 3 7" xfId="13005" xr:uid="{5ACF8476-2F63-4D1C-87DE-FC26BC3A7C9E}"/>
    <cellStyle name="60% - Accent5 4 2 3 8" xfId="14895" xr:uid="{1A34A962-D37E-4E15-B432-280BBE748EE6}"/>
    <cellStyle name="60% - Accent5 4 2 3 9" xfId="16785" xr:uid="{922C0889-A98C-4F42-A037-E36C2D9C5E6B}"/>
    <cellStyle name="60% - Accent5 4 2 4" xfId="2295" xr:uid="{483617E9-B5BD-4749-934D-45AD2BE0C556}"/>
    <cellStyle name="60% - Accent5 4 2 5" xfId="4185" xr:uid="{DC5C2F57-4B39-47E7-B4D4-942335F31924}"/>
    <cellStyle name="60% - Accent5 4 2 6" xfId="6075" xr:uid="{004F6BF5-B0BB-497C-AC19-FD86F19092CD}"/>
    <cellStyle name="60% - Accent5 4 2 7" xfId="7965" xr:uid="{0A9DD422-8CD3-40D4-AD4B-0D73435C2C2B}"/>
    <cellStyle name="60% - Accent5 4 2 8" xfId="9855" xr:uid="{3775406B-047E-4D9D-B1DF-F6F41D616C90}"/>
    <cellStyle name="60% - Accent5 4 2 9" xfId="11745" xr:uid="{E88F3D0C-1B41-4704-9368-9DAADC47BC63}"/>
    <cellStyle name="60% - Accent5 4 20" xfId="28545" xr:uid="{7CB06CAB-D2BC-4393-803E-B4D81D0936FA}"/>
    <cellStyle name="60% - Accent5 4 21" xfId="30435" xr:uid="{D1123112-E8E0-4D6B-A54F-0802EECF92ED}"/>
    <cellStyle name="60% - Accent5 4 22" xfId="32325" xr:uid="{849A62BA-6C61-4BFB-B326-412003A4E27A}"/>
    <cellStyle name="60% - Accent5 4 23" xfId="34215" xr:uid="{D8F88EB4-AA41-4F55-9999-A12913B0F316}"/>
    <cellStyle name="60% - Accent5 4 24" xfId="36105" xr:uid="{C05A4ABA-3B31-458F-A83D-07947A5C1091}"/>
    <cellStyle name="60% - Accent5 4 25" xfId="37995" xr:uid="{3BE30711-54C3-48E8-8ED1-7367264944A0}"/>
    <cellStyle name="60% - Accent5 4 26" xfId="39886" xr:uid="{91229704-6106-4306-B142-A8EB8112E81B}"/>
    <cellStyle name="60% - Accent5 4 3" xfId="615" xr:uid="{9942B8AC-2CA5-4418-B79F-712066A224C9}"/>
    <cellStyle name="60% - Accent5 4 3 10" xfId="13845" xr:uid="{08FDF157-EEA3-4549-833A-354255789289}"/>
    <cellStyle name="60% - Accent5 4 3 11" xfId="15735" xr:uid="{4AC6C6DE-4D51-4B65-8A7A-C8223492C2D7}"/>
    <cellStyle name="60% - Accent5 4 3 12" xfId="17625" xr:uid="{D02C9C92-0AC0-40B8-A244-611CAFFB2E33}"/>
    <cellStyle name="60% - Accent5 4 3 13" xfId="19515" xr:uid="{341A12DC-6669-463D-A038-B3EFD54F1DDA}"/>
    <cellStyle name="60% - Accent5 4 3 14" xfId="21405" xr:uid="{75ED056F-32EE-4EEA-82BC-3A8780ACDF0E}"/>
    <cellStyle name="60% - Accent5 4 3 15" xfId="23295" xr:uid="{2E136A07-2AC6-4299-ABE6-D2B3C9CA8393}"/>
    <cellStyle name="60% - Accent5 4 3 16" xfId="25185" xr:uid="{161AE212-CBDE-4617-9970-6C104ABA46FA}"/>
    <cellStyle name="60% - Accent5 4 3 17" xfId="27075" xr:uid="{6D5F6DCF-538A-41E8-9FDE-E6F1FBEDBB00}"/>
    <cellStyle name="60% - Accent5 4 3 18" xfId="28965" xr:uid="{DA2E4B82-FA43-454A-A611-B20AFF95D1B2}"/>
    <cellStyle name="60% - Accent5 4 3 19" xfId="30855" xr:uid="{BBDC29A8-2A5B-4812-BB41-4FF24B25ED04}"/>
    <cellStyle name="60% - Accent5 4 3 2" xfId="1245" xr:uid="{49ABFFFB-31FC-4C94-A00F-46465104C0BD}"/>
    <cellStyle name="60% - Accent5 4 3 2 10" xfId="18255" xr:uid="{8B6B6991-03DB-4709-814C-050402AA55CB}"/>
    <cellStyle name="60% - Accent5 4 3 2 11" xfId="20145" xr:uid="{F6ED0A91-F295-400E-8108-EC8D6BE7A07C}"/>
    <cellStyle name="60% - Accent5 4 3 2 12" xfId="22035" xr:uid="{2C55CF61-2355-4065-B00D-D830BF554AA5}"/>
    <cellStyle name="60% - Accent5 4 3 2 13" xfId="23925" xr:uid="{60654B0E-DA58-4A04-8039-5879DA2865FB}"/>
    <cellStyle name="60% - Accent5 4 3 2 14" xfId="25815" xr:uid="{69753634-4CE3-484A-A807-08F168320325}"/>
    <cellStyle name="60% - Accent5 4 3 2 15" xfId="27705" xr:uid="{ED775807-B498-4B8E-9170-6FBAF42429AF}"/>
    <cellStyle name="60% - Accent5 4 3 2 16" xfId="29595" xr:uid="{B22E892C-27BB-431D-967A-659AAB59F4CB}"/>
    <cellStyle name="60% - Accent5 4 3 2 17" xfId="31485" xr:uid="{418B22EF-E242-40A0-B1D3-1D2317CA49D7}"/>
    <cellStyle name="60% - Accent5 4 3 2 18" xfId="33375" xr:uid="{59E49170-23FE-4296-969C-A4159DC5915D}"/>
    <cellStyle name="60% - Accent5 4 3 2 19" xfId="35265" xr:uid="{356F1624-2BB5-497D-8507-E6E41229DA9A}"/>
    <cellStyle name="60% - Accent5 4 3 2 2" xfId="3135" xr:uid="{C2B22BBF-2258-4654-B48B-F902F551CD2C}"/>
    <cellStyle name="60% - Accent5 4 3 2 20" xfId="37155" xr:uid="{9341B1B5-02A6-4D8B-A9D1-3F129853DF33}"/>
    <cellStyle name="60% - Accent5 4 3 2 21" xfId="39045" xr:uid="{ADEC4549-BE26-451A-B13C-929E413DC977}"/>
    <cellStyle name="60% - Accent5 4 3 2 22" xfId="40936" xr:uid="{88634CB7-0B15-4A2E-88C0-30EC156399BB}"/>
    <cellStyle name="60% - Accent5 4 3 2 3" xfId="5025" xr:uid="{30C73868-B1CB-4FFC-82CB-9E9D70F22FDE}"/>
    <cellStyle name="60% - Accent5 4 3 2 4" xfId="6915" xr:uid="{6AD3BDF7-8D5D-4BE9-8A11-58B897DE6875}"/>
    <cellStyle name="60% - Accent5 4 3 2 5" xfId="8805" xr:uid="{EFE9D491-36D8-4BDD-92D4-DD72165C6369}"/>
    <cellStyle name="60% - Accent5 4 3 2 6" xfId="10695" xr:uid="{55BE5210-7D64-4CC9-A789-D306482CA7CB}"/>
    <cellStyle name="60% - Accent5 4 3 2 7" xfId="12585" xr:uid="{D4C1404A-68D2-4FF2-8611-C31970F58FDD}"/>
    <cellStyle name="60% - Accent5 4 3 2 8" xfId="14475" xr:uid="{738A70CF-6020-4E8D-834C-D8016917FB51}"/>
    <cellStyle name="60% - Accent5 4 3 2 9" xfId="16365" xr:uid="{378981D2-258C-4902-8668-D462A8EF7F72}"/>
    <cellStyle name="60% - Accent5 4 3 20" xfId="32745" xr:uid="{DB278E01-5526-4306-8AF3-E6D6DFC0B26E}"/>
    <cellStyle name="60% - Accent5 4 3 21" xfId="34635" xr:uid="{311DF8A6-55A2-409A-9BD8-A0786D5FE65A}"/>
    <cellStyle name="60% - Accent5 4 3 22" xfId="36525" xr:uid="{80D29E35-CF7D-4D03-BB8F-73ECA8C8C8F9}"/>
    <cellStyle name="60% - Accent5 4 3 23" xfId="38415" xr:uid="{6D8A72C7-68B3-44EB-8E97-476AFA7B08E9}"/>
    <cellStyle name="60% - Accent5 4 3 24" xfId="40306" xr:uid="{295FA4ED-43E0-4733-A3DD-3FDE766F7536}"/>
    <cellStyle name="60% - Accent5 4 3 3" xfId="1875" xr:uid="{DE5BE684-6638-40CF-BA9C-4620E11408EB}"/>
    <cellStyle name="60% - Accent5 4 3 3 10" xfId="18885" xr:uid="{2247224D-8103-4BD1-AD6C-B59ABFD2B470}"/>
    <cellStyle name="60% - Accent5 4 3 3 11" xfId="20775" xr:uid="{41BF81D7-E61D-4B85-8711-BDD254ED1F46}"/>
    <cellStyle name="60% - Accent5 4 3 3 12" xfId="22665" xr:uid="{559C78AD-B9B8-4300-93AF-F56079BF4C15}"/>
    <cellStyle name="60% - Accent5 4 3 3 13" xfId="24555" xr:uid="{58FB669D-3C85-4F6D-8CE4-CE087DC0D5CD}"/>
    <cellStyle name="60% - Accent5 4 3 3 14" xfId="26445" xr:uid="{25A07858-B25A-43EA-8F0D-EEB1D86BDFC5}"/>
    <cellStyle name="60% - Accent5 4 3 3 15" xfId="28335" xr:uid="{2EF3AE77-173F-4C2C-8086-E500A068D5D7}"/>
    <cellStyle name="60% - Accent5 4 3 3 16" xfId="30225" xr:uid="{FFD211C6-B609-4252-B286-F07443960FE3}"/>
    <cellStyle name="60% - Accent5 4 3 3 17" xfId="32115" xr:uid="{C15C5F90-19DC-41CF-B56C-A46E58027075}"/>
    <cellStyle name="60% - Accent5 4 3 3 18" xfId="34005" xr:uid="{DB94EF42-3C27-4BEB-905E-0E65BFD34C6D}"/>
    <cellStyle name="60% - Accent5 4 3 3 19" xfId="35895" xr:uid="{DF153109-3C7E-4A39-B0F7-3504FE1C5570}"/>
    <cellStyle name="60% - Accent5 4 3 3 2" xfId="3765" xr:uid="{A9C81668-040B-459C-9E54-FCC0AD6F4FC4}"/>
    <cellStyle name="60% - Accent5 4 3 3 20" xfId="37785" xr:uid="{9A07A90A-5F95-479C-BC66-382FB8275175}"/>
    <cellStyle name="60% - Accent5 4 3 3 21" xfId="39675" xr:uid="{D9C32603-B155-45E9-AF99-4B77EABF583D}"/>
    <cellStyle name="60% - Accent5 4 3 3 22" xfId="41566" xr:uid="{1CFA8492-2DE8-42A5-9131-44CC2F55270A}"/>
    <cellStyle name="60% - Accent5 4 3 3 3" xfId="5655" xr:uid="{7B6D2474-AC1F-445C-84D4-4AEFF1785907}"/>
    <cellStyle name="60% - Accent5 4 3 3 4" xfId="7545" xr:uid="{C40D922A-09C8-4369-9023-C2E0243367DC}"/>
    <cellStyle name="60% - Accent5 4 3 3 5" xfId="9435" xr:uid="{78CC45E2-D5C1-47DB-854D-C3CA5A2B6578}"/>
    <cellStyle name="60% - Accent5 4 3 3 6" xfId="11325" xr:uid="{FDE8AEBE-8832-4636-A032-0A3E3596B881}"/>
    <cellStyle name="60% - Accent5 4 3 3 7" xfId="13215" xr:uid="{D7107666-3C04-400C-B503-868E1EF2EAAE}"/>
    <cellStyle name="60% - Accent5 4 3 3 8" xfId="15105" xr:uid="{11D62692-905D-4BAF-B77B-A6DE439BD9A3}"/>
    <cellStyle name="60% - Accent5 4 3 3 9" xfId="16995" xr:uid="{024B3286-DDAE-41B0-BF55-CE9DDBAFE7AF}"/>
    <cellStyle name="60% - Accent5 4 3 4" xfId="2505" xr:uid="{D3F2E7DB-59E7-4E78-A57B-EE3C4CD2DDDC}"/>
    <cellStyle name="60% - Accent5 4 3 5" xfId="4395" xr:uid="{1175292C-CC9D-4183-8EE0-4D94F9207163}"/>
    <cellStyle name="60% - Accent5 4 3 6" xfId="6285" xr:uid="{0CCD9588-B545-40E3-81FA-E8496CC71AED}"/>
    <cellStyle name="60% - Accent5 4 3 7" xfId="8175" xr:uid="{EB17A43D-AEE9-48F2-9298-39D4D2FC4279}"/>
    <cellStyle name="60% - Accent5 4 3 8" xfId="10065" xr:uid="{EA1D443A-FFE5-4517-9220-704E02AE9B10}"/>
    <cellStyle name="60% - Accent5 4 3 9" xfId="11955" xr:uid="{C17E505E-0A56-45B8-9681-0AE0448D2375}"/>
    <cellStyle name="60% - Accent5 4 4" xfId="825" xr:uid="{93367560-01EA-4ED4-82C2-C13D2BEC6AE6}"/>
    <cellStyle name="60% - Accent5 4 4 10" xfId="17835" xr:uid="{5900DAED-19CB-4F14-BFFF-C8C6062D4EEF}"/>
    <cellStyle name="60% - Accent5 4 4 11" xfId="19725" xr:uid="{73979822-3DD4-4AB4-8C6C-15C49F78BC5A}"/>
    <cellStyle name="60% - Accent5 4 4 12" xfId="21615" xr:uid="{DA1ED30A-3FA7-458E-9B32-000A6D7616B9}"/>
    <cellStyle name="60% - Accent5 4 4 13" xfId="23505" xr:uid="{A62AB8FD-2C52-4929-AD08-56B51C7D39FD}"/>
    <cellStyle name="60% - Accent5 4 4 14" xfId="25395" xr:uid="{F3FE2842-6B6D-4111-A005-5A25EB29DE32}"/>
    <cellStyle name="60% - Accent5 4 4 15" xfId="27285" xr:uid="{B231354F-7618-4E48-8FB7-A4542E8383FB}"/>
    <cellStyle name="60% - Accent5 4 4 16" xfId="29175" xr:uid="{8CC38EE9-97DB-49C9-BB96-E0A5E0833B10}"/>
    <cellStyle name="60% - Accent5 4 4 17" xfId="31065" xr:uid="{7EE55B93-C4D7-478A-800D-4F94922B5578}"/>
    <cellStyle name="60% - Accent5 4 4 18" xfId="32955" xr:uid="{AFF6884F-F1FD-4425-965D-BEC4966321AA}"/>
    <cellStyle name="60% - Accent5 4 4 19" xfId="34845" xr:uid="{30167E01-88D5-4664-BC8D-70F953183223}"/>
    <cellStyle name="60% - Accent5 4 4 2" xfId="2715" xr:uid="{36B8935A-016A-4D90-AA99-E570769B4691}"/>
    <cellStyle name="60% - Accent5 4 4 20" xfId="36735" xr:uid="{3A43C704-7997-4040-A17F-D0A9FC65C3C7}"/>
    <cellStyle name="60% - Accent5 4 4 21" xfId="38625" xr:uid="{B7D0D06C-157F-4CF8-9834-8B149C465B08}"/>
    <cellStyle name="60% - Accent5 4 4 22" xfId="40516" xr:uid="{5048604F-FBBD-4AC7-8363-5BE86920A617}"/>
    <cellStyle name="60% - Accent5 4 4 3" xfId="4605" xr:uid="{93414A80-93D7-4B3D-946F-1C4EE172E4A1}"/>
    <cellStyle name="60% - Accent5 4 4 4" xfId="6495" xr:uid="{AC6ED9E1-B77D-4A34-846E-F85E22870CC3}"/>
    <cellStyle name="60% - Accent5 4 4 5" xfId="8385" xr:uid="{89FCA05B-88A6-4FEB-ABCF-82786CD89AF6}"/>
    <cellStyle name="60% - Accent5 4 4 6" xfId="10275" xr:uid="{5B8016A8-9EED-477D-9228-5D9ABB44515C}"/>
    <cellStyle name="60% - Accent5 4 4 7" xfId="12165" xr:uid="{ADB4042E-C936-424F-8B45-127369D7B923}"/>
    <cellStyle name="60% - Accent5 4 4 8" xfId="14055" xr:uid="{06A139F7-7E5C-4B9E-99F4-3D97AE77780E}"/>
    <cellStyle name="60% - Accent5 4 4 9" xfId="15945" xr:uid="{3CEC9971-54C1-40FA-BFEB-D5B2EF2E13E9}"/>
    <cellStyle name="60% - Accent5 4 5" xfId="1455" xr:uid="{54DD7BA4-D31D-42BF-BCF0-EF055F3D9CB7}"/>
    <cellStyle name="60% - Accent5 4 5 10" xfId="18465" xr:uid="{A2E9522A-8649-4ACF-8775-F8FBFDB72850}"/>
    <cellStyle name="60% - Accent5 4 5 11" xfId="20355" xr:uid="{D61F388C-F5DC-4E69-9976-AC753B7EE3F5}"/>
    <cellStyle name="60% - Accent5 4 5 12" xfId="22245" xr:uid="{A4DE57F5-F86A-4AE8-B246-22C7B177761E}"/>
    <cellStyle name="60% - Accent5 4 5 13" xfId="24135" xr:uid="{9B5A926F-A257-49AE-863B-19D125A0BD58}"/>
    <cellStyle name="60% - Accent5 4 5 14" xfId="26025" xr:uid="{52087C26-8154-42F6-A612-61E789271E0F}"/>
    <cellStyle name="60% - Accent5 4 5 15" xfId="27915" xr:uid="{85A381C1-A085-453E-B14E-A0F22A419481}"/>
    <cellStyle name="60% - Accent5 4 5 16" xfId="29805" xr:uid="{183DCF37-39CC-4000-9450-8B99FE1457D7}"/>
    <cellStyle name="60% - Accent5 4 5 17" xfId="31695" xr:uid="{AB018FB1-8857-42E2-AD86-7FFF73D510A0}"/>
    <cellStyle name="60% - Accent5 4 5 18" xfId="33585" xr:uid="{6C65588E-25E2-44C8-BC0E-3E8B4C939428}"/>
    <cellStyle name="60% - Accent5 4 5 19" xfId="35475" xr:uid="{9A88D10D-8DB9-4F1B-AD50-0174C5BB2F9B}"/>
    <cellStyle name="60% - Accent5 4 5 2" xfId="3345" xr:uid="{55EC2F31-545B-4F3B-A423-5D9E86B568C6}"/>
    <cellStyle name="60% - Accent5 4 5 20" xfId="37365" xr:uid="{6B1E3E54-AC33-48D1-9DEC-FEE9CA4AC356}"/>
    <cellStyle name="60% - Accent5 4 5 21" xfId="39255" xr:uid="{81902141-31F1-4FE6-AA57-E2664CDA046D}"/>
    <cellStyle name="60% - Accent5 4 5 22" xfId="41146" xr:uid="{4F381131-0D55-463D-9486-D8CE7F2511F9}"/>
    <cellStyle name="60% - Accent5 4 5 3" xfId="5235" xr:uid="{2C0C5B2A-E122-4A40-BD85-3550AD3EB42C}"/>
    <cellStyle name="60% - Accent5 4 5 4" xfId="7125" xr:uid="{39186F1C-B827-4A98-96A4-F3F2CBAD0009}"/>
    <cellStyle name="60% - Accent5 4 5 5" xfId="9015" xr:uid="{6CDE930B-CE08-4964-A02A-FCA2AC9D4D3A}"/>
    <cellStyle name="60% - Accent5 4 5 6" xfId="10905" xr:uid="{DB184CF8-3F9B-4CED-8D60-85FF90601BC2}"/>
    <cellStyle name="60% - Accent5 4 5 7" xfId="12795" xr:uid="{B1A43D02-1270-4784-8149-89E5BCE8803C}"/>
    <cellStyle name="60% - Accent5 4 5 8" xfId="14685" xr:uid="{4E0C682F-307E-4441-B7D3-606469A3BB3B}"/>
    <cellStyle name="60% - Accent5 4 5 9" xfId="16575" xr:uid="{65BEC621-CC40-49D3-9E2F-E948296E5BE0}"/>
    <cellStyle name="60% - Accent5 4 6" xfId="2085" xr:uid="{AA398987-846B-4FEE-A5A2-30E993D91B59}"/>
    <cellStyle name="60% - Accent5 4 7" xfId="3975" xr:uid="{AC4FF283-EAFC-45FE-9581-21A9A4F46D56}"/>
    <cellStyle name="60% - Accent5 4 8" xfId="5865" xr:uid="{43FA5010-E98E-4BB7-9BE9-F8BE9B5A2C67}"/>
    <cellStyle name="60% - Accent5 4 9" xfId="7755" xr:uid="{53B12447-E26D-4F0C-8402-C7F16BBC63D6}"/>
    <cellStyle name="60% - Accent5 5" xfId="300" xr:uid="{9610B8BB-CE08-42D4-AB09-11832BAC756E}"/>
    <cellStyle name="60% - Accent5 5 10" xfId="13530" xr:uid="{61348E9E-4F1E-4277-9D35-E0FA224EFF58}"/>
    <cellStyle name="60% - Accent5 5 11" xfId="15420" xr:uid="{FE994A22-E0D5-4AAE-B17A-878358A664D7}"/>
    <cellStyle name="60% - Accent5 5 12" xfId="17310" xr:uid="{C324B4D8-1747-4827-94CC-17CE8BEDE63F}"/>
    <cellStyle name="60% - Accent5 5 13" xfId="19200" xr:uid="{4D886DEE-C7DF-476C-87A9-759611F95020}"/>
    <cellStyle name="60% - Accent5 5 14" xfId="21090" xr:uid="{5009E4DC-7263-4DE3-A832-F3E79B5F3E7B}"/>
    <cellStyle name="60% - Accent5 5 15" xfId="22980" xr:uid="{F89D9227-5E11-4CEC-8B1D-79DCCD5E25EC}"/>
    <cellStyle name="60% - Accent5 5 16" xfId="24870" xr:uid="{C5858B36-654D-4776-83E9-8244574DC7AE}"/>
    <cellStyle name="60% - Accent5 5 17" xfId="26760" xr:uid="{0F922C58-DD15-4669-8D1C-F4220D078FCE}"/>
    <cellStyle name="60% - Accent5 5 18" xfId="28650" xr:uid="{46F651F1-6281-4B30-A9D9-5A442C026168}"/>
    <cellStyle name="60% - Accent5 5 19" xfId="30540" xr:uid="{BAE1F7F3-1A55-485E-9932-4B1A4F0563FB}"/>
    <cellStyle name="60% - Accent5 5 2" xfId="930" xr:uid="{ED2E01D7-7A53-47F0-B031-54BD3310D406}"/>
    <cellStyle name="60% - Accent5 5 2 10" xfId="17940" xr:uid="{9BB5556C-B31D-4902-BBEA-A1ED337E99C7}"/>
    <cellStyle name="60% - Accent5 5 2 11" xfId="19830" xr:uid="{FE6D9185-07F2-48CD-9164-1B17DB2EC09A}"/>
    <cellStyle name="60% - Accent5 5 2 12" xfId="21720" xr:uid="{B07851CC-6FCC-4EBE-920A-E2AAA4B1DA1B}"/>
    <cellStyle name="60% - Accent5 5 2 13" xfId="23610" xr:uid="{CCEC05E0-D443-46EA-90F7-C84A5E47E947}"/>
    <cellStyle name="60% - Accent5 5 2 14" xfId="25500" xr:uid="{44E1ADF5-3AF7-4F0C-9A35-5B9ABB3DDECF}"/>
    <cellStyle name="60% - Accent5 5 2 15" xfId="27390" xr:uid="{A369AC12-87B9-4082-B39C-7ADE60CF36AE}"/>
    <cellStyle name="60% - Accent5 5 2 16" xfId="29280" xr:uid="{DEDAA0E2-2DAF-4162-BF99-601853066D28}"/>
    <cellStyle name="60% - Accent5 5 2 17" xfId="31170" xr:uid="{4EEC7372-9AA4-43A5-BC3C-E17CC49F663E}"/>
    <cellStyle name="60% - Accent5 5 2 18" xfId="33060" xr:uid="{F5B91A19-E866-464D-8437-F44BAA1B8E77}"/>
    <cellStyle name="60% - Accent5 5 2 19" xfId="34950" xr:uid="{46F91EA9-A694-4196-BE23-5294CCB57A1B}"/>
    <cellStyle name="60% - Accent5 5 2 2" xfId="2820" xr:uid="{47645526-081B-4E26-AD62-FB9842A71575}"/>
    <cellStyle name="60% - Accent5 5 2 20" xfId="36840" xr:uid="{BEC83AEB-488E-403A-8E22-B9DE993F09F1}"/>
    <cellStyle name="60% - Accent5 5 2 21" xfId="38730" xr:uid="{C8416C03-110C-40DD-BBA6-DFCBB7519579}"/>
    <cellStyle name="60% - Accent5 5 2 22" xfId="40621" xr:uid="{7205A2AD-8528-4CD9-81E0-09C27DC65C56}"/>
    <cellStyle name="60% - Accent5 5 2 3" xfId="4710" xr:uid="{26A351DB-4493-4856-8FE2-34EFB954C9AA}"/>
    <cellStyle name="60% - Accent5 5 2 4" xfId="6600" xr:uid="{743F19B2-054D-44B7-A1B9-B51C567FFEB4}"/>
    <cellStyle name="60% - Accent5 5 2 5" xfId="8490" xr:uid="{E53023F3-029B-4FD8-AE66-43416FB619E6}"/>
    <cellStyle name="60% - Accent5 5 2 6" xfId="10380" xr:uid="{4008F5E2-2521-4ED9-9772-0CFCA2F40DAD}"/>
    <cellStyle name="60% - Accent5 5 2 7" xfId="12270" xr:uid="{E4A7DD58-80C1-42D9-B56E-051FBF1B64D5}"/>
    <cellStyle name="60% - Accent5 5 2 8" xfId="14160" xr:uid="{2EF81ECB-8351-49B2-B4FA-1CE6419562D9}"/>
    <cellStyle name="60% - Accent5 5 2 9" xfId="16050" xr:uid="{57FB4F92-06AF-4784-9407-428BFB515D45}"/>
    <cellStyle name="60% - Accent5 5 20" xfId="32430" xr:uid="{F0518A0F-56E3-4D99-9D76-6A08CD6BDE17}"/>
    <cellStyle name="60% - Accent5 5 21" xfId="34320" xr:uid="{E1D8ED1A-7EA1-483A-AA06-638B34B98C27}"/>
    <cellStyle name="60% - Accent5 5 22" xfId="36210" xr:uid="{758E1B3C-843B-4A38-95D7-A25B19DDABB1}"/>
    <cellStyle name="60% - Accent5 5 23" xfId="38100" xr:uid="{631BBAF1-6322-493E-BAF7-5AF279A8AE20}"/>
    <cellStyle name="60% - Accent5 5 24" xfId="39991" xr:uid="{7583F7B9-1C72-4169-9D8A-2AD20015C831}"/>
    <cellStyle name="60% - Accent5 5 3" xfId="1560" xr:uid="{E6301EAE-79C0-461B-9147-F3C875B28E2F}"/>
    <cellStyle name="60% - Accent5 5 3 10" xfId="18570" xr:uid="{3E54E7E8-2533-458C-B428-7A9CF4ADB079}"/>
    <cellStyle name="60% - Accent5 5 3 11" xfId="20460" xr:uid="{9DF76B98-E191-43DD-AB0B-1C4ECA05E2FD}"/>
    <cellStyle name="60% - Accent5 5 3 12" xfId="22350" xr:uid="{C63065E2-4CC9-4728-A24F-98257583ADDC}"/>
    <cellStyle name="60% - Accent5 5 3 13" xfId="24240" xr:uid="{FB7397FA-FC14-4FD6-B057-4503DB5C57E7}"/>
    <cellStyle name="60% - Accent5 5 3 14" xfId="26130" xr:uid="{00B560A2-3779-4E29-9F25-B64F527D4C5C}"/>
    <cellStyle name="60% - Accent5 5 3 15" xfId="28020" xr:uid="{2BB7B3AA-8563-4941-9502-1F12DF5C1ED8}"/>
    <cellStyle name="60% - Accent5 5 3 16" xfId="29910" xr:uid="{0508028A-E092-49D2-B313-EF697A0E91FA}"/>
    <cellStyle name="60% - Accent5 5 3 17" xfId="31800" xr:uid="{9D70ACBB-BF99-43D6-B086-A297889052BE}"/>
    <cellStyle name="60% - Accent5 5 3 18" xfId="33690" xr:uid="{1DDA04D3-E93E-4EF8-88E1-3D08DF634D53}"/>
    <cellStyle name="60% - Accent5 5 3 19" xfId="35580" xr:uid="{4298A189-6CC6-46F8-A805-69B41E60D610}"/>
    <cellStyle name="60% - Accent5 5 3 2" xfId="3450" xr:uid="{8524FED0-F7A5-4392-B983-BD0A46994C92}"/>
    <cellStyle name="60% - Accent5 5 3 20" xfId="37470" xr:uid="{2B86A4B8-452B-4027-BC72-4D50D64B78AF}"/>
    <cellStyle name="60% - Accent5 5 3 21" xfId="39360" xr:uid="{ED6BF3A4-8A49-4F5B-BF0F-BA8CA4BB60C1}"/>
    <cellStyle name="60% - Accent5 5 3 22" xfId="41251" xr:uid="{245E819C-F525-456D-999B-219BE0037DD3}"/>
    <cellStyle name="60% - Accent5 5 3 3" xfId="5340" xr:uid="{4AD21146-CC58-4796-809D-4B1531809C90}"/>
    <cellStyle name="60% - Accent5 5 3 4" xfId="7230" xr:uid="{9DA3F816-EBE5-4BCA-9935-692F124A402F}"/>
    <cellStyle name="60% - Accent5 5 3 5" xfId="9120" xr:uid="{885B9EF1-BB97-4745-A5B1-A86B685F293A}"/>
    <cellStyle name="60% - Accent5 5 3 6" xfId="11010" xr:uid="{C2480862-009D-4165-B8CD-F2974AB3511F}"/>
    <cellStyle name="60% - Accent5 5 3 7" xfId="12900" xr:uid="{B9BBE27C-46A3-4E93-BE47-3C2A8CBEA969}"/>
    <cellStyle name="60% - Accent5 5 3 8" xfId="14790" xr:uid="{9BD09A51-35F4-4EFA-BB4C-2D37A7EFF428}"/>
    <cellStyle name="60% - Accent5 5 3 9" xfId="16680" xr:uid="{782AF3FA-2247-45B0-B6C5-AC28528CDC49}"/>
    <cellStyle name="60% - Accent5 5 4" xfId="2190" xr:uid="{D7486DA7-42B0-44A0-B9B4-1760C9A29882}"/>
    <cellStyle name="60% - Accent5 5 5" xfId="4080" xr:uid="{A3753753-06E7-4E0D-A496-BF742364D89F}"/>
    <cellStyle name="60% - Accent5 5 6" xfId="5970" xr:uid="{1E5FF4A8-63C7-4B85-ACBA-49D20DD6BE15}"/>
    <cellStyle name="60% - Accent5 5 7" xfId="7860" xr:uid="{24C1DB3C-DC5A-4CAD-AF6A-EC258556E91F}"/>
    <cellStyle name="60% - Accent5 5 8" xfId="9750" xr:uid="{1F7D85B0-A7A2-453E-A6FA-04FE25A644AA}"/>
    <cellStyle name="60% - Accent5 5 9" xfId="11640" xr:uid="{64F3D83E-EBA2-4DBE-9FB2-28206872713E}"/>
    <cellStyle name="60% - Accent5 6" xfId="510" xr:uid="{E7FA68CC-0F63-478B-8C9D-F5408089B9A8}"/>
    <cellStyle name="60% - Accent5 6 10" xfId="13740" xr:uid="{3A7A7EE5-8978-417B-95D3-F0F94DC62834}"/>
    <cellStyle name="60% - Accent5 6 11" xfId="15630" xr:uid="{5D0A1A04-D85F-4278-BCDE-0A0D8EA26921}"/>
    <cellStyle name="60% - Accent5 6 12" xfId="17520" xr:uid="{7F7BFC1D-E91E-4D77-BC05-9F765E0FAE41}"/>
    <cellStyle name="60% - Accent5 6 13" xfId="19410" xr:uid="{5878D9C6-94A2-4B16-B36E-83430002D2F4}"/>
    <cellStyle name="60% - Accent5 6 14" xfId="21300" xr:uid="{2A2AAE3F-F1E7-4648-B726-E1BA0AD8619F}"/>
    <cellStyle name="60% - Accent5 6 15" xfId="23190" xr:uid="{F3503D28-4922-4047-B59A-AFE949751E23}"/>
    <cellStyle name="60% - Accent5 6 16" xfId="25080" xr:uid="{C2C7E99E-3D0A-49FE-8C7F-D574E280AC68}"/>
    <cellStyle name="60% - Accent5 6 17" xfId="26970" xr:uid="{D1CC25CD-251C-45FE-B1AD-0F02F154E7F9}"/>
    <cellStyle name="60% - Accent5 6 18" xfId="28860" xr:uid="{FEF9FD84-FFD9-4F01-8E07-C72F5D1CA69A}"/>
    <cellStyle name="60% - Accent5 6 19" xfId="30750" xr:uid="{0E1F46ED-1F16-4276-8A50-99E550D06CAE}"/>
    <cellStyle name="60% - Accent5 6 2" xfId="1140" xr:uid="{6333CB44-67A9-4AD6-9F2D-06CFA4FDA839}"/>
    <cellStyle name="60% - Accent5 6 2 10" xfId="18150" xr:uid="{65DA5E6D-B022-4216-ACA5-A82ED43D78E9}"/>
    <cellStyle name="60% - Accent5 6 2 11" xfId="20040" xr:uid="{62973385-7D19-446E-9C9D-8A41DFB0793F}"/>
    <cellStyle name="60% - Accent5 6 2 12" xfId="21930" xr:uid="{A059C841-C91E-42AA-8C8E-DC9E52A3C0AF}"/>
    <cellStyle name="60% - Accent5 6 2 13" xfId="23820" xr:uid="{CD88D22A-D328-4809-9362-D134C7650B37}"/>
    <cellStyle name="60% - Accent5 6 2 14" xfId="25710" xr:uid="{50E43036-AFDF-4E1B-A4DC-BC7050E4865A}"/>
    <cellStyle name="60% - Accent5 6 2 15" xfId="27600" xr:uid="{682491B1-CB8A-4D05-AA1D-5BACDF22863D}"/>
    <cellStyle name="60% - Accent5 6 2 16" xfId="29490" xr:uid="{AABF235B-05D3-4AC8-85A5-4A9D06BC4933}"/>
    <cellStyle name="60% - Accent5 6 2 17" xfId="31380" xr:uid="{ABEB718F-1676-45D8-890B-7A6EC9ACC6C8}"/>
    <cellStyle name="60% - Accent5 6 2 18" xfId="33270" xr:uid="{4374E476-C560-4B68-8E73-A2C758AECB10}"/>
    <cellStyle name="60% - Accent5 6 2 19" xfId="35160" xr:uid="{17A7901B-5AC9-421D-ADCE-9919569BCFC5}"/>
    <cellStyle name="60% - Accent5 6 2 2" xfId="3030" xr:uid="{DA2C004B-7AC4-4096-AD05-B3BE28D61326}"/>
    <cellStyle name="60% - Accent5 6 2 20" xfId="37050" xr:uid="{9EC76097-C44B-4E66-9A50-7796B60AFDC3}"/>
    <cellStyle name="60% - Accent5 6 2 21" xfId="38940" xr:uid="{BBA41984-8E18-4F1C-B7C9-1C45AF279948}"/>
    <cellStyle name="60% - Accent5 6 2 22" xfId="40831" xr:uid="{7A5BF450-8259-4B54-B377-FFF58DE84EA8}"/>
    <cellStyle name="60% - Accent5 6 2 3" xfId="4920" xr:uid="{12B5E920-0FE5-4DB1-B4CF-8A2BE020BD3B}"/>
    <cellStyle name="60% - Accent5 6 2 4" xfId="6810" xr:uid="{F74E98E3-C9F8-44CD-B8C2-23568150AC45}"/>
    <cellStyle name="60% - Accent5 6 2 5" xfId="8700" xr:uid="{B9D8F8C0-33E0-4896-8CFC-7F7249A20936}"/>
    <cellStyle name="60% - Accent5 6 2 6" xfId="10590" xr:uid="{66A7FB72-10BE-49E7-8449-1A79ADBE5382}"/>
    <cellStyle name="60% - Accent5 6 2 7" xfId="12480" xr:uid="{EA9D4FAD-3E4B-4E60-AF92-7106175D388E}"/>
    <cellStyle name="60% - Accent5 6 2 8" xfId="14370" xr:uid="{8CBC23A5-9BC0-4888-BB2D-E3D6E8588993}"/>
    <cellStyle name="60% - Accent5 6 2 9" xfId="16260" xr:uid="{DC2F7B24-286A-43AF-840D-9044B90F913B}"/>
    <cellStyle name="60% - Accent5 6 20" xfId="32640" xr:uid="{4EADA607-5D57-4C71-B315-969F363B5226}"/>
    <cellStyle name="60% - Accent5 6 21" xfId="34530" xr:uid="{994F5021-6C13-429C-BE08-14FDBA4E4A05}"/>
    <cellStyle name="60% - Accent5 6 22" xfId="36420" xr:uid="{69759280-6F27-4CB5-ADAE-46A317869D4A}"/>
    <cellStyle name="60% - Accent5 6 23" xfId="38310" xr:uid="{2AC62498-472C-466A-8758-FF19EFB31C2F}"/>
    <cellStyle name="60% - Accent5 6 24" xfId="40201" xr:uid="{E8209FE1-0639-49AB-A494-04ACDBFC903E}"/>
    <cellStyle name="60% - Accent5 6 3" xfId="1770" xr:uid="{F033D6AC-6745-4749-ABF4-DB111770097D}"/>
    <cellStyle name="60% - Accent5 6 3 10" xfId="18780" xr:uid="{D16519FA-1B8D-4748-BCEA-F481CC460E2E}"/>
    <cellStyle name="60% - Accent5 6 3 11" xfId="20670" xr:uid="{D1BEE558-202B-4FC6-943A-8C7157F453F2}"/>
    <cellStyle name="60% - Accent5 6 3 12" xfId="22560" xr:uid="{2FD71DE6-05F0-482B-BE41-20B76803C4DB}"/>
    <cellStyle name="60% - Accent5 6 3 13" xfId="24450" xr:uid="{60A7C931-4296-4A84-97E7-F167F65A23F4}"/>
    <cellStyle name="60% - Accent5 6 3 14" xfId="26340" xr:uid="{0D9FDD8C-C943-4D46-8F8B-C4B97BCDBD7A}"/>
    <cellStyle name="60% - Accent5 6 3 15" xfId="28230" xr:uid="{F5AED044-113B-426A-9DF1-25030F8CF019}"/>
    <cellStyle name="60% - Accent5 6 3 16" xfId="30120" xr:uid="{0123613D-0CDB-418D-B47F-E1DEA3FD6121}"/>
    <cellStyle name="60% - Accent5 6 3 17" xfId="32010" xr:uid="{8864FD2C-F15E-449E-AA1C-46681098022A}"/>
    <cellStyle name="60% - Accent5 6 3 18" xfId="33900" xr:uid="{E0E0C2B0-228D-4F47-9DAA-B07DB5C035CF}"/>
    <cellStyle name="60% - Accent5 6 3 19" xfId="35790" xr:uid="{2AB687CA-8B60-4B39-B89F-B7E4950C60DB}"/>
    <cellStyle name="60% - Accent5 6 3 2" xfId="3660" xr:uid="{E0AFD153-6931-46A4-9C7A-7D2360A5211C}"/>
    <cellStyle name="60% - Accent5 6 3 20" xfId="37680" xr:uid="{707CF551-1FA2-4EB1-81CC-67B7E7B28605}"/>
    <cellStyle name="60% - Accent5 6 3 21" xfId="39570" xr:uid="{75178434-BB88-4E64-B5E5-336CFDE4FB69}"/>
    <cellStyle name="60% - Accent5 6 3 22" xfId="41461" xr:uid="{E195A7F4-A73D-4611-BDB7-CA0CD1268548}"/>
    <cellStyle name="60% - Accent5 6 3 3" xfId="5550" xr:uid="{A7462878-4CD3-4816-8BB8-BD481CE1F9DE}"/>
    <cellStyle name="60% - Accent5 6 3 4" xfId="7440" xr:uid="{6A789C05-890E-4700-9DCD-C907FE6B9B84}"/>
    <cellStyle name="60% - Accent5 6 3 5" xfId="9330" xr:uid="{51EABEDA-B0E2-4289-B1A6-C7907D016682}"/>
    <cellStyle name="60% - Accent5 6 3 6" xfId="11220" xr:uid="{6E7105CE-853B-4936-8CE3-5B3C35908CE0}"/>
    <cellStyle name="60% - Accent5 6 3 7" xfId="13110" xr:uid="{6F26039B-D9A1-4EDB-8A64-848158EDE96F}"/>
    <cellStyle name="60% - Accent5 6 3 8" xfId="15000" xr:uid="{3BA0957D-57CA-40B1-B06F-F3539C91B1BF}"/>
    <cellStyle name="60% - Accent5 6 3 9" xfId="16890" xr:uid="{E3603E32-DC3F-4CBC-AC97-BEC708B56947}"/>
    <cellStyle name="60% - Accent5 6 4" xfId="2400" xr:uid="{D734805E-8F2E-4747-9BCB-D456383F40CF}"/>
    <cellStyle name="60% - Accent5 6 5" xfId="4290" xr:uid="{12E2A4AE-ADD5-4DEF-9387-11B6B2E4D08D}"/>
    <cellStyle name="60% - Accent5 6 6" xfId="6180" xr:uid="{BDE0A8FE-EA2C-46E6-92B5-7AB5F69DCBB2}"/>
    <cellStyle name="60% - Accent5 6 7" xfId="8070" xr:uid="{C6F2A2F8-9133-4C77-B3ED-45258BD90BC8}"/>
    <cellStyle name="60% - Accent5 6 8" xfId="9960" xr:uid="{2EC2AFBC-12C0-40F3-AE93-5CEFEF0756CB}"/>
    <cellStyle name="60% - Accent5 6 9" xfId="11850" xr:uid="{F76C503E-5882-4144-9EE0-BB625BD8CB6E}"/>
    <cellStyle name="60% - Accent5 7" xfId="720" xr:uid="{A42D0BED-CF1B-4ECC-A414-82CF63E5FB98}"/>
    <cellStyle name="60% - Accent5 7 10" xfId="17730" xr:uid="{B7F69CF5-5B01-4E54-8024-6535ABD17523}"/>
    <cellStyle name="60% - Accent5 7 11" xfId="19620" xr:uid="{DD550589-BDA5-4D31-9301-DCE89008D0A1}"/>
    <cellStyle name="60% - Accent5 7 12" xfId="21510" xr:uid="{9BB7FA00-7D87-4620-BD60-1EC3F4ADA877}"/>
    <cellStyle name="60% - Accent5 7 13" xfId="23400" xr:uid="{3836A7DE-B087-44D4-B667-5BD4DA147A67}"/>
    <cellStyle name="60% - Accent5 7 14" xfId="25290" xr:uid="{508EF6A2-98D9-4861-A32E-93A70068B7F9}"/>
    <cellStyle name="60% - Accent5 7 15" xfId="27180" xr:uid="{7545B659-2ED2-4BE0-A9AC-4EC55DCE0FF2}"/>
    <cellStyle name="60% - Accent5 7 16" xfId="29070" xr:uid="{D36E07AA-7286-4E82-B1B0-18F9A5AFDEAE}"/>
    <cellStyle name="60% - Accent5 7 17" xfId="30960" xr:uid="{DCA3D3BB-D10C-45F5-9671-73D37A6B6E8B}"/>
    <cellStyle name="60% - Accent5 7 18" xfId="32850" xr:uid="{602512A3-CA9D-4686-8E77-AD08D1D08705}"/>
    <cellStyle name="60% - Accent5 7 19" xfId="34740" xr:uid="{AA68AC4C-A5FC-40AC-B57E-458076F5A095}"/>
    <cellStyle name="60% - Accent5 7 2" xfId="2610" xr:uid="{6745D552-52CE-4AAC-915A-85B312D2CFAB}"/>
    <cellStyle name="60% - Accent5 7 20" xfId="36630" xr:uid="{711C132D-F292-4268-8A8F-C7D85906E387}"/>
    <cellStyle name="60% - Accent5 7 21" xfId="38520" xr:uid="{F842BB6C-4AE3-4381-B7A0-D2E14D01E35D}"/>
    <cellStyle name="60% - Accent5 7 22" xfId="40411" xr:uid="{B5DD1A80-8F54-4434-82D6-9423B3F89C8A}"/>
    <cellStyle name="60% - Accent5 7 3" xfId="4500" xr:uid="{F0DAC531-69D8-4929-84AA-6CCE03132EE5}"/>
    <cellStyle name="60% - Accent5 7 4" xfId="6390" xr:uid="{EAAFFF91-82A4-4C95-92BC-88883A7A1729}"/>
    <cellStyle name="60% - Accent5 7 5" xfId="8280" xr:uid="{A417813A-C296-4B58-8CF5-F9F2CCDB286E}"/>
    <cellStyle name="60% - Accent5 7 6" xfId="10170" xr:uid="{AB4A03BE-0A7B-4D7B-8D5F-43B547152D18}"/>
    <cellStyle name="60% - Accent5 7 7" xfId="12060" xr:uid="{9B5AB646-2C3D-4A53-AE83-8E4E71466651}"/>
    <cellStyle name="60% - Accent5 7 8" xfId="13950" xr:uid="{23430138-2F34-4E07-9155-5393E41536A3}"/>
    <cellStyle name="60% - Accent5 7 9" xfId="15840" xr:uid="{695A9270-1620-41EC-81D9-09BD08A11B00}"/>
    <cellStyle name="60% - Accent5 8" xfId="1350" xr:uid="{DC67CB93-E9A3-4809-8F13-A02108E806B8}"/>
    <cellStyle name="60% - Accent5 8 10" xfId="18360" xr:uid="{EF366D05-0CB2-4566-97DF-ED9C792DCE4B}"/>
    <cellStyle name="60% - Accent5 8 11" xfId="20250" xr:uid="{67A6901F-BBBA-4D7E-8D6F-0558808265DF}"/>
    <cellStyle name="60% - Accent5 8 12" xfId="22140" xr:uid="{61B4B961-4C8E-4B26-9A1D-C1B80E20D58A}"/>
    <cellStyle name="60% - Accent5 8 13" xfId="24030" xr:uid="{D6DDD4DC-F6C5-4556-A247-73FE1F73A2F9}"/>
    <cellStyle name="60% - Accent5 8 14" xfId="25920" xr:uid="{9096FC9B-87DB-4372-B943-1FB90B6F0F9D}"/>
    <cellStyle name="60% - Accent5 8 15" xfId="27810" xr:uid="{6285ADBC-18FE-46EE-8D2A-8CAE58CB0199}"/>
    <cellStyle name="60% - Accent5 8 16" xfId="29700" xr:uid="{82C50B0B-87DD-4559-9297-581EA874F2C1}"/>
    <cellStyle name="60% - Accent5 8 17" xfId="31590" xr:uid="{FC0EC3C4-0993-4F60-91B1-3F2F865AC6DF}"/>
    <cellStyle name="60% - Accent5 8 18" xfId="33480" xr:uid="{B052FD36-720F-47CB-A13C-9CC891F7AE23}"/>
    <cellStyle name="60% - Accent5 8 19" xfId="35370" xr:uid="{6A7D9321-9CA8-4FA5-BADE-68C7A1DFF9F6}"/>
    <cellStyle name="60% - Accent5 8 2" xfId="3240" xr:uid="{7EDBF111-4500-4C93-93D7-6D58C585C957}"/>
    <cellStyle name="60% - Accent5 8 20" xfId="37260" xr:uid="{08E207FD-0A60-4A53-82B5-5BFBB5663646}"/>
    <cellStyle name="60% - Accent5 8 21" xfId="39150" xr:uid="{2D5112B9-EF0F-4554-A285-D4D5E3291514}"/>
    <cellStyle name="60% - Accent5 8 22" xfId="41041" xr:uid="{7A75C214-17B2-4E91-915D-59CEDD993A38}"/>
    <cellStyle name="60% - Accent5 8 3" xfId="5130" xr:uid="{0362543C-D83F-46E0-B4B9-AE8BB17A0A25}"/>
    <cellStyle name="60% - Accent5 8 4" xfId="7020" xr:uid="{F59957B0-5ECC-4826-9103-446FC8ECEAB0}"/>
    <cellStyle name="60% - Accent5 8 5" xfId="8910" xr:uid="{4CEFFBAD-D629-444A-8A28-A874A7F80496}"/>
    <cellStyle name="60% - Accent5 8 6" xfId="10800" xr:uid="{7CEF319C-ACD9-49E9-9504-0C052D3EB6F7}"/>
    <cellStyle name="60% - Accent5 8 7" xfId="12690" xr:uid="{42F645B1-DD15-4E8C-8EFB-207BD9273450}"/>
    <cellStyle name="60% - Accent5 8 8" xfId="14580" xr:uid="{D8C4D773-D948-45F0-80B6-8FF4440C3D58}"/>
    <cellStyle name="60% - Accent5 8 9" xfId="16470" xr:uid="{82446B5E-5C8D-4C45-84E6-441FF842D101}"/>
    <cellStyle name="60% - Accent5 9" xfId="1980" xr:uid="{7B0A5422-902D-4507-AC29-008505E10B01}"/>
    <cellStyle name="60% - Accent6" xfId="93" builtinId="52" customBuiltin="1"/>
    <cellStyle name="60% - Accent6 10" xfId="3873" xr:uid="{B84A2768-198D-49B1-B2E0-68C07D90643F}"/>
    <cellStyle name="60% - Accent6 11" xfId="5763" xr:uid="{7E4DF0D3-07F1-42F2-BB47-C796233946FC}"/>
    <cellStyle name="60% - Accent6 12" xfId="7653" xr:uid="{7FD121A1-EDCD-482E-B2F3-DEF4CBF571E2}"/>
    <cellStyle name="60% - Accent6 13" xfId="9543" xr:uid="{978867E6-8805-4153-9136-0955F7905761}"/>
    <cellStyle name="60% - Accent6 14" xfId="11433" xr:uid="{08B562D6-2001-4238-B22F-13665590B021}"/>
    <cellStyle name="60% - Accent6 15" xfId="13323" xr:uid="{4B6987BF-0A5F-4F67-BFE3-AF7140C894FF}"/>
    <cellStyle name="60% - Accent6 16" xfId="15213" xr:uid="{603E2AF4-4A56-455F-BB6C-25C824F950FA}"/>
    <cellStyle name="60% - Accent6 17" xfId="17103" xr:uid="{ADACDE70-67FC-44C6-B21A-2C52893CA3D8}"/>
    <cellStyle name="60% - Accent6 18" xfId="18993" xr:uid="{6DEC9CA0-00F9-4664-8FBF-4FDE68B63151}"/>
    <cellStyle name="60% - Accent6 19" xfId="20883" xr:uid="{6D6C1179-1DCC-4D17-BE2A-B7311770BFF8}"/>
    <cellStyle name="60% - Accent6 2" xfId="115" xr:uid="{EE22E791-05C0-4E7C-B1BC-C9F08D6E99E6}"/>
    <cellStyle name="60% - Accent6 2 10" xfId="7675" xr:uid="{F2385FC6-01B4-4FB7-BEA3-6809653930BA}"/>
    <cellStyle name="60% - Accent6 2 11" xfId="9565" xr:uid="{7A4274FD-8A27-4DC1-81FC-058405FA7311}"/>
    <cellStyle name="60% - Accent6 2 12" xfId="11455" xr:uid="{01BEBAA8-5EAE-4970-821E-C2831E41BD1D}"/>
    <cellStyle name="60% - Accent6 2 13" xfId="13345" xr:uid="{23ED54FD-7FCC-4E07-9DE4-021325ADD78F}"/>
    <cellStyle name="60% - Accent6 2 14" xfId="15235" xr:uid="{9A3DDDD6-2DCF-4F72-B0DF-8F2ED59B2C2A}"/>
    <cellStyle name="60% - Accent6 2 15" xfId="17125" xr:uid="{4C13349D-6CA1-4182-B102-AAEC09EBD048}"/>
    <cellStyle name="60% - Accent6 2 16" xfId="19015" xr:uid="{48C31E1A-70B5-42A3-80C1-18E403C6F6E8}"/>
    <cellStyle name="60% - Accent6 2 17" xfId="20905" xr:uid="{34F21CBD-6FB3-438F-8677-B211B98BFB86}"/>
    <cellStyle name="60% - Accent6 2 18" xfId="22795" xr:uid="{2BC2A324-B485-48D4-93E8-FB3FD8BB2298}"/>
    <cellStyle name="60% - Accent6 2 19" xfId="24685" xr:uid="{E279B60F-1F21-4759-AD40-EF975C6A54A8}"/>
    <cellStyle name="60% - Accent6 2 2" xfId="220" xr:uid="{7C7E029F-9F60-4AB6-8827-FFC7AB062EDE}"/>
    <cellStyle name="60% - Accent6 2 2 10" xfId="9670" xr:uid="{B18B8B47-B7D8-408C-B952-25004798B02D}"/>
    <cellStyle name="60% - Accent6 2 2 11" xfId="11560" xr:uid="{79456EAC-E1ED-4F10-968F-A8835BBF82F6}"/>
    <cellStyle name="60% - Accent6 2 2 12" xfId="13450" xr:uid="{7C758C28-F955-4048-8CF5-562AD45DDC1D}"/>
    <cellStyle name="60% - Accent6 2 2 13" xfId="15340" xr:uid="{24DFE7B2-9ADB-4ED2-9F1A-C8E424E7B124}"/>
    <cellStyle name="60% - Accent6 2 2 14" xfId="17230" xr:uid="{5FCDDF87-60B3-4740-AEF6-7FE3BE90F281}"/>
    <cellStyle name="60% - Accent6 2 2 15" xfId="19120" xr:uid="{14C5A49F-0CCD-4CEA-BE6A-320A60E1A175}"/>
    <cellStyle name="60% - Accent6 2 2 16" xfId="21010" xr:uid="{B1882F70-46F6-4C55-A0E0-E00FD4EBDD7B}"/>
    <cellStyle name="60% - Accent6 2 2 17" xfId="22900" xr:uid="{ECB7A984-46EF-478A-816C-8D612D213170}"/>
    <cellStyle name="60% - Accent6 2 2 18" xfId="24790" xr:uid="{FCFAEA74-5E32-4439-9014-367ABAACA2FA}"/>
    <cellStyle name="60% - Accent6 2 2 19" xfId="26680" xr:uid="{F6EC5ABD-6461-40E4-BB13-2C3366D03416}"/>
    <cellStyle name="60% - Accent6 2 2 2" xfId="430" xr:uid="{D7F68DF8-1424-47C9-B19B-01AEB8042637}"/>
    <cellStyle name="60% - Accent6 2 2 2 10" xfId="13660" xr:uid="{02AD288D-1D92-4AB9-AE0D-F7F1116374E9}"/>
    <cellStyle name="60% - Accent6 2 2 2 11" xfId="15550" xr:uid="{769509BC-4714-41E8-A7C0-EECD3D874291}"/>
    <cellStyle name="60% - Accent6 2 2 2 12" xfId="17440" xr:uid="{5C9B6932-9A60-4DCE-AEDE-63BB55D5084C}"/>
    <cellStyle name="60% - Accent6 2 2 2 13" xfId="19330" xr:uid="{0C40866F-D655-4BB9-B162-AE7B248CB19C}"/>
    <cellStyle name="60% - Accent6 2 2 2 14" xfId="21220" xr:uid="{C166D6DB-DE91-41F3-BA7D-649E238AD60F}"/>
    <cellStyle name="60% - Accent6 2 2 2 15" xfId="23110" xr:uid="{9B9CE4EC-3865-4502-8B00-96F1F797907E}"/>
    <cellStyle name="60% - Accent6 2 2 2 16" xfId="25000" xr:uid="{7D63DEC2-3D0C-4FA6-8D89-5447595C4F4B}"/>
    <cellStyle name="60% - Accent6 2 2 2 17" xfId="26890" xr:uid="{C02DCDD7-3965-4625-84A6-ED3601040E3F}"/>
    <cellStyle name="60% - Accent6 2 2 2 18" xfId="28780" xr:uid="{8208193F-5BC0-4AD6-A8FA-707BBF88957F}"/>
    <cellStyle name="60% - Accent6 2 2 2 19" xfId="30670" xr:uid="{3E82E779-D6F8-4C3B-A591-A1CD86B982A4}"/>
    <cellStyle name="60% - Accent6 2 2 2 2" xfId="1060" xr:uid="{2DCC8A58-7C71-46FB-8167-B1B26FBCDBF0}"/>
    <cellStyle name="60% - Accent6 2 2 2 2 10" xfId="18070" xr:uid="{4E1F6F09-A0B9-470F-9685-16BBD401F6C5}"/>
    <cellStyle name="60% - Accent6 2 2 2 2 11" xfId="19960" xr:uid="{7450FA74-8F66-4A86-AFE1-5DA8DE8B9DF2}"/>
    <cellStyle name="60% - Accent6 2 2 2 2 12" xfId="21850" xr:uid="{0DC709C1-264B-4D23-AB1A-D7716DE06D02}"/>
    <cellStyle name="60% - Accent6 2 2 2 2 13" xfId="23740" xr:uid="{BC17EAD3-86A7-4F70-9236-AE0D03C8220F}"/>
    <cellStyle name="60% - Accent6 2 2 2 2 14" xfId="25630" xr:uid="{D6CCB6DD-F7AC-47B8-934A-5B39D005F017}"/>
    <cellStyle name="60% - Accent6 2 2 2 2 15" xfId="27520" xr:uid="{7D416B4F-B6C2-40CB-B019-23B005CCCE4E}"/>
    <cellStyle name="60% - Accent6 2 2 2 2 16" xfId="29410" xr:uid="{D00C1964-7B13-4317-811C-FFEF552F3BA3}"/>
    <cellStyle name="60% - Accent6 2 2 2 2 17" xfId="31300" xr:uid="{4CC48375-B1AB-4429-99EC-9B256A2E7816}"/>
    <cellStyle name="60% - Accent6 2 2 2 2 18" xfId="33190" xr:uid="{7D6FB0EC-4AAB-4DEE-832F-4867DD1B8D89}"/>
    <cellStyle name="60% - Accent6 2 2 2 2 19" xfId="35080" xr:uid="{4D7A91FE-0B38-4F40-BF3F-D3A78812884B}"/>
    <cellStyle name="60% - Accent6 2 2 2 2 2" xfId="2950" xr:uid="{46614CB2-86C4-4CE0-9C28-B8B56EC92D65}"/>
    <cellStyle name="60% - Accent6 2 2 2 2 20" xfId="36970" xr:uid="{3BC8E214-2739-4040-983A-0AF2B2B2DC18}"/>
    <cellStyle name="60% - Accent6 2 2 2 2 21" xfId="38860" xr:uid="{F656F106-D5E4-4C3F-968B-92D249E858DA}"/>
    <cellStyle name="60% - Accent6 2 2 2 2 22" xfId="40751" xr:uid="{8D200F58-A79B-4D0D-B1F6-D693188B5B60}"/>
    <cellStyle name="60% - Accent6 2 2 2 2 3" xfId="4840" xr:uid="{17671D25-1FCA-4DA0-A9DF-299919A4F054}"/>
    <cellStyle name="60% - Accent6 2 2 2 2 4" xfId="6730" xr:uid="{FFEF7F02-83D4-478F-A36B-C02420057D64}"/>
    <cellStyle name="60% - Accent6 2 2 2 2 5" xfId="8620" xr:uid="{006C6734-50AF-4E72-ACC8-2133DC74EAFF}"/>
    <cellStyle name="60% - Accent6 2 2 2 2 6" xfId="10510" xr:uid="{7D9E77C4-7253-425B-A14A-A33B6D694BF8}"/>
    <cellStyle name="60% - Accent6 2 2 2 2 7" xfId="12400" xr:uid="{C7707ECD-A326-4C3F-936F-3EC3E38EB587}"/>
    <cellStyle name="60% - Accent6 2 2 2 2 8" xfId="14290" xr:uid="{434171F5-013D-4659-A2BA-05B973E1EB1A}"/>
    <cellStyle name="60% - Accent6 2 2 2 2 9" xfId="16180" xr:uid="{71259ED6-A387-4191-8522-E8A72698AB9D}"/>
    <cellStyle name="60% - Accent6 2 2 2 20" xfId="32560" xr:uid="{2B0B09FA-A363-424B-A5C0-FA979F6F0416}"/>
    <cellStyle name="60% - Accent6 2 2 2 21" xfId="34450" xr:uid="{4ED87C7D-439C-43CB-849A-6AF4C5A41440}"/>
    <cellStyle name="60% - Accent6 2 2 2 22" xfId="36340" xr:uid="{BA6BB4ED-ADD2-417E-8D03-9F0B46DA5DF8}"/>
    <cellStyle name="60% - Accent6 2 2 2 23" xfId="38230" xr:uid="{BF028D41-B2EA-4E70-87CE-F2AD06DF2777}"/>
    <cellStyle name="60% - Accent6 2 2 2 24" xfId="40121" xr:uid="{6089F409-3F55-428E-99EF-70A40A145F5D}"/>
    <cellStyle name="60% - Accent6 2 2 2 3" xfId="1690" xr:uid="{7CA20182-DCA4-4F4D-B65C-45ED0B07FE9F}"/>
    <cellStyle name="60% - Accent6 2 2 2 3 10" xfId="18700" xr:uid="{5AB068AD-5F4F-4907-AB26-796AF16C171A}"/>
    <cellStyle name="60% - Accent6 2 2 2 3 11" xfId="20590" xr:uid="{5EC93C48-CE13-4A3E-BA5D-676F1552B8E0}"/>
    <cellStyle name="60% - Accent6 2 2 2 3 12" xfId="22480" xr:uid="{9F630FB4-0100-4533-B866-081A53223846}"/>
    <cellStyle name="60% - Accent6 2 2 2 3 13" xfId="24370" xr:uid="{F4449769-6BA2-4481-AA99-A08F1C116D5D}"/>
    <cellStyle name="60% - Accent6 2 2 2 3 14" xfId="26260" xr:uid="{54FE1982-00C8-4134-927F-EC35FC3C07C0}"/>
    <cellStyle name="60% - Accent6 2 2 2 3 15" xfId="28150" xr:uid="{EE8774CA-DD4C-4059-8F70-6E60D97D9461}"/>
    <cellStyle name="60% - Accent6 2 2 2 3 16" xfId="30040" xr:uid="{890E9C84-D98A-4786-BA89-81F827A79647}"/>
    <cellStyle name="60% - Accent6 2 2 2 3 17" xfId="31930" xr:uid="{59AF4D5D-DC69-4AEE-A773-56C8EAFB4773}"/>
    <cellStyle name="60% - Accent6 2 2 2 3 18" xfId="33820" xr:uid="{B97F739C-F9E7-4426-9D43-5E9C793BC4FC}"/>
    <cellStyle name="60% - Accent6 2 2 2 3 19" xfId="35710" xr:uid="{5AF80006-B38B-496E-9D80-7B9B6717F58A}"/>
    <cellStyle name="60% - Accent6 2 2 2 3 2" xfId="3580" xr:uid="{5AD3D9F5-8054-4A36-83A6-A8DA959CE188}"/>
    <cellStyle name="60% - Accent6 2 2 2 3 20" xfId="37600" xr:uid="{8C8BDB0B-06A2-4929-A1C8-98C954305673}"/>
    <cellStyle name="60% - Accent6 2 2 2 3 21" xfId="39490" xr:uid="{01239D78-6866-47FD-B63C-DCE5052E9185}"/>
    <cellStyle name="60% - Accent6 2 2 2 3 22" xfId="41381" xr:uid="{CE750A09-A88B-4009-BEB3-9F3D9E17E836}"/>
    <cellStyle name="60% - Accent6 2 2 2 3 3" xfId="5470" xr:uid="{2A988145-290C-4131-85C5-73C2BA4B64D2}"/>
    <cellStyle name="60% - Accent6 2 2 2 3 4" xfId="7360" xr:uid="{1C2EDB7B-F6C4-4ACC-9E8A-22E2F2B2A9A8}"/>
    <cellStyle name="60% - Accent6 2 2 2 3 5" xfId="9250" xr:uid="{ACFD54C9-F62D-4F6F-B391-79C1694D38C7}"/>
    <cellStyle name="60% - Accent6 2 2 2 3 6" xfId="11140" xr:uid="{F9BCFA7A-5318-455D-A85F-5E4873E2C459}"/>
    <cellStyle name="60% - Accent6 2 2 2 3 7" xfId="13030" xr:uid="{1E51FE02-C169-408D-B828-656150A2253F}"/>
    <cellStyle name="60% - Accent6 2 2 2 3 8" xfId="14920" xr:uid="{7B2DF559-DF29-4681-A02B-4B7BDE94AC8A}"/>
    <cellStyle name="60% - Accent6 2 2 2 3 9" xfId="16810" xr:uid="{DFBEFBE1-5C80-45FC-BAFC-569610D309C0}"/>
    <cellStyle name="60% - Accent6 2 2 2 4" xfId="2320" xr:uid="{4B796D59-A084-4593-A933-523501C43581}"/>
    <cellStyle name="60% - Accent6 2 2 2 5" xfId="4210" xr:uid="{68AB9BC6-AA02-4A80-932E-69746CA6731D}"/>
    <cellStyle name="60% - Accent6 2 2 2 6" xfId="6100" xr:uid="{FC940895-7C34-4A15-99A5-09B29F4A67AF}"/>
    <cellStyle name="60% - Accent6 2 2 2 7" xfId="7990" xr:uid="{C79A6920-1903-4355-96E9-D05430B8E617}"/>
    <cellStyle name="60% - Accent6 2 2 2 8" xfId="9880" xr:uid="{24B2D0BE-9CBB-4527-92CC-FB296FB47F61}"/>
    <cellStyle name="60% - Accent6 2 2 2 9" xfId="11770" xr:uid="{499ED290-0942-4BA8-9C73-63C798A6F3F7}"/>
    <cellStyle name="60% - Accent6 2 2 20" xfId="28570" xr:uid="{85433422-7DED-4812-819B-341D3024E75D}"/>
    <cellStyle name="60% - Accent6 2 2 21" xfId="30460" xr:uid="{F3B4FE4A-6A6D-4769-A8EC-37EC43CDC01E}"/>
    <cellStyle name="60% - Accent6 2 2 22" xfId="32350" xr:uid="{DD04A061-3F3D-45A1-881D-2675EDD0CA5B}"/>
    <cellStyle name="60% - Accent6 2 2 23" xfId="34240" xr:uid="{0913240D-0948-41E6-BD09-C498CAA7CDB9}"/>
    <cellStyle name="60% - Accent6 2 2 24" xfId="36130" xr:uid="{92BBB2DC-0071-4742-BFF1-AE1E280E1AA7}"/>
    <cellStyle name="60% - Accent6 2 2 25" xfId="38020" xr:uid="{7CD1BE5B-7C0E-455D-978E-086D2D6A4FC1}"/>
    <cellStyle name="60% - Accent6 2 2 26" xfId="39911" xr:uid="{672BD900-9874-4435-973A-B639278D84A3}"/>
    <cellStyle name="60% - Accent6 2 2 3" xfId="640" xr:uid="{31BC4E56-CD03-4F43-B38D-2C5D9D3B9BF3}"/>
    <cellStyle name="60% - Accent6 2 2 3 10" xfId="13870" xr:uid="{3751BC43-BDF2-42D2-9BBD-6F4D5A0464B8}"/>
    <cellStyle name="60% - Accent6 2 2 3 11" xfId="15760" xr:uid="{9ADD56EE-9214-45BF-98F5-F4BC4921DD96}"/>
    <cellStyle name="60% - Accent6 2 2 3 12" xfId="17650" xr:uid="{184DCC4A-08B1-4C04-B5F4-8EBDBC5F8B5D}"/>
    <cellStyle name="60% - Accent6 2 2 3 13" xfId="19540" xr:uid="{CFF2E4FB-DE7E-469C-8AB0-BC66F690F736}"/>
    <cellStyle name="60% - Accent6 2 2 3 14" xfId="21430" xr:uid="{2CA1872F-418E-41A8-A714-48B5096EC0B0}"/>
    <cellStyle name="60% - Accent6 2 2 3 15" xfId="23320" xr:uid="{9BC80A94-0F08-4E9D-B00C-8F8018777AA3}"/>
    <cellStyle name="60% - Accent6 2 2 3 16" xfId="25210" xr:uid="{5A1CD4CA-5F89-471F-BE4A-F24CC6CF4570}"/>
    <cellStyle name="60% - Accent6 2 2 3 17" xfId="27100" xr:uid="{B4485D47-2763-46E0-82B9-57D7C2337F47}"/>
    <cellStyle name="60% - Accent6 2 2 3 18" xfId="28990" xr:uid="{24879A37-C3CC-4B6A-8599-38AE33FED89E}"/>
    <cellStyle name="60% - Accent6 2 2 3 19" xfId="30880" xr:uid="{6596859E-FC74-4C6E-832C-C08BAFA8FAB5}"/>
    <cellStyle name="60% - Accent6 2 2 3 2" xfId="1270" xr:uid="{80DCE5F8-E3C1-4A42-92C7-887B0F04F062}"/>
    <cellStyle name="60% - Accent6 2 2 3 2 10" xfId="18280" xr:uid="{7EF1E500-D586-4ACD-8474-904FD33D1E7E}"/>
    <cellStyle name="60% - Accent6 2 2 3 2 11" xfId="20170" xr:uid="{CA7EFA3B-D7B3-4461-8E36-3E7813010221}"/>
    <cellStyle name="60% - Accent6 2 2 3 2 12" xfId="22060" xr:uid="{F34984BA-C23D-4950-A096-B0E456021BD0}"/>
    <cellStyle name="60% - Accent6 2 2 3 2 13" xfId="23950" xr:uid="{BF70676F-DC7C-40FD-BFD0-2EB3662E7353}"/>
    <cellStyle name="60% - Accent6 2 2 3 2 14" xfId="25840" xr:uid="{C62C8B1E-12F8-45CD-A838-F3F098384283}"/>
    <cellStyle name="60% - Accent6 2 2 3 2 15" xfId="27730" xr:uid="{ED061A87-176A-44CE-A5CF-3D54D402D6EF}"/>
    <cellStyle name="60% - Accent6 2 2 3 2 16" xfId="29620" xr:uid="{2A53C5BE-5AF6-4022-8E9F-C4202E13DB98}"/>
    <cellStyle name="60% - Accent6 2 2 3 2 17" xfId="31510" xr:uid="{80958D1E-13E3-42C1-99DA-B9666BFA07E3}"/>
    <cellStyle name="60% - Accent6 2 2 3 2 18" xfId="33400" xr:uid="{C08229F5-2A50-4BC2-9D6D-E62D96236456}"/>
    <cellStyle name="60% - Accent6 2 2 3 2 19" xfId="35290" xr:uid="{C251C87A-6006-4773-9E03-2CC0546B3533}"/>
    <cellStyle name="60% - Accent6 2 2 3 2 2" xfId="3160" xr:uid="{6B19F675-BF3B-41FF-BB8E-2C5B35120B93}"/>
    <cellStyle name="60% - Accent6 2 2 3 2 20" xfId="37180" xr:uid="{EF3F06C9-074F-4F11-A410-13EBE218FE26}"/>
    <cellStyle name="60% - Accent6 2 2 3 2 21" xfId="39070" xr:uid="{1C731DA4-DD3A-4ECB-92DA-0FEEF7F517B2}"/>
    <cellStyle name="60% - Accent6 2 2 3 2 22" xfId="40961" xr:uid="{C716CC48-45B0-41DD-BBB8-692F2399A67F}"/>
    <cellStyle name="60% - Accent6 2 2 3 2 3" xfId="5050" xr:uid="{E0323445-3FDD-4C26-91C4-1EC25860C997}"/>
    <cellStyle name="60% - Accent6 2 2 3 2 4" xfId="6940" xr:uid="{109BE48A-3142-499D-B287-5EB0AAB515DE}"/>
    <cellStyle name="60% - Accent6 2 2 3 2 5" xfId="8830" xr:uid="{32BCD804-7790-4EC7-8F7D-801F8EE9120B}"/>
    <cellStyle name="60% - Accent6 2 2 3 2 6" xfId="10720" xr:uid="{1C3B95CB-EC62-4CF2-91DF-44954D808A89}"/>
    <cellStyle name="60% - Accent6 2 2 3 2 7" xfId="12610" xr:uid="{76F42B66-1DAB-404B-97C9-A7D6010668D7}"/>
    <cellStyle name="60% - Accent6 2 2 3 2 8" xfId="14500" xr:uid="{03D631F8-0801-42FD-BDEA-CFD2F7B3B643}"/>
    <cellStyle name="60% - Accent6 2 2 3 2 9" xfId="16390" xr:uid="{78602651-704A-45BD-A087-B8374742466A}"/>
    <cellStyle name="60% - Accent6 2 2 3 20" xfId="32770" xr:uid="{5A96CED7-C777-4EEA-9204-E42C4889B629}"/>
    <cellStyle name="60% - Accent6 2 2 3 21" xfId="34660" xr:uid="{9533F030-94D3-4B72-8FD4-F387FC774BDE}"/>
    <cellStyle name="60% - Accent6 2 2 3 22" xfId="36550" xr:uid="{0C6B4CF8-5389-4FFD-9BFD-1CCAAEB134EC}"/>
    <cellStyle name="60% - Accent6 2 2 3 23" xfId="38440" xr:uid="{57C77B0B-B0AD-45F8-B0ED-A1C8779DB286}"/>
    <cellStyle name="60% - Accent6 2 2 3 24" xfId="40331" xr:uid="{84827008-D37D-4EF6-99A9-7E6F05926A64}"/>
    <cellStyle name="60% - Accent6 2 2 3 3" xfId="1900" xr:uid="{4F5E65DA-707A-43E2-AC62-6F2A5B786780}"/>
    <cellStyle name="60% - Accent6 2 2 3 3 10" xfId="18910" xr:uid="{A85CCD34-0322-445F-A1EE-5F64C80A7446}"/>
    <cellStyle name="60% - Accent6 2 2 3 3 11" xfId="20800" xr:uid="{CAC75B36-998D-4B29-868E-E5ED17933A86}"/>
    <cellStyle name="60% - Accent6 2 2 3 3 12" xfId="22690" xr:uid="{5988A666-73FF-4E20-A307-480D3E8A1974}"/>
    <cellStyle name="60% - Accent6 2 2 3 3 13" xfId="24580" xr:uid="{78B41864-7229-41B3-9309-8D57F68CFA98}"/>
    <cellStyle name="60% - Accent6 2 2 3 3 14" xfId="26470" xr:uid="{5806ABB5-AF92-4A80-8D7A-C7845E416278}"/>
    <cellStyle name="60% - Accent6 2 2 3 3 15" xfId="28360" xr:uid="{BA06C008-0835-48E5-9732-98259C96D78D}"/>
    <cellStyle name="60% - Accent6 2 2 3 3 16" xfId="30250" xr:uid="{596D236F-4C87-4A5B-A81E-DC4F2D502B39}"/>
    <cellStyle name="60% - Accent6 2 2 3 3 17" xfId="32140" xr:uid="{8A630AC4-9247-4C9F-89F4-03064633EF33}"/>
    <cellStyle name="60% - Accent6 2 2 3 3 18" xfId="34030" xr:uid="{EB06517E-2CDB-4D15-B21F-18D706D445A5}"/>
    <cellStyle name="60% - Accent6 2 2 3 3 19" xfId="35920" xr:uid="{D667BF72-EC9C-4311-B1EF-E2DD6F255111}"/>
    <cellStyle name="60% - Accent6 2 2 3 3 2" xfId="3790" xr:uid="{D8D0EF92-8F65-4AE9-88AD-20A984DAA114}"/>
    <cellStyle name="60% - Accent6 2 2 3 3 20" xfId="37810" xr:uid="{E7B1320F-FA3F-4B68-A736-796A5E313CE5}"/>
    <cellStyle name="60% - Accent6 2 2 3 3 21" xfId="39700" xr:uid="{AEDACDDA-BA28-4670-8819-36C819785B74}"/>
    <cellStyle name="60% - Accent6 2 2 3 3 22" xfId="41591" xr:uid="{EFF56E6F-5818-4881-BE92-39A9A3F49470}"/>
    <cellStyle name="60% - Accent6 2 2 3 3 3" xfId="5680" xr:uid="{0B3586AD-A4C2-4EF5-A2CF-2538DB6FF886}"/>
    <cellStyle name="60% - Accent6 2 2 3 3 4" xfId="7570" xr:uid="{FE81DC75-A2A3-4D7F-B3A9-DA31E60F0DB7}"/>
    <cellStyle name="60% - Accent6 2 2 3 3 5" xfId="9460" xr:uid="{FA9DE5B0-CBCC-473D-854E-43BF840454AD}"/>
    <cellStyle name="60% - Accent6 2 2 3 3 6" xfId="11350" xr:uid="{C97A11AC-BF4B-4B66-9562-251F508A3085}"/>
    <cellStyle name="60% - Accent6 2 2 3 3 7" xfId="13240" xr:uid="{BC97E2B2-7976-49FB-8341-6CDF23F188E3}"/>
    <cellStyle name="60% - Accent6 2 2 3 3 8" xfId="15130" xr:uid="{099DB024-4693-4994-9E26-F0255B74E152}"/>
    <cellStyle name="60% - Accent6 2 2 3 3 9" xfId="17020" xr:uid="{49BFA976-B7E9-443D-BD8D-DCA38871BC90}"/>
    <cellStyle name="60% - Accent6 2 2 3 4" xfId="2530" xr:uid="{24C84F19-9235-4C45-A50B-1F94C7D1B8A1}"/>
    <cellStyle name="60% - Accent6 2 2 3 5" xfId="4420" xr:uid="{4B76C953-E026-4988-A91A-37B4FF1298A8}"/>
    <cellStyle name="60% - Accent6 2 2 3 6" xfId="6310" xr:uid="{22E059CF-198B-4B4E-A115-29068940CFA3}"/>
    <cellStyle name="60% - Accent6 2 2 3 7" xfId="8200" xr:uid="{FCC40251-7ED7-476C-887E-AF4AE9DB66E0}"/>
    <cellStyle name="60% - Accent6 2 2 3 8" xfId="10090" xr:uid="{B342B84A-57B6-4DA8-B429-41CED01C719D}"/>
    <cellStyle name="60% - Accent6 2 2 3 9" xfId="11980" xr:uid="{18ED3F32-1939-4958-B6B3-E8694F6D2E05}"/>
    <cellStyle name="60% - Accent6 2 2 4" xfId="850" xr:uid="{D0EF41B8-DFCA-4C9D-BB0D-082C9E4ECF03}"/>
    <cellStyle name="60% - Accent6 2 2 4 10" xfId="17860" xr:uid="{1972804C-38D1-4E93-B808-D6DBD074D2F2}"/>
    <cellStyle name="60% - Accent6 2 2 4 11" xfId="19750" xr:uid="{35D9B55D-7BE6-45D1-BA2F-B33D4F010461}"/>
    <cellStyle name="60% - Accent6 2 2 4 12" xfId="21640" xr:uid="{68E1CAD0-78DC-4B8E-85E2-A937F4F12395}"/>
    <cellStyle name="60% - Accent6 2 2 4 13" xfId="23530" xr:uid="{DE5C4DC2-CF66-4AA2-9645-5AA5825A228E}"/>
    <cellStyle name="60% - Accent6 2 2 4 14" xfId="25420" xr:uid="{3C70B9B3-52E9-4A03-AFC3-51FD4BF989D4}"/>
    <cellStyle name="60% - Accent6 2 2 4 15" xfId="27310" xr:uid="{47278329-5D08-461B-8F65-D7B9211BDE53}"/>
    <cellStyle name="60% - Accent6 2 2 4 16" xfId="29200" xr:uid="{54CC3A77-F512-4560-993F-B37596913AF6}"/>
    <cellStyle name="60% - Accent6 2 2 4 17" xfId="31090" xr:uid="{B5AB4FBB-F930-4FF1-BED4-DEF6EDF6575A}"/>
    <cellStyle name="60% - Accent6 2 2 4 18" xfId="32980" xr:uid="{4A7FCC2E-DF8D-472D-A9AD-9C697357E4A2}"/>
    <cellStyle name="60% - Accent6 2 2 4 19" xfId="34870" xr:uid="{47ED158D-9521-48ED-8B34-95C0BEEC1862}"/>
    <cellStyle name="60% - Accent6 2 2 4 2" xfId="2740" xr:uid="{E7B4E85B-B65D-4901-BB33-3BBBA5C99AD8}"/>
    <cellStyle name="60% - Accent6 2 2 4 20" xfId="36760" xr:uid="{D848CBA1-299C-41C6-A8D0-239DA370181F}"/>
    <cellStyle name="60% - Accent6 2 2 4 21" xfId="38650" xr:uid="{02A5F14D-2292-46EC-B229-1496D7A79D4A}"/>
    <cellStyle name="60% - Accent6 2 2 4 22" xfId="40541" xr:uid="{CF92E3F3-EF6F-4D56-A40F-8751DA7907B0}"/>
    <cellStyle name="60% - Accent6 2 2 4 3" xfId="4630" xr:uid="{61C895AF-F474-4DB3-86D5-99C14A4F794E}"/>
    <cellStyle name="60% - Accent6 2 2 4 4" xfId="6520" xr:uid="{716AC526-0706-48FC-8B06-153A47158E8B}"/>
    <cellStyle name="60% - Accent6 2 2 4 5" xfId="8410" xr:uid="{CE09F662-C6D5-4625-811A-A9AF91523825}"/>
    <cellStyle name="60% - Accent6 2 2 4 6" xfId="10300" xr:uid="{AD5C50C2-156F-413F-89E3-869885AADC47}"/>
    <cellStyle name="60% - Accent6 2 2 4 7" xfId="12190" xr:uid="{5317CCED-08D8-4842-8EAD-A12399E6293A}"/>
    <cellStyle name="60% - Accent6 2 2 4 8" xfId="14080" xr:uid="{CECA2A0A-7B22-4012-9CBA-DBA8279EA01F}"/>
    <cellStyle name="60% - Accent6 2 2 4 9" xfId="15970" xr:uid="{2ED4DFC9-40D1-4C36-A040-444E21E2E4EB}"/>
    <cellStyle name="60% - Accent6 2 2 5" xfId="1480" xr:uid="{6E19B11B-A23B-4F25-9C97-BE5B636BFAE6}"/>
    <cellStyle name="60% - Accent6 2 2 5 10" xfId="18490" xr:uid="{D8DE85CD-E957-426F-A220-03CE816DB80D}"/>
    <cellStyle name="60% - Accent6 2 2 5 11" xfId="20380" xr:uid="{1BF9E665-5D0B-46D4-872B-95EF7B2B2D61}"/>
    <cellStyle name="60% - Accent6 2 2 5 12" xfId="22270" xr:uid="{E21D7FB6-2058-4771-B5ED-3E1747E80D67}"/>
    <cellStyle name="60% - Accent6 2 2 5 13" xfId="24160" xr:uid="{8E480FF7-1A1B-4ADC-864C-AABDFDCFF778}"/>
    <cellStyle name="60% - Accent6 2 2 5 14" xfId="26050" xr:uid="{5A074153-34EC-4A08-B281-5E888676DF1E}"/>
    <cellStyle name="60% - Accent6 2 2 5 15" xfId="27940" xr:uid="{50B0C293-92CB-4437-8FD5-0C696D8CABA8}"/>
    <cellStyle name="60% - Accent6 2 2 5 16" xfId="29830" xr:uid="{AC55FEA5-EA21-461B-B549-2DB2CE1510DC}"/>
    <cellStyle name="60% - Accent6 2 2 5 17" xfId="31720" xr:uid="{80055832-C038-471D-B854-1F826E76F955}"/>
    <cellStyle name="60% - Accent6 2 2 5 18" xfId="33610" xr:uid="{7A649E52-F108-4DB2-BD52-1B99FB8C7D0B}"/>
    <cellStyle name="60% - Accent6 2 2 5 19" xfId="35500" xr:uid="{D1DA859A-2149-4539-BC74-EA8D92B420C2}"/>
    <cellStyle name="60% - Accent6 2 2 5 2" xfId="3370" xr:uid="{BAA4ED1B-5D86-471F-AB76-4A75A4D3918A}"/>
    <cellStyle name="60% - Accent6 2 2 5 20" xfId="37390" xr:uid="{AAF11B71-6D4B-4DBE-9BED-40B41BEE89AE}"/>
    <cellStyle name="60% - Accent6 2 2 5 21" xfId="39280" xr:uid="{A1DFB16D-9F1E-49C7-8F83-9D3F8E271C1A}"/>
    <cellStyle name="60% - Accent6 2 2 5 22" xfId="41171" xr:uid="{B6AE1437-E850-4798-ADBA-1D170DE9294C}"/>
    <cellStyle name="60% - Accent6 2 2 5 3" xfId="5260" xr:uid="{29BEA093-A473-4317-8E2F-20BE05714ABB}"/>
    <cellStyle name="60% - Accent6 2 2 5 4" xfId="7150" xr:uid="{5E3A790F-C2FD-42FD-A356-FE05F62057EF}"/>
    <cellStyle name="60% - Accent6 2 2 5 5" xfId="9040" xr:uid="{05641F7F-C3A5-4B3B-9A80-E1EDFDE25CA2}"/>
    <cellStyle name="60% - Accent6 2 2 5 6" xfId="10930" xr:uid="{71A4394D-103D-4FB3-A406-C8C5EB028056}"/>
    <cellStyle name="60% - Accent6 2 2 5 7" xfId="12820" xr:uid="{948F8E74-D9E0-4032-B196-DB59A3ADD474}"/>
    <cellStyle name="60% - Accent6 2 2 5 8" xfId="14710" xr:uid="{89BF8987-4251-4744-A9C7-D9E25D6A8A91}"/>
    <cellStyle name="60% - Accent6 2 2 5 9" xfId="16600" xr:uid="{38370997-86C5-4A53-9F18-F82B164C2DD4}"/>
    <cellStyle name="60% - Accent6 2 2 6" xfId="2110" xr:uid="{79B0956E-00C5-47CE-A63F-8B5ADF2B6B5B}"/>
    <cellStyle name="60% - Accent6 2 2 7" xfId="4000" xr:uid="{D06F6A88-BAB1-4420-895B-A9ED6690F8C8}"/>
    <cellStyle name="60% - Accent6 2 2 8" xfId="5890" xr:uid="{F34F671C-1F70-413D-B86D-4BBB92D1618F}"/>
    <cellStyle name="60% - Accent6 2 2 9" xfId="7780" xr:uid="{45D64A98-D7B4-49D1-B00A-08442F0AD4EC}"/>
    <cellStyle name="60% - Accent6 2 20" xfId="26575" xr:uid="{4CF7A6B7-2CB2-4305-A016-A6F8CF6520CA}"/>
    <cellStyle name="60% - Accent6 2 21" xfId="28465" xr:uid="{25F45C73-EBA7-494C-B03B-A53758731B18}"/>
    <cellStyle name="60% - Accent6 2 22" xfId="30355" xr:uid="{1C65F993-F8F4-4015-BF31-7863DCC9FD96}"/>
    <cellStyle name="60% - Accent6 2 23" xfId="32245" xr:uid="{77B62852-C15D-463F-8268-EED23A7F9BE2}"/>
    <cellStyle name="60% - Accent6 2 24" xfId="34135" xr:uid="{720FCC2A-0234-4CEE-BC53-88C88739A1FC}"/>
    <cellStyle name="60% - Accent6 2 25" xfId="36025" xr:uid="{9AA3A3F8-E9A2-4B2B-9235-F2FA0D958AAC}"/>
    <cellStyle name="60% - Accent6 2 26" xfId="37915" xr:uid="{74530756-0DAF-4A43-93D0-E2633F9EC4C5}"/>
    <cellStyle name="60% - Accent6 2 27" xfId="39806" xr:uid="{5AB1A48F-D304-476A-AF2E-F69449D5EFE7}"/>
    <cellStyle name="60% - Accent6 2 3" xfId="325" xr:uid="{813D2723-1B75-4A6C-B348-4B65CB881813}"/>
    <cellStyle name="60% - Accent6 2 3 10" xfId="13555" xr:uid="{C8E2A4A3-D026-4AAB-8527-4393979E1783}"/>
    <cellStyle name="60% - Accent6 2 3 11" xfId="15445" xr:uid="{170855F9-0895-421B-87EE-EB4C9463F7E7}"/>
    <cellStyle name="60% - Accent6 2 3 12" xfId="17335" xr:uid="{7B6917AA-DB72-40F3-A192-4181DC4600F1}"/>
    <cellStyle name="60% - Accent6 2 3 13" xfId="19225" xr:uid="{4438F083-6F51-4BB9-B35B-52A487810B44}"/>
    <cellStyle name="60% - Accent6 2 3 14" xfId="21115" xr:uid="{BDEA6CCB-2CB8-49B1-A9C3-88BE91FE8B5B}"/>
    <cellStyle name="60% - Accent6 2 3 15" xfId="23005" xr:uid="{3AF00340-9AB6-4344-8C94-E6B53BEC8EF4}"/>
    <cellStyle name="60% - Accent6 2 3 16" xfId="24895" xr:uid="{3A9DD225-3C25-405F-AB91-F129D6CB679D}"/>
    <cellStyle name="60% - Accent6 2 3 17" xfId="26785" xr:uid="{5F3BED89-0618-4450-90AC-FDDABB8767F4}"/>
    <cellStyle name="60% - Accent6 2 3 18" xfId="28675" xr:uid="{05C1911C-CDA5-4DAC-823E-0B19C98046A0}"/>
    <cellStyle name="60% - Accent6 2 3 19" xfId="30565" xr:uid="{F7442E52-0C09-496D-90A3-C369931243DA}"/>
    <cellStyle name="60% - Accent6 2 3 2" xfId="955" xr:uid="{6C2DC7BB-ED55-4D83-A698-872815BAA7CE}"/>
    <cellStyle name="60% - Accent6 2 3 2 10" xfId="17965" xr:uid="{C4D9EB09-0982-40EC-B5E9-79F0BC0E691B}"/>
    <cellStyle name="60% - Accent6 2 3 2 11" xfId="19855" xr:uid="{52663179-ADC0-42D8-9B09-01AAC8D14FCF}"/>
    <cellStyle name="60% - Accent6 2 3 2 12" xfId="21745" xr:uid="{16E19B1A-8C89-4BF3-9744-7CCFFD952307}"/>
    <cellStyle name="60% - Accent6 2 3 2 13" xfId="23635" xr:uid="{69731A4F-A30B-4951-AE2B-B78BC80C2648}"/>
    <cellStyle name="60% - Accent6 2 3 2 14" xfId="25525" xr:uid="{9E657E43-323E-47B4-AC14-3DA1D34F3BE4}"/>
    <cellStyle name="60% - Accent6 2 3 2 15" xfId="27415" xr:uid="{03F9F867-9368-4A7F-AC57-1D36D10964FA}"/>
    <cellStyle name="60% - Accent6 2 3 2 16" xfId="29305" xr:uid="{7DFC8324-D0DD-486A-B454-38BA61B87D22}"/>
    <cellStyle name="60% - Accent6 2 3 2 17" xfId="31195" xr:uid="{99B02047-B7BD-400B-AEC9-588349751E97}"/>
    <cellStyle name="60% - Accent6 2 3 2 18" xfId="33085" xr:uid="{7426BDEE-F72B-4851-A312-8E60BFEF6972}"/>
    <cellStyle name="60% - Accent6 2 3 2 19" xfId="34975" xr:uid="{CBB8628B-7B65-4C76-AE41-38FDB881650B}"/>
    <cellStyle name="60% - Accent6 2 3 2 2" xfId="2845" xr:uid="{7A4F5601-46A0-498B-84D0-B527BC995574}"/>
    <cellStyle name="60% - Accent6 2 3 2 20" xfId="36865" xr:uid="{21E0062F-5DCA-4A3A-8373-85ECE77C153F}"/>
    <cellStyle name="60% - Accent6 2 3 2 21" xfId="38755" xr:uid="{DB4AFB13-5662-4D78-B782-BB0095BE19E5}"/>
    <cellStyle name="60% - Accent6 2 3 2 22" xfId="40646" xr:uid="{4A8440C3-5AF6-4109-B4DC-BDC86BB40B97}"/>
    <cellStyle name="60% - Accent6 2 3 2 3" xfId="4735" xr:uid="{5543F44D-D2A4-4B96-AD3F-17D210DC20C5}"/>
    <cellStyle name="60% - Accent6 2 3 2 4" xfId="6625" xr:uid="{43B5FC1D-A60D-418B-B886-F8D8E4DEDC43}"/>
    <cellStyle name="60% - Accent6 2 3 2 5" xfId="8515" xr:uid="{FD3299C8-1A93-46FA-BAFC-42D8FCF707F7}"/>
    <cellStyle name="60% - Accent6 2 3 2 6" xfId="10405" xr:uid="{5FACD680-F9E5-4A74-8863-D078EBCD3DFF}"/>
    <cellStyle name="60% - Accent6 2 3 2 7" xfId="12295" xr:uid="{3815060C-6912-47FC-B211-17A3C85D7D73}"/>
    <cellStyle name="60% - Accent6 2 3 2 8" xfId="14185" xr:uid="{48E25280-0113-4E85-9F15-5B3BBE03F3C8}"/>
    <cellStyle name="60% - Accent6 2 3 2 9" xfId="16075" xr:uid="{CB3F4279-C562-4C43-8E82-A17CD2D7AEFE}"/>
    <cellStyle name="60% - Accent6 2 3 20" xfId="32455" xr:uid="{F5CC408D-F0FA-4A1A-A579-65C0E701CBE0}"/>
    <cellStyle name="60% - Accent6 2 3 21" xfId="34345" xr:uid="{05B64890-3946-4211-AA77-F63B8DEF1285}"/>
    <cellStyle name="60% - Accent6 2 3 22" xfId="36235" xr:uid="{11E252A3-2BDD-4133-B3AC-0EC3E60EB7D2}"/>
    <cellStyle name="60% - Accent6 2 3 23" xfId="38125" xr:uid="{9022ACE6-13F4-4424-A873-B3B5592BB6CA}"/>
    <cellStyle name="60% - Accent6 2 3 24" xfId="40016" xr:uid="{C6082BF8-824E-4938-A51D-5DA7F4FA475F}"/>
    <cellStyle name="60% - Accent6 2 3 3" xfId="1585" xr:uid="{B0AAE167-4678-45E8-9A19-FB99D85831BE}"/>
    <cellStyle name="60% - Accent6 2 3 3 10" xfId="18595" xr:uid="{D26CAAE7-D4E8-4EF3-9295-CB614D13D548}"/>
    <cellStyle name="60% - Accent6 2 3 3 11" xfId="20485" xr:uid="{A4FBB2E2-9832-40FC-BA6A-E826E75D6C1B}"/>
    <cellStyle name="60% - Accent6 2 3 3 12" xfId="22375" xr:uid="{F737A89B-91A0-4710-A5C7-50127D9BF75D}"/>
    <cellStyle name="60% - Accent6 2 3 3 13" xfId="24265" xr:uid="{30251CD2-A62F-4E5E-99FA-C6F58015989C}"/>
    <cellStyle name="60% - Accent6 2 3 3 14" xfId="26155" xr:uid="{B1047C17-F139-48F1-BBA3-3A311CCBD70C}"/>
    <cellStyle name="60% - Accent6 2 3 3 15" xfId="28045" xr:uid="{B886FB82-C7AD-4996-85D6-61B1449D5899}"/>
    <cellStyle name="60% - Accent6 2 3 3 16" xfId="29935" xr:uid="{D189D12F-FF3F-4073-9209-77CEB7FEEB18}"/>
    <cellStyle name="60% - Accent6 2 3 3 17" xfId="31825" xr:uid="{77EBE10C-1640-457C-B0A9-C5FC032CBEC0}"/>
    <cellStyle name="60% - Accent6 2 3 3 18" xfId="33715" xr:uid="{509283F7-A225-4106-A748-E94C50F81FDD}"/>
    <cellStyle name="60% - Accent6 2 3 3 19" xfId="35605" xr:uid="{083D2325-64A8-4904-B8AB-F9D58DEDBE3A}"/>
    <cellStyle name="60% - Accent6 2 3 3 2" xfId="3475" xr:uid="{D55CD9F1-2A13-4D1B-A05B-7699B170557F}"/>
    <cellStyle name="60% - Accent6 2 3 3 20" xfId="37495" xr:uid="{F5EE1BBF-E756-47BC-8F8C-F4B2882E98E3}"/>
    <cellStyle name="60% - Accent6 2 3 3 21" xfId="39385" xr:uid="{D5E562E5-8E60-44AD-BD5E-449F7F4C03B1}"/>
    <cellStyle name="60% - Accent6 2 3 3 22" xfId="41276" xr:uid="{DD66EAD0-AAC7-47AB-9754-0B45ADAD9D9E}"/>
    <cellStyle name="60% - Accent6 2 3 3 3" xfId="5365" xr:uid="{7F5E3A60-3DF5-4DDA-B728-01A3A7C3E5C3}"/>
    <cellStyle name="60% - Accent6 2 3 3 4" xfId="7255" xr:uid="{9AC1BF4A-16D8-4D3C-9773-02C4E8AE05B8}"/>
    <cellStyle name="60% - Accent6 2 3 3 5" xfId="9145" xr:uid="{DB09E3F3-0F82-4E77-B967-45D95C0683C1}"/>
    <cellStyle name="60% - Accent6 2 3 3 6" xfId="11035" xr:uid="{6195BA27-D388-4C49-891E-C69058F861F4}"/>
    <cellStyle name="60% - Accent6 2 3 3 7" xfId="12925" xr:uid="{BADCB733-DBDE-4B88-8456-149502E5E53C}"/>
    <cellStyle name="60% - Accent6 2 3 3 8" xfId="14815" xr:uid="{D698FD07-4C13-4E7F-9D99-11ED39827BA6}"/>
    <cellStyle name="60% - Accent6 2 3 3 9" xfId="16705" xr:uid="{984BE31A-D4BE-4684-9917-26F47C2D3A61}"/>
    <cellStyle name="60% - Accent6 2 3 4" xfId="2215" xr:uid="{19C5B1F5-A251-4C36-A11E-5EB0142B71F3}"/>
    <cellStyle name="60% - Accent6 2 3 5" xfId="4105" xr:uid="{2CC617EA-2D3B-453A-B9E7-4016EA05E20B}"/>
    <cellStyle name="60% - Accent6 2 3 6" xfId="5995" xr:uid="{046FABDE-DC63-4C0C-958F-02E42F73E185}"/>
    <cellStyle name="60% - Accent6 2 3 7" xfId="7885" xr:uid="{0FEF125A-AB3A-4FAF-9B70-E9E370B54851}"/>
    <cellStyle name="60% - Accent6 2 3 8" xfId="9775" xr:uid="{AE726202-B837-409F-A85F-820759C935D8}"/>
    <cellStyle name="60% - Accent6 2 3 9" xfId="11665" xr:uid="{358C0C73-6A3B-45A2-BBA0-B3FAE7C6CFB9}"/>
    <cellStyle name="60% - Accent6 2 4" xfId="535" xr:uid="{070D33B0-4B0F-436C-993B-374E04611690}"/>
    <cellStyle name="60% - Accent6 2 4 10" xfId="13765" xr:uid="{FF7450D6-78BB-45D2-AD65-C643A51C16D9}"/>
    <cellStyle name="60% - Accent6 2 4 11" xfId="15655" xr:uid="{F8E2BF14-66C2-4BC1-B511-1BE0FB66F88F}"/>
    <cellStyle name="60% - Accent6 2 4 12" xfId="17545" xr:uid="{9998FA99-B04D-4DBB-977D-0D73D454D675}"/>
    <cellStyle name="60% - Accent6 2 4 13" xfId="19435" xr:uid="{E2273D65-DD63-453E-BE32-9BC49C6BB2D5}"/>
    <cellStyle name="60% - Accent6 2 4 14" xfId="21325" xr:uid="{8983D0AE-3103-47D6-87B4-152C2849E100}"/>
    <cellStyle name="60% - Accent6 2 4 15" xfId="23215" xr:uid="{CFE69C6D-042F-4F75-8B8B-FCB2F6072182}"/>
    <cellStyle name="60% - Accent6 2 4 16" xfId="25105" xr:uid="{877A231C-1C42-471A-91CD-4A33FE82F5B6}"/>
    <cellStyle name="60% - Accent6 2 4 17" xfId="26995" xr:uid="{677D0261-7A43-4026-BD9E-3844541008BF}"/>
    <cellStyle name="60% - Accent6 2 4 18" xfId="28885" xr:uid="{2865695A-E152-4A4D-95BA-4B42636CB507}"/>
    <cellStyle name="60% - Accent6 2 4 19" xfId="30775" xr:uid="{C9A673DE-CA11-45C5-B0C6-3DF15C95C27A}"/>
    <cellStyle name="60% - Accent6 2 4 2" xfId="1165" xr:uid="{3B7D4338-2E6F-47AE-B5F8-067630131FA4}"/>
    <cellStyle name="60% - Accent6 2 4 2 10" xfId="18175" xr:uid="{6A0033CD-BAB6-4270-BB3C-620F99D11066}"/>
    <cellStyle name="60% - Accent6 2 4 2 11" xfId="20065" xr:uid="{182F17F6-4435-40E3-BDCE-3B5C907585AD}"/>
    <cellStyle name="60% - Accent6 2 4 2 12" xfId="21955" xr:uid="{311C595D-AE85-4F56-86ED-C96A6A7A0F99}"/>
    <cellStyle name="60% - Accent6 2 4 2 13" xfId="23845" xr:uid="{78873B7A-22B5-4126-8B72-93A990564D13}"/>
    <cellStyle name="60% - Accent6 2 4 2 14" xfId="25735" xr:uid="{F24A0605-292A-4A10-AE94-71BC547ADAC6}"/>
    <cellStyle name="60% - Accent6 2 4 2 15" xfId="27625" xr:uid="{5F0FD325-3FE2-478B-9F51-9A35EE1F2432}"/>
    <cellStyle name="60% - Accent6 2 4 2 16" xfId="29515" xr:uid="{F2554497-F056-46B2-8943-F5936C886D5D}"/>
    <cellStyle name="60% - Accent6 2 4 2 17" xfId="31405" xr:uid="{C80BCB24-C11F-4F89-A52C-FD3805ACFFD2}"/>
    <cellStyle name="60% - Accent6 2 4 2 18" xfId="33295" xr:uid="{177A5787-5C5C-470D-A6CF-609A48E089C8}"/>
    <cellStyle name="60% - Accent6 2 4 2 19" xfId="35185" xr:uid="{AC4F4D44-EB54-4F80-9F00-56398453C170}"/>
    <cellStyle name="60% - Accent6 2 4 2 2" xfId="3055" xr:uid="{90691B16-084C-48FA-918E-AE2E92B9B9F4}"/>
    <cellStyle name="60% - Accent6 2 4 2 20" xfId="37075" xr:uid="{4C90245A-8C91-4B86-B4C0-827B0C249FC4}"/>
    <cellStyle name="60% - Accent6 2 4 2 21" xfId="38965" xr:uid="{3B111C8C-A642-4A92-9E12-6EACDFE537C7}"/>
    <cellStyle name="60% - Accent6 2 4 2 22" xfId="40856" xr:uid="{066720BD-A83A-4BEC-8BC7-715BD4B5393A}"/>
    <cellStyle name="60% - Accent6 2 4 2 3" xfId="4945" xr:uid="{A8245139-443E-487C-911C-9336AD978209}"/>
    <cellStyle name="60% - Accent6 2 4 2 4" xfId="6835" xr:uid="{C98095E6-AC45-4A1B-95F4-A1E8E06AB11D}"/>
    <cellStyle name="60% - Accent6 2 4 2 5" xfId="8725" xr:uid="{B92BF7C1-B7FC-4FC6-B9A8-0F5213EA744E}"/>
    <cellStyle name="60% - Accent6 2 4 2 6" xfId="10615" xr:uid="{C8D88B4C-30B7-48A8-9706-5302D9878269}"/>
    <cellStyle name="60% - Accent6 2 4 2 7" xfId="12505" xr:uid="{60607384-BDE6-4299-8583-AB30BC9C48B8}"/>
    <cellStyle name="60% - Accent6 2 4 2 8" xfId="14395" xr:uid="{016251E5-1AC4-4891-952D-9C8F5D81AEE4}"/>
    <cellStyle name="60% - Accent6 2 4 2 9" xfId="16285" xr:uid="{E145064A-CEC1-471A-86B6-CC0734EC3F28}"/>
    <cellStyle name="60% - Accent6 2 4 20" xfId="32665" xr:uid="{51D973E5-8699-428A-B1B6-8A36C61FA488}"/>
    <cellStyle name="60% - Accent6 2 4 21" xfId="34555" xr:uid="{011DCFCD-3A2D-4981-9987-79BF5860C3F5}"/>
    <cellStyle name="60% - Accent6 2 4 22" xfId="36445" xr:uid="{BF3A10D4-DAB3-4F10-B628-5A41052BFA1C}"/>
    <cellStyle name="60% - Accent6 2 4 23" xfId="38335" xr:uid="{7AF2082E-C2DB-440D-95C9-F5CA37A04606}"/>
    <cellStyle name="60% - Accent6 2 4 24" xfId="40226" xr:uid="{F9C72BB0-2EA7-470C-A585-2B39B4D3F04C}"/>
    <cellStyle name="60% - Accent6 2 4 3" xfId="1795" xr:uid="{BD4152ED-2F06-4C97-905B-C9B27F5A3AB2}"/>
    <cellStyle name="60% - Accent6 2 4 3 10" xfId="18805" xr:uid="{33467DAE-CA0D-4351-802D-DDD0EBD45003}"/>
    <cellStyle name="60% - Accent6 2 4 3 11" xfId="20695" xr:uid="{97CA7732-2C8D-448B-B126-6EE4CE528079}"/>
    <cellStyle name="60% - Accent6 2 4 3 12" xfId="22585" xr:uid="{92CF91C0-67C4-4301-9FFC-8391A0572117}"/>
    <cellStyle name="60% - Accent6 2 4 3 13" xfId="24475" xr:uid="{10615509-B37A-44C2-AF14-65031EA5C914}"/>
    <cellStyle name="60% - Accent6 2 4 3 14" xfId="26365" xr:uid="{B5F3AD99-CB32-44EA-9E2C-97C35171C059}"/>
    <cellStyle name="60% - Accent6 2 4 3 15" xfId="28255" xr:uid="{0CE31A69-8626-4533-A09C-970019AEDC64}"/>
    <cellStyle name="60% - Accent6 2 4 3 16" xfId="30145" xr:uid="{6738F0C9-683B-4DD1-84F8-B995726BB011}"/>
    <cellStyle name="60% - Accent6 2 4 3 17" xfId="32035" xr:uid="{32431277-F2A9-423D-AEAB-F42600137B19}"/>
    <cellStyle name="60% - Accent6 2 4 3 18" xfId="33925" xr:uid="{7662C3B2-632C-42FA-BAD2-DAAD15F81BAE}"/>
    <cellStyle name="60% - Accent6 2 4 3 19" xfId="35815" xr:uid="{B359D13F-8F6D-49E4-B0D8-EB204E7A8F23}"/>
    <cellStyle name="60% - Accent6 2 4 3 2" xfId="3685" xr:uid="{08265F01-4DE0-4DB2-862C-D412CB67DA3E}"/>
    <cellStyle name="60% - Accent6 2 4 3 20" xfId="37705" xr:uid="{77843F06-9D2F-44B1-8780-590E85CB1F1F}"/>
    <cellStyle name="60% - Accent6 2 4 3 21" xfId="39595" xr:uid="{655A2726-50F7-4412-880F-3AF416BA3532}"/>
    <cellStyle name="60% - Accent6 2 4 3 22" xfId="41486" xr:uid="{E6EC20BF-DA15-4CA8-A16A-DFAEA2A52E6A}"/>
    <cellStyle name="60% - Accent6 2 4 3 3" xfId="5575" xr:uid="{5F978FF4-8C31-4680-99D7-CB146E04A4BA}"/>
    <cellStyle name="60% - Accent6 2 4 3 4" xfId="7465" xr:uid="{C61F49DF-8234-4D3C-94D8-331E3A9883B0}"/>
    <cellStyle name="60% - Accent6 2 4 3 5" xfId="9355" xr:uid="{C1024D75-0447-43D6-BB04-B69409460B53}"/>
    <cellStyle name="60% - Accent6 2 4 3 6" xfId="11245" xr:uid="{46CEA8B2-63EE-41E1-9DFE-46CDA39D1F60}"/>
    <cellStyle name="60% - Accent6 2 4 3 7" xfId="13135" xr:uid="{C37BA64D-EFD3-4B10-8D48-EF340EFC0501}"/>
    <cellStyle name="60% - Accent6 2 4 3 8" xfId="15025" xr:uid="{A21EF39F-324A-44D6-BE70-1710E1E21585}"/>
    <cellStyle name="60% - Accent6 2 4 3 9" xfId="16915" xr:uid="{658460CB-D5E7-4BE8-A494-0CDAE254007B}"/>
    <cellStyle name="60% - Accent6 2 4 4" xfId="2425" xr:uid="{A04DDEA2-AECB-4EC6-81E3-7A1B338268EF}"/>
    <cellStyle name="60% - Accent6 2 4 5" xfId="4315" xr:uid="{6FA5C70F-196E-4F47-A047-5C6C9377FB1E}"/>
    <cellStyle name="60% - Accent6 2 4 6" xfId="6205" xr:uid="{E2DBAC31-D0BB-4491-9E92-CE33D08F6B41}"/>
    <cellStyle name="60% - Accent6 2 4 7" xfId="8095" xr:uid="{ED528449-321B-439F-AEBA-05455CE28889}"/>
    <cellStyle name="60% - Accent6 2 4 8" xfId="9985" xr:uid="{57A5AC5F-6341-4B25-A7F7-F892A3E04A77}"/>
    <cellStyle name="60% - Accent6 2 4 9" xfId="11875" xr:uid="{79901589-8A76-4A44-9A8D-E5F069A96BF3}"/>
    <cellStyle name="60% - Accent6 2 5" xfId="745" xr:uid="{3235868C-8944-465A-8FEC-3BD43CE3151A}"/>
    <cellStyle name="60% - Accent6 2 5 10" xfId="17755" xr:uid="{DAD5761F-8E63-480E-ADE3-E984D4C42807}"/>
    <cellStyle name="60% - Accent6 2 5 11" xfId="19645" xr:uid="{B66E713E-3FA6-4F90-9103-FC444A340B8F}"/>
    <cellStyle name="60% - Accent6 2 5 12" xfId="21535" xr:uid="{881D91B9-CA09-4825-9DCE-D2B993F51CF6}"/>
    <cellStyle name="60% - Accent6 2 5 13" xfId="23425" xr:uid="{D4371596-46AA-4B8B-9627-4F0B43DEAB7B}"/>
    <cellStyle name="60% - Accent6 2 5 14" xfId="25315" xr:uid="{0E58F5CD-85EB-4537-A352-0D9130C99D36}"/>
    <cellStyle name="60% - Accent6 2 5 15" xfId="27205" xr:uid="{68CF0FE9-68D0-401D-8E70-D69C61E7C39D}"/>
    <cellStyle name="60% - Accent6 2 5 16" xfId="29095" xr:uid="{F1E0F090-C2C2-45C0-B42F-FE7843166D60}"/>
    <cellStyle name="60% - Accent6 2 5 17" xfId="30985" xr:uid="{7761940C-5A86-4856-9B8F-0D5B6A6454D2}"/>
    <cellStyle name="60% - Accent6 2 5 18" xfId="32875" xr:uid="{81C8A499-64C1-41D8-85B6-7A4DF6AE3510}"/>
    <cellStyle name="60% - Accent6 2 5 19" xfId="34765" xr:uid="{CA1B30AF-79B4-4908-B6E4-B7C9C84912E1}"/>
    <cellStyle name="60% - Accent6 2 5 2" xfId="2635" xr:uid="{2D96AECC-BD06-4AB2-97C3-7C455CB7E61A}"/>
    <cellStyle name="60% - Accent6 2 5 20" xfId="36655" xr:uid="{D74900E3-92DA-4174-B6E6-F41E76D4CDE5}"/>
    <cellStyle name="60% - Accent6 2 5 21" xfId="38545" xr:uid="{2ABC1381-627C-4733-BD76-DB4132323997}"/>
    <cellStyle name="60% - Accent6 2 5 22" xfId="40436" xr:uid="{6AB6757F-3E00-47C3-9EB2-A3991AE15654}"/>
    <cellStyle name="60% - Accent6 2 5 3" xfId="4525" xr:uid="{E5719BCA-430A-4E00-BB6D-B3B5E4889E86}"/>
    <cellStyle name="60% - Accent6 2 5 4" xfId="6415" xr:uid="{D5A1FF5B-C492-43A0-BEF7-530232352E5C}"/>
    <cellStyle name="60% - Accent6 2 5 5" xfId="8305" xr:uid="{9A5C65CE-57BF-4587-B69C-3685E17FC27E}"/>
    <cellStyle name="60% - Accent6 2 5 6" xfId="10195" xr:uid="{24AD69C3-5256-4826-ADB3-89F4018F3391}"/>
    <cellStyle name="60% - Accent6 2 5 7" xfId="12085" xr:uid="{9C3EA0A4-18E3-4505-A575-05FA88FD0FC3}"/>
    <cellStyle name="60% - Accent6 2 5 8" xfId="13975" xr:uid="{F0A8F154-E801-4D60-BAEF-D67CA5F48CEA}"/>
    <cellStyle name="60% - Accent6 2 5 9" xfId="15865" xr:uid="{896C3B50-1C32-4DF4-BB18-527395A7A576}"/>
    <cellStyle name="60% - Accent6 2 6" xfId="1375" xr:uid="{DCDCB143-FF23-403D-B336-2617C83BB079}"/>
    <cellStyle name="60% - Accent6 2 6 10" xfId="18385" xr:uid="{1EA13FCC-574D-47B3-9550-F546F8992546}"/>
    <cellStyle name="60% - Accent6 2 6 11" xfId="20275" xr:uid="{9EBA9E58-1724-40F2-A61C-02B42BC7FAC2}"/>
    <cellStyle name="60% - Accent6 2 6 12" xfId="22165" xr:uid="{A27EE333-BDE0-4A49-BA5E-CADE8F393D13}"/>
    <cellStyle name="60% - Accent6 2 6 13" xfId="24055" xr:uid="{F068B231-C7B5-4F7C-BA76-9CD6F9B64204}"/>
    <cellStyle name="60% - Accent6 2 6 14" xfId="25945" xr:uid="{D717C7FA-3E85-420E-99D2-12490B49814C}"/>
    <cellStyle name="60% - Accent6 2 6 15" xfId="27835" xr:uid="{3C5BD8C5-6670-4D88-A321-2F6F683457B0}"/>
    <cellStyle name="60% - Accent6 2 6 16" xfId="29725" xr:uid="{F16DDD14-5489-4BF9-B3C0-0361F632F4A8}"/>
    <cellStyle name="60% - Accent6 2 6 17" xfId="31615" xr:uid="{9371C86E-7883-4E72-8D45-55790F8D3099}"/>
    <cellStyle name="60% - Accent6 2 6 18" xfId="33505" xr:uid="{33B0544B-3456-4A63-8C15-557A63EF3107}"/>
    <cellStyle name="60% - Accent6 2 6 19" xfId="35395" xr:uid="{32B0AF09-75EF-406E-B197-8AB2C25DEB4A}"/>
    <cellStyle name="60% - Accent6 2 6 2" xfId="3265" xr:uid="{6EC79D4F-B34E-4DBC-81E8-C9D1683046A2}"/>
    <cellStyle name="60% - Accent6 2 6 20" xfId="37285" xr:uid="{2A948ADD-34C7-40DF-8883-4B7E3F944998}"/>
    <cellStyle name="60% - Accent6 2 6 21" xfId="39175" xr:uid="{F726FB64-5870-4D62-B94C-F662BCA07DE3}"/>
    <cellStyle name="60% - Accent6 2 6 22" xfId="41066" xr:uid="{AE7C23B1-A314-4921-82CD-26A4C48AF73D}"/>
    <cellStyle name="60% - Accent6 2 6 3" xfId="5155" xr:uid="{E9D6AFC5-F5B6-4D8E-97EE-B12A103C4014}"/>
    <cellStyle name="60% - Accent6 2 6 4" xfId="7045" xr:uid="{AC40AC1C-5C43-4439-BD53-7B7D65BD5803}"/>
    <cellStyle name="60% - Accent6 2 6 5" xfId="8935" xr:uid="{346740FC-6F60-466E-80FC-DB61A66CF6A3}"/>
    <cellStyle name="60% - Accent6 2 6 6" xfId="10825" xr:uid="{AC63A570-6F4A-47DC-9168-58BA0D2A4F2C}"/>
    <cellStyle name="60% - Accent6 2 6 7" xfId="12715" xr:uid="{682A15E4-91D2-4B05-87DD-2E494F4A63F0}"/>
    <cellStyle name="60% - Accent6 2 6 8" xfId="14605" xr:uid="{9154C246-FE46-48AD-B607-51F5FDEB8D12}"/>
    <cellStyle name="60% - Accent6 2 6 9" xfId="16495" xr:uid="{828BC363-CA39-43B5-8FA7-79C7B2395EE4}"/>
    <cellStyle name="60% - Accent6 2 7" xfId="2005" xr:uid="{B7ACD377-EDB8-42F5-9D1E-6692940366D5}"/>
    <cellStyle name="60% - Accent6 2 8" xfId="3895" xr:uid="{5E2EB620-7491-4372-B0FC-84CC08810D01}"/>
    <cellStyle name="60% - Accent6 2 9" xfId="5785" xr:uid="{DA62ED46-6D34-48EB-AC53-3A7A546A8D38}"/>
    <cellStyle name="60% - Accent6 20" xfId="22773" xr:uid="{D33D41E4-2FAA-474C-B753-ACC83D065F4A}"/>
    <cellStyle name="60% - Accent6 21" xfId="24663" xr:uid="{30B29879-B2BD-4237-ADF8-446D75C90F5D}"/>
    <cellStyle name="60% - Accent6 22" xfId="26553" xr:uid="{84321E79-C162-496D-B585-C3A805DF14F8}"/>
    <cellStyle name="60% - Accent6 23" xfId="28443" xr:uid="{2E62ED3A-0E38-48E9-B272-78682C39F19D}"/>
    <cellStyle name="60% - Accent6 24" xfId="30333" xr:uid="{5668469A-3C28-4AC0-8B78-BC2472E4EDD3}"/>
    <cellStyle name="60% - Accent6 25" xfId="32223" xr:uid="{BDA83F01-9EDA-4214-929E-803E5092A2E3}"/>
    <cellStyle name="60% - Accent6 26" xfId="34113" xr:uid="{3842CA31-B181-4BA9-88F1-7F22C019AFA6}"/>
    <cellStyle name="60% - Accent6 27" xfId="36003" xr:uid="{5C46CD66-7E48-43F7-99B1-AD3BB8259953}"/>
    <cellStyle name="60% - Accent6 28" xfId="37893" xr:uid="{CCA80B52-782C-406C-A169-D2E4531F7DDA}"/>
    <cellStyle name="60% - Accent6 29" xfId="39784" xr:uid="{EE71351A-5F4F-44DF-A440-B9E8196C7F79}"/>
    <cellStyle name="60% - Accent6 3" xfId="135" xr:uid="{D2C6FB44-589A-471F-B0C7-8F652CF93449}"/>
    <cellStyle name="60% - Accent6 3 10" xfId="7695" xr:uid="{54670AD2-D7FA-48DE-9ABE-F776080581EB}"/>
    <cellStyle name="60% - Accent6 3 11" xfId="9585" xr:uid="{6E0D79FB-EE5C-4299-B909-347EB644A5FE}"/>
    <cellStyle name="60% - Accent6 3 12" xfId="11475" xr:uid="{0C967780-E385-4C3F-A5C9-49E32003395B}"/>
    <cellStyle name="60% - Accent6 3 13" xfId="13365" xr:uid="{D9A73D1F-2E92-4DAC-A7F2-0AA7B82F5A5F}"/>
    <cellStyle name="60% - Accent6 3 14" xfId="15255" xr:uid="{E70C1750-AF12-4C10-A1B2-F7103683A139}"/>
    <cellStyle name="60% - Accent6 3 15" xfId="17145" xr:uid="{93848E44-1222-4FB0-B03B-AD903CEC7B70}"/>
    <cellStyle name="60% - Accent6 3 16" xfId="19035" xr:uid="{6F0268BE-89F5-47A4-BCA4-270A8CE2EEA9}"/>
    <cellStyle name="60% - Accent6 3 17" xfId="20925" xr:uid="{82B4E955-55C8-45E8-8274-0483A6CE5AF9}"/>
    <cellStyle name="60% - Accent6 3 18" xfId="22815" xr:uid="{E6AA0562-8216-4034-8D55-D61DCF61D675}"/>
    <cellStyle name="60% - Accent6 3 19" xfId="24705" xr:uid="{92DC56FA-E03F-4B79-96A6-160D95C4246C}"/>
    <cellStyle name="60% - Accent6 3 2" xfId="240" xr:uid="{57D891B6-42B4-4AE4-9614-84E8C03ED25E}"/>
    <cellStyle name="60% - Accent6 3 2 10" xfId="9690" xr:uid="{50985BC7-488B-4666-A7BC-4BEC0C613B9D}"/>
    <cellStyle name="60% - Accent6 3 2 11" xfId="11580" xr:uid="{483126E8-55A9-4FA9-B7F0-BEB171CBED94}"/>
    <cellStyle name="60% - Accent6 3 2 12" xfId="13470" xr:uid="{61827FA3-6C47-4E93-8F49-17AA6DCE23CE}"/>
    <cellStyle name="60% - Accent6 3 2 13" xfId="15360" xr:uid="{D60BB070-53D2-4B07-8431-E6B5039467BA}"/>
    <cellStyle name="60% - Accent6 3 2 14" xfId="17250" xr:uid="{2903C664-7411-49E9-84BF-AE43D3493EEA}"/>
    <cellStyle name="60% - Accent6 3 2 15" xfId="19140" xr:uid="{7B2E5851-D6CC-4B0F-B4B4-DCF029292C4E}"/>
    <cellStyle name="60% - Accent6 3 2 16" xfId="21030" xr:uid="{39E7711A-3D71-4B2E-BB50-293B76D0FD7E}"/>
    <cellStyle name="60% - Accent6 3 2 17" xfId="22920" xr:uid="{C6507310-380A-45DC-A8CE-8BB906F4911D}"/>
    <cellStyle name="60% - Accent6 3 2 18" xfId="24810" xr:uid="{DF969C9C-6F49-40AC-8BD1-9A0C04455257}"/>
    <cellStyle name="60% - Accent6 3 2 19" xfId="26700" xr:uid="{8576C217-ABB1-4D84-B5F0-FFEE90EA2A1C}"/>
    <cellStyle name="60% - Accent6 3 2 2" xfId="450" xr:uid="{A0B867C4-86AC-49E5-A5CE-26E0647CD632}"/>
    <cellStyle name="60% - Accent6 3 2 2 10" xfId="13680" xr:uid="{8488F2C3-966B-4EA5-953E-858245AEFA26}"/>
    <cellStyle name="60% - Accent6 3 2 2 11" xfId="15570" xr:uid="{57D6327A-7608-433C-8EC5-362E9F14755A}"/>
    <cellStyle name="60% - Accent6 3 2 2 12" xfId="17460" xr:uid="{EDE8D858-77AF-472F-913D-A08D69BF8FAE}"/>
    <cellStyle name="60% - Accent6 3 2 2 13" xfId="19350" xr:uid="{DF370747-A9F3-4084-BDBD-FDB82403A389}"/>
    <cellStyle name="60% - Accent6 3 2 2 14" xfId="21240" xr:uid="{38C28BFF-77BD-43CA-8F3C-AD37EFB69464}"/>
    <cellStyle name="60% - Accent6 3 2 2 15" xfId="23130" xr:uid="{20184C75-44FD-4E93-8606-D9A5A4A65B1C}"/>
    <cellStyle name="60% - Accent6 3 2 2 16" xfId="25020" xr:uid="{4868E608-5255-4DEB-BDBE-8FDF29B991AF}"/>
    <cellStyle name="60% - Accent6 3 2 2 17" xfId="26910" xr:uid="{43812D6E-8AEA-497F-89DA-C310EFE66757}"/>
    <cellStyle name="60% - Accent6 3 2 2 18" xfId="28800" xr:uid="{E1C692C5-A425-408C-AAA2-6E666B924222}"/>
    <cellStyle name="60% - Accent6 3 2 2 19" xfId="30690" xr:uid="{E078EC12-252F-45FF-B2F0-F0D8C380A540}"/>
    <cellStyle name="60% - Accent6 3 2 2 2" xfId="1080" xr:uid="{EF2BAFB5-8EA0-4D03-831C-654A211BEB04}"/>
    <cellStyle name="60% - Accent6 3 2 2 2 10" xfId="18090" xr:uid="{ADCC4778-2430-4F7B-85AD-F55D07536F01}"/>
    <cellStyle name="60% - Accent6 3 2 2 2 11" xfId="19980" xr:uid="{9F7A2B00-8D51-4E5E-900A-D5B79A8DD641}"/>
    <cellStyle name="60% - Accent6 3 2 2 2 12" xfId="21870" xr:uid="{76ABDCC5-69C0-422F-A0C6-FF8FF55555C9}"/>
    <cellStyle name="60% - Accent6 3 2 2 2 13" xfId="23760" xr:uid="{6797B4ED-29F6-4FE7-9CD8-3DC34D307D3E}"/>
    <cellStyle name="60% - Accent6 3 2 2 2 14" xfId="25650" xr:uid="{5B77A021-CD08-4DED-9D0A-8D544950C731}"/>
    <cellStyle name="60% - Accent6 3 2 2 2 15" xfId="27540" xr:uid="{DE1B0091-EF28-4E40-A32F-6AF5091CD2FF}"/>
    <cellStyle name="60% - Accent6 3 2 2 2 16" xfId="29430" xr:uid="{4B125A66-61D3-41A3-849E-E90C996FBE4C}"/>
    <cellStyle name="60% - Accent6 3 2 2 2 17" xfId="31320" xr:uid="{DF440E33-2CD1-421C-98B9-2558369F5505}"/>
    <cellStyle name="60% - Accent6 3 2 2 2 18" xfId="33210" xr:uid="{B0F8F47F-E8BC-48AF-A360-CBF9DB76618B}"/>
    <cellStyle name="60% - Accent6 3 2 2 2 19" xfId="35100" xr:uid="{E910E3D6-4691-4F0B-A145-BDEBE848203C}"/>
    <cellStyle name="60% - Accent6 3 2 2 2 2" xfId="2970" xr:uid="{781E5F84-6430-410D-976E-05AC3E59A75B}"/>
    <cellStyle name="60% - Accent6 3 2 2 2 20" xfId="36990" xr:uid="{C243A512-2FFE-4801-8A08-7BE59129E684}"/>
    <cellStyle name="60% - Accent6 3 2 2 2 21" xfId="38880" xr:uid="{3D2BD208-528D-4FB1-A16A-8032C3E78C82}"/>
    <cellStyle name="60% - Accent6 3 2 2 2 22" xfId="40771" xr:uid="{5A4B2DF5-1021-45DF-9949-2F843EE72D9F}"/>
    <cellStyle name="60% - Accent6 3 2 2 2 3" xfId="4860" xr:uid="{67F28840-26DD-4312-B235-112DB17C25EC}"/>
    <cellStyle name="60% - Accent6 3 2 2 2 4" xfId="6750" xr:uid="{845D48D4-3086-464C-A374-2AA506ACE2BF}"/>
    <cellStyle name="60% - Accent6 3 2 2 2 5" xfId="8640" xr:uid="{2E7C04A2-1D5A-42AA-8D69-BF174DB17C22}"/>
    <cellStyle name="60% - Accent6 3 2 2 2 6" xfId="10530" xr:uid="{EBE2E877-278F-48CD-8334-239EADA03A1D}"/>
    <cellStyle name="60% - Accent6 3 2 2 2 7" xfId="12420" xr:uid="{85AEB981-5910-4AF1-AD87-31563A76EBE2}"/>
    <cellStyle name="60% - Accent6 3 2 2 2 8" xfId="14310" xr:uid="{D1BBE989-32EF-4006-9334-F37A260C8C35}"/>
    <cellStyle name="60% - Accent6 3 2 2 2 9" xfId="16200" xr:uid="{4C315484-4DB1-43AB-A542-AA3898E3C818}"/>
    <cellStyle name="60% - Accent6 3 2 2 20" xfId="32580" xr:uid="{690D953D-729E-43AA-89F8-023468FFFE40}"/>
    <cellStyle name="60% - Accent6 3 2 2 21" xfId="34470" xr:uid="{1DFCE354-FF9A-49F0-B95C-FBBC7E56BAA1}"/>
    <cellStyle name="60% - Accent6 3 2 2 22" xfId="36360" xr:uid="{20E35A53-ABA8-4C7A-B24D-2CE3596124E5}"/>
    <cellStyle name="60% - Accent6 3 2 2 23" xfId="38250" xr:uid="{D5190812-90CE-4E01-A367-AA0683571470}"/>
    <cellStyle name="60% - Accent6 3 2 2 24" xfId="40141" xr:uid="{ECED5D1A-61EC-44FE-93F9-C3FA8C05F7C8}"/>
    <cellStyle name="60% - Accent6 3 2 2 3" xfId="1710" xr:uid="{ECD2CAD3-9282-45BF-9BB8-CF181E6D2560}"/>
    <cellStyle name="60% - Accent6 3 2 2 3 10" xfId="18720" xr:uid="{14B5E44E-641A-4093-A64C-7BB8992F0394}"/>
    <cellStyle name="60% - Accent6 3 2 2 3 11" xfId="20610" xr:uid="{60F5FD87-FDA4-4DC5-8FE8-BD4A8D36FC26}"/>
    <cellStyle name="60% - Accent6 3 2 2 3 12" xfId="22500" xr:uid="{E3AA3EEC-33DC-4C8F-BB42-D590A99A25A5}"/>
    <cellStyle name="60% - Accent6 3 2 2 3 13" xfId="24390" xr:uid="{FE9FEAC3-4070-46A0-8C8C-C0C5F7AFBE9A}"/>
    <cellStyle name="60% - Accent6 3 2 2 3 14" xfId="26280" xr:uid="{72E16564-4523-4CC2-94BC-ACE098C2B43A}"/>
    <cellStyle name="60% - Accent6 3 2 2 3 15" xfId="28170" xr:uid="{1B4D1536-5206-4D53-95EB-60C35BB02AF4}"/>
    <cellStyle name="60% - Accent6 3 2 2 3 16" xfId="30060" xr:uid="{BD43F3C2-F5CA-4F2C-84AD-5391FFA025A4}"/>
    <cellStyle name="60% - Accent6 3 2 2 3 17" xfId="31950" xr:uid="{EAD79F75-C359-438F-9198-8820CF946455}"/>
    <cellStyle name="60% - Accent6 3 2 2 3 18" xfId="33840" xr:uid="{9678A3D8-1C08-4477-8C47-BF4905A53414}"/>
    <cellStyle name="60% - Accent6 3 2 2 3 19" xfId="35730" xr:uid="{80A4E1F1-2D9F-402A-BEC8-83CC26B2C02C}"/>
    <cellStyle name="60% - Accent6 3 2 2 3 2" xfId="3600" xr:uid="{3D0F4AFF-28A7-4A7C-BDCB-5F89C9628043}"/>
    <cellStyle name="60% - Accent6 3 2 2 3 20" xfId="37620" xr:uid="{108907AF-0ED4-409C-ACD1-B70881229DA8}"/>
    <cellStyle name="60% - Accent6 3 2 2 3 21" xfId="39510" xr:uid="{C08A4CF6-9344-4652-A8F6-23DECF32E782}"/>
    <cellStyle name="60% - Accent6 3 2 2 3 22" xfId="41401" xr:uid="{864CA289-6954-47CA-98DB-B91C6B0030BA}"/>
    <cellStyle name="60% - Accent6 3 2 2 3 3" xfId="5490" xr:uid="{29B95CE0-9D94-46D8-8FE9-95B296335264}"/>
    <cellStyle name="60% - Accent6 3 2 2 3 4" xfId="7380" xr:uid="{ACB936CA-42B0-4CB2-AFB0-6773F0DDA53C}"/>
    <cellStyle name="60% - Accent6 3 2 2 3 5" xfId="9270" xr:uid="{3E9F2795-1134-4BDB-9B25-FC034D07E69C}"/>
    <cellStyle name="60% - Accent6 3 2 2 3 6" xfId="11160" xr:uid="{3B9AEB46-EFAF-43B8-B0AD-C482B0DF188D}"/>
    <cellStyle name="60% - Accent6 3 2 2 3 7" xfId="13050" xr:uid="{4A4A0C50-150F-40EF-BF78-295407691865}"/>
    <cellStyle name="60% - Accent6 3 2 2 3 8" xfId="14940" xr:uid="{97B0D6DC-E756-4467-8121-FB42B5F27998}"/>
    <cellStyle name="60% - Accent6 3 2 2 3 9" xfId="16830" xr:uid="{402A3A9A-134D-46D4-B757-0EBFF766D939}"/>
    <cellStyle name="60% - Accent6 3 2 2 4" xfId="2340" xr:uid="{FD9EE943-E549-4DA8-93DA-47F95DF13655}"/>
    <cellStyle name="60% - Accent6 3 2 2 5" xfId="4230" xr:uid="{E6DFAB41-284A-4389-A42E-50F8641A1441}"/>
    <cellStyle name="60% - Accent6 3 2 2 6" xfId="6120" xr:uid="{2FA2482D-A587-48F9-8204-C4B1391CECCC}"/>
    <cellStyle name="60% - Accent6 3 2 2 7" xfId="8010" xr:uid="{8F0F3218-AE3F-465C-88C6-FBEA431E2886}"/>
    <cellStyle name="60% - Accent6 3 2 2 8" xfId="9900" xr:uid="{BC2EF81C-E96F-4A2A-8148-8E8EBC6FCA2C}"/>
    <cellStyle name="60% - Accent6 3 2 2 9" xfId="11790" xr:uid="{2F0A2C58-BBF2-4FBD-899B-D8228843C3AB}"/>
    <cellStyle name="60% - Accent6 3 2 20" xfId="28590" xr:uid="{8FD90CB1-99CB-4FE5-BE0C-9A6509B9B522}"/>
    <cellStyle name="60% - Accent6 3 2 21" xfId="30480" xr:uid="{238231DD-6F23-4C5F-88E9-9AF6DCE70B83}"/>
    <cellStyle name="60% - Accent6 3 2 22" xfId="32370" xr:uid="{90F05556-B4C1-4421-B7BA-4ACD3C9F080C}"/>
    <cellStyle name="60% - Accent6 3 2 23" xfId="34260" xr:uid="{1662C6B2-C61D-48D4-939D-902CA6FD67A9}"/>
    <cellStyle name="60% - Accent6 3 2 24" xfId="36150" xr:uid="{DBF49D06-74E9-40D4-B1ED-5949E8AA47D0}"/>
    <cellStyle name="60% - Accent6 3 2 25" xfId="38040" xr:uid="{3ABF27D0-9848-45DA-846C-6AA22661AC52}"/>
    <cellStyle name="60% - Accent6 3 2 26" xfId="39931" xr:uid="{20BB9BFB-DD28-4EE3-96F4-1ED69E57EEA6}"/>
    <cellStyle name="60% - Accent6 3 2 3" xfId="660" xr:uid="{02DDAAC2-F858-43C8-A3A2-AB2E405C0095}"/>
    <cellStyle name="60% - Accent6 3 2 3 10" xfId="13890" xr:uid="{01B63A2B-699F-46A4-8D59-DD53A9D64F7D}"/>
    <cellStyle name="60% - Accent6 3 2 3 11" xfId="15780" xr:uid="{0538CAA3-E586-4492-8533-3ED51E3C81F1}"/>
    <cellStyle name="60% - Accent6 3 2 3 12" xfId="17670" xr:uid="{298FB3E3-1ADA-445A-B136-B9CAC4CCFE09}"/>
    <cellStyle name="60% - Accent6 3 2 3 13" xfId="19560" xr:uid="{DCF7C4D3-8B69-489C-8F6C-5BC497410655}"/>
    <cellStyle name="60% - Accent6 3 2 3 14" xfId="21450" xr:uid="{81CB2C02-A560-47E1-8E92-F1EFBB8D4577}"/>
    <cellStyle name="60% - Accent6 3 2 3 15" xfId="23340" xr:uid="{9C140445-C0E1-4990-9D53-3AF584E467B3}"/>
    <cellStyle name="60% - Accent6 3 2 3 16" xfId="25230" xr:uid="{4B0847BA-8826-4821-8A7C-01DEDC1E4C24}"/>
    <cellStyle name="60% - Accent6 3 2 3 17" xfId="27120" xr:uid="{665609E4-672E-4FA5-8ADF-969074B192F4}"/>
    <cellStyle name="60% - Accent6 3 2 3 18" xfId="29010" xr:uid="{35EA73D7-25EA-4C51-B662-0F549E05A1F7}"/>
    <cellStyle name="60% - Accent6 3 2 3 19" xfId="30900" xr:uid="{E2C2B1A3-8B87-482E-840E-67744B5E1D3A}"/>
    <cellStyle name="60% - Accent6 3 2 3 2" xfId="1290" xr:uid="{467EA097-530B-429A-8384-F1D7CE4F2502}"/>
    <cellStyle name="60% - Accent6 3 2 3 2 10" xfId="18300" xr:uid="{5AE3B4B8-8482-4EAC-8D67-D42C69D7D639}"/>
    <cellStyle name="60% - Accent6 3 2 3 2 11" xfId="20190" xr:uid="{A794DF03-E56E-4A46-BB5F-6DAD423DA1C9}"/>
    <cellStyle name="60% - Accent6 3 2 3 2 12" xfId="22080" xr:uid="{E995E3CB-4260-49AF-9908-600578A6ED5B}"/>
    <cellStyle name="60% - Accent6 3 2 3 2 13" xfId="23970" xr:uid="{5A5E536A-A9D1-41CA-8B13-4E774141448D}"/>
    <cellStyle name="60% - Accent6 3 2 3 2 14" xfId="25860" xr:uid="{3EEA3913-9285-48C9-89C0-0260C934B1B1}"/>
    <cellStyle name="60% - Accent6 3 2 3 2 15" xfId="27750" xr:uid="{222399F6-3426-4350-923F-0C3B13119150}"/>
    <cellStyle name="60% - Accent6 3 2 3 2 16" xfId="29640" xr:uid="{73E6E339-A1DD-462B-B431-6A84B3CCA817}"/>
    <cellStyle name="60% - Accent6 3 2 3 2 17" xfId="31530" xr:uid="{54938F2B-6673-499B-AD44-A3D29F318684}"/>
    <cellStyle name="60% - Accent6 3 2 3 2 18" xfId="33420" xr:uid="{1501909B-1842-49EA-BFB6-72669F626265}"/>
    <cellStyle name="60% - Accent6 3 2 3 2 19" xfId="35310" xr:uid="{AB94187F-DFF1-4D03-8025-E16242F0E824}"/>
    <cellStyle name="60% - Accent6 3 2 3 2 2" xfId="3180" xr:uid="{E552C009-F793-4069-B3FA-DB0BAD22A347}"/>
    <cellStyle name="60% - Accent6 3 2 3 2 20" xfId="37200" xr:uid="{AEE14315-3BB1-4300-919F-862C117B7756}"/>
    <cellStyle name="60% - Accent6 3 2 3 2 21" xfId="39090" xr:uid="{599D6B98-EF76-4D4C-95C9-A4AF7DB9A854}"/>
    <cellStyle name="60% - Accent6 3 2 3 2 22" xfId="40981" xr:uid="{10A06EA5-482A-4A5A-97BF-FC6BAF034BDF}"/>
    <cellStyle name="60% - Accent6 3 2 3 2 3" xfId="5070" xr:uid="{70F4BEF0-1FA5-4B64-8CDB-25DF00BD2311}"/>
    <cellStyle name="60% - Accent6 3 2 3 2 4" xfId="6960" xr:uid="{FF2AE9B6-4691-48C6-8B22-306AE1EE08BB}"/>
    <cellStyle name="60% - Accent6 3 2 3 2 5" xfId="8850" xr:uid="{785D283F-ADD2-4B09-A4D8-90A326C3A678}"/>
    <cellStyle name="60% - Accent6 3 2 3 2 6" xfId="10740" xr:uid="{EBDC3A81-1B51-44D9-A441-EC4DE089D676}"/>
    <cellStyle name="60% - Accent6 3 2 3 2 7" xfId="12630" xr:uid="{25B0BDDF-17B7-4F65-BF06-0391C4B4ED17}"/>
    <cellStyle name="60% - Accent6 3 2 3 2 8" xfId="14520" xr:uid="{6DC0E18C-2099-46C5-B24B-9C64D7DC6FC1}"/>
    <cellStyle name="60% - Accent6 3 2 3 2 9" xfId="16410" xr:uid="{003AC733-80F8-4880-83FE-E69C5F13715D}"/>
    <cellStyle name="60% - Accent6 3 2 3 20" xfId="32790" xr:uid="{5E495ACA-F67D-4A08-BEB7-37C06B04B11A}"/>
    <cellStyle name="60% - Accent6 3 2 3 21" xfId="34680" xr:uid="{4799B9D9-2D4E-4F91-83E6-8CE9E1B24902}"/>
    <cellStyle name="60% - Accent6 3 2 3 22" xfId="36570" xr:uid="{45978DEF-B0FE-4DFF-9730-7DFC74889FA8}"/>
    <cellStyle name="60% - Accent6 3 2 3 23" xfId="38460" xr:uid="{B7075408-0B87-4D43-8566-CCAAD3ED9E65}"/>
    <cellStyle name="60% - Accent6 3 2 3 24" xfId="40351" xr:uid="{0BB1FF21-E31A-4037-8B15-A7C52F2AFD8E}"/>
    <cellStyle name="60% - Accent6 3 2 3 3" xfId="1920" xr:uid="{1DA09ED6-BA66-4348-B786-F3879729E1A9}"/>
    <cellStyle name="60% - Accent6 3 2 3 3 10" xfId="18930" xr:uid="{0BE20D63-D1BF-4820-9EED-FF0B95E4F85E}"/>
    <cellStyle name="60% - Accent6 3 2 3 3 11" xfId="20820" xr:uid="{F12FC060-B856-4E81-8CAB-87C814819B77}"/>
    <cellStyle name="60% - Accent6 3 2 3 3 12" xfId="22710" xr:uid="{AD0A845E-459E-49B7-9510-7E7F004D0003}"/>
    <cellStyle name="60% - Accent6 3 2 3 3 13" xfId="24600" xr:uid="{E1F4558F-7555-4FBB-A78F-173D62155C7E}"/>
    <cellStyle name="60% - Accent6 3 2 3 3 14" xfId="26490" xr:uid="{BD408051-0A04-441E-9978-E69A6CF0FDAD}"/>
    <cellStyle name="60% - Accent6 3 2 3 3 15" xfId="28380" xr:uid="{CE8819C1-9FC4-44AE-A424-387F6E59E850}"/>
    <cellStyle name="60% - Accent6 3 2 3 3 16" xfId="30270" xr:uid="{3B2D1325-8BF6-484E-9FCE-92113976CCAB}"/>
    <cellStyle name="60% - Accent6 3 2 3 3 17" xfId="32160" xr:uid="{DA0F367E-7F51-4BFB-99B7-14778F5A94DC}"/>
    <cellStyle name="60% - Accent6 3 2 3 3 18" xfId="34050" xr:uid="{CEE63FF8-5E46-4780-96CC-025B55E68E23}"/>
    <cellStyle name="60% - Accent6 3 2 3 3 19" xfId="35940" xr:uid="{66831AD0-CC74-4417-8740-6EF55C452323}"/>
    <cellStyle name="60% - Accent6 3 2 3 3 2" xfId="3810" xr:uid="{0F34C6A9-3B4B-482C-BD8B-7D0F94438A7D}"/>
    <cellStyle name="60% - Accent6 3 2 3 3 20" xfId="37830" xr:uid="{F525D34A-DE06-403D-8847-C008DD4B2115}"/>
    <cellStyle name="60% - Accent6 3 2 3 3 21" xfId="39720" xr:uid="{192BF82D-2961-473C-B290-44652509F581}"/>
    <cellStyle name="60% - Accent6 3 2 3 3 22" xfId="41611" xr:uid="{0F44A34A-8B36-4B95-84B9-99E46739D985}"/>
    <cellStyle name="60% - Accent6 3 2 3 3 3" xfId="5700" xr:uid="{BDB8E029-4972-4042-BE3F-8D69BC9AE496}"/>
    <cellStyle name="60% - Accent6 3 2 3 3 4" xfId="7590" xr:uid="{EB1EB29E-B6F1-4A2C-8452-22C652D12E3C}"/>
    <cellStyle name="60% - Accent6 3 2 3 3 5" xfId="9480" xr:uid="{819E2128-DFDF-4337-8C69-C79254B8C036}"/>
    <cellStyle name="60% - Accent6 3 2 3 3 6" xfId="11370" xr:uid="{501BCE5D-E0F3-47C1-B51C-0C06DB958648}"/>
    <cellStyle name="60% - Accent6 3 2 3 3 7" xfId="13260" xr:uid="{A802EDD0-A341-4E66-B5DF-22DD080C8B48}"/>
    <cellStyle name="60% - Accent6 3 2 3 3 8" xfId="15150" xr:uid="{58435392-5A7B-4D68-909D-A2BE21507A4C}"/>
    <cellStyle name="60% - Accent6 3 2 3 3 9" xfId="17040" xr:uid="{8956C4D7-72BE-47F0-A24C-F8258E17981D}"/>
    <cellStyle name="60% - Accent6 3 2 3 4" xfId="2550" xr:uid="{501182D0-5858-4E14-8F7B-639F8E580A58}"/>
    <cellStyle name="60% - Accent6 3 2 3 5" xfId="4440" xr:uid="{13FA1A6D-6433-415D-8632-D0CE9225D29C}"/>
    <cellStyle name="60% - Accent6 3 2 3 6" xfId="6330" xr:uid="{8A039C03-926B-4239-8B1E-9F5585189264}"/>
    <cellStyle name="60% - Accent6 3 2 3 7" xfId="8220" xr:uid="{5070D51D-412F-46BE-9548-55FD298130D3}"/>
    <cellStyle name="60% - Accent6 3 2 3 8" xfId="10110" xr:uid="{59A8D3B0-D4D7-4117-9C58-09BA18120197}"/>
    <cellStyle name="60% - Accent6 3 2 3 9" xfId="12000" xr:uid="{706C50A6-DB3E-4A9A-953E-EACC7015B326}"/>
    <cellStyle name="60% - Accent6 3 2 4" xfId="870" xr:uid="{E82C15FA-A1D4-4CEC-90E9-AECE111FC26E}"/>
    <cellStyle name="60% - Accent6 3 2 4 10" xfId="17880" xr:uid="{461E7DE9-8CC7-47C5-8518-A4AD873F9335}"/>
    <cellStyle name="60% - Accent6 3 2 4 11" xfId="19770" xr:uid="{2E6830AE-0CA4-4199-AED1-7813A0AF5620}"/>
    <cellStyle name="60% - Accent6 3 2 4 12" xfId="21660" xr:uid="{9482292C-BA95-49E1-9FBB-C4549707F49B}"/>
    <cellStyle name="60% - Accent6 3 2 4 13" xfId="23550" xr:uid="{EC15455B-11EE-4D15-AF22-E6B8B0988679}"/>
    <cellStyle name="60% - Accent6 3 2 4 14" xfId="25440" xr:uid="{EBF4EE2A-840C-4806-9578-1F5269EE62AF}"/>
    <cellStyle name="60% - Accent6 3 2 4 15" xfId="27330" xr:uid="{2C8DFE1F-5822-408B-85EB-164354589DBD}"/>
    <cellStyle name="60% - Accent6 3 2 4 16" xfId="29220" xr:uid="{F422FFE5-41FC-4BD8-8247-AEC78A8E248E}"/>
    <cellStyle name="60% - Accent6 3 2 4 17" xfId="31110" xr:uid="{6486CC29-A317-4DB0-9C48-708DB9B78839}"/>
    <cellStyle name="60% - Accent6 3 2 4 18" xfId="33000" xr:uid="{321959C5-FB68-4DBC-A6F6-83C5D768A70E}"/>
    <cellStyle name="60% - Accent6 3 2 4 19" xfId="34890" xr:uid="{F6E5C358-D659-41DF-8152-FFDD59E7AA74}"/>
    <cellStyle name="60% - Accent6 3 2 4 2" xfId="2760" xr:uid="{97723239-65F9-493C-B833-9DC51DA7AA62}"/>
    <cellStyle name="60% - Accent6 3 2 4 20" xfId="36780" xr:uid="{B050CDE9-2716-4769-AA5A-01455D296C19}"/>
    <cellStyle name="60% - Accent6 3 2 4 21" xfId="38670" xr:uid="{2EFC3D0A-B90F-474B-B343-1B72036036F7}"/>
    <cellStyle name="60% - Accent6 3 2 4 22" xfId="40561" xr:uid="{BDA2F584-DA77-4D1A-A59D-9CB3A219A33D}"/>
    <cellStyle name="60% - Accent6 3 2 4 3" xfId="4650" xr:uid="{FAE4F819-6079-4023-9C10-F97251198A07}"/>
    <cellStyle name="60% - Accent6 3 2 4 4" xfId="6540" xr:uid="{BA1DF6CE-BC23-4A53-A1F1-BFFED84A9A2F}"/>
    <cellStyle name="60% - Accent6 3 2 4 5" xfId="8430" xr:uid="{43099CE1-9EE1-4646-B9B0-9160FDA40198}"/>
    <cellStyle name="60% - Accent6 3 2 4 6" xfId="10320" xr:uid="{C19A2FEE-08E7-4823-9023-889FD04D93FE}"/>
    <cellStyle name="60% - Accent6 3 2 4 7" xfId="12210" xr:uid="{CE69F610-1CBA-4B00-A7E3-6FB491EC1C90}"/>
    <cellStyle name="60% - Accent6 3 2 4 8" xfId="14100" xr:uid="{1C2F11F1-C058-4446-8476-AA113F9DEB01}"/>
    <cellStyle name="60% - Accent6 3 2 4 9" xfId="15990" xr:uid="{473E4D31-CED1-4CAE-9693-4FC2F2E1AB9D}"/>
    <cellStyle name="60% - Accent6 3 2 5" xfId="1500" xr:uid="{3D6ECA5A-98AD-4BCB-B6FE-E33F39805B9C}"/>
    <cellStyle name="60% - Accent6 3 2 5 10" xfId="18510" xr:uid="{FFB2746F-1E14-41EC-A706-3A00C8372BD3}"/>
    <cellStyle name="60% - Accent6 3 2 5 11" xfId="20400" xr:uid="{04633120-D8EB-44F6-AB68-10AA0DCF2D3C}"/>
    <cellStyle name="60% - Accent6 3 2 5 12" xfId="22290" xr:uid="{4261F0EE-3224-4680-A94D-FAFFA3A7C5E3}"/>
    <cellStyle name="60% - Accent6 3 2 5 13" xfId="24180" xr:uid="{2A0935AD-968E-4D08-9E9E-4A69F04C38CA}"/>
    <cellStyle name="60% - Accent6 3 2 5 14" xfId="26070" xr:uid="{B214D994-72F5-4455-B0C2-2F1E7B92D47D}"/>
    <cellStyle name="60% - Accent6 3 2 5 15" xfId="27960" xr:uid="{65CB8B12-D4AE-49FA-999E-ACCC6D4B3678}"/>
    <cellStyle name="60% - Accent6 3 2 5 16" xfId="29850" xr:uid="{F617C960-7DB1-4BD7-8A25-3066F77AA77C}"/>
    <cellStyle name="60% - Accent6 3 2 5 17" xfId="31740" xr:uid="{A2879848-7229-43F9-8CC8-FB0C5C8A6ABD}"/>
    <cellStyle name="60% - Accent6 3 2 5 18" xfId="33630" xr:uid="{66210B87-1E92-4A27-8CA6-31CD19647E08}"/>
    <cellStyle name="60% - Accent6 3 2 5 19" xfId="35520" xr:uid="{9AF4F6C5-6A95-4382-81BB-9D65BBB0BAAA}"/>
    <cellStyle name="60% - Accent6 3 2 5 2" xfId="3390" xr:uid="{018B1312-D5F5-4448-9F1A-D1D8E54EA1B2}"/>
    <cellStyle name="60% - Accent6 3 2 5 20" xfId="37410" xr:uid="{AF7C7F76-4547-410B-AD6D-774BDC9391F8}"/>
    <cellStyle name="60% - Accent6 3 2 5 21" xfId="39300" xr:uid="{67B1EC4C-744C-48D4-9E49-0FCC4827C948}"/>
    <cellStyle name="60% - Accent6 3 2 5 22" xfId="41191" xr:uid="{A45CAF63-77AC-4995-8A73-F00975E371D5}"/>
    <cellStyle name="60% - Accent6 3 2 5 3" xfId="5280" xr:uid="{02BF1BA3-B310-46A6-B233-B748FB45E77A}"/>
    <cellStyle name="60% - Accent6 3 2 5 4" xfId="7170" xr:uid="{2E70D4B3-A9AC-4E1E-9CF7-14B3FA0ACB0D}"/>
    <cellStyle name="60% - Accent6 3 2 5 5" xfId="9060" xr:uid="{B5262E20-C145-4FEA-A8D7-8F95587B3E2B}"/>
    <cellStyle name="60% - Accent6 3 2 5 6" xfId="10950" xr:uid="{F776EEE6-54F7-4621-9BD7-B51097B92538}"/>
    <cellStyle name="60% - Accent6 3 2 5 7" xfId="12840" xr:uid="{F22EF8EB-DAE5-42F5-A98B-D784D4A04F82}"/>
    <cellStyle name="60% - Accent6 3 2 5 8" xfId="14730" xr:uid="{0BDB0E4A-FED5-4FD7-A45C-0BD9B26174FA}"/>
    <cellStyle name="60% - Accent6 3 2 5 9" xfId="16620" xr:uid="{8144129C-0B6A-4312-86D9-C36C8DA140C1}"/>
    <cellStyle name="60% - Accent6 3 2 6" xfId="2130" xr:uid="{0ACE8521-5818-4241-92B6-5E17A17113D2}"/>
    <cellStyle name="60% - Accent6 3 2 7" xfId="4020" xr:uid="{181737FF-DE13-44B0-B47A-5DC31673EFC6}"/>
    <cellStyle name="60% - Accent6 3 2 8" xfId="5910" xr:uid="{51B3512A-6665-469C-9460-43BBACA1049F}"/>
    <cellStyle name="60% - Accent6 3 2 9" xfId="7800" xr:uid="{1E92BD80-1034-4984-88FA-74F8946B0DE7}"/>
    <cellStyle name="60% - Accent6 3 20" xfId="26595" xr:uid="{FC100C8A-E51C-481A-8E57-6F2F16F90D92}"/>
    <cellStyle name="60% - Accent6 3 21" xfId="28485" xr:uid="{96C1AF32-ED1E-4BAD-9A69-2E7BB2EDCE11}"/>
    <cellStyle name="60% - Accent6 3 22" xfId="30375" xr:uid="{6E293AA2-08E2-408E-8506-C91D7EA9267C}"/>
    <cellStyle name="60% - Accent6 3 23" xfId="32265" xr:uid="{E19EEC13-7337-4935-827A-245F1866F4B4}"/>
    <cellStyle name="60% - Accent6 3 24" xfId="34155" xr:uid="{43443EC9-C73E-4EE1-A48E-0386104E7742}"/>
    <cellStyle name="60% - Accent6 3 25" xfId="36045" xr:uid="{7A1A7D02-C625-4DEF-9F36-7CC6549223A7}"/>
    <cellStyle name="60% - Accent6 3 26" xfId="37935" xr:uid="{11ABC87B-35A2-4B6F-A197-A60FB171E27A}"/>
    <cellStyle name="60% - Accent6 3 27" xfId="39826" xr:uid="{1502D443-238F-46B1-9D92-88E43BBA064A}"/>
    <cellStyle name="60% - Accent6 3 3" xfId="345" xr:uid="{187CC6E7-9EAE-4D1F-8790-900805503153}"/>
    <cellStyle name="60% - Accent6 3 3 10" xfId="13575" xr:uid="{99ABABCC-C3D9-4DB0-B16F-259541F2F1A0}"/>
    <cellStyle name="60% - Accent6 3 3 11" xfId="15465" xr:uid="{0FFC25C1-FBF1-4F71-9A1E-98CFCB4F2EE4}"/>
    <cellStyle name="60% - Accent6 3 3 12" xfId="17355" xr:uid="{C3590F89-1F69-4EB4-846B-04D03BB57D45}"/>
    <cellStyle name="60% - Accent6 3 3 13" xfId="19245" xr:uid="{BA5A745A-9370-4A32-9FB6-5F85B00D1591}"/>
    <cellStyle name="60% - Accent6 3 3 14" xfId="21135" xr:uid="{8F4E8F3C-968C-46E0-9669-39F9CFFBEBCF}"/>
    <cellStyle name="60% - Accent6 3 3 15" xfId="23025" xr:uid="{2E201815-6B60-45BB-BDE9-E948795A6BDA}"/>
    <cellStyle name="60% - Accent6 3 3 16" xfId="24915" xr:uid="{310ADB30-1942-4484-94DD-98C7FA703679}"/>
    <cellStyle name="60% - Accent6 3 3 17" xfId="26805" xr:uid="{923BDF0A-65AA-493D-BEB7-659EF9AF830B}"/>
    <cellStyle name="60% - Accent6 3 3 18" xfId="28695" xr:uid="{3FC34C42-E87E-4993-A34E-9A1B138C83FA}"/>
    <cellStyle name="60% - Accent6 3 3 19" xfId="30585" xr:uid="{CDDDB572-ECD3-44F3-A8FB-62AC1892E970}"/>
    <cellStyle name="60% - Accent6 3 3 2" xfId="975" xr:uid="{08FED867-4ED4-42CB-A132-600457EC5396}"/>
    <cellStyle name="60% - Accent6 3 3 2 10" xfId="17985" xr:uid="{06131FFC-AEAC-4CA4-B95D-F4E279A55D85}"/>
    <cellStyle name="60% - Accent6 3 3 2 11" xfId="19875" xr:uid="{93AEBFDC-7146-4D28-9BD2-F5C389E5759D}"/>
    <cellStyle name="60% - Accent6 3 3 2 12" xfId="21765" xr:uid="{90B7D324-9E91-42DD-B5A4-8CC7B0FF2491}"/>
    <cellStyle name="60% - Accent6 3 3 2 13" xfId="23655" xr:uid="{A8642B12-A30D-43AC-B193-BB516D01B8CC}"/>
    <cellStyle name="60% - Accent6 3 3 2 14" xfId="25545" xr:uid="{50569575-6678-4B76-BEF0-63D311B24600}"/>
    <cellStyle name="60% - Accent6 3 3 2 15" xfId="27435" xr:uid="{FAB989EB-3306-48B8-950C-44BEF3F2E0D9}"/>
    <cellStyle name="60% - Accent6 3 3 2 16" xfId="29325" xr:uid="{8B846EAE-E109-46B3-9E59-67FB825C3E5F}"/>
    <cellStyle name="60% - Accent6 3 3 2 17" xfId="31215" xr:uid="{07F18012-9F3A-426F-AD1E-C8A140F7EFD4}"/>
    <cellStyle name="60% - Accent6 3 3 2 18" xfId="33105" xr:uid="{8B5FC7DB-E82A-4D4C-83A4-0D42ACCCC232}"/>
    <cellStyle name="60% - Accent6 3 3 2 19" xfId="34995" xr:uid="{1F10BED0-9E4F-4E76-B0DF-D05502E77366}"/>
    <cellStyle name="60% - Accent6 3 3 2 2" xfId="2865" xr:uid="{0259CC4E-06B9-4B57-9D62-D03DDB74202D}"/>
    <cellStyle name="60% - Accent6 3 3 2 20" xfId="36885" xr:uid="{9B8B9132-2977-48A9-A8B7-E4BF25DBF424}"/>
    <cellStyle name="60% - Accent6 3 3 2 21" xfId="38775" xr:uid="{DF6C1925-A666-45BF-ABF7-E675E2985436}"/>
    <cellStyle name="60% - Accent6 3 3 2 22" xfId="40666" xr:uid="{FCE03667-4A90-4291-BFBD-21E37E6E5965}"/>
    <cellStyle name="60% - Accent6 3 3 2 3" xfId="4755" xr:uid="{1D86C37B-A8E2-4F2E-9DFC-C173ECB5F2CE}"/>
    <cellStyle name="60% - Accent6 3 3 2 4" xfId="6645" xr:uid="{1443316E-1268-4B25-A242-0AC6A812948A}"/>
    <cellStyle name="60% - Accent6 3 3 2 5" xfId="8535" xr:uid="{C2D545BA-0F75-42FB-8685-CD6AA3286CB2}"/>
    <cellStyle name="60% - Accent6 3 3 2 6" xfId="10425" xr:uid="{DF9F69A5-4271-4B7B-B3FB-4CC7E9C7E84F}"/>
    <cellStyle name="60% - Accent6 3 3 2 7" xfId="12315" xr:uid="{41C08A2B-C179-4039-9899-79C251656F0C}"/>
    <cellStyle name="60% - Accent6 3 3 2 8" xfId="14205" xr:uid="{22D1AE97-2F13-4BEF-BD8A-AB44DAF82384}"/>
    <cellStyle name="60% - Accent6 3 3 2 9" xfId="16095" xr:uid="{33B9A342-DDBA-4305-BCE8-3250D3E8020B}"/>
    <cellStyle name="60% - Accent6 3 3 20" xfId="32475" xr:uid="{AE6A1F13-4913-45D3-82B1-DCFA14C8E89A}"/>
    <cellStyle name="60% - Accent6 3 3 21" xfId="34365" xr:uid="{9E677CD7-4EE4-48EE-A825-240C2A01891D}"/>
    <cellStyle name="60% - Accent6 3 3 22" xfId="36255" xr:uid="{2ABF3452-E251-4FA4-9AEA-897B91089888}"/>
    <cellStyle name="60% - Accent6 3 3 23" xfId="38145" xr:uid="{779AA582-BFFC-4641-A7BD-881FD849AA29}"/>
    <cellStyle name="60% - Accent6 3 3 24" xfId="40036" xr:uid="{C81180F8-2B89-45C1-994C-0F4577D6FAAB}"/>
    <cellStyle name="60% - Accent6 3 3 3" xfId="1605" xr:uid="{95A50DAA-81BE-4834-AD25-3C8C218BBA57}"/>
    <cellStyle name="60% - Accent6 3 3 3 10" xfId="18615" xr:uid="{BB7144F0-502C-4C2A-B13F-2E4FFB469CB8}"/>
    <cellStyle name="60% - Accent6 3 3 3 11" xfId="20505" xr:uid="{FE3B0447-9B2A-4063-B71F-854A869ED787}"/>
    <cellStyle name="60% - Accent6 3 3 3 12" xfId="22395" xr:uid="{B87BEAE7-4176-4DE3-9EB9-F1CCF968AF6F}"/>
    <cellStyle name="60% - Accent6 3 3 3 13" xfId="24285" xr:uid="{63230851-429A-4C70-9563-0A5CA6321764}"/>
    <cellStyle name="60% - Accent6 3 3 3 14" xfId="26175" xr:uid="{358FCF21-4039-48EB-A669-15DA83F12DC9}"/>
    <cellStyle name="60% - Accent6 3 3 3 15" xfId="28065" xr:uid="{BD6966F5-2611-4620-AF01-185767367CFF}"/>
    <cellStyle name="60% - Accent6 3 3 3 16" xfId="29955" xr:uid="{A849AA7B-F845-45BD-AD0A-046A8A711F0B}"/>
    <cellStyle name="60% - Accent6 3 3 3 17" xfId="31845" xr:uid="{8E26C319-371D-436F-A9A6-BE88F98490EF}"/>
    <cellStyle name="60% - Accent6 3 3 3 18" xfId="33735" xr:uid="{143EB5E4-4F96-48C2-8732-68D21FA795C6}"/>
    <cellStyle name="60% - Accent6 3 3 3 19" xfId="35625" xr:uid="{3A4565B8-6B4A-4431-85F3-C04E63F1C0EC}"/>
    <cellStyle name="60% - Accent6 3 3 3 2" xfId="3495" xr:uid="{3CB23BF7-CC72-4998-8608-E2DDD6C8536E}"/>
    <cellStyle name="60% - Accent6 3 3 3 20" xfId="37515" xr:uid="{99D5D9C8-DFEA-4013-931A-6855F4CA6095}"/>
    <cellStyle name="60% - Accent6 3 3 3 21" xfId="39405" xr:uid="{8F836193-DF66-4CC0-970E-DB2DCFA1025B}"/>
    <cellStyle name="60% - Accent6 3 3 3 22" xfId="41296" xr:uid="{D329FB27-6CF0-487F-9F65-1D781B8A0730}"/>
    <cellStyle name="60% - Accent6 3 3 3 3" xfId="5385" xr:uid="{AA0F5D90-37FB-402B-A663-6E49DDB9DC2E}"/>
    <cellStyle name="60% - Accent6 3 3 3 4" xfId="7275" xr:uid="{C0C3821E-7E43-4D48-BFB7-BAAF894B3E9F}"/>
    <cellStyle name="60% - Accent6 3 3 3 5" xfId="9165" xr:uid="{37FA2E22-D8BD-48C2-A3E3-F26A363A60C1}"/>
    <cellStyle name="60% - Accent6 3 3 3 6" xfId="11055" xr:uid="{9667E81D-591D-4F06-AED1-11A546C1844A}"/>
    <cellStyle name="60% - Accent6 3 3 3 7" xfId="12945" xr:uid="{35B73BB8-CA05-49F4-914A-EEB56C1772B6}"/>
    <cellStyle name="60% - Accent6 3 3 3 8" xfId="14835" xr:uid="{AE933188-EE06-48D0-A622-861A656FDAA3}"/>
    <cellStyle name="60% - Accent6 3 3 3 9" xfId="16725" xr:uid="{99B0EE14-16E2-4013-9D64-A186222D5682}"/>
    <cellStyle name="60% - Accent6 3 3 4" xfId="2235" xr:uid="{FE40FB38-8ED9-4DD1-B5AA-82312B846B44}"/>
    <cellStyle name="60% - Accent6 3 3 5" xfId="4125" xr:uid="{4410B253-4877-4A13-A67C-09639DE55217}"/>
    <cellStyle name="60% - Accent6 3 3 6" xfId="6015" xr:uid="{FF01D3EE-BA4E-488F-AC17-0D4E68062433}"/>
    <cellStyle name="60% - Accent6 3 3 7" xfId="7905" xr:uid="{0571EB19-60DA-44A7-AA76-77A78F477358}"/>
    <cellStyle name="60% - Accent6 3 3 8" xfId="9795" xr:uid="{C8AD44CD-EB16-48DD-A049-CF74BF5419D1}"/>
    <cellStyle name="60% - Accent6 3 3 9" xfId="11685" xr:uid="{EF54091A-975F-4F1E-B3E5-ABE3BB4599EB}"/>
    <cellStyle name="60% - Accent6 3 4" xfId="555" xr:uid="{DA06BE6B-684F-40F5-B8F4-7149FFF69E97}"/>
    <cellStyle name="60% - Accent6 3 4 10" xfId="13785" xr:uid="{16BCD44D-21BA-4EAB-96D8-82F84607E926}"/>
    <cellStyle name="60% - Accent6 3 4 11" xfId="15675" xr:uid="{513E0F7B-54B3-490D-92FF-33032189C8D5}"/>
    <cellStyle name="60% - Accent6 3 4 12" xfId="17565" xr:uid="{34BF3284-3697-4163-84EF-BB1F4AE7E2D7}"/>
    <cellStyle name="60% - Accent6 3 4 13" xfId="19455" xr:uid="{A7CF371E-57CF-4381-9B18-390A9372F822}"/>
    <cellStyle name="60% - Accent6 3 4 14" xfId="21345" xr:uid="{067966E7-3F24-47A6-AC3A-F06796DF5311}"/>
    <cellStyle name="60% - Accent6 3 4 15" xfId="23235" xr:uid="{BF10FD9D-FFDA-4E70-8D52-90DCA473331B}"/>
    <cellStyle name="60% - Accent6 3 4 16" xfId="25125" xr:uid="{C03AE378-B4EE-46F5-A1C7-0BF3FDE17B49}"/>
    <cellStyle name="60% - Accent6 3 4 17" xfId="27015" xr:uid="{8D203566-716E-4E35-A571-3A893C59CDCB}"/>
    <cellStyle name="60% - Accent6 3 4 18" xfId="28905" xr:uid="{B00F6BFB-D504-4BAD-9DD0-2726DD5E9A27}"/>
    <cellStyle name="60% - Accent6 3 4 19" xfId="30795" xr:uid="{6B9DC1AB-09DF-49B7-A6D2-6F52F445D558}"/>
    <cellStyle name="60% - Accent6 3 4 2" xfId="1185" xr:uid="{37F62C08-C3EA-4350-812A-D4F6429265D9}"/>
    <cellStyle name="60% - Accent6 3 4 2 10" xfId="18195" xr:uid="{65C55DA2-2F87-42F6-830C-4FD7AD1A922C}"/>
    <cellStyle name="60% - Accent6 3 4 2 11" xfId="20085" xr:uid="{960F12AE-A3C8-4CAB-82C8-DC0F56A3C0F9}"/>
    <cellStyle name="60% - Accent6 3 4 2 12" xfId="21975" xr:uid="{67E8EA92-2B60-475D-B10E-59A666529B97}"/>
    <cellStyle name="60% - Accent6 3 4 2 13" xfId="23865" xr:uid="{30BE6A84-7941-43CE-87AD-79D6C8B615EE}"/>
    <cellStyle name="60% - Accent6 3 4 2 14" xfId="25755" xr:uid="{4B3441A2-6356-4AB5-80DE-800317DF4B96}"/>
    <cellStyle name="60% - Accent6 3 4 2 15" xfId="27645" xr:uid="{C86BA6DB-C955-4E74-8EF2-A0AAC8315190}"/>
    <cellStyle name="60% - Accent6 3 4 2 16" xfId="29535" xr:uid="{BCF61324-7CC0-4958-B941-02379CDAF879}"/>
    <cellStyle name="60% - Accent6 3 4 2 17" xfId="31425" xr:uid="{A0658491-C4F4-45AE-A2A2-5A0D5C0693A3}"/>
    <cellStyle name="60% - Accent6 3 4 2 18" xfId="33315" xr:uid="{0BA103E0-D645-49CB-8CBD-B28E38820E08}"/>
    <cellStyle name="60% - Accent6 3 4 2 19" xfId="35205" xr:uid="{54A3AE7D-705E-49E3-A907-9BE942EC73AF}"/>
    <cellStyle name="60% - Accent6 3 4 2 2" xfId="3075" xr:uid="{51D3D3A5-B743-4D7F-A74C-3EE6B177ED04}"/>
    <cellStyle name="60% - Accent6 3 4 2 20" xfId="37095" xr:uid="{FE8FF192-41CC-4B1D-8455-5B6BC9BD8C8F}"/>
    <cellStyle name="60% - Accent6 3 4 2 21" xfId="38985" xr:uid="{5C796D40-FB49-48FE-B180-CC3E786CA907}"/>
    <cellStyle name="60% - Accent6 3 4 2 22" xfId="40876" xr:uid="{45B8AA5F-8D04-4264-B64F-B067423E7C94}"/>
    <cellStyle name="60% - Accent6 3 4 2 3" xfId="4965" xr:uid="{80175B09-8730-499A-9102-9DA584755655}"/>
    <cellStyle name="60% - Accent6 3 4 2 4" xfId="6855" xr:uid="{B86244FA-1142-437B-ACEC-0B9B19D4390F}"/>
    <cellStyle name="60% - Accent6 3 4 2 5" xfId="8745" xr:uid="{837A5231-80A7-4922-9745-A4FD852A3B5A}"/>
    <cellStyle name="60% - Accent6 3 4 2 6" xfId="10635" xr:uid="{962F40F5-081E-428D-99E7-CBDFAF443340}"/>
    <cellStyle name="60% - Accent6 3 4 2 7" xfId="12525" xr:uid="{31FA12CF-FF7E-4358-9B0D-667D23D6CC45}"/>
    <cellStyle name="60% - Accent6 3 4 2 8" xfId="14415" xr:uid="{628515E5-DD4A-4751-982A-FB97AE0DBE6A}"/>
    <cellStyle name="60% - Accent6 3 4 2 9" xfId="16305" xr:uid="{1A496772-1A37-4597-9063-74D5680AF04B}"/>
    <cellStyle name="60% - Accent6 3 4 20" xfId="32685" xr:uid="{D6F8D9F3-4B3D-4F7B-92E2-D52CEC7089A2}"/>
    <cellStyle name="60% - Accent6 3 4 21" xfId="34575" xr:uid="{32776093-128A-490B-B397-534C890CAB41}"/>
    <cellStyle name="60% - Accent6 3 4 22" xfId="36465" xr:uid="{56E81382-D957-4C58-BBE6-AB5F9C52BCEC}"/>
    <cellStyle name="60% - Accent6 3 4 23" xfId="38355" xr:uid="{F1670055-4238-4350-9A0A-BB863B63099F}"/>
    <cellStyle name="60% - Accent6 3 4 24" xfId="40246" xr:uid="{8B7726F7-9D3E-4BE8-BB13-2AEE18656BD4}"/>
    <cellStyle name="60% - Accent6 3 4 3" xfId="1815" xr:uid="{B908B604-C54C-4D42-A5E5-4CE4514D98C8}"/>
    <cellStyle name="60% - Accent6 3 4 3 10" xfId="18825" xr:uid="{68BC4EC1-BBDF-459E-8148-0D942B253274}"/>
    <cellStyle name="60% - Accent6 3 4 3 11" xfId="20715" xr:uid="{4208D8C7-C126-4930-AEF8-97DDE2338583}"/>
    <cellStyle name="60% - Accent6 3 4 3 12" xfId="22605" xr:uid="{E76B41B1-1EF3-4E9B-81FC-E409E5BED16B}"/>
    <cellStyle name="60% - Accent6 3 4 3 13" xfId="24495" xr:uid="{1FE2DFB5-6BB0-48A2-9C82-B8299677E72F}"/>
    <cellStyle name="60% - Accent6 3 4 3 14" xfId="26385" xr:uid="{D60C70B1-7914-4E77-A110-3422142C1CA2}"/>
    <cellStyle name="60% - Accent6 3 4 3 15" xfId="28275" xr:uid="{3AC779D0-3090-4A35-81B6-715E86883FE0}"/>
    <cellStyle name="60% - Accent6 3 4 3 16" xfId="30165" xr:uid="{472C4194-1520-4BAF-A74A-D5E67D049F81}"/>
    <cellStyle name="60% - Accent6 3 4 3 17" xfId="32055" xr:uid="{1F001637-1D0C-417A-B8D6-BA201EA433FF}"/>
    <cellStyle name="60% - Accent6 3 4 3 18" xfId="33945" xr:uid="{89B53CEE-0498-4635-98BB-5BC4C10EBDA4}"/>
    <cellStyle name="60% - Accent6 3 4 3 19" xfId="35835" xr:uid="{11A777F6-CF61-4E96-950D-392DF8456C25}"/>
    <cellStyle name="60% - Accent6 3 4 3 2" xfId="3705" xr:uid="{358AE299-8DC1-4DAB-97BB-D3130F5D5373}"/>
    <cellStyle name="60% - Accent6 3 4 3 20" xfId="37725" xr:uid="{9B2BA006-E695-47FA-8626-7EC3875F0C06}"/>
    <cellStyle name="60% - Accent6 3 4 3 21" xfId="39615" xr:uid="{EE4397EC-EB30-43D1-9478-95A198F12508}"/>
    <cellStyle name="60% - Accent6 3 4 3 22" xfId="41506" xr:uid="{FB8B0928-30DA-4599-B2DC-2F074638AE86}"/>
    <cellStyle name="60% - Accent6 3 4 3 3" xfId="5595" xr:uid="{88DE013A-1EE9-4566-BF86-9935F0A20BAF}"/>
    <cellStyle name="60% - Accent6 3 4 3 4" xfId="7485" xr:uid="{9B4CAC1A-FA08-4B14-9E43-A0F145ABD89E}"/>
    <cellStyle name="60% - Accent6 3 4 3 5" xfId="9375" xr:uid="{C313C33B-C8E9-4592-BB9A-3F63F01AD369}"/>
    <cellStyle name="60% - Accent6 3 4 3 6" xfId="11265" xr:uid="{AEDBCB78-1CFD-4AB3-BF19-369DE7DB44CE}"/>
    <cellStyle name="60% - Accent6 3 4 3 7" xfId="13155" xr:uid="{05A15BF8-A273-41C1-8B5F-7C12EBE0B68D}"/>
    <cellStyle name="60% - Accent6 3 4 3 8" xfId="15045" xr:uid="{B4A43FF0-D648-4D00-9516-8F71633020BC}"/>
    <cellStyle name="60% - Accent6 3 4 3 9" xfId="16935" xr:uid="{80012877-201F-4F16-9B03-A4E3D92BC7A0}"/>
    <cellStyle name="60% - Accent6 3 4 4" xfId="2445" xr:uid="{E305E0FB-A402-4628-B585-EAF7321789F4}"/>
    <cellStyle name="60% - Accent6 3 4 5" xfId="4335" xr:uid="{F8DD9518-0C9A-475D-A13F-581FE81058F6}"/>
    <cellStyle name="60% - Accent6 3 4 6" xfId="6225" xr:uid="{AC2F87FA-AC65-4EA1-A1FF-19058B1689D7}"/>
    <cellStyle name="60% - Accent6 3 4 7" xfId="8115" xr:uid="{2D14FF50-A264-41F4-99D4-60F64C715E21}"/>
    <cellStyle name="60% - Accent6 3 4 8" xfId="10005" xr:uid="{4DACD47A-E047-4B8B-B55F-F32040F809AF}"/>
    <cellStyle name="60% - Accent6 3 4 9" xfId="11895" xr:uid="{7D203962-3FB6-44DE-BB82-3CB28705A9BB}"/>
    <cellStyle name="60% - Accent6 3 5" xfId="765" xr:uid="{44728CA3-5772-4601-96B2-14FF452D1EBA}"/>
    <cellStyle name="60% - Accent6 3 5 10" xfId="17775" xr:uid="{E1D9CC31-3C7C-4986-9D65-AE22E5A011D6}"/>
    <cellStyle name="60% - Accent6 3 5 11" xfId="19665" xr:uid="{BE51734E-6B65-435D-BBED-9AD1EAE02658}"/>
    <cellStyle name="60% - Accent6 3 5 12" xfId="21555" xr:uid="{2ADFA2DC-2A8B-4920-B97B-F6050EC5410E}"/>
    <cellStyle name="60% - Accent6 3 5 13" xfId="23445" xr:uid="{3D92E0F0-C9E9-4A74-A868-BB358EE37881}"/>
    <cellStyle name="60% - Accent6 3 5 14" xfId="25335" xr:uid="{A50D9D0A-8F7F-4561-AD55-AA691FF8C7FA}"/>
    <cellStyle name="60% - Accent6 3 5 15" xfId="27225" xr:uid="{65981CD0-069D-45C1-8EB9-1194877517F5}"/>
    <cellStyle name="60% - Accent6 3 5 16" xfId="29115" xr:uid="{6C26F10F-8DE5-4499-A636-597464014F67}"/>
    <cellStyle name="60% - Accent6 3 5 17" xfId="31005" xr:uid="{5A35242D-77FE-4AC2-901B-0272BF4D9070}"/>
    <cellStyle name="60% - Accent6 3 5 18" xfId="32895" xr:uid="{F993D370-051D-426F-8225-B6295F4D4E8B}"/>
    <cellStyle name="60% - Accent6 3 5 19" xfId="34785" xr:uid="{7B50F5B3-8E5E-4039-9D6C-2D7FA7DDDB32}"/>
    <cellStyle name="60% - Accent6 3 5 2" xfId="2655" xr:uid="{5CA66A2B-713B-4DB3-8EC1-EFAB2749A4DE}"/>
    <cellStyle name="60% - Accent6 3 5 20" xfId="36675" xr:uid="{BDD447F6-43E6-4195-8578-6AE37272651E}"/>
    <cellStyle name="60% - Accent6 3 5 21" xfId="38565" xr:uid="{946011A6-E750-4FDF-9E85-E0D34C22A495}"/>
    <cellStyle name="60% - Accent6 3 5 22" xfId="40456" xr:uid="{2D7A1542-BBDF-4E83-9E79-7E5B5E6080C4}"/>
    <cellStyle name="60% - Accent6 3 5 3" xfId="4545" xr:uid="{B99C6CA9-2708-49FB-877B-B3BA518975F2}"/>
    <cellStyle name="60% - Accent6 3 5 4" xfId="6435" xr:uid="{F9F0A820-1824-460D-AF3D-C0B64405F55D}"/>
    <cellStyle name="60% - Accent6 3 5 5" xfId="8325" xr:uid="{1122018B-4C11-407B-B0FD-644CC77268E5}"/>
    <cellStyle name="60% - Accent6 3 5 6" xfId="10215" xr:uid="{111E738C-993B-434F-A9A4-C34DFA8C13CE}"/>
    <cellStyle name="60% - Accent6 3 5 7" xfId="12105" xr:uid="{E8F76C20-AB0B-4ECF-9A98-DFCB1F36D70F}"/>
    <cellStyle name="60% - Accent6 3 5 8" xfId="13995" xr:uid="{81B2F310-D05E-4F5F-BBC2-7A693776B04B}"/>
    <cellStyle name="60% - Accent6 3 5 9" xfId="15885" xr:uid="{791382E8-809D-483C-BED2-7406A0BB04B6}"/>
    <cellStyle name="60% - Accent6 3 6" xfId="1395" xr:uid="{28FDE150-58D3-4197-B2A3-F49BA604B9C5}"/>
    <cellStyle name="60% - Accent6 3 6 10" xfId="18405" xr:uid="{8BC37035-8DC8-4B64-B326-5D332D6C1A5A}"/>
    <cellStyle name="60% - Accent6 3 6 11" xfId="20295" xr:uid="{F66D94E9-6A05-4A00-9758-3C75A21D6323}"/>
    <cellStyle name="60% - Accent6 3 6 12" xfId="22185" xr:uid="{5A8B42B9-4691-4C67-A1E0-ACCA7935D115}"/>
    <cellStyle name="60% - Accent6 3 6 13" xfId="24075" xr:uid="{E4EE8CF2-E4B5-4F34-86BC-0246C0ADDE4A}"/>
    <cellStyle name="60% - Accent6 3 6 14" xfId="25965" xr:uid="{8CAC0C10-59FB-4C0D-B5E9-105419D37D34}"/>
    <cellStyle name="60% - Accent6 3 6 15" xfId="27855" xr:uid="{4A325950-D19D-43EC-9FC4-8B866FF21F95}"/>
    <cellStyle name="60% - Accent6 3 6 16" xfId="29745" xr:uid="{7D9D2BE3-A603-4947-92A1-9D502164C7F4}"/>
    <cellStyle name="60% - Accent6 3 6 17" xfId="31635" xr:uid="{CABF5FC0-4589-41FC-A2D2-79749528A9FF}"/>
    <cellStyle name="60% - Accent6 3 6 18" xfId="33525" xr:uid="{ECC122C8-60AC-4DA1-804A-BCE7F9EA6035}"/>
    <cellStyle name="60% - Accent6 3 6 19" xfId="35415" xr:uid="{AB209459-CC77-4CFA-BADC-29CF0D4564C3}"/>
    <cellStyle name="60% - Accent6 3 6 2" xfId="3285" xr:uid="{48777963-FC49-48CE-83C2-D2688BE8509D}"/>
    <cellStyle name="60% - Accent6 3 6 20" xfId="37305" xr:uid="{5A87C0D4-3314-4DD3-9539-51FD98758EE5}"/>
    <cellStyle name="60% - Accent6 3 6 21" xfId="39195" xr:uid="{DC2BC7B9-19A1-45E0-B923-FB0E812DCE50}"/>
    <cellStyle name="60% - Accent6 3 6 22" xfId="41086" xr:uid="{4A27B186-9B47-4B53-B378-53658D021A8F}"/>
    <cellStyle name="60% - Accent6 3 6 3" xfId="5175" xr:uid="{42DD2F28-3A64-4487-9B68-AEF0A88987BB}"/>
    <cellStyle name="60% - Accent6 3 6 4" xfId="7065" xr:uid="{1390B093-20C8-4360-8E4D-34BDA828627F}"/>
    <cellStyle name="60% - Accent6 3 6 5" xfId="8955" xr:uid="{F985209F-1A19-4355-9911-9196E06B3ECF}"/>
    <cellStyle name="60% - Accent6 3 6 6" xfId="10845" xr:uid="{1755D468-DC1D-4CC0-9950-DA4F3C44F39F}"/>
    <cellStyle name="60% - Accent6 3 6 7" xfId="12735" xr:uid="{00C8587F-4934-4D56-BD2A-6978A48D3FCE}"/>
    <cellStyle name="60% - Accent6 3 6 8" xfId="14625" xr:uid="{0E99F032-9353-460F-BAAF-474EE27D18C1}"/>
    <cellStyle name="60% - Accent6 3 6 9" xfId="16515" xr:uid="{21C4416A-2A43-4510-9EF0-264E07FC6331}"/>
    <cellStyle name="60% - Accent6 3 7" xfId="2025" xr:uid="{272B1D1E-465F-49FF-A753-E5F4E6E241B9}"/>
    <cellStyle name="60% - Accent6 3 8" xfId="3915" xr:uid="{A492D91E-F81C-4AC0-9EBB-D8298BDFEB84}"/>
    <cellStyle name="60% - Accent6 3 9" xfId="5805" xr:uid="{C6713F75-EA25-4AAB-A87A-3A8B4CF45095}"/>
    <cellStyle name="60% - Accent6 4" xfId="198" xr:uid="{735A7323-8C37-461D-846E-C0BB44CF5D64}"/>
    <cellStyle name="60% - Accent6 4 10" xfId="9648" xr:uid="{7375CA3E-4AF3-49E8-BDBC-8AAB5787971F}"/>
    <cellStyle name="60% - Accent6 4 11" xfId="11538" xr:uid="{BFD50FB9-7659-4CA8-BDFB-D39D51B89A3A}"/>
    <cellStyle name="60% - Accent6 4 12" xfId="13428" xr:uid="{03B897C1-831E-45BD-8919-10A062D865BF}"/>
    <cellStyle name="60% - Accent6 4 13" xfId="15318" xr:uid="{CDC80D3B-E014-42CE-9FF4-D6D29C6825E0}"/>
    <cellStyle name="60% - Accent6 4 14" xfId="17208" xr:uid="{4718F2D5-3945-4C27-88CB-D27EFE3DBA49}"/>
    <cellStyle name="60% - Accent6 4 15" xfId="19098" xr:uid="{76B0721E-C8AB-483F-B92A-C41F3505EDF1}"/>
    <cellStyle name="60% - Accent6 4 16" xfId="20988" xr:uid="{69731A88-8DC7-44F5-B471-E98B5B4D0E3C}"/>
    <cellStyle name="60% - Accent6 4 17" xfId="22878" xr:uid="{DE21F7F7-DF58-4865-9913-0C1A7FAB4C3C}"/>
    <cellStyle name="60% - Accent6 4 18" xfId="24768" xr:uid="{6590F822-1FE1-4800-9A23-BA69672A327C}"/>
    <cellStyle name="60% - Accent6 4 19" xfId="26658" xr:uid="{5BFAEC65-22B6-487C-82D6-88B6764E998F}"/>
    <cellStyle name="60% - Accent6 4 2" xfId="408" xr:uid="{7C7DF119-0288-4AA0-8B2B-368B7AD578B0}"/>
    <cellStyle name="60% - Accent6 4 2 10" xfId="13638" xr:uid="{72A9A68C-2354-495C-9652-03B5C31EA332}"/>
    <cellStyle name="60% - Accent6 4 2 11" xfId="15528" xr:uid="{C371FB16-AEC2-4E8C-B0C5-51DDC9C02FB8}"/>
    <cellStyle name="60% - Accent6 4 2 12" xfId="17418" xr:uid="{021D6267-96B8-4102-8714-06259530D362}"/>
    <cellStyle name="60% - Accent6 4 2 13" xfId="19308" xr:uid="{6EDA2F97-5347-480A-8827-681A537E7481}"/>
    <cellStyle name="60% - Accent6 4 2 14" xfId="21198" xr:uid="{5D4D17DB-ABBC-45B6-8C01-14AB3619C9D0}"/>
    <cellStyle name="60% - Accent6 4 2 15" xfId="23088" xr:uid="{96335681-BFD4-48EE-877E-D456B9DB8CCD}"/>
    <cellStyle name="60% - Accent6 4 2 16" xfId="24978" xr:uid="{1C2D3C34-1021-43E3-A0C9-7F0B94D0DDC1}"/>
    <cellStyle name="60% - Accent6 4 2 17" xfId="26868" xr:uid="{3A383056-CD01-4D5E-99DE-626E0AE182C7}"/>
    <cellStyle name="60% - Accent6 4 2 18" xfId="28758" xr:uid="{089D4502-832F-4771-A115-52058AFE1D0F}"/>
    <cellStyle name="60% - Accent6 4 2 19" xfId="30648" xr:uid="{0858B3DD-464C-4C53-AB1E-4658D9F5ED41}"/>
    <cellStyle name="60% - Accent6 4 2 2" xfId="1038" xr:uid="{24E2C09B-9DC7-47C0-8094-08C03E7FB17E}"/>
    <cellStyle name="60% - Accent6 4 2 2 10" xfId="18048" xr:uid="{570DAE5F-0C99-4067-8268-5E6B32C292FA}"/>
    <cellStyle name="60% - Accent6 4 2 2 11" xfId="19938" xr:uid="{5E05C92E-54C7-4D9A-A648-445B7562409A}"/>
    <cellStyle name="60% - Accent6 4 2 2 12" xfId="21828" xr:uid="{55BDD7CE-8BEA-49E8-9CB8-946D7CAD36B3}"/>
    <cellStyle name="60% - Accent6 4 2 2 13" xfId="23718" xr:uid="{D363DFB4-A3CB-4CEF-B4E4-841422189546}"/>
    <cellStyle name="60% - Accent6 4 2 2 14" xfId="25608" xr:uid="{75227D8A-C117-424C-A6DB-29051ABB3F20}"/>
    <cellStyle name="60% - Accent6 4 2 2 15" xfId="27498" xr:uid="{9B9138DA-E3EF-49C7-AA4C-08EEA65B6E7E}"/>
    <cellStyle name="60% - Accent6 4 2 2 16" xfId="29388" xr:uid="{D9E83D52-2987-4C85-ABE4-93D2DA3F0311}"/>
    <cellStyle name="60% - Accent6 4 2 2 17" xfId="31278" xr:uid="{0C74E88C-83AB-4C50-92E5-AD68BBF22790}"/>
    <cellStyle name="60% - Accent6 4 2 2 18" xfId="33168" xr:uid="{51B0FC74-D17B-4594-9964-D0A92E0AF4DF}"/>
    <cellStyle name="60% - Accent6 4 2 2 19" xfId="35058" xr:uid="{A07924D5-D3D5-4C4D-A081-E19A6CCEFA82}"/>
    <cellStyle name="60% - Accent6 4 2 2 2" xfId="2928" xr:uid="{CBEB8F3B-9F3E-4EA5-9094-FCC1AEDC0F39}"/>
    <cellStyle name="60% - Accent6 4 2 2 20" xfId="36948" xr:uid="{3B321C00-ADE7-41FE-B344-FA9741DC51ED}"/>
    <cellStyle name="60% - Accent6 4 2 2 21" xfId="38838" xr:uid="{063397EA-B667-4CDD-BD99-A88942A55344}"/>
    <cellStyle name="60% - Accent6 4 2 2 22" xfId="40729" xr:uid="{FEF26B45-F74E-43AC-B23B-C5835B3B7F30}"/>
    <cellStyle name="60% - Accent6 4 2 2 3" xfId="4818" xr:uid="{E33AF5C3-1321-445D-B9C1-DCE53C9A34AB}"/>
    <cellStyle name="60% - Accent6 4 2 2 4" xfId="6708" xr:uid="{5D13346B-C8AB-47E2-8CCB-E3DFC39BD872}"/>
    <cellStyle name="60% - Accent6 4 2 2 5" xfId="8598" xr:uid="{4E222FA5-0799-4BA2-9744-40A765E7A223}"/>
    <cellStyle name="60% - Accent6 4 2 2 6" xfId="10488" xr:uid="{0DC8F3DC-C820-4760-B5A5-3834330469DA}"/>
    <cellStyle name="60% - Accent6 4 2 2 7" xfId="12378" xr:uid="{3A33A344-FFE8-4DA5-9E68-0E5DF6948CFF}"/>
    <cellStyle name="60% - Accent6 4 2 2 8" xfId="14268" xr:uid="{6AF00110-4DD5-4FF9-803D-091869B633BE}"/>
    <cellStyle name="60% - Accent6 4 2 2 9" xfId="16158" xr:uid="{E410DCE1-0A36-48A8-8DD6-9AE91B898C6F}"/>
    <cellStyle name="60% - Accent6 4 2 20" xfId="32538" xr:uid="{0221F993-DE67-4936-96E2-E83314AC3E5E}"/>
    <cellStyle name="60% - Accent6 4 2 21" xfId="34428" xr:uid="{CB6B28C9-1323-46EB-9F7B-0AE1AD11A43C}"/>
    <cellStyle name="60% - Accent6 4 2 22" xfId="36318" xr:uid="{EE27F6FC-AE4C-4D5C-B247-2AFF5C30EC16}"/>
    <cellStyle name="60% - Accent6 4 2 23" xfId="38208" xr:uid="{D14705DE-C550-489E-902E-AB419FCA62EF}"/>
    <cellStyle name="60% - Accent6 4 2 24" xfId="40099" xr:uid="{0647C0C5-4FD6-44F0-9C3C-36A4E7DA97F8}"/>
    <cellStyle name="60% - Accent6 4 2 3" xfId="1668" xr:uid="{C51287F8-C6B5-422D-A70D-B19A046CF4A9}"/>
    <cellStyle name="60% - Accent6 4 2 3 10" xfId="18678" xr:uid="{977C4DF2-0E4C-426E-A49D-349FEA4F3130}"/>
    <cellStyle name="60% - Accent6 4 2 3 11" xfId="20568" xr:uid="{1BA1A6B2-987C-4324-B3AD-0357FD4FA6A3}"/>
    <cellStyle name="60% - Accent6 4 2 3 12" xfId="22458" xr:uid="{CA880FAA-5C07-4B59-862B-BD13ED1ACED1}"/>
    <cellStyle name="60% - Accent6 4 2 3 13" xfId="24348" xr:uid="{79634313-29E4-4C00-9626-960FB98A92FE}"/>
    <cellStyle name="60% - Accent6 4 2 3 14" xfId="26238" xr:uid="{F7A0E1A8-36DD-4497-9AC0-D85EECDEB3EF}"/>
    <cellStyle name="60% - Accent6 4 2 3 15" xfId="28128" xr:uid="{8CC6B78B-F5C3-405A-B0FF-CB431DD49723}"/>
    <cellStyle name="60% - Accent6 4 2 3 16" xfId="30018" xr:uid="{D9C1B3E0-EEF3-4EAE-AA36-E9AAA41ACD0B}"/>
    <cellStyle name="60% - Accent6 4 2 3 17" xfId="31908" xr:uid="{B74864CC-8B93-4537-89F7-5E4CBA767A25}"/>
    <cellStyle name="60% - Accent6 4 2 3 18" xfId="33798" xr:uid="{F7813923-46CF-4965-9FA1-A467943F4183}"/>
    <cellStyle name="60% - Accent6 4 2 3 19" xfId="35688" xr:uid="{BAAC83B3-5A55-4EC2-B54A-0FDA667B5F4D}"/>
    <cellStyle name="60% - Accent6 4 2 3 2" xfId="3558" xr:uid="{4516656E-B183-4581-B5C6-B424E0A68CCC}"/>
    <cellStyle name="60% - Accent6 4 2 3 20" xfId="37578" xr:uid="{32C1A53B-82DB-4D49-B1F1-E7BB14EA6AC4}"/>
    <cellStyle name="60% - Accent6 4 2 3 21" xfId="39468" xr:uid="{7843D2F1-EEEF-430C-8841-EC40EE687D95}"/>
    <cellStyle name="60% - Accent6 4 2 3 22" xfId="41359" xr:uid="{320CDBB1-1B63-4084-A45D-C3A4D29D2876}"/>
    <cellStyle name="60% - Accent6 4 2 3 3" xfId="5448" xr:uid="{1B08F192-76E7-47D4-938B-8C095879A2C8}"/>
    <cellStyle name="60% - Accent6 4 2 3 4" xfId="7338" xr:uid="{2F6B41C8-C991-45C1-8196-AFAA37DCF4EB}"/>
    <cellStyle name="60% - Accent6 4 2 3 5" xfId="9228" xr:uid="{3AF75370-196F-44D4-A316-9AD329536093}"/>
    <cellStyle name="60% - Accent6 4 2 3 6" xfId="11118" xr:uid="{F6556F10-A927-49E3-9FD9-75BC2CA46008}"/>
    <cellStyle name="60% - Accent6 4 2 3 7" xfId="13008" xr:uid="{4C083600-47C0-4C89-B539-28DD3CD5FC16}"/>
    <cellStyle name="60% - Accent6 4 2 3 8" xfId="14898" xr:uid="{7599C48C-2652-42AA-8406-D2C071E00980}"/>
    <cellStyle name="60% - Accent6 4 2 3 9" xfId="16788" xr:uid="{8FBBAF90-7C42-4414-A646-7AF4FC08D585}"/>
    <cellStyle name="60% - Accent6 4 2 4" xfId="2298" xr:uid="{0FB250CB-A5BA-4271-AF27-DEE47C0D8FD3}"/>
    <cellStyle name="60% - Accent6 4 2 5" xfId="4188" xr:uid="{CDE1EFBF-FD92-4C3D-9E29-BF1E07193FDA}"/>
    <cellStyle name="60% - Accent6 4 2 6" xfId="6078" xr:uid="{4D344E2D-3061-4AED-960C-34996EC1976E}"/>
    <cellStyle name="60% - Accent6 4 2 7" xfId="7968" xr:uid="{90813DF0-49DA-4CA3-8D3E-BB0C1E3AA209}"/>
    <cellStyle name="60% - Accent6 4 2 8" xfId="9858" xr:uid="{485E6AD2-B446-4036-A467-3A5D118F2135}"/>
    <cellStyle name="60% - Accent6 4 2 9" xfId="11748" xr:uid="{D38BB0E6-5891-42BC-8E60-0BDBEA03FA9A}"/>
    <cellStyle name="60% - Accent6 4 20" xfId="28548" xr:uid="{5374695E-3BEE-4C8A-B9A3-5F293B3B5183}"/>
    <cellStyle name="60% - Accent6 4 21" xfId="30438" xr:uid="{4E9FAA5B-710A-44AD-A0A9-63192E14E4D2}"/>
    <cellStyle name="60% - Accent6 4 22" xfId="32328" xr:uid="{6A52D0BD-2DBE-496C-B011-95FAA1EDB3F2}"/>
    <cellStyle name="60% - Accent6 4 23" xfId="34218" xr:uid="{4E169F6C-5CA0-44F4-8D09-51F678013C27}"/>
    <cellStyle name="60% - Accent6 4 24" xfId="36108" xr:uid="{47B5A3D7-AF14-43A8-8BBC-4A5B613FA9E3}"/>
    <cellStyle name="60% - Accent6 4 25" xfId="37998" xr:uid="{C8A9EC70-980A-4C1E-A84E-3EE632792528}"/>
    <cellStyle name="60% - Accent6 4 26" xfId="39889" xr:uid="{2097C9DA-C71D-454B-B9EA-50677DFB3B9B}"/>
    <cellStyle name="60% - Accent6 4 3" xfId="618" xr:uid="{3CF4B1CE-2424-4E04-B352-D49259CF5AF8}"/>
    <cellStyle name="60% - Accent6 4 3 10" xfId="13848" xr:uid="{B812B583-12CC-43EC-884E-7FECA5D30A74}"/>
    <cellStyle name="60% - Accent6 4 3 11" xfId="15738" xr:uid="{A2A320AB-696A-42C3-969C-44250B0B00A7}"/>
    <cellStyle name="60% - Accent6 4 3 12" xfId="17628" xr:uid="{2A6857F0-0823-4B4F-A349-4068DAEFDEED}"/>
    <cellStyle name="60% - Accent6 4 3 13" xfId="19518" xr:uid="{58F8AAAA-B178-48CD-93E5-C502445F8A24}"/>
    <cellStyle name="60% - Accent6 4 3 14" xfId="21408" xr:uid="{51648E8E-9B59-4A01-A297-FC657655B7B0}"/>
    <cellStyle name="60% - Accent6 4 3 15" xfId="23298" xr:uid="{546D07AB-7A37-45A8-8AEC-91C0F9A686AE}"/>
    <cellStyle name="60% - Accent6 4 3 16" xfId="25188" xr:uid="{B93F415F-25ED-4BBC-8449-A6099C18109C}"/>
    <cellStyle name="60% - Accent6 4 3 17" xfId="27078" xr:uid="{D91691ED-BBF4-4A6C-897E-8DD96B58C716}"/>
    <cellStyle name="60% - Accent6 4 3 18" xfId="28968" xr:uid="{7D12D69A-F5EE-47C0-8015-6E91543DDDBE}"/>
    <cellStyle name="60% - Accent6 4 3 19" xfId="30858" xr:uid="{16C02756-D95D-4981-8771-23E6B63FBCC7}"/>
    <cellStyle name="60% - Accent6 4 3 2" xfId="1248" xr:uid="{A1D76BD8-72C2-4E79-97CC-3342BE439B43}"/>
    <cellStyle name="60% - Accent6 4 3 2 10" xfId="18258" xr:uid="{6ACCFEF1-C9ED-41AD-A157-1357849D9AB7}"/>
    <cellStyle name="60% - Accent6 4 3 2 11" xfId="20148" xr:uid="{4D7BE1AD-6B44-40C0-9859-0964B7ACFE7E}"/>
    <cellStyle name="60% - Accent6 4 3 2 12" xfId="22038" xr:uid="{B1F06726-FC1B-4CF0-8912-996724E12A57}"/>
    <cellStyle name="60% - Accent6 4 3 2 13" xfId="23928" xr:uid="{B27D46A9-86F2-417E-9B35-5A62F94E103D}"/>
    <cellStyle name="60% - Accent6 4 3 2 14" xfId="25818" xr:uid="{2BC474F2-B2E5-4E1F-96D8-A1DC27FA2909}"/>
    <cellStyle name="60% - Accent6 4 3 2 15" xfId="27708" xr:uid="{79A7ADC0-2ADB-4540-8526-C9593014780C}"/>
    <cellStyle name="60% - Accent6 4 3 2 16" xfId="29598" xr:uid="{FD87B3A1-B7EF-469A-AD5A-1D49C43E1205}"/>
    <cellStyle name="60% - Accent6 4 3 2 17" xfId="31488" xr:uid="{D29AAADA-98EC-4B49-8551-3E7F5DF18498}"/>
    <cellStyle name="60% - Accent6 4 3 2 18" xfId="33378" xr:uid="{1119DF0B-FBF1-4872-8B1B-C0C2EEF48349}"/>
    <cellStyle name="60% - Accent6 4 3 2 19" xfId="35268" xr:uid="{A459BED3-0BE3-4067-A6FD-FF57FB200648}"/>
    <cellStyle name="60% - Accent6 4 3 2 2" xfId="3138" xr:uid="{BDFEAE69-9CAC-4D54-9131-7B6941F6CCE5}"/>
    <cellStyle name="60% - Accent6 4 3 2 20" xfId="37158" xr:uid="{0F707A49-1699-4831-8A5C-C9BF77176383}"/>
    <cellStyle name="60% - Accent6 4 3 2 21" xfId="39048" xr:uid="{BC750DAD-206A-421C-B2DF-694D783AF269}"/>
    <cellStyle name="60% - Accent6 4 3 2 22" xfId="40939" xr:uid="{0A6D9926-2FEF-47EB-8BB4-586F26E191BD}"/>
    <cellStyle name="60% - Accent6 4 3 2 3" xfId="5028" xr:uid="{C8E5B0DE-AC63-4B11-83F2-237CE5430303}"/>
    <cellStyle name="60% - Accent6 4 3 2 4" xfId="6918" xr:uid="{28F16A36-18B1-4C73-AAF2-051512FB4066}"/>
    <cellStyle name="60% - Accent6 4 3 2 5" xfId="8808" xr:uid="{7EB79BCE-4DE6-4498-90EE-A47C6BD213C3}"/>
    <cellStyle name="60% - Accent6 4 3 2 6" xfId="10698" xr:uid="{8D4E9CF2-3D58-49C3-AF50-C6358E21332C}"/>
    <cellStyle name="60% - Accent6 4 3 2 7" xfId="12588" xr:uid="{D147E90C-6CCB-46BB-88D4-86DA22E23EDF}"/>
    <cellStyle name="60% - Accent6 4 3 2 8" xfId="14478" xr:uid="{2546BB92-00BA-4C23-9BD0-06A187CEF83C}"/>
    <cellStyle name="60% - Accent6 4 3 2 9" xfId="16368" xr:uid="{9A414970-DCEA-429A-8660-C42945BEE3BA}"/>
    <cellStyle name="60% - Accent6 4 3 20" xfId="32748" xr:uid="{2E7E85F3-D6B4-4A59-9D93-A4067C3E82E3}"/>
    <cellStyle name="60% - Accent6 4 3 21" xfId="34638" xr:uid="{1C5EE540-B10D-46D9-ABAC-8D70D7C766C3}"/>
    <cellStyle name="60% - Accent6 4 3 22" xfId="36528" xr:uid="{01776BA9-44D7-4FB2-9C03-F485F2D00366}"/>
    <cellStyle name="60% - Accent6 4 3 23" xfId="38418" xr:uid="{EE66F040-E801-4242-A9AF-66980B025B12}"/>
    <cellStyle name="60% - Accent6 4 3 24" xfId="40309" xr:uid="{479DE944-A9AD-4835-869C-7BE585010177}"/>
    <cellStyle name="60% - Accent6 4 3 3" xfId="1878" xr:uid="{3AB262C5-276B-43DE-B04B-89D4053D0A16}"/>
    <cellStyle name="60% - Accent6 4 3 3 10" xfId="18888" xr:uid="{BA6409C8-56C0-43D5-B35F-226D6A996A3A}"/>
    <cellStyle name="60% - Accent6 4 3 3 11" xfId="20778" xr:uid="{A8613ECF-EF34-4405-B1AA-D6DD87B44E90}"/>
    <cellStyle name="60% - Accent6 4 3 3 12" xfId="22668" xr:uid="{43E1DD08-A2A1-41E1-B50E-B018D28219BE}"/>
    <cellStyle name="60% - Accent6 4 3 3 13" xfId="24558" xr:uid="{47168506-CAD4-4449-B4E2-95D5F37F7B91}"/>
    <cellStyle name="60% - Accent6 4 3 3 14" xfId="26448" xr:uid="{A103930F-A54B-4E3F-BE2C-224C3997569B}"/>
    <cellStyle name="60% - Accent6 4 3 3 15" xfId="28338" xr:uid="{3A4F71C8-615D-4C75-AA2E-C6E9F53B0ED1}"/>
    <cellStyle name="60% - Accent6 4 3 3 16" xfId="30228" xr:uid="{026FF56C-D8A4-4C50-AABD-1E23FD96DF09}"/>
    <cellStyle name="60% - Accent6 4 3 3 17" xfId="32118" xr:uid="{41E296D6-CB37-41A2-A384-E5C000D63CAC}"/>
    <cellStyle name="60% - Accent6 4 3 3 18" xfId="34008" xr:uid="{80F97817-B667-4619-A9F4-A909E071EAE5}"/>
    <cellStyle name="60% - Accent6 4 3 3 19" xfId="35898" xr:uid="{EC93430C-9EAB-4898-959C-7597174DA1E8}"/>
    <cellStyle name="60% - Accent6 4 3 3 2" xfId="3768" xr:uid="{0C984F0B-2852-48C7-B716-AF97C5903752}"/>
    <cellStyle name="60% - Accent6 4 3 3 20" xfId="37788" xr:uid="{C6AEB566-659B-4211-A179-09DB735FAAEF}"/>
    <cellStyle name="60% - Accent6 4 3 3 21" xfId="39678" xr:uid="{11751B8F-D294-4ED9-AAE0-836D86694B8C}"/>
    <cellStyle name="60% - Accent6 4 3 3 22" xfId="41569" xr:uid="{887511EC-7FCD-44AF-BD5D-24A5135DBF10}"/>
    <cellStyle name="60% - Accent6 4 3 3 3" xfId="5658" xr:uid="{F8F29A1C-2BDA-4A40-9DAC-12868C075D7A}"/>
    <cellStyle name="60% - Accent6 4 3 3 4" xfId="7548" xr:uid="{69B3CC46-1A33-4D4C-BA74-28D605993121}"/>
    <cellStyle name="60% - Accent6 4 3 3 5" xfId="9438" xr:uid="{22923E73-D25C-493D-82F2-C4A0A6FC9D7E}"/>
    <cellStyle name="60% - Accent6 4 3 3 6" xfId="11328" xr:uid="{BCE560A2-CC1B-43E6-802D-90509A27A2FB}"/>
    <cellStyle name="60% - Accent6 4 3 3 7" xfId="13218" xr:uid="{4CCBEFDE-E8CB-413A-ABCA-A623E314B1CA}"/>
    <cellStyle name="60% - Accent6 4 3 3 8" xfId="15108" xr:uid="{56D41301-53F7-4B14-AA09-689CE0A4C2FC}"/>
    <cellStyle name="60% - Accent6 4 3 3 9" xfId="16998" xr:uid="{3939712C-C3AB-44F9-AA47-4F5A474F54AD}"/>
    <cellStyle name="60% - Accent6 4 3 4" xfId="2508" xr:uid="{714A271B-869E-4AF0-8D10-E37004F2CE11}"/>
    <cellStyle name="60% - Accent6 4 3 5" xfId="4398" xr:uid="{A7880D20-6B85-4801-95C4-E2935B050F10}"/>
    <cellStyle name="60% - Accent6 4 3 6" xfId="6288" xr:uid="{F3F8FB1B-A70B-486F-898C-3FD052AEB507}"/>
    <cellStyle name="60% - Accent6 4 3 7" xfId="8178" xr:uid="{ECA547B5-F1B3-4A57-BA7C-4B5461AB5E77}"/>
    <cellStyle name="60% - Accent6 4 3 8" xfId="10068" xr:uid="{8C6603BE-89F5-40E1-8C3E-80B0EF948265}"/>
    <cellStyle name="60% - Accent6 4 3 9" xfId="11958" xr:uid="{55A26A87-646F-4D2A-A8A2-D4DFEECFBB64}"/>
    <cellStyle name="60% - Accent6 4 4" xfId="828" xr:uid="{9E48AF76-33AE-45FD-9990-D70EF0252149}"/>
    <cellStyle name="60% - Accent6 4 4 10" xfId="17838" xr:uid="{AA5C692A-D46C-4D85-B9B5-4D0C392C5A03}"/>
    <cellStyle name="60% - Accent6 4 4 11" xfId="19728" xr:uid="{78F6EF85-1407-4F39-873B-072FE9125105}"/>
    <cellStyle name="60% - Accent6 4 4 12" xfId="21618" xr:uid="{D2121E49-E248-4C6B-BDD8-C47FE0081CFC}"/>
    <cellStyle name="60% - Accent6 4 4 13" xfId="23508" xr:uid="{6A8911A9-D9F3-4AE3-B2D4-5457032D686B}"/>
    <cellStyle name="60% - Accent6 4 4 14" xfId="25398" xr:uid="{94E4D49A-CF59-42FA-A613-975335A52224}"/>
    <cellStyle name="60% - Accent6 4 4 15" xfId="27288" xr:uid="{795BE662-DD4E-4553-90B0-357B6EA19F36}"/>
    <cellStyle name="60% - Accent6 4 4 16" xfId="29178" xr:uid="{AE3BC6A4-EB1E-47A3-8245-1CF10A0048E9}"/>
    <cellStyle name="60% - Accent6 4 4 17" xfId="31068" xr:uid="{831D8677-08B2-45B2-9573-CCC6071EB4B7}"/>
    <cellStyle name="60% - Accent6 4 4 18" xfId="32958" xr:uid="{90363693-676F-40AD-A7BD-51CCA339A170}"/>
    <cellStyle name="60% - Accent6 4 4 19" xfId="34848" xr:uid="{38DD89DF-0141-46CD-8BF1-1D351436A91A}"/>
    <cellStyle name="60% - Accent6 4 4 2" xfId="2718" xr:uid="{8EF921C2-B486-46B3-850D-89B319ECDC3A}"/>
    <cellStyle name="60% - Accent6 4 4 20" xfId="36738" xr:uid="{18D9AEFB-4B5F-4777-BC75-001FAA891161}"/>
    <cellStyle name="60% - Accent6 4 4 21" xfId="38628" xr:uid="{B4BA45B0-B0D7-44CC-B122-9ED6A325486B}"/>
    <cellStyle name="60% - Accent6 4 4 22" xfId="40519" xr:uid="{194D5865-16DB-4484-B8B1-654A82C68806}"/>
    <cellStyle name="60% - Accent6 4 4 3" xfId="4608" xr:uid="{5B98DA4A-0E31-429B-A928-8FB6FE8B9703}"/>
    <cellStyle name="60% - Accent6 4 4 4" xfId="6498" xr:uid="{A66448A6-6C72-482B-9F02-E851BA573CF7}"/>
    <cellStyle name="60% - Accent6 4 4 5" xfId="8388" xr:uid="{29A7302C-3532-423F-94A4-C2AF7E672DCC}"/>
    <cellStyle name="60% - Accent6 4 4 6" xfId="10278" xr:uid="{AB98252A-EFEA-4F50-A007-64C61AB2B03C}"/>
    <cellStyle name="60% - Accent6 4 4 7" xfId="12168" xr:uid="{4EA101AF-2746-4280-830C-201E94718DB6}"/>
    <cellStyle name="60% - Accent6 4 4 8" xfId="14058" xr:uid="{FF1BAB22-D2EB-4B58-9B9B-DB8B1E00E142}"/>
    <cellStyle name="60% - Accent6 4 4 9" xfId="15948" xr:uid="{CCBC5ABA-CF47-4E3C-B612-F60686BAF226}"/>
    <cellStyle name="60% - Accent6 4 5" xfId="1458" xr:uid="{8E56E4F3-6183-4489-A3B9-1AC07EEC6C2C}"/>
    <cellStyle name="60% - Accent6 4 5 10" xfId="18468" xr:uid="{394B905D-5AA0-464D-AF06-6AAF42E53036}"/>
    <cellStyle name="60% - Accent6 4 5 11" xfId="20358" xr:uid="{16E6E708-7ABE-42A4-BEB7-AEC42FE597A0}"/>
    <cellStyle name="60% - Accent6 4 5 12" xfId="22248" xr:uid="{D92E8232-5465-4319-AC9D-CC3F6AFFE5EF}"/>
    <cellStyle name="60% - Accent6 4 5 13" xfId="24138" xr:uid="{432F0D4A-CB5F-45F1-B9E3-4D41FA4C395E}"/>
    <cellStyle name="60% - Accent6 4 5 14" xfId="26028" xr:uid="{5F87B70A-0AB4-4A68-A0CF-168C76A8471F}"/>
    <cellStyle name="60% - Accent6 4 5 15" xfId="27918" xr:uid="{29AC7885-1672-44DD-B37E-8BDD66807102}"/>
    <cellStyle name="60% - Accent6 4 5 16" xfId="29808" xr:uid="{E49DE2DB-2EC0-43AA-BCE1-07D0560AB2ED}"/>
    <cellStyle name="60% - Accent6 4 5 17" xfId="31698" xr:uid="{0D073CC6-7AF7-4AAF-B576-9119D2B04A25}"/>
    <cellStyle name="60% - Accent6 4 5 18" xfId="33588" xr:uid="{877271B7-F81F-4F4C-BD2E-5B2414C71C4B}"/>
    <cellStyle name="60% - Accent6 4 5 19" xfId="35478" xr:uid="{489C8E68-D58A-4BE1-A3C9-07FE27730FF8}"/>
    <cellStyle name="60% - Accent6 4 5 2" xfId="3348" xr:uid="{307744B9-FBE7-4D12-8CBE-CD6C1796D03F}"/>
    <cellStyle name="60% - Accent6 4 5 20" xfId="37368" xr:uid="{D1FD4109-2C2B-40D3-A9FB-4A118D8AADB1}"/>
    <cellStyle name="60% - Accent6 4 5 21" xfId="39258" xr:uid="{97EFA8E2-B1EA-40D2-979A-33091B94FEC3}"/>
    <cellStyle name="60% - Accent6 4 5 22" xfId="41149" xr:uid="{C39E24B5-7C30-41A7-AF44-5B8337CE3E1D}"/>
    <cellStyle name="60% - Accent6 4 5 3" xfId="5238" xr:uid="{EDC9D461-544C-416A-BAC4-812340A5A3FC}"/>
    <cellStyle name="60% - Accent6 4 5 4" xfId="7128" xr:uid="{8031F485-EE63-4F98-8D0E-13EAD61A9FDB}"/>
    <cellStyle name="60% - Accent6 4 5 5" xfId="9018" xr:uid="{F8C2F6F6-D465-4A49-B006-22BC57899585}"/>
    <cellStyle name="60% - Accent6 4 5 6" xfId="10908" xr:uid="{CD6A186A-3CCC-4519-AE15-63090473C1D0}"/>
    <cellStyle name="60% - Accent6 4 5 7" xfId="12798" xr:uid="{9F004A86-1D9A-4DD6-BA07-78371996D318}"/>
    <cellStyle name="60% - Accent6 4 5 8" xfId="14688" xr:uid="{07205D44-A1CC-44CC-A9B8-6A62CDE1090A}"/>
    <cellStyle name="60% - Accent6 4 5 9" xfId="16578" xr:uid="{4753A5C5-58AA-4D32-9B60-4E9C39FB79A8}"/>
    <cellStyle name="60% - Accent6 4 6" xfId="2088" xr:uid="{9CADF01A-9406-4441-9772-C6E747126A32}"/>
    <cellStyle name="60% - Accent6 4 7" xfId="3978" xr:uid="{BFE596E1-3DD8-464E-AE02-777350F61BC8}"/>
    <cellStyle name="60% - Accent6 4 8" xfId="5868" xr:uid="{3BB40986-0780-4A60-9306-533ABA54ABE3}"/>
    <cellStyle name="60% - Accent6 4 9" xfId="7758" xr:uid="{C56C579F-DB5B-49FC-A785-23CB4E076B0B}"/>
    <cellStyle name="60% - Accent6 5" xfId="303" xr:uid="{155BB1EC-F0CD-4175-940B-F0FB2613098C}"/>
    <cellStyle name="60% - Accent6 5 10" xfId="13533" xr:uid="{DC94D1A7-A73D-4A1C-9311-DE138C23FE20}"/>
    <cellStyle name="60% - Accent6 5 11" xfId="15423" xr:uid="{C38735C9-5F63-46D2-AFDC-20FE22147BF2}"/>
    <cellStyle name="60% - Accent6 5 12" xfId="17313" xr:uid="{4FEA1894-3BBB-4C5E-81A0-C7B67CD72E08}"/>
    <cellStyle name="60% - Accent6 5 13" xfId="19203" xr:uid="{9B01ADBF-0499-4CD4-B6C8-644445FC5F9A}"/>
    <cellStyle name="60% - Accent6 5 14" xfId="21093" xr:uid="{413F9E31-5EEC-47D6-B8A3-AC22B37A0C88}"/>
    <cellStyle name="60% - Accent6 5 15" xfId="22983" xr:uid="{F21FD093-675A-4010-89AC-1595B0B47073}"/>
    <cellStyle name="60% - Accent6 5 16" xfId="24873" xr:uid="{D234012C-7B5D-4A1E-9B7D-0D11006851AE}"/>
    <cellStyle name="60% - Accent6 5 17" xfId="26763" xr:uid="{07CC3B4E-7668-4256-A7E3-D16F76B031B9}"/>
    <cellStyle name="60% - Accent6 5 18" xfId="28653" xr:uid="{60A4CAF2-A0A0-4C79-97CF-1DCDBAA0AAAF}"/>
    <cellStyle name="60% - Accent6 5 19" xfId="30543" xr:uid="{D51FBECE-4973-4A4D-B247-6012163F9123}"/>
    <cellStyle name="60% - Accent6 5 2" xfId="933" xr:uid="{88800DC7-B13D-4E11-B9C0-4E5F8F2980F3}"/>
    <cellStyle name="60% - Accent6 5 2 10" xfId="17943" xr:uid="{629B86B3-1FE5-4F74-B085-F76D4DDE3D93}"/>
    <cellStyle name="60% - Accent6 5 2 11" xfId="19833" xr:uid="{ED9C8F2A-DA99-4F19-BE1A-077F52B84A87}"/>
    <cellStyle name="60% - Accent6 5 2 12" xfId="21723" xr:uid="{42519CAC-7F23-41A1-908C-05077442D670}"/>
    <cellStyle name="60% - Accent6 5 2 13" xfId="23613" xr:uid="{C65CA084-6558-4FC7-AAEC-C40CC22B390B}"/>
    <cellStyle name="60% - Accent6 5 2 14" xfId="25503" xr:uid="{F72C6ABC-FC5C-49E1-A6C5-48C0F4649C67}"/>
    <cellStyle name="60% - Accent6 5 2 15" xfId="27393" xr:uid="{4CA1D90B-7029-4A9B-9F42-3994E57F2024}"/>
    <cellStyle name="60% - Accent6 5 2 16" xfId="29283" xr:uid="{D80F2BEC-FCE7-4E14-91C7-387A664029E5}"/>
    <cellStyle name="60% - Accent6 5 2 17" xfId="31173" xr:uid="{81E7A946-5E8F-41B1-8F64-6EFCC5C8E4EB}"/>
    <cellStyle name="60% - Accent6 5 2 18" xfId="33063" xr:uid="{D473023F-112A-4C0E-A58F-AFE5224A33B9}"/>
    <cellStyle name="60% - Accent6 5 2 19" xfId="34953" xr:uid="{B8AE569F-FACD-40BE-9911-6433011705D8}"/>
    <cellStyle name="60% - Accent6 5 2 2" xfId="2823" xr:uid="{2A962AFB-BFDB-4F1D-9AB1-02998038E21D}"/>
    <cellStyle name="60% - Accent6 5 2 20" xfId="36843" xr:uid="{15DC92E8-3402-480E-9DFA-C92994165AD5}"/>
    <cellStyle name="60% - Accent6 5 2 21" xfId="38733" xr:uid="{3ACB782F-5CE1-45E9-A097-5B1B24FD3635}"/>
    <cellStyle name="60% - Accent6 5 2 22" xfId="40624" xr:uid="{18C76C6C-223A-482A-98A0-FA88C7822C47}"/>
    <cellStyle name="60% - Accent6 5 2 3" xfId="4713" xr:uid="{F96CE958-4CB1-481F-A721-052A8EB1E099}"/>
    <cellStyle name="60% - Accent6 5 2 4" xfId="6603" xr:uid="{3668D1EA-E204-44DE-8424-4DEE0FCAE70B}"/>
    <cellStyle name="60% - Accent6 5 2 5" xfId="8493" xr:uid="{11F07F6C-A5B2-4665-8395-C0D978AB345F}"/>
    <cellStyle name="60% - Accent6 5 2 6" xfId="10383" xr:uid="{E9D5BED9-0594-47D4-AE94-CF3C3F9506F9}"/>
    <cellStyle name="60% - Accent6 5 2 7" xfId="12273" xr:uid="{20392612-1FF8-49FB-9497-262A6579D2AF}"/>
    <cellStyle name="60% - Accent6 5 2 8" xfId="14163" xr:uid="{B8C3F3E2-855B-421A-86F0-C1977B61B411}"/>
    <cellStyle name="60% - Accent6 5 2 9" xfId="16053" xr:uid="{F36A9A30-B98C-4421-8111-290B97B9DF39}"/>
    <cellStyle name="60% - Accent6 5 20" xfId="32433" xr:uid="{A8E8E293-000D-464A-8A83-16B8FA583B52}"/>
    <cellStyle name="60% - Accent6 5 21" xfId="34323" xr:uid="{A5501160-7022-4C6E-A164-A8B7E5EF984C}"/>
    <cellStyle name="60% - Accent6 5 22" xfId="36213" xr:uid="{045569F7-F2B6-4AEA-AA1B-D4D1963F6550}"/>
    <cellStyle name="60% - Accent6 5 23" xfId="38103" xr:uid="{529838DA-1D01-4506-BC1A-C12A8D943AC1}"/>
    <cellStyle name="60% - Accent6 5 24" xfId="39994" xr:uid="{60FB7C67-3107-420C-A30C-9C28DFBD00F1}"/>
    <cellStyle name="60% - Accent6 5 3" xfId="1563" xr:uid="{766803AD-EFAD-40ED-9556-4A99941054B0}"/>
    <cellStyle name="60% - Accent6 5 3 10" xfId="18573" xr:uid="{55BEC0D1-BCC3-4006-9F42-C5DA742245C1}"/>
    <cellStyle name="60% - Accent6 5 3 11" xfId="20463" xr:uid="{7BC29446-ECDD-4E02-91EE-A55289E6DA29}"/>
    <cellStyle name="60% - Accent6 5 3 12" xfId="22353" xr:uid="{7A5D0F34-4184-4732-BC27-0F87A531BA56}"/>
    <cellStyle name="60% - Accent6 5 3 13" xfId="24243" xr:uid="{4B2A486B-7181-41A8-945E-793CF693DA13}"/>
    <cellStyle name="60% - Accent6 5 3 14" xfId="26133" xr:uid="{7D48FD3E-CEF2-48E6-A055-ECC3522D5605}"/>
    <cellStyle name="60% - Accent6 5 3 15" xfId="28023" xr:uid="{706CA78C-D75B-47D7-A217-D5EE62087AF8}"/>
    <cellStyle name="60% - Accent6 5 3 16" xfId="29913" xr:uid="{6FE7DAFD-B11D-4209-A650-8AA00B439071}"/>
    <cellStyle name="60% - Accent6 5 3 17" xfId="31803" xr:uid="{CCE9941A-D930-4DCC-9ED1-F95F7D360052}"/>
    <cellStyle name="60% - Accent6 5 3 18" xfId="33693" xr:uid="{592637C5-53E0-40B5-8113-9BD22D7C221B}"/>
    <cellStyle name="60% - Accent6 5 3 19" xfId="35583" xr:uid="{213C6634-667E-4366-8D9F-BB9FB62E10FD}"/>
    <cellStyle name="60% - Accent6 5 3 2" xfId="3453" xr:uid="{D0555B37-E3F5-4599-886B-6EE8A427474E}"/>
    <cellStyle name="60% - Accent6 5 3 20" xfId="37473" xr:uid="{A0768FEA-048F-4F17-8BA0-795F08955DF9}"/>
    <cellStyle name="60% - Accent6 5 3 21" xfId="39363" xr:uid="{640EF999-249A-4347-B1A9-01B0F1316FFF}"/>
    <cellStyle name="60% - Accent6 5 3 22" xfId="41254" xr:uid="{5EFCB319-30FA-4A1C-A4D6-9869D84E64AF}"/>
    <cellStyle name="60% - Accent6 5 3 3" xfId="5343" xr:uid="{2CE30308-98F9-47FE-9A81-71ABBA7C5B8A}"/>
    <cellStyle name="60% - Accent6 5 3 4" xfId="7233" xr:uid="{DF9073AA-3D79-4AA6-8786-ED2BC7533808}"/>
    <cellStyle name="60% - Accent6 5 3 5" xfId="9123" xr:uid="{AEB85953-A8D7-48AC-92A9-293F60E7352C}"/>
    <cellStyle name="60% - Accent6 5 3 6" xfId="11013" xr:uid="{A7B80264-8E67-47C6-972A-00698777979C}"/>
    <cellStyle name="60% - Accent6 5 3 7" xfId="12903" xr:uid="{CF050FA0-4CFE-442B-9227-BA4E5E178781}"/>
    <cellStyle name="60% - Accent6 5 3 8" xfId="14793" xr:uid="{DDB7232E-0FE0-4F56-89D8-AA1C22F9884A}"/>
    <cellStyle name="60% - Accent6 5 3 9" xfId="16683" xr:uid="{FD800269-5543-4ED7-A339-FD8074B3E496}"/>
    <cellStyle name="60% - Accent6 5 4" xfId="2193" xr:uid="{3170EBA1-C7D4-4226-A935-C8EC82F0EA7E}"/>
    <cellStyle name="60% - Accent6 5 5" xfId="4083" xr:uid="{C6632F8F-301E-42DF-BDA8-B319F73B4B85}"/>
    <cellStyle name="60% - Accent6 5 6" xfId="5973" xr:uid="{88B03D17-C30E-4455-82AF-F310DE9C494A}"/>
    <cellStyle name="60% - Accent6 5 7" xfId="7863" xr:uid="{E64B6DCA-CFAD-4B0B-8B77-2EC0C1C65FD7}"/>
    <cellStyle name="60% - Accent6 5 8" xfId="9753" xr:uid="{AB89FD9C-1D1C-425E-A91C-A0D765B7E992}"/>
    <cellStyle name="60% - Accent6 5 9" xfId="11643" xr:uid="{DA8F02EF-588F-4723-99D4-74E918B7FCFF}"/>
    <cellStyle name="60% - Accent6 6" xfId="513" xr:uid="{715A8531-189C-4BAA-A639-851A23359580}"/>
    <cellStyle name="60% - Accent6 6 10" xfId="13743" xr:uid="{23BC2192-5604-4EB5-B93A-A2A73E18C458}"/>
    <cellStyle name="60% - Accent6 6 11" xfId="15633" xr:uid="{242FD797-87B3-4024-BA91-6A04B915D819}"/>
    <cellStyle name="60% - Accent6 6 12" xfId="17523" xr:uid="{0F3CAB6E-C48A-4FB5-9A6E-780D981B9D17}"/>
    <cellStyle name="60% - Accent6 6 13" xfId="19413" xr:uid="{C947CB2D-0AB2-40E9-A171-0FDF04B2B9CB}"/>
    <cellStyle name="60% - Accent6 6 14" xfId="21303" xr:uid="{6EDC786D-3F2B-49D2-B715-5DEE3FB44123}"/>
    <cellStyle name="60% - Accent6 6 15" xfId="23193" xr:uid="{BA3DC0C2-FFF9-4E43-948F-AB86194E816B}"/>
    <cellStyle name="60% - Accent6 6 16" xfId="25083" xr:uid="{2F1B43D4-C16E-4000-BB19-B12A2501C68E}"/>
    <cellStyle name="60% - Accent6 6 17" xfId="26973" xr:uid="{6C8C6B47-0C61-4303-81E0-38C5A3601814}"/>
    <cellStyle name="60% - Accent6 6 18" xfId="28863" xr:uid="{0DF1C7D2-5A7A-4A82-A35D-4E41AA8AAAF2}"/>
    <cellStyle name="60% - Accent6 6 19" xfId="30753" xr:uid="{6CB5EBB4-4885-4C4C-B58D-90D152015292}"/>
    <cellStyle name="60% - Accent6 6 2" xfId="1143" xr:uid="{D02B786B-764D-48CD-9CD3-3BE0FAAC6CF1}"/>
    <cellStyle name="60% - Accent6 6 2 10" xfId="18153" xr:uid="{911D0D45-2962-49DA-911F-B66C6025B82F}"/>
    <cellStyle name="60% - Accent6 6 2 11" xfId="20043" xr:uid="{9C5A3C69-DC8E-43FE-AA94-31E2CB1FD322}"/>
    <cellStyle name="60% - Accent6 6 2 12" xfId="21933" xr:uid="{A597758E-F98B-4CA0-B05C-13EDE7D95650}"/>
    <cellStyle name="60% - Accent6 6 2 13" xfId="23823" xr:uid="{9A3C4561-5167-467F-8DB8-89370219E51E}"/>
    <cellStyle name="60% - Accent6 6 2 14" xfId="25713" xr:uid="{F2466F3E-8125-4200-8165-8578A787D602}"/>
    <cellStyle name="60% - Accent6 6 2 15" xfId="27603" xr:uid="{E9B4448E-D92E-43F3-9C42-08A9ADC742F2}"/>
    <cellStyle name="60% - Accent6 6 2 16" xfId="29493" xr:uid="{29AA7AE8-FBB9-42AE-8A06-D8DE6A199E5D}"/>
    <cellStyle name="60% - Accent6 6 2 17" xfId="31383" xr:uid="{B8AF3C80-2713-4438-BA13-AE96E28A1B4E}"/>
    <cellStyle name="60% - Accent6 6 2 18" xfId="33273" xr:uid="{7A70F518-3555-482F-9312-0B5E0F0D3456}"/>
    <cellStyle name="60% - Accent6 6 2 19" xfId="35163" xr:uid="{F3B4F2D3-868C-455F-A25A-9DC3D19287F1}"/>
    <cellStyle name="60% - Accent6 6 2 2" xfId="3033" xr:uid="{E88497CC-D445-4EB7-8F67-4DB4F3A135AC}"/>
    <cellStyle name="60% - Accent6 6 2 20" xfId="37053" xr:uid="{30BBB704-C683-40AB-BFC1-F7D56599C749}"/>
    <cellStyle name="60% - Accent6 6 2 21" xfId="38943" xr:uid="{A368DC17-7C03-42A5-AD7A-015CE902D502}"/>
    <cellStyle name="60% - Accent6 6 2 22" xfId="40834" xr:uid="{4D992A4E-85E8-45B0-9AF0-280BCC4B97CB}"/>
    <cellStyle name="60% - Accent6 6 2 3" xfId="4923" xr:uid="{322E8865-A2BE-48F2-AB47-4C963F79629F}"/>
    <cellStyle name="60% - Accent6 6 2 4" xfId="6813" xr:uid="{963182C2-BCFA-4677-B8DC-26F81FDF56B6}"/>
    <cellStyle name="60% - Accent6 6 2 5" xfId="8703" xr:uid="{1C7FC14D-4B07-439F-B033-AEA63D27DD7C}"/>
    <cellStyle name="60% - Accent6 6 2 6" xfId="10593" xr:uid="{C062E684-854A-4F0A-ABE9-85AF75DE81AA}"/>
    <cellStyle name="60% - Accent6 6 2 7" xfId="12483" xr:uid="{01F06D63-798F-4E5C-B6D3-4AC81A34D686}"/>
    <cellStyle name="60% - Accent6 6 2 8" xfId="14373" xr:uid="{677FF428-C380-4D3A-8419-7EF2F5137D2C}"/>
    <cellStyle name="60% - Accent6 6 2 9" xfId="16263" xr:uid="{B995C359-6689-4F79-8BB4-F7701116DAE8}"/>
    <cellStyle name="60% - Accent6 6 20" xfId="32643" xr:uid="{AE997021-895C-4CC5-9474-E29FCCB8A36C}"/>
    <cellStyle name="60% - Accent6 6 21" xfId="34533" xr:uid="{35E20A72-8F35-4D5E-8901-270CF66D697D}"/>
    <cellStyle name="60% - Accent6 6 22" xfId="36423" xr:uid="{958F34FD-EC05-4B02-87D1-A488E35EF280}"/>
    <cellStyle name="60% - Accent6 6 23" xfId="38313" xr:uid="{85C8E34F-5465-4018-96A8-BBB319412A8F}"/>
    <cellStyle name="60% - Accent6 6 24" xfId="40204" xr:uid="{74F616B6-A2BF-44C1-8D03-D7CD9F4D7B3F}"/>
    <cellStyle name="60% - Accent6 6 3" xfId="1773" xr:uid="{76A67DC5-2F57-4F32-8020-D8EA13947CA2}"/>
    <cellStyle name="60% - Accent6 6 3 10" xfId="18783" xr:uid="{8717061F-9B47-46F7-A3F9-60634E1DA2E8}"/>
    <cellStyle name="60% - Accent6 6 3 11" xfId="20673" xr:uid="{007FAFE2-0166-4EA8-BF8B-651CDC908C55}"/>
    <cellStyle name="60% - Accent6 6 3 12" xfId="22563" xr:uid="{3BC77EE1-34B0-460E-8684-C37A5A0390E6}"/>
    <cellStyle name="60% - Accent6 6 3 13" xfId="24453" xr:uid="{865C33A6-12A8-4FAE-A17F-C134C1C81A8E}"/>
    <cellStyle name="60% - Accent6 6 3 14" xfId="26343" xr:uid="{DE3F82FC-8C92-490A-86B9-1CE639E25021}"/>
    <cellStyle name="60% - Accent6 6 3 15" xfId="28233" xr:uid="{15A4CB7A-79F6-4A39-A9E7-2219861699B7}"/>
    <cellStyle name="60% - Accent6 6 3 16" xfId="30123" xr:uid="{F23B727A-B6E9-464F-A734-09D30B5E7D86}"/>
    <cellStyle name="60% - Accent6 6 3 17" xfId="32013" xr:uid="{C9A67DD6-692C-4152-885E-824C5F19C70A}"/>
    <cellStyle name="60% - Accent6 6 3 18" xfId="33903" xr:uid="{4D299AF4-7936-4C4C-AA24-3500FDF22D35}"/>
    <cellStyle name="60% - Accent6 6 3 19" xfId="35793" xr:uid="{75058A06-8AA2-4BFF-90F7-A81B1DF4B1DB}"/>
    <cellStyle name="60% - Accent6 6 3 2" xfId="3663" xr:uid="{6305D137-A502-4DF7-A864-2B916186C44F}"/>
    <cellStyle name="60% - Accent6 6 3 20" xfId="37683" xr:uid="{D3A6A543-26FF-4EFB-9781-11A2792C713B}"/>
    <cellStyle name="60% - Accent6 6 3 21" xfId="39573" xr:uid="{58741B82-3FC5-4E07-8B93-2BCE7CA28382}"/>
    <cellStyle name="60% - Accent6 6 3 22" xfId="41464" xr:uid="{546D5793-577E-4325-84B5-4C2D2CFAF171}"/>
    <cellStyle name="60% - Accent6 6 3 3" xfId="5553" xr:uid="{765B68D2-EBFF-4A8F-BF17-F59948D026C0}"/>
    <cellStyle name="60% - Accent6 6 3 4" xfId="7443" xr:uid="{15A2A862-8AF2-4436-A40E-A9E70117D2DF}"/>
    <cellStyle name="60% - Accent6 6 3 5" xfId="9333" xr:uid="{74C891B8-99D6-4D6B-828E-3BA28B2DFF30}"/>
    <cellStyle name="60% - Accent6 6 3 6" xfId="11223" xr:uid="{48C6E2EC-1E6F-40CA-B1A5-AB225AB82C57}"/>
    <cellStyle name="60% - Accent6 6 3 7" xfId="13113" xr:uid="{4877F42B-14D6-4C9C-828A-5CB650BCCA63}"/>
    <cellStyle name="60% - Accent6 6 3 8" xfId="15003" xr:uid="{CDC67DF5-A1F2-4FEB-999B-8077C74E3E48}"/>
    <cellStyle name="60% - Accent6 6 3 9" xfId="16893" xr:uid="{0D231E3E-AC9B-4C77-A9CC-596A85FB577A}"/>
    <cellStyle name="60% - Accent6 6 4" xfId="2403" xr:uid="{1ABD4D12-782F-4817-8B07-D229908D729A}"/>
    <cellStyle name="60% - Accent6 6 5" xfId="4293" xr:uid="{529D2AA2-C9FB-4BAF-A1B4-49644A2CCBEB}"/>
    <cellStyle name="60% - Accent6 6 6" xfId="6183" xr:uid="{30E2721A-27B5-47F4-BA95-3777026EE288}"/>
    <cellStyle name="60% - Accent6 6 7" xfId="8073" xr:uid="{2641B806-4489-4399-9817-FAABE8B78EE7}"/>
    <cellStyle name="60% - Accent6 6 8" xfId="9963" xr:uid="{77308547-BD51-41BB-A61A-6A2FC9223641}"/>
    <cellStyle name="60% - Accent6 6 9" xfId="11853" xr:uid="{D9B25CE4-DF77-434F-9020-F67479A08765}"/>
    <cellStyle name="60% - Accent6 7" xfId="723" xr:uid="{E73EDF28-55AC-420F-A458-2B05FBD43900}"/>
    <cellStyle name="60% - Accent6 7 10" xfId="17733" xr:uid="{FAA5C4EE-A51A-46E0-94BB-A88EE585A6BC}"/>
    <cellStyle name="60% - Accent6 7 11" xfId="19623" xr:uid="{6D27F8C7-4BB9-42A4-A142-DB37C9DB2636}"/>
    <cellStyle name="60% - Accent6 7 12" xfId="21513" xr:uid="{9797B6B4-098B-4931-9621-5F3621BF240B}"/>
    <cellStyle name="60% - Accent6 7 13" xfId="23403" xr:uid="{928EF7C1-E40F-4BA4-A350-9CDA01941559}"/>
    <cellStyle name="60% - Accent6 7 14" xfId="25293" xr:uid="{E0FFCDB5-F660-42FB-B66E-A0F10C919EC7}"/>
    <cellStyle name="60% - Accent6 7 15" xfId="27183" xr:uid="{2A707E79-9C8C-4E50-A4BF-460430FDE1B3}"/>
    <cellStyle name="60% - Accent6 7 16" xfId="29073" xr:uid="{E758CDA1-550A-4AA7-8A81-A73EEB0E7848}"/>
    <cellStyle name="60% - Accent6 7 17" xfId="30963" xr:uid="{B5A5D569-1BEA-47C0-83D3-FB709435A483}"/>
    <cellStyle name="60% - Accent6 7 18" xfId="32853" xr:uid="{77172FB2-8763-4AA1-A86A-4BCEDF1EEA97}"/>
    <cellStyle name="60% - Accent6 7 19" xfId="34743" xr:uid="{E1E032D6-980B-4D1F-871E-A5EC997AE7B8}"/>
    <cellStyle name="60% - Accent6 7 2" xfId="2613" xr:uid="{E253180B-7233-4252-915D-C2028CB0B686}"/>
    <cellStyle name="60% - Accent6 7 20" xfId="36633" xr:uid="{B13EEA85-013C-4FA2-8392-CF0F3FAD17AD}"/>
    <cellStyle name="60% - Accent6 7 21" xfId="38523" xr:uid="{2F606469-3F24-4776-864E-0792419E0536}"/>
    <cellStyle name="60% - Accent6 7 22" xfId="40414" xr:uid="{47B39E92-4553-438B-BF72-1514042A40FB}"/>
    <cellStyle name="60% - Accent6 7 3" xfId="4503" xr:uid="{9AD6BE09-F635-40F4-9984-FBD5001A5186}"/>
    <cellStyle name="60% - Accent6 7 4" xfId="6393" xr:uid="{5C271DF2-D7CA-4F7C-B36F-0E263F4E7C91}"/>
    <cellStyle name="60% - Accent6 7 5" xfId="8283" xr:uid="{CC37FB56-B951-4B36-B63B-49AFA26A5CA5}"/>
    <cellStyle name="60% - Accent6 7 6" xfId="10173" xr:uid="{01A173EC-26C0-4816-A177-CD708BA803B0}"/>
    <cellStyle name="60% - Accent6 7 7" xfId="12063" xr:uid="{5D63F45A-AB71-44F8-A064-B61B70C84BFF}"/>
    <cellStyle name="60% - Accent6 7 8" xfId="13953" xr:uid="{B439CC6C-2D1C-499C-B8E4-1D09ACCBB1F7}"/>
    <cellStyle name="60% - Accent6 7 9" xfId="15843" xr:uid="{52FC3142-834F-4014-A830-4F8D3A9FC65F}"/>
    <cellStyle name="60% - Accent6 8" xfId="1353" xr:uid="{1BF7EC16-D084-4E37-9C5F-4276B632D41B}"/>
    <cellStyle name="60% - Accent6 8 10" xfId="18363" xr:uid="{FA9A86BD-0601-48B7-9FF6-EF1D6201D796}"/>
    <cellStyle name="60% - Accent6 8 11" xfId="20253" xr:uid="{6B869FEC-AFA6-447F-B5A8-F726AEBF3192}"/>
    <cellStyle name="60% - Accent6 8 12" xfId="22143" xr:uid="{51FF4106-72DE-4CF9-BE9D-AB7FEE2A0A27}"/>
    <cellStyle name="60% - Accent6 8 13" xfId="24033" xr:uid="{DC00FD95-B17E-48AE-934B-6A644CBDA31B}"/>
    <cellStyle name="60% - Accent6 8 14" xfId="25923" xr:uid="{241BDA11-F787-4AC8-9A03-E78CE2A55E1B}"/>
    <cellStyle name="60% - Accent6 8 15" xfId="27813" xr:uid="{355AE0C9-79B2-4956-9F25-D2305E0F3B83}"/>
    <cellStyle name="60% - Accent6 8 16" xfId="29703" xr:uid="{4A48E166-8B2A-4A65-9DDF-3F5BE665CD15}"/>
    <cellStyle name="60% - Accent6 8 17" xfId="31593" xr:uid="{8A973853-853D-41A8-AB5B-E411A4B3864D}"/>
    <cellStyle name="60% - Accent6 8 18" xfId="33483" xr:uid="{02E79C6C-001A-41B8-807E-AF5BB3E8F9E4}"/>
    <cellStyle name="60% - Accent6 8 19" xfId="35373" xr:uid="{D1489467-BFAD-46AE-8C51-E8E8F7880558}"/>
    <cellStyle name="60% - Accent6 8 2" xfId="3243" xr:uid="{E8869C09-0080-42A0-B027-22EF75571908}"/>
    <cellStyle name="60% - Accent6 8 20" xfId="37263" xr:uid="{7063ED37-12CE-429E-A4FD-683A5D53095C}"/>
    <cellStyle name="60% - Accent6 8 21" xfId="39153" xr:uid="{7269E978-33FA-4C97-8873-F75CB49A7757}"/>
    <cellStyle name="60% - Accent6 8 22" xfId="41044" xr:uid="{1306BF88-603B-45F9-9022-26419AD77727}"/>
    <cellStyle name="60% - Accent6 8 3" xfId="5133" xr:uid="{46F6EE9B-4CAF-41F6-A0D4-425765494A94}"/>
    <cellStyle name="60% - Accent6 8 4" xfId="7023" xr:uid="{8EBDD11E-A6D9-4412-819A-6A2C465627F9}"/>
    <cellStyle name="60% - Accent6 8 5" xfId="8913" xr:uid="{5B3A1777-130F-4CE2-9007-406CBC0C7127}"/>
    <cellStyle name="60% - Accent6 8 6" xfId="10803" xr:uid="{06486554-2992-4D50-BA83-B0EC297557A4}"/>
    <cellStyle name="60% - Accent6 8 7" xfId="12693" xr:uid="{4A10ACE4-FC81-4F15-BAC7-74F02328A779}"/>
    <cellStyle name="60% - Accent6 8 8" xfId="14583" xr:uid="{75ACFEC1-C127-497E-8D69-1F61A837F6D2}"/>
    <cellStyle name="60% - Accent6 8 9" xfId="16473" xr:uid="{DCBC4CC2-2A3E-4492-94B0-7946A43B4377}"/>
    <cellStyle name="60% - Accent6 9" xfId="1983" xr:uid="{FD4FDD1F-C6F2-46A4-AF83-FBC7C53936EE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661" xr:uid="{FBF76F88-79EA-4C78-BC2E-D5FDD27BDCA6}"/>
    <cellStyle name="Comma 10 10" xfId="17671" xr:uid="{9216A629-3429-4FB6-B958-739A4067198D}"/>
    <cellStyle name="Comma 10 11" xfId="19561" xr:uid="{B505090F-0603-4E6B-AA48-C1F68979C2E8}"/>
    <cellStyle name="Comma 10 12" xfId="21451" xr:uid="{89AE93BB-D5C4-4E29-B92F-F9626F2B4EE1}"/>
    <cellStyle name="Comma 10 13" xfId="23341" xr:uid="{33449C6A-26F4-4B48-AE7B-72CFD66DE93F}"/>
    <cellStyle name="Comma 10 14" xfId="25231" xr:uid="{FB6714A0-8448-42CB-851C-D6633B0F6100}"/>
    <cellStyle name="Comma 10 15" xfId="27121" xr:uid="{406E67B6-7554-4150-B238-056003F0FF17}"/>
    <cellStyle name="Comma 10 16" xfId="29011" xr:uid="{733E280F-116B-4CCE-8ACA-6483779EC44C}"/>
    <cellStyle name="Comma 10 17" xfId="30901" xr:uid="{935F112B-F65C-4262-8E46-76D75649F811}"/>
    <cellStyle name="Comma 10 18" xfId="32791" xr:uid="{6DC9BBF0-DCA9-4D05-86BF-9A255B484F1E}"/>
    <cellStyle name="Comma 10 19" xfId="34681" xr:uid="{ED9AC5BC-C451-48DE-B2B3-DB160C1BF68F}"/>
    <cellStyle name="Comma 10 2" xfId="2551" xr:uid="{9C26C13D-B3C6-4978-9A0A-7A27597B6D30}"/>
    <cellStyle name="Comma 10 20" xfId="36571" xr:uid="{CED9CE6B-A8AE-4078-B24B-E53B6E4BA62E}"/>
    <cellStyle name="Comma 10 21" xfId="38461" xr:uid="{D4E9516C-675B-4585-8C6E-7BBAF5632AED}"/>
    <cellStyle name="Comma 10 22" xfId="40352" xr:uid="{B13810F9-52C2-4C86-9B54-95F8A84DE41E}"/>
    <cellStyle name="Comma 10 3" xfId="4441" xr:uid="{80FBB06F-3D49-42CF-AE1D-F4C7B90704AB}"/>
    <cellStyle name="Comma 10 4" xfId="6331" xr:uid="{7FCD2D37-7A7C-4230-8342-E73F33CF360A}"/>
    <cellStyle name="Comma 10 5" xfId="8221" xr:uid="{BDF7562F-28EC-422D-8F4A-ADB3F63B9EC1}"/>
    <cellStyle name="Comma 10 6" xfId="10111" xr:uid="{04E0488D-2296-4B98-A9F1-C74C5C1BF85B}"/>
    <cellStyle name="Comma 10 7" xfId="12001" xr:uid="{2CE9E290-6882-479F-A8A8-D4E1E7F72325}"/>
    <cellStyle name="Comma 10 8" xfId="13891" xr:uid="{0A637A0D-AAA2-45FF-9EBA-1B7B750B7B29}"/>
    <cellStyle name="Comma 10 9" xfId="15781" xr:uid="{64E65E21-FE12-4B3B-AB25-69660569C1C1}"/>
    <cellStyle name="Comma 11" xfId="1291" xr:uid="{C411EE95-3BDE-479D-84DA-5109DD3B4689}"/>
    <cellStyle name="Comma 11 10" xfId="18301" xr:uid="{5F90C170-665D-4479-BDFF-7E42EE6F76EA}"/>
    <cellStyle name="Comma 11 11" xfId="20191" xr:uid="{47E73E80-4203-464A-8023-E5A1080ADF6A}"/>
    <cellStyle name="Comma 11 12" xfId="22081" xr:uid="{53E8C783-AA72-45E9-9E66-4574D50C005C}"/>
    <cellStyle name="Comma 11 13" xfId="23971" xr:uid="{CB9F02E8-8901-445D-9B53-393FAC33B4F7}"/>
    <cellStyle name="Comma 11 14" xfId="25861" xr:uid="{FF47ADEC-8B88-4AF5-8D09-EAD7F4051A66}"/>
    <cellStyle name="Comma 11 15" xfId="27751" xr:uid="{1797297B-7435-4E76-B1EA-C34239C9E394}"/>
    <cellStyle name="Comma 11 16" xfId="29641" xr:uid="{055FCB0D-D2B6-47E7-BCEF-A989F222B10D}"/>
    <cellStyle name="Comma 11 17" xfId="31531" xr:uid="{16F49971-9D0F-4F3C-96BF-1EAD875A55D0}"/>
    <cellStyle name="Comma 11 18" xfId="33421" xr:uid="{6397A915-8A5D-4DA9-B008-6AAA49B46548}"/>
    <cellStyle name="Comma 11 19" xfId="35311" xr:uid="{EA0F22E1-BC3C-4C74-9647-70A0B6FC28F3}"/>
    <cellStyle name="Comma 11 2" xfId="3181" xr:uid="{18EC2B73-6797-4D78-AB86-91851C420588}"/>
    <cellStyle name="Comma 11 20" xfId="37201" xr:uid="{417162CA-FD20-424A-A674-AAA12B3D22C2}"/>
    <cellStyle name="Comma 11 21" xfId="39091" xr:uid="{0D14949A-CF2E-4637-8B90-160219643786}"/>
    <cellStyle name="Comma 11 22" xfId="40982" xr:uid="{1954F8E5-212C-46E2-9A29-8B00855CC98D}"/>
    <cellStyle name="Comma 11 3" xfId="5071" xr:uid="{DF018EEF-0C84-4A49-87B2-7F13B8A4371F}"/>
    <cellStyle name="Comma 11 4" xfId="6961" xr:uid="{4DBF08C2-82CF-4DC5-A8D9-0C2BC2D855BF}"/>
    <cellStyle name="Comma 11 5" xfId="8851" xr:uid="{3CA27295-5F76-4F2C-B69B-FD83DAD9D224}"/>
    <cellStyle name="Comma 11 6" xfId="10741" xr:uid="{4092A937-7466-4938-8079-B75C9894D072}"/>
    <cellStyle name="Comma 11 7" xfId="12631" xr:uid="{A0CB08C2-C8B2-4372-9B96-7558B01BFDDD}"/>
    <cellStyle name="Comma 11 8" xfId="14521" xr:uid="{4BD2DB37-4BEE-4C3D-8A08-BAF9871E44ED}"/>
    <cellStyle name="Comma 11 9" xfId="16411" xr:uid="{EAB1C72A-AF8F-481A-ABCF-6FDE0800DCDF}"/>
    <cellStyle name="Comma 12" xfId="1921" xr:uid="{1D536C6A-5B41-4599-8974-B12F44ECD78B}"/>
    <cellStyle name="Comma 13" xfId="3811" xr:uid="{B76E9946-23C0-4E7E-8550-41DB3A08AE81}"/>
    <cellStyle name="Comma 14" xfId="5701" xr:uid="{B1CC10EC-91B2-458E-9B40-A2C2FFB3D8E1}"/>
    <cellStyle name="Comma 15" xfId="7591" xr:uid="{388AB762-CA1C-42DF-A871-9077B22B61E3}"/>
    <cellStyle name="Comma 16" xfId="9481" xr:uid="{1012EB51-4D1F-46B0-9094-94FB14DEA604}"/>
    <cellStyle name="Comma 17" xfId="11371" xr:uid="{EF92615F-465A-46AC-B08E-FD4E8F7463D4}"/>
    <cellStyle name="Comma 18" xfId="13261" xr:uid="{388874D6-8EB7-4266-8FFF-77D36F253DF4}"/>
    <cellStyle name="Comma 19" xfId="15151" xr:uid="{F5428829-C8C2-4DBA-BBDA-48C2F105CDA0}"/>
    <cellStyle name="Comma 2" xfId="4" xr:uid="{00000000-0005-0000-0000-000031000000}"/>
    <cellStyle name="Comma 2 10" xfId="1293" xr:uid="{FD78623C-CBEB-4BDC-AE1E-61DD7E13FA50}"/>
    <cellStyle name="Comma 2 10 10" xfId="18303" xr:uid="{3A10C044-83E9-4318-94B3-15E67CC65E88}"/>
    <cellStyle name="Comma 2 10 11" xfId="20193" xr:uid="{376F1F64-321F-482E-91A4-05077C84A4C0}"/>
    <cellStyle name="Comma 2 10 12" xfId="22083" xr:uid="{E314E510-3EA2-487A-9F78-8CF701FE4325}"/>
    <cellStyle name="Comma 2 10 13" xfId="23973" xr:uid="{E64952D2-08A2-4661-B806-39967AAD4E01}"/>
    <cellStyle name="Comma 2 10 14" xfId="25863" xr:uid="{0BB5918B-4236-42DA-84AA-A7F28785063A}"/>
    <cellStyle name="Comma 2 10 15" xfId="27753" xr:uid="{7515F6D0-11D8-4CA1-BF82-0321DB317B3A}"/>
    <cellStyle name="Comma 2 10 16" xfId="29643" xr:uid="{820FF27D-8351-433A-906A-F925CEC099B0}"/>
    <cellStyle name="Comma 2 10 17" xfId="31533" xr:uid="{5D7EB40B-22D6-4446-B7D9-B502D9A6F031}"/>
    <cellStyle name="Comma 2 10 18" xfId="33423" xr:uid="{3ACF8620-EF3F-4DCB-92A6-D9FAB5613798}"/>
    <cellStyle name="Comma 2 10 19" xfId="35313" xr:uid="{BAB76B21-6A26-4FB4-8F2C-2A67ABD8E26C}"/>
    <cellStyle name="Comma 2 10 2" xfId="3183" xr:uid="{F6C449FD-7EAB-4F8C-B94F-E940B51C4101}"/>
    <cellStyle name="Comma 2 10 20" xfId="37203" xr:uid="{BE20BF86-3775-4AA4-B3EF-26BB95447CC3}"/>
    <cellStyle name="Comma 2 10 21" xfId="39093" xr:uid="{EB72CB13-B9B6-4F4A-9432-AFB5990AE4B1}"/>
    <cellStyle name="Comma 2 10 22" xfId="40984" xr:uid="{5D8A39DE-CAFA-4172-93C1-21D108161E45}"/>
    <cellStyle name="Comma 2 10 3" xfId="5073" xr:uid="{D92B34A0-53AA-4338-AB7F-7D579338A35B}"/>
    <cellStyle name="Comma 2 10 4" xfId="6963" xr:uid="{E6EA1009-30D6-4DED-B0A5-5CEF9DE40E97}"/>
    <cellStyle name="Comma 2 10 5" xfId="8853" xr:uid="{0282D34C-733B-41DA-8B9E-398AD6089FD4}"/>
    <cellStyle name="Comma 2 10 6" xfId="10743" xr:uid="{19EB37A2-3C3C-4F68-856D-79BEC79EB8B0}"/>
    <cellStyle name="Comma 2 10 7" xfId="12633" xr:uid="{266773C5-B749-4AF3-805A-425D04EF8A4E}"/>
    <cellStyle name="Comma 2 10 8" xfId="14523" xr:uid="{5EF52630-49C5-48C0-B2AC-789040980A7C}"/>
    <cellStyle name="Comma 2 10 9" xfId="16413" xr:uid="{9A1826D8-43C1-4A04-B81C-B5165C78359D}"/>
    <cellStyle name="Comma 2 11" xfId="1923" xr:uid="{E0059438-E027-4CCD-9DE7-BF082BED3D54}"/>
    <cellStyle name="Comma 2 12" xfId="3813" xr:uid="{442EBCF4-A051-4248-9475-447ECC4801BD}"/>
    <cellStyle name="Comma 2 13" xfId="5703" xr:uid="{CEB81934-A17B-49BE-910A-4A2215CECF3F}"/>
    <cellStyle name="Comma 2 14" xfId="7593" xr:uid="{B365FDC9-A4CC-4FD7-A6B7-8E6CF9C76F7D}"/>
    <cellStyle name="Comma 2 15" xfId="9483" xr:uid="{70B04FDF-314B-403A-AA77-77C0BEBCBACA}"/>
    <cellStyle name="Comma 2 16" xfId="11373" xr:uid="{7FA0E5B0-0FEE-458F-BE2C-4C0258C94E70}"/>
    <cellStyle name="Comma 2 17" xfId="13263" xr:uid="{93046980-2751-4E9B-9D82-56B07BFE8061}"/>
    <cellStyle name="Comma 2 18" xfId="15153" xr:uid="{3BBC180F-5DFE-4192-93C3-5F49460E9896}"/>
    <cellStyle name="Comma 2 19" xfId="17043" xr:uid="{21D65D6B-3AF2-4B6F-BA6B-B6E78155B159}"/>
    <cellStyle name="Comma 2 2" xfId="24" xr:uid="{88F568ED-B87C-4CB3-B7B8-1B6E708184E7}"/>
    <cellStyle name="Comma 2 2 10" xfId="7606" xr:uid="{E3E62EC2-5B52-4BCD-84DF-D17D8CCA7E3F}"/>
    <cellStyle name="Comma 2 2 11" xfId="9496" xr:uid="{82B7AFA3-9A48-493E-AA38-441A96FF87C6}"/>
    <cellStyle name="Comma 2 2 12" xfId="11386" xr:uid="{202BFDB7-83B5-45E3-A938-F2B2AF85C708}"/>
    <cellStyle name="Comma 2 2 13" xfId="13276" xr:uid="{EC136DCC-CBCE-45C6-A0F2-054E3DD940FD}"/>
    <cellStyle name="Comma 2 2 14" xfId="15166" xr:uid="{D1537DC9-CC9B-4E9D-ACC5-DEF34C494087}"/>
    <cellStyle name="Comma 2 2 15" xfId="17056" xr:uid="{B55D0B1F-F535-4988-9FC8-45E17DEBDDCB}"/>
    <cellStyle name="Comma 2 2 16" xfId="18946" xr:uid="{EB024303-C0C2-4B77-A091-CC3A096ECF34}"/>
    <cellStyle name="Comma 2 2 17" xfId="20836" xr:uid="{EA7F6D8F-5567-4D96-B9C3-78C86662BADB}"/>
    <cellStyle name="Comma 2 2 18" xfId="22726" xr:uid="{3AAACD5F-8D93-46DB-86DB-EA4505B9CA5A}"/>
    <cellStyle name="Comma 2 2 19" xfId="24616" xr:uid="{84C54FEA-19FD-428D-9167-69BF8CAC676C}"/>
    <cellStyle name="Comma 2 2 2" xfId="151" xr:uid="{8EE7EB11-E6DD-47C0-A14D-A1FF407A7DAE}"/>
    <cellStyle name="Comma 2 2 2 10" xfId="9601" xr:uid="{A21E7D37-4B75-4C77-B39D-DB3DF41876B3}"/>
    <cellStyle name="Comma 2 2 2 11" xfId="11491" xr:uid="{4C496465-09CD-41CC-AB09-5306D19D6A4C}"/>
    <cellStyle name="Comma 2 2 2 12" xfId="13381" xr:uid="{EA2F4892-2EDF-4D28-BAC4-2B171B5CD72F}"/>
    <cellStyle name="Comma 2 2 2 13" xfId="15271" xr:uid="{20AD7976-3AD8-4949-BE77-2D24037ED88E}"/>
    <cellStyle name="Comma 2 2 2 14" xfId="17161" xr:uid="{DBAC39DE-3C85-40CE-BBF7-5B35F9A839A9}"/>
    <cellStyle name="Comma 2 2 2 15" xfId="19051" xr:uid="{21E9417F-DFD5-483D-A368-2CA3D6895349}"/>
    <cellStyle name="Comma 2 2 2 16" xfId="20941" xr:uid="{05583F7C-60F7-4E96-BC94-AFFD7159D4CE}"/>
    <cellStyle name="Comma 2 2 2 17" xfId="22831" xr:uid="{774EA503-3C62-4D44-8F01-207780AED000}"/>
    <cellStyle name="Comma 2 2 2 18" xfId="24721" xr:uid="{4044BEC7-E6EA-473A-B336-71F1B62F0621}"/>
    <cellStyle name="Comma 2 2 2 19" xfId="26611" xr:uid="{32B88FA6-7978-4177-8C19-36BE0D11D12E}"/>
    <cellStyle name="Comma 2 2 2 2" xfId="361" xr:uid="{170E908A-9AD2-42D2-8930-680F1EB90C8A}"/>
    <cellStyle name="Comma 2 2 2 2 10" xfId="13591" xr:uid="{366B5538-A7E2-46B7-AAA4-0A46A0B58B72}"/>
    <cellStyle name="Comma 2 2 2 2 11" xfId="15481" xr:uid="{363A73CF-1DB2-4DCB-9D0A-4A4C31290E37}"/>
    <cellStyle name="Comma 2 2 2 2 12" xfId="17371" xr:uid="{5E407811-FBE3-4C80-B75D-28C6AED9EA96}"/>
    <cellStyle name="Comma 2 2 2 2 13" xfId="19261" xr:uid="{5417D13C-732F-40FF-A559-23D6A8B4CF2E}"/>
    <cellStyle name="Comma 2 2 2 2 14" xfId="21151" xr:uid="{F8171CFA-D927-481A-8862-BF80CB50E94F}"/>
    <cellStyle name="Comma 2 2 2 2 15" xfId="23041" xr:uid="{9C7B3090-13EC-468F-BCAD-5A35B20EBDFB}"/>
    <cellStyle name="Comma 2 2 2 2 16" xfId="24931" xr:uid="{7EB01367-0E2A-43E0-8F74-461B93D96D40}"/>
    <cellStyle name="Comma 2 2 2 2 17" xfId="26821" xr:uid="{D59CFC24-A6F7-43DC-9ED9-6678A2E37111}"/>
    <cellStyle name="Comma 2 2 2 2 18" xfId="28711" xr:uid="{3A174275-CDCD-4E2F-8415-0C496B267456}"/>
    <cellStyle name="Comma 2 2 2 2 19" xfId="30601" xr:uid="{03E3058A-F651-443C-8FAD-9B44E3DD485D}"/>
    <cellStyle name="Comma 2 2 2 2 2" xfId="991" xr:uid="{716C8053-44C2-4BA8-B4FD-13C8C52BAC9B}"/>
    <cellStyle name="Comma 2 2 2 2 2 10" xfId="18001" xr:uid="{A537BA32-DEAC-4DD3-B8BD-21992EA32869}"/>
    <cellStyle name="Comma 2 2 2 2 2 11" xfId="19891" xr:uid="{B0306590-8097-4610-B155-03E0BCD5687B}"/>
    <cellStyle name="Comma 2 2 2 2 2 12" xfId="21781" xr:uid="{B6D5261F-A96D-4D6D-A541-1F9112845B6B}"/>
    <cellStyle name="Comma 2 2 2 2 2 13" xfId="23671" xr:uid="{64209F95-B7EA-439F-9489-98FA9BAFCFC6}"/>
    <cellStyle name="Comma 2 2 2 2 2 14" xfId="25561" xr:uid="{FB884084-6816-485A-B56D-64F608D91A06}"/>
    <cellStyle name="Comma 2 2 2 2 2 15" xfId="27451" xr:uid="{52FB76B1-5E10-4105-AFD4-98DF2477018A}"/>
    <cellStyle name="Comma 2 2 2 2 2 16" xfId="29341" xr:uid="{6235E796-B1BA-475E-ABCC-9630C0B4F8CB}"/>
    <cellStyle name="Comma 2 2 2 2 2 17" xfId="31231" xr:uid="{2F74CC37-F20A-4277-B31B-1F210ED35150}"/>
    <cellStyle name="Comma 2 2 2 2 2 18" xfId="33121" xr:uid="{5E809105-E594-45F6-8071-002F8C9B85F0}"/>
    <cellStyle name="Comma 2 2 2 2 2 19" xfId="35011" xr:uid="{6C515245-DA97-4540-A646-4D507A4FD16E}"/>
    <cellStyle name="Comma 2 2 2 2 2 2" xfId="2881" xr:uid="{E643AC3D-0004-4965-9168-A405CCA5873D}"/>
    <cellStyle name="Comma 2 2 2 2 2 20" xfId="36901" xr:uid="{E95FE3EB-F208-49B7-AF94-87A4BFFA906E}"/>
    <cellStyle name="Comma 2 2 2 2 2 21" xfId="38791" xr:uid="{06412245-1649-4DFE-AB9E-24C307A31034}"/>
    <cellStyle name="Comma 2 2 2 2 2 22" xfId="40682" xr:uid="{08B4C7E0-334B-4B7F-AB06-1DF3D65DC8F1}"/>
    <cellStyle name="Comma 2 2 2 2 2 3" xfId="4771" xr:uid="{B6C70EB5-CF82-49AF-9F31-48E56A7D3B87}"/>
    <cellStyle name="Comma 2 2 2 2 2 4" xfId="6661" xr:uid="{67EA1367-9E0C-4A7E-882C-5BBD0215F5E5}"/>
    <cellStyle name="Comma 2 2 2 2 2 5" xfId="8551" xr:uid="{118C85DF-0786-4F87-877D-50978B4EA099}"/>
    <cellStyle name="Comma 2 2 2 2 2 6" xfId="10441" xr:uid="{CBEEC8C4-6E7F-45FF-8523-542E1B273AAD}"/>
    <cellStyle name="Comma 2 2 2 2 2 7" xfId="12331" xr:uid="{13198985-0511-47D3-81B2-67E457F000F8}"/>
    <cellStyle name="Comma 2 2 2 2 2 8" xfId="14221" xr:uid="{E2718729-8582-434E-BF49-CC68A92DE711}"/>
    <cellStyle name="Comma 2 2 2 2 2 9" xfId="16111" xr:uid="{40D13B56-D631-4B97-A0B2-545CC402EE73}"/>
    <cellStyle name="Comma 2 2 2 2 20" xfId="32491" xr:uid="{6F4FAD82-FF51-4C37-8212-CDBDD1974762}"/>
    <cellStyle name="Comma 2 2 2 2 21" xfId="34381" xr:uid="{7DE383EF-56BA-4C0E-A501-C6723F57C1DC}"/>
    <cellStyle name="Comma 2 2 2 2 22" xfId="36271" xr:uid="{AF66C4A2-CC3C-4071-A498-C8477052A9F0}"/>
    <cellStyle name="Comma 2 2 2 2 23" xfId="38161" xr:uid="{CE8F70F2-F9C5-48F2-BB4A-F11854086A20}"/>
    <cellStyle name="Comma 2 2 2 2 24" xfId="40052" xr:uid="{C93D1B70-A822-4366-9907-7F39F12B9D48}"/>
    <cellStyle name="Comma 2 2 2 2 3" xfId="1621" xr:uid="{01C1012A-FB38-434E-90BE-63D7BCA37FBA}"/>
    <cellStyle name="Comma 2 2 2 2 3 10" xfId="18631" xr:uid="{4CB35DD0-D8C1-470A-82C2-D24B3D4E8E69}"/>
    <cellStyle name="Comma 2 2 2 2 3 11" xfId="20521" xr:uid="{B6336012-24DF-4828-AAD4-6F8AA2CED128}"/>
    <cellStyle name="Comma 2 2 2 2 3 12" xfId="22411" xr:uid="{DA5C4163-E5DB-493F-ADBA-211D06E4D196}"/>
    <cellStyle name="Comma 2 2 2 2 3 13" xfId="24301" xr:uid="{5477A99E-4E79-4284-801A-9E509A113813}"/>
    <cellStyle name="Comma 2 2 2 2 3 14" xfId="26191" xr:uid="{B89FDDBD-4B08-4AE5-AC00-7A64A08233A9}"/>
    <cellStyle name="Comma 2 2 2 2 3 15" xfId="28081" xr:uid="{F7051750-15CB-465D-B4A6-A99E375390F0}"/>
    <cellStyle name="Comma 2 2 2 2 3 16" xfId="29971" xr:uid="{DF09248C-0D1C-4E28-A96E-7EE2D668EB3D}"/>
    <cellStyle name="Comma 2 2 2 2 3 17" xfId="31861" xr:uid="{08E5E339-69C1-4339-88B2-4125F11DFC65}"/>
    <cellStyle name="Comma 2 2 2 2 3 18" xfId="33751" xr:uid="{A046D6D2-9FF9-4670-B934-34CBDB73251E}"/>
    <cellStyle name="Comma 2 2 2 2 3 19" xfId="35641" xr:uid="{3D297C89-F45D-4C80-8514-14F97A1990C0}"/>
    <cellStyle name="Comma 2 2 2 2 3 2" xfId="3511" xr:uid="{8764FB47-290E-48D1-8F44-80E7EA78FBDF}"/>
    <cellStyle name="Comma 2 2 2 2 3 20" xfId="37531" xr:uid="{9DC0A41D-BD46-4F0D-911A-67F62FE2005A}"/>
    <cellStyle name="Comma 2 2 2 2 3 21" xfId="39421" xr:uid="{C80D674A-D385-4C00-A1FB-21A9CA71C29E}"/>
    <cellStyle name="Comma 2 2 2 2 3 22" xfId="41312" xr:uid="{FE02935D-53C0-4A05-BE87-ECA3DD96F84F}"/>
    <cellStyle name="Comma 2 2 2 2 3 3" xfId="5401" xr:uid="{B28FA5DB-7895-4A89-8F31-CB0165241B7C}"/>
    <cellStyle name="Comma 2 2 2 2 3 4" xfId="7291" xr:uid="{60F89ADF-3A43-44CE-8162-8CA2F55E44C3}"/>
    <cellStyle name="Comma 2 2 2 2 3 5" xfId="9181" xr:uid="{F3E50642-ECD2-4EFB-9615-BC29FD47F4EC}"/>
    <cellStyle name="Comma 2 2 2 2 3 6" xfId="11071" xr:uid="{5BF3965D-F737-41C1-B827-086A4AFBA31A}"/>
    <cellStyle name="Comma 2 2 2 2 3 7" xfId="12961" xr:uid="{02BCD0BC-D435-4E2E-8B04-746BCD1E7FC8}"/>
    <cellStyle name="Comma 2 2 2 2 3 8" xfId="14851" xr:uid="{9672DBBC-E954-4130-B84E-E97D50EB32E3}"/>
    <cellStyle name="Comma 2 2 2 2 3 9" xfId="16741" xr:uid="{7616F35A-E9BA-453B-92CC-67F4767480EB}"/>
    <cellStyle name="Comma 2 2 2 2 4" xfId="2251" xr:uid="{1749A970-332C-4359-93DB-B51E86156AB1}"/>
    <cellStyle name="Comma 2 2 2 2 5" xfId="4141" xr:uid="{00BA6338-F4F4-427C-A689-A78E92FB80D4}"/>
    <cellStyle name="Comma 2 2 2 2 6" xfId="6031" xr:uid="{CE76482B-E531-4C96-A703-F090E48C820C}"/>
    <cellStyle name="Comma 2 2 2 2 7" xfId="7921" xr:uid="{DD810D0B-40D3-42D8-8EA8-66FCC525DBBA}"/>
    <cellStyle name="Comma 2 2 2 2 8" xfId="9811" xr:uid="{46A88147-548B-4DC5-9DBA-5AFAF643E614}"/>
    <cellStyle name="Comma 2 2 2 2 9" xfId="11701" xr:uid="{3A0F7355-F04B-4E0F-8CCC-EF789CC98780}"/>
    <cellStyle name="Comma 2 2 2 20" xfId="28501" xr:uid="{BACEF6E7-53E8-4E5D-A2BF-33B8A5E9AE1E}"/>
    <cellStyle name="Comma 2 2 2 21" xfId="30391" xr:uid="{3567169F-B9FC-461C-8872-D67048A7ED65}"/>
    <cellStyle name="Comma 2 2 2 22" xfId="32281" xr:uid="{1209FE2C-A8A3-4591-BE0B-464D1D3865EE}"/>
    <cellStyle name="Comma 2 2 2 23" xfId="34171" xr:uid="{13E1DE7F-2ACC-4355-9FA7-220F9021273F}"/>
    <cellStyle name="Comma 2 2 2 24" xfId="36061" xr:uid="{DD37C661-BEB6-4E1F-B115-CBC77420070B}"/>
    <cellStyle name="Comma 2 2 2 25" xfId="37951" xr:uid="{0950DDA2-2111-44BC-8509-0DE1365E0603}"/>
    <cellStyle name="Comma 2 2 2 26" xfId="39842" xr:uid="{442C0168-B8A5-4098-B863-384BA1E528F2}"/>
    <cellStyle name="Comma 2 2 2 3" xfId="571" xr:uid="{F4B6769D-E6B0-4605-9E00-4506AAD45B9F}"/>
    <cellStyle name="Comma 2 2 2 3 10" xfId="13801" xr:uid="{053C1E62-12B2-41B4-A667-CD5C620BB766}"/>
    <cellStyle name="Comma 2 2 2 3 11" xfId="15691" xr:uid="{D4FF3568-DC4A-479A-BBC9-BCF2A169B628}"/>
    <cellStyle name="Comma 2 2 2 3 12" xfId="17581" xr:uid="{9DA47A1A-AE43-4C97-AA8A-9E31D8B34ADF}"/>
    <cellStyle name="Comma 2 2 2 3 13" xfId="19471" xr:uid="{66A4010A-20F4-406B-BADC-AFED9E4C879C}"/>
    <cellStyle name="Comma 2 2 2 3 14" xfId="21361" xr:uid="{21598C07-0551-4538-A6FF-DFA41EA78EF9}"/>
    <cellStyle name="Comma 2 2 2 3 15" xfId="23251" xr:uid="{9FEC5BE4-3631-4528-B104-5A48D7CD325E}"/>
    <cellStyle name="Comma 2 2 2 3 16" xfId="25141" xr:uid="{BD03F73D-4FCE-4CFA-BB49-223C970C72EE}"/>
    <cellStyle name="Comma 2 2 2 3 17" xfId="27031" xr:uid="{EBD05808-DFEC-4ABB-B2EF-4A7A989EAB31}"/>
    <cellStyle name="Comma 2 2 2 3 18" xfId="28921" xr:uid="{2F5CAE81-D4CB-4E8D-A9C1-4368C5BBB504}"/>
    <cellStyle name="Comma 2 2 2 3 19" xfId="30811" xr:uid="{C3696847-754A-4C3C-AA4F-5A048097FAB1}"/>
    <cellStyle name="Comma 2 2 2 3 2" xfId="1201" xr:uid="{F3E2F7FF-43D9-4E23-8194-50BB639BE490}"/>
    <cellStyle name="Comma 2 2 2 3 2 10" xfId="18211" xr:uid="{9E2D8993-17C2-4B1D-938C-8EFE323E061F}"/>
    <cellStyle name="Comma 2 2 2 3 2 11" xfId="20101" xr:uid="{E8858F32-AF3E-4B4D-BBF3-F0C269008AF3}"/>
    <cellStyle name="Comma 2 2 2 3 2 12" xfId="21991" xr:uid="{7C1DE647-FD35-4858-B13F-B1829DD4886D}"/>
    <cellStyle name="Comma 2 2 2 3 2 13" xfId="23881" xr:uid="{D3B0B96E-7887-401E-813E-B1A88D26BFC5}"/>
    <cellStyle name="Comma 2 2 2 3 2 14" xfId="25771" xr:uid="{DBDB44ED-0116-4CF3-B4E9-8FA2E82EB721}"/>
    <cellStyle name="Comma 2 2 2 3 2 15" xfId="27661" xr:uid="{0178408D-1395-4ADF-BCCE-CB98D27A4A6A}"/>
    <cellStyle name="Comma 2 2 2 3 2 16" xfId="29551" xr:uid="{111E7B97-36AC-46EF-AA21-7EAA2913DEF1}"/>
    <cellStyle name="Comma 2 2 2 3 2 17" xfId="31441" xr:uid="{EE088BD1-8291-47B0-BB8F-79CD991454D0}"/>
    <cellStyle name="Comma 2 2 2 3 2 18" xfId="33331" xr:uid="{F97FA2EE-7541-4A8B-9F3A-3D403DFF0D46}"/>
    <cellStyle name="Comma 2 2 2 3 2 19" xfId="35221" xr:uid="{6787E204-C884-4F43-9D08-42FB611FF4E4}"/>
    <cellStyle name="Comma 2 2 2 3 2 2" xfId="3091" xr:uid="{98D2EECF-3F78-48E7-A7AC-A2320CFA48CF}"/>
    <cellStyle name="Comma 2 2 2 3 2 20" xfId="37111" xr:uid="{032FA873-92D4-424E-A580-4A22297D8A70}"/>
    <cellStyle name="Comma 2 2 2 3 2 21" xfId="39001" xr:uid="{946005C9-FD51-44FE-A9A8-D10DDF3283B1}"/>
    <cellStyle name="Comma 2 2 2 3 2 22" xfId="40892" xr:uid="{E927E31E-A207-4F20-A3D2-D0FB12DFB141}"/>
    <cellStyle name="Comma 2 2 2 3 2 3" xfId="4981" xr:uid="{76922955-CA3D-4D10-BBBE-500ACB69D1B4}"/>
    <cellStyle name="Comma 2 2 2 3 2 4" xfId="6871" xr:uid="{CC7401B5-8CB8-4EDA-B536-719768D4CE1A}"/>
    <cellStyle name="Comma 2 2 2 3 2 5" xfId="8761" xr:uid="{9E9AA535-ADC8-4472-90E3-787A52B56D0D}"/>
    <cellStyle name="Comma 2 2 2 3 2 6" xfId="10651" xr:uid="{A1E58D55-F50D-4578-A98E-8304AE8966AF}"/>
    <cellStyle name="Comma 2 2 2 3 2 7" xfId="12541" xr:uid="{48B74993-792B-4A2D-9E42-47BC82AECE25}"/>
    <cellStyle name="Comma 2 2 2 3 2 8" xfId="14431" xr:uid="{C3AB940C-9A0D-4AA1-819E-8966AB075F36}"/>
    <cellStyle name="Comma 2 2 2 3 2 9" xfId="16321" xr:uid="{6C29A43D-2235-4EE1-BAAF-F647674B11CE}"/>
    <cellStyle name="Comma 2 2 2 3 20" xfId="32701" xr:uid="{21CCC42B-1038-4195-8603-4623DB0F0D39}"/>
    <cellStyle name="Comma 2 2 2 3 21" xfId="34591" xr:uid="{60842500-467C-43F1-AC1E-F5D2828D62E1}"/>
    <cellStyle name="Comma 2 2 2 3 22" xfId="36481" xr:uid="{967A220C-42A9-46B0-9D31-2870081D5D28}"/>
    <cellStyle name="Comma 2 2 2 3 23" xfId="38371" xr:uid="{A389EC6A-C47C-406C-90AE-DA733440255B}"/>
    <cellStyle name="Comma 2 2 2 3 24" xfId="40262" xr:uid="{B425A637-AFA7-451E-A8A0-9CE70B69AAE3}"/>
    <cellStyle name="Comma 2 2 2 3 3" xfId="1831" xr:uid="{94519D3D-01C7-40D5-9595-F591D299661E}"/>
    <cellStyle name="Comma 2 2 2 3 3 10" xfId="18841" xr:uid="{2E0A3BD4-049A-42A0-A5BC-76ECE0E31444}"/>
    <cellStyle name="Comma 2 2 2 3 3 11" xfId="20731" xr:uid="{23BC2ED7-C60D-4AE3-A08D-DEC311F4226A}"/>
    <cellStyle name="Comma 2 2 2 3 3 12" xfId="22621" xr:uid="{E56BFEF2-7939-4A44-9D3F-9A1BC81626BD}"/>
    <cellStyle name="Comma 2 2 2 3 3 13" xfId="24511" xr:uid="{44FCC23A-BC5B-4970-9EDF-4C0E7F208162}"/>
    <cellStyle name="Comma 2 2 2 3 3 14" xfId="26401" xr:uid="{894D753B-5A59-4A93-B825-523C079B17AA}"/>
    <cellStyle name="Comma 2 2 2 3 3 15" xfId="28291" xr:uid="{06D93B5C-9102-4B9A-9BA5-2D181B3A378E}"/>
    <cellStyle name="Comma 2 2 2 3 3 16" xfId="30181" xr:uid="{C85E0906-FE01-4611-93E2-ED5EB3ECC603}"/>
    <cellStyle name="Comma 2 2 2 3 3 17" xfId="32071" xr:uid="{EFF7832E-BF3E-4A1A-B200-DF4368EF2547}"/>
    <cellStyle name="Comma 2 2 2 3 3 18" xfId="33961" xr:uid="{F72F56EC-66A4-4E3A-9504-F91C9E5E8E9E}"/>
    <cellStyle name="Comma 2 2 2 3 3 19" xfId="35851" xr:uid="{813C0F25-445F-4CB0-84DA-03A18A64C07C}"/>
    <cellStyle name="Comma 2 2 2 3 3 2" xfId="3721" xr:uid="{A43BEBD6-E45E-475F-83D1-EF184BDCFE98}"/>
    <cellStyle name="Comma 2 2 2 3 3 20" xfId="37741" xr:uid="{92BAF741-94C9-444B-A7DC-B535CA36CE65}"/>
    <cellStyle name="Comma 2 2 2 3 3 21" xfId="39631" xr:uid="{CE64D6C0-FD7B-4074-BA8B-94D41000BCDC}"/>
    <cellStyle name="Comma 2 2 2 3 3 22" xfId="41522" xr:uid="{AAE0EF60-BE9A-4DFD-8B97-F6D73B3189E5}"/>
    <cellStyle name="Comma 2 2 2 3 3 3" xfId="5611" xr:uid="{8A195AD5-1F86-4299-B7D2-62F3B5A423C9}"/>
    <cellStyle name="Comma 2 2 2 3 3 4" xfId="7501" xr:uid="{5D67C812-3E04-4AE7-BF87-714C0FFEC8EE}"/>
    <cellStyle name="Comma 2 2 2 3 3 5" xfId="9391" xr:uid="{8CD5CF50-1447-4DEA-84E8-F5D49FB34338}"/>
    <cellStyle name="Comma 2 2 2 3 3 6" xfId="11281" xr:uid="{4CFA718C-3A0F-46C0-997D-AA3C788DC37E}"/>
    <cellStyle name="Comma 2 2 2 3 3 7" xfId="13171" xr:uid="{695F0DC2-17AD-444B-8AF9-DC461EAE7212}"/>
    <cellStyle name="Comma 2 2 2 3 3 8" xfId="15061" xr:uid="{A058817B-9FD4-4F9A-8ECB-2174B3A277F6}"/>
    <cellStyle name="Comma 2 2 2 3 3 9" xfId="16951" xr:uid="{A8C0C257-4958-441C-BF6D-7A2248DDC465}"/>
    <cellStyle name="Comma 2 2 2 3 4" xfId="2461" xr:uid="{7120DDBA-25D1-4F82-A26A-1C1744802339}"/>
    <cellStyle name="Comma 2 2 2 3 5" xfId="4351" xr:uid="{32E7EA66-F280-499D-B54F-45E44F3CC5BE}"/>
    <cellStyle name="Comma 2 2 2 3 6" xfId="6241" xr:uid="{4A238004-6A30-44EA-AC27-E9512696A6EC}"/>
    <cellStyle name="Comma 2 2 2 3 7" xfId="8131" xr:uid="{D823B33C-0BF8-46DB-89C9-51DB62AAE5B7}"/>
    <cellStyle name="Comma 2 2 2 3 8" xfId="10021" xr:uid="{5890116F-1A7F-4D81-8A9C-DF3FB5FCE35D}"/>
    <cellStyle name="Comma 2 2 2 3 9" xfId="11911" xr:uid="{FDA6FA3D-7B1A-4F4D-B24B-0483C799532C}"/>
    <cellStyle name="Comma 2 2 2 4" xfId="781" xr:uid="{A02F018F-DBF6-4F04-99F7-0F953F200E99}"/>
    <cellStyle name="Comma 2 2 2 4 10" xfId="17791" xr:uid="{53FD9E87-5549-4502-9CB0-9E8DECB91784}"/>
    <cellStyle name="Comma 2 2 2 4 11" xfId="19681" xr:uid="{C89E5595-0E5C-4A0B-AF13-DC35CE5E9261}"/>
    <cellStyle name="Comma 2 2 2 4 12" xfId="21571" xr:uid="{9E10BC04-BD02-4F7F-96B1-B5F0867A648F}"/>
    <cellStyle name="Comma 2 2 2 4 13" xfId="23461" xr:uid="{6A1ABDB5-838D-4F42-A1BC-3336C713821F}"/>
    <cellStyle name="Comma 2 2 2 4 14" xfId="25351" xr:uid="{B1AC492D-E7AD-4EB4-A783-7F557F134AD1}"/>
    <cellStyle name="Comma 2 2 2 4 15" xfId="27241" xr:uid="{FF34A47C-0132-45A6-AC66-0BD4A5566FAB}"/>
    <cellStyle name="Comma 2 2 2 4 16" xfId="29131" xr:uid="{30FC78B3-379C-491F-9FF0-B7840E2860DB}"/>
    <cellStyle name="Comma 2 2 2 4 17" xfId="31021" xr:uid="{68286CA4-B28D-4A9E-B3E2-9E3B8612C567}"/>
    <cellStyle name="Comma 2 2 2 4 18" xfId="32911" xr:uid="{78514ACC-419B-466F-89E4-1EA37E515619}"/>
    <cellStyle name="Comma 2 2 2 4 19" xfId="34801" xr:uid="{50B9F70B-EB20-4B95-BCC2-67EF0BEE5EC8}"/>
    <cellStyle name="Comma 2 2 2 4 2" xfId="2671" xr:uid="{A5F3C223-39AB-4510-907D-A5F3DD7B52B8}"/>
    <cellStyle name="Comma 2 2 2 4 20" xfId="36691" xr:uid="{DFCA919F-6ABD-479F-AE3D-817C1B3BEF03}"/>
    <cellStyle name="Comma 2 2 2 4 21" xfId="38581" xr:uid="{CD9CE4C7-7D46-4682-BF23-F450DBEB3AC1}"/>
    <cellStyle name="Comma 2 2 2 4 22" xfId="40472" xr:uid="{60B4F20F-3A55-432B-ABEA-3A3CA3A18D2A}"/>
    <cellStyle name="Comma 2 2 2 4 3" xfId="4561" xr:uid="{48B3899F-2E6D-4D46-B4EB-BDFBA3549FAD}"/>
    <cellStyle name="Comma 2 2 2 4 4" xfId="6451" xr:uid="{8258A8B0-B203-44A1-AC24-F5E7F9CF86B9}"/>
    <cellStyle name="Comma 2 2 2 4 5" xfId="8341" xr:uid="{05E7D862-E802-41CD-9CE7-748AD2D8C6A3}"/>
    <cellStyle name="Comma 2 2 2 4 6" xfId="10231" xr:uid="{6719A19C-CCB3-42F7-921C-ECD55B2AF47B}"/>
    <cellStyle name="Comma 2 2 2 4 7" xfId="12121" xr:uid="{C6B30F17-0B02-472F-AC63-68FFC684BB01}"/>
    <cellStyle name="Comma 2 2 2 4 8" xfId="14011" xr:uid="{D6880B1A-8BD5-4D2C-86CD-F4D7ACE5B28B}"/>
    <cellStyle name="Comma 2 2 2 4 9" xfId="15901" xr:uid="{24D05B9F-79EA-40F0-A5F1-0C432FCF388D}"/>
    <cellStyle name="Comma 2 2 2 5" xfId="1411" xr:uid="{4C860B08-D7C9-4FCD-BB02-D196A5764F9C}"/>
    <cellStyle name="Comma 2 2 2 5 10" xfId="18421" xr:uid="{7CD54FF7-5A4A-477C-9670-684BFBCE698C}"/>
    <cellStyle name="Comma 2 2 2 5 11" xfId="20311" xr:uid="{47B6DE6D-9A15-4D19-BAE1-1CA12FD89A55}"/>
    <cellStyle name="Comma 2 2 2 5 12" xfId="22201" xr:uid="{010E7BE7-EF91-4179-8CF2-62B357243B91}"/>
    <cellStyle name="Comma 2 2 2 5 13" xfId="24091" xr:uid="{96FFFA65-FBF9-4CDD-8410-2E88B16BD3B3}"/>
    <cellStyle name="Comma 2 2 2 5 14" xfId="25981" xr:uid="{392F5255-38D8-48EB-8EEF-5D44AB1EC715}"/>
    <cellStyle name="Comma 2 2 2 5 15" xfId="27871" xr:uid="{91411405-5700-43CA-9625-DC56C77528C2}"/>
    <cellStyle name="Comma 2 2 2 5 16" xfId="29761" xr:uid="{AA644E0A-9952-4077-B4A6-827F25008E9A}"/>
    <cellStyle name="Comma 2 2 2 5 17" xfId="31651" xr:uid="{36220E27-1C61-43F3-BBB2-E10BB5AB6EF8}"/>
    <cellStyle name="Comma 2 2 2 5 18" xfId="33541" xr:uid="{38AA3980-6D34-4392-9B4B-6088BF7ACA57}"/>
    <cellStyle name="Comma 2 2 2 5 19" xfId="35431" xr:uid="{CDED223E-51EC-40C7-A776-AFA23A6B5B65}"/>
    <cellStyle name="Comma 2 2 2 5 2" xfId="3301" xr:uid="{18CFA5E8-A617-4464-B6AD-336ECA99BC6B}"/>
    <cellStyle name="Comma 2 2 2 5 20" xfId="37321" xr:uid="{3BF4C6CA-E5F8-4EF9-91D8-49A6C03BBAD3}"/>
    <cellStyle name="Comma 2 2 2 5 21" xfId="39211" xr:uid="{EDBD0E1E-9713-431C-85F9-0B7851C65441}"/>
    <cellStyle name="Comma 2 2 2 5 22" xfId="41102" xr:uid="{A9782F5B-2454-4C19-B95C-44656C510AF7}"/>
    <cellStyle name="Comma 2 2 2 5 3" xfId="5191" xr:uid="{043B8EC9-1B05-4B8C-8030-66F529580533}"/>
    <cellStyle name="Comma 2 2 2 5 4" xfId="7081" xr:uid="{C72FCA96-9C67-4995-A6BC-01C3EB0CF79B}"/>
    <cellStyle name="Comma 2 2 2 5 5" xfId="8971" xr:uid="{6ABD3F07-A8D6-423B-BBA3-038EAD96B8D5}"/>
    <cellStyle name="Comma 2 2 2 5 6" xfId="10861" xr:uid="{B2F10F13-69A7-4D96-AF5D-AAD52B53B8EB}"/>
    <cellStyle name="Comma 2 2 2 5 7" xfId="12751" xr:uid="{501C871B-3882-4FF9-9FC2-691DC29389DB}"/>
    <cellStyle name="Comma 2 2 2 5 8" xfId="14641" xr:uid="{F44071E3-16DB-4D1D-A654-8A1FBBF87C8C}"/>
    <cellStyle name="Comma 2 2 2 5 9" xfId="16531" xr:uid="{CCF7E3CF-C4A0-4E06-ABBF-4AF7D7AD54D2}"/>
    <cellStyle name="Comma 2 2 2 6" xfId="2041" xr:uid="{1BD9B612-CAE5-46D5-BE00-AE3246DC5A75}"/>
    <cellStyle name="Comma 2 2 2 7" xfId="3931" xr:uid="{23CCAF35-D898-40F6-A4CB-D853971459FE}"/>
    <cellStyle name="Comma 2 2 2 8" xfId="5821" xr:uid="{CB8BEF08-9F8B-464C-AC0F-DF171F2621BF}"/>
    <cellStyle name="Comma 2 2 2 9" xfId="7711" xr:uid="{E9654F41-E2F3-46C6-8275-39EDFADAFF69}"/>
    <cellStyle name="Comma 2 2 20" xfId="26506" xr:uid="{D06ADDE3-E29F-43A8-B13F-0FA1BF491EF5}"/>
    <cellStyle name="Comma 2 2 21" xfId="28396" xr:uid="{449BBB4A-ACA8-41AF-9A89-84DC6A6A4659}"/>
    <cellStyle name="Comma 2 2 22" xfId="30286" xr:uid="{0BB55487-769B-4708-AB40-E891535CF5B9}"/>
    <cellStyle name="Comma 2 2 23" xfId="32176" xr:uid="{540716DD-72CC-4450-9616-80FE236F8C98}"/>
    <cellStyle name="Comma 2 2 24" xfId="34066" xr:uid="{BFF910B0-9AC4-409A-981F-AE42D5DE76C7}"/>
    <cellStyle name="Comma 2 2 25" xfId="35956" xr:uid="{52EDDE2A-2348-482C-9906-57EEDA89B161}"/>
    <cellStyle name="Comma 2 2 26" xfId="37846" xr:uid="{2F01379F-81F1-4CEF-8EAB-9D71B784DAAC}"/>
    <cellStyle name="Comma 2 2 27" xfId="39737" xr:uid="{18EFBC3D-51E6-489D-ADC3-DC3DD4050EEC}"/>
    <cellStyle name="Comma 2 2 3" xfId="256" xr:uid="{2B468655-CEC6-4E23-A88E-A327B116D492}"/>
    <cellStyle name="Comma 2 2 3 10" xfId="13486" xr:uid="{DEAE82E1-2A18-45E7-91F2-9EC65984FF97}"/>
    <cellStyle name="Comma 2 2 3 11" xfId="15376" xr:uid="{CF6D8C73-09FA-4CE1-8FE4-99A997A4C4E1}"/>
    <cellStyle name="Comma 2 2 3 12" xfId="17266" xr:uid="{6E786672-6A50-48C8-936B-A5A6198BCE04}"/>
    <cellStyle name="Comma 2 2 3 13" xfId="19156" xr:uid="{7844A598-CDC8-43AE-A6E4-D9205023E733}"/>
    <cellStyle name="Comma 2 2 3 14" xfId="21046" xr:uid="{C73C3344-1148-4BF6-9731-094F05D67F53}"/>
    <cellStyle name="Comma 2 2 3 15" xfId="22936" xr:uid="{C7DFCCD0-A512-4C47-97D8-3ABFE9D1B0A9}"/>
    <cellStyle name="Comma 2 2 3 16" xfId="24826" xr:uid="{571D355A-307B-4DBC-9318-A3E6CE49E740}"/>
    <cellStyle name="Comma 2 2 3 17" xfId="26716" xr:uid="{47199AAE-51EA-4D02-A90B-6474632E7078}"/>
    <cellStyle name="Comma 2 2 3 18" xfId="28606" xr:uid="{18948486-98BA-4537-A066-A8C45F586FEC}"/>
    <cellStyle name="Comma 2 2 3 19" xfId="30496" xr:uid="{BFAE53D5-E08B-45D6-8AA8-83E1FC5FCCEC}"/>
    <cellStyle name="Comma 2 2 3 2" xfId="886" xr:uid="{9CDEF829-95EF-4946-BE54-1A41EAD5FE91}"/>
    <cellStyle name="Comma 2 2 3 2 10" xfId="17896" xr:uid="{9909CDD1-D8AC-4831-8142-9A42EAF088BC}"/>
    <cellStyle name="Comma 2 2 3 2 11" xfId="19786" xr:uid="{98C0C738-B965-46A1-B371-097352620CE1}"/>
    <cellStyle name="Comma 2 2 3 2 12" xfId="21676" xr:uid="{9C69917D-ECC9-43DF-8246-6A0613821B37}"/>
    <cellStyle name="Comma 2 2 3 2 13" xfId="23566" xr:uid="{B894F534-E475-419A-85C0-BD117CA889C8}"/>
    <cellStyle name="Comma 2 2 3 2 14" xfId="25456" xr:uid="{DB2ECEED-3E7C-44A1-9923-01BC47770E35}"/>
    <cellStyle name="Comma 2 2 3 2 15" xfId="27346" xr:uid="{23179AC0-4D5A-425F-9056-892C68165587}"/>
    <cellStyle name="Comma 2 2 3 2 16" xfId="29236" xr:uid="{26CA8ADA-E6F5-4E59-B6A0-FC85D165CBDD}"/>
    <cellStyle name="Comma 2 2 3 2 17" xfId="31126" xr:uid="{F9B35556-A79C-490E-85BD-2C1D1AF021D0}"/>
    <cellStyle name="Comma 2 2 3 2 18" xfId="33016" xr:uid="{AF605DB1-617E-4E21-B739-491E4C5AD2D5}"/>
    <cellStyle name="Comma 2 2 3 2 19" xfId="34906" xr:uid="{CCDCB823-BAC3-4C12-8EC0-2EA7E75ECF15}"/>
    <cellStyle name="Comma 2 2 3 2 2" xfId="2776" xr:uid="{8293DF00-D7C2-4E38-BDA1-4D29D4036D2F}"/>
    <cellStyle name="Comma 2 2 3 2 20" xfId="36796" xr:uid="{CCA7D94A-1EB4-4A8A-823B-60DCB04CA311}"/>
    <cellStyle name="Comma 2 2 3 2 21" xfId="38686" xr:uid="{3AC96D28-4DC4-4944-9D59-92CBA8389DFE}"/>
    <cellStyle name="Comma 2 2 3 2 22" xfId="40577" xr:uid="{53253223-2DB4-478F-868D-023CA7CB3113}"/>
    <cellStyle name="Comma 2 2 3 2 3" xfId="4666" xr:uid="{70F0A10E-C73E-4ECD-A8D2-F63A7DCA9786}"/>
    <cellStyle name="Comma 2 2 3 2 4" xfId="6556" xr:uid="{DB0D220A-7A16-4481-BC2D-5745A8E09A72}"/>
    <cellStyle name="Comma 2 2 3 2 5" xfId="8446" xr:uid="{DD47E09D-E069-460D-93E6-52960E8A73C0}"/>
    <cellStyle name="Comma 2 2 3 2 6" xfId="10336" xr:uid="{213B3379-BD23-4FF6-93FD-AC694D73DE70}"/>
    <cellStyle name="Comma 2 2 3 2 7" xfId="12226" xr:uid="{473F2C23-489B-468E-A981-39306974E392}"/>
    <cellStyle name="Comma 2 2 3 2 8" xfId="14116" xr:uid="{C3DDBE8A-AD70-4E9A-B10D-5520B32803E1}"/>
    <cellStyle name="Comma 2 2 3 2 9" xfId="16006" xr:uid="{CB375852-F559-440D-986B-4E64BD2CB89F}"/>
    <cellStyle name="Comma 2 2 3 20" xfId="32386" xr:uid="{E5CA2697-D918-4871-AFD5-02FE80788432}"/>
    <cellStyle name="Comma 2 2 3 21" xfId="34276" xr:uid="{B2FB7B70-9662-4B7E-A01F-7BEC3A049351}"/>
    <cellStyle name="Comma 2 2 3 22" xfId="36166" xr:uid="{5ABECFAD-DFD4-4A5C-8863-3BCF76542953}"/>
    <cellStyle name="Comma 2 2 3 23" xfId="38056" xr:uid="{C457BF70-295F-4681-A77A-14926817C798}"/>
    <cellStyle name="Comma 2 2 3 24" xfId="39947" xr:uid="{1D3CA475-A9EB-45C8-ABA7-45A1547EC842}"/>
    <cellStyle name="Comma 2 2 3 3" xfId="1516" xr:uid="{87FF5227-F35C-401A-858D-CF152F123021}"/>
    <cellStyle name="Comma 2 2 3 3 10" xfId="18526" xr:uid="{22BE9389-34C4-44B3-9289-A62BA349A08C}"/>
    <cellStyle name="Comma 2 2 3 3 11" xfId="20416" xr:uid="{2A2BE4ED-901F-4379-BD1E-E9CED80EAFD4}"/>
    <cellStyle name="Comma 2 2 3 3 12" xfId="22306" xr:uid="{321A5477-C30D-4EA2-B249-DEA67A99E00B}"/>
    <cellStyle name="Comma 2 2 3 3 13" xfId="24196" xr:uid="{C634AFB7-C738-421F-AD78-911F169F830A}"/>
    <cellStyle name="Comma 2 2 3 3 14" xfId="26086" xr:uid="{DDECBBE6-A189-4C3D-970C-618D2AA1B8D0}"/>
    <cellStyle name="Comma 2 2 3 3 15" xfId="27976" xr:uid="{B9E3B397-B2CB-427E-806C-7F64FB4B1B3D}"/>
    <cellStyle name="Comma 2 2 3 3 16" xfId="29866" xr:uid="{B56A4DB8-F863-4CA0-AD43-42B1BA53062F}"/>
    <cellStyle name="Comma 2 2 3 3 17" xfId="31756" xr:uid="{9A2F4451-E1D1-42C4-BCEB-6AFAD0302929}"/>
    <cellStyle name="Comma 2 2 3 3 18" xfId="33646" xr:uid="{9CE9A2C3-C5C1-412E-BA69-AD9DD7B6F501}"/>
    <cellStyle name="Comma 2 2 3 3 19" xfId="35536" xr:uid="{9FE31ACA-EFD1-45F5-ACA0-EF476F114F88}"/>
    <cellStyle name="Comma 2 2 3 3 2" xfId="3406" xr:uid="{7FA89D72-D51C-4CA8-BC0D-32A477139D4D}"/>
    <cellStyle name="Comma 2 2 3 3 20" xfId="37426" xr:uid="{299E3249-4AA6-4105-95F6-7E163C07B528}"/>
    <cellStyle name="Comma 2 2 3 3 21" xfId="39316" xr:uid="{C38C3B33-DB57-49B4-B37B-6D83DC33DE30}"/>
    <cellStyle name="Comma 2 2 3 3 22" xfId="41207" xr:uid="{3CC9EEE1-1ABC-41AC-99EF-BCE19051C14D}"/>
    <cellStyle name="Comma 2 2 3 3 3" xfId="5296" xr:uid="{B41F4B41-4D65-4011-83E5-B1922343626D}"/>
    <cellStyle name="Comma 2 2 3 3 4" xfId="7186" xr:uid="{4C90288C-E2E7-4F3E-80A9-ABFB7C00E840}"/>
    <cellStyle name="Comma 2 2 3 3 5" xfId="9076" xr:uid="{64176007-EBE9-49D4-A830-5D87D899F715}"/>
    <cellStyle name="Comma 2 2 3 3 6" xfId="10966" xr:uid="{827975E2-EACC-4570-A5DA-D6FCDD02CFEE}"/>
    <cellStyle name="Comma 2 2 3 3 7" xfId="12856" xr:uid="{B7D30CB4-C31C-4580-8C98-7C6FDEEFE7E4}"/>
    <cellStyle name="Comma 2 2 3 3 8" xfId="14746" xr:uid="{1FA1DC9A-3D1D-490F-A6B5-AADC6526A2E7}"/>
    <cellStyle name="Comma 2 2 3 3 9" xfId="16636" xr:uid="{FB12CE56-B4D6-4BE2-AC08-29860D482ACD}"/>
    <cellStyle name="Comma 2 2 3 4" xfId="2146" xr:uid="{768A4B86-F1BB-4FA0-883B-C8D2F14E8E1B}"/>
    <cellStyle name="Comma 2 2 3 5" xfId="4036" xr:uid="{1891548A-E702-49AD-AC4A-3939087680B3}"/>
    <cellStyle name="Comma 2 2 3 6" xfId="5926" xr:uid="{F9A85639-F732-4601-89F8-5D263CEE0282}"/>
    <cellStyle name="Comma 2 2 3 7" xfId="7816" xr:uid="{1093D7D5-B7B7-434A-85C2-DA0333127F96}"/>
    <cellStyle name="Comma 2 2 3 8" xfId="9706" xr:uid="{D7C0FD32-D2A0-4E2B-AFAF-B1F4B1B1DB85}"/>
    <cellStyle name="Comma 2 2 3 9" xfId="11596" xr:uid="{E66F97FC-1726-4B60-A510-F2524F33524F}"/>
    <cellStyle name="Comma 2 2 4" xfId="466" xr:uid="{712DA5D4-14E9-44C7-9386-41D8347E1A54}"/>
    <cellStyle name="Comma 2 2 4 10" xfId="13696" xr:uid="{E4D8D6D5-B555-49A2-863E-D25B595AC464}"/>
    <cellStyle name="Comma 2 2 4 11" xfId="15586" xr:uid="{5B5A5DE1-39D4-430C-A071-006DA3F26C14}"/>
    <cellStyle name="Comma 2 2 4 12" xfId="17476" xr:uid="{85118CEA-1CF9-438A-914F-D2B5A8B3DE04}"/>
    <cellStyle name="Comma 2 2 4 13" xfId="19366" xr:uid="{D30D4D5B-035B-4FFD-A8F8-B90903AB79A9}"/>
    <cellStyle name="Comma 2 2 4 14" xfId="21256" xr:uid="{4840E230-7F8B-432B-BEE0-058F5D70BD61}"/>
    <cellStyle name="Comma 2 2 4 15" xfId="23146" xr:uid="{FC28B202-CA2B-4B35-A3C3-8337FB33C7C4}"/>
    <cellStyle name="Comma 2 2 4 16" xfId="25036" xr:uid="{797A4189-A7C7-4136-980B-7A57A119EB2F}"/>
    <cellStyle name="Comma 2 2 4 17" xfId="26926" xr:uid="{12F1F889-7467-4842-8528-99F406B849CC}"/>
    <cellStyle name="Comma 2 2 4 18" xfId="28816" xr:uid="{ECF00FBB-868E-4269-9F3A-26B09835CFD1}"/>
    <cellStyle name="Comma 2 2 4 19" xfId="30706" xr:uid="{2426CCC2-5F05-4429-BAE8-F34EE358F8DF}"/>
    <cellStyle name="Comma 2 2 4 2" xfId="1096" xr:uid="{837A81C5-4DDC-4173-BA79-AFCCFB43296A}"/>
    <cellStyle name="Comma 2 2 4 2 10" xfId="18106" xr:uid="{60961C6A-3BF4-416E-AFCE-EB72C466A2A7}"/>
    <cellStyle name="Comma 2 2 4 2 11" xfId="19996" xr:uid="{DB2564B7-8CFF-43F5-83C2-29B5A0F5F0FF}"/>
    <cellStyle name="Comma 2 2 4 2 12" xfId="21886" xr:uid="{321EE953-5A50-4453-93F9-6AE8A4F5906A}"/>
    <cellStyle name="Comma 2 2 4 2 13" xfId="23776" xr:uid="{CCD652C0-4713-4CFA-8664-F48D9031BBA9}"/>
    <cellStyle name="Comma 2 2 4 2 14" xfId="25666" xr:uid="{49890CA6-DB8C-409C-A7CE-F11CF6BD1118}"/>
    <cellStyle name="Comma 2 2 4 2 15" xfId="27556" xr:uid="{0042B037-8C81-4832-A406-D5ABB34B04A0}"/>
    <cellStyle name="Comma 2 2 4 2 16" xfId="29446" xr:uid="{BD6369FD-F4A3-4FAB-B4CB-057A9213F09A}"/>
    <cellStyle name="Comma 2 2 4 2 17" xfId="31336" xr:uid="{449BB26A-6966-4600-8ADA-A7DE96EAB9DD}"/>
    <cellStyle name="Comma 2 2 4 2 18" xfId="33226" xr:uid="{EA0F629E-A4C0-4B59-895E-A4341C1EA527}"/>
    <cellStyle name="Comma 2 2 4 2 19" xfId="35116" xr:uid="{5EBA56AD-F388-41AA-871A-B94657138FC1}"/>
    <cellStyle name="Comma 2 2 4 2 2" xfId="2986" xr:uid="{25EF076A-465B-4E71-9F49-79A666588740}"/>
    <cellStyle name="Comma 2 2 4 2 20" xfId="37006" xr:uid="{B97DB952-6916-4DA6-88B9-3ABAAABB38B0}"/>
    <cellStyle name="Comma 2 2 4 2 21" xfId="38896" xr:uid="{A1BE9470-A673-4D5B-9D26-D739DABD69F1}"/>
    <cellStyle name="Comma 2 2 4 2 22" xfId="40787" xr:uid="{6C2880B2-0F4F-4EBF-B74F-F76BCE4F1A13}"/>
    <cellStyle name="Comma 2 2 4 2 3" xfId="4876" xr:uid="{864B49B5-CF79-465A-B081-7E4FBDE73A6D}"/>
    <cellStyle name="Comma 2 2 4 2 4" xfId="6766" xr:uid="{7498BD9C-CEDF-4D1F-BF26-6E1478805E5E}"/>
    <cellStyle name="Comma 2 2 4 2 5" xfId="8656" xr:uid="{DFFE8A73-7585-4397-A4EF-03899932F90B}"/>
    <cellStyle name="Comma 2 2 4 2 6" xfId="10546" xr:uid="{0235D4F7-ED50-482E-9CB0-9B206DDC147A}"/>
    <cellStyle name="Comma 2 2 4 2 7" xfId="12436" xr:uid="{94519489-1FDF-43B3-BDCD-2EF3ED2A1360}"/>
    <cellStyle name="Comma 2 2 4 2 8" xfId="14326" xr:uid="{F6B41430-54AA-408C-9DBF-923C9E4605F0}"/>
    <cellStyle name="Comma 2 2 4 2 9" xfId="16216" xr:uid="{B6C37FC0-343B-4EE7-BBA3-9084F30E0C46}"/>
    <cellStyle name="Comma 2 2 4 20" xfId="32596" xr:uid="{64E47A0C-D7F5-4833-B64F-82380DB9DEA0}"/>
    <cellStyle name="Comma 2 2 4 21" xfId="34486" xr:uid="{894DAD13-07EE-4A75-8710-DB17A1F39D94}"/>
    <cellStyle name="Comma 2 2 4 22" xfId="36376" xr:uid="{B393625D-2C5F-4BAA-AEDE-48CFC3F2E97F}"/>
    <cellStyle name="Comma 2 2 4 23" xfId="38266" xr:uid="{2AA340B5-6A83-4A89-A37D-A038FC231DDE}"/>
    <cellStyle name="Comma 2 2 4 24" xfId="40157" xr:uid="{34A25691-2634-4CF4-B38A-2EDD8DD6D274}"/>
    <cellStyle name="Comma 2 2 4 3" xfId="1726" xr:uid="{4BD7D42A-7C5F-43AB-880F-4164B104C8CB}"/>
    <cellStyle name="Comma 2 2 4 3 10" xfId="18736" xr:uid="{242EBA78-5490-42E7-8880-5F159F5D109B}"/>
    <cellStyle name="Comma 2 2 4 3 11" xfId="20626" xr:uid="{EF74D8EC-8028-4325-AE8E-A6B48BD2EADF}"/>
    <cellStyle name="Comma 2 2 4 3 12" xfId="22516" xr:uid="{4A505014-0EEA-4302-B778-1AFDAF0025CE}"/>
    <cellStyle name="Comma 2 2 4 3 13" xfId="24406" xr:uid="{7D855A07-9A1B-46C4-BCF3-36EB5FAA197E}"/>
    <cellStyle name="Comma 2 2 4 3 14" xfId="26296" xr:uid="{CE8FB847-BC6C-4B18-A2F2-0183391445FD}"/>
    <cellStyle name="Comma 2 2 4 3 15" xfId="28186" xr:uid="{13F37739-04EE-4984-B425-756658601D29}"/>
    <cellStyle name="Comma 2 2 4 3 16" xfId="30076" xr:uid="{40867B3C-2B35-48A9-9FD0-5B6EF790D67C}"/>
    <cellStyle name="Comma 2 2 4 3 17" xfId="31966" xr:uid="{AA9B3A58-0D1B-43D2-BB12-BAA97DF5A06A}"/>
    <cellStyle name="Comma 2 2 4 3 18" xfId="33856" xr:uid="{A9DCFF6D-486B-4087-85BF-936665B55454}"/>
    <cellStyle name="Comma 2 2 4 3 19" xfId="35746" xr:uid="{CA177DB1-F3B9-40C6-8C8C-29FCFA343AEB}"/>
    <cellStyle name="Comma 2 2 4 3 2" xfId="3616" xr:uid="{226EB589-5781-40AA-8DB3-2D2453D7A48F}"/>
    <cellStyle name="Comma 2 2 4 3 20" xfId="37636" xr:uid="{1D1301EB-3B3F-45E1-9829-12EA89BFB107}"/>
    <cellStyle name="Comma 2 2 4 3 21" xfId="39526" xr:uid="{C6DEF38F-162B-4CBE-96D3-2A4FF516846D}"/>
    <cellStyle name="Comma 2 2 4 3 22" xfId="41417" xr:uid="{35AD087D-249B-4D63-84E0-5D4334375533}"/>
    <cellStyle name="Comma 2 2 4 3 3" xfId="5506" xr:uid="{3EE10FFE-1B99-48B4-ACCE-27E00A68D73E}"/>
    <cellStyle name="Comma 2 2 4 3 4" xfId="7396" xr:uid="{1E14B256-67BC-4736-877D-6BAEB296CE05}"/>
    <cellStyle name="Comma 2 2 4 3 5" xfId="9286" xr:uid="{B3F1FF57-2B8D-4CC0-99F5-2C2848AC6C45}"/>
    <cellStyle name="Comma 2 2 4 3 6" xfId="11176" xr:uid="{C5154161-FADF-4210-AEDE-7133C9D32F7C}"/>
    <cellStyle name="Comma 2 2 4 3 7" xfId="13066" xr:uid="{9210C866-5076-4EA7-B7C5-C901C4F0F140}"/>
    <cellStyle name="Comma 2 2 4 3 8" xfId="14956" xr:uid="{63C77B19-C6FD-4AAC-934F-CA224B396C1D}"/>
    <cellStyle name="Comma 2 2 4 3 9" xfId="16846" xr:uid="{1E5A4947-965B-4BF9-A1D3-ACA7048191D7}"/>
    <cellStyle name="Comma 2 2 4 4" xfId="2356" xr:uid="{71A2CC13-F958-4ED6-AD9B-E710FD7A4B5C}"/>
    <cellStyle name="Comma 2 2 4 5" xfId="4246" xr:uid="{82876E10-FE26-43E1-BB02-E53B35FE7EC3}"/>
    <cellStyle name="Comma 2 2 4 6" xfId="6136" xr:uid="{32911192-0603-43E2-9069-4D972A7EEFD3}"/>
    <cellStyle name="Comma 2 2 4 7" xfId="8026" xr:uid="{A8A83E7A-6DC0-43A3-95FF-09550905D0FE}"/>
    <cellStyle name="Comma 2 2 4 8" xfId="9916" xr:uid="{984658FD-0162-492A-9DF0-00E211F5848F}"/>
    <cellStyle name="Comma 2 2 4 9" xfId="11806" xr:uid="{C6A48506-31EF-492B-9BF7-D9A99BC21EB0}"/>
    <cellStyle name="Comma 2 2 5" xfId="676" xr:uid="{3DE7F4D9-33E9-4A2E-AA39-F60FDB03CEB7}"/>
    <cellStyle name="Comma 2 2 5 10" xfId="17686" xr:uid="{CD29B76C-05E2-4A66-B457-8F1FE28BD372}"/>
    <cellStyle name="Comma 2 2 5 11" xfId="19576" xr:uid="{E32B57C3-4843-480D-9929-49C00749F7C7}"/>
    <cellStyle name="Comma 2 2 5 12" xfId="21466" xr:uid="{31C57F31-64CF-4FDC-815A-1DAA25FCC8A9}"/>
    <cellStyle name="Comma 2 2 5 13" xfId="23356" xr:uid="{ABA048BA-9C36-43DE-AB3D-05570CD0ACCE}"/>
    <cellStyle name="Comma 2 2 5 14" xfId="25246" xr:uid="{38B3AE7C-D58C-4FC7-A5DE-120B4AEEB333}"/>
    <cellStyle name="Comma 2 2 5 15" xfId="27136" xr:uid="{16E593B8-8B05-425C-A1BD-1F01F116487C}"/>
    <cellStyle name="Comma 2 2 5 16" xfId="29026" xr:uid="{930106F2-9792-446C-860D-9E719A677C90}"/>
    <cellStyle name="Comma 2 2 5 17" xfId="30916" xr:uid="{DBF5CF5A-18D3-4DAE-9B2F-2BDD58793349}"/>
    <cellStyle name="Comma 2 2 5 18" xfId="32806" xr:uid="{DD660D8B-F190-46C2-B4F4-20871D0DB1BE}"/>
    <cellStyle name="Comma 2 2 5 19" xfId="34696" xr:uid="{8D530396-C5DA-4C94-A0D8-614415ADC43C}"/>
    <cellStyle name="Comma 2 2 5 2" xfId="2566" xr:uid="{8B2227D5-0C6B-4E52-A2F6-818CBC7A48CC}"/>
    <cellStyle name="Comma 2 2 5 20" xfId="36586" xr:uid="{848C9E7E-AAA4-434C-8EBE-1FE025958AB9}"/>
    <cellStyle name="Comma 2 2 5 21" xfId="38476" xr:uid="{ABC6F043-C0B4-4585-A287-B36F0B05FB3D}"/>
    <cellStyle name="Comma 2 2 5 22" xfId="40367" xr:uid="{D3AB20FB-CCC4-45DA-A16B-AD21C6252A0C}"/>
    <cellStyle name="Comma 2 2 5 3" xfId="4456" xr:uid="{DCE48EFE-9774-4C81-BD4A-23A9D29E6398}"/>
    <cellStyle name="Comma 2 2 5 4" xfId="6346" xr:uid="{5A06D95F-AB9B-4CF2-802C-8077D2B07717}"/>
    <cellStyle name="Comma 2 2 5 5" xfId="8236" xr:uid="{C57FFEA4-67A8-4087-B3BB-B38EF8315D75}"/>
    <cellStyle name="Comma 2 2 5 6" xfId="10126" xr:uid="{B71DDC6D-C8D8-414F-983E-9C5C3D6ED190}"/>
    <cellStyle name="Comma 2 2 5 7" xfId="12016" xr:uid="{DE25CB7D-CFED-43AA-A678-9940E7A8EEE9}"/>
    <cellStyle name="Comma 2 2 5 8" xfId="13906" xr:uid="{0CB3D7FF-33E6-4524-A015-9FF724DC7108}"/>
    <cellStyle name="Comma 2 2 5 9" xfId="15796" xr:uid="{6ED41FCB-B1D7-450C-877A-BA5CDECFBF95}"/>
    <cellStyle name="Comma 2 2 6" xfId="1306" xr:uid="{A055DA99-1B71-4846-9F66-2DBC5BE2E9B5}"/>
    <cellStyle name="Comma 2 2 6 10" xfId="18316" xr:uid="{23D4D9AB-18CC-4731-BCC4-A2DA489B9F27}"/>
    <cellStyle name="Comma 2 2 6 11" xfId="20206" xr:uid="{CC98DE92-E859-43E1-8BE8-5B208B05C270}"/>
    <cellStyle name="Comma 2 2 6 12" xfId="22096" xr:uid="{EDAA81DD-98A5-4FC8-96A1-5A18BAB2B659}"/>
    <cellStyle name="Comma 2 2 6 13" xfId="23986" xr:uid="{8B206A2F-843B-4E92-B705-163223F912A1}"/>
    <cellStyle name="Comma 2 2 6 14" xfId="25876" xr:uid="{96A2DA46-C8C1-4E6E-B92D-4111018473B3}"/>
    <cellStyle name="Comma 2 2 6 15" xfId="27766" xr:uid="{D24471A4-011D-4D51-B1DF-7A6327EFE1CC}"/>
    <cellStyle name="Comma 2 2 6 16" xfId="29656" xr:uid="{ED8D0915-6804-4142-A15E-C7034666A853}"/>
    <cellStyle name="Comma 2 2 6 17" xfId="31546" xr:uid="{EA6FA5E7-1F1D-4A6E-BB65-F324A9C9FE31}"/>
    <cellStyle name="Comma 2 2 6 18" xfId="33436" xr:uid="{46F162AE-C6CF-4CB9-B253-D59135FE4D3D}"/>
    <cellStyle name="Comma 2 2 6 19" xfId="35326" xr:uid="{5A465476-8857-40DB-A5B0-962D4591636E}"/>
    <cellStyle name="Comma 2 2 6 2" xfId="3196" xr:uid="{76E6EA05-0F26-45DC-AFB2-66C1324498BE}"/>
    <cellStyle name="Comma 2 2 6 20" xfId="37216" xr:uid="{744330A0-9C28-4720-979F-2DBB45CE480E}"/>
    <cellStyle name="Comma 2 2 6 21" xfId="39106" xr:uid="{1BC8B1BB-0049-4C56-A7CF-94663FC0F44F}"/>
    <cellStyle name="Comma 2 2 6 22" xfId="40997" xr:uid="{FF044CE5-A489-4C2D-927F-508FACA22012}"/>
    <cellStyle name="Comma 2 2 6 3" xfId="5086" xr:uid="{F77162DB-B42A-4766-96F8-92089B70C598}"/>
    <cellStyle name="Comma 2 2 6 4" xfId="6976" xr:uid="{DFD8E7AD-1DB8-4CBF-87FA-245BB6553BFC}"/>
    <cellStyle name="Comma 2 2 6 5" xfId="8866" xr:uid="{1F5AA1AA-BEFC-49DA-A205-95B6CCBFAFDC}"/>
    <cellStyle name="Comma 2 2 6 6" xfId="10756" xr:uid="{64E461D9-5374-42DB-AA06-0DC3D91D4F6B}"/>
    <cellStyle name="Comma 2 2 6 7" xfId="12646" xr:uid="{A2B8679D-5264-4C77-B54A-8C82953F4752}"/>
    <cellStyle name="Comma 2 2 6 8" xfId="14536" xr:uid="{78A643C9-C5BA-484E-BB9A-8B321BDAE468}"/>
    <cellStyle name="Comma 2 2 6 9" xfId="16426" xr:uid="{0D13CDAF-F438-4C3F-8C64-8FF5EBC63DCD}"/>
    <cellStyle name="Comma 2 2 7" xfId="1936" xr:uid="{C6B97879-A27A-4DD2-B0C9-FF5D5CB2512D}"/>
    <cellStyle name="Comma 2 2 8" xfId="3826" xr:uid="{CCE30E22-44ED-4912-83CC-0B6195C1D9DA}"/>
    <cellStyle name="Comma 2 2 9" xfId="5716" xr:uid="{E48C1FBC-7A01-4030-930C-CF14E662DACD}"/>
    <cellStyle name="Comma 2 20" xfId="18933" xr:uid="{31380E71-9DB8-41EF-969C-58E663B326EA}"/>
    <cellStyle name="Comma 2 21" xfId="20823" xr:uid="{E196E478-A9E7-4D05-899D-506A947EBB30}"/>
    <cellStyle name="Comma 2 22" xfId="22713" xr:uid="{667FE0C1-D787-4A13-9E57-785D959CF7DE}"/>
    <cellStyle name="Comma 2 23" xfId="24603" xr:uid="{1F9E0594-0D17-4EC9-B26E-B2B6394F5739}"/>
    <cellStyle name="Comma 2 24" xfId="26493" xr:uid="{F5CCA77C-557D-4DA6-AE0F-B14A70FF5222}"/>
    <cellStyle name="Comma 2 25" xfId="28383" xr:uid="{76E71C0B-84BC-471E-9968-D71B341E03D2}"/>
    <cellStyle name="Comma 2 26" xfId="30273" xr:uid="{ED1CEB4B-45A7-40E0-8B25-889B9C0AFF8D}"/>
    <cellStyle name="Comma 2 27" xfId="32163" xr:uid="{7E5ECC2C-A998-46CC-B7A3-1E2768732CAE}"/>
    <cellStyle name="Comma 2 28" xfId="34053" xr:uid="{E6BD2B45-EB28-4E09-98B5-4E4E682FAC6D}"/>
    <cellStyle name="Comma 2 29" xfId="35943" xr:uid="{7ADDB902-BAA4-424A-BD16-D8000B0CB9E2}"/>
    <cellStyle name="Comma 2 3" xfId="33" xr:uid="{1BB000DC-0AC8-42DE-BA96-A66424113B99}"/>
    <cellStyle name="Comma 2 3 10" xfId="7615" xr:uid="{20C4D628-859B-45D7-B600-595FF255554E}"/>
    <cellStyle name="Comma 2 3 11" xfId="9505" xr:uid="{FFCB4169-3663-435E-809B-C2760BFCDDB1}"/>
    <cellStyle name="Comma 2 3 12" xfId="11395" xr:uid="{C89BDFEC-41E6-45F1-BB18-88E3FC5334A0}"/>
    <cellStyle name="Comma 2 3 13" xfId="13285" xr:uid="{B9AFFAF1-03DC-446F-81A7-17C3683DA664}"/>
    <cellStyle name="Comma 2 3 14" xfId="15175" xr:uid="{EAAE5898-B6E1-4EFB-876A-F996081CAD75}"/>
    <cellStyle name="Comma 2 3 15" xfId="17065" xr:uid="{616CC128-D529-4A55-A2C8-158E46C0081C}"/>
    <cellStyle name="Comma 2 3 16" xfId="18955" xr:uid="{17B2EA3A-B3FF-4CCC-AACA-2772FDACAB8A}"/>
    <cellStyle name="Comma 2 3 17" xfId="20845" xr:uid="{201D4385-6B52-49FA-B9E6-CA4FE5563A38}"/>
    <cellStyle name="Comma 2 3 18" xfId="22735" xr:uid="{83105548-9FAA-4581-8D88-EC5B0DE72D4C}"/>
    <cellStyle name="Comma 2 3 19" xfId="24625" xr:uid="{48EE33ED-0633-43BF-B826-B170281EFF52}"/>
    <cellStyle name="Comma 2 3 2" xfId="160" xr:uid="{B7A7B647-DE2F-4C0A-A615-8E7DE6B1F4D7}"/>
    <cellStyle name="Comma 2 3 2 10" xfId="9610" xr:uid="{E09F83ED-34A4-4DA2-92F7-7EB8462F05DA}"/>
    <cellStyle name="Comma 2 3 2 11" xfId="11500" xr:uid="{D1133D12-351C-4AF8-9641-715FD27CE125}"/>
    <cellStyle name="Comma 2 3 2 12" xfId="13390" xr:uid="{695568AC-31CE-4893-8B53-06FA8530C47E}"/>
    <cellStyle name="Comma 2 3 2 13" xfId="15280" xr:uid="{2E3BDB5A-7342-4EA8-AC5C-EB6A28904C3C}"/>
    <cellStyle name="Comma 2 3 2 14" xfId="17170" xr:uid="{A8C81930-9B80-4D24-93B3-A3272685A644}"/>
    <cellStyle name="Comma 2 3 2 15" xfId="19060" xr:uid="{AFEA6562-33A2-4A60-83F0-E39CC693B4D1}"/>
    <cellStyle name="Comma 2 3 2 16" xfId="20950" xr:uid="{44311179-2277-462C-ADB6-7CCFA91E1C17}"/>
    <cellStyle name="Comma 2 3 2 17" xfId="22840" xr:uid="{7F68E8AA-9AD5-49FC-A44F-B89A288DF1A7}"/>
    <cellStyle name="Comma 2 3 2 18" xfId="24730" xr:uid="{B899A965-7249-4CBF-8EDD-373B7573E5D4}"/>
    <cellStyle name="Comma 2 3 2 19" xfId="26620" xr:uid="{B9B9CB53-14A9-40D1-A28A-C6BAC050025A}"/>
    <cellStyle name="Comma 2 3 2 2" xfId="370" xr:uid="{1FFEC26B-734C-4D17-B77C-300E45D52B12}"/>
    <cellStyle name="Comma 2 3 2 2 10" xfId="13600" xr:uid="{D8FF4A56-4C63-423C-AAAD-C9224A69E155}"/>
    <cellStyle name="Comma 2 3 2 2 11" xfId="15490" xr:uid="{FA44DDA8-C078-45A2-B1EA-C87C06DA728C}"/>
    <cellStyle name="Comma 2 3 2 2 12" xfId="17380" xr:uid="{119BC888-379F-40D9-80A1-398AA929FFFD}"/>
    <cellStyle name="Comma 2 3 2 2 13" xfId="19270" xr:uid="{0381C4FE-33B8-4B22-8CA4-2EB002869C14}"/>
    <cellStyle name="Comma 2 3 2 2 14" xfId="21160" xr:uid="{063091C4-19CB-4574-AC33-BEA9DE95F4FE}"/>
    <cellStyle name="Comma 2 3 2 2 15" xfId="23050" xr:uid="{833ED002-00C4-44AF-94E9-A5B3FEEE418D}"/>
    <cellStyle name="Comma 2 3 2 2 16" xfId="24940" xr:uid="{1B705F99-7D46-4B16-9570-8F9D7147BE03}"/>
    <cellStyle name="Comma 2 3 2 2 17" xfId="26830" xr:uid="{7D14DA46-C4FB-45E5-B8BD-BC510A648337}"/>
    <cellStyle name="Comma 2 3 2 2 18" xfId="28720" xr:uid="{5A0316BC-2F03-40D5-BC3F-4F7EAA79354B}"/>
    <cellStyle name="Comma 2 3 2 2 19" xfId="30610" xr:uid="{4D059D02-B814-4226-9C6A-095B6F3CF205}"/>
    <cellStyle name="Comma 2 3 2 2 2" xfId="1000" xr:uid="{3589F5CB-F8EE-446C-AE79-84A4E270B73F}"/>
    <cellStyle name="Comma 2 3 2 2 2 10" xfId="18010" xr:uid="{9EC55B76-8AD9-4387-A439-38C73F203F86}"/>
    <cellStyle name="Comma 2 3 2 2 2 11" xfId="19900" xr:uid="{58C25B56-122D-45FC-8FB9-58D4C8CA54A6}"/>
    <cellStyle name="Comma 2 3 2 2 2 12" xfId="21790" xr:uid="{580BD8A1-1C7A-48C0-94D0-DBC6AF875C26}"/>
    <cellStyle name="Comma 2 3 2 2 2 13" xfId="23680" xr:uid="{4F01A6D8-F190-41FB-816C-25991147851F}"/>
    <cellStyle name="Comma 2 3 2 2 2 14" xfId="25570" xr:uid="{A96365EF-79B4-4BB6-B6F8-5F8190037495}"/>
    <cellStyle name="Comma 2 3 2 2 2 15" xfId="27460" xr:uid="{106709A2-EF5B-4975-9DE8-A0BCCC9EA6F6}"/>
    <cellStyle name="Comma 2 3 2 2 2 16" xfId="29350" xr:uid="{C76C475C-45E4-4CC5-B039-1ABBA8CCEAEA}"/>
    <cellStyle name="Comma 2 3 2 2 2 17" xfId="31240" xr:uid="{E321099C-4CA9-4CB0-81D6-6F43E12150E1}"/>
    <cellStyle name="Comma 2 3 2 2 2 18" xfId="33130" xr:uid="{473E46C1-8441-436C-8395-5080B2EF39DC}"/>
    <cellStyle name="Comma 2 3 2 2 2 19" xfId="35020" xr:uid="{0CFA66C1-1B10-4A84-B92B-DB7F1C5E8CDE}"/>
    <cellStyle name="Comma 2 3 2 2 2 2" xfId="2890" xr:uid="{7D44DF39-7451-47C0-A283-9246911F4005}"/>
    <cellStyle name="Comma 2 3 2 2 2 20" xfId="36910" xr:uid="{1B37DA78-3391-4972-A336-6D1281F071D7}"/>
    <cellStyle name="Comma 2 3 2 2 2 21" xfId="38800" xr:uid="{718E4E91-CBA4-4617-BC79-CB71A45EDE68}"/>
    <cellStyle name="Comma 2 3 2 2 2 22" xfId="40691" xr:uid="{E7D8D059-A378-4158-A048-C8F4A8BBFB05}"/>
    <cellStyle name="Comma 2 3 2 2 2 3" xfId="4780" xr:uid="{B239D09F-878F-4BFD-B259-2AA1638926FD}"/>
    <cellStyle name="Comma 2 3 2 2 2 4" xfId="6670" xr:uid="{59B87774-C622-4023-B9BC-3958DA5632CF}"/>
    <cellStyle name="Comma 2 3 2 2 2 5" xfId="8560" xr:uid="{B6216DCC-2288-4B52-841D-1ABFC33E0685}"/>
    <cellStyle name="Comma 2 3 2 2 2 6" xfId="10450" xr:uid="{EC515E92-479F-4EA0-B710-9D6F3B63AEA0}"/>
    <cellStyle name="Comma 2 3 2 2 2 7" xfId="12340" xr:uid="{1DF92357-059F-4AE7-8FC0-F890E0350C1E}"/>
    <cellStyle name="Comma 2 3 2 2 2 8" xfId="14230" xr:uid="{B1764B68-CC9D-4FA5-92F1-987971A59C63}"/>
    <cellStyle name="Comma 2 3 2 2 2 9" xfId="16120" xr:uid="{0F7750BC-3231-4693-95FB-450D6D0F52BC}"/>
    <cellStyle name="Comma 2 3 2 2 20" xfId="32500" xr:uid="{16BC40F9-5741-49AA-99C4-264476BAA1EC}"/>
    <cellStyle name="Comma 2 3 2 2 21" xfId="34390" xr:uid="{B2E3E7A7-95B7-48BF-B814-CC7B6C1904B8}"/>
    <cellStyle name="Comma 2 3 2 2 22" xfId="36280" xr:uid="{CF3FFB80-A0B1-4D38-8699-994CBA8082FE}"/>
    <cellStyle name="Comma 2 3 2 2 23" xfId="38170" xr:uid="{064B8617-2270-4FE9-911F-9CE2818C32BE}"/>
    <cellStyle name="Comma 2 3 2 2 24" xfId="40061" xr:uid="{B1C52FE6-197C-4A93-8E31-90E7886896A2}"/>
    <cellStyle name="Comma 2 3 2 2 3" xfId="1630" xr:uid="{639024CB-D4FE-4095-B525-E2B7CF2B9050}"/>
    <cellStyle name="Comma 2 3 2 2 3 10" xfId="18640" xr:uid="{36DCAAC1-7D4E-4D27-B99C-02FF4779E169}"/>
    <cellStyle name="Comma 2 3 2 2 3 11" xfId="20530" xr:uid="{7844C7B9-4A86-49EF-B2EF-A631BE02F67F}"/>
    <cellStyle name="Comma 2 3 2 2 3 12" xfId="22420" xr:uid="{5816DBE7-0059-49CA-9205-4A395EF2822C}"/>
    <cellStyle name="Comma 2 3 2 2 3 13" xfId="24310" xr:uid="{4CD5FB21-F679-4D00-BE9F-088919A69C09}"/>
    <cellStyle name="Comma 2 3 2 2 3 14" xfId="26200" xr:uid="{C3322702-C828-40E1-A565-6DA829D23D1B}"/>
    <cellStyle name="Comma 2 3 2 2 3 15" xfId="28090" xr:uid="{B6F3200D-8C2E-4A3C-98AD-E0585E1AC3AE}"/>
    <cellStyle name="Comma 2 3 2 2 3 16" xfId="29980" xr:uid="{DDB4910A-4029-4DA3-8B08-9E9A98D92F25}"/>
    <cellStyle name="Comma 2 3 2 2 3 17" xfId="31870" xr:uid="{9234FF31-A02B-4FD6-A845-0611F80B720C}"/>
    <cellStyle name="Comma 2 3 2 2 3 18" xfId="33760" xr:uid="{35F1018C-5C15-4E83-908A-3BD6FCF25EA3}"/>
    <cellStyle name="Comma 2 3 2 2 3 19" xfId="35650" xr:uid="{7D1BAB09-14EF-4EF1-864C-E9FF1EA596A6}"/>
    <cellStyle name="Comma 2 3 2 2 3 2" xfId="3520" xr:uid="{00A58F36-2569-4371-876F-0317181FDDBE}"/>
    <cellStyle name="Comma 2 3 2 2 3 20" xfId="37540" xr:uid="{D8E48031-9098-4F7B-8E74-F61BABFCA7DC}"/>
    <cellStyle name="Comma 2 3 2 2 3 21" xfId="39430" xr:uid="{2A6530B3-9A21-42F4-A2C3-7CBA02909AD4}"/>
    <cellStyle name="Comma 2 3 2 2 3 22" xfId="41321" xr:uid="{7C7979DF-734B-4B2F-BD3C-35D866188FF5}"/>
    <cellStyle name="Comma 2 3 2 2 3 3" xfId="5410" xr:uid="{D470F27F-C371-4978-89AB-5B71E6BB0F27}"/>
    <cellStyle name="Comma 2 3 2 2 3 4" xfId="7300" xr:uid="{4E291602-A007-472B-93D6-31F6EF3B2061}"/>
    <cellStyle name="Comma 2 3 2 2 3 5" xfId="9190" xr:uid="{1234E202-2FB8-4AE7-9FC9-457FAD9C0A59}"/>
    <cellStyle name="Comma 2 3 2 2 3 6" xfId="11080" xr:uid="{F11FE25D-58F0-439B-9BE7-D378FE0734E5}"/>
    <cellStyle name="Comma 2 3 2 2 3 7" xfId="12970" xr:uid="{6C0DDD70-DDAA-46F2-AD90-C6C785A75386}"/>
    <cellStyle name="Comma 2 3 2 2 3 8" xfId="14860" xr:uid="{15050842-8EE5-4E05-BCA2-0F564DD4BC4C}"/>
    <cellStyle name="Comma 2 3 2 2 3 9" xfId="16750" xr:uid="{AAACDFBA-875C-4D46-87D4-4E682E5F19B6}"/>
    <cellStyle name="Comma 2 3 2 2 4" xfId="2260" xr:uid="{7B7FBC31-6508-4C49-833D-B4ECCEE8AD6C}"/>
    <cellStyle name="Comma 2 3 2 2 5" xfId="4150" xr:uid="{0D659836-10FA-4990-A173-EF3A562BEFF8}"/>
    <cellStyle name="Comma 2 3 2 2 6" xfId="6040" xr:uid="{B9E3704A-0243-41CF-96E2-1A5FEF418654}"/>
    <cellStyle name="Comma 2 3 2 2 7" xfId="7930" xr:uid="{8E9A6D6C-38EE-468C-AEB5-FEDC8DB3977B}"/>
    <cellStyle name="Comma 2 3 2 2 8" xfId="9820" xr:uid="{3F5B77E7-D67A-4FBC-AEE3-323CDCED2145}"/>
    <cellStyle name="Comma 2 3 2 2 9" xfId="11710" xr:uid="{460CBFA0-EF94-456D-BCC3-08779740AB3F}"/>
    <cellStyle name="Comma 2 3 2 20" xfId="28510" xr:uid="{8B919FD4-F85C-46A1-A21B-0012C9D89714}"/>
    <cellStyle name="Comma 2 3 2 21" xfId="30400" xr:uid="{A01516BA-AC69-4866-9FD3-FDFA0BB7F016}"/>
    <cellStyle name="Comma 2 3 2 22" xfId="32290" xr:uid="{1625AF82-CFC0-41E2-A5C7-0B6BC99C2836}"/>
    <cellStyle name="Comma 2 3 2 23" xfId="34180" xr:uid="{96A3DF48-8DE8-4807-B552-D39517F12285}"/>
    <cellStyle name="Comma 2 3 2 24" xfId="36070" xr:uid="{78BFBF98-1B89-4E30-A551-880AE330673F}"/>
    <cellStyle name="Comma 2 3 2 25" xfId="37960" xr:uid="{0E223F56-84D0-4652-AD3C-FB4B089CB353}"/>
    <cellStyle name="Comma 2 3 2 26" xfId="39851" xr:uid="{1A2E0819-FE52-401F-B758-F20905AB7F30}"/>
    <cellStyle name="Comma 2 3 2 3" xfId="580" xr:uid="{BF8B6684-7179-43DD-9F3D-1BB091D8EDBC}"/>
    <cellStyle name="Comma 2 3 2 3 10" xfId="13810" xr:uid="{2A899B82-87F1-459A-A792-F5FC4B8B2039}"/>
    <cellStyle name="Comma 2 3 2 3 11" xfId="15700" xr:uid="{8C5A4962-6083-4E2F-BAB2-42D39751B861}"/>
    <cellStyle name="Comma 2 3 2 3 12" xfId="17590" xr:uid="{2C86D7A7-28B0-4AA9-AEE6-8F899EFC96BB}"/>
    <cellStyle name="Comma 2 3 2 3 13" xfId="19480" xr:uid="{CB611EE9-C1E2-43B9-8FCC-3D3E106BC5B8}"/>
    <cellStyle name="Comma 2 3 2 3 14" xfId="21370" xr:uid="{6C7E86DD-2323-4DA3-BE9E-0C7B90D18764}"/>
    <cellStyle name="Comma 2 3 2 3 15" xfId="23260" xr:uid="{BFB90BFF-7E6B-47DE-9C00-E32D1E545C3E}"/>
    <cellStyle name="Comma 2 3 2 3 16" xfId="25150" xr:uid="{34D12FA7-5E72-4865-B766-65DC03327FB4}"/>
    <cellStyle name="Comma 2 3 2 3 17" xfId="27040" xr:uid="{9D6437A9-943D-4D8B-BD21-8FA99DEBFFEB}"/>
    <cellStyle name="Comma 2 3 2 3 18" xfId="28930" xr:uid="{232A0550-C3F6-4801-866C-9726E2052748}"/>
    <cellStyle name="Comma 2 3 2 3 19" xfId="30820" xr:uid="{C565ADD1-DD4C-4D3B-B369-F08B3CB53815}"/>
    <cellStyle name="Comma 2 3 2 3 2" xfId="1210" xr:uid="{1A2874DC-DBC8-4562-933B-5C7D249ED80E}"/>
    <cellStyle name="Comma 2 3 2 3 2 10" xfId="18220" xr:uid="{420BD18A-1944-42FD-815D-C690A02CB4DB}"/>
    <cellStyle name="Comma 2 3 2 3 2 11" xfId="20110" xr:uid="{ACFCC841-BB0C-41CC-A90A-7BE921BF0734}"/>
    <cellStyle name="Comma 2 3 2 3 2 12" xfId="22000" xr:uid="{5F414F4F-58A0-4596-B4E9-72CA476D7D4F}"/>
    <cellStyle name="Comma 2 3 2 3 2 13" xfId="23890" xr:uid="{291BF151-0AA2-422A-A965-2D0E0244D408}"/>
    <cellStyle name="Comma 2 3 2 3 2 14" xfId="25780" xr:uid="{85F5F00E-BE16-4767-BB84-5074023DFA29}"/>
    <cellStyle name="Comma 2 3 2 3 2 15" xfId="27670" xr:uid="{D9D95190-F3AB-432F-9C50-BFCE258A89A8}"/>
    <cellStyle name="Comma 2 3 2 3 2 16" xfId="29560" xr:uid="{76D125C2-20BB-4E46-8905-8FE8758A90C1}"/>
    <cellStyle name="Comma 2 3 2 3 2 17" xfId="31450" xr:uid="{B558B63E-6D20-4127-AFE6-09B5476D935E}"/>
    <cellStyle name="Comma 2 3 2 3 2 18" xfId="33340" xr:uid="{C8A321B4-22A5-4199-B1BF-F3C884309B41}"/>
    <cellStyle name="Comma 2 3 2 3 2 19" xfId="35230" xr:uid="{C80EE7DE-AAFB-470C-BE12-6172F73E9969}"/>
    <cellStyle name="Comma 2 3 2 3 2 2" xfId="3100" xr:uid="{CE5016DC-3138-4837-8EBA-01A8A680D4F4}"/>
    <cellStyle name="Comma 2 3 2 3 2 20" xfId="37120" xr:uid="{1F095116-C0C3-4081-8A11-4F6E0BC8B45A}"/>
    <cellStyle name="Comma 2 3 2 3 2 21" xfId="39010" xr:uid="{F1023B0A-9CA2-46D9-B880-F2765D36B58F}"/>
    <cellStyle name="Comma 2 3 2 3 2 22" xfId="40901" xr:uid="{B4B28287-2355-4F13-8BE3-4C45004F1FB5}"/>
    <cellStyle name="Comma 2 3 2 3 2 3" xfId="4990" xr:uid="{E3B3D1D0-BD63-4516-AB5D-CDFF98884BDE}"/>
    <cellStyle name="Comma 2 3 2 3 2 4" xfId="6880" xr:uid="{A1BA9202-6CC5-4D1B-8E85-ED8BEAC9B09B}"/>
    <cellStyle name="Comma 2 3 2 3 2 5" xfId="8770" xr:uid="{036BD0F7-2C36-46D5-9583-DC8A3E3AC415}"/>
    <cellStyle name="Comma 2 3 2 3 2 6" xfId="10660" xr:uid="{B84EE89F-9C16-479D-9936-2E35EB2B6ADF}"/>
    <cellStyle name="Comma 2 3 2 3 2 7" xfId="12550" xr:uid="{744C932F-F394-4E14-8683-4881076A047C}"/>
    <cellStyle name="Comma 2 3 2 3 2 8" xfId="14440" xr:uid="{5E02E266-A09C-421E-BFE5-90B861486926}"/>
    <cellStyle name="Comma 2 3 2 3 2 9" xfId="16330" xr:uid="{10ADF1D7-661F-4C29-8078-CCC0140221CB}"/>
    <cellStyle name="Comma 2 3 2 3 20" xfId="32710" xr:uid="{94185AB7-D9A7-4546-B7A1-F7C977FB6B06}"/>
    <cellStyle name="Comma 2 3 2 3 21" xfId="34600" xr:uid="{16D1C6B0-CBBC-45CF-A74F-6CC29A8E8008}"/>
    <cellStyle name="Comma 2 3 2 3 22" xfId="36490" xr:uid="{166D6F89-489C-463F-A744-6BC8C9CE9173}"/>
    <cellStyle name="Comma 2 3 2 3 23" xfId="38380" xr:uid="{1EFB2E80-3AD6-466E-8B2B-CF60B4ADF712}"/>
    <cellStyle name="Comma 2 3 2 3 24" xfId="40271" xr:uid="{DED8FF9A-1A6E-47E7-BE71-17BDDDDAF575}"/>
    <cellStyle name="Comma 2 3 2 3 3" xfId="1840" xr:uid="{F1123A64-650B-406C-8B6A-4EDB5854ED8A}"/>
    <cellStyle name="Comma 2 3 2 3 3 10" xfId="18850" xr:uid="{EE6307DB-5511-4818-8EA7-155ECB4D8E48}"/>
    <cellStyle name="Comma 2 3 2 3 3 11" xfId="20740" xr:uid="{F2DC1AAF-453D-4C2F-B4D1-436D4D566712}"/>
    <cellStyle name="Comma 2 3 2 3 3 12" xfId="22630" xr:uid="{73DE5B5E-D241-4328-B774-ACA3F6FD7709}"/>
    <cellStyle name="Comma 2 3 2 3 3 13" xfId="24520" xr:uid="{956DDC7C-325C-4539-89B3-7C18180D9133}"/>
    <cellStyle name="Comma 2 3 2 3 3 14" xfId="26410" xr:uid="{3723E74D-8132-4C11-800F-8076BE2153EB}"/>
    <cellStyle name="Comma 2 3 2 3 3 15" xfId="28300" xr:uid="{9940C60C-87DC-4EF6-8D53-E6925ED681CE}"/>
    <cellStyle name="Comma 2 3 2 3 3 16" xfId="30190" xr:uid="{E8660E12-0C19-4D83-B8FD-99AA1FBFA4CF}"/>
    <cellStyle name="Comma 2 3 2 3 3 17" xfId="32080" xr:uid="{13F1DBDE-F2BD-455E-B2D3-7A93C41B1874}"/>
    <cellStyle name="Comma 2 3 2 3 3 18" xfId="33970" xr:uid="{702AECCE-FB1F-4754-8EE5-E6BF8BC72D7A}"/>
    <cellStyle name="Comma 2 3 2 3 3 19" xfId="35860" xr:uid="{E62E774C-4AE2-4474-B354-A679363C4870}"/>
    <cellStyle name="Comma 2 3 2 3 3 2" xfId="3730" xr:uid="{0CC821CC-C452-44CA-B1D7-B03E8318577A}"/>
    <cellStyle name="Comma 2 3 2 3 3 20" xfId="37750" xr:uid="{1B8BAC51-7B85-41CB-86CF-D86749C1FC8B}"/>
    <cellStyle name="Comma 2 3 2 3 3 21" xfId="39640" xr:uid="{82986BC6-D59F-4686-9117-E7F80BE72FDD}"/>
    <cellStyle name="Comma 2 3 2 3 3 22" xfId="41531" xr:uid="{74A0B54E-27A5-44C6-8596-98C0A9E08BBB}"/>
    <cellStyle name="Comma 2 3 2 3 3 3" xfId="5620" xr:uid="{D4DE7ED2-1802-4DA2-8910-6D40674F9DA4}"/>
    <cellStyle name="Comma 2 3 2 3 3 4" xfId="7510" xr:uid="{B05690A3-DC42-472B-A7C6-0D50CA192191}"/>
    <cellStyle name="Comma 2 3 2 3 3 5" xfId="9400" xr:uid="{C66104A6-2ECE-429E-8C16-C451E59F4500}"/>
    <cellStyle name="Comma 2 3 2 3 3 6" xfId="11290" xr:uid="{CE021780-D353-4008-9219-2538E1FB49F6}"/>
    <cellStyle name="Comma 2 3 2 3 3 7" xfId="13180" xr:uid="{73D59C80-95B6-4513-AAFB-FA94EE125AC3}"/>
    <cellStyle name="Comma 2 3 2 3 3 8" xfId="15070" xr:uid="{60B378D8-C517-47BC-A0B4-FEA9C8F604A3}"/>
    <cellStyle name="Comma 2 3 2 3 3 9" xfId="16960" xr:uid="{F78E0E5C-5618-4F32-BE40-281F0C8218BC}"/>
    <cellStyle name="Comma 2 3 2 3 4" xfId="2470" xr:uid="{DB272BA5-FFBC-4603-82EA-91768FEA2DD8}"/>
    <cellStyle name="Comma 2 3 2 3 5" xfId="4360" xr:uid="{872A2F5B-5018-4EC6-A870-2F69141A34B7}"/>
    <cellStyle name="Comma 2 3 2 3 6" xfId="6250" xr:uid="{9BF2026E-98C9-415C-856A-42E314A683D2}"/>
    <cellStyle name="Comma 2 3 2 3 7" xfId="8140" xr:uid="{1C99944F-B576-4E12-B56B-ADBF4ACB6481}"/>
    <cellStyle name="Comma 2 3 2 3 8" xfId="10030" xr:uid="{D73055A5-0E38-4249-9D24-C214201D1106}"/>
    <cellStyle name="Comma 2 3 2 3 9" xfId="11920" xr:uid="{1A69FFB2-E6D6-4F85-8257-3B433EB6011A}"/>
    <cellStyle name="Comma 2 3 2 4" xfId="790" xr:uid="{410509A7-DF79-4FD8-AA29-91EE2D193117}"/>
    <cellStyle name="Comma 2 3 2 4 10" xfId="17800" xr:uid="{5010AB8F-D35F-450B-AC7A-A043D9ACE1B0}"/>
    <cellStyle name="Comma 2 3 2 4 11" xfId="19690" xr:uid="{FFE1F877-ABD9-44F6-B2EB-3393991A30B7}"/>
    <cellStyle name="Comma 2 3 2 4 12" xfId="21580" xr:uid="{F4F8E9C5-1A66-497D-B882-060344DA214E}"/>
    <cellStyle name="Comma 2 3 2 4 13" xfId="23470" xr:uid="{5FE26820-A813-4777-A0B6-4A2E83C1B1F7}"/>
    <cellStyle name="Comma 2 3 2 4 14" xfId="25360" xr:uid="{97599187-98CD-454E-BDC1-B85A8D2C0E34}"/>
    <cellStyle name="Comma 2 3 2 4 15" xfId="27250" xr:uid="{3FC26EB3-B19C-4545-B094-012D8DA0A782}"/>
    <cellStyle name="Comma 2 3 2 4 16" xfId="29140" xr:uid="{923DD031-4216-460C-8958-5F565F1AB166}"/>
    <cellStyle name="Comma 2 3 2 4 17" xfId="31030" xr:uid="{1680F099-ACBD-4B5D-A09D-309C7EF284A3}"/>
    <cellStyle name="Comma 2 3 2 4 18" xfId="32920" xr:uid="{8D00349F-81F6-474D-9FF6-BC4A080A55CA}"/>
    <cellStyle name="Comma 2 3 2 4 19" xfId="34810" xr:uid="{2A1EEE76-9294-49BD-BACB-AF71AE85E8A0}"/>
    <cellStyle name="Comma 2 3 2 4 2" xfId="2680" xr:uid="{6744C3C2-1652-4A07-A279-CA8CB6403038}"/>
    <cellStyle name="Comma 2 3 2 4 20" xfId="36700" xr:uid="{B1FFEA94-157E-40EC-A29E-1E72BB6BB90B}"/>
    <cellStyle name="Comma 2 3 2 4 21" xfId="38590" xr:uid="{7032582D-094A-4D17-840D-ED32C6B20471}"/>
    <cellStyle name="Comma 2 3 2 4 22" xfId="40481" xr:uid="{20CF8C2B-235D-4B42-9CE4-A4A608BAA09C}"/>
    <cellStyle name="Comma 2 3 2 4 3" xfId="4570" xr:uid="{EE621615-0F4B-4A9B-8DAC-AF278640F38C}"/>
    <cellStyle name="Comma 2 3 2 4 4" xfId="6460" xr:uid="{9E9F47AD-0524-4ADD-93A6-F7148B6602DB}"/>
    <cellStyle name="Comma 2 3 2 4 5" xfId="8350" xr:uid="{2DEEEB13-B287-4B4D-A94B-B7C5B715D1C7}"/>
    <cellStyle name="Comma 2 3 2 4 6" xfId="10240" xr:uid="{DBFA8C7E-512F-4DBF-8FF0-35E8E5FA1876}"/>
    <cellStyle name="Comma 2 3 2 4 7" xfId="12130" xr:uid="{B3C68B42-3CB2-40A4-90F2-91AFD0E5CBF9}"/>
    <cellStyle name="Comma 2 3 2 4 8" xfId="14020" xr:uid="{FD526B78-606D-4A12-B413-932BBF0D4A0C}"/>
    <cellStyle name="Comma 2 3 2 4 9" xfId="15910" xr:uid="{B5490CE5-74CF-4BB4-BB19-296FC0EC73C3}"/>
    <cellStyle name="Comma 2 3 2 5" xfId="1420" xr:uid="{A22BC7AB-8EDE-433B-A31A-12B25A9E98CB}"/>
    <cellStyle name="Comma 2 3 2 5 10" xfId="18430" xr:uid="{79EE5340-8462-457B-BA13-2367B3241316}"/>
    <cellStyle name="Comma 2 3 2 5 11" xfId="20320" xr:uid="{D4F67506-313A-4636-925D-AA3B794C4AD6}"/>
    <cellStyle name="Comma 2 3 2 5 12" xfId="22210" xr:uid="{2554E289-3516-442B-9ABE-E291ADDB546D}"/>
    <cellStyle name="Comma 2 3 2 5 13" xfId="24100" xr:uid="{B99E7710-8823-4C84-889E-F48AAA4885CC}"/>
    <cellStyle name="Comma 2 3 2 5 14" xfId="25990" xr:uid="{386FDCF1-E999-47FE-9A30-D2D07952F425}"/>
    <cellStyle name="Comma 2 3 2 5 15" xfId="27880" xr:uid="{822B0A25-7788-4949-831C-9A046416D679}"/>
    <cellStyle name="Comma 2 3 2 5 16" xfId="29770" xr:uid="{01B2B150-67A3-49E6-B849-14AF123BAD84}"/>
    <cellStyle name="Comma 2 3 2 5 17" xfId="31660" xr:uid="{070765DB-B58D-4DA4-9FCF-1DCBBC84CBB6}"/>
    <cellStyle name="Comma 2 3 2 5 18" xfId="33550" xr:uid="{EA5EE39E-E00B-4FA5-8D7F-9149B7CF436B}"/>
    <cellStyle name="Comma 2 3 2 5 19" xfId="35440" xr:uid="{20ADDA51-D323-475B-AF94-A8A6BA19BED3}"/>
    <cellStyle name="Comma 2 3 2 5 2" xfId="3310" xr:uid="{D1636C16-2607-4997-A4AE-FDEE357A43AB}"/>
    <cellStyle name="Comma 2 3 2 5 20" xfId="37330" xr:uid="{0F76DD47-70A1-4B06-B4D2-DE395F40F184}"/>
    <cellStyle name="Comma 2 3 2 5 21" xfId="39220" xr:uid="{DAEADDAD-552D-4973-9A26-D90F11C699CB}"/>
    <cellStyle name="Comma 2 3 2 5 22" xfId="41111" xr:uid="{A40AE341-A68E-4971-8583-427E97B23F2C}"/>
    <cellStyle name="Comma 2 3 2 5 3" xfId="5200" xr:uid="{490A7B7C-37CD-4653-86F3-F46C62705B4E}"/>
    <cellStyle name="Comma 2 3 2 5 4" xfId="7090" xr:uid="{0ADE14B6-EDAE-4B7D-BE7B-4BD0AE273A33}"/>
    <cellStyle name="Comma 2 3 2 5 5" xfId="8980" xr:uid="{3D1FA70E-FDD7-4A86-A598-A30225E83957}"/>
    <cellStyle name="Comma 2 3 2 5 6" xfId="10870" xr:uid="{D53EC001-311D-4614-870F-D216FC827151}"/>
    <cellStyle name="Comma 2 3 2 5 7" xfId="12760" xr:uid="{144CB675-0DC1-4700-A7CE-3DD685E3A730}"/>
    <cellStyle name="Comma 2 3 2 5 8" xfId="14650" xr:uid="{B433E42F-58A6-457F-B2A8-3411C6A40D1F}"/>
    <cellStyle name="Comma 2 3 2 5 9" xfId="16540" xr:uid="{2C3B417D-641B-4AEE-A48A-D79B78A4CC32}"/>
    <cellStyle name="Comma 2 3 2 6" xfId="2050" xr:uid="{D96741AA-4EA4-4132-8CB1-BBD2DE12D3B1}"/>
    <cellStyle name="Comma 2 3 2 7" xfId="3940" xr:uid="{35C3C1AE-BDFB-4279-8D69-74EBE313F173}"/>
    <cellStyle name="Comma 2 3 2 8" xfId="5830" xr:uid="{8F1DAE66-A12F-4C46-B9C6-41E863562044}"/>
    <cellStyle name="Comma 2 3 2 9" xfId="7720" xr:uid="{7951253B-D12D-437E-B4E8-45842E4D1273}"/>
    <cellStyle name="Comma 2 3 20" xfId="26515" xr:uid="{C419DFD2-AF8F-4109-8E1C-1EA158CD6230}"/>
    <cellStyle name="Comma 2 3 21" xfId="28405" xr:uid="{54957E4B-FA47-4375-BD7A-75EE767F01AD}"/>
    <cellStyle name="Comma 2 3 22" xfId="30295" xr:uid="{554E763C-F956-4560-B53D-D17F73E06F7B}"/>
    <cellStyle name="Comma 2 3 23" xfId="32185" xr:uid="{8C43C917-0C77-467D-A0A3-DD0A83C8CA28}"/>
    <cellStyle name="Comma 2 3 24" xfId="34075" xr:uid="{7793FF70-4AA6-428D-8E42-D462D00AFA59}"/>
    <cellStyle name="Comma 2 3 25" xfId="35965" xr:uid="{427F1606-90E4-4561-981D-BD4D60B64695}"/>
    <cellStyle name="Comma 2 3 26" xfId="37855" xr:uid="{28E29A20-0D3B-464A-9F4A-1D6B34741733}"/>
    <cellStyle name="Comma 2 3 27" xfId="39746" xr:uid="{5357A20E-DE6B-4007-917F-A6EE4D808359}"/>
    <cellStyle name="Comma 2 3 3" xfId="265" xr:uid="{43FCD178-2F9B-4499-A366-1A56039C10D7}"/>
    <cellStyle name="Comma 2 3 3 10" xfId="13495" xr:uid="{B5DB1770-CED2-466B-953D-67FD0DF3A97D}"/>
    <cellStyle name="Comma 2 3 3 11" xfId="15385" xr:uid="{06C2DAF2-DBB7-46CC-B717-5C00B07D4828}"/>
    <cellStyle name="Comma 2 3 3 12" xfId="17275" xr:uid="{400B84E6-22BF-4260-A9E8-80C065139DF6}"/>
    <cellStyle name="Comma 2 3 3 13" xfId="19165" xr:uid="{90C926FD-8C48-4E8C-AAB1-C0CDC0B3B14F}"/>
    <cellStyle name="Comma 2 3 3 14" xfId="21055" xr:uid="{6D520833-4A68-4B8D-9F5A-7B067229DAAF}"/>
    <cellStyle name="Comma 2 3 3 15" xfId="22945" xr:uid="{1025E130-F26B-457B-BA91-FDFF0D82D776}"/>
    <cellStyle name="Comma 2 3 3 16" xfId="24835" xr:uid="{D18CA94A-8FB4-4F2B-AB6E-FB83C1DA7C3A}"/>
    <cellStyle name="Comma 2 3 3 17" xfId="26725" xr:uid="{029A43F0-ED2E-4BB0-8A7D-1E85059E6A57}"/>
    <cellStyle name="Comma 2 3 3 18" xfId="28615" xr:uid="{6472B015-620A-4A3C-A279-87D680F4C22A}"/>
    <cellStyle name="Comma 2 3 3 19" xfId="30505" xr:uid="{05E109D0-B6FC-4AF4-8ADB-31339A2CA8F0}"/>
    <cellStyle name="Comma 2 3 3 2" xfId="895" xr:uid="{443B9655-B14D-4BE0-A8C3-04DE14B61EA9}"/>
    <cellStyle name="Comma 2 3 3 2 10" xfId="17905" xr:uid="{A4530EFA-767A-485C-A8C6-531755C19EAA}"/>
    <cellStyle name="Comma 2 3 3 2 11" xfId="19795" xr:uid="{8A420951-EE98-406E-9B34-4298D6E9A297}"/>
    <cellStyle name="Comma 2 3 3 2 12" xfId="21685" xr:uid="{A8B1AA76-A318-47BA-B3B8-C510DE938C52}"/>
    <cellStyle name="Comma 2 3 3 2 13" xfId="23575" xr:uid="{C5374BE1-0077-4CD5-A09D-A38FECE35FBE}"/>
    <cellStyle name="Comma 2 3 3 2 14" xfId="25465" xr:uid="{ED125A83-C64B-4172-9A37-27B08BE30DE7}"/>
    <cellStyle name="Comma 2 3 3 2 15" xfId="27355" xr:uid="{8C0D4B4C-6FEF-4EDA-BD27-381D21C10E55}"/>
    <cellStyle name="Comma 2 3 3 2 16" xfId="29245" xr:uid="{A9E5433F-57D5-4DF3-B5C9-93B94A1E5705}"/>
    <cellStyle name="Comma 2 3 3 2 17" xfId="31135" xr:uid="{80E69C51-7925-44A6-B01C-BD08D958B0D6}"/>
    <cellStyle name="Comma 2 3 3 2 18" xfId="33025" xr:uid="{C1E1CEF8-BE60-4715-A528-EEED5AB1CD6E}"/>
    <cellStyle name="Comma 2 3 3 2 19" xfId="34915" xr:uid="{AC615737-CA81-49DF-A785-5429A1E19365}"/>
    <cellStyle name="Comma 2 3 3 2 2" xfId="2785" xr:uid="{95DC1330-3225-411A-909C-C9356C39E467}"/>
    <cellStyle name="Comma 2 3 3 2 20" xfId="36805" xr:uid="{CC4E42AE-EFD2-497C-959C-5E82C3C6682D}"/>
    <cellStyle name="Comma 2 3 3 2 21" xfId="38695" xr:uid="{DFB8F77B-9869-45FB-BC6A-86F7E79A544E}"/>
    <cellStyle name="Comma 2 3 3 2 22" xfId="40586" xr:uid="{120F5B70-1832-4D6B-8D09-391D2440D0FF}"/>
    <cellStyle name="Comma 2 3 3 2 3" xfId="4675" xr:uid="{6C9D0F77-2FEB-4CF2-9A7F-B1F821A52CC6}"/>
    <cellStyle name="Comma 2 3 3 2 4" xfId="6565" xr:uid="{CCBEA17C-E0FD-4A65-8026-4A01F076E0F6}"/>
    <cellStyle name="Comma 2 3 3 2 5" xfId="8455" xr:uid="{5236FD5B-CEED-4E0A-8793-3A2042492B3F}"/>
    <cellStyle name="Comma 2 3 3 2 6" xfId="10345" xr:uid="{C90CEAF7-8783-4C65-8342-DF926E008C5E}"/>
    <cellStyle name="Comma 2 3 3 2 7" xfId="12235" xr:uid="{84927FFD-1401-4C38-B7FE-7A9AC3FFBFA8}"/>
    <cellStyle name="Comma 2 3 3 2 8" xfId="14125" xr:uid="{EEEED11C-535D-4E68-B6A8-3A7DE6328558}"/>
    <cellStyle name="Comma 2 3 3 2 9" xfId="16015" xr:uid="{FE3B2513-9A01-417A-8B19-C21D939781BD}"/>
    <cellStyle name="Comma 2 3 3 20" xfId="32395" xr:uid="{E545075B-FD91-4634-B4A8-597AC01C9E1E}"/>
    <cellStyle name="Comma 2 3 3 21" xfId="34285" xr:uid="{E35D7848-E9A9-44BD-A75E-AE00BC095933}"/>
    <cellStyle name="Comma 2 3 3 22" xfId="36175" xr:uid="{7846742D-F0A9-4AB5-9B74-22B6D8E6B3BB}"/>
    <cellStyle name="Comma 2 3 3 23" xfId="38065" xr:uid="{9804E74A-038B-4843-BE69-A438D11A1C0B}"/>
    <cellStyle name="Comma 2 3 3 24" xfId="39956" xr:uid="{EBE4AF64-3CDD-4B20-87C7-368679CCA157}"/>
    <cellStyle name="Comma 2 3 3 3" xfId="1525" xr:uid="{A79014AD-D595-4D46-9289-EA873C02DBFE}"/>
    <cellStyle name="Comma 2 3 3 3 10" xfId="18535" xr:uid="{538ECA7D-36FB-428B-ADFC-3094F3C68FB7}"/>
    <cellStyle name="Comma 2 3 3 3 11" xfId="20425" xr:uid="{FECC9B26-A3E2-48E4-B18F-D94945592C84}"/>
    <cellStyle name="Comma 2 3 3 3 12" xfId="22315" xr:uid="{D9A0565B-E140-4926-AB4F-A4824F0ACAA7}"/>
    <cellStyle name="Comma 2 3 3 3 13" xfId="24205" xr:uid="{95DCC184-EA50-4F1B-BE58-A2D0D2DC6955}"/>
    <cellStyle name="Comma 2 3 3 3 14" xfId="26095" xr:uid="{7A92EA74-B801-43EE-8D63-41158B75BC01}"/>
    <cellStyle name="Comma 2 3 3 3 15" xfId="27985" xr:uid="{D4CEA4AF-BC2E-4953-85A7-9F31C93CB5BD}"/>
    <cellStyle name="Comma 2 3 3 3 16" xfId="29875" xr:uid="{787E855F-7F61-4976-90BF-CB3C5BEED745}"/>
    <cellStyle name="Comma 2 3 3 3 17" xfId="31765" xr:uid="{28CC64C4-3D6A-49A0-96BA-C9F81FE4837D}"/>
    <cellStyle name="Comma 2 3 3 3 18" xfId="33655" xr:uid="{46E7A25C-D9BB-4860-9F8A-9F0DC6B31F38}"/>
    <cellStyle name="Comma 2 3 3 3 19" xfId="35545" xr:uid="{3D1AB9A9-F26B-4BA2-9797-2E57C82EC98E}"/>
    <cellStyle name="Comma 2 3 3 3 2" xfId="3415" xr:uid="{902BBA8F-F0E9-457F-9D99-61D04C9E4F01}"/>
    <cellStyle name="Comma 2 3 3 3 20" xfId="37435" xr:uid="{18BAD470-1E66-4D87-B398-10C1DE2725BE}"/>
    <cellStyle name="Comma 2 3 3 3 21" xfId="39325" xr:uid="{989498E5-74E4-43AC-9814-169D55476A68}"/>
    <cellStyle name="Comma 2 3 3 3 22" xfId="41216" xr:uid="{EF1BA57C-AD51-4EE3-A742-D864AF43CA2E}"/>
    <cellStyle name="Comma 2 3 3 3 3" xfId="5305" xr:uid="{0E542E32-3C46-4BE6-A655-6C9E480B314C}"/>
    <cellStyle name="Comma 2 3 3 3 4" xfId="7195" xr:uid="{8E88E33B-7FF1-46E7-B632-C7262B809897}"/>
    <cellStyle name="Comma 2 3 3 3 5" xfId="9085" xr:uid="{D2C3AF0D-5B1A-40B6-9E67-A82FE1FA6681}"/>
    <cellStyle name="Comma 2 3 3 3 6" xfId="10975" xr:uid="{23ABE043-5010-4E24-9B74-4B86F02AD2E2}"/>
    <cellStyle name="Comma 2 3 3 3 7" xfId="12865" xr:uid="{91AFF7E5-0821-4D23-A986-EC330412BC22}"/>
    <cellStyle name="Comma 2 3 3 3 8" xfId="14755" xr:uid="{FB70CF29-A505-44A1-9E9E-6B28ABBB7428}"/>
    <cellStyle name="Comma 2 3 3 3 9" xfId="16645" xr:uid="{523788CF-A6D4-478B-BEB1-5E3823560D6A}"/>
    <cellStyle name="Comma 2 3 3 4" xfId="2155" xr:uid="{20F6FB1B-5463-4A24-B056-6889B96C28D4}"/>
    <cellStyle name="Comma 2 3 3 5" xfId="4045" xr:uid="{35FF72B4-262D-442A-A877-463C7988AF4A}"/>
    <cellStyle name="Comma 2 3 3 6" xfId="5935" xr:uid="{399D3893-003A-4818-AABA-1DE0EF3BCDAD}"/>
    <cellStyle name="Comma 2 3 3 7" xfId="7825" xr:uid="{19ED18E1-72CF-48A9-9C46-A310169923DD}"/>
    <cellStyle name="Comma 2 3 3 8" xfId="9715" xr:uid="{AD5D2BAD-EE5B-4D1D-810A-A007A1EFEF9F}"/>
    <cellStyle name="Comma 2 3 3 9" xfId="11605" xr:uid="{EFFCDEC2-F663-487F-9D87-3FF4A5211F14}"/>
    <cellStyle name="Comma 2 3 4" xfId="475" xr:uid="{DA7FF43F-E2DB-4A26-92CD-DCFDD4717940}"/>
    <cellStyle name="Comma 2 3 4 10" xfId="13705" xr:uid="{282AB0E4-E9D0-4BE5-8C14-A45AF5E09067}"/>
    <cellStyle name="Comma 2 3 4 11" xfId="15595" xr:uid="{3EA2F2A5-ECD5-4EF3-A58B-527992673387}"/>
    <cellStyle name="Comma 2 3 4 12" xfId="17485" xr:uid="{6359A47A-2A86-46A6-B0D6-A0C142B26622}"/>
    <cellStyle name="Comma 2 3 4 13" xfId="19375" xr:uid="{1452FA7E-1806-4C5F-9716-B93FB712AF4B}"/>
    <cellStyle name="Comma 2 3 4 14" xfId="21265" xr:uid="{581BEBD3-C21F-494E-83AA-0E420E10DB9D}"/>
    <cellStyle name="Comma 2 3 4 15" xfId="23155" xr:uid="{931BEF39-9B66-42EC-8B01-948422386D28}"/>
    <cellStyle name="Comma 2 3 4 16" xfId="25045" xr:uid="{012850D6-3154-4D27-A6B1-C58559A0FFF8}"/>
    <cellStyle name="Comma 2 3 4 17" xfId="26935" xr:uid="{AF1ED9ED-E673-4DE6-A410-A6098F9BAF85}"/>
    <cellStyle name="Comma 2 3 4 18" xfId="28825" xr:uid="{ABFB5AC3-C57B-4322-8DBF-2F2638B7B82C}"/>
    <cellStyle name="Comma 2 3 4 19" xfId="30715" xr:uid="{A96FE61C-CA6A-423C-B8AA-FD71618E69BB}"/>
    <cellStyle name="Comma 2 3 4 2" xfId="1105" xr:uid="{F76FC546-239F-49BB-8942-5B36946D52EB}"/>
    <cellStyle name="Comma 2 3 4 2 10" xfId="18115" xr:uid="{7D455248-0BB1-4980-A242-73E0286825EE}"/>
    <cellStyle name="Comma 2 3 4 2 11" xfId="20005" xr:uid="{EF7727A2-BE09-49A8-BF7F-A3CD36F03613}"/>
    <cellStyle name="Comma 2 3 4 2 12" xfId="21895" xr:uid="{4B463254-6521-4CAD-AB4C-FA5DABF1FF4B}"/>
    <cellStyle name="Comma 2 3 4 2 13" xfId="23785" xr:uid="{258E2080-73DF-4F1B-8C98-2499A0D73C40}"/>
    <cellStyle name="Comma 2 3 4 2 14" xfId="25675" xr:uid="{56F4E97B-7CE6-442C-8E37-876093D94FBD}"/>
    <cellStyle name="Comma 2 3 4 2 15" xfId="27565" xr:uid="{77DBE3D7-313F-464B-BD3A-D58925D79C36}"/>
    <cellStyle name="Comma 2 3 4 2 16" xfId="29455" xr:uid="{B94760DC-4AA3-4A0B-9FFB-6043B53926D4}"/>
    <cellStyle name="Comma 2 3 4 2 17" xfId="31345" xr:uid="{44A08046-B8E5-4153-A022-EF1A04EFEF84}"/>
    <cellStyle name="Comma 2 3 4 2 18" xfId="33235" xr:uid="{B08384AE-D81F-4A35-BAF2-AE612B11A6C1}"/>
    <cellStyle name="Comma 2 3 4 2 19" xfId="35125" xr:uid="{65D47CCF-4183-4367-9EF5-F5D8EBEA84CB}"/>
    <cellStyle name="Comma 2 3 4 2 2" xfId="2995" xr:uid="{1B9DF91D-4656-450A-8977-248FFF2F8F7D}"/>
    <cellStyle name="Comma 2 3 4 2 20" xfId="37015" xr:uid="{C7B341D7-68BF-47B7-9F71-976D4C55E874}"/>
    <cellStyle name="Comma 2 3 4 2 21" xfId="38905" xr:uid="{2E8B6017-3D56-4F61-B3F3-5DEDB9B2950B}"/>
    <cellStyle name="Comma 2 3 4 2 22" xfId="40796" xr:uid="{A4FC6210-79FB-4812-873F-F37B3E978F22}"/>
    <cellStyle name="Comma 2 3 4 2 3" xfId="4885" xr:uid="{54454B28-78A3-4550-9824-A82180E05924}"/>
    <cellStyle name="Comma 2 3 4 2 4" xfId="6775" xr:uid="{389FB314-D6A7-4D12-A985-6398307B0B1D}"/>
    <cellStyle name="Comma 2 3 4 2 5" xfId="8665" xr:uid="{6BF5611E-BB26-4F8D-8BE5-28353F9C710D}"/>
    <cellStyle name="Comma 2 3 4 2 6" xfId="10555" xr:uid="{D3771276-DA16-4A9D-B5D3-87465CF803D2}"/>
    <cellStyle name="Comma 2 3 4 2 7" xfId="12445" xr:uid="{5706F90A-E9E1-4C9B-9C07-1309780A6728}"/>
    <cellStyle name="Comma 2 3 4 2 8" xfId="14335" xr:uid="{A1452B57-448E-422E-83BF-5A4F62FDCE8C}"/>
    <cellStyle name="Comma 2 3 4 2 9" xfId="16225" xr:uid="{54FB683C-113E-4952-BDAB-099C4D7A1DDF}"/>
    <cellStyle name="Comma 2 3 4 20" xfId="32605" xr:uid="{BA09D85E-9CB5-462E-A353-6DB7081FBC5B}"/>
    <cellStyle name="Comma 2 3 4 21" xfId="34495" xr:uid="{98350E54-40FB-4E6A-B88B-02E92B8DE993}"/>
    <cellStyle name="Comma 2 3 4 22" xfId="36385" xr:uid="{7FAC9896-1FF7-4E63-BB43-FF05CD46318B}"/>
    <cellStyle name="Comma 2 3 4 23" xfId="38275" xr:uid="{3B5A191C-2023-4AD8-AADF-D7BE5C64277D}"/>
    <cellStyle name="Comma 2 3 4 24" xfId="40166" xr:uid="{F40CFCC3-A70D-4F25-A13E-9EB140E538A6}"/>
    <cellStyle name="Comma 2 3 4 3" xfId="1735" xr:uid="{C517EA0C-71CC-41B4-A0F6-BA7BDA25287A}"/>
    <cellStyle name="Comma 2 3 4 3 10" xfId="18745" xr:uid="{053A9482-DFA2-4F94-AFB5-FD6DE8563223}"/>
    <cellStyle name="Comma 2 3 4 3 11" xfId="20635" xr:uid="{C4E15EF5-0197-4CAB-90FA-937BECB32965}"/>
    <cellStyle name="Comma 2 3 4 3 12" xfId="22525" xr:uid="{A79BD0D8-5C44-4946-A708-15346E84372E}"/>
    <cellStyle name="Comma 2 3 4 3 13" xfId="24415" xr:uid="{1E8C0CC5-4430-4A77-8AB7-5BA4F4167CEE}"/>
    <cellStyle name="Comma 2 3 4 3 14" xfId="26305" xr:uid="{6036A686-E8D4-4BA9-8DF2-A44568233527}"/>
    <cellStyle name="Comma 2 3 4 3 15" xfId="28195" xr:uid="{EC0FAABA-B36E-4977-935E-BAA421190B76}"/>
    <cellStyle name="Comma 2 3 4 3 16" xfId="30085" xr:uid="{9C8359C2-EA29-4676-A629-84F43C1F7438}"/>
    <cellStyle name="Comma 2 3 4 3 17" xfId="31975" xr:uid="{B998EA90-E866-4972-86C2-CFE9ADE25FFB}"/>
    <cellStyle name="Comma 2 3 4 3 18" xfId="33865" xr:uid="{5B69EAF0-0ADF-4752-B846-A279D46457FF}"/>
    <cellStyle name="Comma 2 3 4 3 19" xfId="35755" xr:uid="{A7AFD6D7-56F1-429F-96DA-D5E04839887A}"/>
    <cellStyle name="Comma 2 3 4 3 2" xfId="3625" xr:uid="{A6485E1A-66EC-474B-8D99-4BA269F6E24F}"/>
    <cellStyle name="Comma 2 3 4 3 20" xfId="37645" xr:uid="{C9748BC1-66D8-43FD-A56A-F61B41D59652}"/>
    <cellStyle name="Comma 2 3 4 3 21" xfId="39535" xr:uid="{137907F1-614A-4D9F-8C69-D4CE3215C1F8}"/>
    <cellStyle name="Comma 2 3 4 3 22" xfId="41426" xr:uid="{99488EC6-270B-4C4A-936B-3CF620C58D78}"/>
    <cellStyle name="Comma 2 3 4 3 3" xfId="5515" xr:uid="{A14CA072-44E3-4F9D-A67A-8E4A1CBAA4A1}"/>
    <cellStyle name="Comma 2 3 4 3 4" xfId="7405" xr:uid="{63E4B326-9F0B-4862-8E02-B5BC4E61DC0C}"/>
    <cellStyle name="Comma 2 3 4 3 5" xfId="9295" xr:uid="{F37E99D2-DDDB-4BBE-B916-B7DB5AFB16B4}"/>
    <cellStyle name="Comma 2 3 4 3 6" xfId="11185" xr:uid="{8C18926A-6ECE-438C-9D7E-4E40D764A08A}"/>
    <cellStyle name="Comma 2 3 4 3 7" xfId="13075" xr:uid="{E4ED3FFE-A342-4FD5-A358-50F6BB094F31}"/>
    <cellStyle name="Comma 2 3 4 3 8" xfId="14965" xr:uid="{86A6E71E-1581-47DE-BF28-0387D0C94D78}"/>
    <cellStyle name="Comma 2 3 4 3 9" xfId="16855" xr:uid="{CDF3571D-254E-4A06-8B6E-DC3B824D9F4C}"/>
    <cellStyle name="Comma 2 3 4 4" xfId="2365" xr:uid="{E8584757-33B6-4C19-A45A-9C33FC609C2E}"/>
    <cellStyle name="Comma 2 3 4 5" xfId="4255" xr:uid="{88856084-86EC-4136-A009-80EC58A58BDE}"/>
    <cellStyle name="Comma 2 3 4 6" xfId="6145" xr:uid="{17217C52-414A-45BB-B3AF-AA468D1EC2D8}"/>
    <cellStyle name="Comma 2 3 4 7" xfId="8035" xr:uid="{231BF8FC-0546-4568-BA73-F89F5AE55419}"/>
    <cellStyle name="Comma 2 3 4 8" xfId="9925" xr:uid="{2BE19E60-5000-4E61-BD7F-D677E3FF95C8}"/>
    <cellStyle name="Comma 2 3 4 9" xfId="11815" xr:uid="{74181EC8-A493-4602-8548-6C1E83109164}"/>
    <cellStyle name="Comma 2 3 5" xfId="685" xr:uid="{E0771A58-BDD8-4A35-9296-61A11FAB41EF}"/>
    <cellStyle name="Comma 2 3 5 10" xfId="17695" xr:uid="{CD832D15-A235-40CB-BCF1-BDC637907A68}"/>
    <cellStyle name="Comma 2 3 5 11" xfId="19585" xr:uid="{E2D54088-734E-4A03-81DD-342C52D3931C}"/>
    <cellStyle name="Comma 2 3 5 12" xfId="21475" xr:uid="{04CA2E6C-E8F4-44B5-AE40-DD77EFDF90EE}"/>
    <cellStyle name="Comma 2 3 5 13" xfId="23365" xr:uid="{177AE267-6177-4865-A2A9-127A74B054CB}"/>
    <cellStyle name="Comma 2 3 5 14" xfId="25255" xr:uid="{C729EAD6-FE1B-478A-970C-EEB2D29B761D}"/>
    <cellStyle name="Comma 2 3 5 15" xfId="27145" xr:uid="{C659255A-EB18-4E58-8B79-56B7B9C06F4C}"/>
    <cellStyle name="Comma 2 3 5 16" xfId="29035" xr:uid="{0B67DF4A-9192-4C22-B74A-5F16A3D2672A}"/>
    <cellStyle name="Comma 2 3 5 17" xfId="30925" xr:uid="{CCE63AF6-59D2-42EF-810C-04624B05AB52}"/>
    <cellStyle name="Comma 2 3 5 18" xfId="32815" xr:uid="{B0ED6915-1FBD-484D-9085-70FA6A5F8703}"/>
    <cellStyle name="Comma 2 3 5 19" xfId="34705" xr:uid="{6D84EE00-2D20-4876-B5ED-587D39AA7C35}"/>
    <cellStyle name="Comma 2 3 5 2" xfId="2575" xr:uid="{832BBE47-429D-4661-B98E-544EB6A54AD2}"/>
    <cellStyle name="Comma 2 3 5 20" xfId="36595" xr:uid="{AB378BA7-3146-470E-A3FC-6B0F70B3BDEF}"/>
    <cellStyle name="Comma 2 3 5 21" xfId="38485" xr:uid="{F22A65D0-06B1-43E8-9A31-04B5CEDF5559}"/>
    <cellStyle name="Comma 2 3 5 22" xfId="40376" xr:uid="{1DBF19C2-33E5-4290-970E-1CEC00FE186D}"/>
    <cellStyle name="Comma 2 3 5 3" xfId="4465" xr:uid="{59C2DE47-76C1-4953-9828-6CA7721C5ED8}"/>
    <cellStyle name="Comma 2 3 5 4" xfId="6355" xr:uid="{8A0F7F0A-1C45-4878-A9E6-4282C6A07685}"/>
    <cellStyle name="Comma 2 3 5 5" xfId="8245" xr:uid="{61127AF4-C81F-4572-97C2-D5CB624A1610}"/>
    <cellStyle name="Comma 2 3 5 6" xfId="10135" xr:uid="{5A72798E-6814-4118-8B2C-C417EE583FAF}"/>
    <cellStyle name="Comma 2 3 5 7" xfId="12025" xr:uid="{9C2811FD-271A-4FDB-A709-FDBE0408041A}"/>
    <cellStyle name="Comma 2 3 5 8" xfId="13915" xr:uid="{E4E8870F-0802-4399-B987-A979B48E1171}"/>
    <cellStyle name="Comma 2 3 5 9" xfId="15805" xr:uid="{9F81105E-CCDA-43A4-901B-D40F8CD2EEC4}"/>
    <cellStyle name="Comma 2 3 6" xfId="1315" xr:uid="{CE031B32-6A90-4CE4-B60E-B6BF844181F8}"/>
    <cellStyle name="Comma 2 3 6 10" xfId="18325" xr:uid="{8EC6FFD2-D333-4668-BEA2-5DA9F93CBC31}"/>
    <cellStyle name="Comma 2 3 6 11" xfId="20215" xr:uid="{735821F5-56D5-4446-88A2-3F4F6AA59530}"/>
    <cellStyle name="Comma 2 3 6 12" xfId="22105" xr:uid="{1C6147DE-293B-4042-9966-37B3E76A3BD9}"/>
    <cellStyle name="Comma 2 3 6 13" xfId="23995" xr:uid="{911B86DE-768E-4758-B462-22809D0485E1}"/>
    <cellStyle name="Comma 2 3 6 14" xfId="25885" xr:uid="{75760738-4C18-41B4-8CA9-2E621F51DB6D}"/>
    <cellStyle name="Comma 2 3 6 15" xfId="27775" xr:uid="{519F7036-A08A-497A-8EEC-C32D70988067}"/>
    <cellStyle name="Comma 2 3 6 16" xfId="29665" xr:uid="{AE30F08D-FD2C-429B-BCB5-0A93004DBA75}"/>
    <cellStyle name="Comma 2 3 6 17" xfId="31555" xr:uid="{539A882F-EABC-4020-9640-EB5A3E0EED26}"/>
    <cellStyle name="Comma 2 3 6 18" xfId="33445" xr:uid="{4B227E17-8FB4-4994-9379-3583338DAC45}"/>
    <cellStyle name="Comma 2 3 6 19" xfId="35335" xr:uid="{90B6E19D-48CC-4B27-B7D4-730E8E10440E}"/>
    <cellStyle name="Comma 2 3 6 2" xfId="3205" xr:uid="{8D9E2B75-886B-4362-B9B5-1EB8512FE9B9}"/>
    <cellStyle name="Comma 2 3 6 20" xfId="37225" xr:uid="{097C494F-FEEB-4A89-8239-8B6396CAA17B}"/>
    <cellStyle name="Comma 2 3 6 21" xfId="39115" xr:uid="{4E32F403-F012-4891-A8C0-685B7786F6FD}"/>
    <cellStyle name="Comma 2 3 6 22" xfId="41006" xr:uid="{59D69EE2-ED21-401A-906D-8016345EAA6D}"/>
    <cellStyle name="Comma 2 3 6 3" xfId="5095" xr:uid="{3825F0D5-82A0-4A10-AEB6-59BCE5359B17}"/>
    <cellStyle name="Comma 2 3 6 4" xfId="6985" xr:uid="{77AF19DD-CE79-46A3-9963-85DE03C8EB94}"/>
    <cellStyle name="Comma 2 3 6 5" xfId="8875" xr:uid="{988E918F-0D69-49A0-9E57-DEFDBF1632BA}"/>
    <cellStyle name="Comma 2 3 6 6" xfId="10765" xr:uid="{268EA130-8C94-4183-842B-0388CD7898C5}"/>
    <cellStyle name="Comma 2 3 6 7" xfId="12655" xr:uid="{6EB85261-5271-470D-906E-9242BF6CE455}"/>
    <cellStyle name="Comma 2 3 6 8" xfId="14545" xr:uid="{D8D8C4DE-6F45-47DC-B11A-AD18A423A1AD}"/>
    <cellStyle name="Comma 2 3 6 9" xfId="16435" xr:uid="{C97AC948-76A4-4E63-86EA-6B5A3C188F63}"/>
    <cellStyle name="Comma 2 3 7" xfId="1945" xr:uid="{BE713918-BD6A-4165-8124-B69133F60488}"/>
    <cellStyle name="Comma 2 3 8" xfId="3835" xr:uid="{DEA5F1C8-42EB-465C-B3CD-A294F4D32DFF}"/>
    <cellStyle name="Comma 2 3 9" xfId="5725" xr:uid="{778656E6-BE92-408A-BC22-D25225B6FB37}"/>
    <cellStyle name="Comma 2 30" xfId="37833" xr:uid="{D52923F5-6ACD-44C1-9DF1-A9874475A4A3}"/>
    <cellStyle name="Comma 2 31" xfId="39724" xr:uid="{44E24FD6-A852-41C9-9795-A4F427B00DDB}"/>
    <cellStyle name="Comma 2 4" xfId="42" xr:uid="{7EFF67C7-52D9-435D-BE34-FB126D6C12D0}"/>
    <cellStyle name="Comma 2 4 10" xfId="7624" xr:uid="{CAF2728A-5F2F-4295-B6E3-D2DF38D0583F}"/>
    <cellStyle name="Comma 2 4 11" xfId="9514" xr:uid="{DF4688D2-A012-4673-9E1F-67CB19E25AE5}"/>
    <cellStyle name="Comma 2 4 12" xfId="11404" xr:uid="{37BD2F2A-BD59-4884-8645-FB4DAFF8C8F9}"/>
    <cellStyle name="Comma 2 4 13" xfId="13294" xr:uid="{A040B9BA-9D3B-499C-A433-40A60AB3A2C0}"/>
    <cellStyle name="Comma 2 4 14" xfId="15184" xr:uid="{D5313E9E-1EC9-4B12-A6F5-B2D5BEE6A94A}"/>
    <cellStyle name="Comma 2 4 15" xfId="17074" xr:uid="{45EB204B-46E7-47D9-98F9-61CAA5804923}"/>
    <cellStyle name="Comma 2 4 16" xfId="18964" xr:uid="{CF132742-8A1C-4D66-A050-20F64CDAA86B}"/>
    <cellStyle name="Comma 2 4 17" xfId="20854" xr:uid="{62EE2B4E-15F0-498C-85A1-43AFBDA90869}"/>
    <cellStyle name="Comma 2 4 18" xfId="22744" xr:uid="{B6A4352E-E7A5-4037-B3EE-D92FF0A386C7}"/>
    <cellStyle name="Comma 2 4 19" xfId="24634" xr:uid="{40BDD1FA-8A58-4A68-B886-3C77387A1BF5}"/>
    <cellStyle name="Comma 2 4 2" xfId="169" xr:uid="{EEBDEBC5-8558-4C7F-9578-600ABA00BCE6}"/>
    <cellStyle name="Comma 2 4 2 10" xfId="9619" xr:uid="{B1FF9E59-EEC2-4EC2-8B0B-56554D2D8468}"/>
    <cellStyle name="Comma 2 4 2 11" xfId="11509" xr:uid="{3954F39F-59BD-43EC-B254-C7E31431733A}"/>
    <cellStyle name="Comma 2 4 2 12" xfId="13399" xr:uid="{EE6CC82A-FAA2-4EC8-A9B7-05483BDE0130}"/>
    <cellStyle name="Comma 2 4 2 13" xfId="15289" xr:uid="{1808D675-6B77-4533-B7C9-33FDA1796E00}"/>
    <cellStyle name="Comma 2 4 2 14" xfId="17179" xr:uid="{F4AA1E28-EB8A-4C2C-87C7-32A2F19B68A7}"/>
    <cellStyle name="Comma 2 4 2 15" xfId="19069" xr:uid="{BB0B81BA-CB54-45E6-ACB0-F14DB19BC70D}"/>
    <cellStyle name="Comma 2 4 2 16" xfId="20959" xr:uid="{88D3E9F7-729F-4753-9BD9-63124545FBE0}"/>
    <cellStyle name="Comma 2 4 2 17" xfId="22849" xr:uid="{3547F625-7D67-43C1-BB4B-ECED85E0127E}"/>
    <cellStyle name="Comma 2 4 2 18" xfId="24739" xr:uid="{6ACC2069-DB89-4471-AAF5-AA9B9530ED9B}"/>
    <cellStyle name="Comma 2 4 2 19" xfId="26629" xr:uid="{CC0412F0-E392-4C0E-9F14-F750710A51AF}"/>
    <cellStyle name="Comma 2 4 2 2" xfId="379" xr:uid="{FB900663-2D78-4D9D-8215-48492139A0E8}"/>
    <cellStyle name="Comma 2 4 2 2 10" xfId="13609" xr:uid="{1EE818EA-8F25-4C43-96E1-28F0A0E675F5}"/>
    <cellStyle name="Comma 2 4 2 2 11" xfId="15499" xr:uid="{62971DF8-7575-435B-91BF-A80F4CEC7344}"/>
    <cellStyle name="Comma 2 4 2 2 12" xfId="17389" xr:uid="{488523BD-E49D-4817-B901-F0537CDF02A1}"/>
    <cellStyle name="Comma 2 4 2 2 13" xfId="19279" xr:uid="{D4B0E51F-478E-4C47-ACAF-70004F2BB8B1}"/>
    <cellStyle name="Comma 2 4 2 2 14" xfId="21169" xr:uid="{1B5019F3-36F9-4FA0-9C35-2B835F558471}"/>
    <cellStyle name="Comma 2 4 2 2 15" xfId="23059" xr:uid="{6C0140D4-5FFB-4B79-8E40-70AD1F3BCF06}"/>
    <cellStyle name="Comma 2 4 2 2 16" xfId="24949" xr:uid="{B56502A6-7DB5-46F9-BFB6-1134143627D0}"/>
    <cellStyle name="Comma 2 4 2 2 17" xfId="26839" xr:uid="{DD7E7F52-80E6-48F3-94DE-0DD8DB1F8D58}"/>
    <cellStyle name="Comma 2 4 2 2 18" xfId="28729" xr:uid="{7DC43AB2-6575-4821-9E64-4A2AC45CEEF7}"/>
    <cellStyle name="Comma 2 4 2 2 19" xfId="30619" xr:uid="{325497B3-A1E7-4691-85A2-2B7F54EA8316}"/>
    <cellStyle name="Comma 2 4 2 2 2" xfId="1009" xr:uid="{4A442730-F68C-45F6-B6AE-44293D7D05FB}"/>
    <cellStyle name="Comma 2 4 2 2 2 10" xfId="18019" xr:uid="{FA1DE982-922D-4627-AB3D-22E07B6DE9BA}"/>
    <cellStyle name="Comma 2 4 2 2 2 11" xfId="19909" xr:uid="{9E771BF7-08B3-4952-8F3E-472BB790A4C4}"/>
    <cellStyle name="Comma 2 4 2 2 2 12" xfId="21799" xr:uid="{7E67172E-7F5C-4F94-9232-AABB4278B166}"/>
    <cellStyle name="Comma 2 4 2 2 2 13" xfId="23689" xr:uid="{5556D2FF-0BFB-47F7-B078-AA39E7A8B72D}"/>
    <cellStyle name="Comma 2 4 2 2 2 14" xfId="25579" xr:uid="{4ADC1FD9-2315-4EE3-818E-01AEC435D171}"/>
    <cellStyle name="Comma 2 4 2 2 2 15" xfId="27469" xr:uid="{0F3D34CE-6D80-4109-9D80-39529FF84EA4}"/>
    <cellStyle name="Comma 2 4 2 2 2 16" xfId="29359" xr:uid="{54A2F24E-8C6F-43AE-88B2-3815127BD9B5}"/>
    <cellStyle name="Comma 2 4 2 2 2 17" xfId="31249" xr:uid="{391FE263-1015-493B-826B-9A4FC7250B5F}"/>
    <cellStyle name="Comma 2 4 2 2 2 18" xfId="33139" xr:uid="{7AD51D89-5A70-4C5C-9D21-465E91F360F5}"/>
    <cellStyle name="Comma 2 4 2 2 2 19" xfId="35029" xr:uid="{BD37CB96-B3D2-4F5A-A480-59C3E12B5FAB}"/>
    <cellStyle name="Comma 2 4 2 2 2 2" xfId="2899" xr:uid="{D110EF8D-EA0F-4406-8653-E4BE238AC380}"/>
    <cellStyle name="Comma 2 4 2 2 2 20" xfId="36919" xr:uid="{0A552AA8-F84F-40BE-B524-426A996B5D1B}"/>
    <cellStyle name="Comma 2 4 2 2 2 21" xfId="38809" xr:uid="{2BED7C87-0AB4-4E02-B826-3EE584A70C51}"/>
    <cellStyle name="Comma 2 4 2 2 2 22" xfId="40700" xr:uid="{CD942D58-B995-457C-A723-3A915ED88F9D}"/>
    <cellStyle name="Comma 2 4 2 2 2 3" xfId="4789" xr:uid="{35EF000D-1D4B-4296-9E26-16C9BE32CA4E}"/>
    <cellStyle name="Comma 2 4 2 2 2 4" xfId="6679" xr:uid="{A1E96302-00B2-4598-8C11-759E1B9407C3}"/>
    <cellStyle name="Comma 2 4 2 2 2 5" xfId="8569" xr:uid="{6437B011-4CCE-4CC3-8FE5-8884D2972228}"/>
    <cellStyle name="Comma 2 4 2 2 2 6" xfId="10459" xr:uid="{0005C913-1D98-481F-901E-B1C5273D602A}"/>
    <cellStyle name="Comma 2 4 2 2 2 7" xfId="12349" xr:uid="{04244B3D-6C08-404F-83C2-8BD2452A021E}"/>
    <cellStyle name="Comma 2 4 2 2 2 8" xfId="14239" xr:uid="{3DA672C5-1C06-4D10-B578-E93497846FF7}"/>
    <cellStyle name="Comma 2 4 2 2 2 9" xfId="16129" xr:uid="{2C890849-045D-43AE-A79B-7B98E6E4F207}"/>
    <cellStyle name="Comma 2 4 2 2 20" xfId="32509" xr:uid="{6AED72E3-9CCE-4B6C-A454-F70B151BC1BD}"/>
    <cellStyle name="Comma 2 4 2 2 21" xfId="34399" xr:uid="{D05AAFDF-8A5D-433D-AA35-7DB8A0BDD972}"/>
    <cellStyle name="Comma 2 4 2 2 22" xfId="36289" xr:uid="{36C164D9-19AD-457F-A885-00341524AE1E}"/>
    <cellStyle name="Comma 2 4 2 2 23" xfId="38179" xr:uid="{15A9C749-4B52-4F9C-AEAF-C311A3870072}"/>
    <cellStyle name="Comma 2 4 2 2 24" xfId="40070" xr:uid="{50B4EB89-B566-4FF0-8864-0C2213E0E34D}"/>
    <cellStyle name="Comma 2 4 2 2 3" xfId="1639" xr:uid="{07F9AAFB-8CB3-4C36-84BC-7B6F0F8CA6C8}"/>
    <cellStyle name="Comma 2 4 2 2 3 10" xfId="18649" xr:uid="{5CA25FB4-BFD2-4F12-96BB-B187DD644658}"/>
    <cellStyle name="Comma 2 4 2 2 3 11" xfId="20539" xr:uid="{7F6FA24C-2EB6-4D84-9296-98E5E91D136D}"/>
    <cellStyle name="Comma 2 4 2 2 3 12" xfId="22429" xr:uid="{58510680-0703-4D13-A4BC-FFB24D5D7924}"/>
    <cellStyle name="Comma 2 4 2 2 3 13" xfId="24319" xr:uid="{71937AD6-20F5-4B8E-8B1D-FAF9B80FC1AF}"/>
    <cellStyle name="Comma 2 4 2 2 3 14" xfId="26209" xr:uid="{50FCECDE-69A7-4769-A907-2EAF7B32C922}"/>
    <cellStyle name="Comma 2 4 2 2 3 15" xfId="28099" xr:uid="{9755741F-6505-4FD9-80FB-D01FB70CCFD9}"/>
    <cellStyle name="Comma 2 4 2 2 3 16" xfId="29989" xr:uid="{72A14009-49B7-4B90-8615-6187CA893122}"/>
    <cellStyle name="Comma 2 4 2 2 3 17" xfId="31879" xr:uid="{E843F70F-DED2-4B49-9EAA-95DEF064D424}"/>
    <cellStyle name="Comma 2 4 2 2 3 18" xfId="33769" xr:uid="{6542D90A-E98C-401D-BE25-4E0BAAC6898D}"/>
    <cellStyle name="Comma 2 4 2 2 3 19" xfId="35659" xr:uid="{AC90C004-6A19-4AB7-BC85-2FD9C5F5427B}"/>
    <cellStyle name="Comma 2 4 2 2 3 2" xfId="3529" xr:uid="{63F57D7D-CFEC-4049-81F5-B9F4D32D866D}"/>
    <cellStyle name="Comma 2 4 2 2 3 20" xfId="37549" xr:uid="{7C04F168-FA6E-44EC-9EF9-E16F8E7587C8}"/>
    <cellStyle name="Comma 2 4 2 2 3 21" xfId="39439" xr:uid="{E62F7AC9-8853-42CF-856B-B58183985216}"/>
    <cellStyle name="Comma 2 4 2 2 3 22" xfId="41330" xr:uid="{01238273-04A0-40AE-889B-A6FC7768AFC3}"/>
    <cellStyle name="Comma 2 4 2 2 3 3" xfId="5419" xr:uid="{23FB8253-A532-4321-B769-4839C8207D06}"/>
    <cellStyle name="Comma 2 4 2 2 3 4" xfId="7309" xr:uid="{1885E907-BDE3-41FB-938B-229D06135337}"/>
    <cellStyle name="Comma 2 4 2 2 3 5" xfId="9199" xr:uid="{9AE64063-30CE-4FFB-B832-34CD1050A155}"/>
    <cellStyle name="Comma 2 4 2 2 3 6" xfId="11089" xr:uid="{CE5282EC-FCDA-402F-B6C5-9ED6A8FE0EA9}"/>
    <cellStyle name="Comma 2 4 2 2 3 7" xfId="12979" xr:uid="{10106A50-DFEA-423E-9398-2D208EE441E5}"/>
    <cellStyle name="Comma 2 4 2 2 3 8" xfId="14869" xr:uid="{B1F77416-ED3D-4761-9130-A5AAA8E92315}"/>
    <cellStyle name="Comma 2 4 2 2 3 9" xfId="16759" xr:uid="{4FCEBC18-E8BD-4F89-AABE-E5FA7C6A71C6}"/>
    <cellStyle name="Comma 2 4 2 2 4" xfId="2269" xr:uid="{BDBD7A94-76E6-48C2-82C5-8E6F10A295EC}"/>
    <cellStyle name="Comma 2 4 2 2 5" xfId="4159" xr:uid="{6B2572BC-E4E8-47CA-B11E-D43DE7EF4E4D}"/>
    <cellStyle name="Comma 2 4 2 2 6" xfId="6049" xr:uid="{ACEC6296-D291-4E87-864E-C7ED65D1B963}"/>
    <cellStyle name="Comma 2 4 2 2 7" xfId="7939" xr:uid="{76FE779A-8138-4E03-9B9E-A9668BC2F244}"/>
    <cellStyle name="Comma 2 4 2 2 8" xfId="9829" xr:uid="{655ADF50-7FF8-4160-BB89-483F2A0CDB64}"/>
    <cellStyle name="Comma 2 4 2 2 9" xfId="11719" xr:uid="{8CDDD6E2-7A48-4042-AF29-DBAAEF442095}"/>
    <cellStyle name="Comma 2 4 2 20" xfId="28519" xr:uid="{3EE40F4D-1692-43DA-B69B-4DEEF440B1B9}"/>
    <cellStyle name="Comma 2 4 2 21" xfId="30409" xr:uid="{9D182C07-2B5F-4D10-B79E-038AF4850EDB}"/>
    <cellStyle name="Comma 2 4 2 22" xfId="32299" xr:uid="{44773CAD-1EBB-4624-B3D4-B02E7EE9B196}"/>
    <cellStyle name="Comma 2 4 2 23" xfId="34189" xr:uid="{0E5E5660-2250-4897-B598-DEB1124AC2B2}"/>
    <cellStyle name="Comma 2 4 2 24" xfId="36079" xr:uid="{9278529D-B3AC-4000-9B98-FC169D103931}"/>
    <cellStyle name="Comma 2 4 2 25" xfId="37969" xr:uid="{005762BA-1796-42F3-8D41-A16C2C08D90F}"/>
    <cellStyle name="Comma 2 4 2 26" xfId="39860" xr:uid="{D6D0044F-15EE-4277-8D69-DE64EBA34591}"/>
    <cellStyle name="Comma 2 4 2 3" xfId="589" xr:uid="{32147D3A-EE17-461F-B622-282FC043A473}"/>
    <cellStyle name="Comma 2 4 2 3 10" xfId="13819" xr:uid="{ACA41BB9-81CC-43D5-BB97-4803203181E3}"/>
    <cellStyle name="Comma 2 4 2 3 11" xfId="15709" xr:uid="{27396692-DF1A-4C38-B2B6-0F8A85C1AFC5}"/>
    <cellStyle name="Comma 2 4 2 3 12" xfId="17599" xr:uid="{712E64F7-3A05-4B22-A07B-C51452C067E6}"/>
    <cellStyle name="Comma 2 4 2 3 13" xfId="19489" xr:uid="{10EF30CC-CFFE-4874-95C9-6787DA95EFEA}"/>
    <cellStyle name="Comma 2 4 2 3 14" xfId="21379" xr:uid="{21A89472-79E8-4E45-B588-6CBD39A1662B}"/>
    <cellStyle name="Comma 2 4 2 3 15" xfId="23269" xr:uid="{B05C04D3-27E1-491A-8DB2-8C7DB1B8D621}"/>
    <cellStyle name="Comma 2 4 2 3 16" xfId="25159" xr:uid="{758D4E14-42BF-4158-A5E0-F292932D232A}"/>
    <cellStyle name="Comma 2 4 2 3 17" xfId="27049" xr:uid="{2CC8F740-0F11-4696-96B9-C12FE17BCB87}"/>
    <cellStyle name="Comma 2 4 2 3 18" xfId="28939" xr:uid="{F33BCF44-E0E5-401D-93B4-CF607270F61D}"/>
    <cellStyle name="Comma 2 4 2 3 19" xfId="30829" xr:uid="{5CFD4F1A-B2CB-4297-BE61-FD4B515AF7BE}"/>
    <cellStyle name="Comma 2 4 2 3 2" xfId="1219" xr:uid="{B1B89E2A-D7DA-48D8-A1CF-F00F160C97E9}"/>
    <cellStyle name="Comma 2 4 2 3 2 10" xfId="18229" xr:uid="{2EF48EA9-B7F2-4A05-BA72-62A7A983E0A5}"/>
    <cellStyle name="Comma 2 4 2 3 2 11" xfId="20119" xr:uid="{F2C57953-7544-40D2-A8A8-006AA172FE65}"/>
    <cellStyle name="Comma 2 4 2 3 2 12" xfId="22009" xr:uid="{3AAB31EC-841C-4AF5-8143-A7075FDB1B5D}"/>
    <cellStyle name="Comma 2 4 2 3 2 13" xfId="23899" xr:uid="{7FA9AC0B-45CC-4286-BA11-C075A5982A90}"/>
    <cellStyle name="Comma 2 4 2 3 2 14" xfId="25789" xr:uid="{36265E64-AF34-453C-8B00-621D558F9F88}"/>
    <cellStyle name="Comma 2 4 2 3 2 15" xfId="27679" xr:uid="{BAEFF9A6-B13C-4C3D-BAA1-A17C69F9AD59}"/>
    <cellStyle name="Comma 2 4 2 3 2 16" xfId="29569" xr:uid="{4244FB4F-EFD0-46DD-9BF9-3E11D3AD41B3}"/>
    <cellStyle name="Comma 2 4 2 3 2 17" xfId="31459" xr:uid="{C2358484-DE57-4CF4-A31E-2E623ACAACCE}"/>
    <cellStyle name="Comma 2 4 2 3 2 18" xfId="33349" xr:uid="{75247BD9-05E2-4796-AF8A-DBB0B3B43FC5}"/>
    <cellStyle name="Comma 2 4 2 3 2 19" xfId="35239" xr:uid="{2A31A353-C495-4EC8-8F0D-FC693B26E249}"/>
    <cellStyle name="Comma 2 4 2 3 2 2" xfId="3109" xr:uid="{9491AB4F-12E8-4919-A1F3-26AC4F50E690}"/>
    <cellStyle name="Comma 2 4 2 3 2 20" xfId="37129" xr:uid="{C0EE99C2-9AA7-42CD-A169-2D979AA9F501}"/>
    <cellStyle name="Comma 2 4 2 3 2 21" xfId="39019" xr:uid="{7D3452AD-4848-4D7F-942E-01582CAA622C}"/>
    <cellStyle name="Comma 2 4 2 3 2 22" xfId="40910" xr:uid="{41B094E1-12D9-4BB6-AFF8-4EBAD8463F24}"/>
    <cellStyle name="Comma 2 4 2 3 2 3" xfId="4999" xr:uid="{C1F889C9-7452-4EA3-B4C2-983DC3647E83}"/>
    <cellStyle name="Comma 2 4 2 3 2 4" xfId="6889" xr:uid="{44EA1299-2FAB-4D7A-92C8-AF1E0FCD0A82}"/>
    <cellStyle name="Comma 2 4 2 3 2 5" xfId="8779" xr:uid="{0089B94F-0BE3-43AB-8532-00C80CB31930}"/>
    <cellStyle name="Comma 2 4 2 3 2 6" xfId="10669" xr:uid="{EB1D003E-4848-4D3A-88D0-D97C6C20118D}"/>
    <cellStyle name="Comma 2 4 2 3 2 7" xfId="12559" xr:uid="{21D4A6B1-F02F-4CB9-B3F7-EAE4BB8E4ACA}"/>
    <cellStyle name="Comma 2 4 2 3 2 8" xfId="14449" xr:uid="{EBB47821-0F04-4FC0-AE64-12A51DAE33AB}"/>
    <cellStyle name="Comma 2 4 2 3 2 9" xfId="16339" xr:uid="{7B920386-0C30-4550-A90F-2FBD36D012E6}"/>
    <cellStyle name="Comma 2 4 2 3 20" xfId="32719" xr:uid="{1AF8DC46-BD78-4D1D-AC78-CEA3FFEF302A}"/>
    <cellStyle name="Comma 2 4 2 3 21" xfId="34609" xr:uid="{C585A8CE-1F7A-4345-B783-B6849236AE31}"/>
    <cellStyle name="Comma 2 4 2 3 22" xfId="36499" xr:uid="{3B0EFA6C-BCD2-4270-AF77-F5F569210E42}"/>
    <cellStyle name="Comma 2 4 2 3 23" xfId="38389" xr:uid="{F1D9DC6F-30EB-45A7-B880-9AF6693456F0}"/>
    <cellStyle name="Comma 2 4 2 3 24" xfId="40280" xr:uid="{2699A356-FDD5-409A-A8F6-282001CFCE6E}"/>
    <cellStyle name="Comma 2 4 2 3 3" xfId="1849" xr:uid="{5BBBF9A3-2CEE-4DA3-8F3D-A7A6DD573D1C}"/>
    <cellStyle name="Comma 2 4 2 3 3 10" xfId="18859" xr:uid="{BD93B04F-EA72-4801-82BA-50643A05CD55}"/>
    <cellStyle name="Comma 2 4 2 3 3 11" xfId="20749" xr:uid="{4DD06185-E57D-4C8E-8904-01E31DC4BCD3}"/>
    <cellStyle name="Comma 2 4 2 3 3 12" xfId="22639" xr:uid="{97A6914B-92FB-4FDB-A22D-760B416333C0}"/>
    <cellStyle name="Comma 2 4 2 3 3 13" xfId="24529" xr:uid="{FDDD61C1-4E05-445E-925F-4173025F6504}"/>
    <cellStyle name="Comma 2 4 2 3 3 14" xfId="26419" xr:uid="{B45AC596-FB3D-47E6-B5CA-0249C59E9E7F}"/>
    <cellStyle name="Comma 2 4 2 3 3 15" xfId="28309" xr:uid="{823FACC4-C92E-4465-8548-408646B64F06}"/>
    <cellStyle name="Comma 2 4 2 3 3 16" xfId="30199" xr:uid="{0CC1739C-72A6-43D5-90AA-11D807BF1667}"/>
    <cellStyle name="Comma 2 4 2 3 3 17" xfId="32089" xr:uid="{DE3F9CEE-A282-4FC0-8288-0AD9CE5239DB}"/>
    <cellStyle name="Comma 2 4 2 3 3 18" xfId="33979" xr:uid="{806CE113-5B19-4E33-ACA1-E09B8E138DE2}"/>
    <cellStyle name="Comma 2 4 2 3 3 19" xfId="35869" xr:uid="{1BB1FCE8-E6DB-4EF8-807E-54A328D7C1C0}"/>
    <cellStyle name="Comma 2 4 2 3 3 2" xfId="3739" xr:uid="{7F5F3F65-6E81-46F0-A5A7-C7B44AA4B9B4}"/>
    <cellStyle name="Comma 2 4 2 3 3 20" xfId="37759" xr:uid="{D46A55C9-E331-45B0-9666-D100F91B296C}"/>
    <cellStyle name="Comma 2 4 2 3 3 21" xfId="39649" xr:uid="{64E2B552-8C11-4288-B973-F36C5A8B1C61}"/>
    <cellStyle name="Comma 2 4 2 3 3 22" xfId="41540" xr:uid="{807B5250-55C3-47E9-B2BC-F45D4616C247}"/>
    <cellStyle name="Comma 2 4 2 3 3 3" xfId="5629" xr:uid="{1D4E6ED4-B3B7-47F9-9E35-C2A36C9E01B0}"/>
    <cellStyle name="Comma 2 4 2 3 3 4" xfId="7519" xr:uid="{B598C067-C8B0-45DB-A6CB-88E19E1B4210}"/>
    <cellStyle name="Comma 2 4 2 3 3 5" xfId="9409" xr:uid="{79180CC8-1105-4AF7-8F30-2A3A45B9347E}"/>
    <cellStyle name="Comma 2 4 2 3 3 6" xfId="11299" xr:uid="{92BB779B-DDC6-426B-84F8-9744A388CBC3}"/>
    <cellStyle name="Comma 2 4 2 3 3 7" xfId="13189" xr:uid="{9A061A02-F75C-4D8F-95A0-EF201944ADBA}"/>
    <cellStyle name="Comma 2 4 2 3 3 8" xfId="15079" xr:uid="{76D73CDA-8234-471A-9D82-0496284398E3}"/>
    <cellStyle name="Comma 2 4 2 3 3 9" xfId="16969" xr:uid="{D822E05C-5677-48E9-AAE2-E95B5A929604}"/>
    <cellStyle name="Comma 2 4 2 3 4" xfId="2479" xr:uid="{69DA4601-04BC-46E2-B743-989A06E93913}"/>
    <cellStyle name="Comma 2 4 2 3 5" xfId="4369" xr:uid="{FFA0582C-432B-4304-8E53-C65741B5A602}"/>
    <cellStyle name="Comma 2 4 2 3 6" xfId="6259" xr:uid="{1A40FD4C-4773-4131-8362-BCDCB3860F7E}"/>
    <cellStyle name="Comma 2 4 2 3 7" xfId="8149" xr:uid="{96C68B0F-3369-4CA2-B851-2B351FCE1CF4}"/>
    <cellStyle name="Comma 2 4 2 3 8" xfId="10039" xr:uid="{D342717B-A191-4B6D-AC9C-41B32CB9CD5C}"/>
    <cellStyle name="Comma 2 4 2 3 9" xfId="11929" xr:uid="{8E03D894-D3D2-4316-8056-5AB565E02929}"/>
    <cellStyle name="Comma 2 4 2 4" xfId="799" xr:uid="{37EE0915-96CD-42A9-AF67-239E98D25570}"/>
    <cellStyle name="Comma 2 4 2 4 10" xfId="17809" xr:uid="{22F483DB-66D0-41AC-9131-47562FB2052B}"/>
    <cellStyle name="Comma 2 4 2 4 11" xfId="19699" xr:uid="{4801E692-3D8E-4CC3-A257-5BB1C33A4D28}"/>
    <cellStyle name="Comma 2 4 2 4 12" xfId="21589" xr:uid="{289B1009-9127-4C0F-8880-2025B98C5145}"/>
    <cellStyle name="Comma 2 4 2 4 13" xfId="23479" xr:uid="{4BD3F7DF-8B85-48B4-BD46-C062589338AE}"/>
    <cellStyle name="Comma 2 4 2 4 14" xfId="25369" xr:uid="{98DF225C-A4F4-4B16-8AE2-4BF3B2529E16}"/>
    <cellStyle name="Comma 2 4 2 4 15" xfId="27259" xr:uid="{C0C11577-BC9D-4E6F-997B-9A4420AEA847}"/>
    <cellStyle name="Comma 2 4 2 4 16" xfId="29149" xr:uid="{9123C085-39E0-4136-B8E1-8227FDF8747D}"/>
    <cellStyle name="Comma 2 4 2 4 17" xfId="31039" xr:uid="{DEFC6E2A-32C1-45E9-A4E6-0FFDE06C4424}"/>
    <cellStyle name="Comma 2 4 2 4 18" xfId="32929" xr:uid="{13771668-2CC0-4A65-8A95-B4601D0CE3A6}"/>
    <cellStyle name="Comma 2 4 2 4 19" xfId="34819" xr:uid="{2F792988-27BC-400F-AC2B-78992DD4E3D8}"/>
    <cellStyle name="Comma 2 4 2 4 2" xfId="2689" xr:uid="{D2BE9BC8-03C1-4A0F-B9E9-872CE5F31465}"/>
    <cellStyle name="Comma 2 4 2 4 20" xfId="36709" xr:uid="{4E2062AF-07A9-4118-9708-B4BC96E4B7E3}"/>
    <cellStyle name="Comma 2 4 2 4 21" xfId="38599" xr:uid="{BC36C8C7-CB9D-4EFF-A2F8-CB7FCA6B5F03}"/>
    <cellStyle name="Comma 2 4 2 4 22" xfId="40490" xr:uid="{D5A87AFC-E421-4225-9B03-249807D54507}"/>
    <cellStyle name="Comma 2 4 2 4 3" xfId="4579" xr:uid="{EAE356C1-A0B7-43CC-9C51-9FEC15B972E1}"/>
    <cellStyle name="Comma 2 4 2 4 4" xfId="6469" xr:uid="{50E04B3D-A3D7-4B6C-9147-2549148AFB9F}"/>
    <cellStyle name="Comma 2 4 2 4 5" xfId="8359" xr:uid="{77B431DA-6508-4F03-919E-B8DDE405A3D2}"/>
    <cellStyle name="Comma 2 4 2 4 6" xfId="10249" xr:uid="{FAE39095-7AE1-4952-BFCC-432571FDD28A}"/>
    <cellStyle name="Comma 2 4 2 4 7" xfId="12139" xr:uid="{4EB751E6-6E2D-44DC-86C3-EC33C4F8D509}"/>
    <cellStyle name="Comma 2 4 2 4 8" xfId="14029" xr:uid="{028CB725-E27F-4971-9E89-DB78CF4F525A}"/>
    <cellStyle name="Comma 2 4 2 4 9" xfId="15919" xr:uid="{84E8D5AB-5CEE-4122-AF06-97E84AE430BF}"/>
    <cellStyle name="Comma 2 4 2 5" xfId="1429" xr:uid="{ACCAE6A2-46C0-4E18-A285-DD14CB3B9EEE}"/>
    <cellStyle name="Comma 2 4 2 5 10" xfId="18439" xr:uid="{244430C0-8E5A-4DC8-A0B7-73A7F6F18414}"/>
    <cellStyle name="Comma 2 4 2 5 11" xfId="20329" xr:uid="{A1277BBC-E14F-41BD-8ECC-609D527D2FEF}"/>
    <cellStyle name="Comma 2 4 2 5 12" xfId="22219" xr:uid="{98474D12-064F-4A6A-A842-B85F4894848F}"/>
    <cellStyle name="Comma 2 4 2 5 13" xfId="24109" xr:uid="{315BF52A-5AEC-482C-B6AF-00BACBDD83A5}"/>
    <cellStyle name="Comma 2 4 2 5 14" xfId="25999" xr:uid="{C1D1824F-58C0-46E2-B9CB-14E5B264808F}"/>
    <cellStyle name="Comma 2 4 2 5 15" xfId="27889" xr:uid="{F78E1014-B4DD-426C-B8E3-742B08C73F17}"/>
    <cellStyle name="Comma 2 4 2 5 16" xfId="29779" xr:uid="{7412A22C-8BAE-4773-AF65-4B0726B77649}"/>
    <cellStyle name="Comma 2 4 2 5 17" xfId="31669" xr:uid="{756567C1-1A0D-4C27-A5E0-A4D3888EE21B}"/>
    <cellStyle name="Comma 2 4 2 5 18" xfId="33559" xr:uid="{903B114C-2175-4B82-858C-0B8DE0F966D9}"/>
    <cellStyle name="Comma 2 4 2 5 19" xfId="35449" xr:uid="{5369C165-3FF3-4085-AB0D-9B7581A7E058}"/>
    <cellStyle name="Comma 2 4 2 5 2" xfId="3319" xr:uid="{A3AE1236-9FCE-4243-B375-F0C618114314}"/>
    <cellStyle name="Comma 2 4 2 5 20" xfId="37339" xr:uid="{92DE408F-DD94-4FA4-8FF7-E57965E6B1E1}"/>
    <cellStyle name="Comma 2 4 2 5 21" xfId="39229" xr:uid="{07E4A10D-4A8A-447C-82FF-80A436F4ECFF}"/>
    <cellStyle name="Comma 2 4 2 5 22" xfId="41120" xr:uid="{DF9D5629-810D-4227-B0EE-DF138C6915ED}"/>
    <cellStyle name="Comma 2 4 2 5 3" xfId="5209" xr:uid="{F27588D9-6874-4F15-B488-8C444AC33C22}"/>
    <cellStyle name="Comma 2 4 2 5 4" xfId="7099" xr:uid="{3D314569-DCFB-4A97-B4F2-95B7BF6A324A}"/>
    <cellStyle name="Comma 2 4 2 5 5" xfId="8989" xr:uid="{1C94C7B0-17D7-4387-BDE4-68017FB227F1}"/>
    <cellStyle name="Comma 2 4 2 5 6" xfId="10879" xr:uid="{D67F5FE7-E05F-418C-AE40-578C733F9FBE}"/>
    <cellStyle name="Comma 2 4 2 5 7" xfId="12769" xr:uid="{892303E5-FB77-4732-AB6B-D2322F7BA4A9}"/>
    <cellStyle name="Comma 2 4 2 5 8" xfId="14659" xr:uid="{1AC61386-A7E3-467C-A4B5-81565F1E462B}"/>
    <cellStyle name="Comma 2 4 2 5 9" xfId="16549" xr:uid="{CDCA58AB-09B0-433A-A62C-2E929FD51954}"/>
    <cellStyle name="Comma 2 4 2 6" xfId="2059" xr:uid="{0DB1C80E-8858-46F8-BC61-8BF099AC8BD0}"/>
    <cellStyle name="Comma 2 4 2 7" xfId="3949" xr:uid="{977FC715-0D4D-471F-876A-D74E7F9A6D81}"/>
    <cellStyle name="Comma 2 4 2 8" xfId="5839" xr:uid="{A78B4F1A-AC51-4399-82E3-C37B6AD528BA}"/>
    <cellStyle name="Comma 2 4 2 9" xfId="7729" xr:uid="{9F7337FE-73E4-4053-9013-D598F323B534}"/>
    <cellStyle name="Comma 2 4 20" xfId="26524" xr:uid="{089074A0-EA72-4A25-A91F-319105E2CAEB}"/>
    <cellStyle name="Comma 2 4 21" xfId="28414" xr:uid="{6C4F2693-42B5-4DF4-9070-DEC80223586D}"/>
    <cellStyle name="Comma 2 4 22" xfId="30304" xr:uid="{CC4D53F6-55C1-4B9D-9242-62D71E79CE84}"/>
    <cellStyle name="Comma 2 4 23" xfId="32194" xr:uid="{C5AF3899-AF7B-4547-A82A-1198BE3D6FD9}"/>
    <cellStyle name="Comma 2 4 24" xfId="34084" xr:uid="{3377FA42-A501-495E-9177-AB56DBBF0609}"/>
    <cellStyle name="Comma 2 4 25" xfId="35974" xr:uid="{C87C52B0-C35C-4217-971B-2D04F3CBFF62}"/>
    <cellStyle name="Comma 2 4 26" xfId="37864" xr:uid="{1D966BE9-2933-4B52-8715-B638DA042B22}"/>
    <cellStyle name="Comma 2 4 27" xfId="39755" xr:uid="{A3FBA527-7B1E-4D8D-8306-32F6CC46167D}"/>
    <cellStyle name="Comma 2 4 3" xfId="274" xr:uid="{D7D01CF3-41EA-44D1-BB1D-CB0C0642E928}"/>
    <cellStyle name="Comma 2 4 3 10" xfId="13504" xr:uid="{2957736C-615B-4E62-B12E-96195C4DFB32}"/>
    <cellStyle name="Comma 2 4 3 11" xfId="15394" xr:uid="{A1FF0AD4-F357-47D9-BFA6-BE58C167819F}"/>
    <cellStyle name="Comma 2 4 3 12" xfId="17284" xr:uid="{B6E558B2-0EE2-447B-9D5D-5F7BFB2A79E7}"/>
    <cellStyle name="Comma 2 4 3 13" xfId="19174" xr:uid="{CF030F01-AE97-4A0D-8708-301A8D3B01B8}"/>
    <cellStyle name="Comma 2 4 3 14" xfId="21064" xr:uid="{61AE2242-A33F-4C94-A119-2C58A67C2802}"/>
    <cellStyle name="Comma 2 4 3 15" xfId="22954" xr:uid="{F3A8C577-380C-4FD7-9CB2-09E9C0D9E0F2}"/>
    <cellStyle name="Comma 2 4 3 16" xfId="24844" xr:uid="{93D0D89E-DB37-4C5C-BA3A-C8F353A3AC07}"/>
    <cellStyle name="Comma 2 4 3 17" xfId="26734" xr:uid="{288BBE32-BAFF-44BE-BDE8-E31098513E66}"/>
    <cellStyle name="Comma 2 4 3 18" xfId="28624" xr:uid="{8566FFF6-62E4-4889-BF3C-6DCB587DD19F}"/>
    <cellStyle name="Comma 2 4 3 19" xfId="30514" xr:uid="{403124A1-A28F-4480-AA23-820E1032EED5}"/>
    <cellStyle name="Comma 2 4 3 2" xfId="904" xr:uid="{A3ECE37D-AA78-4913-B1BA-F561BC4AA1CA}"/>
    <cellStyle name="Comma 2 4 3 2 10" xfId="17914" xr:uid="{5B09F05E-9369-4A93-814B-DD63E6CEBE6B}"/>
    <cellStyle name="Comma 2 4 3 2 11" xfId="19804" xr:uid="{45DEAE34-622F-497D-86C1-FE09D1849D97}"/>
    <cellStyle name="Comma 2 4 3 2 12" xfId="21694" xr:uid="{29B3BC99-950E-4E4B-B309-D02E9D7891A2}"/>
    <cellStyle name="Comma 2 4 3 2 13" xfId="23584" xr:uid="{A9D705CE-9970-4AB0-B865-DB3615DE7FFD}"/>
    <cellStyle name="Comma 2 4 3 2 14" xfId="25474" xr:uid="{B81AEA1F-7A1A-4050-8684-DE68E07B5E44}"/>
    <cellStyle name="Comma 2 4 3 2 15" xfId="27364" xr:uid="{A24A0665-5A3D-4CD5-A517-B047A2D79332}"/>
    <cellStyle name="Comma 2 4 3 2 16" xfId="29254" xr:uid="{FC7D9A06-17B7-4EC1-AEF3-F583B5D00404}"/>
    <cellStyle name="Comma 2 4 3 2 17" xfId="31144" xr:uid="{DFEF3A1C-7CF2-4A72-9F0E-E518497E87FE}"/>
    <cellStyle name="Comma 2 4 3 2 18" xfId="33034" xr:uid="{BAA42013-C7FF-4189-BE44-95BE38F4B340}"/>
    <cellStyle name="Comma 2 4 3 2 19" xfId="34924" xr:uid="{8C0F446E-200E-4091-8BC7-037890A1543A}"/>
    <cellStyle name="Comma 2 4 3 2 2" xfId="2794" xr:uid="{918FCDF8-D949-4A67-AFFD-88B5D5B52C8D}"/>
    <cellStyle name="Comma 2 4 3 2 20" xfId="36814" xr:uid="{C878B4D4-DD1B-4049-A070-EAB6A12860AE}"/>
    <cellStyle name="Comma 2 4 3 2 21" xfId="38704" xr:uid="{0CEF8EE8-BDC4-47A1-ACA3-5FD4D7322BC9}"/>
    <cellStyle name="Comma 2 4 3 2 22" xfId="40595" xr:uid="{AC4B4356-001B-466D-ABD5-B105D75481C3}"/>
    <cellStyle name="Comma 2 4 3 2 3" xfId="4684" xr:uid="{D03147C3-90A1-4EB0-9EDC-B5803B00D0B3}"/>
    <cellStyle name="Comma 2 4 3 2 4" xfId="6574" xr:uid="{6408EC54-0688-4F56-BB60-2098A8759F50}"/>
    <cellStyle name="Comma 2 4 3 2 5" xfId="8464" xr:uid="{1D9DA035-CB6F-4639-846F-1CFAB996763C}"/>
    <cellStyle name="Comma 2 4 3 2 6" xfId="10354" xr:uid="{B1C4FF53-E820-40C7-847F-29CDBABF25FC}"/>
    <cellStyle name="Comma 2 4 3 2 7" xfId="12244" xr:uid="{F23FD747-E07C-4633-9A64-DE5A82B62FD6}"/>
    <cellStyle name="Comma 2 4 3 2 8" xfId="14134" xr:uid="{D46DB753-7CCD-4126-A6A1-E0A521C0F5A0}"/>
    <cellStyle name="Comma 2 4 3 2 9" xfId="16024" xr:uid="{9268298A-98FE-4BF9-BA8A-916D91832669}"/>
    <cellStyle name="Comma 2 4 3 20" xfId="32404" xr:uid="{9A6E9EE7-FDEE-42FD-B74F-8032C4138BB4}"/>
    <cellStyle name="Comma 2 4 3 21" xfId="34294" xr:uid="{96A465AE-ED94-4D2D-8B9C-B44FDE4BF108}"/>
    <cellStyle name="Comma 2 4 3 22" xfId="36184" xr:uid="{358B5357-858C-4173-B843-5798D62EEF80}"/>
    <cellStyle name="Comma 2 4 3 23" xfId="38074" xr:uid="{55537103-F9BC-495F-A0D4-3E6755B4782B}"/>
    <cellStyle name="Comma 2 4 3 24" xfId="39965" xr:uid="{D4D0A8EB-D435-44E9-B768-48A47940737F}"/>
    <cellStyle name="Comma 2 4 3 3" xfId="1534" xr:uid="{C7FA13A1-F0FE-4D66-B129-C91DDDB28A58}"/>
    <cellStyle name="Comma 2 4 3 3 10" xfId="18544" xr:uid="{7934B64D-7399-4AB7-805D-1BA90EAD75E8}"/>
    <cellStyle name="Comma 2 4 3 3 11" xfId="20434" xr:uid="{0A41B9C7-8E46-469A-A793-BCEEA688875E}"/>
    <cellStyle name="Comma 2 4 3 3 12" xfId="22324" xr:uid="{63C4CED1-5D9D-4AC1-A6AC-6E8A451CFFFA}"/>
    <cellStyle name="Comma 2 4 3 3 13" xfId="24214" xr:uid="{23B57444-51C6-446A-ACAA-19C40D2DDC78}"/>
    <cellStyle name="Comma 2 4 3 3 14" xfId="26104" xr:uid="{57BD19AB-B966-4432-829C-C201E782EA54}"/>
    <cellStyle name="Comma 2 4 3 3 15" xfId="27994" xr:uid="{E3EFE44A-EE4C-4219-A68D-55013330D2CA}"/>
    <cellStyle name="Comma 2 4 3 3 16" xfId="29884" xr:uid="{38DE8D92-E537-4939-8736-DC12FE3480AF}"/>
    <cellStyle name="Comma 2 4 3 3 17" xfId="31774" xr:uid="{BADCE7E3-C46A-4CA8-BECD-C95CEE075EA2}"/>
    <cellStyle name="Comma 2 4 3 3 18" xfId="33664" xr:uid="{969AE8C8-A956-42E5-8B2C-4D13A0A21E2D}"/>
    <cellStyle name="Comma 2 4 3 3 19" xfId="35554" xr:uid="{CD7871BB-117F-4411-AB6E-675D64293041}"/>
    <cellStyle name="Comma 2 4 3 3 2" xfId="3424" xr:uid="{E544AC48-DFC8-49A3-B9A8-DEC052D16364}"/>
    <cellStyle name="Comma 2 4 3 3 20" xfId="37444" xr:uid="{A987852A-05C2-4709-A687-F9A760AB2440}"/>
    <cellStyle name="Comma 2 4 3 3 21" xfId="39334" xr:uid="{0878C205-8DCD-4FF9-B130-5DF92D67D93C}"/>
    <cellStyle name="Comma 2 4 3 3 22" xfId="41225" xr:uid="{98BFD1C1-A073-4295-B2BC-AE1AD50DC92A}"/>
    <cellStyle name="Comma 2 4 3 3 3" xfId="5314" xr:uid="{572DDF7C-B15F-45EC-8AD9-1E082787745A}"/>
    <cellStyle name="Comma 2 4 3 3 4" xfId="7204" xr:uid="{93F32881-0032-4859-8CAC-0EF1617C2EB6}"/>
    <cellStyle name="Comma 2 4 3 3 5" xfId="9094" xr:uid="{AB219C5A-8ED5-43AC-A86E-E1A5E6B22F11}"/>
    <cellStyle name="Comma 2 4 3 3 6" xfId="10984" xr:uid="{84544BBE-4F97-4A1E-8FFA-B1CF74BF75D1}"/>
    <cellStyle name="Comma 2 4 3 3 7" xfId="12874" xr:uid="{AE177AE1-7B0D-48BF-AA3B-D32F7ED81C26}"/>
    <cellStyle name="Comma 2 4 3 3 8" xfId="14764" xr:uid="{6DCD27D7-F61C-4658-9BDE-60DDACA81C74}"/>
    <cellStyle name="Comma 2 4 3 3 9" xfId="16654" xr:uid="{74EAF12D-C4AB-4555-97A5-8BC3F3645271}"/>
    <cellStyle name="Comma 2 4 3 4" xfId="2164" xr:uid="{AE45B033-D8AD-4BF0-A11F-A5DB785BF1D5}"/>
    <cellStyle name="Comma 2 4 3 5" xfId="4054" xr:uid="{E5301A62-CE45-4EAD-8A95-FC9C084E06FD}"/>
    <cellStyle name="Comma 2 4 3 6" xfId="5944" xr:uid="{4AE4C3AE-CFEB-40B8-9A82-AFBAC4FE14F8}"/>
    <cellStyle name="Comma 2 4 3 7" xfId="7834" xr:uid="{C09E6FE7-F832-4B52-B872-4CF3B5B3F83B}"/>
    <cellStyle name="Comma 2 4 3 8" xfId="9724" xr:uid="{E28BF630-ADCE-48F2-816B-50B04D4BA6AF}"/>
    <cellStyle name="Comma 2 4 3 9" xfId="11614" xr:uid="{1B474850-9721-48A4-B939-995B672010B0}"/>
    <cellStyle name="Comma 2 4 4" xfId="484" xr:uid="{1413B73D-1081-4918-8F28-F0DA79F339D5}"/>
    <cellStyle name="Comma 2 4 4 10" xfId="13714" xr:uid="{4101BCDB-E323-4E15-8532-E53FF367C0DB}"/>
    <cellStyle name="Comma 2 4 4 11" xfId="15604" xr:uid="{C0113E7C-AD75-490B-8F4F-93186423E1AF}"/>
    <cellStyle name="Comma 2 4 4 12" xfId="17494" xr:uid="{E571F53B-4DCB-4CA5-97B1-71DAA620F9CE}"/>
    <cellStyle name="Comma 2 4 4 13" xfId="19384" xr:uid="{4B9BC72D-A397-46D0-9AC4-374FD3231FA3}"/>
    <cellStyle name="Comma 2 4 4 14" xfId="21274" xr:uid="{29F6016C-8E06-41A8-8360-387AB79BA27B}"/>
    <cellStyle name="Comma 2 4 4 15" xfId="23164" xr:uid="{EC93132C-B9F4-42ED-BC50-44D866BCBDC5}"/>
    <cellStyle name="Comma 2 4 4 16" xfId="25054" xr:uid="{4DFE3327-B28D-4E50-931B-09D01C48EE98}"/>
    <cellStyle name="Comma 2 4 4 17" xfId="26944" xr:uid="{7B43147C-D0DB-437A-AFF1-7158D1663E62}"/>
    <cellStyle name="Comma 2 4 4 18" xfId="28834" xr:uid="{B83ECC8A-EB80-4EA1-A7D6-6281FA9B90CB}"/>
    <cellStyle name="Comma 2 4 4 19" xfId="30724" xr:uid="{573270B9-B068-469C-9F02-7DBF88D1C6A0}"/>
    <cellStyle name="Comma 2 4 4 2" xfId="1114" xr:uid="{EB4C81BD-3D35-4797-A035-FA8364B065E7}"/>
    <cellStyle name="Comma 2 4 4 2 10" xfId="18124" xr:uid="{CA5661CA-EF46-45C8-AA36-2EBDE04FF630}"/>
    <cellStyle name="Comma 2 4 4 2 11" xfId="20014" xr:uid="{4916F5CF-B10C-4B16-B99B-8485C3DEEAA2}"/>
    <cellStyle name="Comma 2 4 4 2 12" xfId="21904" xr:uid="{0EE2C4DC-F2DD-4D41-BA85-CA7C07839030}"/>
    <cellStyle name="Comma 2 4 4 2 13" xfId="23794" xr:uid="{DA18FDD6-903E-4870-90E8-349E6C9F012F}"/>
    <cellStyle name="Comma 2 4 4 2 14" xfId="25684" xr:uid="{6DA60C0F-C368-4347-8606-F1168857EC94}"/>
    <cellStyle name="Comma 2 4 4 2 15" xfId="27574" xr:uid="{ACB83938-2C08-4386-B623-5AF3CBFE83CC}"/>
    <cellStyle name="Comma 2 4 4 2 16" xfId="29464" xr:uid="{F12A2D33-800D-4A3B-9BEE-155520C12DEA}"/>
    <cellStyle name="Comma 2 4 4 2 17" xfId="31354" xr:uid="{BEADF4B1-B57C-41A8-91F2-2CB7AEA91334}"/>
    <cellStyle name="Comma 2 4 4 2 18" xfId="33244" xr:uid="{AC84731F-2ECC-4485-86BA-582E259EDB9D}"/>
    <cellStyle name="Comma 2 4 4 2 19" xfId="35134" xr:uid="{183143FE-42C4-45AE-898F-38A4E0CB0CEE}"/>
    <cellStyle name="Comma 2 4 4 2 2" xfId="3004" xr:uid="{791D12D4-C83A-4302-B9A7-4A2FAF4FE5D2}"/>
    <cellStyle name="Comma 2 4 4 2 20" xfId="37024" xr:uid="{1A15FD2E-D9ED-45BB-BF8F-379A76806FA8}"/>
    <cellStyle name="Comma 2 4 4 2 21" xfId="38914" xr:uid="{CFA93C64-FFED-4AEF-97B3-7AEB12CB9E73}"/>
    <cellStyle name="Comma 2 4 4 2 22" xfId="40805" xr:uid="{54A32800-99F7-4CB7-868D-E6CF1AC32F6A}"/>
    <cellStyle name="Comma 2 4 4 2 3" xfId="4894" xr:uid="{CE89E75C-269D-4D68-B7D5-12E2EF38BE13}"/>
    <cellStyle name="Comma 2 4 4 2 4" xfId="6784" xr:uid="{CB3D7331-E56A-4643-9357-B93073672497}"/>
    <cellStyle name="Comma 2 4 4 2 5" xfId="8674" xr:uid="{58D75B99-918D-440B-B654-5F081A53E9F4}"/>
    <cellStyle name="Comma 2 4 4 2 6" xfId="10564" xr:uid="{EF0411ED-69D6-4123-826B-800DA133F896}"/>
    <cellStyle name="Comma 2 4 4 2 7" xfId="12454" xr:uid="{83D20A29-0B14-4621-9C56-4B0443FB4ADA}"/>
    <cellStyle name="Comma 2 4 4 2 8" xfId="14344" xr:uid="{5082C90D-DA7E-438D-8CFD-6965D4EABB48}"/>
    <cellStyle name="Comma 2 4 4 2 9" xfId="16234" xr:uid="{99821E63-A231-4D07-A803-5A96AF42A254}"/>
    <cellStyle name="Comma 2 4 4 20" xfId="32614" xr:uid="{50C934FA-7F05-4C5A-8C70-28AA7B032B71}"/>
    <cellStyle name="Comma 2 4 4 21" xfId="34504" xr:uid="{6BC865CC-0D48-4969-BE76-D45408651083}"/>
    <cellStyle name="Comma 2 4 4 22" xfId="36394" xr:uid="{9D6496D9-624D-4F9B-A6BA-EF648D0621DA}"/>
    <cellStyle name="Comma 2 4 4 23" xfId="38284" xr:uid="{55639150-ECC1-42E3-A48F-1FF7A516BE76}"/>
    <cellStyle name="Comma 2 4 4 24" xfId="40175" xr:uid="{6A23ED98-A163-4A54-BCA1-50FDBBE33310}"/>
    <cellStyle name="Comma 2 4 4 3" xfId="1744" xr:uid="{ACD819EB-F93F-4E2C-BB65-AA8DA4D9FA51}"/>
    <cellStyle name="Comma 2 4 4 3 10" xfId="18754" xr:uid="{687AEF18-B49F-47AA-B458-860139705134}"/>
    <cellStyle name="Comma 2 4 4 3 11" xfId="20644" xr:uid="{621012B9-F022-4FAC-9211-C575B35A5A45}"/>
    <cellStyle name="Comma 2 4 4 3 12" xfId="22534" xr:uid="{69DECCF3-3B9B-4E35-AEE1-8BFE2022DABF}"/>
    <cellStyle name="Comma 2 4 4 3 13" xfId="24424" xr:uid="{C04B0BF4-F1ED-416F-B984-33FAC1A95EC8}"/>
    <cellStyle name="Comma 2 4 4 3 14" xfId="26314" xr:uid="{963174F7-2621-465B-8311-8412C812FD21}"/>
    <cellStyle name="Comma 2 4 4 3 15" xfId="28204" xr:uid="{ABB6D8AE-2CD7-457C-877B-81A02A75216D}"/>
    <cellStyle name="Comma 2 4 4 3 16" xfId="30094" xr:uid="{8AEE0FD2-240A-4D9F-8204-588D331910D3}"/>
    <cellStyle name="Comma 2 4 4 3 17" xfId="31984" xr:uid="{B0F0C9D3-A755-4917-A1E0-DD2F1AF077F3}"/>
    <cellStyle name="Comma 2 4 4 3 18" xfId="33874" xr:uid="{28DFEF11-98A1-48EB-8D2F-EB26F25CEE3D}"/>
    <cellStyle name="Comma 2 4 4 3 19" xfId="35764" xr:uid="{EB8E0B15-B4CB-445F-8D3B-52EABA5B59CD}"/>
    <cellStyle name="Comma 2 4 4 3 2" xfId="3634" xr:uid="{F13EEA23-47D8-4FF6-AE60-9F60F1DD0098}"/>
    <cellStyle name="Comma 2 4 4 3 20" xfId="37654" xr:uid="{02458238-9ABF-4548-B63A-A281CC34B7F8}"/>
    <cellStyle name="Comma 2 4 4 3 21" xfId="39544" xr:uid="{3C6944A8-F185-44AE-AC4D-3DC1C7A0CFF8}"/>
    <cellStyle name="Comma 2 4 4 3 22" xfId="41435" xr:uid="{34ED9F83-FDE7-4E4D-B579-0CF3F1BAF6F5}"/>
    <cellStyle name="Comma 2 4 4 3 3" xfId="5524" xr:uid="{6BE698B6-1CE7-45E3-B569-882B624332AF}"/>
    <cellStyle name="Comma 2 4 4 3 4" xfId="7414" xr:uid="{A9C029D0-DCC1-4735-9F5A-B9971692AE31}"/>
    <cellStyle name="Comma 2 4 4 3 5" xfId="9304" xr:uid="{2D49C37B-E621-494D-9ADB-545D3B9A3F75}"/>
    <cellStyle name="Comma 2 4 4 3 6" xfId="11194" xr:uid="{86B25938-613F-45E6-8777-23FB093350ED}"/>
    <cellStyle name="Comma 2 4 4 3 7" xfId="13084" xr:uid="{1467FDC2-E875-4035-A953-02EC6A279FF2}"/>
    <cellStyle name="Comma 2 4 4 3 8" xfId="14974" xr:uid="{C151B8DC-EADB-415A-A66B-BC9611EF534D}"/>
    <cellStyle name="Comma 2 4 4 3 9" xfId="16864" xr:uid="{00069D7C-2609-4779-B9C5-5DD9F6591276}"/>
    <cellStyle name="Comma 2 4 4 4" xfId="2374" xr:uid="{C2286D48-A80E-4FAB-A9D2-2236CDE64B83}"/>
    <cellStyle name="Comma 2 4 4 5" xfId="4264" xr:uid="{1F85257E-4932-4BE9-A340-4B315557CC82}"/>
    <cellStyle name="Comma 2 4 4 6" xfId="6154" xr:uid="{A10C31CA-B3AF-44B3-88E7-EB1039DC053A}"/>
    <cellStyle name="Comma 2 4 4 7" xfId="8044" xr:uid="{C1ADFD69-1200-4B63-BBEF-0CF613D3E5B8}"/>
    <cellStyle name="Comma 2 4 4 8" xfId="9934" xr:uid="{20A7F27B-A353-47AA-AC65-9DB29435D885}"/>
    <cellStyle name="Comma 2 4 4 9" xfId="11824" xr:uid="{B2C68BF4-5D2B-4A10-BA05-CB948D5E8AD8}"/>
    <cellStyle name="Comma 2 4 5" xfId="694" xr:uid="{05029C38-8328-4E8D-9927-36002AD5BDB4}"/>
    <cellStyle name="Comma 2 4 5 10" xfId="17704" xr:uid="{B998DE25-B5DF-4422-958C-62693ACF3777}"/>
    <cellStyle name="Comma 2 4 5 11" xfId="19594" xr:uid="{A2C79597-8E46-463E-8087-EBCA09BE0AD6}"/>
    <cellStyle name="Comma 2 4 5 12" xfId="21484" xr:uid="{8B6C5FF6-2FB7-473B-90DB-0A362DC8A643}"/>
    <cellStyle name="Comma 2 4 5 13" xfId="23374" xr:uid="{F219473B-D82B-4A19-8735-DEB7E1094770}"/>
    <cellStyle name="Comma 2 4 5 14" xfId="25264" xr:uid="{A6236919-C00B-4455-9782-EBD8205267FE}"/>
    <cellStyle name="Comma 2 4 5 15" xfId="27154" xr:uid="{50293839-1A31-4A1F-BD2E-491FB8803A64}"/>
    <cellStyle name="Comma 2 4 5 16" xfId="29044" xr:uid="{63B80909-7006-41FC-964A-D560616E695F}"/>
    <cellStyle name="Comma 2 4 5 17" xfId="30934" xr:uid="{777F8523-15C6-453F-B7A8-CB391290C690}"/>
    <cellStyle name="Comma 2 4 5 18" xfId="32824" xr:uid="{E34FC060-D5A4-42CD-8B1F-5674502EBDD4}"/>
    <cellStyle name="Comma 2 4 5 19" xfId="34714" xr:uid="{09C4ADB0-1835-441D-8FE3-465C49021216}"/>
    <cellStyle name="Comma 2 4 5 2" xfId="2584" xr:uid="{AA6234BF-BA51-40DF-B8DC-CE0400EF28CD}"/>
    <cellStyle name="Comma 2 4 5 20" xfId="36604" xr:uid="{8542F704-A395-477E-9C0A-E69BF43F6B9A}"/>
    <cellStyle name="Comma 2 4 5 21" xfId="38494" xr:uid="{56B8E618-D867-42D2-851E-9EFEA4FB1EA6}"/>
    <cellStyle name="Comma 2 4 5 22" xfId="40385" xr:uid="{2979EE29-A4F0-487D-8D84-CCBB23AD0B29}"/>
    <cellStyle name="Comma 2 4 5 3" xfId="4474" xr:uid="{9D1C3887-BE37-4838-858A-0EDF11613737}"/>
    <cellStyle name="Comma 2 4 5 4" xfId="6364" xr:uid="{C68B40FE-E705-421A-9E75-08B92E0CC2E7}"/>
    <cellStyle name="Comma 2 4 5 5" xfId="8254" xr:uid="{194679D8-BFA5-4152-A684-9B030E957971}"/>
    <cellStyle name="Comma 2 4 5 6" xfId="10144" xr:uid="{57B26DAD-105B-42DF-947C-68ACB724E4FF}"/>
    <cellStyle name="Comma 2 4 5 7" xfId="12034" xr:uid="{8F88FC29-676D-4D10-922C-200BE65EC683}"/>
    <cellStyle name="Comma 2 4 5 8" xfId="13924" xr:uid="{A390116D-A244-48EE-80BC-CD48DEFBBA68}"/>
    <cellStyle name="Comma 2 4 5 9" xfId="15814" xr:uid="{FD6E61EE-5DB8-4A8B-A81E-C931FEA8FEAB}"/>
    <cellStyle name="Comma 2 4 6" xfId="1324" xr:uid="{B6EE880D-D247-4BCF-8071-02D47D48DBAC}"/>
    <cellStyle name="Comma 2 4 6 10" xfId="18334" xr:uid="{66910AE1-9FE8-4B35-BE6D-D017E03C9F26}"/>
    <cellStyle name="Comma 2 4 6 11" xfId="20224" xr:uid="{12B92B5C-211E-4D04-9D3B-1B0F6240B62D}"/>
    <cellStyle name="Comma 2 4 6 12" xfId="22114" xr:uid="{B07B95FD-4CBC-4A2D-ABE0-AFC79934EB97}"/>
    <cellStyle name="Comma 2 4 6 13" xfId="24004" xr:uid="{BFC90EB7-F255-44D4-AC07-23C2EBED6B67}"/>
    <cellStyle name="Comma 2 4 6 14" xfId="25894" xr:uid="{D21A7E87-8F03-490C-9893-825125D93AFC}"/>
    <cellStyle name="Comma 2 4 6 15" xfId="27784" xr:uid="{D89FCF64-6908-43DD-B73F-9971A5AA1678}"/>
    <cellStyle name="Comma 2 4 6 16" xfId="29674" xr:uid="{FA0AEF45-0FFA-414F-A56A-D4A5D51DCA3A}"/>
    <cellStyle name="Comma 2 4 6 17" xfId="31564" xr:uid="{7967D53E-B20F-448B-8E27-3E142654D145}"/>
    <cellStyle name="Comma 2 4 6 18" xfId="33454" xr:uid="{0308810D-52AF-4AF3-8A2C-ABCBE78F20FE}"/>
    <cellStyle name="Comma 2 4 6 19" xfId="35344" xr:uid="{78C69C9A-C1EC-4D70-9B21-2E62B1C0312F}"/>
    <cellStyle name="Comma 2 4 6 2" xfId="3214" xr:uid="{DD1999A4-434A-4AB7-A03E-7C0F45FBEF68}"/>
    <cellStyle name="Comma 2 4 6 20" xfId="37234" xr:uid="{129DB7F2-B21D-431A-85AD-51976FD80BF2}"/>
    <cellStyle name="Comma 2 4 6 21" xfId="39124" xr:uid="{27113F0C-5927-4190-925B-792C097D2D88}"/>
    <cellStyle name="Comma 2 4 6 22" xfId="41015" xr:uid="{6F7AC7CF-86E4-4411-B51A-3B89CE89D943}"/>
    <cellStyle name="Comma 2 4 6 3" xfId="5104" xr:uid="{66380408-36FE-46D8-A8BB-5A434FD5887C}"/>
    <cellStyle name="Comma 2 4 6 4" xfId="6994" xr:uid="{E04B3C63-98B8-41F2-9235-86B0E27736EB}"/>
    <cellStyle name="Comma 2 4 6 5" xfId="8884" xr:uid="{43F299CC-25E7-4139-863F-2462F768B740}"/>
    <cellStyle name="Comma 2 4 6 6" xfId="10774" xr:uid="{0863AD0E-8EEC-48C5-8FEE-58F820C38305}"/>
    <cellStyle name="Comma 2 4 6 7" xfId="12664" xr:uid="{3023DCEE-EB3A-4786-B703-DB133625EB0F}"/>
    <cellStyle name="Comma 2 4 6 8" xfId="14554" xr:uid="{CA89EE80-FEAE-4FEE-BA60-4C4F59CF3A78}"/>
    <cellStyle name="Comma 2 4 6 9" xfId="16444" xr:uid="{896B15F2-29A1-42CF-A8A8-81EDEB827081}"/>
    <cellStyle name="Comma 2 4 7" xfId="1954" xr:uid="{F172616C-A927-4B75-9E12-49B91FB749E2}"/>
    <cellStyle name="Comma 2 4 8" xfId="3844" xr:uid="{50B8DDD3-DFCF-4537-B250-D6A6B9B36B0F}"/>
    <cellStyle name="Comma 2 4 9" xfId="5734" xr:uid="{68C8D2AE-FAFF-4CEC-A60E-075C31771E0B}"/>
    <cellStyle name="Comma 2 5" xfId="51" xr:uid="{623767CA-6D46-4A72-9390-CBD276C68F33}"/>
    <cellStyle name="Comma 2 5 10" xfId="7633" xr:uid="{0C428542-E1A7-4E13-A0AC-92E4C0A3E347}"/>
    <cellStyle name="Comma 2 5 11" xfId="9523" xr:uid="{F9191689-F392-4975-9BA4-183B9E44AF08}"/>
    <cellStyle name="Comma 2 5 12" xfId="11413" xr:uid="{B0CBE9FE-BA57-484C-B65F-8A9620ACCD6A}"/>
    <cellStyle name="Comma 2 5 13" xfId="13303" xr:uid="{EFE54046-33EA-4301-9C19-B0FF136C38F3}"/>
    <cellStyle name="Comma 2 5 14" xfId="15193" xr:uid="{1FDBE71C-1107-407D-9341-7A6B63C1597D}"/>
    <cellStyle name="Comma 2 5 15" xfId="17083" xr:uid="{89C92A95-6586-42C7-A78A-CAA68AC1821B}"/>
    <cellStyle name="Comma 2 5 16" xfId="18973" xr:uid="{21F502B9-7717-49CB-938F-58D7DFE0436D}"/>
    <cellStyle name="Comma 2 5 17" xfId="20863" xr:uid="{89B7AFB6-EB37-4BBC-BDAB-FACC9F47CE68}"/>
    <cellStyle name="Comma 2 5 18" xfId="22753" xr:uid="{D6828775-41B2-4CE8-90A1-B4DAA8CC2E77}"/>
    <cellStyle name="Comma 2 5 19" xfId="24643" xr:uid="{4DAB2B93-AD03-4762-900A-7F1DA190619A}"/>
    <cellStyle name="Comma 2 5 2" xfId="178" xr:uid="{A8C27AA7-5CA4-4E86-A18C-50613AB1EA34}"/>
    <cellStyle name="Comma 2 5 2 10" xfId="9628" xr:uid="{088764F8-A224-440F-AB3E-0142C9F91E17}"/>
    <cellStyle name="Comma 2 5 2 11" xfId="11518" xr:uid="{2F5EC839-22A9-4B03-85A8-D8F5ECEA5543}"/>
    <cellStyle name="Comma 2 5 2 12" xfId="13408" xr:uid="{A14C01B6-7FE3-4236-9A7E-9C66C72B974D}"/>
    <cellStyle name="Comma 2 5 2 13" xfId="15298" xr:uid="{6139E256-61A6-4C5D-8557-076307E4221E}"/>
    <cellStyle name="Comma 2 5 2 14" xfId="17188" xr:uid="{3B196C38-C86B-4ADE-93ED-EE52ADF7644F}"/>
    <cellStyle name="Comma 2 5 2 15" xfId="19078" xr:uid="{B132E32C-4E23-4132-82D0-AEF8DEBEA3AA}"/>
    <cellStyle name="Comma 2 5 2 16" xfId="20968" xr:uid="{7ABD1291-7534-44AB-B3B0-622624230306}"/>
    <cellStyle name="Comma 2 5 2 17" xfId="22858" xr:uid="{DDBCD875-332E-4369-822F-156AC94457FE}"/>
    <cellStyle name="Comma 2 5 2 18" xfId="24748" xr:uid="{78DE5745-C633-4AB6-A209-1ECFC593B951}"/>
    <cellStyle name="Comma 2 5 2 19" xfId="26638" xr:uid="{05522623-5BD5-468B-9F38-BE9E171119BF}"/>
    <cellStyle name="Comma 2 5 2 2" xfId="388" xr:uid="{05852763-CFA1-4187-9ED8-D95E248C8796}"/>
    <cellStyle name="Comma 2 5 2 2 10" xfId="13618" xr:uid="{EBE0EB2B-D538-4693-9046-487189778574}"/>
    <cellStyle name="Comma 2 5 2 2 11" xfId="15508" xr:uid="{7725E25F-6119-4D62-9044-D0754246ADBA}"/>
    <cellStyle name="Comma 2 5 2 2 12" xfId="17398" xr:uid="{54FBF004-65DB-4F32-A252-22441539ABBE}"/>
    <cellStyle name="Comma 2 5 2 2 13" xfId="19288" xr:uid="{E40E94B5-4CE4-4E9F-BAC8-B88834BC3EE1}"/>
    <cellStyle name="Comma 2 5 2 2 14" xfId="21178" xr:uid="{9C9729EC-3CDD-4E15-9D39-E82F5554DA83}"/>
    <cellStyle name="Comma 2 5 2 2 15" xfId="23068" xr:uid="{3B4E0DAE-6B28-4074-B59D-B65B90626332}"/>
    <cellStyle name="Comma 2 5 2 2 16" xfId="24958" xr:uid="{2B4065DC-5B34-4901-A393-B40807427440}"/>
    <cellStyle name="Comma 2 5 2 2 17" xfId="26848" xr:uid="{0BA87AD3-88A8-40F7-9198-7EC33FB149C2}"/>
    <cellStyle name="Comma 2 5 2 2 18" xfId="28738" xr:uid="{9FD50F87-480E-4D7A-B50C-02AFB9C0036C}"/>
    <cellStyle name="Comma 2 5 2 2 19" xfId="30628" xr:uid="{8CC65D0C-475D-4A12-A45B-C471BD27624E}"/>
    <cellStyle name="Comma 2 5 2 2 2" xfId="1018" xr:uid="{0CF17C75-E90A-4A81-95CE-8B97F9A557A5}"/>
    <cellStyle name="Comma 2 5 2 2 2 10" xfId="18028" xr:uid="{41F43CCF-15DA-4EE8-BD63-AA4D5FFDD370}"/>
    <cellStyle name="Comma 2 5 2 2 2 11" xfId="19918" xr:uid="{76D1CC0C-BAEA-4FA9-8F7F-610E64978889}"/>
    <cellStyle name="Comma 2 5 2 2 2 12" xfId="21808" xr:uid="{20D4113D-ED06-4C24-A76A-10AD618A3CD9}"/>
    <cellStyle name="Comma 2 5 2 2 2 13" xfId="23698" xr:uid="{1774F4B8-8B26-4B9E-8EA7-6740CFC73885}"/>
    <cellStyle name="Comma 2 5 2 2 2 14" xfId="25588" xr:uid="{47A073E5-A323-4E2D-9C30-88BDAB16EAEC}"/>
    <cellStyle name="Comma 2 5 2 2 2 15" xfId="27478" xr:uid="{9F33ABBD-FF32-45CD-8ECC-B861214EA2AD}"/>
    <cellStyle name="Comma 2 5 2 2 2 16" xfId="29368" xr:uid="{21E71FDE-2432-4F29-B863-0F126D8C1F1C}"/>
    <cellStyle name="Comma 2 5 2 2 2 17" xfId="31258" xr:uid="{B34577AF-D764-4429-A75F-A7F976382B3E}"/>
    <cellStyle name="Comma 2 5 2 2 2 18" xfId="33148" xr:uid="{AB7DF5E5-461B-4C39-A1B4-5BF8B2C46115}"/>
    <cellStyle name="Comma 2 5 2 2 2 19" xfId="35038" xr:uid="{17B21B17-1570-431A-9F88-A3883692B94C}"/>
    <cellStyle name="Comma 2 5 2 2 2 2" xfId="2908" xr:uid="{D1EEB146-C961-43A0-A2CE-ED8D021D482F}"/>
    <cellStyle name="Comma 2 5 2 2 2 20" xfId="36928" xr:uid="{431BD291-42BA-4BE8-9192-D5177EAB16BD}"/>
    <cellStyle name="Comma 2 5 2 2 2 21" xfId="38818" xr:uid="{E7CF5454-10DC-456F-85DE-3E7172E2552C}"/>
    <cellStyle name="Comma 2 5 2 2 2 22" xfId="40709" xr:uid="{0066CD8A-1AFB-453C-9E36-910CF73EC73B}"/>
    <cellStyle name="Comma 2 5 2 2 2 3" xfId="4798" xr:uid="{5276F7AF-4267-4CCC-A5E5-2ABDE8415DEC}"/>
    <cellStyle name="Comma 2 5 2 2 2 4" xfId="6688" xr:uid="{956E53C7-28F2-43C2-AA05-EBDDA601FE91}"/>
    <cellStyle name="Comma 2 5 2 2 2 5" xfId="8578" xr:uid="{18B5C02B-FB7E-4CB4-B5A8-0D3D7D0DD49E}"/>
    <cellStyle name="Comma 2 5 2 2 2 6" xfId="10468" xr:uid="{01467C94-09CD-467A-A06D-25609F574F0D}"/>
    <cellStyle name="Comma 2 5 2 2 2 7" xfId="12358" xr:uid="{31405FD2-BC01-420E-9EEA-DC8EDB347E6F}"/>
    <cellStyle name="Comma 2 5 2 2 2 8" xfId="14248" xr:uid="{0990CCBD-59B4-4D0F-A16E-57159E4A63E7}"/>
    <cellStyle name="Comma 2 5 2 2 2 9" xfId="16138" xr:uid="{97543252-AE87-4643-A292-9DC2ABDE3DCB}"/>
    <cellStyle name="Comma 2 5 2 2 20" xfId="32518" xr:uid="{20F97796-C58F-493B-B283-F6E1B230083D}"/>
    <cellStyle name="Comma 2 5 2 2 21" xfId="34408" xr:uid="{38002B76-5454-48D8-92C1-199C3AA31930}"/>
    <cellStyle name="Comma 2 5 2 2 22" xfId="36298" xr:uid="{04B7765A-F780-4CC6-8BF8-157FA5689045}"/>
    <cellStyle name="Comma 2 5 2 2 23" xfId="38188" xr:uid="{45EA6E8D-4989-485A-9EDA-C9F1F2942520}"/>
    <cellStyle name="Comma 2 5 2 2 24" xfId="40079" xr:uid="{975464AE-0188-49F1-AB3C-08B7C153765C}"/>
    <cellStyle name="Comma 2 5 2 2 3" xfId="1648" xr:uid="{B60E0F3A-4F1D-49AF-A405-3CE3BD651A9B}"/>
    <cellStyle name="Comma 2 5 2 2 3 10" xfId="18658" xr:uid="{CC0B3ECD-1810-4346-99B6-396CB3664315}"/>
    <cellStyle name="Comma 2 5 2 2 3 11" xfId="20548" xr:uid="{ABFBBA7D-E1EE-46C8-B271-DC257C7D3750}"/>
    <cellStyle name="Comma 2 5 2 2 3 12" xfId="22438" xr:uid="{1CFC0EE6-033F-44C6-B2CA-1F699D3BCB7B}"/>
    <cellStyle name="Comma 2 5 2 2 3 13" xfId="24328" xr:uid="{4D31E7BE-F2C0-4C3B-8635-581E1CA3F26E}"/>
    <cellStyle name="Comma 2 5 2 2 3 14" xfId="26218" xr:uid="{28613F52-278C-4389-B2BA-0EED6D719754}"/>
    <cellStyle name="Comma 2 5 2 2 3 15" xfId="28108" xr:uid="{574FFAEE-15B8-4600-8551-690F8C87EB28}"/>
    <cellStyle name="Comma 2 5 2 2 3 16" xfId="29998" xr:uid="{8A5F631F-BDE6-466D-900C-06B74BF637CA}"/>
    <cellStyle name="Comma 2 5 2 2 3 17" xfId="31888" xr:uid="{E65E583A-0BA6-4B09-8BC0-C21DFEE9814A}"/>
    <cellStyle name="Comma 2 5 2 2 3 18" xfId="33778" xr:uid="{0203685A-F993-4D36-85CD-3CF4B36B17F8}"/>
    <cellStyle name="Comma 2 5 2 2 3 19" xfId="35668" xr:uid="{5DEAF92B-417A-4D09-BFEC-67862B9FE309}"/>
    <cellStyle name="Comma 2 5 2 2 3 2" xfId="3538" xr:uid="{6C6D302D-487B-47C1-8A5F-BBB4DBD80156}"/>
    <cellStyle name="Comma 2 5 2 2 3 20" xfId="37558" xr:uid="{6A1212DB-5B22-4E47-9493-BB103F930E9A}"/>
    <cellStyle name="Comma 2 5 2 2 3 21" xfId="39448" xr:uid="{6FF4BC7A-13CA-4058-A03B-5CA9C7BE3EB8}"/>
    <cellStyle name="Comma 2 5 2 2 3 22" xfId="41339" xr:uid="{A98F6F4C-5FA6-40C8-8AD8-D1853637C70A}"/>
    <cellStyle name="Comma 2 5 2 2 3 3" xfId="5428" xr:uid="{219413C6-9125-4230-8215-85228E9EF0E7}"/>
    <cellStyle name="Comma 2 5 2 2 3 4" xfId="7318" xr:uid="{3C28A03F-3252-4713-A13C-185AC437695C}"/>
    <cellStyle name="Comma 2 5 2 2 3 5" xfId="9208" xr:uid="{D057A738-547B-4937-AD3C-63FAEDE967FB}"/>
    <cellStyle name="Comma 2 5 2 2 3 6" xfId="11098" xr:uid="{D93A67FD-861B-402E-A0A0-E1464581A868}"/>
    <cellStyle name="Comma 2 5 2 2 3 7" xfId="12988" xr:uid="{91F622E4-8B93-42FD-B01B-2366178C9A8F}"/>
    <cellStyle name="Comma 2 5 2 2 3 8" xfId="14878" xr:uid="{1DFD1276-4E01-414B-A873-F31117F73D4E}"/>
    <cellStyle name="Comma 2 5 2 2 3 9" xfId="16768" xr:uid="{9B6990C2-DA74-4FF2-86BC-6576CD99B465}"/>
    <cellStyle name="Comma 2 5 2 2 4" xfId="2278" xr:uid="{FE2A1255-69F9-4B30-AE0C-6C6CCAEB1503}"/>
    <cellStyle name="Comma 2 5 2 2 5" xfId="4168" xr:uid="{F2C36388-5E54-46D5-8A1C-DC8691A7EFCE}"/>
    <cellStyle name="Comma 2 5 2 2 6" xfId="6058" xr:uid="{0B9C2F76-E9F1-4AD3-BD49-67AD6D2EB115}"/>
    <cellStyle name="Comma 2 5 2 2 7" xfId="7948" xr:uid="{315BC6A2-665C-47A6-B29F-44C98690796E}"/>
    <cellStyle name="Comma 2 5 2 2 8" xfId="9838" xr:uid="{B9519065-67E8-4348-909A-2C1742566870}"/>
    <cellStyle name="Comma 2 5 2 2 9" xfId="11728" xr:uid="{07C76FDE-2B82-490C-BF94-906814DED8A5}"/>
    <cellStyle name="Comma 2 5 2 20" xfId="28528" xr:uid="{F3A5375C-B5A7-4A76-9646-534D20D0A928}"/>
    <cellStyle name="Comma 2 5 2 21" xfId="30418" xr:uid="{E8672925-8154-4632-A701-408BC3660AF5}"/>
    <cellStyle name="Comma 2 5 2 22" xfId="32308" xr:uid="{302FBF38-D68D-419E-94D0-E2D96D002479}"/>
    <cellStyle name="Comma 2 5 2 23" xfId="34198" xr:uid="{3AA56CBF-F6D9-4B03-8A75-6F3630F475CC}"/>
    <cellStyle name="Comma 2 5 2 24" xfId="36088" xr:uid="{6524E3F6-2351-40BB-9D44-0981B3348C8F}"/>
    <cellStyle name="Comma 2 5 2 25" xfId="37978" xr:uid="{5EF398E6-421E-4435-A5C1-9F7C9393AA70}"/>
    <cellStyle name="Comma 2 5 2 26" xfId="39869" xr:uid="{7B06DA75-97AD-4BA8-9A83-8DED465975EA}"/>
    <cellStyle name="Comma 2 5 2 3" xfId="598" xr:uid="{D4FA1F24-144C-4ED2-98B5-67F47DCC6013}"/>
    <cellStyle name="Comma 2 5 2 3 10" xfId="13828" xr:uid="{F6D91DB6-AFFA-4628-AA2A-09504A7D5045}"/>
    <cellStyle name="Comma 2 5 2 3 11" xfId="15718" xr:uid="{9358475B-FAF8-483A-A723-27C87142422F}"/>
    <cellStyle name="Comma 2 5 2 3 12" xfId="17608" xr:uid="{5D25738E-FF2F-46E5-93FF-19C49D8A77AC}"/>
    <cellStyle name="Comma 2 5 2 3 13" xfId="19498" xr:uid="{C2162F53-830D-48F7-B186-75E29A9DD265}"/>
    <cellStyle name="Comma 2 5 2 3 14" xfId="21388" xr:uid="{F1E418D6-2E18-44B2-800C-BBA450B1107F}"/>
    <cellStyle name="Comma 2 5 2 3 15" xfId="23278" xr:uid="{21491DC3-2954-48D0-BC60-F35519AC3DF1}"/>
    <cellStyle name="Comma 2 5 2 3 16" xfId="25168" xr:uid="{18557915-EC02-4580-A4CC-6E20A4CD983A}"/>
    <cellStyle name="Comma 2 5 2 3 17" xfId="27058" xr:uid="{0CD6FB09-5767-40F0-BAEF-B0197CC0C3F6}"/>
    <cellStyle name="Comma 2 5 2 3 18" xfId="28948" xr:uid="{702AB94F-85AC-4102-B37C-D5E81E2DEB79}"/>
    <cellStyle name="Comma 2 5 2 3 19" xfId="30838" xr:uid="{6BE44FA3-7536-4C74-B1BD-96E3CBDA6F3F}"/>
    <cellStyle name="Comma 2 5 2 3 2" xfId="1228" xr:uid="{506C52B8-D61D-4C6F-89CD-8D23E3CFA5ED}"/>
    <cellStyle name="Comma 2 5 2 3 2 10" xfId="18238" xr:uid="{92117689-C91E-43B9-8954-D2D09601BCF1}"/>
    <cellStyle name="Comma 2 5 2 3 2 11" xfId="20128" xr:uid="{1FC194CC-4BB0-4C65-8D71-6498343D96DD}"/>
    <cellStyle name="Comma 2 5 2 3 2 12" xfId="22018" xr:uid="{3EB6E898-CAA1-4DE1-912D-561022F96AED}"/>
    <cellStyle name="Comma 2 5 2 3 2 13" xfId="23908" xr:uid="{7D27A093-D38C-4834-9CC9-3C227DCC2B78}"/>
    <cellStyle name="Comma 2 5 2 3 2 14" xfId="25798" xr:uid="{FA82DEA9-7BF6-4BDA-A550-CAE6C5974144}"/>
    <cellStyle name="Comma 2 5 2 3 2 15" xfId="27688" xr:uid="{033BC186-B829-44BB-891D-26365B34B070}"/>
    <cellStyle name="Comma 2 5 2 3 2 16" xfId="29578" xr:uid="{5CA95ABE-2515-4D40-B7DE-8A6C2E6E9A8A}"/>
    <cellStyle name="Comma 2 5 2 3 2 17" xfId="31468" xr:uid="{8C096402-E42F-47F8-B237-1CBF8FF35D86}"/>
    <cellStyle name="Comma 2 5 2 3 2 18" xfId="33358" xr:uid="{F20A9F6C-C5C6-4DED-AA44-E1743580260A}"/>
    <cellStyle name="Comma 2 5 2 3 2 19" xfId="35248" xr:uid="{A00D12D5-8A7B-46C2-9F9F-97138ECEF2E9}"/>
    <cellStyle name="Comma 2 5 2 3 2 2" xfId="3118" xr:uid="{ABE58530-6C94-40DC-9164-5739B57D5ACD}"/>
    <cellStyle name="Comma 2 5 2 3 2 20" xfId="37138" xr:uid="{CDE1D1D2-BBE6-49DC-A466-0D998988D748}"/>
    <cellStyle name="Comma 2 5 2 3 2 21" xfId="39028" xr:uid="{1FC78C80-674B-41AF-9D09-4E5F01250EB6}"/>
    <cellStyle name="Comma 2 5 2 3 2 22" xfId="40919" xr:uid="{975637E9-2DCE-4AF0-A29C-7838E17C2CD0}"/>
    <cellStyle name="Comma 2 5 2 3 2 3" xfId="5008" xr:uid="{DB72E2D9-9E49-43E5-A943-CEAAD9F55A1F}"/>
    <cellStyle name="Comma 2 5 2 3 2 4" xfId="6898" xr:uid="{1A1A9B71-DECA-41B7-9738-2AC837AE19C6}"/>
    <cellStyle name="Comma 2 5 2 3 2 5" xfId="8788" xr:uid="{C9722E4E-5AAB-4453-A762-569B29E8C968}"/>
    <cellStyle name="Comma 2 5 2 3 2 6" xfId="10678" xr:uid="{DA7EB1B8-263F-4367-BFAF-58A2F114947B}"/>
    <cellStyle name="Comma 2 5 2 3 2 7" xfId="12568" xr:uid="{972DFEB4-DE96-46B4-88E6-B4F1B0BE2228}"/>
    <cellStyle name="Comma 2 5 2 3 2 8" xfId="14458" xr:uid="{E5681CCA-8BF8-4434-91A8-A252D314A6A6}"/>
    <cellStyle name="Comma 2 5 2 3 2 9" xfId="16348" xr:uid="{9081682A-7D94-4CF2-B710-2A5AD5403931}"/>
    <cellStyle name="Comma 2 5 2 3 20" xfId="32728" xr:uid="{4C266B4F-C90F-46B0-AD8A-7013567AB109}"/>
    <cellStyle name="Comma 2 5 2 3 21" xfId="34618" xr:uid="{B1735DD8-0783-441E-AB97-AB6599DD5619}"/>
    <cellStyle name="Comma 2 5 2 3 22" xfId="36508" xr:uid="{0D2D2E5D-B8E1-46F7-8EEC-F35C7872FD65}"/>
    <cellStyle name="Comma 2 5 2 3 23" xfId="38398" xr:uid="{8E43B864-EE63-437D-A408-92D0C819EF5C}"/>
    <cellStyle name="Comma 2 5 2 3 24" xfId="40289" xr:uid="{01EC1CBA-E105-42FA-AC57-4F1CAB27A932}"/>
    <cellStyle name="Comma 2 5 2 3 3" xfId="1858" xr:uid="{5CDED327-F47B-41E7-ABB0-ECAB52CB268C}"/>
    <cellStyle name="Comma 2 5 2 3 3 10" xfId="18868" xr:uid="{D7C397E8-8D2F-4E28-8A2F-C396368AD018}"/>
    <cellStyle name="Comma 2 5 2 3 3 11" xfId="20758" xr:uid="{B9A52E7B-ED25-40B2-8245-C4E91007BA09}"/>
    <cellStyle name="Comma 2 5 2 3 3 12" xfId="22648" xr:uid="{72D49259-C196-46C5-A960-280461E066FF}"/>
    <cellStyle name="Comma 2 5 2 3 3 13" xfId="24538" xr:uid="{077F2CD5-FAD6-4D0A-8B6E-A95C2CB1AC06}"/>
    <cellStyle name="Comma 2 5 2 3 3 14" xfId="26428" xr:uid="{616F8B78-9446-45E8-9DEE-F4C5456AB8E2}"/>
    <cellStyle name="Comma 2 5 2 3 3 15" xfId="28318" xr:uid="{3397A09C-AE69-44E0-9C3C-89C7479F547A}"/>
    <cellStyle name="Comma 2 5 2 3 3 16" xfId="30208" xr:uid="{8236C7B6-FA77-40BD-AA57-7B30A458EE23}"/>
    <cellStyle name="Comma 2 5 2 3 3 17" xfId="32098" xr:uid="{CEBD50DC-A20C-4537-AFB7-F42DB52CDDD3}"/>
    <cellStyle name="Comma 2 5 2 3 3 18" xfId="33988" xr:uid="{C9749007-A9CC-4646-A588-34911420A43E}"/>
    <cellStyle name="Comma 2 5 2 3 3 19" xfId="35878" xr:uid="{68E24C52-E88F-4156-BDBE-E3C38D957764}"/>
    <cellStyle name="Comma 2 5 2 3 3 2" xfId="3748" xr:uid="{511CF814-D08E-4002-B3F2-EB18BEC0733F}"/>
    <cellStyle name="Comma 2 5 2 3 3 20" xfId="37768" xr:uid="{3E0EF9E8-CED6-4AFD-998D-92E4CDA78DE3}"/>
    <cellStyle name="Comma 2 5 2 3 3 21" xfId="39658" xr:uid="{5213BEA3-0DD1-4102-A13F-A5FEA43B76CE}"/>
    <cellStyle name="Comma 2 5 2 3 3 22" xfId="41549" xr:uid="{47A57FAA-5F04-488D-A532-DB6958E1F042}"/>
    <cellStyle name="Comma 2 5 2 3 3 3" xfId="5638" xr:uid="{81A3990C-5D76-4245-81F3-F3BEF47A5EE9}"/>
    <cellStyle name="Comma 2 5 2 3 3 4" xfId="7528" xr:uid="{C74ADA20-4C5B-46C8-BEA2-4E01680A1EA8}"/>
    <cellStyle name="Comma 2 5 2 3 3 5" xfId="9418" xr:uid="{4FD0607C-AF69-4AE5-89EB-1FEE56D0CC13}"/>
    <cellStyle name="Comma 2 5 2 3 3 6" xfId="11308" xr:uid="{A42413CC-6E94-46B2-A641-3EE79C3E8B3B}"/>
    <cellStyle name="Comma 2 5 2 3 3 7" xfId="13198" xr:uid="{34F1B3B5-1EBB-42FA-AD83-7DBE955EADAA}"/>
    <cellStyle name="Comma 2 5 2 3 3 8" xfId="15088" xr:uid="{563F47E4-D7DA-463C-9F1F-CC3908256602}"/>
    <cellStyle name="Comma 2 5 2 3 3 9" xfId="16978" xr:uid="{FC119F21-04E5-4E36-9262-F810202E91F6}"/>
    <cellStyle name="Comma 2 5 2 3 4" xfId="2488" xr:uid="{015E05F2-515B-4DB8-8BA3-AFBFEBFEFA9B}"/>
    <cellStyle name="Comma 2 5 2 3 5" xfId="4378" xr:uid="{E34B43A4-B602-4837-AC00-ADB73CABE287}"/>
    <cellStyle name="Comma 2 5 2 3 6" xfId="6268" xr:uid="{EA88DCA9-AE69-4AD9-9A00-6E54BA42928F}"/>
    <cellStyle name="Comma 2 5 2 3 7" xfId="8158" xr:uid="{BC2D6C87-2AFE-4D46-B682-251D52A1EEBA}"/>
    <cellStyle name="Comma 2 5 2 3 8" xfId="10048" xr:uid="{BD4BA98D-7C39-4201-840C-39C28B624C27}"/>
    <cellStyle name="Comma 2 5 2 3 9" xfId="11938" xr:uid="{D55481C5-8A66-4111-806A-DF23E0DBA394}"/>
    <cellStyle name="Comma 2 5 2 4" xfId="808" xr:uid="{B3589099-104A-43C1-90DD-E4637B1FFF9F}"/>
    <cellStyle name="Comma 2 5 2 4 10" xfId="17818" xr:uid="{54C2B3D2-1F8A-4920-80C5-77E3CB75C661}"/>
    <cellStyle name="Comma 2 5 2 4 11" xfId="19708" xr:uid="{EF2BBAB9-0360-4511-9D3A-3E74EBFDE9BD}"/>
    <cellStyle name="Comma 2 5 2 4 12" xfId="21598" xr:uid="{3D343608-33C0-4F96-A95C-4762B0905F78}"/>
    <cellStyle name="Comma 2 5 2 4 13" xfId="23488" xr:uid="{BE9FC58F-CCC7-48B4-B528-96D09DEEA0F0}"/>
    <cellStyle name="Comma 2 5 2 4 14" xfId="25378" xr:uid="{660F7C0F-7251-4D79-9D5E-D0838DE8F5F7}"/>
    <cellStyle name="Comma 2 5 2 4 15" xfId="27268" xr:uid="{07EC0C95-70E3-4A2F-909F-B63358E15E6B}"/>
    <cellStyle name="Comma 2 5 2 4 16" xfId="29158" xr:uid="{FDF2472C-A9A4-4BC8-B313-1A92F18DB64E}"/>
    <cellStyle name="Comma 2 5 2 4 17" xfId="31048" xr:uid="{F173DAC4-F054-4C74-A7DD-CDDD7896E3DB}"/>
    <cellStyle name="Comma 2 5 2 4 18" xfId="32938" xr:uid="{9CE4C21A-333C-4038-9F63-D00C48796636}"/>
    <cellStyle name="Comma 2 5 2 4 19" xfId="34828" xr:uid="{48C254FA-3A6D-4795-BE79-D464E1B55C5C}"/>
    <cellStyle name="Comma 2 5 2 4 2" xfId="2698" xr:uid="{BF995ED1-B7F1-4005-AF61-C9E801E30D01}"/>
    <cellStyle name="Comma 2 5 2 4 20" xfId="36718" xr:uid="{8CF8F630-442B-4430-9373-661DE0DF2925}"/>
    <cellStyle name="Comma 2 5 2 4 21" xfId="38608" xr:uid="{7BDBFDC2-31FD-4F1C-BB22-B3DD96005F31}"/>
    <cellStyle name="Comma 2 5 2 4 22" xfId="40499" xr:uid="{81A7AA4B-BBC8-4D34-9837-C5F9C7243F30}"/>
    <cellStyle name="Comma 2 5 2 4 3" xfId="4588" xr:uid="{51E589D5-F74B-4058-9F6C-93F4836083DF}"/>
    <cellStyle name="Comma 2 5 2 4 4" xfId="6478" xr:uid="{65CDCD9B-2F82-4DAD-9AA3-7A1529A2668F}"/>
    <cellStyle name="Comma 2 5 2 4 5" xfId="8368" xr:uid="{874403DA-D5BD-4C55-A5B6-F1885C4A462C}"/>
    <cellStyle name="Comma 2 5 2 4 6" xfId="10258" xr:uid="{332E4A8D-3929-4475-A044-C7D57969F17F}"/>
    <cellStyle name="Comma 2 5 2 4 7" xfId="12148" xr:uid="{26ED2DEB-F93A-407E-99AC-0F24FB64DF76}"/>
    <cellStyle name="Comma 2 5 2 4 8" xfId="14038" xr:uid="{DB78122E-601F-4FD1-8C26-3DCA11D18DC0}"/>
    <cellStyle name="Comma 2 5 2 4 9" xfId="15928" xr:uid="{56909B56-43DB-44CA-941D-D753207A53A6}"/>
    <cellStyle name="Comma 2 5 2 5" xfId="1438" xr:uid="{34353EC4-ABAE-4AC2-867C-15BA9EFD08A9}"/>
    <cellStyle name="Comma 2 5 2 5 10" xfId="18448" xr:uid="{27464128-777F-4435-8E98-87BE80823C58}"/>
    <cellStyle name="Comma 2 5 2 5 11" xfId="20338" xr:uid="{D38D3829-484D-4571-91DE-BA84BE9C505E}"/>
    <cellStyle name="Comma 2 5 2 5 12" xfId="22228" xr:uid="{A50815EC-A4E7-47BF-A1C7-E3879CFA4571}"/>
    <cellStyle name="Comma 2 5 2 5 13" xfId="24118" xr:uid="{CF2276A5-7CED-4E65-8CAD-B640C15E022D}"/>
    <cellStyle name="Comma 2 5 2 5 14" xfId="26008" xr:uid="{1F362EC8-04C3-46B9-9699-F111A9B66080}"/>
    <cellStyle name="Comma 2 5 2 5 15" xfId="27898" xr:uid="{8521C748-F2F6-41F1-B625-ED54662EC16F}"/>
    <cellStyle name="Comma 2 5 2 5 16" xfId="29788" xr:uid="{679EE637-003F-4E87-A8C3-D9F2B9BA2328}"/>
    <cellStyle name="Comma 2 5 2 5 17" xfId="31678" xr:uid="{6BB610DC-D6DF-4036-9BE6-1A302EBAA3C3}"/>
    <cellStyle name="Comma 2 5 2 5 18" xfId="33568" xr:uid="{A51A411F-B6BF-496A-B10A-24188A914AAF}"/>
    <cellStyle name="Comma 2 5 2 5 19" xfId="35458" xr:uid="{F26A327D-F307-491D-B239-EA856F2180DD}"/>
    <cellStyle name="Comma 2 5 2 5 2" xfId="3328" xr:uid="{6108D019-ED57-42F7-A162-B22DEEF08991}"/>
    <cellStyle name="Comma 2 5 2 5 20" xfId="37348" xr:uid="{FF5703BD-3E51-4EF8-BB68-C69897283FC2}"/>
    <cellStyle name="Comma 2 5 2 5 21" xfId="39238" xr:uid="{48B3FD61-A45F-4028-9F3D-779DA665361F}"/>
    <cellStyle name="Comma 2 5 2 5 22" xfId="41129" xr:uid="{06DEB757-EB6D-4489-B6A2-C3ED127BF753}"/>
    <cellStyle name="Comma 2 5 2 5 3" xfId="5218" xr:uid="{F7B777D9-6951-4705-9725-1172FF563D84}"/>
    <cellStyle name="Comma 2 5 2 5 4" xfId="7108" xr:uid="{D38BDECA-92A5-44F0-8197-E3FCCCB14BA9}"/>
    <cellStyle name="Comma 2 5 2 5 5" xfId="8998" xr:uid="{E23EF486-48C5-40B9-9382-F8EE3A33250A}"/>
    <cellStyle name="Comma 2 5 2 5 6" xfId="10888" xr:uid="{A6C3252D-5A14-4560-95F8-A65E3CDBA7BB}"/>
    <cellStyle name="Comma 2 5 2 5 7" xfId="12778" xr:uid="{A51455CB-F4EA-4E38-9D2F-81C577444B34}"/>
    <cellStyle name="Comma 2 5 2 5 8" xfId="14668" xr:uid="{BA708BDF-7E2F-45F9-A2AA-2E22826B61C0}"/>
    <cellStyle name="Comma 2 5 2 5 9" xfId="16558" xr:uid="{56EC5B2E-F388-485D-811B-FFAF5CCB703C}"/>
    <cellStyle name="Comma 2 5 2 6" xfId="2068" xr:uid="{64EB733D-3073-43F9-B645-8B66EE251C72}"/>
    <cellStyle name="Comma 2 5 2 7" xfId="3958" xr:uid="{00A03E05-DBA3-42EE-88E6-263686C2EB26}"/>
    <cellStyle name="Comma 2 5 2 8" xfId="5848" xr:uid="{D2590ADD-9F33-4777-AB0B-1499B04469BF}"/>
    <cellStyle name="Comma 2 5 2 9" xfId="7738" xr:uid="{2ADD5D3C-E241-4897-80DF-9894F8DB6002}"/>
    <cellStyle name="Comma 2 5 20" xfId="26533" xr:uid="{A66B2C28-838F-4B6A-8897-F949FA407534}"/>
    <cellStyle name="Comma 2 5 21" xfId="28423" xr:uid="{7F3A0099-2C63-4119-8522-CEBDE39DF7B5}"/>
    <cellStyle name="Comma 2 5 22" xfId="30313" xr:uid="{7B5A0CA4-8327-4AD4-B003-EF72871E3D5E}"/>
    <cellStyle name="Comma 2 5 23" xfId="32203" xr:uid="{72633EAB-AA5A-4294-ABAE-1F9C03642EDF}"/>
    <cellStyle name="Comma 2 5 24" xfId="34093" xr:uid="{A9B4F073-3632-41C5-A4DC-FDF6FB05754F}"/>
    <cellStyle name="Comma 2 5 25" xfId="35983" xr:uid="{32350C48-E11A-4DD5-AB85-F16B24EA21F3}"/>
    <cellStyle name="Comma 2 5 26" xfId="37873" xr:uid="{92F7C4E4-C811-43DA-9A0F-2CEA49425C98}"/>
    <cellStyle name="Comma 2 5 27" xfId="39764" xr:uid="{11AA4CF1-3117-4814-9FB5-4361A169237C}"/>
    <cellStyle name="Comma 2 5 3" xfId="283" xr:uid="{AAD2E731-F8CA-4B3D-858F-12BFD1B83497}"/>
    <cellStyle name="Comma 2 5 3 10" xfId="13513" xr:uid="{826917B8-9939-4CF2-9596-C8153FE58911}"/>
    <cellStyle name="Comma 2 5 3 11" xfId="15403" xr:uid="{C8A0FBC3-B1F7-4C37-9B30-DCF4F8C17E74}"/>
    <cellStyle name="Comma 2 5 3 12" xfId="17293" xr:uid="{69C847F7-F642-48BC-A77A-92E5D6AF5151}"/>
    <cellStyle name="Comma 2 5 3 13" xfId="19183" xr:uid="{2FA9AF4A-AC95-409E-8C5E-386C696C6696}"/>
    <cellStyle name="Comma 2 5 3 14" xfId="21073" xr:uid="{0D446158-5DBE-4C90-8F98-B18EB688C901}"/>
    <cellStyle name="Comma 2 5 3 15" xfId="22963" xr:uid="{462F94AB-84FD-4CDF-AC14-36F6F21169B1}"/>
    <cellStyle name="Comma 2 5 3 16" xfId="24853" xr:uid="{0C4B6679-5F41-4775-9F1B-A4E6BB904BA8}"/>
    <cellStyle name="Comma 2 5 3 17" xfId="26743" xr:uid="{DB6F9E72-EC93-4BC2-886B-F94CD5B5550F}"/>
    <cellStyle name="Comma 2 5 3 18" xfId="28633" xr:uid="{2B7753A2-9B8F-4B25-AC0E-66FF75CB45B4}"/>
    <cellStyle name="Comma 2 5 3 19" xfId="30523" xr:uid="{B4B1FA63-C4E3-401B-8BCA-20645CC41761}"/>
    <cellStyle name="Comma 2 5 3 2" xfId="913" xr:uid="{13EF3CAC-BA89-4B47-83C9-4F2E2314F6B5}"/>
    <cellStyle name="Comma 2 5 3 2 10" xfId="17923" xr:uid="{C8B9DB3A-B86C-434B-A55C-38DE2DCDBFF7}"/>
    <cellStyle name="Comma 2 5 3 2 11" xfId="19813" xr:uid="{2A082C75-77F8-48CF-81DD-8B470548172A}"/>
    <cellStyle name="Comma 2 5 3 2 12" xfId="21703" xr:uid="{FA911B68-DE85-43C6-BBF2-CA9EE05CBF12}"/>
    <cellStyle name="Comma 2 5 3 2 13" xfId="23593" xr:uid="{4357766E-503F-4508-BCD3-F305BAE75613}"/>
    <cellStyle name="Comma 2 5 3 2 14" xfId="25483" xr:uid="{5429052D-0790-4A1D-8462-12342C475125}"/>
    <cellStyle name="Comma 2 5 3 2 15" xfId="27373" xr:uid="{2C63F4E9-3E7B-444C-A35F-B7F3A91104DC}"/>
    <cellStyle name="Comma 2 5 3 2 16" xfId="29263" xr:uid="{2187856F-F9E1-4BBD-ACB0-D3FD8D8DA5C7}"/>
    <cellStyle name="Comma 2 5 3 2 17" xfId="31153" xr:uid="{068A9FD9-5BB9-4BF5-B4B9-0A4761EA52A6}"/>
    <cellStyle name="Comma 2 5 3 2 18" xfId="33043" xr:uid="{6ACB4102-F60C-4D36-95C2-2534C3EE5851}"/>
    <cellStyle name="Comma 2 5 3 2 19" xfId="34933" xr:uid="{5BB25D67-FCA5-4FB0-B273-50130F7FBF73}"/>
    <cellStyle name="Comma 2 5 3 2 2" xfId="2803" xr:uid="{2FD457F2-6107-440D-AE54-940B84A0801D}"/>
    <cellStyle name="Comma 2 5 3 2 20" xfId="36823" xr:uid="{172068A3-3624-4B1C-9B1F-DEF406D8C814}"/>
    <cellStyle name="Comma 2 5 3 2 21" xfId="38713" xr:uid="{CA4EE9EA-B065-408C-A0DA-B455D0FD15C0}"/>
    <cellStyle name="Comma 2 5 3 2 22" xfId="40604" xr:uid="{EA798A02-8814-40BC-AF27-D055DF11E0BC}"/>
    <cellStyle name="Comma 2 5 3 2 3" xfId="4693" xr:uid="{40763FD4-3238-4701-A2EF-30E5407D9208}"/>
    <cellStyle name="Comma 2 5 3 2 4" xfId="6583" xr:uid="{1A08739D-DDE0-415F-96B7-CA5566D9F7BC}"/>
    <cellStyle name="Comma 2 5 3 2 5" xfId="8473" xr:uid="{AA78E997-0831-47D8-A447-603A9252C200}"/>
    <cellStyle name="Comma 2 5 3 2 6" xfId="10363" xr:uid="{7D04E740-ABC0-40C9-AF97-A6AE27B24EA2}"/>
    <cellStyle name="Comma 2 5 3 2 7" xfId="12253" xr:uid="{BDFAD8AA-ADD4-4FB1-91EE-433B28A165C2}"/>
    <cellStyle name="Comma 2 5 3 2 8" xfId="14143" xr:uid="{A509316A-653B-4D38-AD4B-87189897CF3D}"/>
    <cellStyle name="Comma 2 5 3 2 9" xfId="16033" xr:uid="{D10AB344-7077-4D7D-8556-4356D6198CED}"/>
    <cellStyle name="Comma 2 5 3 20" xfId="32413" xr:uid="{C417ABC8-0CAE-4694-A9CB-88A9A4C0F7AF}"/>
    <cellStyle name="Comma 2 5 3 21" xfId="34303" xr:uid="{FCC463FA-4DB7-425B-BA7B-8630ED1A0D30}"/>
    <cellStyle name="Comma 2 5 3 22" xfId="36193" xr:uid="{35E104DC-11C3-4A8E-A4C7-937B626A508D}"/>
    <cellStyle name="Comma 2 5 3 23" xfId="38083" xr:uid="{36208833-ACD9-4FE1-AB0B-822920F289CD}"/>
    <cellStyle name="Comma 2 5 3 24" xfId="39974" xr:uid="{FCEC2B51-28F0-4AE6-AC92-F2776D7BB5C9}"/>
    <cellStyle name="Comma 2 5 3 3" xfId="1543" xr:uid="{6A6A7D9A-284A-4500-8A05-FB1C70C85557}"/>
    <cellStyle name="Comma 2 5 3 3 10" xfId="18553" xr:uid="{CB6C795A-7DA2-4E6C-BD20-F3EA8D2EFA92}"/>
    <cellStyle name="Comma 2 5 3 3 11" xfId="20443" xr:uid="{77645710-7179-4F8D-A3CE-AB1CF8907C01}"/>
    <cellStyle name="Comma 2 5 3 3 12" xfId="22333" xr:uid="{ADE06D38-DF31-465C-A6C6-1F0D95F7F8EB}"/>
    <cellStyle name="Comma 2 5 3 3 13" xfId="24223" xr:uid="{AB672468-C0EF-4354-BCAB-9E8D0F18BAEA}"/>
    <cellStyle name="Comma 2 5 3 3 14" xfId="26113" xr:uid="{9BEBA6A5-1A50-4CFA-9F93-E4CBA94DC0C6}"/>
    <cellStyle name="Comma 2 5 3 3 15" xfId="28003" xr:uid="{9EA490FF-0301-4991-B706-A580C5B8F7C9}"/>
    <cellStyle name="Comma 2 5 3 3 16" xfId="29893" xr:uid="{CCBF56CF-FD4E-4487-8820-2E93C7131574}"/>
    <cellStyle name="Comma 2 5 3 3 17" xfId="31783" xr:uid="{EE920367-7720-4026-ABB2-3CB87F230A58}"/>
    <cellStyle name="Comma 2 5 3 3 18" xfId="33673" xr:uid="{031F9658-7385-4AA7-8CDC-16D97EB0AB76}"/>
    <cellStyle name="Comma 2 5 3 3 19" xfId="35563" xr:uid="{964CCC6F-BAE5-449F-9349-2BADA0949E94}"/>
    <cellStyle name="Comma 2 5 3 3 2" xfId="3433" xr:uid="{56FCDB23-8318-4597-9431-2BCDED982C46}"/>
    <cellStyle name="Comma 2 5 3 3 20" xfId="37453" xr:uid="{3833FC54-36D5-40D1-8FC3-D8D90C6D835C}"/>
    <cellStyle name="Comma 2 5 3 3 21" xfId="39343" xr:uid="{2DE3D24C-4E3B-4291-8B34-C1D66655888B}"/>
    <cellStyle name="Comma 2 5 3 3 22" xfId="41234" xr:uid="{8CC32853-5150-4A24-9E85-8FED0133EE7B}"/>
    <cellStyle name="Comma 2 5 3 3 3" xfId="5323" xr:uid="{C57C8DEB-EC83-42CC-87B3-055654B1DF93}"/>
    <cellStyle name="Comma 2 5 3 3 4" xfId="7213" xr:uid="{BB4BF950-98E8-4A0C-B031-8C1100950BB8}"/>
    <cellStyle name="Comma 2 5 3 3 5" xfId="9103" xr:uid="{EEA3CA68-86EF-4A97-A88D-F8BFC87627F7}"/>
    <cellStyle name="Comma 2 5 3 3 6" xfId="10993" xr:uid="{3F254DC6-FAC4-4843-A587-867F10206D01}"/>
    <cellStyle name="Comma 2 5 3 3 7" xfId="12883" xr:uid="{9C3B0F12-8226-4A0A-8D65-02C0CD1D494C}"/>
    <cellStyle name="Comma 2 5 3 3 8" xfId="14773" xr:uid="{A3F6DB43-E726-4517-AC76-FB6F45806FD7}"/>
    <cellStyle name="Comma 2 5 3 3 9" xfId="16663" xr:uid="{FA791344-24E2-4565-B5B0-4CC64B4D91BB}"/>
    <cellStyle name="Comma 2 5 3 4" xfId="2173" xr:uid="{C087EC8B-FE1C-4CB3-9B66-DB9086419EFA}"/>
    <cellStyle name="Comma 2 5 3 5" xfId="4063" xr:uid="{2485503E-D883-4C7C-AA30-1BEC44B87D3B}"/>
    <cellStyle name="Comma 2 5 3 6" xfId="5953" xr:uid="{49AA496E-B04F-406D-A720-7C34B8B1B982}"/>
    <cellStyle name="Comma 2 5 3 7" xfId="7843" xr:uid="{8331A9A8-406A-4C04-94A8-4D7410E27FD2}"/>
    <cellStyle name="Comma 2 5 3 8" xfId="9733" xr:uid="{2A27ACFC-67C8-416A-A14B-1B69A17AD294}"/>
    <cellStyle name="Comma 2 5 3 9" xfId="11623" xr:uid="{B0B292B9-7B44-48D4-AE55-E88E19410E02}"/>
    <cellStyle name="Comma 2 5 4" xfId="493" xr:uid="{20FA7503-2460-4F90-B7B1-34D9090BB226}"/>
    <cellStyle name="Comma 2 5 4 10" xfId="13723" xr:uid="{C5C62EC0-7EAF-4946-8907-D25992FBD53D}"/>
    <cellStyle name="Comma 2 5 4 11" xfId="15613" xr:uid="{3DC3F5B2-9832-476D-88D1-31CCD66A0065}"/>
    <cellStyle name="Comma 2 5 4 12" xfId="17503" xr:uid="{D43381B8-5365-4648-BE8F-4E4798691FDC}"/>
    <cellStyle name="Comma 2 5 4 13" xfId="19393" xr:uid="{16F5FE32-428C-4C9A-B98C-04E99BF51FF8}"/>
    <cellStyle name="Comma 2 5 4 14" xfId="21283" xr:uid="{1010F61B-C345-420C-AF01-6863BD7373EA}"/>
    <cellStyle name="Comma 2 5 4 15" xfId="23173" xr:uid="{8283FC18-CC64-4F51-96F4-FE738FAF4B14}"/>
    <cellStyle name="Comma 2 5 4 16" xfId="25063" xr:uid="{2DCA6347-F322-4BDE-A9D4-1B6342254148}"/>
    <cellStyle name="Comma 2 5 4 17" xfId="26953" xr:uid="{FF8EFD70-825D-4F64-B286-2A3893E19BF8}"/>
    <cellStyle name="Comma 2 5 4 18" xfId="28843" xr:uid="{CC9FE6B5-802B-4668-A5BD-20D0FA7B3C3D}"/>
    <cellStyle name="Comma 2 5 4 19" xfId="30733" xr:uid="{55D7EA5E-4084-48C3-91AA-46A8D8B1C08D}"/>
    <cellStyle name="Comma 2 5 4 2" xfId="1123" xr:uid="{CEC2831B-2D6E-42D3-A006-253AEC897404}"/>
    <cellStyle name="Comma 2 5 4 2 10" xfId="18133" xr:uid="{FE075751-473D-4411-969D-44F00456975D}"/>
    <cellStyle name="Comma 2 5 4 2 11" xfId="20023" xr:uid="{094BAC69-8374-4400-832B-360EBE625EE6}"/>
    <cellStyle name="Comma 2 5 4 2 12" xfId="21913" xr:uid="{1B06B12F-3291-43E6-B50A-69994F0969C6}"/>
    <cellStyle name="Comma 2 5 4 2 13" xfId="23803" xr:uid="{2B61AA47-2722-4EE1-B08B-54DC66B924AC}"/>
    <cellStyle name="Comma 2 5 4 2 14" xfId="25693" xr:uid="{446ED050-B623-49E2-AED3-CD3B5F0C68B1}"/>
    <cellStyle name="Comma 2 5 4 2 15" xfId="27583" xr:uid="{628AA1E8-685A-4EAA-8D24-2F395425D674}"/>
    <cellStyle name="Comma 2 5 4 2 16" xfId="29473" xr:uid="{8C719993-CD3C-44BF-BE44-3141647114BE}"/>
    <cellStyle name="Comma 2 5 4 2 17" xfId="31363" xr:uid="{A1871092-943F-4C09-B80B-91FFEA7D0219}"/>
    <cellStyle name="Comma 2 5 4 2 18" xfId="33253" xr:uid="{EC186D34-9CBE-4061-932D-4B1DE899B2D5}"/>
    <cellStyle name="Comma 2 5 4 2 19" xfId="35143" xr:uid="{7309FB9A-A1A3-435A-87E0-89BAD9CF6F36}"/>
    <cellStyle name="Comma 2 5 4 2 2" xfId="3013" xr:uid="{0C94A9C7-B919-4CFB-981A-54966EA7C068}"/>
    <cellStyle name="Comma 2 5 4 2 20" xfId="37033" xr:uid="{B311A22D-A102-44E1-8691-8CE7DEE5AF41}"/>
    <cellStyle name="Comma 2 5 4 2 21" xfId="38923" xr:uid="{A6845FF2-2E6C-4BE7-A8EF-A58F0DBE6F3E}"/>
    <cellStyle name="Comma 2 5 4 2 22" xfId="40814" xr:uid="{85C694E9-7CD4-493E-A248-99AF4B92753D}"/>
    <cellStyle name="Comma 2 5 4 2 3" xfId="4903" xr:uid="{F06173B6-A6CD-4FBB-B6D2-B319580184BA}"/>
    <cellStyle name="Comma 2 5 4 2 4" xfId="6793" xr:uid="{A26B4E51-058D-47CC-8348-6F13B8BEBA10}"/>
    <cellStyle name="Comma 2 5 4 2 5" xfId="8683" xr:uid="{BFB4234D-54EC-45F4-80FE-CA10436A8F91}"/>
    <cellStyle name="Comma 2 5 4 2 6" xfId="10573" xr:uid="{3D255050-CFAD-42E2-B8A1-B38ADE3AE20D}"/>
    <cellStyle name="Comma 2 5 4 2 7" xfId="12463" xr:uid="{B447AAC1-4024-466C-9204-C2BCC1AE9EA8}"/>
    <cellStyle name="Comma 2 5 4 2 8" xfId="14353" xr:uid="{F6D78BFC-1AD6-41DC-A626-66F0D8341A68}"/>
    <cellStyle name="Comma 2 5 4 2 9" xfId="16243" xr:uid="{DF90C7E8-9762-4200-B1ED-6D29074166C0}"/>
    <cellStyle name="Comma 2 5 4 20" xfId="32623" xr:uid="{A699A589-9FBC-48B3-B7B9-74BF66BBBE29}"/>
    <cellStyle name="Comma 2 5 4 21" xfId="34513" xr:uid="{04F10AE8-41F2-423F-8220-8C70BB88CBB7}"/>
    <cellStyle name="Comma 2 5 4 22" xfId="36403" xr:uid="{F521D546-8F53-493D-991E-9DA9B6AFC30A}"/>
    <cellStyle name="Comma 2 5 4 23" xfId="38293" xr:uid="{B3303216-107A-44EC-947E-7FA5F6074FF5}"/>
    <cellStyle name="Comma 2 5 4 24" xfId="40184" xr:uid="{F7933123-1A02-4C78-88C9-4FF45E0F9417}"/>
    <cellStyle name="Comma 2 5 4 3" xfId="1753" xr:uid="{172D0CE2-F940-4DF2-86AB-B5DC39EE1161}"/>
    <cellStyle name="Comma 2 5 4 3 10" xfId="18763" xr:uid="{BC05E54C-4E86-4180-974D-CE9E34C658C0}"/>
    <cellStyle name="Comma 2 5 4 3 11" xfId="20653" xr:uid="{8C44CB14-6B5A-42D9-B7B4-E461F70DB607}"/>
    <cellStyle name="Comma 2 5 4 3 12" xfId="22543" xr:uid="{7F329CFA-31BE-450D-87E6-EF08CF72498C}"/>
    <cellStyle name="Comma 2 5 4 3 13" xfId="24433" xr:uid="{A9A5F0E3-9336-40BD-A72B-9F87FB9851DC}"/>
    <cellStyle name="Comma 2 5 4 3 14" xfId="26323" xr:uid="{AD77B6F5-9038-450A-A4D8-1CAE66213FB7}"/>
    <cellStyle name="Comma 2 5 4 3 15" xfId="28213" xr:uid="{CC7AB750-C6F7-4796-B996-8CFD53B07ECA}"/>
    <cellStyle name="Comma 2 5 4 3 16" xfId="30103" xr:uid="{7D23AAEA-EFA6-4449-A4DC-3B2669002A7C}"/>
    <cellStyle name="Comma 2 5 4 3 17" xfId="31993" xr:uid="{9470DB9A-00CD-4DFD-B439-9FC6C79AD062}"/>
    <cellStyle name="Comma 2 5 4 3 18" xfId="33883" xr:uid="{68B7718C-46DB-4690-B015-81D5B6E74F37}"/>
    <cellStyle name="Comma 2 5 4 3 19" xfId="35773" xr:uid="{7E597372-2DDC-49B4-8FFE-79653734028A}"/>
    <cellStyle name="Comma 2 5 4 3 2" xfId="3643" xr:uid="{C4D7A835-9D57-423A-9459-E7FA8ABA7D75}"/>
    <cellStyle name="Comma 2 5 4 3 20" xfId="37663" xr:uid="{7907715F-127C-4285-9A8A-1689591E8207}"/>
    <cellStyle name="Comma 2 5 4 3 21" xfId="39553" xr:uid="{C511D094-03EC-46B6-A716-581BEF01BA06}"/>
    <cellStyle name="Comma 2 5 4 3 22" xfId="41444" xr:uid="{BCB19043-0540-4238-92D4-403BC1B55BEE}"/>
    <cellStyle name="Comma 2 5 4 3 3" xfId="5533" xr:uid="{CB3DA147-5DE0-4D83-A980-890C07FEBC76}"/>
    <cellStyle name="Comma 2 5 4 3 4" xfId="7423" xr:uid="{CB2E73C6-60C7-44C9-B992-F8DE53B0DCE5}"/>
    <cellStyle name="Comma 2 5 4 3 5" xfId="9313" xr:uid="{0896CE23-A142-41AF-8FBC-F0F8719E3A44}"/>
    <cellStyle name="Comma 2 5 4 3 6" xfId="11203" xr:uid="{09E89CC2-4805-45EB-89E3-311116F0C916}"/>
    <cellStyle name="Comma 2 5 4 3 7" xfId="13093" xr:uid="{C171790D-3984-46BE-9868-9CA26680FA69}"/>
    <cellStyle name="Comma 2 5 4 3 8" xfId="14983" xr:uid="{03262BEC-C792-4F2F-B922-D58BD50A4237}"/>
    <cellStyle name="Comma 2 5 4 3 9" xfId="16873" xr:uid="{372BF2E5-65F0-428B-92D2-2241D0DC516C}"/>
    <cellStyle name="Comma 2 5 4 4" xfId="2383" xr:uid="{8B3C690B-C189-4CBA-B81E-6A0B4A96B8A2}"/>
    <cellStyle name="Comma 2 5 4 5" xfId="4273" xr:uid="{7446B6E9-1865-48A6-9A2C-080EF83AD812}"/>
    <cellStyle name="Comma 2 5 4 6" xfId="6163" xr:uid="{95596554-D5D1-4628-8769-CA6829870C94}"/>
    <cellStyle name="Comma 2 5 4 7" xfId="8053" xr:uid="{E1E5CB02-1E79-4829-B6B5-5BBB62FDA99C}"/>
    <cellStyle name="Comma 2 5 4 8" xfId="9943" xr:uid="{7E3F6F82-3B34-49EA-B7D5-FDAFCDD0B5AF}"/>
    <cellStyle name="Comma 2 5 4 9" xfId="11833" xr:uid="{81AECE75-2378-41FA-A7A4-4F2E8DF947C7}"/>
    <cellStyle name="Comma 2 5 5" xfId="703" xr:uid="{F93D36C0-7D23-4A11-9554-5A0845AE05E4}"/>
    <cellStyle name="Comma 2 5 5 10" xfId="17713" xr:uid="{C05B0D4E-74F4-4993-8E94-9A0772CE98DA}"/>
    <cellStyle name="Comma 2 5 5 11" xfId="19603" xr:uid="{075A506A-61BB-4960-A62B-182570BDC2B2}"/>
    <cellStyle name="Comma 2 5 5 12" xfId="21493" xr:uid="{94F1F40B-38AF-4DD9-B8FB-DCD6CB294C8D}"/>
    <cellStyle name="Comma 2 5 5 13" xfId="23383" xr:uid="{75A68D58-BE25-4000-9BFF-20587DB09A68}"/>
    <cellStyle name="Comma 2 5 5 14" xfId="25273" xr:uid="{00D98E84-3926-4EF5-A9FB-816BE98464FF}"/>
    <cellStyle name="Comma 2 5 5 15" xfId="27163" xr:uid="{21E165E6-A375-49DD-BBAD-583B542C4E99}"/>
    <cellStyle name="Comma 2 5 5 16" xfId="29053" xr:uid="{DDBC957B-20F7-417F-BCA6-2AA4D6B13061}"/>
    <cellStyle name="Comma 2 5 5 17" xfId="30943" xr:uid="{7CBE6DED-3A08-4FFE-B801-60B18E79E428}"/>
    <cellStyle name="Comma 2 5 5 18" xfId="32833" xr:uid="{5235075D-D09B-4D18-AA49-72523A3AF6BF}"/>
    <cellStyle name="Comma 2 5 5 19" xfId="34723" xr:uid="{2201921B-E5A1-4C50-8797-0DD9A35B60CA}"/>
    <cellStyle name="Comma 2 5 5 2" xfId="2593" xr:uid="{2554C32E-D6EC-47B6-AAC7-EDED7F38D765}"/>
    <cellStyle name="Comma 2 5 5 20" xfId="36613" xr:uid="{B56FAF6E-6E83-4F5A-A9B5-C309B1B8A0BF}"/>
    <cellStyle name="Comma 2 5 5 21" xfId="38503" xr:uid="{7FE3456A-9871-4A6D-A731-20176069E797}"/>
    <cellStyle name="Comma 2 5 5 22" xfId="40394" xr:uid="{FBBA62FB-0E0B-4C3B-8088-E90324FB7B65}"/>
    <cellStyle name="Comma 2 5 5 3" xfId="4483" xr:uid="{F03F94E8-8542-4D1B-A6DB-8C4CB29111D3}"/>
    <cellStyle name="Comma 2 5 5 4" xfId="6373" xr:uid="{E8821FCD-8456-4174-9878-998A2D5E449B}"/>
    <cellStyle name="Comma 2 5 5 5" xfId="8263" xr:uid="{B421183C-29AD-4570-B0AC-D1FC9D2F4562}"/>
    <cellStyle name="Comma 2 5 5 6" xfId="10153" xr:uid="{8DE9EAC1-7DF9-4F95-960F-A21367DFF644}"/>
    <cellStyle name="Comma 2 5 5 7" xfId="12043" xr:uid="{2071712B-C3FB-4B9B-BC77-48DF1B92176E}"/>
    <cellStyle name="Comma 2 5 5 8" xfId="13933" xr:uid="{CBF5B211-4560-4187-9418-58979BD2C9C8}"/>
    <cellStyle name="Comma 2 5 5 9" xfId="15823" xr:uid="{2F37F099-7AB4-4B66-B91E-6BB366D820AC}"/>
    <cellStyle name="Comma 2 5 6" xfId="1333" xr:uid="{45BD2A6A-F5BA-4478-9368-64775CC91F57}"/>
    <cellStyle name="Comma 2 5 6 10" xfId="18343" xr:uid="{0FF02DA2-2ABD-47D8-867E-0A45AA2BA5C4}"/>
    <cellStyle name="Comma 2 5 6 11" xfId="20233" xr:uid="{190D3DAC-D925-424F-B01F-8CC73785C965}"/>
    <cellStyle name="Comma 2 5 6 12" xfId="22123" xr:uid="{9354FECD-301B-4727-9AF1-90E34F2A7A0D}"/>
    <cellStyle name="Comma 2 5 6 13" xfId="24013" xr:uid="{9F086530-0097-4FAB-B328-F0DC0F884D06}"/>
    <cellStyle name="Comma 2 5 6 14" xfId="25903" xr:uid="{1D511932-AB53-40C2-9040-3B5714FDEF21}"/>
    <cellStyle name="Comma 2 5 6 15" xfId="27793" xr:uid="{B5FA2826-F61F-4165-9BB1-39BC8F1FB983}"/>
    <cellStyle name="Comma 2 5 6 16" xfId="29683" xr:uid="{21A9F708-310C-4E9E-9BEF-FB0484FBC525}"/>
    <cellStyle name="Comma 2 5 6 17" xfId="31573" xr:uid="{C93E05FF-F542-48D6-B3CD-AEED1060A811}"/>
    <cellStyle name="Comma 2 5 6 18" xfId="33463" xr:uid="{43DC404B-CE78-4E09-AE90-6A7753319866}"/>
    <cellStyle name="Comma 2 5 6 19" xfId="35353" xr:uid="{10C3A2EA-B43A-425E-860A-AD4C3456C71B}"/>
    <cellStyle name="Comma 2 5 6 2" xfId="3223" xr:uid="{0518B683-F066-4E10-86FB-F29E3D80E21A}"/>
    <cellStyle name="Comma 2 5 6 20" xfId="37243" xr:uid="{B424EEF3-6EBB-4996-A99B-2D2141EB9691}"/>
    <cellStyle name="Comma 2 5 6 21" xfId="39133" xr:uid="{786C108B-C2BE-4869-B109-446B45C77A6D}"/>
    <cellStyle name="Comma 2 5 6 22" xfId="41024" xr:uid="{C70A37FD-13F2-4498-9BA6-CAB33A0275D9}"/>
    <cellStyle name="Comma 2 5 6 3" xfId="5113" xr:uid="{83779F56-ADD1-4299-A4D5-A4C0986F3912}"/>
    <cellStyle name="Comma 2 5 6 4" xfId="7003" xr:uid="{D56095E6-3601-4197-AA08-CD6A5E656CB1}"/>
    <cellStyle name="Comma 2 5 6 5" xfId="8893" xr:uid="{B7326E8A-505C-4861-9564-CA4153ACB0D9}"/>
    <cellStyle name="Comma 2 5 6 6" xfId="10783" xr:uid="{149C249B-3AD4-419A-9DD8-03570F030BA7}"/>
    <cellStyle name="Comma 2 5 6 7" xfId="12673" xr:uid="{E00583A4-DBF7-49C5-A7F5-E9A1E6376AA9}"/>
    <cellStyle name="Comma 2 5 6 8" xfId="14563" xr:uid="{B970BCFD-1AEA-4A9B-A084-868E681ADB87}"/>
    <cellStyle name="Comma 2 5 6 9" xfId="16453" xr:uid="{679BE04C-606E-43B4-993D-663B7337BC45}"/>
    <cellStyle name="Comma 2 5 7" xfId="1963" xr:uid="{90C2E3F4-2258-4F00-84C1-1EE1B6779A8C}"/>
    <cellStyle name="Comma 2 5 8" xfId="3853" xr:uid="{F80FDF6E-8AD1-4D35-AFCB-9A64FFB71826}"/>
    <cellStyle name="Comma 2 5 9" xfId="5743" xr:uid="{C14305FF-8C8B-40F2-8F74-75E810BA588A}"/>
    <cellStyle name="Comma 2 6" xfId="138" xr:uid="{3B1287A7-51E0-46F4-A997-5CA02B27D192}"/>
    <cellStyle name="Comma 2 6 10" xfId="9588" xr:uid="{525B6B99-098F-46E2-8471-8EE560423AD3}"/>
    <cellStyle name="Comma 2 6 11" xfId="11478" xr:uid="{FC226EC1-ABD2-42FD-AD83-B431460BBB66}"/>
    <cellStyle name="Comma 2 6 12" xfId="13368" xr:uid="{94E34A1F-194C-4DE6-9E0D-AA47228A2FA5}"/>
    <cellStyle name="Comma 2 6 13" xfId="15258" xr:uid="{06093CEC-F2BB-4BEE-BE2F-1AABFD93F1C6}"/>
    <cellStyle name="Comma 2 6 14" xfId="17148" xr:uid="{19D2261C-0E9C-4533-872A-236E07087E78}"/>
    <cellStyle name="Comma 2 6 15" xfId="19038" xr:uid="{A2E33996-D692-489E-919C-38618E59650B}"/>
    <cellStyle name="Comma 2 6 16" xfId="20928" xr:uid="{AE7E7202-2594-4C38-BF60-5C8EABD19EC9}"/>
    <cellStyle name="Comma 2 6 17" xfId="22818" xr:uid="{BA6D20E5-1ED0-47CB-8214-EBD7F5233E6E}"/>
    <cellStyle name="Comma 2 6 18" xfId="24708" xr:uid="{92A8BF7F-9E64-4C05-A45D-7A0FAF847C72}"/>
    <cellStyle name="Comma 2 6 19" xfId="26598" xr:uid="{1C57F52B-803C-4C57-BE8A-926208C5E430}"/>
    <cellStyle name="Comma 2 6 2" xfId="348" xr:uid="{403209F4-48B4-4834-8D7B-82FF636EA056}"/>
    <cellStyle name="Comma 2 6 2 10" xfId="13578" xr:uid="{04230569-C92E-4005-84D1-AF53581C7C63}"/>
    <cellStyle name="Comma 2 6 2 11" xfId="15468" xr:uid="{72D8146D-68ED-4703-9EE9-C9F8D6A5E7AB}"/>
    <cellStyle name="Comma 2 6 2 12" xfId="17358" xr:uid="{B8A9B2E0-D6BA-4C7F-AE66-F4027E109C0D}"/>
    <cellStyle name="Comma 2 6 2 13" xfId="19248" xr:uid="{9CBEB1A4-8760-4AE9-9D6F-0B6BA9DC2AD9}"/>
    <cellStyle name="Comma 2 6 2 14" xfId="21138" xr:uid="{A4DE64D6-7EC3-44E8-810D-0D14B01F48AB}"/>
    <cellStyle name="Comma 2 6 2 15" xfId="23028" xr:uid="{40B2F9CF-D1A8-459C-A148-F5AAF8A392EA}"/>
    <cellStyle name="Comma 2 6 2 16" xfId="24918" xr:uid="{1BB376C1-DDBB-48FC-A6A3-4E73D7829624}"/>
    <cellStyle name="Comma 2 6 2 17" xfId="26808" xr:uid="{B13B7209-282D-46AF-AF27-2B5BF8C39C20}"/>
    <cellStyle name="Comma 2 6 2 18" xfId="28698" xr:uid="{07402FAD-796E-49BE-97DD-A178F7961822}"/>
    <cellStyle name="Comma 2 6 2 19" xfId="30588" xr:uid="{6ED9882E-7C86-4F57-920C-0B4E419E3D33}"/>
    <cellStyle name="Comma 2 6 2 2" xfId="978" xr:uid="{DB9BAFB2-28FF-4587-86E0-7453D5B60FD2}"/>
    <cellStyle name="Comma 2 6 2 2 10" xfId="17988" xr:uid="{83ACFA54-D856-47A3-9861-FDE706777DC0}"/>
    <cellStyle name="Comma 2 6 2 2 11" xfId="19878" xr:uid="{102D5450-42C9-4A38-A427-E72C5E76F559}"/>
    <cellStyle name="Comma 2 6 2 2 12" xfId="21768" xr:uid="{298B9CF6-AF55-4F13-8F2C-2309FE5DE88F}"/>
    <cellStyle name="Comma 2 6 2 2 13" xfId="23658" xr:uid="{BA9465D3-9453-42DE-A402-C335578901F2}"/>
    <cellStyle name="Comma 2 6 2 2 14" xfId="25548" xr:uid="{3C15E220-B52C-4115-ABFF-2CB23F8FC7B5}"/>
    <cellStyle name="Comma 2 6 2 2 15" xfId="27438" xr:uid="{54AE3422-480B-4C47-9627-AF5CDAA54D44}"/>
    <cellStyle name="Comma 2 6 2 2 16" xfId="29328" xr:uid="{A714F84E-4B84-4225-A037-8B10EC08A257}"/>
    <cellStyle name="Comma 2 6 2 2 17" xfId="31218" xr:uid="{68B72670-9367-4F6D-98D0-94AA0D2D8D63}"/>
    <cellStyle name="Comma 2 6 2 2 18" xfId="33108" xr:uid="{0F912250-1ACD-4E56-9283-653383532146}"/>
    <cellStyle name="Comma 2 6 2 2 19" xfId="34998" xr:uid="{96A85E29-CA69-47E4-AE65-4FCA776ED2A5}"/>
    <cellStyle name="Comma 2 6 2 2 2" xfId="2868" xr:uid="{7D59E0FD-F453-488F-A7A8-2A9D452C18E1}"/>
    <cellStyle name="Comma 2 6 2 2 20" xfId="36888" xr:uid="{085F3459-5B7C-483B-939C-CC0F5DB5EDD0}"/>
    <cellStyle name="Comma 2 6 2 2 21" xfId="38778" xr:uid="{8F912DA6-A88F-440A-89FB-EC951B2C41F3}"/>
    <cellStyle name="Comma 2 6 2 2 22" xfId="40669" xr:uid="{E12BE747-7D76-4B19-A8DD-BB31213CFF46}"/>
    <cellStyle name="Comma 2 6 2 2 3" xfId="4758" xr:uid="{FE8933AC-BFFE-48B8-833D-E36612DFE294}"/>
    <cellStyle name="Comma 2 6 2 2 4" xfId="6648" xr:uid="{B2A01581-7BE7-4DCE-8E8D-3AE9EB611087}"/>
    <cellStyle name="Comma 2 6 2 2 5" xfId="8538" xr:uid="{8394DA36-09B3-482E-946B-C4C4313D59BD}"/>
    <cellStyle name="Comma 2 6 2 2 6" xfId="10428" xr:uid="{97C7E5C3-0B32-451D-9EF4-70ECC2F19874}"/>
    <cellStyle name="Comma 2 6 2 2 7" xfId="12318" xr:uid="{D88C4937-D524-4405-A3BE-441702457F8A}"/>
    <cellStyle name="Comma 2 6 2 2 8" xfId="14208" xr:uid="{41608A45-84D7-4047-BEC7-C04F4D35696E}"/>
    <cellStyle name="Comma 2 6 2 2 9" xfId="16098" xr:uid="{3A9817F5-5568-4D9E-95A3-D086F3906B69}"/>
    <cellStyle name="Comma 2 6 2 20" xfId="32478" xr:uid="{60ACD63F-EB97-4439-9976-E986AFA3A42B}"/>
    <cellStyle name="Comma 2 6 2 21" xfId="34368" xr:uid="{5719D858-8026-4C68-89CC-0FFF90B13CA2}"/>
    <cellStyle name="Comma 2 6 2 22" xfId="36258" xr:uid="{A0F529BD-2560-4F29-8A06-BC447AB1CF5C}"/>
    <cellStyle name="Comma 2 6 2 23" xfId="38148" xr:uid="{CB11DC30-DE66-4054-8DB3-3C65148EBECF}"/>
    <cellStyle name="Comma 2 6 2 24" xfId="40039" xr:uid="{27CEF75A-FCC9-48F0-B8F6-41A651FD1BE9}"/>
    <cellStyle name="Comma 2 6 2 3" xfId="1608" xr:uid="{5B173D40-8120-450F-9CFC-ACDA690EFEB7}"/>
    <cellStyle name="Comma 2 6 2 3 10" xfId="18618" xr:uid="{1F327C1F-241C-4F84-AC91-34A4FB46C86C}"/>
    <cellStyle name="Comma 2 6 2 3 11" xfId="20508" xr:uid="{F39DC398-8AFE-46D0-9FF3-9BAF67D2439D}"/>
    <cellStyle name="Comma 2 6 2 3 12" xfId="22398" xr:uid="{3E657A62-F708-4FB9-B880-67757BB51134}"/>
    <cellStyle name="Comma 2 6 2 3 13" xfId="24288" xr:uid="{476AFD5E-8A8D-4067-901D-F0644D56843F}"/>
    <cellStyle name="Comma 2 6 2 3 14" xfId="26178" xr:uid="{7799C608-C7FD-4B91-97C1-4ED602E1057A}"/>
    <cellStyle name="Comma 2 6 2 3 15" xfId="28068" xr:uid="{826EAF11-D513-4CB0-A4EF-A19B5F49A0A5}"/>
    <cellStyle name="Comma 2 6 2 3 16" xfId="29958" xr:uid="{6389C921-D4D4-4638-A0B4-A6C6F227E0CF}"/>
    <cellStyle name="Comma 2 6 2 3 17" xfId="31848" xr:uid="{8DE15B62-C019-49AB-AEBD-75DD3473E408}"/>
    <cellStyle name="Comma 2 6 2 3 18" xfId="33738" xr:uid="{6F825CA0-5AFC-4DE9-B4BA-C2F63A37763A}"/>
    <cellStyle name="Comma 2 6 2 3 19" xfId="35628" xr:uid="{889F865C-0FBB-41E4-9567-FF64C713C19B}"/>
    <cellStyle name="Comma 2 6 2 3 2" xfId="3498" xr:uid="{12493AD8-4FB7-43B2-BD01-C35093E8BB8A}"/>
    <cellStyle name="Comma 2 6 2 3 20" xfId="37518" xr:uid="{7EAB059D-D707-4E40-BCAE-839F8359579F}"/>
    <cellStyle name="Comma 2 6 2 3 21" xfId="39408" xr:uid="{F2CB4EED-FD4B-490B-AA0B-651A0342EA26}"/>
    <cellStyle name="Comma 2 6 2 3 22" xfId="41299" xr:uid="{1345D639-8CF0-4DC3-BCBF-78010050119D}"/>
    <cellStyle name="Comma 2 6 2 3 3" xfId="5388" xr:uid="{E98DDC6D-F55C-45F2-9516-A85787E7FC8D}"/>
    <cellStyle name="Comma 2 6 2 3 4" xfId="7278" xr:uid="{FE5ED448-8179-4BAB-B098-659B38ED256A}"/>
    <cellStyle name="Comma 2 6 2 3 5" xfId="9168" xr:uid="{5CA3F6EF-F430-40EC-9C6A-B482BB482A9D}"/>
    <cellStyle name="Comma 2 6 2 3 6" xfId="11058" xr:uid="{49B40C87-0B05-4A9A-A268-BDD73D96B9C2}"/>
    <cellStyle name="Comma 2 6 2 3 7" xfId="12948" xr:uid="{FD6C0B10-C380-4F42-97BB-DCA969195867}"/>
    <cellStyle name="Comma 2 6 2 3 8" xfId="14838" xr:uid="{C9EF0263-F004-4B82-A5E1-638DE10EE460}"/>
    <cellStyle name="Comma 2 6 2 3 9" xfId="16728" xr:uid="{C351FFEA-AE70-45A9-BE8B-ACA1F8A4D3CB}"/>
    <cellStyle name="Comma 2 6 2 4" xfId="2238" xr:uid="{ADA3933A-CC4E-40A3-BAB6-0AD6083BC4BE}"/>
    <cellStyle name="Comma 2 6 2 5" xfId="4128" xr:uid="{FCC89396-DFF9-40F9-84B9-DCE6CB9C8D41}"/>
    <cellStyle name="Comma 2 6 2 6" xfId="6018" xr:uid="{CF44556F-AFE4-4711-BC44-64FABA31D13E}"/>
    <cellStyle name="Comma 2 6 2 7" xfId="7908" xr:uid="{1985E00C-A4BA-4BED-8FE6-41DB664BEF6B}"/>
    <cellStyle name="Comma 2 6 2 8" xfId="9798" xr:uid="{C1CC480E-5E15-4302-A893-F93290C94948}"/>
    <cellStyle name="Comma 2 6 2 9" xfId="11688" xr:uid="{DFA560EF-1319-4405-B350-73415C47CE73}"/>
    <cellStyle name="Comma 2 6 20" xfId="28488" xr:uid="{74946DCD-87AF-4524-8D5D-F82AB3B4AC3B}"/>
    <cellStyle name="Comma 2 6 21" xfId="30378" xr:uid="{59362295-AD60-49DD-9A86-128D1B95F1F0}"/>
    <cellStyle name="Comma 2 6 22" xfId="32268" xr:uid="{CF5246D6-E766-401F-AB4D-9B4F087A5825}"/>
    <cellStyle name="Comma 2 6 23" xfId="34158" xr:uid="{E3FBAF1A-5FF1-4452-A3B8-9DB4BD2968A3}"/>
    <cellStyle name="Comma 2 6 24" xfId="36048" xr:uid="{62F7D9BA-FF19-4045-AE02-3358C3D83517}"/>
    <cellStyle name="Comma 2 6 25" xfId="37938" xr:uid="{1FE3E79F-8817-4DCD-AD3B-7507BFD560A9}"/>
    <cellStyle name="Comma 2 6 26" xfId="39829" xr:uid="{9F4465FD-B1C6-4C4E-8BBD-E63547FCE437}"/>
    <cellStyle name="Comma 2 6 3" xfId="558" xr:uid="{B4E6FE32-260F-4262-B984-F37D0A5E424B}"/>
    <cellStyle name="Comma 2 6 3 10" xfId="13788" xr:uid="{9AB1EB32-9FD2-4293-89FD-274868C2DF58}"/>
    <cellStyle name="Comma 2 6 3 11" xfId="15678" xr:uid="{E6B604C0-0FA4-4CAC-B9A7-10A79E224F92}"/>
    <cellStyle name="Comma 2 6 3 12" xfId="17568" xr:uid="{76663910-BBE5-425B-99E9-0F20DF3C4110}"/>
    <cellStyle name="Comma 2 6 3 13" xfId="19458" xr:uid="{39A07E83-F6F0-4265-AF6E-F10116BA5D4A}"/>
    <cellStyle name="Comma 2 6 3 14" xfId="21348" xr:uid="{1BCFAD80-BF38-40CC-933D-37CFD54A91E5}"/>
    <cellStyle name="Comma 2 6 3 15" xfId="23238" xr:uid="{2E328878-5957-4243-9F98-A6E5FC0D5820}"/>
    <cellStyle name="Comma 2 6 3 16" xfId="25128" xr:uid="{CEEC1FD0-A008-46FB-B31A-CC48E4CBB4A8}"/>
    <cellStyle name="Comma 2 6 3 17" xfId="27018" xr:uid="{5E9899D8-BB1B-4C28-ADA6-AAFA73394C58}"/>
    <cellStyle name="Comma 2 6 3 18" xfId="28908" xr:uid="{F7C19BA3-02AC-4014-B378-7192CD1A4EF0}"/>
    <cellStyle name="Comma 2 6 3 19" xfId="30798" xr:uid="{6921691D-597F-4233-9FB4-C4A8FBC5D113}"/>
    <cellStyle name="Comma 2 6 3 2" xfId="1188" xr:uid="{60BE698C-D1EC-4FEA-95E3-967DD28E33E2}"/>
    <cellStyle name="Comma 2 6 3 2 10" xfId="18198" xr:uid="{945AD7DF-A204-4AF9-B27E-1695BA2592E0}"/>
    <cellStyle name="Comma 2 6 3 2 11" xfId="20088" xr:uid="{BE4F72BE-06B3-4B92-B546-AA4366566C09}"/>
    <cellStyle name="Comma 2 6 3 2 12" xfId="21978" xr:uid="{5A42C85A-C2AA-4C9C-9A9E-A3E57790A5AA}"/>
    <cellStyle name="Comma 2 6 3 2 13" xfId="23868" xr:uid="{9C36623E-772A-4D91-B3A4-A64CCDDF6702}"/>
    <cellStyle name="Comma 2 6 3 2 14" xfId="25758" xr:uid="{BDC4F77C-B8A7-4299-82E3-5158EF874743}"/>
    <cellStyle name="Comma 2 6 3 2 15" xfId="27648" xr:uid="{DDC8AD57-8C44-4170-9223-9A85A4C29109}"/>
    <cellStyle name="Comma 2 6 3 2 16" xfId="29538" xr:uid="{DFC40B75-82F0-4E69-B16B-2798E0AD2DA7}"/>
    <cellStyle name="Comma 2 6 3 2 17" xfId="31428" xr:uid="{AFB37AD0-D1B7-43DB-991B-DC1B90EFFF83}"/>
    <cellStyle name="Comma 2 6 3 2 18" xfId="33318" xr:uid="{EC68A549-BF64-461E-B045-D99493D21BF2}"/>
    <cellStyle name="Comma 2 6 3 2 19" xfId="35208" xr:uid="{7D4259B9-ED74-42DB-A0D9-68EDEB04847F}"/>
    <cellStyle name="Comma 2 6 3 2 2" xfId="3078" xr:uid="{F331AFF6-4F08-4A53-966D-C92E310FE500}"/>
    <cellStyle name="Comma 2 6 3 2 20" xfId="37098" xr:uid="{27C8D787-2309-439F-92DA-E516016B4240}"/>
    <cellStyle name="Comma 2 6 3 2 21" xfId="38988" xr:uid="{9045057E-25C1-4713-80A2-B7EC4E45884C}"/>
    <cellStyle name="Comma 2 6 3 2 22" xfId="40879" xr:uid="{D8116D8F-9F59-40BE-911E-7D580268663E}"/>
    <cellStyle name="Comma 2 6 3 2 3" xfId="4968" xr:uid="{A3BA77D2-4A61-4EE1-9F7B-79FE11DD82EF}"/>
    <cellStyle name="Comma 2 6 3 2 4" xfId="6858" xr:uid="{52F95FC6-FB20-489B-86BB-B2E725A96504}"/>
    <cellStyle name="Comma 2 6 3 2 5" xfId="8748" xr:uid="{BCCF12BD-5EA6-416E-89FD-6E4180440F3A}"/>
    <cellStyle name="Comma 2 6 3 2 6" xfId="10638" xr:uid="{F8420BDB-323C-46D1-8A36-E1031EAAB65A}"/>
    <cellStyle name="Comma 2 6 3 2 7" xfId="12528" xr:uid="{2CD4864B-D70C-4E82-B5BF-7F425596B080}"/>
    <cellStyle name="Comma 2 6 3 2 8" xfId="14418" xr:uid="{C9829FE8-32A2-4215-A629-AECCC19C6B32}"/>
    <cellStyle name="Comma 2 6 3 2 9" xfId="16308" xr:uid="{400ADC64-7D34-42A4-BB5F-3860DB3C1C7F}"/>
    <cellStyle name="Comma 2 6 3 20" xfId="32688" xr:uid="{DEAFFCB0-AFC6-449E-99B3-B4B0F83B1299}"/>
    <cellStyle name="Comma 2 6 3 21" xfId="34578" xr:uid="{C05176B6-77AE-4901-993E-2D548B0FA652}"/>
    <cellStyle name="Comma 2 6 3 22" xfId="36468" xr:uid="{F87431E5-5647-4FC2-908D-36AAA1EDE565}"/>
    <cellStyle name="Comma 2 6 3 23" xfId="38358" xr:uid="{AF1D531F-B88D-46D9-8AE8-9885E83EC1D2}"/>
    <cellStyle name="Comma 2 6 3 24" xfId="40249" xr:uid="{CC8CBCBF-BA82-451D-A664-5E11E02B5E8F}"/>
    <cellStyle name="Comma 2 6 3 3" xfId="1818" xr:uid="{DDE69509-203B-4E83-8EB6-8E7A57A3396A}"/>
    <cellStyle name="Comma 2 6 3 3 10" xfId="18828" xr:uid="{61CC8AEB-90ED-4610-A7E7-F7C149A8EB52}"/>
    <cellStyle name="Comma 2 6 3 3 11" xfId="20718" xr:uid="{D0B33153-E714-491F-970B-63EF5876CEFA}"/>
    <cellStyle name="Comma 2 6 3 3 12" xfId="22608" xr:uid="{472980A3-E16D-4B67-945C-68F9B76A8BBF}"/>
    <cellStyle name="Comma 2 6 3 3 13" xfId="24498" xr:uid="{55A3BACD-AEAF-4906-9A29-F28031C915A9}"/>
    <cellStyle name="Comma 2 6 3 3 14" xfId="26388" xr:uid="{E284FAA2-10D8-4913-9E41-E0387B1464F1}"/>
    <cellStyle name="Comma 2 6 3 3 15" xfId="28278" xr:uid="{72B3DF8D-2959-4820-B105-BD2CAE9AF0A7}"/>
    <cellStyle name="Comma 2 6 3 3 16" xfId="30168" xr:uid="{3946FCCA-BA61-4DC0-8EA5-36ABE554F38A}"/>
    <cellStyle name="Comma 2 6 3 3 17" xfId="32058" xr:uid="{2043A519-FDAB-4950-87E7-3B1B1E8CE92A}"/>
    <cellStyle name="Comma 2 6 3 3 18" xfId="33948" xr:uid="{58ECEEC1-CBA1-4EC2-9BFA-F6E277A3C10D}"/>
    <cellStyle name="Comma 2 6 3 3 19" xfId="35838" xr:uid="{FDBDE35E-AE13-4F28-BBC3-825C57B5F7B8}"/>
    <cellStyle name="Comma 2 6 3 3 2" xfId="3708" xr:uid="{5FD7CA47-88D6-4581-BED0-6D3075431C12}"/>
    <cellStyle name="Comma 2 6 3 3 20" xfId="37728" xr:uid="{6FFD54EC-2A77-475C-BEBE-7373C8E94A59}"/>
    <cellStyle name="Comma 2 6 3 3 21" xfId="39618" xr:uid="{14BC5193-3766-480B-970C-F5BDDAC60444}"/>
    <cellStyle name="Comma 2 6 3 3 22" xfId="41509" xr:uid="{8F6E8E2F-58BC-4A71-A482-0E8F18B1B940}"/>
    <cellStyle name="Comma 2 6 3 3 3" xfId="5598" xr:uid="{85F03512-67DB-467A-BE8E-DCF0AD84D1AF}"/>
    <cellStyle name="Comma 2 6 3 3 4" xfId="7488" xr:uid="{0D552CE3-84FE-4421-A762-A293BE9835FD}"/>
    <cellStyle name="Comma 2 6 3 3 5" xfId="9378" xr:uid="{8CEEFC75-1BC6-41EF-B20E-A5EB95B66C41}"/>
    <cellStyle name="Comma 2 6 3 3 6" xfId="11268" xr:uid="{3F18E462-C18E-4242-A740-B7F462E13C2D}"/>
    <cellStyle name="Comma 2 6 3 3 7" xfId="13158" xr:uid="{C3C6105B-5BDC-46A9-AEDB-704F7CB6873A}"/>
    <cellStyle name="Comma 2 6 3 3 8" xfId="15048" xr:uid="{C5942D10-114D-4255-B2A1-2D679B93E276}"/>
    <cellStyle name="Comma 2 6 3 3 9" xfId="16938" xr:uid="{FB4126D1-FBEF-4D1C-BABA-7F0998BC69EB}"/>
    <cellStyle name="Comma 2 6 3 4" xfId="2448" xr:uid="{162C93B8-FD3E-4341-B4B3-966FED2398AB}"/>
    <cellStyle name="Comma 2 6 3 5" xfId="4338" xr:uid="{E9B95565-A471-486F-91C5-9F6F34D700BC}"/>
    <cellStyle name="Comma 2 6 3 6" xfId="6228" xr:uid="{53ECB8BF-0F9C-4458-A3AF-F26BAE16647A}"/>
    <cellStyle name="Comma 2 6 3 7" xfId="8118" xr:uid="{FAABC5CC-3A6D-4FB6-AB30-A3BFC9F60CDD}"/>
    <cellStyle name="Comma 2 6 3 8" xfId="10008" xr:uid="{F372C913-F4D0-4530-B201-B4397618B852}"/>
    <cellStyle name="Comma 2 6 3 9" xfId="11898" xr:uid="{70E19A37-10CB-446B-A489-EF29CA277928}"/>
    <cellStyle name="Comma 2 6 4" xfId="768" xr:uid="{0BA5C4EA-AAF9-4AF2-9AF3-27EA716EC504}"/>
    <cellStyle name="Comma 2 6 4 10" xfId="17778" xr:uid="{48EF0A5A-3858-4648-B2C3-23325FA58E5B}"/>
    <cellStyle name="Comma 2 6 4 11" xfId="19668" xr:uid="{B4A4A7CF-E1C9-495D-AC0B-120DFF436C8C}"/>
    <cellStyle name="Comma 2 6 4 12" xfId="21558" xr:uid="{9000E436-B676-4043-BAB2-3ACC48481E11}"/>
    <cellStyle name="Comma 2 6 4 13" xfId="23448" xr:uid="{338982E7-D0A4-4825-BD7C-1A3DE1D6A4DE}"/>
    <cellStyle name="Comma 2 6 4 14" xfId="25338" xr:uid="{F53C70A3-CDFB-48E2-98FE-2D7B1BC29781}"/>
    <cellStyle name="Comma 2 6 4 15" xfId="27228" xr:uid="{013CEAAA-97D3-4090-A58E-75D3F9E09B15}"/>
    <cellStyle name="Comma 2 6 4 16" xfId="29118" xr:uid="{B0E95D87-F1A1-4A72-AECD-50BBAE80D9B4}"/>
    <cellStyle name="Comma 2 6 4 17" xfId="31008" xr:uid="{259B4D86-329F-4B60-A640-621F6D66C0C3}"/>
    <cellStyle name="Comma 2 6 4 18" xfId="32898" xr:uid="{34E40BBF-80B6-4FD3-9829-D333947D64BB}"/>
    <cellStyle name="Comma 2 6 4 19" xfId="34788" xr:uid="{16CAA902-5170-4481-AC62-4A0DA43C30FA}"/>
    <cellStyle name="Comma 2 6 4 2" xfId="2658" xr:uid="{CEDB6D6A-4B6C-4730-87FF-02E9EB97AC97}"/>
    <cellStyle name="Comma 2 6 4 20" xfId="36678" xr:uid="{006BC6BC-0629-43DC-B82D-1F98B2364D9C}"/>
    <cellStyle name="Comma 2 6 4 21" xfId="38568" xr:uid="{E179EB41-019E-4A17-A137-09802794E040}"/>
    <cellStyle name="Comma 2 6 4 22" xfId="40459" xr:uid="{9974E4B1-CC44-436B-AAEC-05D7EFB4BB9B}"/>
    <cellStyle name="Comma 2 6 4 3" xfId="4548" xr:uid="{D25BC2EC-9ECD-4AED-A239-A63279901C5F}"/>
    <cellStyle name="Comma 2 6 4 4" xfId="6438" xr:uid="{99A8A5C6-8C55-44D2-8581-0D95500584E9}"/>
    <cellStyle name="Comma 2 6 4 5" xfId="8328" xr:uid="{00DFF8A2-A9AC-40ED-A968-2C2CD9C76BF3}"/>
    <cellStyle name="Comma 2 6 4 6" xfId="10218" xr:uid="{4253E9D1-D637-49F7-8009-D22193104C21}"/>
    <cellStyle name="Comma 2 6 4 7" xfId="12108" xr:uid="{0815A78B-C4AE-4F7D-A579-74CD06E1978D}"/>
    <cellStyle name="Comma 2 6 4 8" xfId="13998" xr:uid="{886124A7-3A8A-4D02-8B42-257F7099A5EA}"/>
    <cellStyle name="Comma 2 6 4 9" xfId="15888" xr:uid="{E7340B13-C2DE-4DF5-9A39-3033E3F56D84}"/>
    <cellStyle name="Comma 2 6 5" xfId="1398" xr:uid="{AD562371-EBFA-4376-A63F-FE390E8A9788}"/>
    <cellStyle name="Comma 2 6 5 10" xfId="18408" xr:uid="{0436C9A6-54EE-467B-9940-9DC89CD90F10}"/>
    <cellStyle name="Comma 2 6 5 11" xfId="20298" xr:uid="{57E18B6F-6969-4929-9FBB-B2193221958C}"/>
    <cellStyle name="Comma 2 6 5 12" xfId="22188" xr:uid="{93953F8E-F502-4C72-A80F-87AFBD0AE9E3}"/>
    <cellStyle name="Comma 2 6 5 13" xfId="24078" xr:uid="{A10240A7-63CA-4247-ACED-4DF246268FB2}"/>
    <cellStyle name="Comma 2 6 5 14" xfId="25968" xr:uid="{0F3591D5-87A6-40F6-85AD-D7471610E7C9}"/>
    <cellStyle name="Comma 2 6 5 15" xfId="27858" xr:uid="{181D8238-AAE1-4853-A821-3FED6EE529F3}"/>
    <cellStyle name="Comma 2 6 5 16" xfId="29748" xr:uid="{81FC3C58-0097-4AA0-B00F-72D6D74DE0AF}"/>
    <cellStyle name="Comma 2 6 5 17" xfId="31638" xr:uid="{E9A50DAB-C2F6-4876-9494-FE709DC2DDBD}"/>
    <cellStyle name="Comma 2 6 5 18" xfId="33528" xr:uid="{28737CEC-EC43-4D4D-BCED-3D7887023A47}"/>
    <cellStyle name="Comma 2 6 5 19" xfId="35418" xr:uid="{CDB721B1-6C65-4F48-B906-0137F541C28C}"/>
    <cellStyle name="Comma 2 6 5 2" xfId="3288" xr:uid="{E8C2D16B-A970-4789-86F7-C3B7F62BE342}"/>
    <cellStyle name="Comma 2 6 5 20" xfId="37308" xr:uid="{9C14CEB5-FCCA-419B-A669-4A60FFFC3F16}"/>
    <cellStyle name="Comma 2 6 5 21" xfId="39198" xr:uid="{D6401B5E-2586-40F4-BA90-3E2C300E0183}"/>
    <cellStyle name="Comma 2 6 5 22" xfId="41089" xr:uid="{52A0A128-E974-4A50-B627-C05D3A1FF6F7}"/>
    <cellStyle name="Comma 2 6 5 3" xfId="5178" xr:uid="{C8F8B256-0620-432E-BDA4-E6DEBBB5C9E9}"/>
    <cellStyle name="Comma 2 6 5 4" xfId="7068" xr:uid="{4D212229-7410-4072-9418-AF454E45F1F7}"/>
    <cellStyle name="Comma 2 6 5 5" xfId="8958" xr:uid="{AAAE4D9E-1637-4DE4-9C12-BCDCFA29F586}"/>
    <cellStyle name="Comma 2 6 5 6" xfId="10848" xr:uid="{0CF4A76D-E5A8-44AE-97D1-FAD9EC31B237}"/>
    <cellStyle name="Comma 2 6 5 7" xfId="12738" xr:uid="{E2C8AD33-EFFB-449F-AB33-163D4E66A5A4}"/>
    <cellStyle name="Comma 2 6 5 8" xfId="14628" xr:uid="{AF62B62A-567E-4D51-98D5-9E6DE2A2DFF4}"/>
    <cellStyle name="Comma 2 6 5 9" xfId="16518" xr:uid="{0577CCC1-9176-4088-B515-6694396B6C96}"/>
    <cellStyle name="Comma 2 6 6" xfId="2028" xr:uid="{9C98635C-E8AB-41F2-A2AE-79EA78C76A76}"/>
    <cellStyle name="Comma 2 6 7" xfId="3918" xr:uid="{AE3DDC53-276B-401F-BC4C-E938FE71887A}"/>
    <cellStyle name="Comma 2 6 8" xfId="5808" xr:uid="{E70F8EC1-E2D5-4A64-8921-D24DA085AB5F}"/>
    <cellStyle name="Comma 2 6 9" xfId="7698" xr:uid="{947525F7-EDAF-4A36-9603-8D043D3FF9C9}"/>
    <cellStyle name="Comma 2 7" xfId="243" xr:uid="{218E1878-97D6-40DD-B190-628D310711CB}"/>
    <cellStyle name="Comma 2 7 10" xfId="13473" xr:uid="{75256169-FA0A-40B7-885F-AB9E9469455F}"/>
    <cellStyle name="Comma 2 7 11" xfId="15363" xr:uid="{638E6689-CF71-4AB2-9491-8462F0AC822D}"/>
    <cellStyle name="Comma 2 7 12" xfId="17253" xr:uid="{A3905CE9-6473-4EBD-9FE2-26D470BECD8B}"/>
    <cellStyle name="Comma 2 7 13" xfId="19143" xr:uid="{39E4A59E-236C-4787-8B4E-EAC69E538C3D}"/>
    <cellStyle name="Comma 2 7 14" xfId="21033" xr:uid="{0B2119A3-BFCA-45C3-8A08-6AAB57F1FF65}"/>
    <cellStyle name="Comma 2 7 15" xfId="22923" xr:uid="{6CF4EADC-1C31-45AC-88C8-79A4A3CB8335}"/>
    <cellStyle name="Comma 2 7 16" xfId="24813" xr:uid="{A805D7FF-DD2F-449C-A0CB-A0FF0D564DDB}"/>
    <cellStyle name="Comma 2 7 17" xfId="26703" xr:uid="{1812BE17-E7B0-4D4C-B34A-09D7681D0348}"/>
    <cellStyle name="Comma 2 7 18" xfId="28593" xr:uid="{56D3B09F-A1CD-42AF-A5BB-A969BBD571CE}"/>
    <cellStyle name="Comma 2 7 19" xfId="30483" xr:uid="{F7B71A90-D227-4F58-9454-05537235F917}"/>
    <cellStyle name="Comma 2 7 2" xfId="873" xr:uid="{708281FC-D7B6-4D74-925D-4F9E34D118B5}"/>
    <cellStyle name="Comma 2 7 2 10" xfId="17883" xr:uid="{3ED96B5E-01F4-43B4-B5C8-A06564B88692}"/>
    <cellStyle name="Comma 2 7 2 11" xfId="19773" xr:uid="{CF572982-A220-48EC-98C1-68C2A60C3FA8}"/>
    <cellStyle name="Comma 2 7 2 12" xfId="21663" xr:uid="{1A68A235-F76D-4C3C-9B6A-9155E5A6836C}"/>
    <cellStyle name="Comma 2 7 2 13" xfId="23553" xr:uid="{D5CC3EDF-FAFB-46BF-83E0-8B1518DCD116}"/>
    <cellStyle name="Comma 2 7 2 14" xfId="25443" xr:uid="{1F8B8342-9630-4D7F-B3A0-20A94FE7C300}"/>
    <cellStyle name="Comma 2 7 2 15" xfId="27333" xr:uid="{548886DE-3D41-4E34-A9C5-82DBC0C8ABCC}"/>
    <cellStyle name="Comma 2 7 2 16" xfId="29223" xr:uid="{4426EFD6-EE29-4665-BBB4-DFE6645870E1}"/>
    <cellStyle name="Comma 2 7 2 17" xfId="31113" xr:uid="{A1F2D309-B539-4373-AD01-75F3E29F1C02}"/>
    <cellStyle name="Comma 2 7 2 18" xfId="33003" xr:uid="{A36B16F1-D55A-4CC4-9197-FF8FB85CCA6B}"/>
    <cellStyle name="Comma 2 7 2 19" xfId="34893" xr:uid="{0A00FE1A-0E0E-43EB-9E70-13D9D9753C70}"/>
    <cellStyle name="Comma 2 7 2 2" xfId="2763" xr:uid="{B2AF98F9-8C09-4AE2-8B1E-9A3CC793B8B8}"/>
    <cellStyle name="Comma 2 7 2 20" xfId="36783" xr:uid="{1DEBDC6A-2AB1-4030-936B-DED6E05FE7DF}"/>
    <cellStyle name="Comma 2 7 2 21" xfId="38673" xr:uid="{906AD6BC-B6E1-49ED-B922-3B3612D67DC0}"/>
    <cellStyle name="Comma 2 7 2 22" xfId="40564" xr:uid="{B1879F6A-2715-4D83-A41B-9CECDD57F82E}"/>
    <cellStyle name="Comma 2 7 2 3" xfId="4653" xr:uid="{BF1AB24F-29C7-4524-AFC1-8FCBA388B090}"/>
    <cellStyle name="Comma 2 7 2 4" xfId="6543" xr:uid="{6BA5DCCC-6A8B-4AE9-AE0A-CF306DA0F71E}"/>
    <cellStyle name="Comma 2 7 2 5" xfId="8433" xr:uid="{E17DC0DC-CEE7-4FFB-AA46-C093A77C3812}"/>
    <cellStyle name="Comma 2 7 2 6" xfId="10323" xr:uid="{295DDDA5-1AEA-48A2-9FE4-D52FB388555B}"/>
    <cellStyle name="Comma 2 7 2 7" xfId="12213" xr:uid="{D0100F95-54BF-494A-AA06-B191EE32499F}"/>
    <cellStyle name="Comma 2 7 2 8" xfId="14103" xr:uid="{D918F308-DC69-43F1-AFB2-093EF26A126A}"/>
    <cellStyle name="Comma 2 7 2 9" xfId="15993" xr:uid="{EEC2A72C-0B3E-497D-990B-47E16956EFFB}"/>
    <cellStyle name="Comma 2 7 20" xfId="32373" xr:uid="{45DE607E-C77B-410E-AA7B-9D1469A5CA96}"/>
    <cellStyle name="Comma 2 7 21" xfId="34263" xr:uid="{BB854D41-350F-495D-B5DD-4F3348350299}"/>
    <cellStyle name="Comma 2 7 22" xfId="36153" xr:uid="{7B614EDD-17B4-479B-853F-B3C490D0ED95}"/>
    <cellStyle name="Comma 2 7 23" xfId="38043" xr:uid="{4CD02E4F-B4E4-4294-ABD0-0905CFD079B9}"/>
    <cellStyle name="Comma 2 7 24" xfId="39934" xr:uid="{55F58899-1E4C-44E1-BAEF-8E28D668F77B}"/>
    <cellStyle name="Comma 2 7 3" xfId="1503" xr:uid="{6158A3AB-13E4-44A6-A365-3223DDAD0EA1}"/>
    <cellStyle name="Comma 2 7 3 10" xfId="18513" xr:uid="{4625E50C-E7EA-4BF1-BA76-53291CD42D89}"/>
    <cellStyle name="Comma 2 7 3 11" xfId="20403" xr:uid="{693F16D8-476F-4763-BE62-E7903F2BBBC7}"/>
    <cellStyle name="Comma 2 7 3 12" xfId="22293" xr:uid="{EBCE5DBA-2D92-4FE5-8556-7D8891BBDB72}"/>
    <cellStyle name="Comma 2 7 3 13" xfId="24183" xr:uid="{39D5F2FA-5221-42B3-BD11-AEC7B4C06FD3}"/>
    <cellStyle name="Comma 2 7 3 14" xfId="26073" xr:uid="{33407280-9732-40C4-9881-EDE68B19868A}"/>
    <cellStyle name="Comma 2 7 3 15" xfId="27963" xr:uid="{202B96F9-6BBD-4877-8C7B-AE38A7CA945E}"/>
    <cellStyle name="Comma 2 7 3 16" xfId="29853" xr:uid="{EFB38A00-EEA7-44E8-B742-6FC3F8291BBF}"/>
    <cellStyle name="Comma 2 7 3 17" xfId="31743" xr:uid="{AF5FA009-8671-4AC1-B0A5-76C3FAE1B56B}"/>
    <cellStyle name="Comma 2 7 3 18" xfId="33633" xr:uid="{2BA1DAEA-46DB-4869-9880-12528902BD41}"/>
    <cellStyle name="Comma 2 7 3 19" xfId="35523" xr:uid="{8804B1DE-B8BC-4735-B144-4A859A8B2ED5}"/>
    <cellStyle name="Comma 2 7 3 2" xfId="3393" xr:uid="{5E510080-7892-4E92-A05E-B63C8B1D0AD7}"/>
    <cellStyle name="Comma 2 7 3 20" xfId="37413" xr:uid="{993E3371-4243-47D7-997F-26E8AD4B1FF1}"/>
    <cellStyle name="Comma 2 7 3 21" xfId="39303" xr:uid="{B807BE95-8B29-4E32-B4F6-0A05F8FDA956}"/>
    <cellStyle name="Comma 2 7 3 22" xfId="41194" xr:uid="{3916CD30-443F-422D-8A3E-8E64CC856589}"/>
    <cellStyle name="Comma 2 7 3 3" xfId="5283" xr:uid="{4FF6C336-1290-4E80-8814-AAAEC1F13CE6}"/>
    <cellStyle name="Comma 2 7 3 4" xfId="7173" xr:uid="{060EB0B1-E9BC-4FA6-B649-01F8049D5806}"/>
    <cellStyle name="Comma 2 7 3 5" xfId="9063" xr:uid="{34861477-2040-4144-85E0-8832FBAF0535}"/>
    <cellStyle name="Comma 2 7 3 6" xfId="10953" xr:uid="{94782410-D31F-4AD7-8511-65A80A5CA1BA}"/>
    <cellStyle name="Comma 2 7 3 7" xfId="12843" xr:uid="{8FD5ECF7-9991-4D76-9244-7B733CF5DFD2}"/>
    <cellStyle name="Comma 2 7 3 8" xfId="14733" xr:uid="{E750B3F1-C385-4465-9C18-09336738A6DF}"/>
    <cellStyle name="Comma 2 7 3 9" xfId="16623" xr:uid="{83053268-63AA-4884-9F4E-84E11467E0B7}"/>
    <cellStyle name="Comma 2 7 4" xfId="2133" xr:uid="{8DDE580E-178A-4512-93D8-CA68FD9DD68C}"/>
    <cellStyle name="Comma 2 7 5" xfId="4023" xr:uid="{3B8894F8-B09A-4375-83FC-A229AB0FBDCD}"/>
    <cellStyle name="Comma 2 7 6" xfId="5913" xr:uid="{D308A96D-3F1D-4B10-AEA8-B8E081375E98}"/>
    <cellStyle name="Comma 2 7 7" xfId="7803" xr:uid="{D57AB60B-B0C3-490E-8687-3A1D15C48495}"/>
    <cellStyle name="Comma 2 7 8" xfId="9693" xr:uid="{C9BC0137-DCB6-4496-913E-97D6C5891374}"/>
    <cellStyle name="Comma 2 7 9" xfId="11583" xr:uid="{3F7F9108-CA93-4FCA-8423-96E5C2799B1B}"/>
    <cellStyle name="Comma 2 8" xfId="453" xr:uid="{DA38BCF6-9B6E-4425-A769-ECCE5DC06707}"/>
    <cellStyle name="Comma 2 8 10" xfId="13683" xr:uid="{A9C09B37-E90D-47A7-8A75-3A6A3FC256F4}"/>
    <cellStyle name="Comma 2 8 11" xfId="15573" xr:uid="{FA2FDAE7-37AB-40F0-B2F6-91B956FF994A}"/>
    <cellStyle name="Comma 2 8 12" xfId="17463" xr:uid="{4D24E1FF-A933-4C24-92B0-C425B0D62A60}"/>
    <cellStyle name="Comma 2 8 13" xfId="19353" xr:uid="{5E070EC7-5267-4BFF-9EED-7A49E6AA4286}"/>
    <cellStyle name="Comma 2 8 14" xfId="21243" xr:uid="{88DCDF9C-3F7B-4102-AD31-0A9A8767AB10}"/>
    <cellStyle name="Comma 2 8 15" xfId="23133" xr:uid="{1F5EE690-7F09-4EFE-BC83-725CA0A69C5E}"/>
    <cellStyle name="Comma 2 8 16" xfId="25023" xr:uid="{7542595A-589C-4291-A94C-D491B8D04C4B}"/>
    <cellStyle name="Comma 2 8 17" xfId="26913" xr:uid="{6BBF8E2F-778B-4E4C-A57F-F2618272F38A}"/>
    <cellStyle name="Comma 2 8 18" xfId="28803" xr:uid="{3A174F87-66FB-4B9E-BEEB-E97FBC552039}"/>
    <cellStyle name="Comma 2 8 19" xfId="30693" xr:uid="{111EE60B-CB4D-41B6-B059-FC9BA86153A4}"/>
    <cellStyle name="Comma 2 8 2" xfId="1083" xr:uid="{F98F2E71-E7CF-4343-A2F5-A4612E8593C8}"/>
    <cellStyle name="Comma 2 8 2 10" xfId="18093" xr:uid="{1BBF2ED6-6FC8-4D72-A92C-42BDCEE0C945}"/>
    <cellStyle name="Comma 2 8 2 11" xfId="19983" xr:uid="{581043AF-B264-446D-82ED-2FA77C3245EB}"/>
    <cellStyle name="Comma 2 8 2 12" xfId="21873" xr:uid="{1B5D8775-B02E-4815-844E-9DA51129AB91}"/>
    <cellStyle name="Comma 2 8 2 13" xfId="23763" xr:uid="{65A09943-1E96-4F44-9FBC-2735C541C46B}"/>
    <cellStyle name="Comma 2 8 2 14" xfId="25653" xr:uid="{610036D6-7863-464D-AD02-BF8E14176E16}"/>
    <cellStyle name="Comma 2 8 2 15" xfId="27543" xr:uid="{5E5B37D6-F64F-4646-9DB4-7F7E6A2C4F0D}"/>
    <cellStyle name="Comma 2 8 2 16" xfId="29433" xr:uid="{18012C55-B22A-4511-93B0-ED2213C0F752}"/>
    <cellStyle name="Comma 2 8 2 17" xfId="31323" xr:uid="{5E4ADB2D-EFAE-478B-94A8-5D6C9E29B498}"/>
    <cellStyle name="Comma 2 8 2 18" xfId="33213" xr:uid="{C1A892C6-F03A-4009-90DB-9325A086FB6D}"/>
    <cellStyle name="Comma 2 8 2 19" xfId="35103" xr:uid="{612F6D49-BCE3-4BE6-9000-272D21DF9690}"/>
    <cellStyle name="Comma 2 8 2 2" xfId="2973" xr:uid="{F6F8F9A0-0456-4DF1-B251-09A1BD1ECF9F}"/>
    <cellStyle name="Comma 2 8 2 20" xfId="36993" xr:uid="{37B9F2C4-9877-4FEB-8A09-D31602278759}"/>
    <cellStyle name="Comma 2 8 2 21" xfId="38883" xr:uid="{02D896CA-445A-4576-AD6B-BC7356D8C896}"/>
    <cellStyle name="Comma 2 8 2 22" xfId="40774" xr:uid="{3EDF4D6A-2736-46A9-837B-610694DA60E3}"/>
    <cellStyle name="Comma 2 8 2 3" xfId="4863" xr:uid="{C29693B4-7B1E-46DD-86F0-0FD2594735BD}"/>
    <cellStyle name="Comma 2 8 2 4" xfId="6753" xr:uid="{BBB31412-4EB9-4110-A4D8-6873168B999C}"/>
    <cellStyle name="Comma 2 8 2 5" xfId="8643" xr:uid="{280CC78F-C769-4A6A-A5B9-D74D9FBCF230}"/>
    <cellStyle name="Comma 2 8 2 6" xfId="10533" xr:uid="{6B9B887C-D4A5-4C05-8DCB-29A642D5D4FC}"/>
    <cellStyle name="Comma 2 8 2 7" xfId="12423" xr:uid="{DDFAFCBD-841D-4F0F-81AB-56FEF16D36B8}"/>
    <cellStyle name="Comma 2 8 2 8" xfId="14313" xr:uid="{F9E1A4B7-4033-4511-869E-AF6532EC8194}"/>
    <cellStyle name="Comma 2 8 2 9" xfId="16203" xr:uid="{303CF093-50BD-45A0-BC42-115E563BD927}"/>
    <cellStyle name="Comma 2 8 20" xfId="32583" xr:uid="{16B99785-3371-4BD9-AE30-13B2FFDC0E8C}"/>
    <cellStyle name="Comma 2 8 21" xfId="34473" xr:uid="{0E2873D5-1434-4D4E-BA8F-081FDF78E7D8}"/>
    <cellStyle name="Comma 2 8 22" xfId="36363" xr:uid="{14362D6D-B5E7-418D-B0B4-4C72FA7AE1CE}"/>
    <cellStyle name="Comma 2 8 23" xfId="38253" xr:uid="{A15C0B25-038E-46BC-8076-5A90B61DE90E}"/>
    <cellStyle name="Comma 2 8 24" xfId="40144" xr:uid="{75F08E65-87FE-4703-A76C-CD2110B0E349}"/>
    <cellStyle name="Comma 2 8 3" xfId="1713" xr:uid="{469B127C-131A-4C3E-9789-85379D8DC4C3}"/>
    <cellStyle name="Comma 2 8 3 10" xfId="18723" xr:uid="{801D3F03-D1CB-47B4-8100-13680747D673}"/>
    <cellStyle name="Comma 2 8 3 11" xfId="20613" xr:uid="{3E210AE8-9584-42AD-9BC5-43F7B30FE61A}"/>
    <cellStyle name="Comma 2 8 3 12" xfId="22503" xr:uid="{8BAE05E5-E3D2-47CD-A21F-B9E7BED17147}"/>
    <cellStyle name="Comma 2 8 3 13" xfId="24393" xr:uid="{1A9A5784-009C-4DC3-9EBB-7332CDE05D91}"/>
    <cellStyle name="Comma 2 8 3 14" xfId="26283" xr:uid="{9BA972A3-143F-48F3-A920-033449F1214B}"/>
    <cellStyle name="Comma 2 8 3 15" xfId="28173" xr:uid="{5FAD2625-5DB5-4243-A278-347FBA09B8B1}"/>
    <cellStyle name="Comma 2 8 3 16" xfId="30063" xr:uid="{5B5C815C-1FCB-481D-91E7-34F8968C905B}"/>
    <cellStyle name="Comma 2 8 3 17" xfId="31953" xr:uid="{D2FADFA5-2852-4110-A3D2-DFA95ECBBD39}"/>
    <cellStyle name="Comma 2 8 3 18" xfId="33843" xr:uid="{EDC0480A-D870-4F85-AD32-11D0323CDF1B}"/>
    <cellStyle name="Comma 2 8 3 19" xfId="35733" xr:uid="{E742FCED-3046-4AE1-A83B-64B00BFF4C35}"/>
    <cellStyle name="Comma 2 8 3 2" xfId="3603" xr:uid="{F3CBC50F-D132-4056-8210-D720C6AAD226}"/>
    <cellStyle name="Comma 2 8 3 20" xfId="37623" xr:uid="{59A7C72F-BCD4-4EBE-997C-56B94AF7A095}"/>
    <cellStyle name="Comma 2 8 3 21" xfId="39513" xr:uid="{CA17BA7A-D399-4481-BF3E-94AF83E30E3C}"/>
    <cellStyle name="Comma 2 8 3 22" xfId="41404" xr:uid="{607B4359-1F79-4EE7-B35A-90F815A854D4}"/>
    <cellStyle name="Comma 2 8 3 3" xfId="5493" xr:uid="{D8BCD5CB-EF5E-4CD3-BD1E-0ECB96D31113}"/>
    <cellStyle name="Comma 2 8 3 4" xfId="7383" xr:uid="{B0298226-64DF-4BB4-BFE8-798BCD9D5395}"/>
    <cellStyle name="Comma 2 8 3 5" xfId="9273" xr:uid="{D3D6FF03-3848-4245-B3ED-F5566F2152F1}"/>
    <cellStyle name="Comma 2 8 3 6" xfId="11163" xr:uid="{15408320-6F3E-4689-878F-F80C600509D8}"/>
    <cellStyle name="Comma 2 8 3 7" xfId="13053" xr:uid="{6AEDBFD5-C84A-4D5F-9559-275521355304}"/>
    <cellStyle name="Comma 2 8 3 8" xfId="14943" xr:uid="{3F9957F6-0E7A-4882-BFD1-BE8D31481B9F}"/>
    <cellStyle name="Comma 2 8 3 9" xfId="16833" xr:uid="{A9DD64B4-0089-4676-906A-A6279D0F32D3}"/>
    <cellStyle name="Comma 2 8 4" xfId="2343" xr:uid="{FC98D77C-9AEB-4DF5-89A1-6F03011FF8C3}"/>
    <cellStyle name="Comma 2 8 5" xfId="4233" xr:uid="{28616EA0-172F-4C02-B398-1CEE110CE7E7}"/>
    <cellStyle name="Comma 2 8 6" xfId="6123" xr:uid="{9EC2E6BB-8F48-4509-A04C-E8C35AF1A140}"/>
    <cellStyle name="Comma 2 8 7" xfId="8013" xr:uid="{F0674653-23B1-4ED7-B48D-06143F5D6150}"/>
    <cellStyle name="Comma 2 8 8" xfId="9903" xr:uid="{C19DACD3-CBC0-4FEC-A1A6-E3FEE443A933}"/>
    <cellStyle name="Comma 2 8 9" xfId="11793" xr:uid="{CC466068-7EE2-48F6-8A21-B70E8FA8553F}"/>
    <cellStyle name="Comma 2 9" xfId="663" xr:uid="{FD5C3719-31FF-4C32-9906-FE3D4E5FB669}"/>
    <cellStyle name="Comma 2 9 10" xfId="17673" xr:uid="{116E0DBD-D38A-4884-911F-01B463D8CE15}"/>
    <cellStyle name="Comma 2 9 11" xfId="19563" xr:uid="{BA3CCDC4-AAB0-47F2-8DCC-1EC0157C1442}"/>
    <cellStyle name="Comma 2 9 12" xfId="21453" xr:uid="{FE5B48FA-3C06-402E-BD2E-CB7F751483F7}"/>
    <cellStyle name="Comma 2 9 13" xfId="23343" xr:uid="{6F80C160-52D6-4960-8AB7-1620A1F56CB1}"/>
    <cellStyle name="Comma 2 9 14" xfId="25233" xr:uid="{8359C3AB-C3A3-4B9F-9713-BF200F0191A4}"/>
    <cellStyle name="Comma 2 9 15" xfId="27123" xr:uid="{4597C21A-B1D6-4BF2-BC5E-0B0755616BA0}"/>
    <cellStyle name="Comma 2 9 16" xfId="29013" xr:uid="{D9950824-8B25-4B01-9C34-9504878B9FD1}"/>
    <cellStyle name="Comma 2 9 17" xfId="30903" xr:uid="{EEFE3F1B-E296-4A0C-B997-AA755DA5CC58}"/>
    <cellStyle name="Comma 2 9 18" xfId="32793" xr:uid="{7E461614-CCA6-4F93-A932-61440F74BD12}"/>
    <cellStyle name="Comma 2 9 19" xfId="34683" xr:uid="{02F6D748-0AA0-4A15-9B26-1608E2E6FE36}"/>
    <cellStyle name="Comma 2 9 2" xfId="2553" xr:uid="{E869953F-7AA4-438F-8123-052D834D290B}"/>
    <cellStyle name="Comma 2 9 20" xfId="36573" xr:uid="{7A2B0412-BA39-4CFD-9B9C-9FEEA0C0C9F4}"/>
    <cellStyle name="Comma 2 9 21" xfId="38463" xr:uid="{3495F14F-E9ED-495F-AE86-08ACCAB432A4}"/>
    <cellStyle name="Comma 2 9 22" xfId="40354" xr:uid="{D4AB2C73-986A-479E-BCD8-C2D54F587290}"/>
    <cellStyle name="Comma 2 9 3" xfId="4443" xr:uid="{8BB3463A-3647-4E52-86D5-7540B35E30C4}"/>
    <cellStyle name="Comma 2 9 4" xfId="6333" xr:uid="{AA2FEBD2-A7C3-4119-BBC9-9C7F090E29FA}"/>
    <cellStyle name="Comma 2 9 5" xfId="8223" xr:uid="{3507D489-BEF5-45C5-B6F8-51874B00E7D1}"/>
    <cellStyle name="Comma 2 9 6" xfId="10113" xr:uid="{C8A53BF1-F452-459C-9A3F-B925D9F61B2B}"/>
    <cellStyle name="Comma 2 9 7" xfId="12003" xr:uid="{8AFC7838-48B7-48B3-A60D-9F1F0D7CA09E}"/>
    <cellStyle name="Comma 2 9 8" xfId="13893" xr:uid="{7DF1B793-01B2-4D29-8763-4CABB62324A9}"/>
    <cellStyle name="Comma 2 9 9" xfId="15783" xr:uid="{72D1419F-6B36-45EB-AE8C-81CBD261FFF9}"/>
    <cellStyle name="Comma 20" xfId="17041" xr:uid="{2DEE7743-37E8-422C-8068-C8051AC05995}"/>
    <cellStyle name="Comma 21" xfId="18931" xr:uid="{2DE0A555-303F-4A1D-B3CC-1911DBC00411}"/>
    <cellStyle name="Comma 22" xfId="20821" xr:uid="{318B08EA-0F88-47A1-9832-EE2F39AFA82C}"/>
    <cellStyle name="Comma 23" xfId="22711" xr:uid="{DE186AA0-AE3E-4F1B-8003-59329D77B713}"/>
    <cellStyle name="Comma 24" xfId="24601" xr:uid="{691D8249-9163-4EFF-B253-0EECD7D3F0C5}"/>
    <cellStyle name="Comma 25" xfId="26491" xr:uid="{9D71B7AD-8BBF-4B46-B5DA-FAA2FE49158E}"/>
    <cellStyle name="Comma 26" xfId="28381" xr:uid="{780885B2-4AD4-4266-8188-3408DAB05EFF}"/>
    <cellStyle name="Comma 27" xfId="30271" xr:uid="{63A5CE6E-C637-4D70-A550-A12AB255A1D0}"/>
    <cellStyle name="Comma 28" xfId="32161" xr:uid="{0DBF9381-C410-4D25-A72C-2FE7EF68C05D}"/>
    <cellStyle name="Comma 29" xfId="34051" xr:uid="{4E33B0B4-EC98-45D3-B181-1236D60F7346}"/>
    <cellStyle name="Comma 3" xfId="20" xr:uid="{DE59E2B8-6A45-4DAA-9AE6-86D7395FBBD0}"/>
    <cellStyle name="Comma 3 10" xfId="7602" xr:uid="{88D82979-CBFD-43AB-A9BB-6F923C4B9771}"/>
    <cellStyle name="Comma 3 11" xfId="9492" xr:uid="{23683CB5-9FA4-4010-9AF0-234D17404341}"/>
    <cellStyle name="Comma 3 12" xfId="11382" xr:uid="{A02C1A4B-E6BA-4F5B-BEF8-F113EFAFACEB}"/>
    <cellStyle name="Comma 3 13" xfId="13272" xr:uid="{A1B3F967-DB9E-4A6E-8B4D-6C1F5576AFFE}"/>
    <cellStyle name="Comma 3 14" xfId="15162" xr:uid="{70592D06-D145-4211-8F0A-295B48D00E20}"/>
    <cellStyle name="Comma 3 15" xfId="17052" xr:uid="{DF2B4F07-7AF0-4E69-AC57-F6B0F5E1F999}"/>
    <cellStyle name="Comma 3 16" xfId="18942" xr:uid="{7DD59767-E9BD-4F00-9EDB-11354A14B6AB}"/>
    <cellStyle name="Comma 3 17" xfId="20832" xr:uid="{F5AD20D4-04FE-482A-B037-5AF59384BA7F}"/>
    <cellStyle name="Comma 3 18" xfId="22722" xr:uid="{EE85B1D5-1CA8-4572-AD45-2D3711D0B5C2}"/>
    <cellStyle name="Comma 3 19" xfId="24612" xr:uid="{92A997E7-2E3D-4FAF-9B84-568B51E2F1F2}"/>
    <cellStyle name="Comma 3 2" xfId="147" xr:uid="{C07FB8EF-7043-455C-A0EC-9DECCC9ED096}"/>
    <cellStyle name="Comma 3 2 10" xfId="9597" xr:uid="{101055D5-AB70-4FD2-BCDF-FCA793C558F7}"/>
    <cellStyle name="Comma 3 2 11" xfId="11487" xr:uid="{55228DA8-8F39-45A5-B0B7-5E806DABFA6D}"/>
    <cellStyle name="Comma 3 2 12" xfId="13377" xr:uid="{5C872598-79F4-49B6-BD99-FC21FD62ED79}"/>
    <cellStyle name="Comma 3 2 13" xfId="15267" xr:uid="{B78792C5-8519-48E4-9A18-4CE3A53116AC}"/>
    <cellStyle name="Comma 3 2 14" xfId="17157" xr:uid="{7FB15225-6304-4080-B72A-4CD18951517C}"/>
    <cellStyle name="Comma 3 2 15" xfId="19047" xr:uid="{7E1438A3-FB66-4A8E-B44B-C94C70AE935E}"/>
    <cellStyle name="Comma 3 2 16" xfId="20937" xr:uid="{714B2DA7-6D5A-4F2C-A6FB-0504C7AF5DF7}"/>
    <cellStyle name="Comma 3 2 17" xfId="22827" xr:uid="{BE9A12E6-ED3D-493D-AFF1-80B6F342D9DE}"/>
    <cellStyle name="Comma 3 2 18" xfId="24717" xr:uid="{FE861859-9FF1-4F85-910A-04736C9A0502}"/>
    <cellStyle name="Comma 3 2 19" xfId="26607" xr:uid="{E50E8202-DF2E-4226-9DA0-DB4B7F8DCFF1}"/>
    <cellStyle name="Comma 3 2 2" xfId="357" xr:uid="{7ECF8207-09A1-405A-973D-D235DF459383}"/>
    <cellStyle name="Comma 3 2 2 10" xfId="13587" xr:uid="{08510B3C-BE13-43F4-939E-954559C8C8D5}"/>
    <cellStyle name="Comma 3 2 2 11" xfId="15477" xr:uid="{F0C31D2D-C85F-45FE-A1A6-0B541F91F0A7}"/>
    <cellStyle name="Comma 3 2 2 12" xfId="17367" xr:uid="{6F8E9C0C-4860-4EFB-B4E2-E9F76E350A22}"/>
    <cellStyle name="Comma 3 2 2 13" xfId="19257" xr:uid="{44A997EE-62C6-477A-8C9E-493FE0F3041E}"/>
    <cellStyle name="Comma 3 2 2 14" xfId="21147" xr:uid="{CEB34D53-B413-4560-BBAB-375DA66C012E}"/>
    <cellStyle name="Comma 3 2 2 15" xfId="23037" xr:uid="{E341936A-2E20-4843-B9C2-21CD6F9FF9AD}"/>
    <cellStyle name="Comma 3 2 2 16" xfId="24927" xr:uid="{364F738A-517B-426B-BADB-D811E07F073E}"/>
    <cellStyle name="Comma 3 2 2 17" xfId="26817" xr:uid="{EDE3A22D-9484-40FD-BD31-76FE25920C4D}"/>
    <cellStyle name="Comma 3 2 2 18" xfId="28707" xr:uid="{103155FD-C5FC-4CED-966B-566303AEEBC7}"/>
    <cellStyle name="Comma 3 2 2 19" xfId="30597" xr:uid="{27AF615D-8EB5-46C6-AE1B-127A5B6A7D27}"/>
    <cellStyle name="Comma 3 2 2 2" xfId="987" xr:uid="{051C0350-B5E3-4D11-B4A4-25111CFEBA95}"/>
    <cellStyle name="Comma 3 2 2 2 10" xfId="17997" xr:uid="{64162807-0309-4C9B-9D2D-4EAB28B2F94A}"/>
    <cellStyle name="Comma 3 2 2 2 11" xfId="19887" xr:uid="{B7324ED4-B319-46BB-83CF-E908F9E9BD37}"/>
    <cellStyle name="Comma 3 2 2 2 12" xfId="21777" xr:uid="{F21A8D86-F5DB-453C-A19A-B538BD748EBD}"/>
    <cellStyle name="Comma 3 2 2 2 13" xfId="23667" xr:uid="{0652F927-029C-4032-998A-83F29F6E921A}"/>
    <cellStyle name="Comma 3 2 2 2 14" xfId="25557" xr:uid="{E5130F58-566E-460A-BC7C-0F3663252E6B}"/>
    <cellStyle name="Comma 3 2 2 2 15" xfId="27447" xr:uid="{F59C4254-CF1F-4E9E-B15B-E5E5DC1B80D0}"/>
    <cellStyle name="Comma 3 2 2 2 16" xfId="29337" xr:uid="{DF9D8A01-31E9-44D9-9BAA-B1FC043313C9}"/>
    <cellStyle name="Comma 3 2 2 2 17" xfId="31227" xr:uid="{1C82AFD8-37D3-4ACD-9158-281E2811AC56}"/>
    <cellStyle name="Comma 3 2 2 2 18" xfId="33117" xr:uid="{A557FFBF-2517-421D-841D-925BB7B71FA3}"/>
    <cellStyle name="Comma 3 2 2 2 19" xfId="35007" xr:uid="{D212325C-1142-40DF-806E-766C1EEDFC29}"/>
    <cellStyle name="Comma 3 2 2 2 2" xfId="2877" xr:uid="{7BD73BB9-427D-4E84-A8E4-6674BFEFBD7A}"/>
    <cellStyle name="Comma 3 2 2 2 20" xfId="36897" xr:uid="{5AAFA74F-91A3-4E91-9A92-A277B61E3FE3}"/>
    <cellStyle name="Comma 3 2 2 2 21" xfId="38787" xr:uid="{802814D4-A520-4D91-992E-66D700AAFCD8}"/>
    <cellStyle name="Comma 3 2 2 2 22" xfId="40678" xr:uid="{4B69C3B0-D508-4F0B-9800-51CB49CF2E16}"/>
    <cellStyle name="Comma 3 2 2 2 3" xfId="4767" xr:uid="{00078345-4A33-4297-A503-7C3F4BF222DD}"/>
    <cellStyle name="Comma 3 2 2 2 4" xfId="6657" xr:uid="{BF9EB91D-977F-475A-99D1-3B47877891BE}"/>
    <cellStyle name="Comma 3 2 2 2 5" xfId="8547" xr:uid="{F142D383-0C0C-4CD5-953A-3FA8AD559E4E}"/>
    <cellStyle name="Comma 3 2 2 2 6" xfId="10437" xr:uid="{72F9F6DA-2342-4966-8FDA-5459FB0C3249}"/>
    <cellStyle name="Comma 3 2 2 2 7" xfId="12327" xr:uid="{1BE9C7AE-884F-45DD-8391-57AAB194CE21}"/>
    <cellStyle name="Comma 3 2 2 2 8" xfId="14217" xr:uid="{A9A1A007-363F-4EFE-B9B2-9F6A4A2510C3}"/>
    <cellStyle name="Comma 3 2 2 2 9" xfId="16107" xr:uid="{89E29E9C-5B54-4294-AA57-DE7FD1B203A4}"/>
    <cellStyle name="Comma 3 2 2 20" xfId="32487" xr:uid="{7109AF6F-D573-4843-B60E-7BFF7195ED72}"/>
    <cellStyle name="Comma 3 2 2 21" xfId="34377" xr:uid="{13AA002C-3D03-493C-8D12-1E866497E248}"/>
    <cellStyle name="Comma 3 2 2 22" xfId="36267" xr:uid="{A1E43C6E-AC81-4354-BD48-97A13A1D2569}"/>
    <cellStyle name="Comma 3 2 2 23" xfId="38157" xr:uid="{BB2FF31F-D1DD-443A-B7D5-4227C16080FE}"/>
    <cellStyle name="Comma 3 2 2 24" xfId="40048" xr:uid="{2C76D37A-57FB-4BD6-B208-8A6D3C3BBEA5}"/>
    <cellStyle name="Comma 3 2 2 3" xfId="1617" xr:uid="{C7A6D617-72C8-4B39-929B-08304EB3C8C5}"/>
    <cellStyle name="Comma 3 2 2 3 10" xfId="18627" xr:uid="{7B7D9A04-0F59-4083-92D4-308D747D0880}"/>
    <cellStyle name="Comma 3 2 2 3 11" xfId="20517" xr:uid="{E20BB94A-F830-4B92-A1F1-BADA6B2023E1}"/>
    <cellStyle name="Comma 3 2 2 3 12" xfId="22407" xr:uid="{D3761958-D782-4912-A715-0DD6397EC5A8}"/>
    <cellStyle name="Comma 3 2 2 3 13" xfId="24297" xr:uid="{783B25DD-D58A-49FE-84B1-0BEA15DD2F3F}"/>
    <cellStyle name="Comma 3 2 2 3 14" xfId="26187" xr:uid="{654950E2-A8DE-4EBF-8563-7A994B617B20}"/>
    <cellStyle name="Comma 3 2 2 3 15" xfId="28077" xr:uid="{A125BB8F-FD85-40DC-86E5-2F7053E52564}"/>
    <cellStyle name="Comma 3 2 2 3 16" xfId="29967" xr:uid="{3EB33DC0-8BB6-4FF9-9CA3-C06DC1E1B61C}"/>
    <cellStyle name="Comma 3 2 2 3 17" xfId="31857" xr:uid="{67B19D85-52A3-4D72-92F5-604676FE9B8D}"/>
    <cellStyle name="Comma 3 2 2 3 18" xfId="33747" xr:uid="{16300FB5-6ED8-4663-995A-BE547F5805E5}"/>
    <cellStyle name="Comma 3 2 2 3 19" xfId="35637" xr:uid="{7DC540A3-0D4D-4454-818C-E96BB2124FE6}"/>
    <cellStyle name="Comma 3 2 2 3 2" xfId="3507" xr:uid="{002729A8-1C81-46E4-B8CF-5A23C526DF30}"/>
    <cellStyle name="Comma 3 2 2 3 20" xfId="37527" xr:uid="{E299E33F-42E3-43A3-ACAB-E891E373595F}"/>
    <cellStyle name="Comma 3 2 2 3 21" xfId="39417" xr:uid="{7E22E8E3-289A-4B22-8DC8-D7AF9002EB95}"/>
    <cellStyle name="Comma 3 2 2 3 22" xfId="41308" xr:uid="{3ED13FDD-ECAB-463D-AAFF-C1FA7535F6AA}"/>
    <cellStyle name="Comma 3 2 2 3 3" xfId="5397" xr:uid="{255A8759-231E-40CE-BA8E-B086DB6C4C74}"/>
    <cellStyle name="Comma 3 2 2 3 4" xfId="7287" xr:uid="{B1231833-51D2-4C63-ABCA-C30E4A7231E4}"/>
    <cellStyle name="Comma 3 2 2 3 5" xfId="9177" xr:uid="{0821FC0A-2FB5-43BC-941A-4AA6A57A72C6}"/>
    <cellStyle name="Comma 3 2 2 3 6" xfId="11067" xr:uid="{5E67FE60-C369-48D3-B36D-BEC46DAB2A42}"/>
    <cellStyle name="Comma 3 2 2 3 7" xfId="12957" xr:uid="{C9FDCFBA-6E73-499D-ADD5-C3415D84FCF4}"/>
    <cellStyle name="Comma 3 2 2 3 8" xfId="14847" xr:uid="{4B29F1CA-849F-4E25-AA37-EB713D85329F}"/>
    <cellStyle name="Comma 3 2 2 3 9" xfId="16737" xr:uid="{A373A08C-6898-471F-A146-4A3F823B0BD7}"/>
    <cellStyle name="Comma 3 2 2 4" xfId="2247" xr:uid="{CF9E1B27-D52B-4502-99C6-4B352231FA33}"/>
    <cellStyle name="Comma 3 2 2 5" xfId="4137" xr:uid="{364A6BFC-F038-4C3B-ADA6-72896EC93291}"/>
    <cellStyle name="Comma 3 2 2 6" xfId="6027" xr:uid="{23E8DCEF-BB98-4416-A448-CDC43A365CE9}"/>
    <cellStyle name="Comma 3 2 2 7" xfId="7917" xr:uid="{F8E0C84F-1446-4D72-B174-671D0A760F71}"/>
    <cellStyle name="Comma 3 2 2 8" xfId="9807" xr:uid="{AECC298E-086D-4943-A509-37D4E850054D}"/>
    <cellStyle name="Comma 3 2 2 9" xfId="11697" xr:uid="{53C97FE1-0751-43B7-A0E8-D30C7865A79A}"/>
    <cellStyle name="Comma 3 2 20" xfId="28497" xr:uid="{84AB40D3-1907-47DB-BC83-9D5AD5D0FA2F}"/>
    <cellStyle name="Comma 3 2 21" xfId="30387" xr:uid="{FC64829D-FF88-4C92-BC1C-2112F501195F}"/>
    <cellStyle name="Comma 3 2 22" xfId="32277" xr:uid="{88042E7F-D4E5-4A3C-902B-ACF311EC411B}"/>
    <cellStyle name="Comma 3 2 23" xfId="34167" xr:uid="{3E086C62-7805-49B2-B633-600398460445}"/>
    <cellStyle name="Comma 3 2 24" xfId="36057" xr:uid="{3DA47E95-E5DE-4EED-9858-1A6632A7DC66}"/>
    <cellStyle name="Comma 3 2 25" xfId="37947" xr:uid="{18904C84-2ABF-4100-9C2F-D64E33A2FAF2}"/>
    <cellStyle name="Comma 3 2 26" xfId="39838" xr:uid="{A49204A9-6809-4721-BDD9-935411ABF3FB}"/>
    <cellStyle name="Comma 3 2 3" xfId="567" xr:uid="{9DDD62BC-9889-406F-BCD1-A64AB0726CF6}"/>
    <cellStyle name="Comma 3 2 3 10" xfId="13797" xr:uid="{5BBE21C9-6A39-4B24-B2D6-A7D8D23937E4}"/>
    <cellStyle name="Comma 3 2 3 11" xfId="15687" xr:uid="{CBDAD91B-D561-4779-A881-DAAD2F72F82D}"/>
    <cellStyle name="Comma 3 2 3 12" xfId="17577" xr:uid="{7F54815E-4A3A-4D91-8AB9-D1C658259809}"/>
    <cellStyle name="Comma 3 2 3 13" xfId="19467" xr:uid="{A763454D-27EC-4B40-9F77-92755C0BB05D}"/>
    <cellStyle name="Comma 3 2 3 14" xfId="21357" xr:uid="{B5A74C69-2E84-4CCD-A41C-9B8EF7109554}"/>
    <cellStyle name="Comma 3 2 3 15" xfId="23247" xr:uid="{649F2FE8-30B6-4AB7-A848-CB0A328AD5A4}"/>
    <cellStyle name="Comma 3 2 3 16" xfId="25137" xr:uid="{20988BBD-D237-4AD3-B9CC-CDDDFBD7C20F}"/>
    <cellStyle name="Comma 3 2 3 17" xfId="27027" xr:uid="{82E50228-2B0C-4C74-AF1D-84A0ECB757B5}"/>
    <cellStyle name="Comma 3 2 3 18" xfId="28917" xr:uid="{8CA7FB7C-3D1D-4901-AABD-C2785C2EDC9A}"/>
    <cellStyle name="Comma 3 2 3 19" xfId="30807" xr:uid="{7C8F2B5A-1BC5-4872-B080-310D48CB9554}"/>
    <cellStyle name="Comma 3 2 3 2" xfId="1197" xr:uid="{A0385AF6-5DA0-491D-8137-C6F20E84B7EE}"/>
    <cellStyle name="Comma 3 2 3 2 10" xfId="18207" xr:uid="{EA8597C3-C3CE-4745-BD53-0ADEBD774EEF}"/>
    <cellStyle name="Comma 3 2 3 2 11" xfId="20097" xr:uid="{346E42D0-F941-4783-A1F0-8ADFE8A2B7DF}"/>
    <cellStyle name="Comma 3 2 3 2 12" xfId="21987" xr:uid="{6C238EBD-5F4A-4381-B776-9A91C36BFF75}"/>
    <cellStyle name="Comma 3 2 3 2 13" xfId="23877" xr:uid="{8544F0D8-AE2F-4920-915F-444C076A7FAA}"/>
    <cellStyle name="Comma 3 2 3 2 14" xfId="25767" xr:uid="{0FCDB8A4-6ADE-4470-89F5-66914F476704}"/>
    <cellStyle name="Comma 3 2 3 2 15" xfId="27657" xr:uid="{0BE46D24-FAA9-4866-8A05-613C79A1622B}"/>
    <cellStyle name="Comma 3 2 3 2 16" xfId="29547" xr:uid="{92993A89-4385-46B4-B58F-E022E6EC65CF}"/>
    <cellStyle name="Comma 3 2 3 2 17" xfId="31437" xr:uid="{CD58A638-95B0-4398-89EB-3D6DCE9973CF}"/>
    <cellStyle name="Comma 3 2 3 2 18" xfId="33327" xr:uid="{FA7D308D-C0BA-469C-8039-19B859619EDF}"/>
    <cellStyle name="Comma 3 2 3 2 19" xfId="35217" xr:uid="{6ADB4BF3-EDDC-4A47-9EB8-18318E372687}"/>
    <cellStyle name="Comma 3 2 3 2 2" xfId="3087" xr:uid="{B253D2A2-D4C1-42C0-AD32-2BD8F22A22F0}"/>
    <cellStyle name="Comma 3 2 3 2 20" xfId="37107" xr:uid="{EA3DBAD4-C2E7-44B7-9705-CB3F746AA582}"/>
    <cellStyle name="Comma 3 2 3 2 21" xfId="38997" xr:uid="{7402F18B-3B5A-420E-B4FD-C9323E1CC8BE}"/>
    <cellStyle name="Comma 3 2 3 2 22" xfId="40888" xr:uid="{6D178C91-D2FF-453A-BB97-6D223F4106D2}"/>
    <cellStyle name="Comma 3 2 3 2 3" xfId="4977" xr:uid="{F3314C5B-967B-4293-B306-71D50C57EEEE}"/>
    <cellStyle name="Comma 3 2 3 2 4" xfId="6867" xr:uid="{384D7327-CE4D-4939-9AE1-DD122AF9010E}"/>
    <cellStyle name="Comma 3 2 3 2 5" xfId="8757" xr:uid="{D44C6A70-126D-4264-9FCD-69EABC64EBA5}"/>
    <cellStyle name="Comma 3 2 3 2 6" xfId="10647" xr:uid="{52AA2EAA-6C86-4237-AC0D-987C13109121}"/>
    <cellStyle name="Comma 3 2 3 2 7" xfId="12537" xr:uid="{2EFD2EF6-6D34-4562-971D-F05813FB9D3D}"/>
    <cellStyle name="Comma 3 2 3 2 8" xfId="14427" xr:uid="{62E060B0-62F9-4564-84EB-29409F247E29}"/>
    <cellStyle name="Comma 3 2 3 2 9" xfId="16317" xr:uid="{578982B2-C8B1-459E-BD4A-FA571DE82C44}"/>
    <cellStyle name="Comma 3 2 3 20" xfId="32697" xr:uid="{7E94D41F-3A6A-42B7-9128-BD48D98DA333}"/>
    <cellStyle name="Comma 3 2 3 21" xfId="34587" xr:uid="{8A780664-9BBB-4670-B9AB-230550608FBA}"/>
    <cellStyle name="Comma 3 2 3 22" xfId="36477" xr:uid="{D8E2BEBC-C3E3-4B21-9E6D-E5DF7E2C2156}"/>
    <cellStyle name="Comma 3 2 3 23" xfId="38367" xr:uid="{A23A2457-79FE-4570-B2A0-03EE2513279A}"/>
    <cellStyle name="Comma 3 2 3 24" xfId="40258" xr:uid="{42C35F2F-81F3-4DFD-8E2B-D1386A20FC71}"/>
    <cellStyle name="Comma 3 2 3 3" xfId="1827" xr:uid="{261C4E25-E9AF-49AF-85BD-24E6F651AD43}"/>
    <cellStyle name="Comma 3 2 3 3 10" xfId="18837" xr:uid="{033DD4AA-F263-4869-818A-E5FCDF51FE80}"/>
    <cellStyle name="Comma 3 2 3 3 11" xfId="20727" xr:uid="{9518E0F0-E4DA-4CD2-9D05-BF549B18D3C7}"/>
    <cellStyle name="Comma 3 2 3 3 12" xfId="22617" xr:uid="{4CCE0B8B-A6AE-4FBD-9EDC-76BBB1DC0556}"/>
    <cellStyle name="Comma 3 2 3 3 13" xfId="24507" xr:uid="{916BC5DE-46FF-408B-B361-CDE4DB84D41C}"/>
    <cellStyle name="Comma 3 2 3 3 14" xfId="26397" xr:uid="{3FD6F7F2-5401-4878-8FD6-F35F40DCA27F}"/>
    <cellStyle name="Comma 3 2 3 3 15" xfId="28287" xr:uid="{10BADDDB-FAAD-4FE5-8F2C-1D9E1CF45B08}"/>
    <cellStyle name="Comma 3 2 3 3 16" xfId="30177" xr:uid="{3966B16C-C2F0-4C12-BE10-929DE0C5441A}"/>
    <cellStyle name="Comma 3 2 3 3 17" xfId="32067" xr:uid="{A45FC66D-8D7D-4B05-B390-8AA99C89C6F8}"/>
    <cellStyle name="Comma 3 2 3 3 18" xfId="33957" xr:uid="{8996EA3C-9045-4920-8B14-31D5B721CAF2}"/>
    <cellStyle name="Comma 3 2 3 3 19" xfId="35847" xr:uid="{D7601FD1-EE4C-4AE5-80FC-9B0F4A253CAE}"/>
    <cellStyle name="Comma 3 2 3 3 2" xfId="3717" xr:uid="{71D0FD93-72C6-4C96-B184-929D7248702B}"/>
    <cellStyle name="Comma 3 2 3 3 20" xfId="37737" xr:uid="{925FDD7E-5476-406A-AA1F-C8AB2FC79512}"/>
    <cellStyle name="Comma 3 2 3 3 21" xfId="39627" xr:uid="{F9A6431F-EC35-4DC0-8EEA-735E6461BE0B}"/>
    <cellStyle name="Comma 3 2 3 3 22" xfId="41518" xr:uid="{164B241E-0CE7-40C2-8F22-9431520996A8}"/>
    <cellStyle name="Comma 3 2 3 3 3" xfId="5607" xr:uid="{9DA07A26-1509-4C01-ABF7-59D3D30B8169}"/>
    <cellStyle name="Comma 3 2 3 3 4" xfId="7497" xr:uid="{FAB7752B-4B39-4D4A-956A-813474241EF6}"/>
    <cellStyle name="Comma 3 2 3 3 5" xfId="9387" xr:uid="{724F7488-B34E-4969-B031-6411BDD3B695}"/>
    <cellStyle name="Comma 3 2 3 3 6" xfId="11277" xr:uid="{ED126E2E-F2E0-45B1-AABA-3BE8C7F2B07E}"/>
    <cellStyle name="Comma 3 2 3 3 7" xfId="13167" xr:uid="{25A7298E-89F6-4CC5-AE70-8210D2943CD7}"/>
    <cellStyle name="Comma 3 2 3 3 8" xfId="15057" xr:uid="{DFEF2ED1-1B01-4328-8E43-23EEA3945C63}"/>
    <cellStyle name="Comma 3 2 3 3 9" xfId="16947" xr:uid="{8084F9AD-5821-4853-B6D0-369ED4CAC031}"/>
    <cellStyle name="Comma 3 2 3 4" xfId="2457" xr:uid="{91E57946-BB4E-4E97-9274-E605F2D28F1A}"/>
    <cellStyle name="Comma 3 2 3 5" xfId="4347" xr:uid="{C2F07EC8-C446-4609-A8CF-8511443FA6C5}"/>
    <cellStyle name="Comma 3 2 3 6" xfId="6237" xr:uid="{7D8D92BD-A2CE-4E31-9C9F-9C20097A80BD}"/>
    <cellStyle name="Comma 3 2 3 7" xfId="8127" xr:uid="{324F8D03-43AC-4A86-98E6-7EE6AA2E7C12}"/>
    <cellStyle name="Comma 3 2 3 8" xfId="10017" xr:uid="{190E5FEB-1BF1-4374-956D-6EB4057A49C0}"/>
    <cellStyle name="Comma 3 2 3 9" xfId="11907" xr:uid="{586215B4-D4E5-4780-ADA9-71B5706F12AE}"/>
    <cellStyle name="Comma 3 2 4" xfId="777" xr:uid="{A7058ADF-213C-4036-95C1-6F999C3E478D}"/>
    <cellStyle name="Comma 3 2 4 10" xfId="17787" xr:uid="{44346AC2-3C6E-4054-8EB8-C4ACCAF2F3C2}"/>
    <cellStyle name="Comma 3 2 4 11" xfId="19677" xr:uid="{47D5B438-3680-4266-B080-AA4B39BED6FA}"/>
    <cellStyle name="Comma 3 2 4 12" xfId="21567" xr:uid="{3CDDC240-5E75-45DA-95B3-2623BF6C703E}"/>
    <cellStyle name="Comma 3 2 4 13" xfId="23457" xr:uid="{77A94B8E-E2AD-4BD7-9E5B-DF9EEBA28C79}"/>
    <cellStyle name="Comma 3 2 4 14" xfId="25347" xr:uid="{A08ADB5D-B4BD-4EE3-80B7-36EBA88AFADF}"/>
    <cellStyle name="Comma 3 2 4 15" xfId="27237" xr:uid="{A0FDC6C2-8E67-4428-A741-FB34E2CD3316}"/>
    <cellStyle name="Comma 3 2 4 16" xfId="29127" xr:uid="{72FE84C0-A757-46D9-BEBE-59980810D33D}"/>
    <cellStyle name="Comma 3 2 4 17" xfId="31017" xr:uid="{30ABB6B0-C2CD-4A99-BD8A-651B12762CE3}"/>
    <cellStyle name="Comma 3 2 4 18" xfId="32907" xr:uid="{F305CB5C-C8F3-4AA2-ADE1-229AD656E91A}"/>
    <cellStyle name="Comma 3 2 4 19" xfId="34797" xr:uid="{95975D07-7D63-41D4-82ED-8BAAC1D879CF}"/>
    <cellStyle name="Comma 3 2 4 2" xfId="2667" xr:uid="{9FC58C09-57E6-4444-82D0-22FEE8E13E70}"/>
    <cellStyle name="Comma 3 2 4 20" xfId="36687" xr:uid="{6891365F-65D7-4D48-A2F8-6F2CA32F9A49}"/>
    <cellStyle name="Comma 3 2 4 21" xfId="38577" xr:uid="{98650640-661A-4FDC-BDC9-B2E5F2F063F6}"/>
    <cellStyle name="Comma 3 2 4 22" xfId="40468" xr:uid="{FFD925FB-2E46-43ED-9C21-9042BBFEF6B2}"/>
    <cellStyle name="Comma 3 2 4 3" xfId="4557" xr:uid="{1B536CDE-58CF-45B5-80B2-F9FC3307BEA4}"/>
    <cellStyle name="Comma 3 2 4 4" xfId="6447" xr:uid="{8AAB7DDF-01EE-4220-BE1D-F53533E847DA}"/>
    <cellStyle name="Comma 3 2 4 5" xfId="8337" xr:uid="{11243DC2-64E8-4478-A247-0C242F077076}"/>
    <cellStyle name="Comma 3 2 4 6" xfId="10227" xr:uid="{258DBC19-40A2-49EE-BB1C-177C6824DDC3}"/>
    <cellStyle name="Comma 3 2 4 7" xfId="12117" xr:uid="{894623BC-80B1-4E7A-8CA0-24747BB682E5}"/>
    <cellStyle name="Comma 3 2 4 8" xfId="14007" xr:uid="{975746FB-7C38-498F-ABEE-3E9531FB29E4}"/>
    <cellStyle name="Comma 3 2 4 9" xfId="15897" xr:uid="{80830130-7F5C-4068-84C3-86787D67A260}"/>
    <cellStyle name="Comma 3 2 5" xfId="1407" xr:uid="{53338DF5-F773-43EA-BCBF-A6D9445C0D65}"/>
    <cellStyle name="Comma 3 2 5 10" xfId="18417" xr:uid="{2C5A37AA-410C-4C32-8A52-E0F36F925028}"/>
    <cellStyle name="Comma 3 2 5 11" xfId="20307" xr:uid="{F0FAA07A-B296-4FA5-B5FC-2F59EE68BF2F}"/>
    <cellStyle name="Comma 3 2 5 12" xfId="22197" xr:uid="{B9692E65-026C-40A4-91CB-16454C3DF601}"/>
    <cellStyle name="Comma 3 2 5 13" xfId="24087" xr:uid="{2D315168-2CA3-416E-94F6-98E2F228E425}"/>
    <cellStyle name="Comma 3 2 5 14" xfId="25977" xr:uid="{0B420922-FCB8-42BF-B019-2E0F80503414}"/>
    <cellStyle name="Comma 3 2 5 15" xfId="27867" xr:uid="{7B380285-7B78-49BF-AE0C-FB0CE6ED0852}"/>
    <cellStyle name="Comma 3 2 5 16" xfId="29757" xr:uid="{BE1A53F6-550D-4BFE-9099-CF610278E656}"/>
    <cellStyle name="Comma 3 2 5 17" xfId="31647" xr:uid="{694B9B9F-09F1-4CDC-84BB-389F752731D3}"/>
    <cellStyle name="Comma 3 2 5 18" xfId="33537" xr:uid="{8CAD09F0-56BE-4929-ABD9-EF571515A975}"/>
    <cellStyle name="Comma 3 2 5 19" xfId="35427" xr:uid="{166E2600-7A7A-42DF-8782-84EC7B084C2E}"/>
    <cellStyle name="Comma 3 2 5 2" xfId="3297" xr:uid="{9CFDABED-CB89-4055-8A3B-206C21EE0CAF}"/>
    <cellStyle name="Comma 3 2 5 20" xfId="37317" xr:uid="{44F8CD16-CA1B-4B16-A504-3294950258A1}"/>
    <cellStyle name="Comma 3 2 5 21" xfId="39207" xr:uid="{1AB159F0-22BF-44AC-9D2C-6D9C0EAB54F0}"/>
    <cellStyle name="Comma 3 2 5 22" xfId="41098" xr:uid="{62AE60DF-C4F6-42FE-A417-60088CCFDED0}"/>
    <cellStyle name="Comma 3 2 5 3" xfId="5187" xr:uid="{6977BA76-273E-4263-937C-69B50F726A47}"/>
    <cellStyle name="Comma 3 2 5 4" xfId="7077" xr:uid="{CCECE677-AEE8-449A-BD87-C7FB33D757D8}"/>
    <cellStyle name="Comma 3 2 5 5" xfId="8967" xr:uid="{91E959D7-E199-49B4-B129-D735EBEBF02C}"/>
    <cellStyle name="Comma 3 2 5 6" xfId="10857" xr:uid="{B30465D9-7B95-422F-80AE-A7A4D8A580DE}"/>
    <cellStyle name="Comma 3 2 5 7" xfId="12747" xr:uid="{3CF7E41A-9800-423D-8FB8-A25EECA3E0A4}"/>
    <cellStyle name="Comma 3 2 5 8" xfId="14637" xr:uid="{A9B1C837-72C4-4FB9-97A4-8BFADD59E5C8}"/>
    <cellStyle name="Comma 3 2 5 9" xfId="16527" xr:uid="{551DB703-B796-432C-B5E0-A22826A1DAC8}"/>
    <cellStyle name="Comma 3 2 6" xfId="2037" xr:uid="{6A1AF43D-1623-4430-B6DD-F79AEE435BDF}"/>
    <cellStyle name="Comma 3 2 7" xfId="3927" xr:uid="{A45561AB-D75B-4BB6-94BA-13606FF182D1}"/>
    <cellStyle name="Comma 3 2 8" xfId="5817" xr:uid="{8762C43B-4FC7-4C1A-91DA-A818F9393553}"/>
    <cellStyle name="Comma 3 2 9" xfId="7707" xr:uid="{81B9891A-93E7-4D87-B80B-CC3BEBAE1D4B}"/>
    <cellStyle name="Comma 3 20" xfId="26502" xr:uid="{DA82D718-901C-49D3-BA1C-45DDCEB75B17}"/>
    <cellStyle name="Comma 3 21" xfId="28392" xr:uid="{B0461CF5-8727-4048-B87C-14F241266970}"/>
    <cellStyle name="Comma 3 22" xfId="30282" xr:uid="{1B945AB7-CD03-4766-9FED-A21876499A78}"/>
    <cellStyle name="Comma 3 23" xfId="32172" xr:uid="{DF466A0A-5E33-4A63-98C1-D53181D7B28F}"/>
    <cellStyle name="Comma 3 24" xfId="34062" xr:uid="{C7904BAD-F38E-4C94-8673-3AAC311A4A15}"/>
    <cellStyle name="Comma 3 25" xfId="35952" xr:uid="{8FC67B5A-AD52-4155-832A-8BF37A9903E5}"/>
    <cellStyle name="Comma 3 26" xfId="37842" xr:uid="{571C6180-5F06-4424-9679-2383394B4F51}"/>
    <cellStyle name="Comma 3 27" xfId="39733" xr:uid="{68525C2B-45EA-45B5-A96E-ACBC7899584F}"/>
    <cellStyle name="Comma 3 3" xfId="252" xr:uid="{F7865B3F-7685-43F6-9CDD-CFB61F687701}"/>
    <cellStyle name="Comma 3 3 10" xfId="13482" xr:uid="{2ACF7721-CF9D-421B-8E2F-E54424A25C87}"/>
    <cellStyle name="Comma 3 3 11" xfId="15372" xr:uid="{A67A7A85-4476-43DF-93AE-93F8B0479BF0}"/>
    <cellStyle name="Comma 3 3 12" xfId="17262" xr:uid="{ACAF7911-647B-4231-AB28-9550EBE9226E}"/>
    <cellStyle name="Comma 3 3 13" xfId="19152" xr:uid="{31BC4097-4441-4A54-B068-C23F2C3F7760}"/>
    <cellStyle name="Comma 3 3 14" xfId="21042" xr:uid="{78C9D45A-0D35-4754-BAC6-1200102299D8}"/>
    <cellStyle name="Comma 3 3 15" xfId="22932" xr:uid="{05E12037-6EE6-4E18-AB5B-D731A9722A22}"/>
    <cellStyle name="Comma 3 3 16" xfId="24822" xr:uid="{8C6C58B2-47A4-480D-BB51-1592565E0DDD}"/>
    <cellStyle name="Comma 3 3 17" xfId="26712" xr:uid="{8DD563DF-32E5-4953-BC97-8E329A2C61F7}"/>
    <cellStyle name="Comma 3 3 18" xfId="28602" xr:uid="{C0D2D578-0467-4A80-9069-0F5F21021C39}"/>
    <cellStyle name="Comma 3 3 19" xfId="30492" xr:uid="{3C448FE7-BC46-4B53-A03E-3638BF41919F}"/>
    <cellStyle name="Comma 3 3 2" xfId="882" xr:uid="{A58D4AB9-C9DD-48E4-8D74-9FE743D669D0}"/>
    <cellStyle name="Comma 3 3 2 10" xfId="17892" xr:uid="{77822AA6-7A46-4362-9122-CAD20212776B}"/>
    <cellStyle name="Comma 3 3 2 11" xfId="19782" xr:uid="{70A2A660-8603-47B2-B53C-EF32CB10A502}"/>
    <cellStyle name="Comma 3 3 2 12" xfId="21672" xr:uid="{6BA15A59-7647-4B99-A47E-BF5B31228E81}"/>
    <cellStyle name="Comma 3 3 2 13" xfId="23562" xr:uid="{36DE228A-888F-4509-9763-90906297FA61}"/>
    <cellStyle name="Comma 3 3 2 14" xfId="25452" xr:uid="{13306F82-8B13-4F03-939A-FE28550643B3}"/>
    <cellStyle name="Comma 3 3 2 15" xfId="27342" xr:uid="{DCB0CADA-FCA5-4345-90A5-7C34BBD8A5DC}"/>
    <cellStyle name="Comma 3 3 2 16" xfId="29232" xr:uid="{62513D67-CBA1-43D5-AB23-1B7EEA413485}"/>
    <cellStyle name="Comma 3 3 2 17" xfId="31122" xr:uid="{2B8EE1A0-D077-4A96-B358-AA4CB9C0504A}"/>
    <cellStyle name="Comma 3 3 2 18" xfId="33012" xr:uid="{A4AB6B80-6E82-4C7A-A37F-83B3223CFDFB}"/>
    <cellStyle name="Comma 3 3 2 19" xfId="34902" xr:uid="{60939823-E189-44F3-B8FE-2BC3CB0950CA}"/>
    <cellStyle name="Comma 3 3 2 2" xfId="2772" xr:uid="{FE59002A-024D-41FC-AFCE-485FF568CEA8}"/>
    <cellStyle name="Comma 3 3 2 20" xfId="36792" xr:uid="{C03879A6-2728-4C03-99A1-D1189B99AC56}"/>
    <cellStyle name="Comma 3 3 2 21" xfId="38682" xr:uid="{5376D2C8-FAEA-4257-BB14-386D45F93151}"/>
    <cellStyle name="Comma 3 3 2 22" xfId="40573" xr:uid="{25CC7C94-BEC8-444F-8A61-86DABDC7B3DC}"/>
    <cellStyle name="Comma 3 3 2 3" xfId="4662" xr:uid="{124C60A0-D55F-4615-BBC3-796A604817D0}"/>
    <cellStyle name="Comma 3 3 2 4" xfId="6552" xr:uid="{1EC8DD12-3498-44EA-8CFF-B868F8982EFF}"/>
    <cellStyle name="Comma 3 3 2 5" xfId="8442" xr:uid="{AA74204A-79A3-4F53-B5EF-40C32637A0CC}"/>
    <cellStyle name="Comma 3 3 2 6" xfId="10332" xr:uid="{6F82F4EE-2CA4-4655-A6CB-2E43E94DC2A7}"/>
    <cellStyle name="Comma 3 3 2 7" xfId="12222" xr:uid="{848A01C0-D0C1-4503-A5F5-BEF436E3D0CC}"/>
    <cellStyle name="Comma 3 3 2 8" xfId="14112" xr:uid="{63D33DA1-AA0F-4D2A-9E10-CC6DEFB4D724}"/>
    <cellStyle name="Comma 3 3 2 9" xfId="16002" xr:uid="{096FD426-AE5D-4007-AB97-AFD81359A9CC}"/>
    <cellStyle name="Comma 3 3 20" xfId="32382" xr:uid="{6226AC67-84CA-43C2-AFCC-9F8A9AF22816}"/>
    <cellStyle name="Comma 3 3 21" xfId="34272" xr:uid="{D9BC9C6B-5DB9-47BF-8FF3-4CA70B75DD46}"/>
    <cellStyle name="Comma 3 3 22" xfId="36162" xr:uid="{BFDA16A1-A528-4442-9365-BBF00C767A0B}"/>
    <cellStyle name="Comma 3 3 23" xfId="38052" xr:uid="{FEEFEC1F-F91E-48EC-B5AA-87180518B4EF}"/>
    <cellStyle name="Comma 3 3 24" xfId="39943" xr:uid="{7E7324B2-D791-4518-8D34-BC0BA5B9A9D4}"/>
    <cellStyle name="Comma 3 3 3" xfId="1512" xr:uid="{40A5057A-C9F1-4C66-B1AD-25EFC78ADD45}"/>
    <cellStyle name="Comma 3 3 3 10" xfId="18522" xr:uid="{2F9B2609-EFE2-4540-8939-877FE68E6C75}"/>
    <cellStyle name="Comma 3 3 3 11" xfId="20412" xr:uid="{39475537-38E8-4B32-9522-FC2F58CBEAD5}"/>
    <cellStyle name="Comma 3 3 3 12" xfId="22302" xr:uid="{8A2CACE7-11E8-40FE-9F49-97960BA20B69}"/>
    <cellStyle name="Comma 3 3 3 13" xfId="24192" xr:uid="{F118BC97-2ADD-4049-B855-79C969788996}"/>
    <cellStyle name="Comma 3 3 3 14" xfId="26082" xr:uid="{367E8058-CFB1-4401-AA02-D112D1DE4EF7}"/>
    <cellStyle name="Comma 3 3 3 15" xfId="27972" xr:uid="{CD9E6CEC-09D1-40E8-9564-9D0B03EBA80F}"/>
    <cellStyle name="Comma 3 3 3 16" xfId="29862" xr:uid="{90EC1C1F-12DE-4C31-9E1A-17C469A96924}"/>
    <cellStyle name="Comma 3 3 3 17" xfId="31752" xr:uid="{5FE9B2DD-BC1B-4DCB-AE4B-2E24659C12BF}"/>
    <cellStyle name="Comma 3 3 3 18" xfId="33642" xr:uid="{BD370798-825D-4656-BDCF-703EEDC7802F}"/>
    <cellStyle name="Comma 3 3 3 19" xfId="35532" xr:uid="{B1B275EB-FB3F-4702-AB42-7D11EE3C5481}"/>
    <cellStyle name="Comma 3 3 3 2" xfId="3402" xr:uid="{1EFEA319-883D-4E4F-9801-A21DCDAF065B}"/>
    <cellStyle name="Comma 3 3 3 20" xfId="37422" xr:uid="{F4DA3418-A3DC-43F0-BBF4-FDD113AE88B5}"/>
    <cellStyle name="Comma 3 3 3 21" xfId="39312" xr:uid="{71AE0B9A-91BE-4DF0-8502-77246AF68157}"/>
    <cellStyle name="Comma 3 3 3 22" xfId="41203" xr:uid="{A8D710CF-730F-40EB-9D2A-A60F0A6CDC90}"/>
    <cellStyle name="Comma 3 3 3 3" xfId="5292" xr:uid="{C7DAF9E1-8D3E-4B9F-8B7E-043BF6A64837}"/>
    <cellStyle name="Comma 3 3 3 4" xfId="7182" xr:uid="{B0BB40AB-4267-4BF9-B2E2-365F748BB8FF}"/>
    <cellStyle name="Comma 3 3 3 5" xfId="9072" xr:uid="{10518933-CFED-4DC1-AA7D-0292C4D3CC7A}"/>
    <cellStyle name="Comma 3 3 3 6" xfId="10962" xr:uid="{F11AAA04-8724-4507-B41A-FC07E1941BAE}"/>
    <cellStyle name="Comma 3 3 3 7" xfId="12852" xr:uid="{FD710637-193E-4253-8D19-9668B4978C17}"/>
    <cellStyle name="Comma 3 3 3 8" xfId="14742" xr:uid="{A21A61BC-087F-48D9-9DE1-FD6EF7DAB2C1}"/>
    <cellStyle name="Comma 3 3 3 9" xfId="16632" xr:uid="{4A41309A-E14B-4FF5-B994-3E11A9C172A0}"/>
    <cellStyle name="Comma 3 3 4" xfId="2142" xr:uid="{93F5A6B2-4807-4951-A51F-2DB2F30DBCEB}"/>
    <cellStyle name="Comma 3 3 5" xfId="4032" xr:uid="{795FAB07-831F-4765-B630-2A34E931972C}"/>
    <cellStyle name="Comma 3 3 6" xfId="5922" xr:uid="{FEF60DCA-6558-4898-8416-0D220E0D4DA8}"/>
    <cellStyle name="Comma 3 3 7" xfId="7812" xr:uid="{A2C899D4-A8DF-4F17-ACDF-5FED29D1E25D}"/>
    <cellStyle name="Comma 3 3 8" xfId="9702" xr:uid="{BD34E06B-E9D8-48B5-A878-6C995ECCCEF1}"/>
    <cellStyle name="Comma 3 3 9" xfId="11592" xr:uid="{863BF76E-5970-47E7-88C8-AF68354C1274}"/>
    <cellStyle name="Comma 3 4" xfId="462" xr:uid="{B792961C-40B7-4414-B58C-670918811F19}"/>
    <cellStyle name="Comma 3 4 10" xfId="13692" xr:uid="{D19BE1B6-5E18-4383-BAF4-D1760D99155E}"/>
    <cellStyle name="Comma 3 4 11" xfId="15582" xr:uid="{584A394C-745A-4555-8A11-6A3B3F0C5EF0}"/>
    <cellStyle name="Comma 3 4 12" xfId="17472" xr:uid="{39B7A1E0-F18E-4101-A9B7-FAF21D1E3A7C}"/>
    <cellStyle name="Comma 3 4 13" xfId="19362" xr:uid="{580C7185-FE56-458F-A577-D2504D296656}"/>
    <cellStyle name="Comma 3 4 14" xfId="21252" xr:uid="{FDA80EE1-CB2D-4A1D-A9A2-4DF904B72B6A}"/>
    <cellStyle name="Comma 3 4 15" xfId="23142" xr:uid="{C2471DCC-0ADD-4C47-B46C-4D4A23568F2B}"/>
    <cellStyle name="Comma 3 4 16" xfId="25032" xr:uid="{34087370-9E65-47E5-B0FB-F22DB336A728}"/>
    <cellStyle name="Comma 3 4 17" xfId="26922" xr:uid="{E1295151-3353-4227-9ACA-302B9AF530CF}"/>
    <cellStyle name="Comma 3 4 18" xfId="28812" xr:uid="{27350080-91BB-44E9-9E1F-65AC66FDE7CE}"/>
    <cellStyle name="Comma 3 4 19" xfId="30702" xr:uid="{1810099E-BB88-491C-8F89-1133A7A42B05}"/>
    <cellStyle name="Comma 3 4 2" xfId="1092" xr:uid="{E4BF3B85-AA2B-49EC-A962-9CF3FD0F4864}"/>
    <cellStyle name="Comma 3 4 2 10" xfId="18102" xr:uid="{7DCC00D2-CA42-4D22-9583-DF0348DCC8CF}"/>
    <cellStyle name="Comma 3 4 2 11" xfId="19992" xr:uid="{1585B4DA-3096-425E-8C19-DA61BAFBBEF2}"/>
    <cellStyle name="Comma 3 4 2 12" xfId="21882" xr:uid="{50FD7B54-F217-4F5E-AEFA-F763EACC33CB}"/>
    <cellStyle name="Comma 3 4 2 13" xfId="23772" xr:uid="{DA696756-649B-46BE-A232-C2F1510E95B6}"/>
    <cellStyle name="Comma 3 4 2 14" xfId="25662" xr:uid="{6623AC98-6990-45E7-BCA2-B571E51E2A9C}"/>
    <cellStyle name="Comma 3 4 2 15" xfId="27552" xr:uid="{8F6F6E9A-D298-4E7D-A49F-1A8796ED4C3A}"/>
    <cellStyle name="Comma 3 4 2 16" xfId="29442" xr:uid="{1254F587-D159-474A-83F2-06BE9C89BB1B}"/>
    <cellStyle name="Comma 3 4 2 17" xfId="31332" xr:uid="{AD9076C3-48A9-4B0D-8595-70DFCA177600}"/>
    <cellStyle name="Comma 3 4 2 18" xfId="33222" xr:uid="{D16288BA-4E7F-4082-B8C6-9A161E87332B}"/>
    <cellStyle name="Comma 3 4 2 19" xfId="35112" xr:uid="{438AE978-E880-4D63-8B15-60DF1F56A794}"/>
    <cellStyle name="Comma 3 4 2 2" xfId="2982" xr:uid="{1B31B26A-6520-4D80-8FC4-F5E204DD9415}"/>
    <cellStyle name="Comma 3 4 2 20" xfId="37002" xr:uid="{D5B4927F-FD1C-46BC-BEB4-33A1DBF67190}"/>
    <cellStyle name="Comma 3 4 2 21" xfId="38892" xr:uid="{6220A51E-09E3-41CD-8B88-96AC64644E7E}"/>
    <cellStyle name="Comma 3 4 2 22" xfId="40783" xr:uid="{D5889B42-FBD9-48A7-BA13-89F166C71180}"/>
    <cellStyle name="Comma 3 4 2 3" xfId="4872" xr:uid="{E4B6F705-8CDC-4872-A1A1-686EFAE478BE}"/>
    <cellStyle name="Comma 3 4 2 4" xfId="6762" xr:uid="{B620C991-49A9-4F0E-AABD-FD205BCF30C7}"/>
    <cellStyle name="Comma 3 4 2 5" xfId="8652" xr:uid="{2A14B69C-C79D-4033-BACB-3A8F3974D6DE}"/>
    <cellStyle name="Comma 3 4 2 6" xfId="10542" xr:uid="{46D74B4D-955E-4361-961A-5D873779CC32}"/>
    <cellStyle name="Comma 3 4 2 7" xfId="12432" xr:uid="{0247CFD8-49B0-4EB3-8D54-150CA53FCD38}"/>
    <cellStyle name="Comma 3 4 2 8" xfId="14322" xr:uid="{A95315EC-30BC-4BFA-ACDB-A1E22A421CBB}"/>
    <cellStyle name="Comma 3 4 2 9" xfId="16212" xr:uid="{70C90C85-8791-4F3A-90F5-B2D848147EFF}"/>
    <cellStyle name="Comma 3 4 20" xfId="32592" xr:uid="{473504C1-281F-415A-85D8-4A593740F22F}"/>
    <cellStyle name="Comma 3 4 21" xfId="34482" xr:uid="{FF94FE3B-EB18-435E-9369-12818BE4D39E}"/>
    <cellStyle name="Comma 3 4 22" xfId="36372" xr:uid="{3DB1DE78-ADFE-429B-AE6C-FFEA453C1883}"/>
    <cellStyle name="Comma 3 4 23" xfId="38262" xr:uid="{914BD53A-02A9-4E85-8FD1-3BF6AFA4DA25}"/>
    <cellStyle name="Comma 3 4 24" xfId="40153" xr:uid="{79E5CB5E-2842-4142-9A87-759E81102D56}"/>
    <cellStyle name="Comma 3 4 3" xfId="1722" xr:uid="{ED5BCDD8-2CE5-41C0-BE2A-D0710BC92642}"/>
    <cellStyle name="Comma 3 4 3 10" xfId="18732" xr:uid="{9D8876B1-B280-421F-A9F0-E127ED8FF5B3}"/>
    <cellStyle name="Comma 3 4 3 11" xfId="20622" xr:uid="{072A670E-4A05-4C35-BFEF-D9A9EB40B4E0}"/>
    <cellStyle name="Comma 3 4 3 12" xfId="22512" xr:uid="{23619E37-64CF-4307-8F8F-4E8EBFB33CAC}"/>
    <cellStyle name="Comma 3 4 3 13" xfId="24402" xr:uid="{CC03E3EF-C6BB-4BDF-B9D4-637EA8E69DAE}"/>
    <cellStyle name="Comma 3 4 3 14" xfId="26292" xr:uid="{B19193CC-0CEE-4706-B5F0-B4F1D6B66578}"/>
    <cellStyle name="Comma 3 4 3 15" xfId="28182" xr:uid="{DD52DF66-F446-4340-81F0-BFCC09F7746D}"/>
    <cellStyle name="Comma 3 4 3 16" xfId="30072" xr:uid="{93114A67-72C1-428D-835F-D9CD7CD7408E}"/>
    <cellStyle name="Comma 3 4 3 17" xfId="31962" xr:uid="{4B0E456A-CE06-43F8-B131-75F55F04AA68}"/>
    <cellStyle name="Comma 3 4 3 18" xfId="33852" xr:uid="{05A98A41-3D82-4B8F-A4BB-2E7DD52744E2}"/>
    <cellStyle name="Comma 3 4 3 19" xfId="35742" xr:uid="{2BBFF093-EA36-4AA4-9D16-09E556092D7D}"/>
    <cellStyle name="Comma 3 4 3 2" xfId="3612" xr:uid="{40A4F4B1-1EB5-4611-AC9E-010983A4E38C}"/>
    <cellStyle name="Comma 3 4 3 20" xfId="37632" xr:uid="{4F309237-577F-457B-A573-3945A954ABC4}"/>
    <cellStyle name="Comma 3 4 3 21" xfId="39522" xr:uid="{1CE7BC2E-6F4E-4F2E-9826-C79580D3096E}"/>
    <cellStyle name="Comma 3 4 3 22" xfId="41413" xr:uid="{608DA41E-9A5F-44AE-95E2-40BF35C26DF1}"/>
    <cellStyle name="Comma 3 4 3 3" xfId="5502" xr:uid="{56355C9B-D833-481B-96AF-FD13233066EC}"/>
    <cellStyle name="Comma 3 4 3 4" xfId="7392" xr:uid="{F6EF5A6A-6800-4E50-995F-9D946745C2A2}"/>
    <cellStyle name="Comma 3 4 3 5" xfId="9282" xr:uid="{AD2ACFDD-04E2-451F-AB8C-83898EF13A29}"/>
    <cellStyle name="Comma 3 4 3 6" xfId="11172" xr:uid="{57C9CD92-6D01-46EE-89C0-C0630DBF51DC}"/>
    <cellStyle name="Comma 3 4 3 7" xfId="13062" xr:uid="{2311A0B5-E0BE-4141-AAF0-514F8AF21031}"/>
    <cellStyle name="Comma 3 4 3 8" xfId="14952" xr:uid="{BAAC2BF4-1CD1-40E9-ABFF-968F76694D9C}"/>
    <cellStyle name="Comma 3 4 3 9" xfId="16842" xr:uid="{963210E4-858F-4B18-8698-81842D5C1D2E}"/>
    <cellStyle name="Comma 3 4 4" xfId="2352" xr:uid="{260E27A9-7FE1-49CD-B234-25273E516168}"/>
    <cellStyle name="Comma 3 4 5" xfId="4242" xr:uid="{CA3DC5CE-B9F2-4E85-8BA4-B00856AD5B58}"/>
    <cellStyle name="Comma 3 4 6" xfId="6132" xr:uid="{EB0E7D71-FFB2-43FD-9E86-9CBA348DA626}"/>
    <cellStyle name="Comma 3 4 7" xfId="8022" xr:uid="{58AB4795-A3FF-4A65-8D9F-50EBCAFCB3DD}"/>
    <cellStyle name="Comma 3 4 8" xfId="9912" xr:uid="{06DF23A4-A6D8-4BFC-AC89-C4AB125DF64C}"/>
    <cellStyle name="Comma 3 4 9" xfId="11802" xr:uid="{E4339DCD-9644-4CEA-BB52-7ADA98F01A45}"/>
    <cellStyle name="Comma 3 5" xfId="672" xr:uid="{CC442DAE-5AE5-4E59-9012-5113C161DAB7}"/>
    <cellStyle name="Comma 3 5 10" xfId="17682" xr:uid="{B8EBEB6E-690A-4F4D-9950-18899ED13E21}"/>
    <cellStyle name="Comma 3 5 11" xfId="19572" xr:uid="{EFA37BD0-1049-4838-8097-B04393CEEB27}"/>
    <cellStyle name="Comma 3 5 12" xfId="21462" xr:uid="{F6BD9898-9AAC-4510-8FB2-BDEA3C49BCA0}"/>
    <cellStyle name="Comma 3 5 13" xfId="23352" xr:uid="{46D7E9E0-6AF3-4B7B-80C3-D6FFD9E3E03E}"/>
    <cellStyle name="Comma 3 5 14" xfId="25242" xr:uid="{FFCF33F5-2DC1-4DDC-AAC5-ABBA846AC128}"/>
    <cellStyle name="Comma 3 5 15" xfId="27132" xr:uid="{1C2E3998-232D-4AF4-ADE5-F37599D021F0}"/>
    <cellStyle name="Comma 3 5 16" xfId="29022" xr:uid="{ECC75815-268E-43AF-BEF7-7C5D1178FAB3}"/>
    <cellStyle name="Comma 3 5 17" xfId="30912" xr:uid="{2FB45A3E-9884-4EC8-8587-D833B3AC54D2}"/>
    <cellStyle name="Comma 3 5 18" xfId="32802" xr:uid="{45C4DF55-048A-49A8-8578-92691D8EA1F3}"/>
    <cellStyle name="Comma 3 5 19" xfId="34692" xr:uid="{B2AC6283-5753-4BDC-A9D9-642D1B28C427}"/>
    <cellStyle name="Comma 3 5 2" xfId="2562" xr:uid="{B885FDCE-9E63-4EE8-9156-FEA7975073F1}"/>
    <cellStyle name="Comma 3 5 20" xfId="36582" xr:uid="{4CAD96B0-07AE-4BC5-8536-AAE66171F278}"/>
    <cellStyle name="Comma 3 5 21" xfId="38472" xr:uid="{D1FB3E68-762A-4DE8-9715-4DDF0E1C21CF}"/>
    <cellStyle name="Comma 3 5 22" xfId="40363" xr:uid="{A8238EB7-38D5-43A2-98CA-B0DDD14DB4DC}"/>
    <cellStyle name="Comma 3 5 3" xfId="4452" xr:uid="{C7F68F36-03D0-4CF8-9283-F4A21165A66E}"/>
    <cellStyle name="Comma 3 5 4" xfId="6342" xr:uid="{9B3A280A-A82D-4359-B104-0EC8640A4B67}"/>
    <cellStyle name="Comma 3 5 5" xfId="8232" xr:uid="{41BD2044-E85C-4E88-82C6-4F38E8ED1CDB}"/>
    <cellStyle name="Comma 3 5 6" xfId="10122" xr:uid="{0940C8EA-C312-48F3-B9AC-EBFDAF2DD2BE}"/>
    <cellStyle name="Comma 3 5 7" xfId="12012" xr:uid="{10E0BC74-A118-454E-A7DB-7517296067EA}"/>
    <cellStyle name="Comma 3 5 8" xfId="13902" xr:uid="{BDCAA797-0219-463B-8E14-063B60243AB4}"/>
    <cellStyle name="Comma 3 5 9" xfId="15792" xr:uid="{333DE238-7503-493E-BD10-06ADF8C89379}"/>
    <cellStyle name="Comma 3 6" xfId="1302" xr:uid="{4A16E4D2-0F0C-4A68-8AF3-06A6B24D0F36}"/>
    <cellStyle name="Comma 3 6 10" xfId="18312" xr:uid="{AD37F036-D007-4B4F-A8A7-F7D873A338E8}"/>
    <cellStyle name="Comma 3 6 11" xfId="20202" xr:uid="{17958ECB-E2A9-404F-BB23-A4137D87003C}"/>
    <cellStyle name="Comma 3 6 12" xfId="22092" xr:uid="{B600037D-CC8D-4CFD-8931-77AFEC54E77A}"/>
    <cellStyle name="Comma 3 6 13" xfId="23982" xr:uid="{7EAD38D5-1F17-4835-8334-E6120751E760}"/>
    <cellStyle name="Comma 3 6 14" xfId="25872" xr:uid="{B471B47E-7F3E-48E5-BA1F-5E285331B6D3}"/>
    <cellStyle name="Comma 3 6 15" xfId="27762" xr:uid="{7A32FE3C-BCBB-4747-8EF6-0E2CF4E3902A}"/>
    <cellStyle name="Comma 3 6 16" xfId="29652" xr:uid="{B5391983-9393-4FCF-8C8D-1BA9FA3DEFB0}"/>
    <cellStyle name="Comma 3 6 17" xfId="31542" xr:uid="{4FABA229-C458-49E4-84CF-EB59E474A558}"/>
    <cellStyle name="Comma 3 6 18" xfId="33432" xr:uid="{971F9C44-97AD-4E91-AD70-748B0EC78459}"/>
    <cellStyle name="Comma 3 6 19" xfId="35322" xr:uid="{77E9242F-93F0-42D8-9BCE-C30A17CAD5C3}"/>
    <cellStyle name="Comma 3 6 2" xfId="3192" xr:uid="{9E3326DB-6E19-4043-9BB1-BA453BB74BF5}"/>
    <cellStyle name="Comma 3 6 20" xfId="37212" xr:uid="{962009F7-18D0-48AE-B991-947B8919335B}"/>
    <cellStyle name="Comma 3 6 21" xfId="39102" xr:uid="{B5ADB698-83B1-4EBE-90BF-364B1D0430E3}"/>
    <cellStyle name="Comma 3 6 22" xfId="40993" xr:uid="{3575BF6D-A781-4105-B84C-07338963B8B5}"/>
    <cellStyle name="Comma 3 6 3" xfId="5082" xr:uid="{970191AB-3375-4E47-8415-D0CB98CC5492}"/>
    <cellStyle name="Comma 3 6 4" xfId="6972" xr:uid="{F4C2CF67-09C5-488D-BFC0-F7CE22EC6BD8}"/>
    <cellStyle name="Comma 3 6 5" xfId="8862" xr:uid="{E39EBE35-AB44-4B1B-80B6-9CF3EA04A4FA}"/>
    <cellStyle name="Comma 3 6 6" xfId="10752" xr:uid="{064A65D1-48BB-4DA1-96B8-81A55A30D767}"/>
    <cellStyle name="Comma 3 6 7" xfId="12642" xr:uid="{6147B060-6F95-4843-8211-8A5F56AF2DA7}"/>
    <cellStyle name="Comma 3 6 8" xfId="14532" xr:uid="{42B4DB91-FF0E-4692-829B-987F287FDB6A}"/>
    <cellStyle name="Comma 3 6 9" xfId="16422" xr:uid="{A6FDFE62-FF48-4D6E-BFEB-3015AF01F2B6}"/>
    <cellStyle name="Comma 3 7" xfId="1932" xr:uid="{B47045BE-6F4F-4B8C-90D9-033A7EBE08F1}"/>
    <cellStyle name="Comma 3 8" xfId="3822" xr:uid="{D1F801FA-887D-4DA7-B8E7-B529444C1534}"/>
    <cellStyle name="Comma 3 9" xfId="5712" xr:uid="{FFF2E323-C6F7-4280-AA0F-E535CC4AC3F0}"/>
    <cellStyle name="Comma 30" xfId="35941" xr:uid="{FD398486-5B5B-4AF4-8BA5-728CE925C7AB}"/>
    <cellStyle name="Comma 31" xfId="37831" xr:uid="{BDA3FF66-A276-42A5-8483-8581D5F63B2B}"/>
    <cellStyle name="Comma 32" xfId="39722" xr:uid="{28D28A1B-308A-4132-AD98-E4947FB98AFD}"/>
    <cellStyle name="Comma 4" xfId="29" xr:uid="{150E5056-C919-4676-9B60-D91EA3C7A175}"/>
    <cellStyle name="Comma 4 10" xfId="7611" xr:uid="{B310E594-6F3E-4E1E-9264-469244CF9AC8}"/>
    <cellStyle name="Comma 4 11" xfId="9501" xr:uid="{CC090631-8898-402C-ABD2-9EBC0CABF09B}"/>
    <cellStyle name="Comma 4 12" xfId="11391" xr:uid="{A63C3B2C-BE7D-4E64-BF9D-899ED69FC869}"/>
    <cellStyle name="Comma 4 13" xfId="13281" xr:uid="{B064BFF9-B911-479A-91CE-801ADBE4B864}"/>
    <cellStyle name="Comma 4 14" xfId="15171" xr:uid="{54C382DB-2240-42D1-9673-7C5F41329EBE}"/>
    <cellStyle name="Comma 4 15" xfId="17061" xr:uid="{1B768146-5ECD-4536-82E2-6F92B9355EC0}"/>
    <cellStyle name="Comma 4 16" xfId="18951" xr:uid="{A36EB4F4-7C78-435A-98F9-C576D83C5992}"/>
    <cellStyle name="Comma 4 17" xfId="20841" xr:uid="{37D68006-CCFB-4660-8F2E-950473F41AE1}"/>
    <cellStyle name="Comma 4 18" xfId="22731" xr:uid="{A567028C-5DDF-4602-ACE0-973566563BB0}"/>
    <cellStyle name="Comma 4 19" xfId="24621" xr:uid="{63680C7D-C5EF-41FF-A71A-C933699A49DC}"/>
    <cellStyle name="Comma 4 2" xfId="156" xr:uid="{822CD34B-08F8-43B4-A445-6862659FC6BC}"/>
    <cellStyle name="Comma 4 2 10" xfId="9606" xr:uid="{8BB5FF9D-3A25-492C-B5E5-0C335F564629}"/>
    <cellStyle name="Comma 4 2 11" xfId="11496" xr:uid="{AE5ECF83-BCB2-4390-9920-CF161CB0A9E6}"/>
    <cellStyle name="Comma 4 2 12" xfId="13386" xr:uid="{A91E8019-AF9B-41CC-8044-AE616A175C8E}"/>
    <cellStyle name="Comma 4 2 13" xfId="15276" xr:uid="{FEED3177-1C62-4BF0-868B-81675FD7578D}"/>
    <cellStyle name="Comma 4 2 14" xfId="17166" xr:uid="{27E4C2F5-4B45-444A-8C2E-889EA3708918}"/>
    <cellStyle name="Comma 4 2 15" xfId="19056" xr:uid="{7C365034-BD7B-4D68-B276-109850D5F6C1}"/>
    <cellStyle name="Comma 4 2 16" xfId="20946" xr:uid="{8882A84B-27E5-4655-8447-D8B1697F987B}"/>
    <cellStyle name="Comma 4 2 17" xfId="22836" xr:uid="{D72A5DDA-3CFF-4D2B-80D7-648449285A88}"/>
    <cellStyle name="Comma 4 2 18" xfId="24726" xr:uid="{003E1B29-C7AB-46DD-9512-210893D788A7}"/>
    <cellStyle name="Comma 4 2 19" xfId="26616" xr:uid="{CDA7A5DD-99D8-40F4-B5FD-35B0A7E03621}"/>
    <cellStyle name="Comma 4 2 2" xfId="366" xr:uid="{AB74BD21-B851-4BBC-A5BB-78ABB8101804}"/>
    <cellStyle name="Comma 4 2 2 10" xfId="13596" xr:uid="{1965816E-3C0E-482B-85F3-BC5618E78101}"/>
    <cellStyle name="Comma 4 2 2 11" xfId="15486" xr:uid="{76CD4E3B-AA49-4B84-9BAE-5ADFD3420242}"/>
    <cellStyle name="Comma 4 2 2 12" xfId="17376" xr:uid="{763FCDDB-E3C0-49E8-9B1D-E6CE36601D64}"/>
    <cellStyle name="Comma 4 2 2 13" xfId="19266" xr:uid="{7A7B5785-2A03-4202-A5BA-FEA5B9C5298A}"/>
    <cellStyle name="Comma 4 2 2 14" xfId="21156" xr:uid="{B21A0DDA-257C-4BC8-9BFA-1FC5C900A5D6}"/>
    <cellStyle name="Comma 4 2 2 15" xfId="23046" xr:uid="{3357201D-C9B7-4B15-B454-15F9B57A820B}"/>
    <cellStyle name="Comma 4 2 2 16" xfId="24936" xr:uid="{858F61E1-2148-43AB-80CD-40C4BB0C219C}"/>
    <cellStyle name="Comma 4 2 2 17" xfId="26826" xr:uid="{C578FB02-01A3-4F6D-A144-1D1CE87A06E5}"/>
    <cellStyle name="Comma 4 2 2 18" xfId="28716" xr:uid="{89B94251-67DE-4C28-A659-ACAD2ACC1EE5}"/>
    <cellStyle name="Comma 4 2 2 19" xfId="30606" xr:uid="{B2DB4520-73F4-44C9-B8D6-10988F82B4F7}"/>
    <cellStyle name="Comma 4 2 2 2" xfId="996" xr:uid="{EF37480A-78D6-42FF-B77B-6A208542E522}"/>
    <cellStyle name="Comma 4 2 2 2 10" xfId="18006" xr:uid="{1C6D7333-B4D5-49F2-8440-214CE3FE5D87}"/>
    <cellStyle name="Comma 4 2 2 2 11" xfId="19896" xr:uid="{24CBA7AB-AD47-42AB-B9BC-83A3D315CDD5}"/>
    <cellStyle name="Comma 4 2 2 2 12" xfId="21786" xr:uid="{B63B2123-FC3F-4166-9980-29257C995F17}"/>
    <cellStyle name="Comma 4 2 2 2 13" xfId="23676" xr:uid="{7C84E007-D60A-487B-81D4-78AC7FA8994D}"/>
    <cellStyle name="Comma 4 2 2 2 14" xfId="25566" xr:uid="{1B266BE0-A8DD-4156-8370-C544205065D7}"/>
    <cellStyle name="Comma 4 2 2 2 15" xfId="27456" xr:uid="{A60AF82F-C192-488A-9472-52EAD4623263}"/>
    <cellStyle name="Comma 4 2 2 2 16" xfId="29346" xr:uid="{D694B41F-F745-46CC-9E63-097033BA463D}"/>
    <cellStyle name="Comma 4 2 2 2 17" xfId="31236" xr:uid="{826D3207-B225-4111-8336-D47E7562BECC}"/>
    <cellStyle name="Comma 4 2 2 2 18" xfId="33126" xr:uid="{2E00BC68-A596-4701-9E48-2FC6F7C39B64}"/>
    <cellStyle name="Comma 4 2 2 2 19" xfId="35016" xr:uid="{6840CF93-A957-44ED-BE80-03E7FC2755D2}"/>
    <cellStyle name="Comma 4 2 2 2 2" xfId="2886" xr:uid="{38F5FDE1-9FFF-410E-8F40-5546A83E81ED}"/>
    <cellStyle name="Comma 4 2 2 2 20" xfId="36906" xr:uid="{3697266E-BBA2-488B-A35D-61F194D0DD5E}"/>
    <cellStyle name="Comma 4 2 2 2 21" xfId="38796" xr:uid="{402C44AB-435D-499A-86A9-5B5FA34783EC}"/>
    <cellStyle name="Comma 4 2 2 2 22" xfId="40687" xr:uid="{A1534184-807D-4D05-864B-302F77BA2363}"/>
    <cellStyle name="Comma 4 2 2 2 3" xfId="4776" xr:uid="{FE97F1A4-C403-45EF-9B69-D364617E95D0}"/>
    <cellStyle name="Comma 4 2 2 2 4" xfId="6666" xr:uid="{4B6D8CC4-4E2A-4781-A608-4AE0A86C34CB}"/>
    <cellStyle name="Comma 4 2 2 2 5" xfId="8556" xr:uid="{287CEF99-150A-4FA1-9D80-CFF5FFE65320}"/>
    <cellStyle name="Comma 4 2 2 2 6" xfId="10446" xr:uid="{20047E81-8B19-465E-88A9-32EB253D8FC2}"/>
    <cellStyle name="Comma 4 2 2 2 7" xfId="12336" xr:uid="{44977469-0642-4C13-B121-5917013EBE54}"/>
    <cellStyle name="Comma 4 2 2 2 8" xfId="14226" xr:uid="{E63DAAED-A4C1-4463-A1DC-DEA706071492}"/>
    <cellStyle name="Comma 4 2 2 2 9" xfId="16116" xr:uid="{C211DB90-ACD4-4FB4-92DF-7A102F2E27D1}"/>
    <cellStyle name="Comma 4 2 2 20" xfId="32496" xr:uid="{EC75F392-11D9-4067-AE40-B5DBC052C3E2}"/>
    <cellStyle name="Comma 4 2 2 21" xfId="34386" xr:uid="{353B0D1E-6F82-4C1B-98FE-ACD8DD33FB5E}"/>
    <cellStyle name="Comma 4 2 2 22" xfId="36276" xr:uid="{4C428D4D-CC17-4C38-92E6-28A1E7C002FE}"/>
    <cellStyle name="Comma 4 2 2 23" xfId="38166" xr:uid="{0203C74E-CCE3-4987-A21F-163F9BE36BC9}"/>
    <cellStyle name="Comma 4 2 2 24" xfId="40057" xr:uid="{2B9FD944-9924-403A-84EB-ADD52E6C77EC}"/>
    <cellStyle name="Comma 4 2 2 3" xfId="1626" xr:uid="{85CE7E81-26AF-4E8B-AD57-C56D103C3217}"/>
    <cellStyle name="Comma 4 2 2 3 10" xfId="18636" xr:uid="{6CADF5B8-BB98-4A34-8894-96016DC905B9}"/>
    <cellStyle name="Comma 4 2 2 3 11" xfId="20526" xr:uid="{5618574F-5DE5-42DC-AFFE-9D26536BCECE}"/>
    <cellStyle name="Comma 4 2 2 3 12" xfId="22416" xr:uid="{352C6460-1101-4950-9CF3-1F9D5A47B09F}"/>
    <cellStyle name="Comma 4 2 2 3 13" xfId="24306" xr:uid="{38B4AEED-FB0F-43BE-80F1-751E1FF91329}"/>
    <cellStyle name="Comma 4 2 2 3 14" xfId="26196" xr:uid="{DF05FD4F-B114-41C5-8FBF-38D32FFC19C4}"/>
    <cellStyle name="Comma 4 2 2 3 15" xfId="28086" xr:uid="{2DB219D7-A45C-437C-8983-C6F11F8FD76C}"/>
    <cellStyle name="Comma 4 2 2 3 16" xfId="29976" xr:uid="{8257431B-ED89-4F65-86AB-BEFCD2BE567B}"/>
    <cellStyle name="Comma 4 2 2 3 17" xfId="31866" xr:uid="{1393DE69-E1A4-40D8-85B0-6FACDE281A6D}"/>
    <cellStyle name="Comma 4 2 2 3 18" xfId="33756" xr:uid="{47CE1C1A-3E28-470B-BCD4-01F90DCFF037}"/>
    <cellStyle name="Comma 4 2 2 3 19" xfId="35646" xr:uid="{066D8AFC-AC82-47B6-94A0-D4723019384F}"/>
    <cellStyle name="Comma 4 2 2 3 2" xfId="3516" xr:uid="{408211F1-8690-4955-A7D9-A4C8D601DE8F}"/>
    <cellStyle name="Comma 4 2 2 3 20" xfId="37536" xr:uid="{C905A68D-662C-4FA4-B0C8-1A26D5AD3F0C}"/>
    <cellStyle name="Comma 4 2 2 3 21" xfId="39426" xr:uid="{7087FCE1-0846-4D47-B27A-46B498F943D5}"/>
    <cellStyle name="Comma 4 2 2 3 22" xfId="41317" xr:uid="{1568F350-D5E4-40F3-8DC4-9F79CCF2B351}"/>
    <cellStyle name="Comma 4 2 2 3 3" xfId="5406" xr:uid="{7104F95A-379E-488C-A905-124053EA73CA}"/>
    <cellStyle name="Comma 4 2 2 3 4" xfId="7296" xr:uid="{55CB4436-8D2D-4259-BE78-046C13314960}"/>
    <cellStyle name="Comma 4 2 2 3 5" xfId="9186" xr:uid="{13DB2959-06DD-4378-AD2E-AF2D0BA89AB4}"/>
    <cellStyle name="Comma 4 2 2 3 6" xfId="11076" xr:uid="{606D65D4-B3BE-4BF1-8C5E-CE74EBD3148D}"/>
    <cellStyle name="Comma 4 2 2 3 7" xfId="12966" xr:uid="{7ECD669A-977E-4378-96FC-1CD773ECA593}"/>
    <cellStyle name="Comma 4 2 2 3 8" xfId="14856" xr:uid="{DE3D36F4-88A7-487D-A966-D15E43DEC683}"/>
    <cellStyle name="Comma 4 2 2 3 9" xfId="16746" xr:uid="{C8854894-8CF9-4CCF-8466-674863DDCD9A}"/>
    <cellStyle name="Comma 4 2 2 4" xfId="2256" xr:uid="{9F45B7A9-08E7-4C69-9EAE-902426244650}"/>
    <cellStyle name="Comma 4 2 2 5" xfId="4146" xr:uid="{590577BD-FF28-4417-A2B7-2CF7472ECDD6}"/>
    <cellStyle name="Comma 4 2 2 6" xfId="6036" xr:uid="{BEEDC5B1-4766-4194-8E7D-247F3C002E2C}"/>
    <cellStyle name="Comma 4 2 2 7" xfId="7926" xr:uid="{6E4A9028-8060-4A57-83F7-827552EFAF0E}"/>
    <cellStyle name="Comma 4 2 2 8" xfId="9816" xr:uid="{3A71571D-F746-4A03-8C8B-371BC854BDF6}"/>
    <cellStyle name="Comma 4 2 2 9" xfId="11706" xr:uid="{4A1905C0-F76C-4594-88ED-4AE6B3495779}"/>
    <cellStyle name="Comma 4 2 20" xfId="28506" xr:uid="{F2CC0A45-30C9-474B-AE7F-B2778FCF00AF}"/>
    <cellStyle name="Comma 4 2 21" xfId="30396" xr:uid="{D8272718-BA7F-4141-9F3B-0B69DD420E2B}"/>
    <cellStyle name="Comma 4 2 22" xfId="32286" xr:uid="{8DC0D39D-172F-47EC-9D6D-9AA70E7570DF}"/>
    <cellStyle name="Comma 4 2 23" xfId="34176" xr:uid="{E866FF0F-FBF4-4FB2-BC8D-84DDCF626C4E}"/>
    <cellStyle name="Comma 4 2 24" xfId="36066" xr:uid="{9D8F717E-0944-4FD2-B640-57EB63A8D42B}"/>
    <cellStyle name="Comma 4 2 25" xfId="37956" xr:uid="{BE0C9434-F28D-40AF-AAD1-8B443EAEED97}"/>
    <cellStyle name="Comma 4 2 26" xfId="39847" xr:uid="{C6908710-1C3D-4A25-8DDB-15DFA065C9F6}"/>
    <cellStyle name="Comma 4 2 3" xfId="576" xr:uid="{CCFB98AA-9F23-404F-BD70-EE36ED5ACAFF}"/>
    <cellStyle name="Comma 4 2 3 10" xfId="13806" xr:uid="{83DE24F8-C228-49B6-B5D4-B2C5E868AFE9}"/>
    <cellStyle name="Comma 4 2 3 11" xfId="15696" xr:uid="{BB874FD2-5370-4E6D-9D15-445401FAEF93}"/>
    <cellStyle name="Comma 4 2 3 12" xfId="17586" xr:uid="{192B0822-B6F9-41BD-97DB-1D6D439298E1}"/>
    <cellStyle name="Comma 4 2 3 13" xfId="19476" xr:uid="{CAE4B41C-AD06-4573-B640-0764458A1B1C}"/>
    <cellStyle name="Comma 4 2 3 14" xfId="21366" xr:uid="{4D6AD905-95E8-46B6-BC49-8D08351582BE}"/>
    <cellStyle name="Comma 4 2 3 15" xfId="23256" xr:uid="{0F9DB80E-42D5-4FC6-9D5D-6E90146407AA}"/>
    <cellStyle name="Comma 4 2 3 16" xfId="25146" xr:uid="{34D89C12-A8BD-42B8-A5B7-5C7BCD3BB2C6}"/>
    <cellStyle name="Comma 4 2 3 17" xfId="27036" xr:uid="{60CF2D6A-81DF-4BC2-9931-4ADBB1A03154}"/>
    <cellStyle name="Comma 4 2 3 18" xfId="28926" xr:uid="{8C6D69DC-57D3-45AA-849D-0BE44D688399}"/>
    <cellStyle name="Comma 4 2 3 19" xfId="30816" xr:uid="{89F0EBD2-4416-477A-BEE9-E369293EAE24}"/>
    <cellStyle name="Comma 4 2 3 2" xfId="1206" xr:uid="{117CB158-3718-45CD-8015-22529F37C0D2}"/>
    <cellStyle name="Comma 4 2 3 2 10" xfId="18216" xr:uid="{4FCD60D8-A8EB-4E13-936E-56B5C38D0EA2}"/>
    <cellStyle name="Comma 4 2 3 2 11" xfId="20106" xr:uid="{6CDB3FB5-DFD8-4133-AE9F-501F60DED076}"/>
    <cellStyle name="Comma 4 2 3 2 12" xfId="21996" xr:uid="{701B33A1-5183-43CD-B835-5442F4E2D070}"/>
    <cellStyle name="Comma 4 2 3 2 13" xfId="23886" xr:uid="{D6F03974-C56C-4E00-9DA6-09328F65A36F}"/>
    <cellStyle name="Comma 4 2 3 2 14" xfId="25776" xr:uid="{57843C12-3BCD-4633-A67E-12D81620B651}"/>
    <cellStyle name="Comma 4 2 3 2 15" xfId="27666" xr:uid="{D5F2BF4D-45CF-4C13-9455-E8A7EE33E013}"/>
    <cellStyle name="Comma 4 2 3 2 16" xfId="29556" xr:uid="{FFA44139-D6E1-463C-966A-7A918031AF3C}"/>
    <cellStyle name="Comma 4 2 3 2 17" xfId="31446" xr:uid="{5612A347-4772-4BB0-95DF-BDA6789CB778}"/>
    <cellStyle name="Comma 4 2 3 2 18" xfId="33336" xr:uid="{D79617A7-6344-417E-ACAE-45C6A775A74E}"/>
    <cellStyle name="Comma 4 2 3 2 19" xfId="35226" xr:uid="{AE90E80D-0E51-4AF8-A2BC-703CA3A911D4}"/>
    <cellStyle name="Comma 4 2 3 2 2" xfId="3096" xr:uid="{22F6CAAB-0200-47A2-BFF4-19E0B72181C3}"/>
    <cellStyle name="Comma 4 2 3 2 20" xfId="37116" xr:uid="{AA26D6A6-A1A1-4220-9524-8DB1E5652A8B}"/>
    <cellStyle name="Comma 4 2 3 2 21" xfId="39006" xr:uid="{67E19DB1-CEA5-42B2-96FC-129B23728317}"/>
    <cellStyle name="Comma 4 2 3 2 22" xfId="40897" xr:uid="{8B902C60-A7D1-45A2-986A-9A63ACADE533}"/>
    <cellStyle name="Comma 4 2 3 2 3" xfId="4986" xr:uid="{17EB53BC-59F8-4336-9B21-A3A2E9B9289A}"/>
    <cellStyle name="Comma 4 2 3 2 4" xfId="6876" xr:uid="{46F0C427-D21D-43A4-BABA-DCE18F7F299E}"/>
    <cellStyle name="Comma 4 2 3 2 5" xfId="8766" xr:uid="{3BEB0F1C-FD1C-4DF6-994E-E9C537B1E6FF}"/>
    <cellStyle name="Comma 4 2 3 2 6" xfId="10656" xr:uid="{1E9A2D19-4C07-433D-970C-CDB91F7E4132}"/>
    <cellStyle name="Comma 4 2 3 2 7" xfId="12546" xr:uid="{7E1421DF-178C-4F5E-B0B5-27C908100E2B}"/>
    <cellStyle name="Comma 4 2 3 2 8" xfId="14436" xr:uid="{20A3BD8E-8732-455C-85CC-00690A80749D}"/>
    <cellStyle name="Comma 4 2 3 2 9" xfId="16326" xr:uid="{990A6AB6-FAD5-4D5F-A853-9B4B93719D74}"/>
    <cellStyle name="Comma 4 2 3 20" xfId="32706" xr:uid="{85F951CF-0946-494C-8A30-824C75DACD8A}"/>
    <cellStyle name="Comma 4 2 3 21" xfId="34596" xr:uid="{90407A17-FF41-4F27-99F6-A61402F89AB7}"/>
    <cellStyle name="Comma 4 2 3 22" xfId="36486" xr:uid="{981549C5-FA41-4ECD-A8E3-1E95EC281E11}"/>
    <cellStyle name="Comma 4 2 3 23" xfId="38376" xr:uid="{EB366AA5-3B50-4B3D-B625-DDBBEFA5FA5A}"/>
    <cellStyle name="Comma 4 2 3 24" xfId="40267" xr:uid="{60E5100A-997A-4B2B-AE7B-5BC5609C84CE}"/>
    <cellStyle name="Comma 4 2 3 3" xfId="1836" xr:uid="{356C7452-BBA3-449A-8C80-DF0BF5A3A92F}"/>
    <cellStyle name="Comma 4 2 3 3 10" xfId="18846" xr:uid="{EF291F96-F70B-42DA-BD91-8D0E84A2E15B}"/>
    <cellStyle name="Comma 4 2 3 3 11" xfId="20736" xr:uid="{9AEB43AB-6CF6-4B70-82CB-DA814C71C066}"/>
    <cellStyle name="Comma 4 2 3 3 12" xfId="22626" xr:uid="{3FC2A32A-3038-4DB4-8966-DDE36E5E9F80}"/>
    <cellStyle name="Comma 4 2 3 3 13" xfId="24516" xr:uid="{D55691C8-85E3-4AA2-B81D-62D0A89B611D}"/>
    <cellStyle name="Comma 4 2 3 3 14" xfId="26406" xr:uid="{FB00E52B-0CA2-4895-B072-B1EB64805A5F}"/>
    <cellStyle name="Comma 4 2 3 3 15" xfId="28296" xr:uid="{C406A202-5866-4204-8FF9-F0D9CB736D22}"/>
    <cellStyle name="Comma 4 2 3 3 16" xfId="30186" xr:uid="{F06B1655-DE6D-45F4-8A0D-26DD346F3798}"/>
    <cellStyle name="Comma 4 2 3 3 17" xfId="32076" xr:uid="{43D0E8E2-B273-4D07-8121-67A091D11BA4}"/>
    <cellStyle name="Comma 4 2 3 3 18" xfId="33966" xr:uid="{9FB2072C-D84B-413A-AA60-C1209466997D}"/>
    <cellStyle name="Comma 4 2 3 3 19" xfId="35856" xr:uid="{454FEBFE-D0B8-4D3C-A3D4-AAF8FC0F448F}"/>
    <cellStyle name="Comma 4 2 3 3 2" xfId="3726" xr:uid="{CA51BA1A-8270-4850-A107-1D29F6726D57}"/>
    <cellStyle name="Comma 4 2 3 3 20" xfId="37746" xr:uid="{7F8B0A25-5BE9-44A2-B4AE-FBB6405A59FB}"/>
    <cellStyle name="Comma 4 2 3 3 21" xfId="39636" xr:uid="{240D625D-2738-46C9-A6D2-CCC34D63171C}"/>
    <cellStyle name="Comma 4 2 3 3 22" xfId="41527" xr:uid="{35BF2B13-7C3D-4E36-A821-7288AAA67F8B}"/>
    <cellStyle name="Comma 4 2 3 3 3" xfId="5616" xr:uid="{1DD3FA2B-19C6-4DA5-854C-C0C5BFD9610B}"/>
    <cellStyle name="Comma 4 2 3 3 4" xfId="7506" xr:uid="{8D0B6881-AEE5-4895-B81F-1B1550AD7DAE}"/>
    <cellStyle name="Comma 4 2 3 3 5" xfId="9396" xr:uid="{EE5BECAA-87B1-4DEF-8608-278D6505E203}"/>
    <cellStyle name="Comma 4 2 3 3 6" xfId="11286" xr:uid="{BE36308E-0D96-4ECD-A510-C53EA5ADB2AC}"/>
    <cellStyle name="Comma 4 2 3 3 7" xfId="13176" xr:uid="{D800560D-9135-465C-BCC5-10F9F0B59A44}"/>
    <cellStyle name="Comma 4 2 3 3 8" xfId="15066" xr:uid="{1DA9566F-C8F7-4A70-8D2B-8BF48F4CAD8C}"/>
    <cellStyle name="Comma 4 2 3 3 9" xfId="16956" xr:uid="{CC1D37A2-CB51-48FB-91F5-6B712E87F4A2}"/>
    <cellStyle name="Comma 4 2 3 4" xfId="2466" xr:uid="{3C3AA1D5-257B-475D-8450-3CAA868A865A}"/>
    <cellStyle name="Comma 4 2 3 5" xfId="4356" xr:uid="{58C1484E-888C-449A-8E2F-987EC95CB58E}"/>
    <cellStyle name="Comma 4 2 3 6" xfId="6246" xr:uid="{17F048CC-6A1F-4D35-A889-97A0E6CA725B}"/>
    <cellStyle name="Comma 4 2 3 7" xfId="8136" xr:uid="{61CF7633-FE33-40F4-B5F8-62BD2ADFD551}"/>
    <cellStyle name="Comma 4 2 3 8" xfId="10026" xr:uid="{3A73CB95-9FA2-4334-A0C1-F80F0A2BFE31}"/>
    <cellStyle name="Comma 4 2 3 9" xfId="11916" xr:uid="{22E55826-ED1C-4F59-A5D1-D8FCDBCE64B2}"/>
    <cellStyle name="Comma 4 2 4" xfId="786" xr:uid="{09C2A4D8-44D4-4740-99B4-427523ECCEEF}"/>
    <cellStyle name="Comma 4 2 4 10" xfId="17796" xr:uid="{324309B4-01E9-4647-8092-48E8A8D29205}"/>
    <cellStyle name="Comma 4 2 4 11" xfId="19686" xr:uid="{8B7B25C1-1262-43D9-A1F0-7EAAA21FD3CD}"/>
    <cellStyle name="Comma 4 2 4 12" xfId="21576" xr:uid="{BBACE545-538A-48D6-88DC-1797E2EF3ABE}"/>
    <cellStyle name="Comma 4 2 4 13" xfId="23466" xr:uid="{B67EF44E-FB83-4D38-870A-256C59437822}"/>
    <cellStyle name="Comma 4 2 4 14" xfId="25356" xr:uid="{9D6B85A7-2D5C-4C29-9C10-16D8D7D5657A}"/>
    <cellStyle name="Comma 4 2 4 15" xfId="27246" xr:uid="{A2507D9D-CB94-4E68-AFDF-19D78E4D68B6}"/>
    <cellStyle name="Comma 4 2 4 16" xfId="29136" xr:uid="{ADA2FB48-DFDB-48E0-912A-78A92F8C134A}"/>
    <cellStyle name="Comma 4 2 4 17" xfId="31026" xr:uid="{54DD7C60-403E-49BE-A7F7-6FB245000335}"/>
    <cellStyle name="Comma 4 2 4 18" xfId="32916" xr:uid="{A1044857-24F0-4EDB-B393-C6A97638AD81}"/>
    <cellStyle name="Comma 4 2 4 19" xfId="34806" xr:uid="{79B1FD2B-D2C0-4F7F-88B9-921EB766BE24}"/>
    <cellStyle name="Comma 4 2 4 2" xfId="2676" xr:uid="{67C530B1-C8BC-4D0E-A488-A2C7B8FEE04F}"/>
    <cellStyle name="Comma 4 2 4 20" xfId="36696" xr:uid="{406A5FD2-079E-4DAE-96AB-A26E7671DD53}"/>
    <cellStyle name="Comma 4 2 4 21" xfId="38586" xr:uid="{EFDAF6C5-3895-484A-834C-5FB27EBBF7B4}"/>
    <cellStyle name="Comma 4 2 4 22" xfId="40477" xr:uid="{4418F2FC-A327-485B-843E-E66B96D1DC02}"/>
    <cellStyle name="Comma 4 2 4 3" xfId="4566" xr:uid="{8D513958-A17D-4730-B021-1E4DD32DD47C}"/>
    <cellStyle name="Comma 4 2 4 4" xfId="6456" xr:uid="{DF81C8A7-24AE-4899-B7AF-3F936508EBAD}"/>
    <cellStyle name="Comma 4 2 4 5" xfId="8346" xr:uid="{929CB743-72B7-4FD0-8A80-29441055D3DF}"/>
    <cellStyle name="Comma 4 2 4 6" xfId="10236" xr:uid="{9BEFBC53-DB1E-4E50-A61B-ADE20B22A8DD}"/>
    <cellStyle name="Comma 4 2 4 7" xfId="12126" xr:uid="{057426FC-0DD9-416A-8BAC-B68E4B14F5EF}"/>
    <cellStyle name="Comma 4 2 4 8" xfId="14016" xr:uid="{308C4715-660D-4E97-8EEA-B4217639E0AD}"/>
    <cellStyle name="Comma 4 2 4 9" xfId="15906" xr:uid="{FCAD9891-A39D-41B4-905D-6382F80F0316}"/>
    <cellStyle name="Comma 4 2 5" xfId="1416" xr:uid="{744F8ADD-200B-40F4-AA33-6E90386A0C1D}"/>
    <cellStyle name="Comma 4 2 5 10" xfId="18426" xr:uid="{4206EB69-4F06-4344-ABFD-4DD67E77B547}"/>
    <cellStyle name="Comma 4 2 5 11" xfId="20316" xr:uid="{7C4483E4-0DF2-4402-B041-AA1AB822AD49}"/>
    <cellStyle name="Comma 4 2 5 12" xfId="22206" xr:uid="{E33C5191-79B8-49E4-8C8B-FBB05CDAACB4}"/>
    <cellStyle name="Comma 4 2 5 13" xfId="24096" xr:uid="{9A25E466-9BC9-455C-9CF2-10A627334ADA}"/>
    <cellStyle name="Comma 4 2 5 14" xfId="25986" xr:uid="{A8E4E33B-B8CD-4CA5-BBD5-0CAA811B8640}"/>
    <cellStyle name="Comma 4 2 5 15" xfId="27876" xr:uid="{9138755F-304C-443B-82D7-3DF4699ECA19}"/>
    <cellStyle name="Comma 4 2 5 16" xfId="29766" xr:uid="{2298C18F-E161-4A7E-8113-37EAAC705FFB}"/>
    <cellStyle name="Comma 4 2 5 17" xfId="31656" xr:uid="{953272FF-7CBC-45E5-8453-FA45F9A7CA5C}"/>
    <cellStyle name="Comma 4 2 5 18" xfId="33546" xr:uid="{E8251A2B-ABFC-4034-A148-C06E5BA6AF33}"/>
    <cellStyle name="Comma 4 2 5 19" xfId="35436" xr:uid="{63F27FF7-1E01-4EC5-B0B0-4340D04D7F0C}"/>
    <cellStyle name="Comma 4 2 5 2" xfId="3306" xr:uid="{C0D0E459-E920-4FCA-BA00-049F7B74BE03}"/>
    <cellStyle name="Comma 4 2 5 20" xfId="37326" xr:uid="{B041945D-6BCC-4ABF-8DB2-A3F5CE29DC88}"/>
    <cellStyle name="Comma 4 2 5 21" xfId="39216" xr:uid="{97814645-4018-4188-A056-DBBA0BF275FF}"/>
    <cellStyle name="Comma 4 2 5 22" xfId="41107" xr:uid="{7D24C346-87B3-42CD-AE43-6D56D55FABB4}"/>
    <cellStyle name="Comma 4 2 5 3" xfId="5196" xr:uid="{5E2123DB-39C2-41BA-888C-AC1DCC8F158A}"/>
    <cellStyle name="Comma 4 2 5 4" xfId="7086" xr:uid="{CB0A4AE4-5D4B-4DE4-9F6D-CB60781EBD19}"/>
    <cellStyle name="Comma 4 2 5 5" xfId="8976" xr:uid="{A26B808B-59CB-46A9-A0F0-A2E7FEC0D50B}"/>
    <cellStyle name="Comma 4 2 5 6" xfId="10866" xr:uid="{3703351C-AFEF-4540-A80C-3DA57D12E668}"/>
    <cellStyle name="Comma 4 2 5 7" xfId="12756" xr:uid="{28311848-CDA3-45A1-A1EA-CF90D6E0AEFC}"/>
    <cellStyle name="Comma 4 2 5 8" xfId="14646" xr:uid="{CF41EA3C-93B8-4AB1-9EA2-43B33FE1E71D}"/>
    <cellStyle name="Comma 4 2 5 9" xfId="16536" xr:uid="{6B313338-2018-4C5F-AC5F-382A61EF5054}"/>
    <cellStyle name="Comma 4 2 6" xfId="2046" xr:uid="{62116D60-7520-4AFE-A30F-9BF5BB04088D}"/>
    <cellStyle name="Comma 4 2 7" xfId="3936" xr:uid="{AD95B485-F724-4EA3-838E-63C16CEFCA24}"/>
    <cellStyle name="Comma 4 2 8" xfId="5826" xr:uid="{535C2ABB-EF83-447B-9288-90D6F12F0049}"/>
    <cellStyle name="Comma 4 2 9" xfId="7716" xr:uid="{339A1371-7CAD-4E74-B4C1-AE5BE761A419}"/>
    <cellStyle name="Comma 4 20" xfId="26511" xr:uid="{67BD533C-5420-4F20-893C-686A59474788}"/>
    <cellStyle name="Comma 4 21" xfId="28401" xr:uid="{5B0CD75F-C68A-4D93-9242-B9FF02B40840}"/>
    <cellStyle name="Comma 4 22" xfId="30291" xr:uid="{6FA202B9-055F-4722-ABBD-F64F8685433B}"/>
    <cellStyle name="Comma 4 23" xfId="32181" xr:uid="{211FA3BB-C8C7-4860-B435-3D0DE34B57AF}"/>
    <cellStyle name="Comma 4 24" xfId="34071" xr:uid="{9C358768-393A-44FF-A7C1-ABDEE6534567}"/>
    <cellStyle name="Comma 4 25" xfId="35961" xr:uid="{191DB004-E4CF-4412-B3CC-2385613B0366}"/>
    <cellStyle name="Comma 4 26" xfId="37851" xr:uid="{AAB7C10F-4012-42D5-AFD4-82839F94011D}"/>
    <cellStyle name="Comma 4 27" xfId="39742" xr:uid="{9B7F1623-6C27-4E2D-AE37-D0C9FB5514C8}"/>
    <cellStyle name="Comma 4 3" xfId="261" xr:uid="{89E4D44F-CDA0-4C32-AED8-712A68B5B6B0}"/>
    <cellStyle name="Comma 4 3 10" xfId="13491" xr:uid="{748889B2-72CE-4A37-89FD-06DA1DA0C050}"/>
    <cellStyle name="Comma 4 3 11" xfId="15381" xr:uid="{C03E9C11-B697-485C-8975-48305745BA78}"/>
    <cellStyle name="Comma 4 3 12" xfId="17271" xr:uid="{9C5B91A9-E9F8-4C39-B5A6-213745D817CF}"/>
    <cellStyle name="Comma 4 3 13" xfId="19161" xr:uid="{CA4736E8-DB97-42AE-9CAC-BFD6B26E2E9E}"/>
    <cellStyle name="Comma 4 3 14" xfId="21051" xr:uid="{C9D5C3B8-926D-4B10-8074-9D52F48910B8}"/>
    <cellStyle name="Comma 4 3 15" xfId="22941" xr:uid="{EF9DF998-211F-4C8A-97BE-BF687FD24E41}"/>
    <cellStyle name="Comma 4 3 16" xfId="24831" xr:uid="{06B40AA8-F6B3-4853-ABBF-0A5A7C95ED38}"/>
    <cellStyle name="Comma 4 3 17" xfId="26721" xr:uid="{5C70B154-E691-49D8-B8D1-24DE3C05FB39}"/>
    <cellStyle name="Comma 4 3 18" xfId="28611" xr:uid="{A20FA78B-0B85-4269-980D-36479750BE07}"/>
    <cellStyle name="Comma 4 3 19" xfId="30501" xr:uid="{A783C67C-FB84-4E34-91AF-59E79172797F}"/>
    <cellStyle name="Comma 4 3 2" xfId="891" xr:uid="{0C32E763-E507-442B-9949-6672AF973C51}"/>
    <cellStyle name="Comma 4 3 2 10" xfId="17901" xr:uid="{9B3F2E3C-8273-4743-94B7-2F5B67D9BCE0}"/>
    <cellStyle name="Comma 4 3 2 11" xfId="19791" xr:uid="{9FE874EB-C0CC-477D-97AB-C2EFA45F6575}"/>
    <cellStyle name="Comma 4 3 2 12" xfId="21681" xr:uid="{9F3080A8-727C-4012-8591-B9779D7651E1}"/>
    <cellStyle name="Comma 4 3 2 13" xfId="23571" xr:uid="{00573A5B-FFD3-444E-841F-198902C35B4C}"/>
    <cellStyle name="Comma 4 3 2 14" xfId="25461" xr:uid="{E04410DD-3BDE-454D-BF12-377602A83BD7}"/>
    <cellStyle name="Comma 4 3 2 15" xfId="27351" xr:uid="{79AA943C-3E45-449F-A2FA-61419A0F06DC}"/>
    <cellStyle name="Comma 4 3 2 16" xfId="29241" xr:uid="{56F8D167-0A86-4C13-AB27-58F63064C58D}"/>
    <cellStyle name="Comma 4 3 2 17" xfId="31131" xr:uid="{D98C12A1-AA8A-4258-A7B9-518E24F2BFCF}"/>
    <cellStyle name="Comma 4 3 2 18" xfId="33021" xr:uid="{2F62F345-965B-412D-B978-3E26121BA20A}"/>
    <cellStyle name="Comma 4 3 2 19" xfId="34911" xr:uid="{497A10E6-1C27-4A4B-99E2-3A4F16571237}"/>
    <cellStyle name="Comma 4 3 2 2" xfId="2781" xr:uid="{9537B481-B07A-4B84-8514-853EA7C63E26}"/>
    <cellStyle name="Comma 4 3 2 20" xfId="36801" xr:uid="{DAAAA60A-8DD4-4FDC-A4CD-1F8B19006563}"/>
    <cellStyle name="Comma 4 3 2 21" xfId="38691" xr:uid="{F57500A1-AFA1-451B-B52D-81B423FE5E72}"/>
    <cellStyle name="Comma 4 3 2 22" xfId="40582" xr:uid="{F436143B-BE9E-43B1-B8CA-8DD0C85AA8BA}"/>
    <cellStyle name="Comma 4 3 2 3" xfId="4671" xr:uid="{83C50565-449E-4271-BAE9-E3A8C9B25461}"/>
    <cellStyle name="Comma 4 3 2 4" xfId="6561" xr:uid="{F8AC7A5A-C371-440B-8CC3-A6A45ED0D057}"/>
    <cellStyle name="Comma 4 3 2 5" xfId="8451" xr:uid="{34ACA4CD-1B66-41CA-951C-117872782709}"/>
    <cellStyle name="Comma 4 3 2 6" xfId="10341" xr:uid="{02478332-6A51-4F20-BF5A-08AEBAB7083F}"/>
    <cellStyle name="Comma 4 3 2 7" xfId="12231" xr:uid="{EF4280D1-7913-4A5F-9408-7575D5903681}"/>
    <cellStyle name="Comma 4 3 2 8" xfId="14121" xr:uid="{B95DEE5C-874E-43BA-A40C-493C76EB5687}"/>
    <cellStyle name="Comma 4 3 2 9" xfId="16011" xr:uid="{9E50205D-D86A-4833-89B1-41627D5B46D6}"/>
    <cellStyle name="Comma 4 3 20" xfId="32391" xr:uid="{35ACAA44-A6AC-4927-A7FA-C4D71D3457D0}"/>
    <cellStyle name="Comma 4 3 21" xfId="34281" xr:uid="{B18ED840-3DAA-41E7-9C8C-B7090E6A4AC9}"/>
    <cellStyle name="Comma 4 3 22" xfId="36171" xr:uid="{EC5BEAB5-AA08-46E0-A6FE-96DF58CE4DDE}"/>
    <cellStyle name="Comma 4 3 23" xfId="38061" xr:uid="{83F41748-D657-4239-8918-C094DB78DE17}"/>
    <cellStyle name="Comma 4 3 24" xfId="39952" xr:uid="{3C396877-3B97-4260-AA54-87CA7DD385CA}"/>
    <cellStyle name="Comma 4 3 3" xfId="1521" xr:uid="{70C2A805-0A71-42E9-BDB9-693B09B4E074}"/>
    <cellStyle name="Comma 4 3 3 10" xfId="18531" xr:uid="{7FF68CF6-7258-4FDF-BE41-F9A808FDA7B2}"/>
    <cellStyle name="Comma 4 3 3 11" xfId="20421" xr:uid="{F90D5084-E9D9-4C6F-A5FE-50FBD66600D4}"/>
    <cellStyle name="Comma 4 3 3 12" xfId="22311" xr:uid="{88B530B0-A040-449D-95CD-6CEE8B29A3D7}"/>
    <cellStyle name="Comma 4 3 3 13" xfId="24201" xr:uid="{A87607BD-7ACC-4633-9994-6BC997B39E2B}"/>
    <cellStyle name="Comma 4 3 3 14" xfId="26091" xr:uid="{21896F49-5DEC-47FB-855B-FC7DA268BF8A}"/>
    <cellStyle name="Comma 4 3 3 15" xfId="27981" xr:uid="{9DD2C9D2-168E-4212-BDBB-C8D3CB6C55B3}"/>
    <cellStyle name="Comma 4 3 3 16" xfId="29871" xr:uid="{B267E278-D73C-4164-B08A-A06F88D043C2}"/>
    <cellStyle name="Comma 4 3 3 17" xfId="31761" xr:uid="{5C46C841-4C8E-4A53-9CA8-0339797E2578}"/>
    <cellStyle name="Comma 4 3 3 18" xfId="33651" xr:uid="{92EEC354-DF1E-418F-9C2E-75C23F8634C1}"/>
    <cellStyle name="Comma 4 3 3 19" xfId="35541" xr:uid="{16FF0903-1E84-4117-A4CA-6A11C12CCCA5}"/>
    <cellStyle name="Comma 4 3 3 2" xfId="3411" xr:uid="{FFB2AD75-0078-4E68-8A46-1F3AB040C0FE}"/>
    <cellStyle name="Comma 4 3 3 20" xfId="37431" xr:uid="{175035AB-7785-4E06-B60B-DCB8CD127C46}"/>
    <cellStyle name="Comma 4 3 3 21" xfId="39321" xr:uid="{284B75EB-7ED8-44B8-B1BD-222622262B43}"/>
    <cellStyle name="Comma 4 3 3 22" xfId="41212" xr:uid="{3B476384-AB55-4F18-9706-87CD8FDA9261}"/>
    <cellStyle name="Comma 4 3 3 3" xfId="5301" xr:uid="{82C1EBCE-357B-4D7E-95A7-6EE165CC08C9}"/>
    <cellStyle name="Comma 4 3 3 4" xfId="7191" xr:uid="{F74394E9-BFF3-4457-AA12-485DD292EB56}"/>
    <cellStyle name="Comma 4 3 3 5" xfId="9081" xr:uid="{BB6A7C92-D73B-4708-B51E-44CEB90755A5}"/>
    <cellStyle name="Comma 4 3 3 6" xfId="10971" xr:uid="{0B879424-71D9-4D52-AA53-DC54252D4B52}"/>
    <cellStyle name="Comma 4 3 3 7" xfId="12861" xr:uid="{66541A82-3D19-4C24-A350-D55F334CCAB4}"/>
    <cellStyle name="Comma 4 3 3 8" xfId="14751" xr:uid="{628FBEE3-9C0F-44C2-B57C-6C8A037D382B}"/>
    <cellStyle name="Comma 4 3 3 9" xfId="16641" xr:uid="{113E4236-DEDD-46C4-A837-DB8742B952B7}"/>
    <cellStyle name="Comma 4 3 4" xfId="2151" xr:uid="{75A8AC22-9909-4E21-848F-F013448C2B87}"/>
    <cellStyle name="Comma 4 3 5" xfId="4041" xr:uid="{D7369183-1583-438D-921E-1D1CC60F82DD}"/>
    <cellStyle name="Comma 4 3 6" xfId="5931" xr:uid="{DC3FB8DE-E296-4820-9A4D-07CCF2B4FC84}"/>
    <cellStyle name="Comma 4 3 7" xfId="7821" xr:uid="{8863861E-FF0C-4365-A46C-CA37B8ABAB37}"/>
    <cellStyle name="Comma 4 3 8" xfId="9711" xr:uid="{D559EEF3-0AD4-46DC-899E-2BEDD2206382}"/>
    <cellStyle name="Comma 4 3 9" xfId="11601" xr:uid="{A15B625D-E608-4CF5-BC1A-C30381236F53}"/>
    <cellStyle name="Comma 4 4" xfId="471" xr:uid="{517A4258-4C00-4206-84DF-67C5FF72A10B}"/>
    <cellStyle name="Comma 4 4 10" xfId="13701" xr:uid="{C70CEAB4-4C29-4EC7-BD53-7502BCCED4A7}"/>
    <cellStyle name="Comma 4 4 11" xfId="15591" xr:uid="{2177E9FB-D7D1-4D0C-8316-DA550C339A44}"/>
    <cellStyle name="Comma 4 4 12" xfId="17481" xr:uid="{F3DA8540-77B2-4B9B-BB05-C7D2451C2837}"/>
    <cellStyle name="Comma 4 4 13" xfId="19371" xr:uid="{180767C1-A74D-4E79-9E82-7781ABEB19E7}"/>
    <cellStyle name="Comma 4 4 14" xfId="21261" xr:uid="{F0B5DE41-9817-42A4-87AE-AC01CFF356E2}"/>
    <cellStyle name="Comma 4 4 15" xfId="23151" xr:uid="{1BF68666-CC69-4160-8E09-1DD22DCCA6DA}"/>
    <cellStyle name="Comma 4 4 16" xfId="25041" xr:uid="{4DDB2BC2-9EA6-42A9-9B77-8BCDF58BEDFA}"/>
    <cellStyle name="Comma 4 4 17" xfId="26931" xr:uid="{FA6C0F5A-5C43-4DB0-9DD4-D3CE791D0E97}"/>
    <cellStyle name="Comma 4 4 18" xfId="28821" xr:uid="{BD7B2A3B-5E43-4D2B-846F-CABDBAF01075}"/>
    <cellStyle name="Comma 4 4 19" xfId="30711" xr:uid="{4A528F86-127B-48D9-A981-3ECEFD43FDE4}"/>
    <cellStyle name="Comma 4 4 2" xfId="1101" xr:uid="{60C7B543-BF33-4F1A-9704-6F7D59D12C42}"/>
    <cellStyle name="Comma 4 4 2 10" xfId="18111" xr:uid="{1A3D2FD4-41DC-47F2-8D45-850A1D04C368}"/>
    <cellStyle name="Comma 4 4 2 11" xfId="20001" xr:uid="{2C6C797D-52B8-4FAA-AC4C-682BDA6923F8}"/>
    <cellStyle name="Comma 4 4 2 12" xfId="21891" xr:uid="{C49A19A2-C71E-426C-97E7-EDF8E906EBCF}"/>
    <cellStyle name="Comma 4 4 2 13" xfId="23781" xr:uid="{4889C032-45D4-4FE2-A323-DB51C943559E}"/>
    <cellStyle name="Comma 4 4 2 14" xfId="25671" xr:uid="{A20D5617-B0DD-476A-AF88-E8CE7551EF7B}"/>
    <cellStyle name="Comma 4 4 2 15" xfId="27561" xr:uid="{C5089649-C341-4A6E-B80B-041B8FBE6470}"/>
    <cellStyle name="Comma 4 4 2 16" xfId="29451" xr:uid="{B605EB04-AE0E-4840-A7AA-2C601509C0FD}"/>
    <cellStyle name="Comma 4 4 2 17" xfId="31341" xr:uid="{7D521193-C028-407D-9823-F8947509A01C}"/>
    <cellStyle name="Comma 4 4 2 18" xfId="33231" xr:uid="{44B4C12A-FBAC-41B8-808B-14B47799AB83}"/>
    <cellStyle name="Comma 4 4 2 19" xfId="35121" xr:uid="{8443EEBE-19BB-42FC-B2B3-6912E89D93B7}"/>
    <cellStyle name="Comma 4 4 2 2" xfId="2991" xr:uid="{B2058EA6-0230-4F32-8E8B-724576DEAF74}"/>
    <cellStyle name="Comma 4 4 2 20" xfId="37011" xr:uid="{2070E201-3C81-44D0-A849-07BED74EF28D}"/>
    <cellStyle name="Comma 4 4 2 21" xfId="38901" xr:uid="{8A1FDF2E-D0A4-4DA6-AB32-106F0F726ACB}"/>
    <cellStyle name="Comma 4 4 2 22" xfId="40792" xr:uid="{57CB05A7-1BF4-473B-98C2-EAA9E8806909}"/>
    <cellStyle name="Comma 4 4 2 3" xfId="4881" xr:uid="{86EAA0A3-B80E-4A93-9EA1-17C60300C895}"/>
    <cellStyle name="Comma 4 4 2 4" xfId="6771" xr:uid="{0C7D95ED-D22B-488B-A2A6-53971716BC0B}"/>
    <cellStyle name="Comma 4 4 2 5" xfId="8661" xr:uid="{9E9F62DC-66ED-455B-9E55-AFB3B7184DD9}"/>
    <cellStyle name="Comma 4 4 2 6" xfId="10551" xr:uid="{69DF759C-631A-45C5-AFFE-0C8A30A936EA}"/>
    <cellStyle name="Comma 4 4 2 7" xfId="12441" xr:uid="{BC217B67-76C0-4015-A1E9-85E4A54CE49B}"/>
    <cellStyle name="Comma 4 4 2 8" xfId="14331" xr:uid="{EE038306-180D-44C0-AD3F-EC3341CA2F95}"/>
    <cellStyle name="Comma 4 4 2 9" xfId="16221" xr:uid="{B1F3D1A7-DA9C-419C-B4D4-75765C61C12F}"/>
    <cellStyle name="Comma 4 4 20" xfId="32601" xr:uid="{79344811-83D2-485C-A338-7AB5C09ACF85}"/>
    <cellStyle name="Comma 4 4 21" xfId="34491" xr:uid="{E63B9F85-EEDE-4DE9-BD2A-D12289B40A31}"/>
    <cellStyle name="Comma 4 4 22" xfId="36381" xr:uid="{4C37CD8D-97FE-4174-A4B1-8FE60313A5EE}"/>
    <cellStyle name="Comma 4 4 23" xfId="38271" xr:uid="{03DB3777-8A75-4E89-B945-E23C9792F145}"/>
    <cellStyle name="Comma 4 4 24" xfId="40162" xr:uid="{33918036-086B-4A4E-8B69-D5BC9DE5AA35}"/>
    <cellStyle name="Comma 4 4 3" xfId="1731" xr:uid="{899A1D94-E174-4401-A16F-1FFF9EA547CB}"/>
    <cellStyle name="Comma 4 4 3 10" xfId="18741" xr:uid="{7ADED35A-C0F0-415E-BC57-206755C659A6}"/>
    <cellStyle name="Comma 4 4 3 11" xfId="20631" xr:uid="{F76B83FF-7C4F-4D4A-B6CD-44EAB5D8D7A0}"/>
    <cellStyle name="Comma 4 4 3 12" xfId="22521" xr:uid="{927C3C18-2E68-49AB-8FDC-B82A23E49ECA}"/>
    <cellStyle name="Comma 4 4 3 13" xfId="24411" xr:uid="{C6B3096D-10D9-44C9-9BB3-C5A291DC4733}"/>
    <cellStyle name="Comma 4 4 3 14" xfId="26301" xr:uid="{9AE60D92-9E7F-4036-AAE3-9D33C0CFB716}"/>
    <cellStyle name="Comma 4 4 3 15" xfId="28191" xr:uid="{F48E8627-9FF3-4155-AD4B-79BE9E4B593F}"/>
    <cellStyle name="Comma 4 4 3 16" xfId="30081" xr:uid="{CADA6EE2-EEC6-4265-87B7-5E162A398588}"/>
    <cellStyle name="Comma 4 4 3 17" xfId="31971" xr:uid="{3B93785C-F58E-49AD-A845-344388339EFA}"/>
    <cellStyle name="Comma 4 4 3 18" xfId="33861" xr:uid="{12484314-ED60-450D-8D3B-16CBB293006E}"/>
    <cellStyle name="Comma 4 4 3 19" xfId="35751" xr:uid="{EA1CC28B-D528-44B9-9C79-5EAF0C711720}"/>
    <cellStyle name="Comma 4 4 3 2" xfId="3621" xr:uid="{ADE065E5-BD5E-4448-A615-3FC0C22CD9A9}"/>
    <cellStyle name="Comma 4 4 3 20" xfId="37641" xr:uid="{49590781-30F0-41AC-B989-B9CDCFEA1A83}"/>
    <cellStyle name="Comma 4 4 3 21" xfId="39531" xr:uid="{A0E7D27B-1A04-44C2-A4E1-9E0DB52B0442}"/>
    <cellStyle name="Comma 4 4 3 22" xfId="41422" xr:uid="{F8D6DA82-8C93-40E5-8492-56F5B6ED1212}"/>
    <cellStyle name="Comma 4 4 3 3" xfId="5511" xr:uid="{9856E109-BED9-4453-87C9-B95838CA5D07}"/>
    <cellStyle name="Comma 4 4 3 4" xfId="7401" xr:uid="{53B80E13-13FD-42CB-B981-20C8B32506B2}"/>
    <cellStyle name="Comma 4 4 3 5" xfId="9291" xr:uid="{BEBD5BD9-68E4-406F-9A25-3DCC5B19853F}"/>
    <cellStyle name="Comma 4 4 3 6" xfId="11181" xr:uid="{5903E972-4D96-4009-8284-CAFEFB2D59F3}"/>
    <cellStyle name="Comma 4 4 3 7" xfId="13071" xr:uid="{6E06AD5C-2DA9-4C6C-BE5F-E1EDB9FC29A5}"/>
    <cellStyle name="Comma 4 4 3 8" xfId="14961" xr:uid="{7B359D3B-80E1-4D29-9CBC-1E04BDDDA43C}"/>
    <cellStyle name="Comma 4 4 3 9" xfId="16851" xr:uid="{1561C04B-AE35-4083-84DB-693E48E1B54B}"/>
    <cellStyle name="Comma 4 4 4" xfId="2361" xr:uid="{12ED4FF4-CFB3-4DF4-BE5E-5A11317E4C34}"/>
    <cellStyle name="Comma 4 4 5" xfId="4251" xr:uid="{B28243B3-D2CD-4B00-8E8F-FD3BE968EED2}"/>
    <cellStyle name="Comma 4 4 6" xfId="6141" xr:uid="{2F10817D-D0CB-4AB4-B389-D51C66F57214}"/>
    <cellStyle name="Comma 4 4 7" xfId="8031" xr:uid="{4745F793-91A5-4344-8BC9-BE29463FBB18}"/>
    <cellStyle name="Comma 4 4 8" xfId="9921" xr:uid="{4EDC2BB7-A343-4555-9A96-CBB9A8ED3D31}"/>
    <cellStyle name="Comma 4 4 9" xfId="11811" xr:uid="{022C2AB0-2A3E-461C-A8FF-9BBD6B396123}"/>
    <cellStyle name="Comma 4 5" xfId="681" xr:uid="{F2209DBE-152D-4ADE-B60E-650F446C31D1}"/>
    <cellStyle name="Comma 4 5 10" xfId="17691" xr:uid="{455DFD57-0D8C-46E9-A690-2F0DABB82DCD}"/>
    <cellStyle name="Comma 4 5 11" xfId="19581" xr:uid="{3EE20A82-5AAE-486D-ADDD-A9511736C78F}"/>
    <cellStyle name="Comma 4 5 12" xfId="21471" xr:uid="{15C3C291-7934-4903-BEA0-B025560B3BE9}"/>
    <cellStyle name="Comma 4 5 13" xfId="23361" xr:uid="{EAB31137-16BA-46D1-8E0C-04694CEC6856}"/>
    <cellStyle name="Comma 4 5 14" xfId="25251" xr:uid="{07C7810C-8F5A-4FEB-9A4A-DEC82FF6601C}"/>
    <cellStyle name="Comma 4 5 15" xfId="27141" xr:uid="{C1A09B2B-4F8E-47B6-A56A-C526737F596D}"/>
    <cellStyle name="Comma 4 5 16" xfId="29031" xr:uid="{2E86BC3A-8553-476A-A2A5-037FE0D80148}"/>
    <cellStyle name="Comma 4 5 17" xfId="30921" xr:uid="{17AC1640-2774-4A8D-9255-40215828EC3E}"/>
    <cellStyle name="Comma 4 5 18" xfId="32811" xr:uid="{8C771B62-8195-4756-B52A-F924DE008BA2}"/>
    <cellStyle name="Comma 4 5 19" xfId="34701" xr:uid="{8E1C3DE1-EE00-4BB5-9C48-F9F98602C917}"/>
    <cellStyle name="Comma 4 5 2" xfId="2571" xr:uid="{E1541F3E-15DE-425E-A6B2-865FD80E4AA4}"/>
    <cellStyle name="Comma 4 5 20" xfId="36591" xr:uid="{0B46BB6B-8619-4E00-9A70-2621F4846D1D}"/>
    <cellStyle name="Comma 4 5 21" xfId="38481" xr:uid="{D5C3C4D0-E073-4642-BCAA-98185BFE609E}"/>
    <cellStyle name="Comma 4 5 22" xfId="40372" xr:uid="{3B1AE5E0-A723-4A12-8A1D-C1F62E82A9EB}"/>
    <cellStyle name="Comma 4 5 3" xfId="4461" xr:uid="{45720397-637D-4637-9453-332C0B18BA1C}"/>
    <cellStyle name="Comma 4 5 4" xfId="6351" xr:uid="{64AF29F4-B277-4D8F-95F8-52CF4D8E642A}"/>
    <cellStyle name="Comma 4 5 5" xfId="8241" xr:uid="{469C68A1-BE41-45F4-8296-B73D3449CA8C}"/>
    <cellStyle name="Comma 4 5 6" xfId="10131" xr:uid="{47B74F8D-5D06-4C68-973F-A0CCE0A8DBE0}"/>
    <cellStyle name="Comma 4 5 7" xfId="12021" xr:uid="{A85EC4C9-2A48-4E72-9E57-2E87B92218E7}"/>
    <cellStyle name="Comma 4 5 8" xfId="13911" xr:uid="{7B36940B-7D9A-4F34-9910-6F9831671876}"/>
    <cellStyle name="Comma 4 5 9" xfId="15801" xr:uid="{84468950-B9F1-4578-A552-B1C54618BD11}"/>
    <cellStyle name="Comma 4 6" xfId="1311" xr:uid="{EEA209F2-59E4-449C-8C19-BF43647A0732}"/>
    <cellStyle name="Comma 4 6 10" xfId="18321" xr:uid="{BA55DC4F-2334-4886-A6C7-E68F24B7B9F1}"/>
    <cellStyle name="Comma 4 6 11" xfId="20211" xr:uid="{83693F98-5CFD-4CFD-A4FD-325818951554}"/>
    <cellStyle name="Comma 4 6 12" xfId="22101" xr:uid="{D6E0627A-E5C8-46A0-9B1E-B9DCF9956F2A}"/>
    <cellStyle name="Comma 4 6 13" xfId="23991" xr:uid="{6FDAF57E-C5C1-4607-ACC5-6CAB3061E344}"/>
    <cellStyle name="Comma 4 6 14" xfId="25881" xr:uid="{F17E2CB3-7754-4EB5-9C3F-A355256A523C}"/>
    <cellStyle name="Comma 4 6 15" xfId="27771" xr:uid="{385F0644-FCFD-435B-9647-1A9B4BF9740F}"/>
    <cellStyle name="Comma 4 6 16" xfId="29661" xr:uid="{E68D9DE1-5658-44BA-BB05-29CCCB29FBF0}"/>
    <cellStyle name="Comma 4 6 17" xfId="31551" xr:uid="{87EBB50C-3346-4B67-9869-3FEF7F4A6330}"/>
    <cellStyle name="Comma 4 6 18" xfId="33441" xr:uid="{8E9D18A1-B4FD-46DC-9219-BE3418ECE78D}"/>
    <cellStyle name="Comma 4 6 19" xfId="35331" xr:uid="{5EBD7C30-806B-4EDC-84A0-F8731107B809}"/>
    <cellStyle name="Comma 4 6 2" xfId="3201" xr:uid="{9351B7AF-3C05-4280-BDEC-EBBAE523A505}"/>
    <cellStyle name="Comma 4 6 20" xfId="37221" xr:uid="{EA5E2199-C775-4660-9EC8-EB0E8F5D3892}"/>
    <cellStyle name="Comma 4 6 21" xfId="39111" xr:uid="{3523C862-30AE-4EB1-A5A1-5F891DDB7410}"/>
    <cellStyle name="Comma 4 6 22" xfId="41002" xr:uid="{11E8C94F-6353-49A6-9565-A6F904A82D8A}"/>
    <cellStyle name="Comma 4 6 3" xfId="5091" xr:uid="{AE7D4ECC-9AC7-4313-A90A-69A80D8DA7E9}"/>
    <cellStyle name="Comma 4 6 4" xfId="6981" xr:uid="{80437639-7B4B-45E7-9547-7035E13D1788}"/>
    <cellStyle name="Comma 4 6 5" xfId="8871" xr:uid="{E73E9283-26DB-4403-B2A3-45D2A85D110F}"/>
    <cellStyle name="Comma 4 6 6" xfId="10761" xr:uid="{64898EF8-F6E6-4895-A125-3376F7639BC7}"/>
    <cellStyle name="Comma 4 6 7" xfId="12651" xr:uid="{7AF05DD1-9EAF-4162-8EB9-55CBEC291136}"/>
    <cellStyle name="Comma 4 6 8" xfId="14541" xr:uid="{03C1C0B0-ABEA-4A32-BC09-F4679AE91998}"/>
    <cellStyle name="Comma 4 6 9" xfId="16431" xr:uid="{8BF5F616-D5F2-464D-A7F4-9E5A54F6BDD6}"/>
    <cellStyle name="Comma 4 7" xfId="1941" xr:uid="{7F874B66-2732-4C44-ADB0-8507CC9D41A7}"/>
    <cellStyle name="Comma 4 8" xfId="3831" xr:uid="{6A6ACF1D-2B07-46DE-9776-5A5712FD7BC2}"/>
    <cellStyle name="Comma 4 9" xfId="5721" xr:uid="{5CC45BC9-BB41-4C1F-9DFD-39ABC5623727}"/>
    <cellStyle name="Comma 42" xfId="41621" xr:uid="{3A7AC0B0-816C-425B-9197-E050D4015670}"/>
    <cellStyle name="Comma 5" xfId="38" xr:uid="{F31F4A83-7763-418E-97D8-434362101B4F}"/>
    <cellStyle name="Comma 5 10" xfId="7620" xr:uid="{44FD427B-6B27-4A0C-8F74-022CB0063502}"/>
    <cellStyle name="Comma 5 11" xfId="9510" xr:uid="{3B8A3AB5-7298-4F4F-A350-70D5C6BB61E7}"/>
    <cellStyle name="Comma 5 12" xfId="11400" xr:uid="{97311714-40A1-4F06-8D53-7D734C13E601}"/>
    <cellStyle name="Comma 5 13" xfId="13290" xr:uid="{22A92163-8AA2-4264-B2ED-36740F7690D3}"/>
    <cellStyle name="Comma 5 14" xfId="15180" xr:uid="{8706E97A-3727-4270-AEBF-597CFA9105C8}"/>
    <cellStyle name="Comma 5 15" xfId="17070" xr:uid="{4F5839CB-7601-46CB-B14F-19C373C8D9A6}"/>
    <cellStyle name="Comma 5 16" xfId="18960" xr:uid="{92BB8434-7CC6-4425-A390-8483A39617B9}"/>
    <cellStyle name="Comma 5 17" xfId="20850" xr:uid="{31D11046-1CBA-4FA1-AD1C-4EC0161F1774}"/>
    <cellStyle name="Comma 5 18" xfId="22740" xr:uid="{30A02E14-4D7D-4548-95FD-5FDDEC8FEC35}"/>
    <cellStyle name="Comma 5 19" xfId="24630" xr:uid="{AAE45E67-71C5-4A57-8AE9-0A47F6F12E24}"/>
    <cellStyle name="Comma 5 2" xfId="165" xr:uid="{CA2D1960-2DC9-4453-8322-4689E6B066C9}"/>
    <cellStyle name="Comma 5 2 10" xfId="9615" xr:uid="{BEA7FD7F-D3CA-4D9C-981C-D508F934D6B8}"/>
    <cellStyle name="Comma 5 2 11" xfId="11505" xr:uid="{A9015A0A-0B46-4251-9D8F-EF02727BC801}"/>
    <cellStyle name="Comma 5 2 12" xfId="13395" xr:uid="{D46258E4-D4AA-436B-9BC1-739046D6451D}"/>
    <cellStyle name="Comma 5 2 13" xfId="15285" xr:uid="{3B8E55D1-088E-42F5-9112-E12F71306E54}"/>
    <cellStyle name="Comma 5 2 14" xfId="17175" xr:uid="{0C203D37-1037-46E0-8813-1789078D884E}"/>
    <cellStyle name="Comma 5 2 15" xfId="19065" xr:uid="{F03568B1-BE8E-4DBF-9CB9-086067DE1203}"/>
    <cellStyle name="Comma 5 2 16" xfId="20955" xr:uid="{A6680C7C-893B-4C57-B9F2-979938A46895}"/>
    <cellStyle name="Comma 5 2 17" xfId="22845" xr:uid="{2708E93F-E2C6-4EF7-97D8-ADDC15215306}"/>
    <cellStyle name="Comma 5 2 18" xfId="24735" xr:uid="{DC0291BC-23B0-4571-8577-7D365189C1FA}"/>
    <cellStyle name="Comma 5 2 19" xfId="26625" xr:uid="{060C608F-C267-4986-85F6-1CCFBEC6E064}"/>
    <cellStyle name="Comma 5 2 2" xfId="375" xr:uid="{13F38FAA-C13B-46A3-97EE-9372AE29E5BF}"/>
    <cellStyle name="Comma 5 2 2 10" xfId="13605" xr:uid="{760BE730-1F25-4427-8F8D-9DECD198E2AE}"/>
    <cellStyle name="Comma 5 2 2 11" xfId="15495" xr:uid="{3FEF5178-A456-47D5-A313-40BCE3DB526E}"/>
    <cellStyle name="Comma 5 2 2 12" xfId="17385" xr:uid="{31E7FF99-5C6C-4428-BC14-80317BEE2F93}"/>
    <cellStyle name="Comma 5 2 2 13" xfId="19275" xr:uid="{7D854237-351A-46F1-AEAA-63725C71CCE8}"/>
    <cellStyle name="Comma 5 2 2 14" xfId="21165" xr:uid="{FF93BC8D-C982-4A4B-BE28-CD00A5F44954}"/>
    <cellStyle name="Comma 5 2 2 15" xfId="23055" xr:uid="{CCA980CC-6BE7-4FD6-8D49-A4768F5CF4B0}"/>
    <cellStyle name="Comma 5 2 2 16" xfId="24945" xr:uid="{274E5277-BE37-4F62-BF03-E418304BBDBC}"/>
    <cellStyle name="Comma 5 2 2 17" xfId="26835" xr:uid="{8DA604A2-081D-473D-8477-BCAA8658BEF8}"/>
    <cellStyle name="Comma 5 2 2 18" xfId="28725" xr:uid="{CC9BB028-5241-4E1B-B3F8-57651ED748EE}"/>
    <cellStyle name="Comma 5 2 2 19" xfId="30615" xr:uid="{07A43BE8-2528-481A-B13D-10B3D9DC812D}"/>
    <cellStyle name="Comma 5 2 2 2" xfId="1005" xr:uid="{FC72864A-0412-44A5-B533-5884619A3468}"/>
    <cellStyle name="Comma 5 2 2 2 10" xfId="18015" xr:uid="{FBFC1180-DC62-4F91-8294-AF5242899668}"/>
    <cellStyle name="Comma 5 2 2 2 11" xfId="19905" xr:uid="{70546E4F-8F88-4CDA-A897-69A5583D57ED}"/>
    <cellStyle name="Comma 5 2 2 2 12" xfId="21795" xr:uid="{D732C09F-9074-4804-8DCD-8F50C0D62EFF}"/>
    <cellStyle name="Comma 5 2 2 2 13" xfId="23685" xr:uid="{87FCE893-7BBD-4C41-9571-0E0AB3730840}"/>
    <cellStyle name="Comma 5 2 2 2 14" xfId="25575" xr:uid="{A6DD188A-5C4C-4E9C-A9BE-DBF98C7E05DB}"/>
    <cellStyle name="Comma 5 2 2 2 15" xfId="27465" xr:uid="{75EFDDE1-E515-4A14-8F20-851204693FA2}"/>
    <cellStyle name="Comma 5 2 2 2 16" xfId="29355" xr:uid="{5A37477B-8A72-4BA4-98EF-0989AEBAC7A0}"/>
    <cellStyle name="Comma 5 2 2 2 17" xfId="31245" xr:uid="{939287CC-1649-4D2A-BDEC-DBE64F4D84F0}"/>
    <cellStyle name="Comma 5 2 2 2 18" xfId="33135" xr:uid="{2D550A13-A8C3-4EAD-8111-481F150FAE6F}"/>
    <cellStyle name="Comma 5 2 2 2 19" xfId="35025" xr:uid="{63A8C663-2EAA-43A1-934F-6E65BD074522}"/>
    <cellStyle name="Comma 5 2 2 2 2" xfId="2895" xr:uid="{57687F7D-66E7-461A-98A7-4C1C622B9370}"/>
    <cellStyle name="Comma 5 2 2 2 20" xfId="36915" xr:uid="{5CF2A730-75C3-4F58-B1E2-DB30D8E4D8D9}"/>
    <cellStyle name="Comma 5 2 2 2 21" xfId="38805" xr:uid="{7B57C9F9-3688-40BE-8792-3F6CA8F796C4}"/>
    <cellStyle name="Comma 5 2 2 2 22" xfId="40696" xr:uid="{FFBD2B0B-D802-461A-870D-6C0CC604214E}"/>
    <cellStyle name="Comma 5 2 2 2 3" xfId="4785" xr:uid="{E550C293-AE64-43A2-B9EC-4FAE9B5ACE7F}"/>
    <cellStyle name="Comma 5 2 2 2 4" xfId="6675" xr:uid="{FD9A72DF-A304-4B73-BD3B-2DBBC2D8C850}"/>
    <cellStyle name="Comma 5 2 2 2 5" xfId="8565" xr:uid="{AAFBA76A-FC50-4EEB-BD18-C2D1B95C6396}"/>
    <cellStyle name="Comma 5 2 2 2 6" xfId="10455" xr:uid="{C2C01CF3-9F3C-49CC-8618-0DF2629ADF75}"/>
    <cellStyle name="Comma 5 2 2 2 7" xfId="12345" xr:uid="{FFBEB6FF-ADDA-4621-93B7-DDF6A8AB6894}"/>
    <cellStyle name="Comma 5 2 2 2 8" xfId="14235" xr:uid="{A2EF8542-243E-4AD4-B860-1F04D75AC54D}"/>
    <cellStyle name="Comma 5 2 2 2 9" xfId="16125" xr:uid="{CA15491A-B641-4337-97FD-AE0EC8021001}"/>
    <cellStyle name="Comma 5 2 2 20" xfId="32505" xr:uid="{A79E186E-C8FF-460B-8894-A4C418E4A1C2}"/>
    <cellStyle name="Comma 5 2 2 21" xfId="34395" xr:uid="{37FF74FA-0DFD-4DAC-AC34-2EB272B09B04}"/>
    <cellStyle name="Comma 5 2 2 22" xfId="36285" xr:uid="{494B15D6-2337-4C39-9B83-BAD6E547DE48}"/>
    <cellStyle name="Comma 5 2 2 23" xfId="38175" xr:uid="{908B2ECD-84EB-4D82-A8A7-43AEBD503FA7}"/>
    <cellStyle name="Comma 5 2 2 24" xfId="40066" xr:uid="{1B89A998-B7D5-47CC-B553-3BAB268132D9}"/>
    <cellStyle name="Comma 5 2 2 3" xfId="1635" xr:uid="{828BF471-166C-4447-8860-6AB10C77A032}"/>
    <cellStyle name="Comma 5 2 2 3 10" xfId="18645" xr:uid="{23590FE2-D777-4ECA-BC97-D258495B99E8}"/>
    <cellStyle name="Comma 5 2 2 3 11" xfId="20535" xr:uid="{C5984FD2-7AF5-486C-AB49-80F7DD86650F}"/>
    <cellStyle name="Comma 5 2 2 3 12" xfId="22425" xr:uid="{60774B2B-583B-48CD-80DD-3C8E34AAC8BC}"/>
    <cellStyle name="Comma 5 2 2 3 13" xfId="24315" xr:uid="{3D339D30-774D-46D9-9724-84B68A6921FC}"/>
    <cellStyle name="Comma 5 2 2 3 14" xfId="26205" xr:uid="{F40DEBCF-3E30-4006-BC9B-49666F5BB3B5}"/>
    <cellStyle name="Comma 5 2 2 3 15" xfId="28095" xr:uid="{FCDD1024-F793-4634-99E4-755C16C73EAE}"/>
    <cellStyle name="Comma 5 2 2 3 16" xfId="29985" xr:uid="{4C126F4F-80F4-40FA-93CD-593152C646E4}"/>
    <cellStyle name="Comma 5 2 2 3 17" xfId="31875" xr:uid="{C169CA67-0201-4510-9F57-1EB24538F0CA}"/>
    <cellStyle name="Comma 5 2 2 3 18" xfId="33765" xr:uid="{D2E1910C-3D32-4DFE-ABCB-D7E1E90DD3ED}"/>
    <cellStyle name="Comma 5 2 2 3 19" xfId="35655" xr:uid="{BA956665-FC91-4122-AAB2-85DFC93C9C4F}"/>
    <cellStyle name="Comma 5 2 2 3 2" xfId="3525" xr:uid="{A8C0ACAB-C36F-4FAE-A04E-1A1176F3395C}"/>
    <cellStyle name="Comma 5 2 2 3 20" xfId="37545" xr:uid="{7449D99C-E1D1-4769-ACC1-0A52D0880872}"/>
    <cellStyle name="Comma 5 2 2 3 21" xfId="39435" xr:uid="{F85B99EA-3353-4EC5-91D6-8910B4E0E71C}"/>
    <cellStyle name="Comma 5 2 2 3 22" xfId="41326" xr:uid="{12E694F9-AD9A-4E8B-B669-A3C80D7085B5}"/>
    <cellStyle name="Comma 5 2 2 3 3" xfId="5415" xr:uid="{E0526FF6-AF9A-4498-82CC-FC9FE4ADF90C}"/>
    <cellStyle name="Comma 5 2 2 3 4" xfId="7305" xr:uid="{B4FBF217-CD89-4022-A0BA-9E9E5444A245}"/>
    <cellStyle name="Comma 5 2 2 3 5" xfId="9195" xr:uid="{59E70826-73C6-42C6-A0FB-8AF76F9814C3}"/>
    <cellStyle name="Comma 5 2 2 3 6" xfId="11085" xr:uid="{032F25B5-183F-4B36-8441-F912FF5E0113}"/>
    <cellStyle name="Comma 5 2 2 3 7" xfId="12975" xr:uid="{92F471BE-68DE-478F-9921-D2C241D5A934}"/>
    <cellStyle name="Comma 5 2 2 3 8" xfId="14865" xr:uid="{0621287A-2921-4906-A005-4DF7D234C444}"/>
    <cellStyle name="Comma 5 2 2 3 9" xfId="16755" xr:uid="{1042E6B2-09E7-4F54-8542-A9724B20A265}"/>
    <cellStyle name="Comma 5 2 2 4" xfId="2265" xr:uid="{32180C83-64F0-4752-83CC-64910F3977BD}"/>
    <cellStyle name="Comma 5 2 2 5" xfId="4155" xr:uid="{7FA958F3-1714-4E8C-9E5A-570F8129B171}"/>
    <cellStyle name="Comma 5 2 2 6" xfId="6045" xr:uid="{54C24935-27FC-49B8-AD9E-5AF3BB77BA1A}"/>
    <cellStyle name="Comma 5 2 2 7" xfId="7935" xr:uid="{27F1FFEA-18DC-483D-AB18-1A189F878409}"/>
    <cellStyle name="Comma 5 2 2 8" xfId="9825" xr:uid="{FCD8DCDE-0D21-4D73-B739-F86D2BC42E07}"/>
    <cellStyle name="Comma 5 2 2 9" xfId="11715" xr:uid="{AB043405-7BA8-4DBF-B5C5-153D6CDB12E9}"/>
    <cellStyle name="Comma 5 2 20" xfId="28515" xr:uid="{6AC5069F-DF20-4AE6-90FD-AB46D5E5D55C}"/>
    <cellStyle name="Comma 5 2 21" xfId="30405" xr:uid="{1BE63BE6-DE3E-4DB8-8112-124F4ABA100A}"/>
    <cellStyle name="Comma 5 2 22" xfId="32295" xr:uid="{001E69E6-16F6-4D2D-A804-86255C6DD6D4}"/>
    <cellStyle name="Comma 5 2 23" xfId="34185" xr:uid="{94189C07-4DDD-47FD-AC09-CA4E087E1083}"/>
    <cellStyle name="Comma 5 2 24" xfId="36075" xr:uid="{DF751E5D-3844-4A15-9FEC-6BD7F11D95EE}"/>
    <cellStyle name="Comma 5 2 25" xfId="37965" xr:uid="{9F8196C7-784E-40EA-91AA-11CFD2CFD65E}"/>
    <cellStyle name="Comma 5 2 26" xfId="39856" xr:uid="{A7CB3E71-BC79-49C7-A9FC-6FF97C5C7CB3}"/>
    <cellStyle name="Comma 5 2 3" xfId="585" xr:uid="{CC2AEC01-B501-4EE0-8682-667BA05192D8}"/>
    <cellStyle name="Comma 5 2 3 10" xfId="13815" xr:uid="{65AD0DE2-AF92-4A9E-9B82-2AF1A8D6ADC4}"/>
    <cellStyle name="Comma 5 2 3 11" xfId="15705" xr:uid="{9171D74B-C562-49E3-BB8D-3E1B3E4122B5}"/>
    <cellStyle name="Comma 5 2 3 12" xfId="17595" xr:uid="{576A86DA-852E-41F4-BA98-A094FB28A87D}"/>
    <cellStyle name="Comma 5 2 3 13" xfId="19485" xr:uid="{7E3474D8-AD0C-4748-9DB3-7F9C22D65E85}"/>
    <cellStyle name="Comma 5 2 3 14" xfId="21375" xr:uid="{8123E41D-7AEF-41B7-97D6-32E89021E2C2}"/>
    <cellStyle name="Comma 5 2 3 15" xfId="23265" xr:uid="{F8D5CABB-1D3B-429E-9402-0674689D35F1}"/>
    <cellStyle name="Comma 5 2 3 16" xfId="25155" xr:uid="{456235FE-388B-43FA-A430-7E0CED3116FD}"/>
    <cellStyle name="Comma 5 2 3 17" xfId="27045" xr:uid="{C9310DB6-BE43-4CAD-B345-9BA8988996BE}"/>
    <cellStyle name="Comma 5 2 3 18" xfId="28935" xr:uid="{EED267C1-1D4C-403C-B6BD-61CF548FD79D}"/>
    <cellStyle name="Comma 5 2 3 19" xfId="30825" xr:uid="{031C8530-8F19-4220-80FF-4050F2D79604}"/>
    <cellStyle name="Comma 5 2 3 2" xfId="1215" xr:uid="{BD5DEA66-41F7-4158-BA7F-D79B93ED5DF0}"/>
    <cellStyle name="Comma 5 2 3 2 10" xfId="18225" xr:uid="{FBD28EDC-7DE1-4964-9CF0-58C757B54655}"/>
    <cellStyle name="Comma 5 2 3 2 11" xfId="20115" xr:uid="{B04BDC58-3C23-40C1-9AA0-9C1B8914CC30}"/>
    <cellStyle name="Comma 5 2 3 2 12" xfId="22005" xr:uid="{BE5EAEEA-EFA2-4473-8C98-42EC9EB51B4F}"/>
    <cellStyle name="Comma 5 2 3 2 13" xfId="23895" xr:uid="{3D86A1B6-AB1E-41E4-A71D-0F3897339FEA}"/>
    <cellStyle name="Comma 5 2 3 2 14" xfId="25785" xr:uid="{A6D9B397-FFE5-4DAA-8B5E-A8604356FEFF}"/>
    <cellStyle name="Comma 5 2 3 2 15" xfId="27675" xr:uid="{55209D6D-1F99-4640-8065-C1EC6D253B58}"/>
    <cellStyle name="Comma 5 2 3 2 16" xfId="29565" xr:uid="{6B0DB800-9DC5-4C55-8990-2F60FB9ABA07}"/>
    <cellStyle name="Comma 5 2 3 2 17" xfId="31455" xr:uid="{771C61BF-C6C0-4F0C-89D4-1C37904D140F}"/>
    <cellStyle name="Comma 5 2 3 2 18" xfId="33345" xr:uid="{C7FF666E-A903-47F8-A810-73C6D0C30827}"/>
    <cellStyle name="Comma 5 2 3 2 19" xfId="35235" xr:uid="{DED44802-22BD-4E70-AF9F-10D55EC02C20}"/>
    <cellStyle name="Comma 5 2 3 2 2" xfId="3105" xr:uid="{D941DA7F-6172-4053-A987-1CF3886FB748}"/>
    <cellStyle name="Comma 5 2 3 2 20" xfId="37125" xr:uid="{4A7FD82E-D486-4137-B715-EA8156563ECE}"/>
    <cellStyle name="Comma 5 2 3 2 21" xfId="39015" xr:uid="{DEEE86F4-A61B-4F11-8559-5FDE0C0E335A}"/>
    <cellStyle name="Comma 5 2 3 2 22" xfId="40906" xr:uid="{AEAE6335-BC38-426F-AE51-C05311A443D8}"/>
    <cellStyle name="Comma 5 2 3 2 3" xfId="4995" xr:uid="{56CA8718-46CE-425C-9ACC-86A36F62EAFE}"/>
    <cellStyle name="Comma 5 2 3 2 4" xfId="6885" xr:uid="{B7C39B78-4D67-41B0-8EF5-70BBAFD3F010}"/>
    <cellStyle name="Comma 5 2 3 2 5" xfId="8775" xr:uid="{83B58C84-03BA-42FB-9059-2ABA513BCF09}"/>
    <cellStyle name="Comma 5 2 3 2 6" xfId="10665" xr:uid="{0ABFED31-74E6-41D0-BA33-65E64BFE90CC}"/>
    <cellStyle name="Comma 5 2 3 2 7" xfId="12555" xr:uid="{38393587-3D7C-4418-9F12-FDE687AB5A3B}"/>
    <cellStyle name="Comma 5 2 3 2 8" xfId="14445" xr:uid="{9C22D23F-E1C2-428B-AEB6-AE3488D80E0C}"/>
    <cellStyle name="Comma 5 2 3 2 9" xfId="16335" xr:uid="{5FA990F6-D7EA-42DC-828D-29B0348FDC8B}"/>
    <cellStyle name="Comma 5 2 3 20" xfId="32715" xr:uid="{ABE369A2-5BB1-4AA3-86AF-E75A929B4B9F}"/>
    <cellStyle name="Comma 5 2 3 21" xfId="34605" xr:uid="{14BED004-6B3A-42B9-B888-C1388A3EE9E8}"/>
    <cellStyle name="Comma 5 2 3 22" xfId="36495" xr:uid="{F3BECD43-6588-47F2-9003-D45ECE3F41EC}"/>
    <cellStyle name="Comma 5 2 3 23" xfId="38385" xr:uid="{5F5E52C4-1BDD-4E8A-8C9C-E78E6FB02437}"/>
    <cellStyle name="Comma 5 2 3 24" xfId="40276" xr:uid="{C328B9FE-1658-4713-8175-D405643B45BF}"/>
    <cellStyle name="Comma 5 2 3 3" xfId="1845" xr:uid="{99AF908D-1FC0-44E1-AB1F-85AFA6F229D6}"/>
    <cellStyle name="Comma 5 2 3 3 10" xfId="18855" xr:uid="{1D93E541-3A2B-47A0-B961-8B07B5DD46E5}"/>
    <cellStyle name="Comma 5 2 3 3 11" xfId="20745" xr:uid="{290A22EE-D5BD-420E-AF45-DE3F74DD4301}"/>
    <cellStyle name="Comma 5 2 3 3 12" xfId="22635" xr:uid="{4C888FE1-6685-44DE-9AF3-75459B280789}"/>
    <cellStyle name="Comma 5 2 3 3 13" xfId="24525" xr:uid="{2AFF0E4A-2BC0-4FB8-9D67-374972536A6C}"/>
    <cellStyle name="Comma 5 2 3 3 14" xfId="26415" xr:uid="{EB980D16-3D80-4314-81AD-B9190A1E745E}"/>
    <cellStyle name="Comma 5 2 3 3 15" xfId="28305" xr:uid="{0383DC50-38C1-41B1-9162-DA39649065B6}"/>
    <cellStyle name="Comma 5 2 3 3 16" xfId="30195" xr:uid="{602BFCB1-3697-4076-BB4B-444514963DDB}"/>
    <cellStyle name="Comma 5 2 3 3 17" xfId="32085" xr:uid="{6A460887-C41F-41C5-8CAC-555F65FB401C}"/>
    <cellStyle name="Comma 5 2 3 3 18" xfId="33975" xr:uid="{26179A8F-7D37-4D06-BF80-4CB7C187905A}"/>
    <cellStyle name="Comma 5 2 3 3 19" xfId="35865" xr:uid="{4B9270EC-F0E6-4F15-BC99-F505333D2733}"/>
    <cellStyle name="Comma 5 2 3 3 2" xfId="3735" xr:uid="{F247FA39-6EA0-4A86-8C89-550ACDCFE1A7}"/>
    <cellStyle name="Comma 5 2 3 3 20" xfId="37755" xr:uid="{5E2839F7-8E00-4C20-BDCA-68D2903801E4}"/>
    <cellStyle name="Comma 5 2 3 3 21" xfId="39645" xr:uid="{5EB3FDED-5687-49D4-92A7-47CD0EA424DF}"/>
    <cellStyle name="Comma 5 2 3 3 22" xfId="41536" xr:uid="{FB405A8E-C144-45B6-9BD6-285D9A19D4FC}"/>
    <cellStyle name="Comma 5 2 3 3 3" xfId="5625" xr:uid="{0546F28B-0129-48CF-B1EF-D7C16A572E83}"/>
    <cellStyle name="Comma 5 2 3 3 4" xfId="7515" xr:uid="{45615EE8-AD50-4ED8-9C53-D0B10C9474C9}"/>
    <cellStyle name="Comma 5 2 3 3 5" xfId="9405" xr:uid="{65107820-F0D2-4294-B30A-A3EA0FB515F8}"/>
    <cellStyle name="Comma 5 2 3 3 6" xfId="11295" xr:uid="{3C48F28A-AB1A-4B11-B4A3-16A01F63E977}"/>
    <cellStyle name="Comma 5 2 3 3 7" xfId="13185" xr:uid="{FD4FE559-099F-401D-A5BF-55E32A72C030}"/>
    <cellStyle name="Comma 5 2 3 3 8" xfId="15075" xr:uid="{5ED6C5AD-E005-43D1-AB19-30D8A659E1CF}"/>
    <cellStyle name="Comma 5 2 3 3 9" xfId="16965" xr:uid="{E3A3BAA0-E8E3-4B26-BD73-BF2E6DFF8265}"/>
    <cellStyle name="Comma 5 2 3 4" xfId="2475" xr:uid="{6403D36B-CCEB-450C-8F2C-44A40709A214}"/>
    <cellStyle name="Comma 5 2 3 5" xfId="4365" xr:uid="{9E25343B-9138-4FF6-95A1-FB01F94537A0}"/>
    <cellStyle name="Comma 5 2 3 6" xfId="6255" xr:uid="{F9492905-4179-4226-ABFB-83325A9D8D3A}"/>
    <cellStyle name="Comma 5 2 3 7" xfId="8145" xr:uid="{524042FB-5437-4294-A290-1BB6D7EE48D0}"/>
    <cellStyle name="Comma 5 2 3 8" xfId="10035" xr:uid="{997A93E8-96D1-464B-8D6B-D4F7A1A920EF}"/>
    <cellStyle name="Comma 5 2 3 9" xfId="11925" xr:uid="{0A33E504-E6B1-44AC-B634-854534E515DF}"/>
    <cellStyle name="Comma 5 2 4" xfId="795" xr:uid="{669C6E40-C4FC-44FD-A186-2AFCA78005E7}"/>
    <cellStyle name="Comma 5 2 4 10" xfId="17805" xr:uid="{2EAE678D-153D-47C6-8DCA-6A6E4180AFD7}"/>
    <cellStyle name="Comma 5 2 4 11" xfId="19695" xr:uid="{695E6251-79B5-4CDA-9829-2391E575F273}"/>
    <cellStyle name="Comma 5 2 4 12" xfId="21585" xr:uid="{CC2F813B-9FF9-4D24-8612-89DE979C8473}"/>
    <cellStyle name="Comma 5 2 4 13" xfId="23475" xr:uid="{DEFB2F44-88DC-446F-8327-7F523F71BBD7}"/>
    <cellStyle name="Comma 5 2 4 14" xfId="25365" xr:uid="{D33F06B8-9352-47F5-BD27-EBE2DD3AA012}"/>
    <cellStyle name="Comma 5 2 4 15" xfId="27255" xr:uid="{A7CDE58E-F4A5-46C6-9530-AD83557678EF}"/>
    <cellStyle name="Comma 5 2 4 16" xfId="29145" xr:uid="{24AA4448-0321-4A68-8A58-DDA32DE142E1}"/>
    <cellStyle name="Comma 5 2 4 17" xfId="31035" xr:uid="{5F255ABD-16E0-4C60-AF87-49732048CE2F}"/>
    <cellStyle name="Comma 5 2 4 18" xfId="32925" xr:uid="{82EEAF5D-7B48-4EA3-BE74-24CB4010FCC5}"/>
    <cellStyle name="Comma 5 2 4 19" xfId="34815" xr:uid="{58D782FE-AC1A-4E10-81AA-E7EC1133D856}"/>
    <cellStyle name="Comma 5 2 4 2" xfId="2685" xr:uid="{F1F64F45-128F-47C5-B98D-19334016B784}"/>
    <cellStyle name="Comma 5 2 4 20" xfId="36705" xr:uid="{960951FE-0494-48CB-80AA-7C553415E6C2}"/>
    <cellStyle name="Comma 5 2 4 21" xfId="38595" xr:uid="{EFFA43A7-F81A-479A-8F13-181C260595FC}"/>
    <cellStyle name="Comma 5 2 4 22" xfId="40486" xr:uid="{BC84B455-6462-47EB-AEBB-BD868EAF9AF8}"/>
    <cellStyle name="Comma 5 2 4 3" xfId="4575" xr:uid="{308D3712-7AD5-4C51-8D9E-86CE18EC106D}"/>
    <cellStyle name="Comma 5 2 4 4" xfId="6465" xr:uid="{4804EC93-3108-4ACE-88DA-42B32344D4D6}"/>
    <cellStyle name="Comma 5 2 4 5" xfId="8355" xr:uid="{88A6EBDE-7D38-409F-AF77-B595EC592D7E}"/>
    <cellStyle name="Comma 5 2 4 6" xfId="10245" xr:uid="{6A633494-D4FE-41BC-81FA-B0C04E15ADBE}"/>
    <cellStyle name="Comma 5 2 4 7" xfId="12135" xr:uid="{9C949F44-CB70-4C37-BBFB-DB9F406DDF12}"/>
    <cellStyle name="Comma 5 2 4 8" xfId="14025" xr:uid="{E314BDD8-CA03-4BB4-AE77-C7BE73923849}"/>
    <cellStyle name="Comma 5 2 4 9" xfId="15915" xr:uid="{82E2EF39-4C23-4DE3-A42B-D2502969E895}"/>
    <cellStyle name="Comma 5 2 5" xfId="1425" xr:uid="{48D62588-6C85-4422-BE81-E1853D415863}"/>
    <cellStyle name="Comma 5 2 5 10" xfId="18435" xr:uid="{D4900D78-6079-40CD-92E0-84392599012D}"/>
    <cellStyle name="Comma 5 2 5 11" xfId="20325" xr:uid="{7FD7A49C-59DF-4F4D-A9B7-AB8011DB9266}"/>
    <cellStyle name="Comma 5 2 5 12" xfId="22215" xr:uid="{489BD4CF-7177-49A8-B0E6-46D04CBE471E}"/>
    <cellStyle name="Comma 5 2 5 13" xfId="24105" xr:uid="{38FAE147-F3A6-470A-9081-1681CFAD6213}"/>
    <cellStyle name="Comma 5 2 5 14" xfId="25995" xr:uid="{7E36C7E5-7716-4639-908C-9E6A25F0D50C}"/>
    <cellStyle name="Comma 5 2 5 15" xfId="27885" xr:uid="{BFECD0FF-2071-421D-8A95-B4393FA26E08}"/>
    <cellStyle name="Comma 5 2 5 16" xfId="29775" xr:uid="{ACF05230-B9EE-4078-B9F9-B1C009317E89}"/>
    <cellStyle name="Comma 5 2 5 17" xfId="31665" xr:uid="{FBF3238C-3F7B-455C-B1D3-05FBE31C1EB2}"/>
    <cellStyle name="Comma 5 2 5 18" xfId="33555" xr:uid="{8C9C9C47-A878-473A-8EE8-7C1A0CFE65E4}"/>
    <cellStyle name="Comma 5 2 5 19" xfId="35445" xr:uid="{F5376B1C-63FA-4B71-9EC2-16F44B1DD31D}"/>
    <cellStyle name="Comma 5 2 5 2" xfId="3315" xr:uid="{DAC8EEDE-0B7F-4140-8251-68200BF18F48}"/>
    <cellStyle name="Comma 5 2 5 20" xfId="37335" xr:uid="{7A523379-3F74-4874-99C8-92292FA50690}"/>
    <cellStyle name="Comma 5 2 5 21" xfId="39225" xr:uid="{8E9011F0-E5D4-47A8-8D35-0A2388C325D1}"/>
    <cellStyle name="Comma 5 2 5 22" xfId="41116" xr:uid="{2E578235-8257-4A48-8DD5-B39BE40087AC}"/>
    <cellStyle name="Comma 5 2 5 3" xfId="5205" xr:uid="{85587A5C-06AE-42D1-8240-1CCA4E57CBD0}"/>
    <cellStyle name="Comma 5 2 5 4" xfId="7095" xr:uid="{9C6ED1D8-269F-4479-83C2-1B165877DD8B}"/>
    <cellStyle name="Comma 5 2 5 5" xfId="8985" xr:uid="{D4D9F5E8-1800-4931-B5EB-E339A552423F}"/>
    <cellStyle name="Comma 5 2 5 6" xfId="10875" xr:uid="{0F837E95-FF5E-4B54-A471-FBC2292D4B17}"/>
    <cellStyle name="Comma 5 2 5 7" xfId="12765" xr:uid="{FBD3553D-EA17-4DEA-9DE3-DCC262DE8D47}"/>
    <cellStyle name="Comma 5 2 5 8" xfId="14655" xr:uid="{454BD71A-4485-42E0-90E8-0E51B72CCC3A}"/>
    <cellStyle name="Comma 5 2 5 9" xfId="16545" xr:uid="{8DECF735-3FF1-414D-87C1-5A42E9A9F59C}"/>
    <cellStyle name="Comma 5 2 6" xfId="2055" xr:uid="{2170FF47-9F60-4D37-B37A-8256E8AA2C94}"/>
    <cellStyle name="Comma 5 2 7" xfId="3945" xr:uid="{FEEAB4A5-DA98-4C1A-8456-82D2868FDF44}"/>
    <cellStyle name="Comma 5 2 8" xfId="5835" xr:uid="{45197DCD-0140-4D61-8475-7EE007712E02}"/>
    <cellStyle name="Comma 5 2 9" xfId="7725" xr:uid="{842B1EC6-D52B-49FD-930D-517485DDD98C}"/>
    <cellStyle name="Comma 5 20" xfId="26520" xr:uid="{97E4F0B3-A7D4-4FB9-BE2B-725CD8610642}"/>
    <cellStyle name="Comma 5 21" xfId="28410" xr:uid="{817C662E-7DDA-44AE-AD4A-5C7EFF9CC7DE}"/>
    <cellStyle name="Comma 5 22" xfId="30300" xr:uid="{C16997EE-9CB7-4214-BAF8-A704B48D556B}"/>
    <cellStyle name="Comma 5 23" xfId="32190" xr:uid="{CBE3F7B5-EBE3-4301-87F7-F01D78E32A31}"/>
    <cellStyle name="Comma 5 24" xfId="34080" xr:uid="{1357B6F3-A6D5-4163-BAF0-B8753C3DF1B6}"/>
    <cellStyle name="Comma 5 25" xfId="35970" xr:uid="{58978879-578D-44AB-904E-C922FC8890E5}"/>
    <cellStyle name="Comma 5 26" xfId="37860" xr:uid="{26677DE6-145F-4671-9FE0-AFD38628C4E4}"/>
    <cellStyle name="Comma 5 27" xfId="39751" xr:uid="{96386EBE-5080-4D37-BF8D-D210A047C9DB}"/>
    <cellStyle name="Comma 5 3" xfId="270" xr:uid="{B0355E3F-CE49-4B84-AE12-FFA8529AC903}"/>
    <cellStyle name="Comma 5 3 10" xfId="13500" xr:uid="{B8683B60-F617-4028-A31E-8C9192F5FBDB}"/>
    <cellStyle name="Comma 5 3 11" xfId="15390" xr:uid="{0D794661-B170-4C06-9DD4-77F77ADA77BC}"/>
    <cellStyle name="Comma 5 3 12" xfId="17280" xr:uid="{62F94F8A-7D45-4048-893E-319B534C9678}"/>
    <cellStyle name="Comma 5 3 13" xfId="19170" xr:uid="{E5D8EDEE-5D35-40C9-8DC3-3E258E285DCE}"/>
    <cellStyle name="Comma 5 3 14" xfId="21060" xr:uid="{81F69D00-BE00-4F07-857D-2E2DE497636A}"/>
    <cellStyle name="Comma 5 3 15" xfId="22950" xr:uid="{48FF26AE-84D8-421F-914D-2CACD0AC7FA5}"/>
    <cellStyle name="Comma 5 3 16" xfId="24840" xr:uid="{BDB7B257-B8EF-4B67-AF30-ED93F015EC08}"/>
    <cellStyle name="Comma 5 3 17" xfId="26730" xr:uid="{1D881E49-A6C4-4ECE-8ADB-864E9E1A9887}"/>
    <cellStyle name="Comma 5 3 18" xfId="28620" xr:uid="{C3D41AEA-A722-4CA1-95BE-39DC82F38351}"/>
    <cellStyle name="Comma 5 3 19" xfId="30510" xr:uid="{0110EFCE-CF0A-4549-A968-1F8029D8BB7F}"/>
    <cellStyle name="Comma 5 3 2" xfId="900" xr:uid="{C9B970EC-131B-46B2-A302-72AD2FE9C9A6}"/>
    <cellStyle name="Comma 5 3 2 10" xfId="17910" xr:uid="{806917F5-AE31-4115-8603-0DE794969482}"/>
    <cellStyle name="Comma 5 3 2 11" xfId="19800" xr:uid="{A22140A2-EC01-4A9E-B459-2C46202F160C}"/>
    <cellStyle name="Comma 5 3 2 12" xfId="21690" xr:uid="{90B20CE5-24F8-4EEA-AC1D-63D06574B0A9}"/>
    <cellStyle name="Comma 5 3 2 13" xfId="23580" xr:uid="{44B4745D-C295-4C29-AB25-52FB02B83CD9}"/>
    <cellStyle name="Comma 5 3 2 14" xfId="25470" xr:uid="{BB9E85C9-B7EC-44D3-9D0F-C4AF99E839FE}"/>
    <cellStyle name="Comma 5 3 2 15" xfId="27360" xr:uid="{31C72CAD-4755-4CE0-945C-F53DD3C4CB92}"/>
    <cellStyle name="Comma 5 3 2 16" xfId="29250" xr:uid="{6E17ABD1-EEDB-41EE-AEF9-34DC18DBE96A}"/>
    <cellStyle name="Comma 5 3 2 17" xfId="31140" xr:uid="{5D536019-1EC2-4575-AE1F-841B598DCFA0}"/>
    <cellStyle name="Comma 5 3 2 18" xfId="33030" xr:uid="{A5332718-D1AD-412D-BD1F-6DEEF4D340EE}"/>
    <cellStyle name="Comma 5 3 2 19" xfId="34920" xr:uid="{621B3FC9-B275-42B1-AC7A-3D9485F3E4CD}"/>
    <cellStyle name="Comma 5 3 2 2" xfId="2790" xr:uid="{BF84E4C1-DDDC-43DE-AFCF-C32442CCBB06}"/>
    <cellStyle name="Comma 5 3 2 20" xfId="36810" xr:uid="{E461A4AF-61C3-48EC-BDB2-EC5D36F4C9E0}"/>
    <cellStyle name="Comma 5 3 2 21" xfId="38700" xr:uid="{47C098D2-2B39-4639-A2F7-0D6621690F71}"/>
    <cellStyle name="Comma 5 3 2 22" xfId="40591" xr:uid="{8705AC86-F2DB-4F46-8EFD-328BA7AD3F8C}"/>
    <cellStyle name="Comma 5 3 2 3" xfId="4680" xr:uid="{2FFC2FE1-9AB4-4844-8CD9-E712499F28E2}"/>
    <cellStyle name="Comma 5 3 2 4" xfId="6570" xr:uid="{D6EC95BF-4BC8-4EDF-BECE-0A9C8150D238}"/>
    <cellStyle name="Comma 5 3 2 5" xfId="8460" xr:uid="{378D4620-4931-42A9-9997-E2C5997DA72D}"/>
    <cellStyle name="Comma 5 3 2 6" xfId="10350" xr:uid="{FE7E52C1-8381-4EA9-AFCC-82432F7DC070}"/>
    <cellStyle name="Comma 5 3 2 7" xfId="12240" xr:uid="{26FFE4F5-407B-49C1-A69F-DE36261C55A3}"/>
    <cellStyle name="Comma 5 3 2 8" xfId="14130" xr:uid="{83861409-3D7B-4AB2-A2D8-36C50FB458EF}"/>
    <cellStyle name="Comma 5 3 2 9" xfId="16020" xr:uid="{AB227774-D13C-4015-9F19-19B4728B8B66}"/>
    <cellStyle name="Comma 5 3 20" xfId="32400" xr:uid="{C3EF3ADE-1C97-4C51-8ADA-76032095AEA4}"/>
    <cellStyle name="Comma 5 3 21" xfId="34290" xr:uid="{D3398D06-2FAE-4BA5-8E25-0BABF018DA2C}"/>
    <cellStyle name="Comma 5 3 22" xfId="36180" xr:uid="{98ADC226-690B-40AC-8A16-0FA3F77F4FAB}"/>
    <cellStyle name="Comma 5 3 23" xfId="38070" xr:uid="{7ACA9E85-2974-4A08-9C4C-A357F20F4AC2}"/>
    <cellStyle name="Comma 5 3 24" xfId="39961" xr:uid="{01CC8502-75D1-4670-ADDD-7D5C57B0D3BF}"/>
    <cellStyle name="Comma 5 3 3" xfId="1530" xr:uid="{E82EE51C-61DD-4E70-A388-08D566615DFD}"/>
    <cellStyle name="Comma 5 3 3 10" xfId="18540" xr:uid="{B74B9F00-83D3-4F7D-BAB0-05F1CA55339E}"/>
    <cellStyle name="Comma 5 3 3 11" xfId="20430" xr:uid="{FC682888-E205-49EB-A670-A9E71C5F90F7}"/>
    <cellStyle name="Comma 5 3 3 12" xfId="22320" xr:uid="{5E14DAF4-4AA8-441F-B69F-3D075C456F00}"/>
    <cellStyle name="Comma 5 3 3 13" xfId="24210" xr:uid="{AEC9F6AF-5A45-4CD9-8BED-DC8645ADE40D}"/>
    <cellStyle name="Comma 5 3 3 14" xfId="26100" xr:uid="{76E61C3F-8BBC-47F2-871B-011605F022D1}"/>
    <cellStyle name="Comma 5 3 3 15" xfId="27990" xr:uid="{145B041A-2D16-4B85-BF5F-B1000D4E0389}"/>
    <cellStyle name="Comma 5 3 3 16" xfId="29880" xr:uid="{3158F35F-D0AD-4743-B15E-CB87DA1635F8}"/>
    <cellStyle name="Comma 5 3 3 17" xfId="31770" xr:uid="{4E3B5A61-4499-4432-BA57-AD3864DD9E65}"/>
    <cellStyle name="Comma 5 3 3 18" xfId="33660" xr:uid="{9D984B51-B301-444E-A07C-61C991CADCEB}"/>
    <cellStyle name="Comma 5 3 3 19" xfId="35550" xr:uid="{C14661CB-FCB8-49B3-B922-8D302BCEAA59}"/>
    <cellStyle name="Comma 5 3 3 2" xfId="3420" xr:uid="{5AC4DCE5-67BD-488D-B709-4E4B12FFF826}"/>
    <cellStyle name="Comma 5 3 3 20" xfId="37440" xr:uid="{3F2EF841-65E5-4B85-9732-61FAA353513F}"/>
    <cellStyle name="Comma 5 3 3 21" xfId="39330" xr:uid="{2390A69E-6CBB-4E52-89BE-B7B3261542C6}"/>
    <cellStyle name="Comma 5 3 3 22" xfId="41221" xr:uid="{A78E2FD9-32B9-472F-9071-604134611B89}"/>
    <cellStyle name="Comma 5 3 3 3" xfId="5310" xr:uid="{87A14857-94A8-4C92-A050-41A616F5D834}"/>
    <cellStyle name="Comma 5 3 3 4" xfId="7200" xr:uid="{012716D2-69DF-44EE-8950-AB8CC433E1A1}"/>
    <cellStyle name="Comma 5 3 3 5" xfId="9090" xr:uid="{67244440-1446-459E-9B45-B90720D17350}"/>
    <cellStyle name="Comma 5 3 3 6" xfId="10980" xr:uid="{FB674378-8E37-4F0F-A6EC-AE62C38B72D3}"/>
    <cellStyle name="Comma 5 3 3 7" xfId="12870" xr:uid="{4C387F0D-1F64-423B-9263-06295154339F}"/>
    <cellStyle name="Comma 5 3 3 8" xfId="14760" xr:uid="{C33E2307-A010-4FA8-B304-C85CC208B29D}"/>
    <cellStyle name="Comma 5 3 3 9" xfId="16650" xr:uid="{9DABF1C0-538F-4AFE-8DC4-B563F0525AB2}"/>
    <cellStyle name="Comma 5 3 4" xfId="2160" xr:uid="{BD8C0B41-4C40-4407-A4BA-EA72A903D7B8}"/>
    <cellStyle name="Comma 5 3 5" xfId="4050" xr:uid="{C87E5329-2498-4E7D-B5C3-2574F82FFF07}"/>
    <cellStyle name="Comma 5 3 6" xfId="5940" xr:uid="{5C453D40-6E77-4A7A-AE49-599B40E62677}"/>
    <cellStyle name="Comma 5 3 7" xfId="7830" xr:uid="{09F2B761-9EE9-4CEE-BC37-3C8A5CFE1923}"/>
    <cellStyle name="Comma 5 3 8" xfId="9720" xr:uid="{1CB59F4D-A893-40FF-BF9E-4C1158C889B0}"/>
    <cellStyle name="Comma 5 3 9" xfId="11610" xr:uid="{AF0E1BA3-7910-42B0-886E-5730E76B3476}"/>
    <cellStyle name="Comma 5 4" xfId="480" xr:uid="{356F6D4F-A4C8-4AE1-9B66-C6CCC9E113EB}"/>
    <cellStyle name="Comma 5 4 10" xfId="13710" xr:uid="{9BC5212F-BFFC-4173-BB4C-67EBAFFF6DBA}"/>
    <cellStyle name="Comma 5 4 11" xfId="15600" xr:uid="{2EB3113B-B07D-486D-BF3F-DBE27B1C32EE}"/>
    <cellStyle name="Comma 5 4 12" xfId="17490" xr:uid="{F5050767-1BEF-494C-83B5-BB3A11B10238}"/>
    <cellStyle name="Comma 5 4 13" xfId="19380" xr:uid="{457B07F4-4F1C-4A38-81EB-9B54077139AD}"/>
    <cellStyle name="Comma 5 4 14" xfId="21270" xr:uid="{FF5EE614-BC44-47B6-AE51-BE751CBD25B0}"/>
    <cellStyle name="Comma 5 4 15" xfId="23160" xr:uid="{FE450A0D-9EAA-4F10-8052-ACB09DA36C35}"/>
    <cellStyle name="Comma 5 4 16" xfId="25050" xr:uid="{846BB57D-AB4E-47B5-A46C-C0948C1F83CD}"/>
    <cellStyle name="Comma 5 4 17" xfId="26940" xr:uid="{6EF48255-82C1-47C9-AB78-FC88E2B1D391}"/>
    <cellStyle name="Comma 5 4 18" xfId="28830" xr:uid="{0AD52395-EA94-4A65-898A-91089084600D}"/>
    <cellStyle name="Comma 5 4 19" xfId="30720" xr:uid="{1B8D4902-8454-4536-9A23-07835978B668}"/>
    <cellStyle name="Comma 5 4 2" xfId="1110" xr:uid="{A477522E-19D5-4CED-A1B3-741F8991955B}"/>
    <cellStyle name="Comma 5 4 2 10" xfId="18120" xr:uid="{280340C0-7FAB-4685-B944-C3AA3D4467D5}"/>
    <cellStyle name="Comma 5 4 2 11" xfId="20010" xr:uid="{677A0DEB-E63E-4D3A-8A72-D0648FFF4582}"/>
    <cellStyle name="Comma 5 4 2 12" xfId="21900" xr:uid="{865F5857-4316-459D-96CE-62F30B837C59}"/>
    <cellStyle name="Comma 5 4 2 13" xfId="23790" xr:uid="{2E4597BE-8036-42FA-969F-97DC79C2C8BC}"/>
    <cellStyle name="Comma 5 4 2 14" xfId="25680" xr:uid="{C44ED7E9-6609-4BA9-9223-CF26E047654E}"/>
    <cellStyle name="Comma 5 4 2 15" xfId="27570" xr:uid="{D10126B7-4559-4CB9-BA8D-EA51DD79609F}"/>
    <cellStyle name="Comma 5 4 2 16" xfId="29460" xr:uid="{492F3FD4-B49C-465C-886F-AB2A36577A2F}"/>
    <cellStyle name="Comma 5 4 2 17" xfId="31350" xr:uid="{1957C7B1-DD6B-41B1-BBDC-EB4CD00D2A2E}"/>
    <cellStyle name="Comma 5 4 2 18" xfId="33240" xr:uid="{C8E0FF93-A78C-4C6F-8CED-0376C2B0F2C1}"/>
    <cellStyle name="Comma 5 4 2 19" xfId="35130" xr:uid="{AD137673-11C4-4222-99DA-562486880BEB}"/>
    <cellStyle name="Comma 5 4 2 2" xfId="3000" xr:uid="{B5B042C6-07DA-4FF3-9A3C-6EC7135D75A2}"/>
    <cellStyle name="Comma 5 4 2 20" xfId="37020" xr:uid="{523707E4-25C0-43D9-8FDF-A588A2B67023}"/>
    <cellStyle name="Comma 5 4 2 21" xfId="38910" xr:uid="{D65E2F3E-9FDF-4518-9FB1-3756C2A55660}"/>
    <cellStyle name="Comma 5 4 2 22" xfId="40801" xr:uid="{4462F1DC-933D-4EFF-A2CC-69EA1938D1C1}"/>
    <cellStyle name="Comma 5 4 2 3" xfId="4890" xr:uid="{89D1DC3E-DD37-4D96-9820-3B5460717E55}"/>
    <cellStyle name="Comma 5 4 2 4" xfId="6780" xr:uid="{97AED0EB-2A09-4650-A5E9-9B1F7E810B3B}"/>
    <cellStyle name="Comma 5 4 2 5" xfId="8670" xr:uid="{9BFAAFC4-000E-4EB4-93E1-C383BBD43D41}"/>
    <cellStyle name="Comma 5 4 2 6" xfId="10560" xr:uid="{CEB40A76-2B08-42E4-BF97-53DB27E548E7}"/>
    <cellStyle name="Comma 5 4 2 7" xfId="12450" xr:uid="{97EC5B4D-047B-4AB5-86D4-DF3E5F3CE647}"/>
    <cellStyle name="Comma 5 4 2 8" xfId="14340" xr:uid="{8C009B8F-1F54-4043-B943-A589A7E2DB9F}"/>
    <cellStyle name="Comma 5 4 2 9" xfId="16230" xr:uid="{DE661F12-F5F3-4F18-9BD8-B5F59FCDD888}"/>
    <cellStyle name="Comma 5 4 20" xfId="32610" xr:uid="{AEC43E3D-5B4A-4F1D-8363-053A171933B0}"/>
    <cellStyle name="Comma 5 4 21" xfId="34500" xr:uid="{750D1B1C-6CB3-44F3-9341-A02E6A4EB114}"/>
    <cellStyle name="Comma 5 4 22" xfId="36390" xr:uid="{A50C2274-7A39-4DE6-B6D7-DC8C553F610C}"/>
    <cellStyle name="Comma 5 4 23" xfId="38280" xr:uid="{641AECB8-15E4-4651-8E6B-613CD47546DB}"/>
    <cellStyle name="Comma 5 4 24" xfId="40171" xr:uid="{BD116D7B-E4BF-4EF1-BE8C-770599419B53}"/>
    <cellStyle name="Comma 5 4 3" xfId="1740" xr:uid="{22CDB5E1-5E6A-4977-9BD0-1A265E8E3896}"/>
    <cellStyle name="Comma 5 4 3 10" xfId="18750" xr:uid="{BC4F8A0B-966A-4F3A-9CEB-8BABFB9A5892}"/>
    <cellStyle name="Comma 5 4 3 11" xfId="20640" xr:uid="{54072F36-B6DC-4C85-8BC1-9A5F250FB64C}"/>
    <cellStyle name="Comma 5 4 3 12" xfId="22530" xr:uid="{8EC354F9-997E-4C84-9D6C-80C6B9A36CBB}"/>
    <cellStyle name="Comma 5 4 3 13" xfId="24420" xr:uid="{D22179CC-EA60-42C0-878D-A7A53DC2183A}"/>
    <cellStyle name="Comma 5 4 3 14" xfId="26310" xr:uid="{D868DE84-FB36-4D3B-9E35-8ED1716F4DDB}"/>
    <cellStyle name="Comma 5 4 3 15" xfId="28200" xr:uid="{7DA2856E-B26A-4A06-82D4-CCEDE6B4C48B}"/>
    <cellStyle name="Comma 5 4 3 16" xfId="30090" xr:uid="{AA5CEB07-6EED-4E71-8F20-180A429A3FEB}"/>
    <cellStyle name="Comma 5 4 3 17" xfId="31980" xr:uid="{F48005E6-27C9-4EE9-84F0-9AEA9D7079EE}"/>
    <cellStyle name="Comma 5 4 3 18" xfId="33870" xr:uid="{3E711343-6D07-41AD-84DC-077C1A7F231D}"/>
    <cellStyle name="Comma 5 4 3 19" xfId="35760" xr:uid="{1E1256C2-E8CC-4989-A203-902DBD5F38EA}"/>
    <cellStyle name="Comma 5 4 3 2" xfId="3630" xr:uid="{C5344983-A45B-4121-8D14-DD775390AE7D}"/>
    <cellStyle name="Comma 5 4 3 20" xfId="37650" xr:uid="{6F305839-95FD-4B0D-9ECF-30CACDB39A9E}"/>
    <cellStyle name="Comma 5 4 3 21" xfId="39540" xr:uid="{4484C6D6-7EE1-490C-BC31-5EC0B901185C}"/>
    <cellStyle name="Comma 5 4 3 22" xfId="41431" xr:uid="{6E24E292-4C64-4787-9D88-576DD80FE7C8}"/>
    <cellStyle name="Comma 5 4 3 3" xfId="5520" xr:uid="{1ED14B9B-811A-4427-AB1A-9765BA5E08F0}"/>
    <cellStyle name="Comma 5 4 3 4" xfId="7410" xr:uid="{12FA1874-6082-4187-AF62-9D4F81C0E117}"/>
    <cellStyle name="Comma 5 4 3 5" xfId="9300" xr:uid="{77B20319-7A34-47BB-8D45-659E2C9C9585}"/>
    <cellStyle name="Comma 5 4 3 6" xfId="11190" xr:uid="{CFA4663A-99CE-419E-9A23-61A7B86DEC14}"/>
    <cellStyle name="Comma 5 4 3 7" xfId="13080" xr:uid="{D822170F-8BE9-4CEC-8387-362777C76352}"/>
    <cellStyle name="Comma 5 4 3 8" xfId="14970" xr:uid="{B3C9FA96-5970-4450-88DC-1729D07F835F}"/>
    <cellStyle name="Comma 5 4 3 9" xfId="16860" xr:uid="{7545831B-B776-44F9-B311-B37E3C2FCFE7}"/>
    <cellStyle name="Comma 5 4 4" xfId="2370" xr:uid="{6FDBE49B-A224-411E-862A-135F5F06462E}"/>
    <cellStyle name="Comma 5 4 5" xfId="4260" xr:uid="{4DCF082A-56FB-4618-AFA4-92585B04B2BF}"/>
    <cellStyle name="Comma 5 4 6" xfId="6150" xr:uid="{41BD9003-975A-44EB-94CF-0073A27A2E6C}"/>
    <cellStyle name="Comma 5 4 7" xfId="8040" xr:uid="{1C70778F-30C8-4611-A5D4-904A8C64AD64}"/>
    <cellStyle name="Comma 5 4 8" xfId="9930" xr:uid="{0361609E-0747-491B-92F1-A3FB38F16CC2}"/>
    <cellStyle name="Comma 5 4 9" xfId="11820" xr:uid="{64343256-4679-4B4C-8875-E3145B223731}"/>
    <cellStyle name="Comma 5 5" xfId="690" xr:uid="{306BB5D0-EC7A-484F-ADEA-73C01B8A23C2}"/>
    <cellStyle name="Comma 5 5 10" xfId="17700" xr:uid="{290894B7-5AB0-4863-A094-6C554D705BF2}"/>
    <cellStyle name="Comma 5 5 11" xfId="19590" xr:uid="{B2767269-97CA-4CFF-8FC0-083CCB445007}"/>
    <cellStyle name="Comma 5 5 12" xfId="21480" xr:uid="{72875452-AC96-4ED5-8F21-A38E00296B58}"/>
    <cellStyle name="Comma 5 5 13" xfId="23370" xr:uid="{6A50831A-497C-4EA1-BD0B-1F4586CF5B00}"/>
    <cellStyle name="Comma 5 5 14" xfId="25260" xr:uid="{01477934-7AD5-45C6-81F5-2B099096DE9C}"/>
    <cellStyle name="Comma 5 5 15" xfId="27150" xr:uid="{627FCA59-96C6-451A-B824-5635092D0205}"/>
    <cellStyle name="Comma 5 5 16" xfId="29040" xr:uid="{000945DC-FF56-4F41-A8E7-C449E538E476}"/>
    <cellStyle name="Comma 5 5 17" xfId="30930" xr:uid="{240532F7-3809-401D-A307-F87BDFC8C5A1}"/>
    <cellStyle name="Comma 5 5 18" xfId="32820" xr:uid="{EFAACBD8-A266-4236-882B-520F9428B954}"/>
    <cellStyle name="Comma 5 5 19" xfId="34710" xr:uid="{7A02998F-0A83-4115-861A-9B9DC56E56A4}"/>
    <cellStyle name="Comma 5 5 2" xfId="2580" xr:uid="{281B8B32-5A72-4323-AF62-6C9FEC879C5D}"/>
    <cellStyle name="Comma 5 5 20" xfId="36600" xr:uid="{11B88235-2E3B-4B35-B016-C6895EF6277C}"/>
    <cellStyle name="Comma 5 5 21" xfId="38490" xr:uid="{72D63E15-7B4A-458C-A3D0-4A2ACFEE56A8}"/>
    <cellStyle name="Comma 5 5 22" xfId="40381" xr:uid="{44573208-B3EC-434F-95D4-088CC53FD07D}"/>
    <cellStyle name="Comma 5 5 3" xfId="4470" xr:uid="{43797017-E882-481B-8A3D-4AC0D2215577}"/>
    <cellStyle name="Comma 5 5 4" xfId="6360" xr:uid="{8F52B43C-C0C4-40CB-A08D-DB16FA15DB65}"/>
    <cellStyle name="Comma 5 5 5" xfId="8250" xr:uid="{E9A4719F-6A0E-4201-89FD-D281A587BFA6}"/>
    <cellStyle name="Comma 5 5 6" xfId="10140" xr:uid="{B1851F64-8CC2-4688-BA39-836E7BAF8098}"/>
    <cellStyle name="Comma 5 5 7" xfId="12030" xr:uid="{5DCED383-E2B3-423F-8C6F-C1093846E78F}"/>
    <cellStyle name="Comma 5 5 8" xfId="13920" xr:uid="{7924B1E1-8847-4243-9603-047FA3E696A0}"/>
    <cellStyle name="Comma 5 5 9" xfId="15810" xr:uid="{CEA6993D-9A19-4CAB-B59E-BD09C43A88D7}"/>
    <cellStyle name="Comma 5 6" xfId="1320" xr:uid="{3125696C-5FE9-43BB-84FF-6D47339B07ED}"/>
    <cellStyle name="Comma 5 6 10" xfId="18330" xr:uid="{ABE46276-902F-4E59-A9E7-F51CB158EF8C}"/>
    <cellStyle name="Comma 5 6 11" xfId="20220" xr:uid="{EDCCFD36-FC4B-44D8-9BEF-0110918A3B53}"/>
    <cellStyle name="Comma 5 6 12" xfId="22110" xr:uid="{982D390F-496D-483C-B528-827F84002E4C}"/>
    <cellStyle name="Comma 5 6 13" xfId="24000" xr:uid="{E9A669C0-F9AC-41A9-8910-237FEDDAD545}"/>
    <cellStyle name="Comma 5 6 14" xfId="25890" xr:uid="{19ABCB59-6FA4-4001-9C61-FFD5244342D8}"/>
    <cellStyle name="Comma 5 6 15" xfId="27780" xr:uid="{3147675F-2524-429C-840E-F14BBB663D0A}"/>
    <cellStyle name="Comma 5 6 16" xfId="29670" xr:uid="{A3386F79-FE81-4F9D-891B-5317F7FE3671}"/>
    <cellStyle name="Comma 5 6 17" xfId="31560" xr:uid="{D4D658FB-B016-495B-9933-8975E1BF1D92}"/>
    <cellStyle name="Comma 5 6 18" xfId="33450" xr:uid="{6AE4C736-FDC0-407B-8355-694F02AC2741}"/>
    <cellStyle name="Comma 5 6 19" xfId="35340" xr:uid="{B35843DA-A0A4-42E6-8943-939D14579B6F}"/>
    <cellStyle name="Comma 5 6 2" xfId="3210" xr:uid="{525BCC2A-2ECC-416F-8A4B-F3C7B1D70F33}"/>
    <cellStyle name="Comma 5 6 20" xfId="37230" xr:uid="{912E098D-8196-44C4-81B1-DD2C7E6B956E}"/>
    <cellStyle name="Comma 5 6 21" xfId="39120" xr:uid="{3328AD87-45F9-4FED-8EEB-30D6D833494D}"/>
    <cellStyle name="Comma 5 6 22" xfId="41011" xr:uid="{C0C99291-C7CC-4F3D-A69D-CF4DF7CAC66A}"/>
    <cellStyle name="Comma 5 6 3" xfId="5100" xr:uid="{944ECCCA-A06A-4461-8B1D-5D8358F4B9B8}"/>
    <cellStyle name="Comma 5 6 4" xfId="6990" xr:uid="{AB1D883C-BDE6-46EB-A4A3-8A50186A90A2}"/>
    <cellStyle name="Comma 5 6 5" xfId="8880" xr:uid="{388AD972-D959-43FA-8A46-3B9E322C001A}"/>
    <cellStyle name="Comma 5 6 6" xfId="10770" xr:uid="{4414C2BA-54F6-49FF-9E11-08FF96913486}"/>
    <cellStyle name="Comma 5 6 7" xfId="12660" xr:uid="{31101643-17F8-461D-BD6A-AD8DF488B060}"/>
    <cellStyle name="Comma 5 6 8" xfId="14550" xr:uid="{D0E927B3-8A12-42A3-9580-E0C4CB78A5DD}"/>
    <cellStyle name="Comma 5 6 9" xfId="16440" xr:uid="{63A55AD3-BA70-492F-8B47-A6D33C6716A4}"/>
    <cellStyle name="Comma 5 7" xfId="1950" xr:uid="{AD2A644C-DEF4-4002-9A64-AAF89A2AEDCD}"/>
    <cellStyle name="Comma 5 8" xfId="3840" xr:uid="{0A3EB948-B743-419B-96A7-4EB1C58C8A05}"/>
    <cellStyle name="Comma 5 9" xfId="5730" xr:uid="{BB5C11CB-3F3D-4B85-9369-21D0E8F988CB}"/>
    <cellStyle name="Comma 6" xfId="47" xr:uid="{F6A63317-DE82-4558-A0A7-0AA566DBE845}"/>
    <cellStyle name="Comma 6 10" xfId="7629" xr:uid="{8073157B-1CD3-4047-8A4C-D112424A0A0E}"/>
    <cellStyle name="Comma 6 11" xfId="9519" xr:uid="{C0AEF091-90D7-4491-99DB-D73DB6A42DF0}"/>
    <cellStyle name="Comma 6 12" xfId="11409" xr:uid="{2CE2AB0D-2C62-4A47-B0DD-3CE25B59F716}"/>
    <cellStyle name="Comma 6 13" xfId="13299" xr:uid="{D77A50DD-6940-4287-B6CD-3F62FDA02758}"/>
    <cellStyle name="Comma 6 14" xfId="15189" xr:uid="{C07F1ECF-ABEB-489E-8350-5865D361333A}"/>
    <cellStyle name="Comma 6 15" xfId="17079" xr:uid="{B43876F4-785A-4EA4-ACBD-EA7F6A43695C}"/>
    <cellStyle name="Comma 6 16" xfId="18969" xr:uid="{BE28BD8F-2F69-451A-84BB-5F6BCA13F8AE}"/>
    <cellStyle name="Comma 6 17" xfId="20859" xr:uid="{4ECDF9D8-15D2-4093-B65F-A063F0BEB339}"/>
    <cellStyle name="Comma 6 18" xfId="22749" xr:uid="{FDD37B6E-C558-4C3C-8514-07E65A93E3DE}"/>
    <cellStyle name="Comma 6 19" xfId="24639" xr:uid="{5F29F63B-4C73-4F56-A177-1AA82F02D2F0}"/>
    <cellStyle name="Comma 6 2" xfId="174" xr:uid="{EF0BAB6A-29B8-447E-A483-41A50030E1F9}"/>
    <cellStyle name="Comma 6 2 10" xfId="9624" xr:uid="{F40FD59D-4D82-41C7-8853-A5E5791B9EFD}"/>
    <cellStyle name="Comma 6 2 11" xfId="11514" xr:uid="{43341179-170A-4A1F-918D-2E7B7B1CE5AE}"/>
    <cellStyle name="Comma 6 2 12" xfId="13404" xr:uid="{C09DAC4B-E87A-4A0C-BDDD-452D25E7707C}"/>
    <cellStyle name="Comma 6 2 13" xfId="15294" xr:uid="{78481E57-7641-4F8F-B7F2-E46157713A12}"/>
    <cellStyle name="Comma 6 2 14" xfId="17184" xr:uid="{F81635F0-2DD2-46E2-ADEB-F812C93CC730}"/>
    <cellStyle name="Comma 6 2 15" xfId="19074" xr:uid="{9B915BE9-73E2-4122-9E81-9BCF3A4D3A14}"/>
    <cellStyle name="Comma 6 2 16" xfId="20964" xr:uid="{708AB4E1-5F1E-4B98-B6AC-CEC4658EAD20}"/>
    <cellStyle name="Comma 6 2 17" xfId="22854" xr:uid="{812E4B9C-B7FE-4187-A558-44E43432716B}"/>
    <cellStyle name="Comma 6 2 18" xfId="24744" xr:uid="{D705D349-6707-45EB-8E44-C3CC47F0592A}"/>
    <cellStyle name="Comma 6 2 19" xfId="26634" xr:uid="{EB0EF50D-1BB7-4B80-B43D-926C6BF26D73}"/>
    <cellStyle name="Comma 6 2 2" xfId="384" xr:uid="{6555EEDD-E4E2-4888-A6F9-F317CDD08E52}"/>
    <cellStyle name="Comma 6 2 2 10" xfId="13614" xr:uid="{9F67F80F-AD82-411A-9714-2B9CBD458261}"/>
    <cellStyle name="Comma 6 2 2 11" xfId="15504" xr:uid="{DE777113-CC64-4FDB-A7BC-36AF90B0C4A7}"/>
    <cellStyle name="Comma 6 2 2 12" xfId="17394" xr:uid="{EEDCA7AF-A716-47C0-AE63-C399CF6BCC50}"/>
    <cellStyle name="Comma 6 2 2 13" xfId="19284" xr:uid="{F4FCFB90-98E5-45EE-86F9-C4DEED33BFDC}"/>
    <cellStyle name="Comma 6 2 2 14" xfId="21174" xr:uid="{631038A4-1998-443A-AB26-6730EAB58319}"/>
    <cellStyle name="Comma 6 2 2 15" xfId="23064" xr:uid="{C4FC9861-98B8-471A-8A7C-1E51D5AFA5DA}"/>
    <cellStyle name="Comma 6 2 2 16" xfId="24954" xr:uid="{9DA6A9E7-4849-4D39-818B-12ABBB6C3228}"/>
    <cellStyle name="Comma 6 2 2 17" xfId="26844" xr:uid="{524E1625-6274-4D54-87CA-C05C91DBB29B}"/>
    <cellStyle name="Comma 6 2 2 18" xfId="28734" xr:uid="{069E5A1A-19B6-4A5B-8742-167E4059DFE3}"/>
    <cellStyle name="Comma 6 2 2 19" xfId="30624" xr:uid="{03FE0A90-7926-4C94-87E2-873F7B60DD96}"/>
    <cellStyle name="Comma 6 2 2 2" xfId="1014" xr:uid="{8CD10B5A-3CF4-4999-8DD8-8AC4A80FB40A}"/>
    <cellStyle name="Comma 6 2 2 2 10" xfId="18024" xr:uid="{CB002449-9CDA-449F-B595-1DCAAC7E299E}"/>
    <cellStyle name="Comma 6 2 2 2 11" xfId="19914" xr:uid="{53B5E88C-7B1E-446E-8160-24E32977CD11}"/>
    <cellStyle name="Comma 6 2 2 2 12" xfId="21804" xr:uid="{3CEBE608-6F95-4099-BADF-9C0AC5D35032}"/>
    <cellStyle name="Comma 6 2 2 2 13" xfId="23694" xr:uid="{4E4BE4DF-F15D-41AE-845A-D50FCE1A9045}"/>
    <cellStyle name="Comma 6 2 2 2 14" xfId="25584" xr:uid="{9DE86412-A283-4FBA-8C3B-273C019E7327}"/>
    <cellStyle name="Comma 6 2 2 2 15" xfId="27474" xr:uid="{3CBA9BDB-8E27-4ACD-B4B2-012FD71CC747}"/>
    <cellStyle name="Comma 6 2 2 2 16" xfId="29364" xr:uid="{383381F0-E6D2-41F9-85BA-9466568B5AB8}"/>
    <cellStyle name="Comma 6 2 2 2 17" xfId="31254" xr:uid="{6573984F-A5CC-450F-B001-BACF87ED21CE}"/>
    <cellStyle name="Comma 6 2 2 2 18" xfId="33144" xr:uid="{D86780CB-E268-43F1-A59E-8E5C0000232E}"/>
    <cellStyle name="Comma 6 2 2 2 19" xfId="35034" xr:uid="{8BBE6944-E690-40B6-8E26-32F7F30618C5}"/>
    <cellStyle name="Comma 6 2 2 2 2" xfId="2904" xr:uid="{9D097ED3-95F3-433C-8CA0-DA8789499466}"/>
    <cellStyle name="Comma 6 2 2 2 20" xfId="36924" xr:uid="{87E79485-62B5-4BBD-A694-AB25ACC11864}"/>
    <cellStyle name="Comma 6 2 2 2 21" xfId="38814" xr:uid="{65122C66-0AD3-48AC-890B-802AB64E74B5}"/>
    <cellStyle name="Comma 6 2 2 2 22" xfId="40705" xr:uid="{1CB1BCE3-25BF-4650-9B2D-81C58A5AC99B}"/>
    <cellStyle name="Comma 6 2 2 2 3" xfId="4794" xr:uid="{F1B250B8-FAC1-45F0-8F44-BE2D9C7DD8B6}"/>
    <cellStyle name="Comma 6 2 2 2 4" xfId="6684" xr:uid="{D90B4668-49EC-4D8D-B263-AF7F0ACDA3F4}"/>
    <cellStyle name="Comma 6 2 2 2 5" xfId="8574" xr:uid="{924DEE0C-5964-41DB-942C-0B09E784E42E}"/>
    <cellStyle name="Comma 6 2 2 2 6" xfId="10464" xr:uid="{482A3453-4540-407C-8A7B-CDC6E5964841}"/>
    <cellStyle name="Comma 6 2 2 2 7" xfId="12354" xr:uid="{EA8DF95E-2DB6-423F-893A-2CE01B3A1CAF}"/>
    <cellStyle name="Comma 6 2 2 2 8" xfId="14244" xr:uid="{66B3ABD0-CB1E-4689-9746-A9DB3598F339}"/>
    <cellStyle name="Comma 6 2 2 2 9" xfId="16134" xr:uid="{564578FB-7B02-4119-AC6C-38C87C550602}"/>
    <cellStyle name="Comma 6 2 2 20" xfId="32514" xr:uid="{70385E2B-ECB6-439C-910C-728295732AAA}"/>
    <cellStyle name="Comma 6 2 2 21" xfId="34404" xr:uid="{71F849A0-5461-4BD6-A42A-A0AD00B8A2AB}"/>
    <cellStyle name="Comma 6 2 2 22" xfId="36294" xr:uid="{935B3538-D597-4F45-9F0C-D0128FB94658}"/>
    <cellStyle name="Comma 6 2 2 23" xfId="38184" xr:uid="{8D95B34D-C628-4C5F-A8E9-8B7BE51351A7}"/>
    <cellStyle name="Comma 6 2 2 24" xfId="40075" xr:uid="{4C6BCD55-196F-47AE-809A-2B3593E5E91F}"/>
    <cellStyle name="Comma 6 2 2 3" xfId="1644" xr:uid="{51D7B2E7-0ECC-45F6-A5E6-E2FC98ADC6B0}"/>
    <cellStyle name="Comma 6 2 2 3 10" xfId="18654" xr:uid="{E61ED1B3-EF13-4664-BD44-BB7ABDAE6BC8}"/>
    <cellStyle name="Comma 6 2 2 3 11" xfId="20544" xr:uid="{CBE04622-DB00-4619-A190-8E7A7744BA43}"/>
    <cellStyle name="Comma 6 2 2 3 12" xfId="22434" xr:uid="{CBA75CEA-17CD-42D6-97FB-72DF050551E0}"/>
    <cellStyle name="Comma 6 2 2 3 13" xfId="24324" xr:uid="{A40B538B-27FB-4E62-8F6E-5A2E9B3DE48E}"/>
    <cellStyle name="Comma 6 2 2 3 14" xfId="26214" xr:uid="{E0EF5B60-9F6C-46F5-A3C3-1B30C505A5AE}"/>
    <cellStyle name="Comma 6 2 2 3 15" xfId="28104" xr:uid="{BA51CF1A-C36C-4380-9B72-08B88E08E672}"/>
    <cellStyle name="Comma 6 2 2 3 16" xfId="29994" xr:uid="{9599DAA9-C074-4A45-AA16-962EB5D5B719}"/>
    <cellStyle name="Comma 6 2 2 3 17" xfId="31884" xr:uid="{B9970C78-C7AA-4F34-B412-535931FD27BE}"/>
    <cellStyle name="Comma 6 2 2 3 18" xfId="33774" xr:uid="{33EC699C-1B8F-45A5-8F1C-24F3F1DF6ADB}"/>
    <cellStyle name="Comma 6 2 2 3 19" xfId="35664" xr:uid="{FD7D9568-A9A4-4F61-889F-3B9B96211073}"/>
    <cellStyle name="Comma 6 2 2 3 2" xfId="3534" xr:uid="{D828D23E-9983-42CA-90B8-207F0CE050EC}"/>
    <cellStyle name="Comma 6 2 2 3 20" xfId="37554" xr:uid="{5473FD59-8665-4510-9FD0-D74491D19CA4}"/>
    <cellStyle name="Comma 6 2 2 3 21" xfId="39444" xr:uid="{2F4C4C1D-FF25-4D31-B0C6-9CA4DAE30FEB}"/>
    <cellStyle name="Comma 6 2 2 3 22" xfId="41335" xr:uid="{B31210C7-5512-4BC5-AF4E-BB99B9F7A2BF}"/>
    <cellStyle name="Comma 6 2 2 3 3" xfId="5424" xr:uid="{95FBAD2F-3B7E-4711-A300-704676E4A71D}"/>
    <cellStyle name="Comma 6 2 2 3 4" xfId="7314" xr:uid="{83C3AFE5-1A3A-4E46-B5E1-F908AA836B34}"/>
    <cellStyle name="Comma 6 2 2 3 5" xfId="9204" xr:uid="{D1047740-15AD-4E78-BD37-A7C3A8DB7C2C}"/>
    <cellStyle name="Comma 6 2 2 3 6" xfId="11094" xr:uid="{CFF387EF-A4DD-4170-BE8E-548BB25543DF}"/>
    <cellStyle name="Comma 6 2 2 3 7" xfId="12984" xr:uid="{C83DF2E0-E34A-43A8-90D1-51E4BCE15166}"/>
    <cellStyle name="Comma 6 2 2 3 8" xfId="14874" xr:uid="{A141BB6D-EE25-405E-AA16-7F9B0D3C6B41}"/>
    <cellStyle name="Comma 6 2 2 3 9" xfId="16764" xr:uid="{E0F74242-DBCB-49A9-B9EC-046484F2CE55}"/>
    <cellStyle name="Comma 6 2 2 4" xfId="2274" xr:uid="{69B6DEB2-9E7A-4B30-A742-E7DE207B4338}"/>
    <cellStyle name="Comma 6 2 2 5" xfId="4164" xr:uid="{C269B2D6-40DC-4121-AF64-08ED62E12A51}"/>
    <cellStyle name="Comma 6 2 2 6" xfId="6054" xr:uid="{B2E9404D-CCC4-4418-BB4D-2B4005706E69}"/>
    <cellStyle name="Comma 6 2 2 7" xfId="7944" xr:uid="{EFCF02ED-8ED8-4D8A-9B1E-FA7B957A7C62}"/>
    <cellStyle name="Comma 6 2 2 8" xfId="9834" xr:uid="{FC802E6D-3E49-4054-8F8F-9F5318BE2174}"/>
    <cellStyle name="Comma 6 2 2 9" xfId="11724" xr:uid="{167C4D18-89B5-4AF3-85DF-47A96A3970A4}"/>
    <cellStyle name="Comma 6 2 20" xfId="28524" xr:uid="{5E491D4A-3FCF-4B71-98AF-22C564917498}"/>
    <cellStyle name="Comma 6 2 21" xfId="30414" xr:uid="{FA5B8CC6-7A5D-48CF-B0B0-16D7C622E7A8}"/>
    <cellStyle name="Comma 6 2 22" xfId="32304" xr:uid="{BD4EEC54-AC38-42D8-B14D-1A1AD884C535}"/>
    <cellStyle name="Comma 6 2 23" xfId="34194" xr:uid="{3293788C-91FD-410B-BE3E-C336F8CDE15A}"/>
    <cellStyle name="Comma 6 2 24" xfId="36084" xr:uid="{8DA8A888-1BED-47DE-8E94-C847AD73CC6A}"/>
    <cellStyle name="Comma 6 2 25" xfId="37974" xr:uid="{87C2ABE6-7D3C-41CD-8FE8-C8E9FBCCED3C}"/>
    <cellStyle name="Comma 6 2 26" xfId="39865" xr:uid="{97D13BB0-5762-4E02-AE33-EE4A22EC3460}"/>
    <cellStyle name="Comma 6 2 3" xfId="594" xr:uid="{A11ACA5D-3297-4EC1-BCFF-69D39F54345C}"/>
    <cellStyle name="Comma 6 2 3 10" xfId="13824" xr:uid="{997C0887-A722-40E6-940D-744F0EE76223}"/>
    <cellStyle name="Comma 6 2 3 11" xfId="15714" xr:uid="{6B8B729B-274C-4212-A121-FFAD19838305}"/>
    <cellStyle name="Comma 6 2 3 12" xfId="17604" xr:uid="{BF81F395-22E2-4B36-B69A-384EF041D6A6}"/>
    <cellStyle name="Comma 6 2 3 13" xfId="19494" xr:uid="{91CC48DC-7C08-4343-8830-6E1164454833}"/>
    <cellStyle name="Comma 6 2 3 14" xfId="21384" xr:uid="{4156AF67-B419-4BD5-94DC-967C7B4D302D}"/>
    <cellStyle name="Comma 6 2 3 15" xfId="23274" xr:uid="{041CC3A7-7175-48E5-AF1A-CC7EC03F6ACF}"/>
    <cellStyle name="Comma 6 2 3 16" xfId="25164" xr:uid="{4EEEB737-3A9B-43BE-9175-CA6B53135A59}"/>
    <cellStyle name="Comma 6 2 3 17" xfId="27054" xr:uid="{E25EFA30-77C1-4F14-B8C7-DD3595C3F26D}"/>
    <cellStyle name="Comma 6 2 3 18" xfId="28944" xr:uid="{2143E3E1-9200-41A5-A3B8-47418A35BA31}"/>
    <cellStyle name="Comma 6 2 3 19" xfId="30834" xr:uid="{4388CE28-8417-44B6-88C3-81F3B2278568}"/>
    <cellStyle name="Comma 6 2 3 2" xfId="1224" xr:uid="{02C240CE-13CD-4EC2-9CA0-EC0BEEA5FD6E}"/>
    <cellStyle name="Comma 6 2 3 2 10" xfId="18234" xr:uid="{9A3725F6-9B49-403A-9FF9-93327E0243D5}"/>
    <cellStyle name="Comma 6 2 3 2 11" xfId="20124" xr:uid="{B5D41821-D2E0-4714-96A2-38991C5EA159}"/>
    <cellStyle name="Comma 6 2 3 2 12" xfId="22014" xr:uid="{05B8F137-9B69-43D3-9B89-949D1A0F72AB}"/>
    <cellStyle name="Comma 6 2 3 2 13" xfId="23904" xr:uid="{00B537DF-0BFB-428B-AFDE-F83077590A16}"/>
    <cellStyle name="Comma 6 2 3 2 14" xfId="25794" xr:uid="{794C864D-9B28-49BB-BC02-FD6818ABA29B}"/>
    <cellStyle name="Comma 6 2 3 2 15" xfId="27684" xr:uid="{E9182DD0-36AB-4993-B59C-F27387020E4A}"/>
    <cellStyle name="Comma 6 2 3 2 16" xfId="29574" xr:uid="{080CA6D9-2F30-4810-8B74-F5DA9CCBA7B9}"/>
    <cellStyle name="Comma 6 2 3 2 17" xfId="31464" xr:uid="{BA43E2DD-FB0E-4E9A-A076-35D3B8A32C8F}"/>
    <cellStyle name="Comma 6 2 3 2 18" xfId="33354" xr:uid="{3A35668D-1E0B-40C1-B85E-F1C879F25FF6}"/>
    <cellStyle name="Comma 6 2 3 2 19" xfId="35244" xr:uid="{B2AB5C3E-7E66-40A6-A8CA-73B0B4D5D8C5}"/>
    <cellStyle name="Comma 6 2 3 2 2" xfId="3114" xr:uid="{64777FCB-A4FA-4137-9A75-98369DB74C36}"/>
    <cellStyle name="Comma 6 2 3 2 20" xfId="37134" xr:uid="{86A7029D-2C1E-46D7-A1F1-A67E66F89546}"/>
    <cellStyle name="Comma 6 2 3 2 21" xfId="39024" xr:uid="{B7775B40-54C0-46F3-8FC2-BB8A19BAFA86}"/>
    <cellStyle name="Comma 6 2 3 2 22" xfId="40915" xr:uid="{C3231B20-024B-434C-9E00-B3E8B540E745}"/>
    <cellStyle name="Comma 6 2 3 2 3" xfId="5004" xr:uid="{88944538-4663-49BA-B35F-E7CB4BC94F7E}"/>
    <cellStyle name="Comma 6 2 3 2 4" xfId="6894" xr:uid="{CA72617C-198E-4E18-BC42-CA5F6B740EB6}"/>
    <cellStyle name="Comma 6 2 3 2 5" xfId="8784" xr:uid="{1BA33E7E-A0FA-4E17-A9D4-974DA6C834A5}"/>
    <cellStyle name="Comma 6 2 3 2 6" xfId="10674" xr:uid="{F7BD759A-6F99-4AEB-ABDD-C0E1A8B46624}"/>
    <cellStyle name="Comma 6 2 3 2 7" xfId="12564" xr:uid="{BA0DAFB2-23F6-48E5-8348-C9589F3A6E37}"/>
    <cellStyle name="Comma 6 2 3 2 8" xfId="14454" xr:uid="{3976A926-EBDB-4F8F-88FF-005C64D5F87F}"/>
    <cellStyle name="Comma 6 2 3 2 9" xfId="16344" xr:uid="{2D41B9F1-4FB9-453C-929E-913B9EAA5551}"/>
    <cellStyle name="Comma 6 2 3 20" xfId="32724" xr:uid="{1D40F100-81AA-4134-8052-4F6EEF09F66D}"/>
    <cellStyle name="Comma 6 2 3 21" xfId="34614" xr:uid="{D9395BCA-6A08-4AD3-9492-0EAD2C30605E}"/>
    <cellStyle name="Comma 6 2 3 22" xfId="36504" xr:uid="{71E27FFC-13C9-4E50-9A01-7CF730B0B778}"/>
    <cellStyle name="Comma 6 2 3 23" xfId="38394" xr:uid="{000E7BD7-5B37-4230-85E3-5FB9FB9BB278}"/>
    <cellStyle name="Comma 6 2 3 24" xfId="40285" xr:uid="{5C60B48D-D0A8-44F7-AC96-531B1B23EB92}"/>
    <cellStyle name="Comma 6 2 3 3" xfId="1854" xr:uid="{E5078F87-DD02-48F2-9875-282881C2BDB0}"/>
    <cellStyle name="Comma 6 2 3 3 10" xfId="18864" xr:uid="{9D596B16-65D4-4E5C-8AEC-26785BEF8519}"/>
    <cellStyle name="Comma 6 2 3 3 11" xfId="20754" xr:uid="{E4A9AA45-D361-4B11-8803-B367A8D8D56E}"/>
    <cellStyle name="Comma 6 2 3 3 12" xfId="22644" xr:uid="{4D0EC082-0005-4D74-8E46-5E94372D2DB8}"/>
    <cellStyle name="Comma 6 2 3 3 13" xfId="24534" xr:uid="{EE30A0AF-9565-4D57-9115-CDE2E0B1CE79}"/>
    <cellStyle name="Comma 6 2 3 3 14" xfId="26424" xr:uid="{D10E03FC-7EE7-431F-BE79-8493539AB783}"/>
    <cellStyle name="Comma 6 2 3 3 15" xfId="28314" xr:uid="{C543FAEE-2672-4D14-A208-DD61EF937CAC}"/>
    <cellStyle name="Comma 6 2 3 3 16" xfId="30204" xr:uid="{DA689A66-395E-439F-B09E-C82F460E1EBE}"/>
    <cellStyle name="Comma 6 2 3 3 17" xfId="32094" xr:uid="{BE542C77-638D-45C9-9DCB-0D72EDAB8467}"/>
    <cellStyle name="Comma 6 2 3 3 18" xfId="33984" xr:uid="{A3E0F771-BE6E-475D-87CE-2898BD0792BA}"/>
    <cellStyle name="Comma 6 2 3 3 19" xfId="35874" xr:uid="{B3E2CA0E-D304-4150-ABA0-EF9F73BED75A}"/>
    <cellStyle name="Comma 6 2 3 3 2" xfId="3744" xr:uid="{4DCCF51E-D7A8-4B97-9F40-EC5F8667469F}"/>
    <cellStyle name="Comma 6 2 3 3 20" xfId="37764" xr:uid="{C89FD176-0858-4084-9369-05D2276ECBFE}"/>
    <cellStyle name="Comma 6 2 3 3 21" xfId="39654" xr:uid="{A4E70E3A-A71F-4214-A9F3-830B7AE0F9F5}"/>
    <cellStyle name="Comma 6 2 3 3 22" xfId="41545" xr:uid="{4601CCA9-2A14-49A9-9D5E-195B6DCE3E8F}"/>
    <cellStyle name="Comma 6 2 3 3 3" xfId="5634" xr:uid="{2D91878D-8E8D-464C-9D95-B9D0AC851181}"/>
    <cellStyle name="Comma 6 2 3 3 4" xfId="7524" xr:uid="{F8286175-09C7-4FE0-B438-99E134CB1CF6}"/>
    <cellStyle name="Comma 6 2 3 3 5" xfId="9414" xr:uid="{BFE0BA10-A602-41C9-B396-26075F6B0260}"/>
    <cellStyle name="Comma 6 2 3 3 6" xfId="11304" xr:uid="{545E567F-256B-427D-B230-27BE40438BC1}"/>
    <cellStyle name="Comma 6 2 3 3 7" xfId="13194" xr:uid="{9388BA9B-4781-4D43-89B6-7BF12344AF5E}"/>
    <cellStyle name="Comma 6 2 3 3 8" xfId="15084" xr:uid="{3963AB2E-0061-48E8-91FE-502FE6988A17}"/>
    <cellStyle name="Comma 6 2 3 3 9" xfId="16974" xr:uid="{E07C77CE-BDEF-4123-A2EB-EBACABD0869C}"/>
    <cellStyle name="Comma 6 2 3 4" xfId="2484" xr:uid="{3F8D889B-C525-4D02-B0C2-8F75AEA12744}"/>
    <cellStyle name="Comma 6 2 3 5" xfId="4374" xr:uid="{8BCE9813-5D6F-461D-AC13-AFAF8CEBF849}"/>
    <cellStyle name="Comma 6 2 3 6" xfId="6264" xr:uid="{0743344C-B6F0-4EE5-9B55-EA04D2B091FA}"/>
    <cellStyle name="Comma 6 2 3 7" xfId="8154" xr:uid="{01BB443B-BAAF-4A86-95B3-DE02CDFB0CDA}"/>
    <cellStyle name="Comma 6 2 3 8" xfId="10044" xr:uid="{D9B09D0D-7D1E-43DC-8DAB-F1B416D3CDEB}"/>
    <cellStyle name="Comma 6 2 3 9" xfId="11934" xr:uid="{EA9050FA-A846-489D-ADF7-68EAFC6C2C8C}"/>
    <cellStyle name="Comma 6 2 4" xfId="804" xr:uid="{FC6F1E77-2FF4-4878-AE88-09A81471016D}"/>
    <cellStyle name="Comma 6 2 4 10" xfId="17814" xr:uid="{B7B49A8C-60A8-4F93-A81D-1DF6F9555300}"/>
    <cellStyle name="Comma 6 2 4 11" xfId="19704" xr:uid="{DF615E60-A6F4-4245-B7D5-4127DFE5E638}"/>
    <cellStyle name="Comma 6 2 4 12" xfId="21594" xr:uid="{76E6406D-D15F-4B18-BEE5-E8D49B2D88D0}"/>
    <cellStyle name="Comma 6 2 4 13" xfId="23484" xr:uid="{0461CD15-18E4-4845-A4B1-397F87B971A6}"/>
    <cellStyle name="Comma 6 2 4 14" xfId="25374" xr:uid="{CDD7A2C5-D622-41AF-B136-9DA1E5DCC7C0}"/>
    <cellStyle name="Comma 6 2 4 15" xfId="27264" xr:uid="{897E992F-9EC0-4DB9-BBA2-6C554BFC0556}"/>
    <cellStyle name="Comma 6 2 4 16" xfId="29154" xr:uid="{703446D6-12DA-419D-888A-2261091D008A}"/>
    <cellStyle name="Comma 6 2 4 17" xfId="31044" xr:uid="{41028CD6-FAAE-4732-944C-2D80B3E862EF}"/>
    <cellStyle name="Comma 6 2 4 18" xfId="32934" xr:uid="{30B5C315-7C93-48D2-A0FD-E75F13513B94}"/>
    <cellStyle name="Comma 6 2 4 19" xfId="34824" xr:uid="{BF641F47-05D9-4D59-B04F-1851AAED6BAB}"/>
    <cellStyle name="Comma 6 2 4 2" xfId="2694" xr:uid="{53331FC4-6767-4AAF-A572-9FB2474A39DE}"/>
    <cellStyle name="Comma 6 2 4 20" xfId="36714" xr:uid="{05FDB139-0753-4B97-8328-59ACBD57EA00}"/>
    <cellStyle name="Comma 6 2 4 21" xfId="38604" xr:uid="{2D317291-154F-480B-B850-778FE2C75D44}"/>
    <cellStyle name="Comma 6 2 4 22" xfId="40495" xr:uid="{70E38522-B220-43B2-8CDA-30B993520E93}"/>
    <cellStyle name="Comma 6 2 4 3" xfId="4584" xr:uid="{E0202A4A-E96B-41C3-801E-98BAC54C4E3B}"/>
    <cellStyle name="Comma 6 2 4 4" xfId="6474" xr:uid="{67349639-5D39-4D9D-8AF6-0AA0A7C096F1}"/>
    <cellStyle name="Comma 6 2 4 5" xfId="8364" xr:uid="{E14866F2-4788-495F-809F-F319B5301413}"/>
    <cellStyle name="Comma 6 2 4 6" xfId="10254" xr:uid="{64DFE913-CE66-44FD-87F3-725F23EC3CA3}"/>
    <cellStyle name="Comma 6 2 4 7" xfId="12144" xr:uid="{7A91031B-3F9B-45BB-BCE1-1F672E5C757D}"/>
    <cellStyle name="Comma 6 2 4 8" xfId="14034" xr:uid="{84961BF2-7C57-4121-85AB-7110AFB307EF}"/>
    <cellStyle name="Comma 6 2 4 9" xfId="15924" xr:uid="{2DA69DE8-B765-4EDF-82DD-C66DF6F8EA11}"/>
    <cellStyle name="Comma 6 2 5" xfId="1434" xr:uid="{80224421-745D-48A8-A8B2-B7E44309424A}"/>
    <cellStyle name="Comma 6 2 5 10" xfId="18444" xr:uid="{3BF673A8-9254-4099-A049-1D6CCAFBAC8D}"/>
    <cellStyle name="Comma 6 2 5 11" xfId="20334" xr:uid="{87139FB2-81B5-4E18-A3DC-4D6B0586E4FC}"/>
    <cellStyle name="Comma 6 2 5 12" xfId="22224" xr:uid="{326A017F-5908-4E6B-8AF7-AD505FE03026}"/>
    <cellStyle name="Comma 6 2 5 13" xfId="24114" xr:uid="{B92E1082-14BB-4893-A723-41C48AC3CB9A}"/>
    <cellStyle name="Comma 6 2 5 14" xfId="26004" xr:uid="{A6C2855B-CADB-4A82-B7CE-E20AEDEBC944}"/>
    <cellStyle name="Comma 6 2 5 15" xfId="27894" xr:uid="{DBDB73DD-0CB2-407A-8C1A-27BBA8D031BA}"/>
    <cellStyle name="Comma 6 2 5 16" xfId="29784" xr:uid="{D7915653-E394-4BE4-B0EA-7E8EFD0D7797}"/>
    <cellStyle name="Comma 6 2 5 17" xfId="31674" xr:uid="{8638E4DF-765F-4D93-B8F6-7ACCD3406300}"/>
    <cellStyle name="Comma 6 2 5 18" xfId="33564" xr:uid="{302CBA6A-EFEE-4617-B646-301A6263383B}"/>
    <cellStyle name="Comma 6 2 5 19" xfId="35454" xr:uid="{6D379A81-6B36-481C-B9D3-927BDFB368D4}"/>
    <cellStyle name="Comma 6 2 5 2" xfId="3324" xr:uid="{596F75AE-8DF3-430E-BB58-8ED27F83B745}"/>
    <cellStyle name="Comma 6 2 5 20" xfId="37344" xr:uid="{87D95AE9-7964-4768-87CB-684584F80896}"/>
    <cellStyle name="Comma 6 2 5 21" xfId="39234" xr:uid="{3EBE77CB-B72D-4E62-8376-5D38A70A033C}"/>
    <cellStyle name="Comma 6 2 5 22" xfId="41125" xr:uid="{B92B9839-EACE-4C32-9C15-0938EDA7AC72}"/>
    <cellStyle name="Comma 6 2 5 3" xfId="5214" xr:uid="{4AC449C6-387C-4D96-A35C-21F61BEEDD36}"/>
    <cellStyle name="Comma 6 2 5 4" xfId="7104" xr:uid="{0E1223C9-6B16-41F4-A6DB-E841547E4377}"/>
    <cellStyle name="Comma 6 2 5 5" xfId="8994" xr:uid="{18362E95-6A39-4F99-861B-BF1FF3B80F2A}"/>
    <cellStyle name="Comma 6 2 5 6" xfId="10884" xr:uid="{EBEC6E21-2FD5-41C4-8266-F73380D730E2}"/>
    <cellStyle name="Comma 6 2 5 7" xfId="12774" xr:uid="{FD3312B8-EB44-42E2-8D60-1AB51CDDDE75}"/>
    <cellStyle name="Comma 6 2 5 8" xfId="14664" xr:uid="{BF9ED51A-E71C-493C-BF9E-4901D04D3C62}"/>
    <cellStyle name="Comma 6 2 5 9" xfId="16554" xr:uid="{75E4A5F2-C8DA-4FD4-AB28-8F5D52E932E4}"/>
    <cellStyle name="Comma 6 2 6" xfId="2064" xr:uid="{F4D1873B-9DC5-4AAD-877D-B3355B4790EA}"/>
    <cellStyle name="Comma 6 2 7" xfId="3954" xr:uid="{75A404FF-6FC9-4528-B5B3-07A3E24E0114}"/>
    <cellStyle name="Comma 6 2 8" xfId="5844" xr:uid="{C8A29D15-4BEB-47CA-B62D-552CAD2FC986}"/>
    <cellStyle name="Comma 6 2 9" xfId="7734" xr:uid="{2367F2E5-0600-475F-8D8F-D4FD2F05921F}"/>
    <cellStyle name="Comma 6 20" xfId="26529" xr:uid="{C4DE360B-3A29-4E59-9751-E1E2EB20440A}"/>
    <cellStyle name="Comma 6 21" xfId="28419" xr:uid="{5EE56098-E8C9-4336-AACE-5AB9565654A4}"/>
    <cellStyle name="Comma 6 22" xfId="30309" xr:uid="{0DB1598D-2C02-43EF-B7C6-F98E65AD87F1}"/>
    <cellStyle name="Comma 6 23" xfId="32199" xr:uid="{DDB32766-B1BC-4819-91DB-51C8804C69AF}"/>
    <cellStyle name="Comma 6 24" xfId="34089" xr:uid="{C302E20B-BE3D-4212-BBEA-94AC7686B980}"/>
    <cellStyle name="Comma 6 25" xfId="35979" xr:uid="{24C6DD30-9ADE-4578-B3D5-AF325B1DA4F8}"/>
    <cellStyle name="Comma 6 26" xfId="37869" xr:uid="{515458B1-423C-4EA5-BF4D-A583F42322E0}"/>
    <cellStyle name="Comma 6 27" xfId="39760" xr:uid="{A1282F1E-4B70-4985-8B8E-30DA3141BD21}"/>
    <cellStyle name="Comma 6 3" xfId="279" xr:uid="{689A698F-A80A-426A-ACAA-5C334E90B1D5}"/>
    <cellStyle name="Comma 6 3 10" xfId="13509" xr:uid="{E736DF21-630E-4536-92B3-8A2516024A9B}"/>
    <cellStyle name="Comma 6 3 11" xfId="15399" xr:uid="{61F6D4C5-B00B-494A-9AFD-B9D0FF34DB47}"/>
    <cellStyle name="Comma 6 3 12" xfId="17289" xr:uid="{101C97AD-A0E9-43F8-851A-32B49CA28FAB}"/>
    <cellStyle name="Comma 6 3 13" xfId="19179" xr:uid="{0CB9C8AB-09D1-48BF-B22F-931F8CE11D95}"/>
    <cellStyle name="Comma 6 3 14" xfId="21069" xr:uid="{A519378C-A576-4D82-9D24-348295400593}"/>
    <cellStyle name="Comma 6 3 15" xfId="22959" xr:uid="{E86C60A9-E596-43E3-B9DD-5D7AB02841CA}"/>
    <cellStyle name="Comma 6 3 16" xfId="24849" xr:uid="{CE00BA68-3265-4D4B-99E9-B8E688FB1830}"/>
    <cellStyle name="Comma 6 3 17" xfId="26739" xr:uid="{91D52BE7-88B7-43D1-B0BB-8F56BD2CF385}"/>
    <cellStyle name="Comma 6 3 18" xfId="28629" xr:uid="{05BB2DE4-34EC-407D-A6E8-E13E91A4C7FC}"/>
    <cellStyle name="Comma 6 3 19" xfId="30519" xr:uid="{7350CE7B-FB12-43A6-B3B7-138F4147C3B5}"/>
    <cellStyle name="Comma 6 3 2" xfId="909" xr:uid="{F3FD97D1-CA8F-45DB-8C11-9AF6A323718D}"/>
    <cellStyle name="Comma 6 3 2 10" xfId="17919" xr:uid="{59A9A6DB-E6A7-4130-8A64-A159A2365801}"/>
    <cellStyle name="Comma 6 3 2 11" xfId="19809" xr:uid="{429ED0B0-D517-4248-8963-EA0C230EDAA5}"/>
    <cellStyle name="Comma 6 3 2 12" xfId="21699" xr:uid="{0E1D07A5-F530-4458-8341-D38132FDCAA1}"/>
    <cellStyle name="Comma 6 3 2 13" xfId="23589" xr:uid="{2B1288F6-00FB-4942-87FE-69B9EB36608E}"/>
    <cellStyle name="Comma 6 3 2 14" xfId="25479" xr:uid="{1E1BCC1D-63C9-4233-AD41-5F0DB5E0D097}"/>
    <cellStyle name="Comma 6 3 2 15" xfId="27369" xr:uid="{D31335C8-5F04-4C0F-B036-ABDF7C35F90B}"/>
    <cellStyle name="Comma 6 3 2 16" xfId="29259" xr:uid="{01A95362-1771-4A6B-BCC2-FD31BFEF6194}"/>
    <cellStyle name="Comma 6 3 2 17" xfId="31149" xr:uid="{C9BB03C3-FE29-484F-9891-0F1430EE9F52}"/>
    <cellStyle name="Comma 6 3 2 18" xfId="33039" xr:uid="{99FC7913-76D7-417E-8DA3-47928D5C730B}"/>
    <cellStyle name="Comma 6 3 2 19" xfId="34929" xr:uid="{C07D76F8-9F25-4F79-AF09-46BDA538BDAA}"/>
    <cellStyle name="Comma 6 3 2 2" xfId="2799" xr:uid="{2F17E8F5-CD67-4DE7-826C-D3BE0037507F}"/>
    <cellStyle name="Comma 6 3 2 20" xfId="36819" xr:uid="{1151491F-947B-4E5D-A533-142FEC9C68EA}"/>
    <cellStyle name="Comma 6 3 2 21" xfId="38709" xr:uid="{C72163ED-B6FA-4E84-95B8-4C8E9295591C}"/>
    <cellStyle name="Comma 6 3 2 22" xfId="40600" xr:uid="{A3B32025-552A-444E-9BD4-2C0C8B4D542A}"/>
    <cellStyle name="Comma 6 3 2 3" xfId="4689" xr:uid="{2C7D775B-5774-4FAC-B694-99445D3E0730}"/>
    <cellStyle name="Comma 6 3 2 4" xfId="6579" xr:uid="{9E4FA55B-A503-4494-BB81-B81009246453}"/>
    <cellStyle name="Comma 6 3 2 5" xfId="8469" xr:uid="{EC18752E-1118-4976-BC35-3FBC0D5B30DF}"/>
    <cellStyle name="Comma 6 3 2 6" xfId="10359" xr:uid="{5D25C7E2-EA1F-4A8F-88CA-9FC7DD534A7E}"/>
    <cellStyle name="Comma 6 3 2 7" xfId="12249" xr:uid="{AE1BB3B2-09FC-437C-8F40-E33C2FE91127}"/>
    <cellStyle name="Comma 6 3 2 8" xfId="14139" xr:uid="{97CDCF4A-D569-4EC8-BC0C-008B1C1C877D}"/>
    <cellStyle name="Comma 6 3 2 9" xfId="16029" xr:uid="{EA352110-104F-4A9C-BA8C-88D5AEF77EDF}"/>
    <cellStyle name="Comma 6 3 20" xfId="32409" xr:uid="{CAEB5B5E-8F9A-46AB-BCBA-4E4D434319E6}"/>
    <cellStyle name="Comma 6 3 21" xfId="34299" xr:uid="{E87362B1-6B3A-49D0-AC3E-2D25D32142DD}"/>
    <cellStyle name="Comma 6 3 22" xfId="36189" xr:uid="{14FC35CD-BBE0-44D0-807B-F4C3D7BFC1E2}"/>
    <cellStyle name="Comma 6 3 23" xfId="38079" xr:uid="{1CE2C15C-9477-452D-8CED-36B516ABB4AC}"/>
    <cellStyle name="Comma 6 3 24" xfId="39970" xr:uid="{30DACEF3-D114-4F4C-A4AB-671E9AE24550}"/>
    <cellStyle name="Comma 6 3 3" xfId="1539" xr:uid="{578C39A8-DA6B-418F-9656-0B6887AA5430}"/>
    <cellStyle name="Comma 6 3 3 10" xfId="18549" xr:uid="{BAAFECBA-E5F4-4DC5-9C15-CD8C6006DF99}"/>
    <cellStyle name="Comma 6 3 3 11" xfId="20439" xr:uid="{EA50E1E9-C59D-45B2-B4EE-B900F7F3AA60}"/>
    <cellStyle name="Comma 6 3 3 12" xfId="22329" xr:uid="{74A80F38-4639-4B4A-B546-65BC9BD6CC9A}"/>
    <cellStyle name="Comma 6 3 3 13" xfId="24219" xr:uid="{35C36505-35F9-420D-ADB0-2B9283139507}"/>
    <cellStyle name="Comma 6 3 3 14" xfId="26109" xr:uid="{CF8414FD-06F8-47DE-A400-9571AC199BCB}"/>
    <cellStyle name="Comma 6 3 3 15" xfId="27999" xr:uid="{01E133B3-801E-4F96-A94E-19D7D2955AE3}"/>
    <cellStyle name="Comma 6 3 3 16" xfId="29889" xr:uid="{F6C44092-677B-49A1-A6B1-234C6FD285B4}"/>
    <cellStyle name="Comma 6 3 3 17" xfId="31779" xr:uid="{48A0F771-6EE9-4E27-922D-A48F17981DA9}"/>
    <cellStyle name="Comma 6 3 3 18" xfId="33669" xr:uid="{4895591D-394C-420A-9157-7D4C55450116}"/>
    <cellStyle name="Comma 6 3 3 19" xfId="35559" xr:uid="{B5FB7667-2ECC-42B4-AF33-AFFA45C2D67F}"/>
    <cellStyle name="Comma 6 3 3 2" xfId="3429" xr:uid="{66D005E1-442C-4F10-AF16-DCD606C38939}"/>
    <cellStyle name="Comma 6 3 3 20" xfId="37449" xr:uid="{7224036B-3A54-48F7-90C6-8FADD6361E21}"/>
    <cellStyle name="Comma 6 3 3 21" xfId="39339" xr:uid="{495FF2FA-63DC-4D7F-8CA1-2D1BBBBC64DD}"/>
    <cellStyle name="Comma 6 3 3 22" xfId="41230" xr:uid="{5E6C0C83-ACD4-4CC5-869F-D382EEA695B9}"/>
    <cellStyle name="Comma 6 3 3 3" xfId="5319" xr:uid="{5F2391B7-590B-4EA6-A55C-D3787DCFB3E5}"/>
    <cellStyle name="Comma 6 3 3 4" xfId="7209" xr:uid="{59CB762B-0375-4893-B66C-934BF1F2BF2A}"/>
    <cellStyle name="Comma 6 3 3 5" xfId="9099" xr:uid="{1DF87FF3-5D1D-486D-8AAF-1D79B8A243F6}"/>
    <cellStyle name="Comma 6 3 3 6" xfId="10989" xr:uid="{260F2712-84A0-4655-A457-0247B1B9FE3F}"/>
    <cellStyle name="Comma 6 3 3 7" xfId="12879" xr:uid="{CC90B293-8B2A-4FE7-94CC-53F7B843EF4D}"/>
    <cellStyle name="Comma 6 3 3 8" xfId="14769" xr:uid="{1F24DA42-C8CD-4B1D-B946-2EA6B8EEAEE8}"/>
    <cellStyle name="Comma 6 3 3 9" xfId="16659" xr:uid="{185F516D-D563-429D-A999-1D0DEEC6FA29}"/>
    <cellStyle name="Comma 6 3 4" xfId="2169" xr:uid="{1D6D5865-D282-471B-9539-A2AFF1A03CCE}"/>
    <cellStyle name="Comma 6 3 5" xfId="4059" xr:uid="{32EA4A8B-EA03-4B6D-B857-7D1A3741C340}"/>
    <cellStyle name="Comma 6 3 6" xfId="5949" xr:uid="{05CEA74A-1F92-4C9A-914F-B5DDE72DF436}"/>
    <cellStyle name="Comma 6 3 7" xfId="7839" xr:uid="{F8DE20F1-CC39-4287-B498-68C63224A60C}"/>
    <cellStyle name="Comma 6 3 8" xfId="9729" xr:uid="{9CC61F74-26DC-43D1-B376-C5A717C2BA88}"/>
    <cellStyle name="Comma 6 3 9" xfId="11619" xr:uid="{7EB39D5A-BF93-4DC6-8F13-BB27C64C961A}"/>
    <cellStyle name="Comma 6 4" xfId="489" xr:uid="{16CF600C-A881-46B7-A705-5C1D5D6B8881}"/>
    <cellStyle name="Comma 6 4 10" xfId="13719" xr:uid="{F4E741F6-C42A-4304-AFEC-795559050A89}"/>
    <cellStyle name="Comma 6 4 11" xfId="15609" xr:uid="{0CAD1A3D-EACD-4100-9500-CA3B03CC4384}"/>
    <cellStyle name="Comma 6 4 12" xfId="17499" xr:uid="{8FC87414-231B-460B-B3A0-02802CEE1248}"/>
    <cellStyle name="Comma 6 4 13" xfId="19389" xr:uid="{B1186788-7073-4A92-8C44-118BC52C1538}"/>
    <cellStyle name="Comma 6 4 14" xfId="21279" xr:uid="{85EAE46C-4D57-4809-BD18-9CD40CE0E4CC}"/>
    <cellStyle name="Comma 6 4 15" xfId="23169" xr:uid="{E42C93D1-92B9-436F-A551-3D94B7B3724A}"/>
    <cellStyle name="Comma 6 4 16" xfId="25059" xr:uid="{A73ED42A-F75F-4D7F-AB07-35DFEAECB738}"/>
    <cellStyle name="Comma 6 4 17" xfId="26949" xr:uid="{316E5031-98CF-42D9-94C8-20298C7521B1}"/>
    <cellStyle name="Comma 6 4 18" xfId="28839" xr:uid="{9EDE77DD-CD38-4A97-B00E-42B0CECC038C}"/>
    <cellStyle name="Comma 6 4 19" xfId="30729" xr:uid="{2A77FD51-B08C-47AE-B296-579930FF86D3}"/>
    <cellStyle name="Comma 6 4 2" xfId="1119" xr:uid="{6DC79124-AE1E-479E-ADE2-BA3EEAC1DA5E}"/>
    <cellStyle name="Comma 6 4 2 10" xfId="18129" xr:uid="{5B71EBAA-23A6-4523-A19E-13DD22380BAF}"/>
    <cellStyle name="Comma 6 4 2 11" xfId="20019" xr:uid="{4124B4C4-5424-4302-8238-26CAE7A3BE20}"/>
    <cellStyle name="Comma 6 4 2 12" xfId="21909" xr:uid="{3639A0C8-B887-4475-A1F6-DE7EAEAA5B0D}"/>
    <cellStyle name="Comma 6 4 2 13" xfId="23799" xr:uid="{F9847F89-AF9A-43B0-A584-77764BF91537}"/>
    <cellStyle name="Comma 6 4 2 14" xfId="25689" xr:uid="{D57C5580-720D-4926-B4DE-FFE9A0A2E62B}"/>
    <cellStyle name="Comma 6 4 2 15" xfId="27579" xr:uid="{B9085232-8012-4B36-ABB1-BDB26D9B2F7F}"/>
    <cellStyle name="Comma 6 4 2 16" xfId="29469" xr:uid="{BC94B1F1-0FF2-4AD0-B8EB-3E54A7AAFF90}"/>
    <cellStyle name="Comma 6 4 2 17" xfId="31359" xr:uid="{5AF83214-3417-4501-AF12-66F2B7308F08}"/>
    <cellStyle name="Comma 6 4 2 18" xfId="33249" xr:uid="{9DE0CB59-DFB1-4049-B03A-4C6EC76A0155}"/>
    <cellStyle name="Comma 6 4 2 19" xfId="35139" xr:uid="{09EC7E63-8694-487D-9469-5E3B1017256C}"/>
    <cellStyle name="Comma 6 4 2 2" xfId="3009" xr:uid="{F77E8B57-EA4B-40C0-859F-4ADD54CB20AF}"/>
    <cellStyle name="Comma 6 4 2 20" xfId="37029" xr:uid="{0C60830D-CE26-442B-AB70-AFC7349F4054}"/>
    <cellStyle name="Comma 6 4 2 21" xfId="38919" xr:uid="{209FEE41-4C2B-4DBB-86FD-F680C1EEF25D}"/>
    <cellStyle name="Comma 6 4 2 22" xfId="40810" xr:uid="{4257DD47-5B92-4820-86DB-76B44795E6D1}"/>
    <cellStyle name="Comma 6 4 2 3" xfId="4899" xr:uid="{6A1F4612-8F85-4B2A-8C96-1C4ABAAC2191}"/>
    <cellStyle name="Comma 6 4 2 4" xfId="6789" xr:uid="{8F0D4D4A-9BB8-4E62-96C4-F9A8BF19FCFF}"/>
    <cellStyle name="Comma 6 4 2 5" xfId="8679" xr:uid="{19EC2806-7F51-4BB5-A9FE-C2D7A799A9C6}"/>
    <cellStyle name="Comma 6 4 2 6" xfId="10569" xr:uid="{44C1CE2F-665D-4344-B504-C5B03553379D}"/>
    <cellStyle name="Comma 6 4 2 7" xfId="12459" xr:uid="{DD1A91DA-390F-4545-9237-BC4A4A5CF4F2}"/>
    <cellStyle name="Comma 6 4 2 8" xfId="14349" xr:uid="{59D8F736-F516-44AB-913E-CD2C5D63B622}"/>
    <cellStyle name="Comma 6 4 2 9" xfId="16239" xr:uid="{E301D450-6157-4632-958C-CA76D1A8ECC7}"/>
    <cellStyle name="Comma 6 4 20" xfId="32619" xr:uid="{6838D5CE-BE84-4334-A80F-A87A3FDE5DD4}"/>
    <cellStyle name="Comma 6 4 21" xfId="34509" xr:uid="{1E06E9EB-B4D7-4D37-B12F-E2E8BE80894D}"/>
    <cellStyle name="Comma 6 4 22" xfId="36399" xr:uid="{5C3BCC21-8D89-4604-89EF-8E3F143E36F4}"/>
    <cellStyle name="Comma 6 4 23" xfId="38289" xr:uid="{D0047EDC-89AC-4A09-AD41-AFB0D2C53241}"/>
    <cellStyle name="Comma 6 4 24" xfId="40180" xr:uid="{A2B78F89-3FA7-4F5F-A120-467678FDA150}"/>
    <cellStyle name="Comma 6 4 3" xfId="1749" xr:uid="{68FA9947-B8EB-48C4-AA33-523E3E993D94}"/>
    <cellStyle name="Comma 6 4 3 10" xfId="18759" xr:uid="{4DE17C28-CB88-4346-9BE3-56E01E2DCECA}"/>
    <cellStyle name="Comma 6 4 3 11" xfId="20649" xr:uid="{4120349E-5084-47A2-9899-828A8D4349AA}"/>
    <cellStyle name="Comma 6 4 3 12" xfId="22539" xr:uid="{8D0695C2-B95A-44B9-9B00-1D2D0FBDCC9B}"/>
    <cellStyle name="Comma 6 4 3 13" xfId="24429" xr:uid="{54F2D520-6DBA-4FAE-A543-545C64CC59F4}"/>
    <cellStyle name="Comma 6 4 3 14" xfId="26319" xr:uid="{7257C062-29AE-420E-927D-0521E8B30697}"/>
    <cellStyle name="Comma 6 4 3 15" xfId="28209" xr:uid="{3C98DF07-8492-4D3C-935D-A137689045AC}"/>
    <cellStyle name="Comma 6 4 3 16" xfId="30099" xr:uid="{2E309E77-6058-4B7A-A162-47F7A62066B8}"/>
    <cellStyle name="Comma 6 4 3 17" xfId="31989" xr:uid="{B4551AE8-53FA-4DEC-9859-75475DA50ADB}"/>
    <cellStyle name="Comma 6 4 3 18" xfId="33879" xr:uid="{83CFC129-390A-4859-B6C4-6F74D8D324FE}"/>
    <cellStyle name="Comma 6 4 3 19" xfId="35769" xr:uid="{B1CA4900-FB38-4773-9B3F-8D78C60F695F}"/>
    <cellStyle name="Comma 6 4 3 2" xfId="3639" xr:uid="{FB993079-F919-4CBF-885B-5AE6E0F9266F}"/>
    <cellStyle name="Comma 6 4 3 20" xfId="37659" xr:uid="{1F9FCFBB-B720-4C59-96D0-546137C235C3}"/>
    <cellStyle name="Comma 6 4 3 21" xfId="39549" xr:uid="{182FF97B-4D3D-4F40-9895-236C0A3BD79F}"/>
    <cellStyle name="Comma 6 4 3 22" xfId="41440" xr:uid="{F02643F3-29E8-41E7-B910-21160E7EFB15}"/>
    <cellStyle name="Comma 6 4 3 3" xfId="5529" xr:uid="{CFFCB9E9-02D3-4550-8593-C7C55447D803}"/>
    <cellStyle name="Comma 6 4 3 4" xfId="7419" xr:uid="{D48A59F0-E303-4A3B-BA5A-CFAD8F191A4D}"/>
    <cellStyle name="Comma 6 4 3 5" xfId="9309" xr:uid="{8F036586-B009-4D22-8FBC-4145068729B5}"/>
    <cellStyle name="Comma 6 4 3 6" xfId="11199" xr:uid="{2A8A1974-8044-4767-BA73-E60E56499EA5}"/>
    <cellStyle name="Comma 6 4 3 7" xfId="13089" xr:uid="{007B6106-AD74-4069-AB18-055C51FD23E6}"/>
    <cellStyle name="Comma 6 4 3 8" xfId="14979" xr:uid="{44E659A3-7222-4529-B36C-77508F25FE4A}"/>
    <cellStyle name="Comma 6 4 3 9" xfId="16869" xr:uid="{9C38C053-0EB6-48AC-8866-63F50C812F6E}"/>
    <cellStyle name="Comma 6 4 4" xfId="2379" xr:uid="{E9FEA947-4B40-4675-B5E7-AC8EE84D6474}"/>
    <cellStyle name="Comma 6 4 5" xfId="4269" xr:uid="{1B1789EA-A78D-4812-867E-8FD15F8BDAB8}"/>
    <cellStyle name="Comma 6 4 6" xfId="6159" xr:uid="{2B77B224-1584-4A2F-B925-92122EB9C69F}"/>
    <cellStyle name="Comma 6 4 7" xfId="8049" xr:uid="{964FE430-7111-4DD3-A68C-26947B4D55E6}"/>
    <cellStyle name="Comma 6 4 8" xfId="9939" xr:uid="{C908B2A9-43F7-4085-AACD-89CA2704FD0D}"/>
    <cellStyle name="Comma 6 4 9" xfId="11829" xr:uid="{D4DBE1BF-6FE2-43AC-BEF3-4DE6558ECB86}"/>
    <cellStyle name="Comma 6 5" xfId="699" xr:uid="{2E8AE58A-7C25-4EB3-887F-9421D81326F4}"/>
    <cellStyle name="Comma 6 5 10" xfId="17709" xr:uid="{E80F6F23-80D3-44CA-A251-0BEE9A571DDC}"/>
    <cellStyle name="Comma 6 5 11" xfId="19599" xr:uid="{120258F6-C424-49A0-9CFC-57895B812099}"/>
    <cellStyle name="Comma 6 5 12" xfId="21489" xr:uid="{299E229B-85E4-417D-BFCF-0F80B4EE64BC}"/>
    <cellStyle name="Comma 6 5 13" xfId="23379" xr:uid="{BF2B45A3-C36B-4F15-9D1F-DB208CF0ECDC}"/>
    <cellStyle name="Comma 6 5 14" xfId="25269" xr:uid="{113185BB-29DD-4463-AEAB-618E3C3697B5}"/>
    <cellStyle name="Comma 6 5 15" xfId="27159" xr:uid="{EC35C635-6456-4E91-A959-92B8D7F31DA4}"/>
    <cellStyle name="Comma 6 5 16" xfId="29049" xr:uid="{B4FF4452-37F5-449C-B15A-10358935F06A}"/>
    <cellStyle name="Comma 6 5 17" xfId="30939" xr:uid="{324C5688-20D4-4B91-98E0-9936F7368529}"/>
    <cellStyle name="Comma 6 5 18" xfId="32829" xr:uid="{8C594269-F1F1-4A62-8CF7-0B256639F41C}"/>
    <cellStyle name="Comma 6 5 19" xfId="34719" xr:uid="{CD44BD4D-1ADA-40CC-B2EF-1C34A46601AC}"/>
    <cellStyle name="Comma 6 5 2" xfId="2589" xr:uid="{EC50C7B4-DBFC-40E1-B6D1-C961AE669079}"/>
    <cellStyle name="Comma 6 5 20" xfId="36609" xr:uid="{4FEA6385-50DF-4011-8A6F-9A7BA087E8F8}"/>
    <cellStyle name="Comma 6 5 21" xfId="38499" xr:uid="{D6221EF1-2D1D-40A7-AF4A-1A5C2CDE33BD}"/>
    <cellStyle name="Comma 6 5 22" xfId="40390" xr:uid="{F075AB09-227E-4A52-A761-FFB8EE097882}"/>
    <cellStyle name="Comma 6 5 3" xfId="4479" xr:uid="{9389D738-DEA0-48AB-BC8A-54B0B260702C}"/>
    <cellStyle name="Comma 6 5 4" xfId="6369" xr:uid="{1F50A339-CA36-48C5-ACB4-7A146319298D}"/>
    <cellStyle name="Comma 6 5 5" xfId="8259" xr:uid="{61C344F6-0A29-4FE1-94AE-C9D427970712}"/>
    <cellStyle name="Comma 6 5 6" xfId="10149" xr:uid="{0AAADEC3-2AD4-4FA6-81F0-698B7A26113F}"/>
    <cellStyle name="Comma 6 5 7" xfId="12039" xr:uid="{647C7119-9C40-4E7B-9BA0-F672AA8E9E19}"/>
    <cellStyle name="Comma 6 5 8" xfId="13929" xr:uid="{EAF8C21B-1379-4AB6-B980-1D14280ECC04}"/>
    <cellStyle name="Comma 6 5 9" xfId="15819" xr:uid="{37812A0C-A239-4D88-96C7-0A09BFFCA3EE}"/>
    <cellStyle name="Comma 6 6" xfId="1329" xr:uid="{E8AD524F-92D3-48CA-BA9D-B77AE4B9F9A3}"/>
    <cellStyle name="Comma 6 6 10" xfId="18339" xr:uid="{C355D103-B863-424A-861A-24AD66FD5C95}"/>
    <cellStyle name="Comma 6 6 11" xfId="20229" xr:uid="{AC0D6CBB-5FAF-4E93-9F01-41C3E0F8F64B}"/>
    <cellStyle name="Comma 6 6 12" xfId="22119" xr:uid="{149A8B14-4B19-4375-8968-49463BFFEDC8}"/>
    <cellStyle name="Comma 6 6 13" xfId="24009" xr:uid="{1D0232EE-E25D-4921-A882-794C4941EE2C}"/>
    <cellStyle name="Comma 6 6 14" xfId="25899" xr:uid="{CF816EE6-4978-4CCB-8146-0E0FC3D4D72F}"/>
    <cellStyle name="Comma 6 6 15" xfId="27789" xr:uid="{40B2FAB1-77F7-4F2C-8B15-BA80CD6E43EA}"/>
    <cellStyle name="Comma 6 6 16" xfId="29679" xr:uid="{60367CBD-89D0-40D7-88A9-0657DA58EA92}"/>
    <cellStyle name="Comma 6 6 17" xfId="31569" xr:uid="{511761B4-444E-416C-A9F9-7A0482344395}"/>
    <cellStyle name="Comma 6 6 18" xfId="33459" xr:uid="{31BB5834-A054-42F1-A8AC-9541923E179B}"/>
    <cellStyle name="Comma 6 6 19" xfId="35349" xr:uid="{3ACA0A4F-6409-4C22-B487-70EC3BA537D8}"/>
    <cellStyle name="Comma 6 6 2" xfId="3219" xr:uid="{7180F1F8-AE5E-4431-94BE-09E27FD37DB2}"/>
    <cellStyle name="Comma 6 6 20" xfId="37239" xr:uid="{2BC16F35-89E1-4789-AC57-B046BF6559D8}"/>
    <cellStyle name="Comma 6 6 21" xfId="39129" xr:uid="{D372CF25-95CB-4A07-B1EA-99CF5818FBD0}"/>
    <cellStyle name="Comma 6 6 22" xfId="41020" xr:uid="{BBC0D83A-9875-46B9-838A-1B739AB041DB}"/>
    <cellStyle name="Comma 6 6 3" xfId="5109" xr:uid="{81C7B878-FB8F-4443-A2E1-65E60F76B565}"/>
    <cellStyle name="Comma 6 6 4" xfId="6999" xr:uid="{34EA73C2-B758-4E33-BDEE-162555CF0139}"/>
    <cellStyle name="Comma 6 6 5" xfId="8889" xr:uid="{7916CB2E-369A-4A6C-8E28-A7429F57A6C4}"/>
    <cellStyle name="Comma 6 6 6" xfId="10779" xr:uid="{88A89889-350A-4933-931E-97DC0A542EFE}"/>
    <cellStyle name="Comma 6 6 7" xfId="12669" xr:uid="{2187E68F-BE23-47A5-B168-A6D646C55C7A}"/>
    <cellStyle name="Comma 6 6 8" xfId="14559" xr:uid="{046C4355-71F3-4309-81B3-73E5F2A324E6}"/>
    <cellStyle name="Comma 6 6 9" xfId="16449" xr:uid="{A7ACCC39-332B-49CB-AD27-9C9868343645}"/>
    <cellStyle name="Comma 6 7" xfId="1959" xr:uid="{239F5596-2CB6-4F32-A205-74362043A48C}"/>
    <cellStyle name="Comma 6 8" xfId="3849" xr:uid="{B6B91396-791B-4925-B01D-79A6C3AB080F}"/>
    <cellStyle name="Comma 6 9" xfId="5739" xr:uid="{83C64F68-38A2-4FEE-BE1A-9B5575853EAE}"/>
    <cellStyle name="Comma 7" xfId="136" xr:uid="{390324FD-369B-4235-A229-5FA09990C371}"/>
    <cellStyle name="Comma 7 10" xfId="9586" xr:uid="{2CCC66D6-CFB9-4D47-A083-78DA099BCD16}"/>
    <cellStyle name="Comma 7 11" xfId="11476" xr:uid="{C6C33B0B-619A-435D-9434-656612BC1210}"/>
    <cellStyle name="Comma 7 12" xfId="13366" xr:uid="{09642DF6-AC57-45AD-BD74-BA9550D117BF}"/>
    <cellStyle name="Comma 7 13" xfId="15256" xr:uid="{6650A066-285D-47FB-A53D-8E2DB7B90791}"/>
    <cellStyle name="Comma 7 14" xfId="17146" xr:uid="{0A6788DB-2501-40FA-B3A3-0BCB88CD6A78}"/>
    <cellStyle name="Comma 7 15" xfId="19036" xr:uid="{4C6DBA0A-1464-4DE7-AF09-35DE35D90B9C}"/>
    <cellStyle name="Comma 7 16" xfId="20926" xr:uid="{6086C3FD-93D0-4E41-9D12-D398FFF63891}"/>
    <cellStyle name="Comma 7 17" xfId="22816" xr:uid="{B5412C84-0135-46D9-A868-77265ECDAB3F}"/>
    <cellStyle name="Comma 7 18" xfId="24706" xr:uid="{E984D76F-2FA1-435D-A2F4-5C68DEB33A03}"/>
    <cellStyle name="Comma 7 19" xfId="26596" xr:uid="{70CF4E9D-5C5A-49EB-BCBC-CFADD7022233}"/>
    <cellStyle name="Comma 7 2" xfId="346" xr:uid="{11A5734C-3A14-4AC6-909D-B122C368772C}"/>
    <cellStyle name="Comma 7 2 10" xfId="13576" xr:uid="{A753AD03-EB5C-4BDC-B5A9-86C8E5C8A96C}"/>
    <cellStyle name="Comma 7 2 11" xfId="15466" xr:uid="{E92ED293-DC79-4967-83AE-666891D8A5EA}"/>
    <cellStyle name="Comma 7 2 12" xfId="17356" xr:uid="{434ED695-724E-481A-9923-77E51AB20C57}"/>
    <cellStyle name="Comma 7 2 13" xfId="19246" xr:uid="{2E7C4708-78D5-4C60-B3DE-AD20D8F160E4}"/>
    <cellStyle name="Comma 7 2 14" xfId="21136" xr:uid="{56F27EBF-535E-4066-92C6-0CAFDB2D10A4}"/>
    <cellStyle name="Comma 7 2 15" xfId="23026" xr:uid="{27C0952C-FDEC-40C9-8449-5160E067D16A}"/>
    <cellStyle name="Comma 7 2 16" xfId="24916" xr:uid="{02B7EEE1-724D-433C-B4E3-33D26D1EF7EA}"/>
    <cellStyle name="Comma 7 2 17" xfId="26806" xr:uid="{9EFF4B9D-969D-43C3-B201-DFF3BE5FA404}"/>
    <cellStyle name="Comma 7 2 18" xfId="28696" xr:uid="{8ACFE395-1142-4140-9B64-23395A24A299}"/>
    <cellStyle name="Comma 7 2 19" xfId="30586" xr:uid="{69B2FFEA-15D2-4141-B591-F39FF1A03226}"/>
    <cellStyle name="Comma 7 2 2" xfId="976" xr:uid="{368D22A0-77DC-42C8-95E2-91E45ED4709F}"/>
    <cellStyle name="Comma 7 2 2 10" xfId="17986" xr:uid="{30EBE945-177B-45BE-B649-7FD4A5A9851B}"/>
    <cellStyle name="Comma 7 2 2 11" xfId="19876" xr:uid="{B0E18E00-8BDB-44A3-863C-2CEC2F72BF26}"/>
    <cellStyle name="Comma 7 2 2 12" xfId="21766" xr:uid="{C642500E-8389-4A5E-96F8-1B43C9FE7E67}"/>
    <cellStyle name="Comma 7 2 2 13" xfId="23656" xr:uid="{4103C05A-3944-4154-BE90-CC15A7FA30FB}"/>
    <cellStyle name="Comma 7 2 2 14" xfId="25546" xr:uid="{D71CFC4D-04DF-47DA-B389-BFE6DF1CF3E7}"/>
    <cellStyle name="Comma 7 2 2 15" xfId="27436" xr:uid="{7B9DB616-6FC3-48B7-8527-4D0C2BCDAACD}"/>
    <cellStyle name="Comma 7 2 2 16" xfId="29326" xr:uid="{6C35F63F-644B-46F5-8C28-AE4E12D36A49}"/>
    <cellStyle name="Comma 7 2 2 17" xfId="31216" xr:uid="{61041890-2645-40D3-8B8E-0D21FDF1FDA0}"/>
    <cellStyle name="Comma 7 2 2 18" xfId="33106" xr:uid="{395A4895-4502-477A-A1BE-01DC3D6DE885}"/>
    <cellStyle name="Comma 7 2 2 19" xfId="34996" xr:uid="{3D74BDA6-682E-4EFD-9A7B-9DA5FC10D56E}"/>
    <cellStyle name="Comma 7 2 2 2" xfId="2866" xr:uid="{85AF323F-C184-43E8-BB05-E8C4D73558D5}"/>
    <cellStyle name="Comma 7 2 2 20" xfId="36886" xr:uid="{B6C0B2F6-3A01-4DC3-8F4F-9A110030ACD8}"/>
    <cellStyle name="Comma 7 2 2 21" xfId="38776" xr:uid="{923704C1-DF98-47D8-9C6F-1F886A980011}"/>
    <cellStyle name="Comma 7 2 2 22" xfId="40667" xr:uid="{57CF18DD-217D-4975-A737-87DEE0710CC5}"/>
    <cellStyle name="Comma 7 2 2 3" xfId="4756" xr:uid="{504E9DF6-B12F-41F9-9292-38430AEFA08F}"/>
    <cellStyle name="Comma 7 2 2 4" xfId="6646" xr:uid="{90835C92-E5F8-46C2-B5DE-CC6C2F1E1D39}"/>
    <cellStyle name="Comma 7 2 2 5" xfId="8536" xr:uid="{C19E20E1-5BB8-45DD-B94F-C36B0C38BEDD}"/>
    <cellStyle name="Comma 7 2 2 6" xfId="10426" xr:uid="{F05603CE-81A5-43D5-916E-5F2BAE6DD0DF}"/>
    <cellStyle name="Comma 7 2 2 7" xfId="12316" xr:uid="{EC58B0E9-FAEF-4E4E-A3F1-8AE09562E9A6}"/>
    <cellStyle name="Comma 7 2 2 8" xfId="14206" xr:uid="{B423F868-AB7F-4626-BB85-C0D9BAB130F8}"/>
    <cellStyle name="Comma 7 2 2 9" xfId="16096" xr:uid="{5329CA4B-6BCA-4D56-8293-ED5897064E9B}"/>
    <cellStyle name="Comma 7 2 20" xfId="32476" xr:uid="{0A9F59F2-2D95-43DE-A773-21E031A23B2A}"/>
    <cellStyle name="Comma 7 2 21" xfId="34366" xr:uid="{A2D78331-2712-40C5-ABC5-958E986B2591}"/>
    <cellStyle name="Comma 7 2 22" xfId="36256" xr:uid="{AD478FC1-C91B-4EE1-9D56-48CBDE71C7A6}"/>
    <cellStyle name="Comma 7 2 23" xfId="38146" xr:uid="{93EBEDB9-BB1E-415E-B3D6-E915F83D31D8}"/>
    <cellStyle name="Comma 7 2 24" xfId="40037" xr:uid="{CFEE671A-72EB-40F3-8846-CCF35DF36EEA}"/>
    <cellStyle name="Comma 7 2 3" xfId="1606" xr:uid="{20BA5A25-15A7-42D9-AA4B-9CCCA963A90C}"/>
    <cellStyle name="Comma 7 2 3 10" xfId="18616" xr:uid="{A7E73B3F-5B13-4613-A8CD-A9A79B61DC22}"/>
    <cellStyle name="Comma 7 2 3 11" xfId="20506" xr:uid="{72D9FCF7-CB8A-4367-9826-22AB76C6A3C3}"/>
    <cellStyle name="Comma 7 2 3 12" xfId="22396" xr:uid="{630EA8F7-E98B-479F-804F-0E22C36A5F06}"/>
    <cellStyle name="Comma 7 2 3 13" xfId="24286" xr:uid="{A794B2DD-1460-4F70-B2AE-2CAED6A59E70}"/>
    <cellStyle name="Comma 7 2 3 14" xfId="26176" xr:uid="{9CA0B25E-0B42-4CF3-864D-4A6C7496EDBC}"/>
    <cellStyle name="Comma 7 2 3 15" xfId="28066" xr:uid="{8BDCD95E-A30B-4F81-ADD1-94BF649E183A}"/>
    <cellStyle name="Comma 7 2 3 16" xfId="29956" xr:uid="{424C4FFF-7A25-49F4-A2BE-D0DDD9EB5AF6}"/>
    <cellStyle name="Comma 7 2 3 17" xfId="31846" xr:uid="{1C15795B-D258-4621-A7B4-A80938A22CCC}"/>
    <cellStyle name="Comma 7 2 3 18" xfId="33736" xr:uid="{0C9435EC-9445-4E1A-86D5-003D57528321}"/>
    <cellStyle name="Comma 7 2 3 19" xfId="35626" xr:uid="{EE39C2C4-118B-4DB4-ADB9-16933AFBDAAA}"/>
    <cellStyle name="Comma 7 2 3 2" xfId="3496" xr:uid="{845E0B19-8A1F-4837-BEAF-3CEA9C7B276A}"/>
    <cellStyle name="Comma 7 2 3 20" xfId="37516" xr:uid="{B03062C7-4768-40C2-AB34-A35CDE3D3145}"/>
    <cellStyle name="Comma 7 2 3 21" xfId="39406" xr:uid="{A3011245-3A87-4CE8-B3E4-96E990FB3CCC}"/>
    <cellStyle name="Comma 7 2 3 22" xfId="41297" xr:uid="{A4153216-C3AF-472A-8CDA-1175C2005DC8}"/>
    <cellStyle name="Comma 7 2 3 3" xfId="5386" xr:uid="{D680D8BA-F416-4A22-B6F3-3D8D82E2C21C}"/>
    <cellStyle name="Comma 7 2 3 4" xfId="7276" xr:uid="{618FE06E-7A86-4733-AC75-4FFE7F0FFBCB}"/>
    <cellStyle name="Comma 7 2 3 5" xfId="9166" xr:uid="{3D061332-51FF-4A39-8786-84C7AD595B92}"/>
    <cellStyle name="Comma 7 2 3 6" xfId="11056" xr:uid="{33248879-5219-4514-A542-246DF0BC94B6}"/>
    <cellStyle name="Comma 7 2 3 7" xfId="12946" xr:uid="{432206D2-4D56-4E80-A449-5944B5B0A3A9}"/>
    <cellStyle name="Comma 7 2 3 8" xfId="14836" xr:uid="{9D4CDE01-F87D-4377-B3A2-CCD35FB0EE16}"/>
    <cellStyle name="Comma 7 2 3 9" xfId="16726" xr:uid="{F30771E6-C209-4286-B389-6E77C8897544}"/>
    <cellStyle name="Comma 7 2 4" xfId="2236" xr:uid="{3D2BAB9A-1BAE-456A-9CA2-1D9A9468A730}"/>
    <cellStyle name="Comma 7 2 5" xfId="4126" xr:uid="{1F6D42B6-7230-465B-90C3-EE4DB958BD73}"/>
    <cellStyle name="Comma 7 2 6" xfId="6016" xr:uid="{8D431FE9-D6D2-40DD-A96E-DAC1BA6054D7}"/>
    <cellStyle name="Comma 7 2 7" xfId="7906" xr:uid="{F41E44AB-6A18-4507-8E33-F4C439A2AC37}"/>
    <cellStyle name="Comma 7 2 8" xfId="9796" xr:uid="{4AC2A97B-97EC-4376-A5CA-261A5336BC8E}"/>
    <cellStyle name="Comma 7 2 9" xfId="11686" xr:uid="{CD98F553-26F0-4990-ADDA-B933B609D81F}"/>
    <cellStyle name="Comma 7 20" xfId="28486" xr:uid="{E88C86A4-9CF2-41ED-A694-3DC74D7445D2}"/>
    <cellStyle name="Comma 7 21" xfId="30376" xr:uid="{42A1D157-0C39-4327-AC90-922530F2F1D6}"/>
    <cellStyle name="Comma 7 22" xfId="32266" xr:uid="{E14F1276-F360-44C2-9339-B599B6303D2B}"/>
    <cellStyle name="Comma 7 23" xfId="34156" xr:uid="{37CA17AA-2588-4EFE-A0E9-84015AC59FF0}"/>
    <cellStyle name="Comma 7 24" xfId="36046" xr:uid="{FF03A220-F737-45D5-A587-9BA32DE87EA3}"/>
    <cellStyle name="Comma 7 25" xfId="37936" xr:uid="{B2D389EA-DEA7-4E60-BA55-051B8CE16174}"/>
    <cellStyle name="Comma 7 26" xfId="39827" xr:uid="{093E2603-B7C8-49E4-BBE3-2FB1D8C2F292}"/>
    <cellStyle name="Comma 7 3" xfId="556" xr:uid="{7A7CA42E-ECEB-4DFD-88D6-172CD9033EBD}"/>
    <cellStyle name="Comma 7 3 10" xfId="13786" xr:uid="{5E90E6EE-EECF-4D41-B6C6-AE956735DCCD}"/>
    <cellStyle name="Comma 7 3 11" xfId="15676" xr:uid="{AFE3772E-166C-45D9-9D99-999FB023D073}"/>
    <cellStyle name="Comma 7 3 12" xfId="17566" xr:uid="{71654ECA-F90B-4155-BD13-538185CE00E1}"/>
    <cellStyle name="Comma 7 3 13" xfId="19456" xr:uid="{AE8B8F7D-3036-4055-859D-71BAFCD65D47}"/>
    <cellStyle name="Comma 7 3 14" xfId="21346" xr:uid="{5F77360F-DCAB-48D8-A95B-5CFBCA46EA2D}"/>
    <cellStyle name="Comma 7 3 15" xfId="23236" xr:uid="{0426A54D-682D-4F55-8ED4-31BA7D693BEE}"/>
    <cellStyle name="Comma 7 3 16" xfId="25126" xr:uid="{B09E9E00-C04E-45E4-85D0-66CDC76B1861}"/>
    <cellStyle name="Comma 7 3 17" xfId="27016" xr:uid="{BE41B74D-68EB-47C3-AFAC-484FC5EF69B4}"/>
    <cellStyle name="Comma 7 3 18" xfId="28906" xr:uid="{AB664B3C-1A42-4B9F-8707-99A20AE37436}"/>
    <cellStyle name="Comma 7 3 19" xfId="30796" xr:uid="{71FFB502-52DB-4305-A2DE-E5FB03B9E8B9}"/>
    <cellStyle name="Comma 7 3 2" xfId="1186" xr:uid="{A48F4ECE-5172-4AFB-910C-CDC32679AE9E}"/>
    <cellStyle name="Comma 7 3 2 10" xfId="18196" xr:uid="{43CEE6FE-01AB-4317-8AEA-24B9B9A3977E}"/>
    <cellStyle name="Comma 7 3 2 11" xfId="20086" xr:uid="{09854011-0CC2-492F-A3C0-5AC881AC4EA8}"/>
    <cellStyle name="Comma 7 3 2 12" xfId="21976" xr:uid="{45C35571-949F-4BFD-AADA-A69607F41B3E}"/>
    <cellStyle name="Comma 7 3 2 13" xfId="23866" xr:uid="{25BA8448-FD4E-4391-BC77-5433088EE85B}"/>
    <cellStyle name="Comma 7 3 2 14" xfId="25756" xr:uid="{8C89765B-4196-4792-99AF-C2F507AF914E}"/>
    <cellStyle name="Comma 7 3 2 15" xfId="27646" xr:uid="{067F8429-07E3-45B5-8434-44640053BE33}"/>
    <cellStyle name="Comma 7 3 2 16" xfId="29536" xr:uid="{901D3ECA-5F6F-46CC-B83B-54C261ADF94B}"/>
    <cellStyle name="Comma 7 3 2 17" xfId="31426" xr:uid="{76B59B1C-4F3F-4E13-9FCF-D36758D80152}"/>
    <cellStyle name="Comma 7 3 2 18" xfId="33316" xr:uid="{0530D696-2B56-43AF-B4B0-F6ACD05614D4}"/>
    <cellStyle name="Comma 7 3 2 19" xfId="35206" xr:uid="{17C45F84-1B55-45B2-B72A-73DA0644E041}"/>
    <cellStyle name="Comma 7 3 2 2" xfId="3076" xr:uid="{5CC78BFC-78B2-41AE-A633-1079CD7709A5}"/>
    <cellStyle name="Comma 7 3 2 20" xfId="37096" xr:uid="{7A7AC07D-39CD-4B3B-B52F-E4B28683F324}"/>
    <cellStyle name="Comma 7 3 2 21" xfId="38986" xr:uid="{23942CF6-26DF-44C8-83D2-9E3E11E34875}"/>
    <cellStyle name="Comma 7 3 2 22" xfId="40877" xr:uid="{4995B458-1D5D-4E8E-A075-9682E595BDEB}"/>
    <cellStyle name="Comma 7 3 2 3" xfId="4966" xr:uid="{B696F5FF-B8FF-4E34-A80B-B28B8B129F1B}"/>
    <cellStyle name="Comma 7 3 2 4" xfId="6856" xr:uid="{6030C9EE-7B7F-4FAB-B156-A033CA975566}"/>
    <cellStyle name="Comma 7 3 2 5" xfId="8746" xr:uid="{27EFDDCF-7A97-4A64-B19B-60F77468C53D}"/>
    <cellStyle name="Comma 7 3 2 6" xfId="10636" xr:uid="{8F61C1B9-D9C8-4BE1-A9DA-EC892CAEACFF}"/>
    <cellStyle name="Comma 7 3 2 7" xfId="12526" xr:uid="{6B2285C0-9037-4AA0-9BB3-8EAA3F3B4321}"/>
    <cellStyle name="Comma 7 3 2 8" xfId="14416" xr:uid="{AC140FEB-2EB5-49A1-9462-DB5AA6BD3391}"/>
    <cellStyle name="Comma 7 3 2 9" xfId="16306" xr:uid="{CB6CD652-C923-47B0-B5FA-24718D65124D}"/>
    <cellStyle name="Comma 7 3 20" xfId="32686" xr:uid="{1A7E49AF-DF3F-4776-AABE-54C16F78E711}"/>
    <cellStyle name="Comma 7 3 21" xfId="34576" xr:uid="{85922F13-7187-46B1-9FE7-5F433B56F808}"/>
    <cellStyle name="Comma 7 3 22" xfId="36466" xr:uid="{4810A5AE-5B26-42AB-BC9E-840F61A2AD78}"/>
    <cellStyle name="Comma 7 3 23" xfId="38356" xr:uid="{7D5E68AB-8508-4AE1-805E-5B510C11F85F}"/>
    <cellStyle name="Comma 7 3 24" xfId="40247" xr:uid="{6ABE3DCA-58D1-4CA3-B123-2D77CAFFA3C7}"/>
    <cellStyle name="Comma 7 3 3" xfId="1816" xr:uid="{DB550BB0-716B-43EB-9CF3-33319AE8B2EA}"/>
    <cellStyle name="Comma 7 3 3 10" xfId="18826" xr:uid="{17EDC9D2-438D-45FF-90C6-774477A367FA}"/>
    <cellStyle name="Comma 7 3 3 11" xfId="20716" xr:uid="{E076BB83-7B00-414C-90AD-B8AD80C7441D}"/>
    <cellStyle name="Comma 7 3 3 12" xfId="22606" xr:uid="{8560C1D4-8907-4371-8199-3E5600A2F457}"/>
    <cellStyle name="Comma 7 3 3 13" xfId="24496" xr:uid="{665BA060-F5DA-4F96-9903-61F80FB25C8A}"/>
    <cellStyle name="Comma 7 3 3 14" xfId="26386" xr:uid="{65FB9862-10B8-4D06-B6A2-53CBC6820E11}"/>
    <cellStyle name="Comma 7 3 3 15" xfId="28276" xr:uid="{681EC9CE-A976-4DDA-8968-8BDD60D5EFBF}"/>
    <cellStyle name="Comma 7 3 3 16" xfId="30166" xr:uid="{AB0B664D-13A6-4B43-BED4-4F5BAB5760E1}"/>
    <cellStyle name="Comma 7 3 3 17" xfId="32056" xr:uid="{0BB47652-2171-46A8-B83A-7310FDB0CC7B}"/>
    <cellStyle name="Comma 7 3 3 18" xfId="33946" xr:uid="{31F36ED2-D2AA-4ADF-9D7C-59419160C8DE}"/>
    <cellStyle name="Comma 7 3 3 19" xfId="35836" xr:uid="{6EAFAFAB-4DEE-466C-A0F7-A0E25CA02BF6}"/>
    <cellStyle name="Comma 7 3 3 2" xfId="3706" xr:uid="{896F12F9-1BA0-4B50-B749-BC393E5591E5}"/>
    <cellStyle name="Comma 7 3 3 20" xfId="37726" xr:uid="{489B0E66-5AB1-435C-AE97-57E23C500D54}"/>
    <cellStyle name="Comma 7 3 3 21" xfId="39616" xr:uid="{BB1A1EB7-21E2-4ED3-9C5F-0E09958A341B}"/>
    <cellStyle name="Comma 7 3 3 22" xfId="41507" xr:uid="{A4AA1CBD-BD6A-49EF-84B5-99A88594642F}"/>
    <cellStyle name="Comma 7 3 3 3" xfId="5596" xr:uid="{3BFA5248-C80C-4368-A996-B1432E9D06E8}"/>
    <cellStyle name="Comma 7 3 3 4" xfId="7486" xr:uid="{8CB8C870-AAA2-4C0A-8C48-D8E910FDDD4F}"/>
    <cellStyle name="Comma 7 3 3 5" xfId="9376" xr:uid="{715ECD00-F678-452F-B7BE-243EFCE5E84A}"/>
    <cellStyle name="Comma 7 3 3 6" xfId="11266" xr:uid="{FD55C968-9CD6-48D1-B410-A6953C179469}"/>
    <cellStyle name="Comma 7 3 3 7" xfId="13156" xr:uid="{D99EDCAC-6402-4ABF-9203-D1452AF22B29}"/>
    <cellStyle name="Comma 7 3 3 8" xfId="15046" xr:uid="{F3537316-8111-40FF-95C3-B48877232E1E}"/>
    <cellStyle name="Comma 7 3 3 9" xfId="16936" xr:uid="{B12CC007-2972-44E4-9C40-94FF4C0CE964}"/>
    <cellStyle name="Comma 7 3 4" xfId="2446" xr:uid="{25FFA654-6830-4A9A-98DB-CA74634A4E03}"/>
    <cellStyle name="Comma 7 3 5" xfId="4336" xr:uid="{38D73877-4040-4BAA-9EA2-A96EA3529B6D}"/>
    <cellStyle name="Comma 7 3 6" xfId="6226" xr:uid="{B467C9C7-6F6A-4786-A62F-05EE9D896A87}"/>
    <cellStyle name="Comma 7 3 7" xfId="8116" xr:uid="{5A03C47A-A2E2-4E4B-A26D-BF03C4ABDA46}"/>
    <cellStyle name="Comma 7 3 8" xfId="10006" xr:uid="{06F939AA-09C5-4285-BD13-C006A0A9EB1C}"/>
    <cellStyle name="Comma 7 3 9" xfId="11896" xr:uid="{B1332875-E312-43FF-92C3-FA81C5B58B8B}"/>
    <cellStyle name="Comma 7 4" xfId="766" xr:uid="{A977B7D6-95BE-4270-8633-F3560FF2C293}"/>
    <cellStyle name="Comma 7 4 10" xfId="17776" xr:uid="{37983DEA-91AB-4043-8F7D-BC28D2B00C09}"/>
    <cellStyle name="Comma 7 4 11" xfId="19666" xr:uid="{253A9C08-AD79-4357-960A-7D0F456AF283}"/>
    <cellStyle name="Comma 7 4 12" xfId="21556" xr:uid="{C602E0F4-0D07-44D8-B7C2-C23AEA1CC75C}"/>
    <cellStyle name="Comma 7 4 13" xfId="23446" xr:uid="{7C0A6993-D1C0-4D88-A75C-4A16888A20E6}"/>
    <cellStyle name="Comma 7 4 14" xfId="25336" xr:uid="{268E3A6B-E0EA-4B3D-9F6C-AFC15B23CB78}"/>
    <cellStyle name="Comma 7 4 15" xfId="27226" xr:uid="{4E22128B-3B30-4745-9992-96C046630811}"/>
    <cellStyle name="Comma 7 4 16" xfId="29116" xr:uid="{E6488DCD-853E-4B99-9BCF-B722C9969494}"/>
    <cellStyle name="Comma 7 4 17" xfId="31006" xr:uid="{A285204B-B1A9-48F8-B9C2-85571B782B40}"/>
    <cellStyle name="Comma 7 4 18" xfId="32896" xr:uid="{EFCFF629-DCC5-41ED-8A24-942A7CCF8C00}"/>
    <cellStyle name="Comma 7 4 19" xfId="34786" xr:uid="{B55EB1AE-F70A-46D1-8C21-D72C0BEC7FD5}"/>
    <cellStyle name="Comma 7 4 2" xfId="2656" xr:uid="{FC9301DA-CCEB-4381-A662-BAD35377CF38}"/>
    <cellStyle name="Comma 7 4 20" xfId="36676" xr:uid="{0C140E62-B4A5-46C5-9596-63FE7933CFA8}"/>
    <cellStyle name="Comma 7 4 21" xfId="38566" xr:uid="{82FE2C5F-B0D6-4B2B-88AD-FACB014C8D06}"/>
    <cellStyle name="Comma 7 4 22" xfId="40457" xr:uid="{22531233-2DAD-4108-ABDC-81B4887617AA}"/>
    <cellStyle name="Comma 7 4 3" xfId="4546" xr:uid="{A7462BF3-A851-4E34-AC87-C3CDD0119A7D}"/>
    <cellStyle name="Comma 7 4 4" xfId="6436" xr:uid="{6C85C178-D0C9-4906-8575-B84916BAA617}"/>
    <cellStyle name="Comma 7 4 5" xfId="8326" xr:uid="{9812D1B9-32BE-4AD3-8928-E58BD7DE2CE8}"/>
    <cellStyle name="Comma 7 4 6" xfId="10216" xr:uid="{F6C9BF22-AC02-4938-A86D-70449A7CEB2E}"/>
    <cellStyle name="Comma 7 4 7" xfId="12106" xr:uid="{BC854D9A-13D1-49D0-BC4D-7212454F1D35}"/>
    <cellStyle name="Comma 7 4 8" xfId="13996" xr:uid="{538CEA22-7799-4064-8EB8-FB9108EBF5E4}"/>
    <cellStyle name="Comma 7 4 9" xfId="15886" xr:uid="{7971CB3B-0D8A-4E95-99F7-4E17F70BBF53}"/>
    <cellStyle name="Comma 7 5" xfId="1396" xr:uid="{6806F4D4-5792-4DEE-AE77-BA155F28B988}"/>
    <cellStyle name="Comma 7 5 10" xfId="18406" xr:uid="{CE124A9E-09B2-4889-BDBB-DF2377B9A925}"/>
    <cellStyle name="Comma 7 5 11" xfId="20296" xr:uid="{83EE938A-8FF4-42A1-90C5-35248723D7AA}"/>
    <cellStyle name="Comma 7 5 12" xfId="22186" xr:uid="{7A3558A4-0E4E-4938-A869-F2F617846E4F}"/>
    <cellStyle name="Comma 7 5 13" xfId="24076" xr:uid="{B048386C-7C50-449C-AD41-79BAFB28FDDC}"/>
    <cellStyle name="Comma 7 5 14" xfId="25966" xr:uid="{DDA18565-AF18-463E-8753-C9AAF7CA79BF}"/>
    <cellStyle name="Comma 7 5 15" xfId="27856" xr:uid="{6F885496-5865-475C-B1AF-8221278C44D0}"/>
    <cellStyle name="Comma 7 5 16" xfId="29746" xr:uid="{01E5D236-AF8E-4B84-9C3A-1599200FB078}"/>
    <cellStyle name="Comma 7 5 17" xfId="31636" xr:uid="{7AC22946-0420-4D5D-8103-7F6E54A70725}"/>
    <cellStyle name="Comma 7 5 18" xfId="33526" xr:uid="{2F320551-DE65-4820-AAAA-78AF2DC12265}"/>
    <cellStyle name="Comma 7 5 19" xfId="35416" xr:uid="{AA01DFC8-C2C5-409D-AFE5-308A626D1C8A}"/>
    <cellStyle name="Comma 7 5 2" xfId="3286" xr:uid="{1A809B83-3552-4E26-93A5-A7E5388C5537}"/>
    <cellStyle name="Comma 7 5 20" xfId="37306" xr:uid="{3E8F333A-9EB8-470A-8420-509F3AA0451B}"/>
    <cellStyle name="Comma 7 5 21" xfId="39196" xr:uid="{A0094E52-5EEE-45E9-9426-D2CA22069BB4}"/>
    <cellStyle name="Comma 7 5 22" xfId="41087" xr:uid="{21F5F298-CE5B-43B2-8A39-F04A31FC95EB}"/>
    <cellStyle name="Comma 7 5 3" xfId="5176" xr:uid="{4391D6CB-D1C8-4E6F-AB00-D261BA0F0EBF}"/>
    <cellStyle name="Comma 7 5 4" xfId="7066" xr:uid="{12FF8997-A79E-4A5F-9DD0-FFAF0828CFF5}"/>
    <cellStyle name="Comma 7 5 5" xfId="8956" xr:uid="{78A4F46F-BBB9-4E54-9E38-6FDFBFCF8F1F}"/>
    <cellStyle name="Comma 7 5 6" xfId="10846" xr:uid="{4BF0BC2F-6BD8-42DD-8353-923F0986DD90}"/>
    <cellStyle name="Comma 7 5 7" xfId="12736" xr:uid="{EB219F9D-F183-48F2-9B8F-8C9FA67646D0}"/>
    <cellStyle name="Comma 7 5 8" xfId="14626" xr:uid="{D088A0C2-78E6-4F2B-A7D2-EE6CAFBE834B}"/>
    <cellStyle name="Comma 7 5 9" xfId="16516" xr:uid="{CF9CADD4-11D3-473E-B809-2CA21B232E35}"/>
    <cellStyle name="Comma 7 6" xfId="2026" xr:uid="{2D054294-727A-4672-B48B-D3EBE9C4677A}"/>
    <cellStyle name="Comma 7 7" xfId="3916" xr:uid="{A251A41C-ADDB-4744-91EF-622EC8F314D4}"/>
    <cellStyle name="Comma 7 8" xfId="5806" xr:uid="{9CD47BEC-D06A-4043-870E-8839778FB965}"/>
    <cellStyle name="Comma 7 9" xfId="7696" xr:uid="{734858B1-11B2-4DDF-88C7-3153EFA7D609}"/>
    <cellStyle name="Comma 8" xfId="241" xr:uid="{B99D125F-49A5-48E9-8517-7BD94AF5CC1A}"/>
    <cellStyle name="Comma 8 10" xfId="13471" xr:uid="{B4F73C33-ABBB-43C2-BE6A-35FB2622A2A2}"/>
    <cellStyle name="Comma 8 11" xfId="15361" xr:uid="{AD0DA1DF-BF46-415A-8705-68DC2D6C9C1A}"/>
    <cellStyle name="Comma 8 12" xfId="17251" xr:uid="{ED027796-34A6-4DAB-ADFC-14DB429E0D0F}"/>
    <cellStyle name="Comma 8 13" xfId="19141" xr:uid="{8EBD9B73-C28D-4DB8-884B-D6E64474173E}"/>
    <cellStyle name="Comma 8 14" xfId="21031" xr:uid="{888F8B6C-0778-4954-B9B2-DD0B9523BF39}"/>
    <cellStyle name="Comma 8 15" xfId="22921" xr:uid="{00CC710F-7AFB-4BFA-97F8-C504222BA7DF}"/>
    <cellStyle name="Comma 8 16" xfId="24811" xr:uid="{0A31CC47-18A4-41E7-91FC-6D5907C43225}"/>
    <cellStyle name="Comma 8 17" xfId="26701" xr:uid="{20804158-D744-4DE4-AB4C-ABA3F204737D}"/>
    <cellStyle name="Comma 8 18" xfId="28591" xr:uid="{DAD8E3B1-8A1B-4526-AA38-AA33AF46119E}"/>
    <cellStyle name="Comma 8 19" xfId="30481" xr:uid="{888E78B4-FFA7-484D-BE4B-D717148A0F5D}"/>
    <cellStyle name="Comma 8 2" xfId="871" xr:uid="{7056B4D9-52D4-46FE-8995-A71AEBF6B3FD}"/>
    <cellStyle name="Comma 8 2 10" xfId="17881" xr:uid="{C19D760D-6DA0-48B4-BB95-A35227F1BD3C}"/>
    <cellStyle name="Comma 8 2 11" xfId="19771" xr:uid="{F7CD0ADE-335F-4E00-BF05-F652E0CC147A}"/>
    <cellStyle name="Comma 8 2 12" xfId="21661" xr:uid="{DCB9F874-E67D-49AE-B8C9-97E2B64CCB70}"/>
    <cellStyle name="Comma 8 2 13" xfId="23551" xr:uid="{3A7DCC64-3C86-4187-9839-0808F1A0719C}"/>
    <cellStyle name="Comma 8 2 14" xfId="25441" xr:uid="{457C7E30-0B2C-4BFC-96AC-FC238510C528}"/>
    <cellStyle name="Comma 8 2 15" xfId="27331" xr:uid="{246E6B95-2CE6-4DC0-A890-350E0273E298}"/>
    <cellStyle name="Comma 8 2 16" xfId="29221" xr:uid="{66AF15E2-676D-4F92-8AAF-635931E6DF22}"/>
    <cellStyle name="Comma 8 2 17" xfId="31111" xr:uid="{46A1DBDA-37EC-4E03-AC77-D8B1A79664C1}"/>
    <cellStyle name="Comma 8 2 18" xfId="33001" xr:uid="{A411EC70-8869-4C31-AE25-348CAEB47DF8}"/>
    <cellStyle name="Comma 8 2 19" xfId="34891" xr:uid="{CC3E6654-6A15-41C9-B8A0-63E0FEB3CA7A}"/>
    <cellStyle name="Comma 8 2 2" xfId="2761" xr:uid="{AEA1ABCD-ACBB-43D3-9566-6D59612A3004}"/>
    <cellStyle name="Comma 8 2 20" xfId="36781" xr:uid="{6D4898BA-9198-4142-A72F-146151B63A74}"/>
    <cellStyle name="Comma 8 2 21" xfId="38671" xr:uid="{17E57FC7-0F85-47C5-94B8-08D6211DAC28}"/>
    <cellStyle name="Comma 8 2 22" xfId="40562" xr:uid="{50A8AA71-707D-4664-8096-403AC7DE5E8E}"/>
    <cellStyle name="Comma 8 2 3" xfId="4651" xr:uid="{5C59931D-468C-4431-A0EE-C0139EA95AC5}"/>
    <cellStyle name="Comma 8 2 4" xfId="6541" xr:uid="{4A70500E-01A1-4922-B61D-79CBF3E2FFC5}"/>
    <cellStyle name="Comma 8 2 5" xfId="8431" xr:uid="{5DB4917F-C85C-4396-A9A5-CE016D667E7A}"/>
    <cellStyle name="Comma 8 2 6" xfId="10321" xr:uid="{444556E3-DCD2-4A04-BE0C-398C7435D678}"/>
    <cellStyle name="Comma 8 2 7" xfId="12211" xr:uid="{D12602FA-CD1A-47AA-848A-25A198F7CAC5}"/>
    <cellStyle name="Comma 8 2 8" xfId="14101" xr:uid="{DEA1670E-9A84-48C8-82AB-465C42D00565}"/>
    <cellStyle name="Comma 8 2 9" xfId="15991" xr:uid="{CD32D35F-2B33-4DC4-848D-034F73C29C79}"/>
    <cellStyle name="Comma 8 20" xfId="32371" xr:uid="{DCFDB434-A2F0-4594-B602-125048B69460}"/>
    <cellStyle name="Comma 8 21" xfId="34261" xr:uid="{60AEFB32-AD9B-4CFA-92A5-1399269769C7}"/>
    <cellStyle name="Comma 8 22" xfId="36151" xr:uid="{84CC71EF-7B97-445B-BB3A-51DAE23E7996}"/>
    <cellStyle name="Comma 8 23" xfId="38041" xr:uid="{792CFEFB-8F88-43A9-82E2-70917A0B8A7C}"/>
    <cellStyle name="Comma 8 24" xfId="39932" xr:uid="{DD125906-E6F7-4D42-8C45-ACC689632220}"/>
    <cellStyle name="Comma 8 3" xfId="1501" xr:uid="{D9775A28-26A5-4AE5-B1D1-EB7AAEB3FAA7}"/>
    <cellStyle name="Comma 8 3 10" xfId="18511" xr:uid="{F1B95E83-B524-4E64-A950-C7C0063F0D12}"/>
    <cellStyle name="Comma 8 3 11" xfId="20401" xr:uid="{030C9245-444D-4BCF-8C3D-1AFACB9DE375}"/>
    <cellStyle name="Comma 8 3 12" xfId="22291" xr:uid="{155B032D-DBE6-4508-A790-ABA24641E2CA}"/>
    <cellStyle name="Comma 8 3 13" xfId="24181" xr:uid="{15D90266-798A-4DC1-A2F5-E37952EC4A72}"/>
    <cellStyle name="Comma 8 3 14" xfId="26071" xr:uid="{60BB0869-A17A-4E20-8855-3448876BAA43}"/>
    <cellStyle name="Comma 8 3 15" xfId="27961" xr:uid="{0B3F11EA-1AD8-4DB1-96EC-32301C388CBF}"/>
    <cellStyle name="Comma 8 3 16" xfId="29851" xr:uid="{1BDF3577-3923-4C0F-9CDB-56E3C98CA4D6}"/>
    <cellStyle name="Comma 8 3 17" xfId="31741" xr:uid="{AE14B122-B499-4FDD-8D7C-CB72DC9C7498}"/>
    <cellStyle name="Comma 8 3 18" xfId="33631" xr:uid="{CB59A9AE-BAD8-4A8C-BF3E-0B1BE37CA43B}"/>
    <cellStyle name="Comma 8 3 19" xfId="35521" xr:uid="{D1CE2C06-61D5-43D8-A6DC-25A68354788E}"/>
    <cellStyle name="Comma 8 3 2" xfId="3391" xr:uid="{0F612669-A0A5-47CD-A417-342D6DA4C48A}"/>
    <cellStyle name="Comma 8 3 20" xfId="37411" xr:uid="{C73B6FD8-AD43-4C30-BF7A-7F65CD939069}"/>
    <cellStyle name="Comma 8 3 21" xfId="39301" xr:uid="{87742FED-C922-4657-87F6-88B7B50D8689}"/>
    <cellStyle name="Comma 8 3 22" xfId="41192" xr:uid="{F27F6E1A-B541-4326-97E5-43D1E91C2556}"/>
    <cellStyle name="Comma 8 3 3" xfId="5281" xr:uid="{9A76CE68-1393-49D3-9CB9-CDC4078BE580}"/>
    <cellStyle name="Comma 8 3 4" xfId="7171" xr:uid="{92578888-2406-49AF-8B96-128EA3DC3778}"/>
    <cellStyle name="Comma 8 3 5" xfId="9061" xr:uid="{C0113B20-17B0-42D0-B9CC-AF4F4270494E}"/>
    <cellStyle name="Comma 8 3 6" xfId="10951" xr:uid="{F2436C63-C56F-48C7-BC9D-652210A69A5A}"/>
    <cellStyle name="Comma 8 3 7" xfId="12841" xr:uid="{C83663FF-46FE-4D72-8AA9-AF9E8253482B}"/>
    <cellStyle name="Comma 8 3 8" xfId="14731" xr:uid="{8E1F2711-C65E-4239-A5BE-AC9CC7151815}"/>
    <cellStyle name="Comma 8 3 9" xfId="16621" xr:uid="{B91FDB6A-F47C-4251-A329-5F38C817010F}"/>
    <cellStyle name="Comma 8 4" xfId="2131" xr:uid="{1D2F7F75-875E-4894-A952-0B8221500963}"/>
    <cellStyle name="Comma 8 5" xfId="4021" xr:uid="{BC3997CB-01E3-4534-960C-FCBD1CBFCFB1}"/>
    <cellStyle name="Comma 8 6" xfId="5911" xr:uid="{89E499E2-CED6-4B78-8AFF-6A4CDD2E6F83}"/>
    <cellStyle name="Comma 8 7" xfId="7801" xr:uid="{D239EF77-AF65-406B-BE88-BC51A24FAC51}"/>
    <cellStyle name="Comma 8 8" xfId="9691" xr:uid="{69E95CAC-4EBB-4B48-95E2-EF8BC9D75D57}"/>
    <cellStyle name="Comma 8 9" xfId="11581" xr:uid="{F9C6E9C1-C4D5-42EF-A7EC-4E85AD8778C9}"/>
    <cellStyle name="Comma 9" xfId="451" xr:uid="{225C1B59-E852-42B9-BA82-0C137781571C}"/>
    <cellStyle name="Comma 9 10" xfId="13681" xr:uid="{927329D9-0726-4297-AA55-7AB065A042A4}"/>
    <cellStyle name="Comma 9 11" xfId="15571" xr:uid="{45A7EAA9-44A5-40F7-B271-0EF75DD593A1}"/>
    <cellStyle name="Comma 9 12" xfId="17461" xr:uid="{F5CC817D-3560-4D83-A872-A3D1D647DCB2}"/>
    <cellStyle name="Comma 9 13" xfId="19351" xr:uid="{F7FF753F-2521-4506-88BB-700F6CC8AE68}"/>
    <cellStyle name="Comma 9 14" xfId="21241" xr:uid="{A2A80E59-9D63-48A1-A0D3-07B684D26E6F}"/>
    <cellStyle name="Comma 9 15" xfId="23131" xr:uid="{1D933E3F-3AF2-4583-B312-48824A4D5DEC}"/>
    <cellStyle name="Comma 9 16" xfId="25021" xr:uid="{311192EE-C9B3-44F3-BEE9-4E3371AC4156}"/>
    <cellStyle name="Comma 9 17" xfId="26911" xr:uid="{F0A6F376-A874-4477-8D66-574FE4C556BB}"/>
    <cellStyle name="Comma 9 18" xfId="28801" xr:uid="{878BBE63-BB93-4672-B3B7-1A54911DDFE0}"/>
    <cellStyle name="Comma 9 19" xfId="30691" xr:uid="{577B2D22-996C-4379-99A7-71C0CC9A9BE3}"/>
    <cellStyle name="Comma 9 2" xfId="1081" xr:uid="{63DE00CE-481C-4524-8A81-C51148D985AE}"/>
    <cellStyle name="Comma 9 2 10" xfId="18091" xr:uid="{D0FF5B64-46C1-4BBC-90B7-CE9796339F3F}"/>
    <cellStyle name="Comma 9 2 11" xfId="19981" xr:uid="{B96592FE-046C-449A-8CBD-6EFDEF87F1A6}"/>
    <cellStyle name="Comma 9 2 12" xfId="21871" xr:uid="{70ACD8B2-8ACB-433A-B6D4-6FEF5D485525}"/>
    <cellStyle name="Comma 9 2 13" xfId="23761" xr:uid="{9812ECA6-3CD8-40DC-93CF-A1A6AB962B70}"/>
    <cellStyle name="Comma 9 2 14" xfId="25651" xr:uid="{C85974D1-9E72-430F-9127-C26B24585D52}"/>
    <cellStyle name="Comma 9 2 15" xfId="27541" xr:uid="{D550651E-2FC5-4150-834E-2B5313167FCA}"/>
    <cellStyle name="Comma 9 2 16" xfId="29431" xr:uid="{07515506-9F41-4B8D-B280-9F308F3E3FE3}"/>
    <cellStyle name="Comma 9 2 17" xfId="31321" xr:uid="{8A18F445-D130-4440-B4A7-03C55B3EE38D}"/>
    <cellStyle name="Comma 9 2 18" xfId="33211" xr:uid="{7E90058F-54AC-4BB5-B525-2124B6582A76}"/>
    <cellStyle name="Comma 9 2 19" xfId="35101" xr:uid="{373F54BC-DAA2-44D7-B40A-8C86F4EAECF1}"/>
    <cellStyle name="Comma 9 2 2" xfId="2971" xr:uid="{839BACBA-0731-4BC6-8BB3-373136F177B5}"/>
    <cellStyle name="Comma 9 2 20" xfId="36991" xr:uid="{BFDF114B-195A-4B82-9F6F-2B32F8CA72B6}"/>
    <cellStyle name="Comma 9 2 21" xfId="38881" xr:uid="{7019277B-F34E-414A-8C5A-C91F1B4C91BD}"/>
    <cellStyle name="Comma 9 2 22" xfId="40772" xr:uid="{C2383768-3618-4D91-B73B-3F95E0C657DD}"/>
    <cellStyle name="Comma 9 2 3" xfId="4861" xr:uid="{61D670F7-4952-4E09-B7AB-98C8F84277D7}"/>
    <cellStyle name="Comma 9 2 4" xfId="6751" xr:uid="{63208257-637C-45C5-B48F-F9E89552FD50}"/>
    <cellStyle name="Comma 9 2 5" xfId="8641" xr:uid="{4AA43891-8340-4013-9F87-3467446EB865}"/>
    <cellStyle name="Comma 9 2 6" xfId="10531" xr:uid="{8DE3154F-57DA-4C56-80ED-EDB79232433D}"/>
    <cellStyle name="Comma 9 2 7" xfId="12421" xr:uid="{D94372F7-D8A8-4F9B-AB72-816B4B76A9D5}"/>
    <cellStyle name="Comma 9 2 8" xfId="14311" xr:uid="{E6B4750B-52CB-4F6D-9305-0F1BC73CB748}"/>
    <cellStyle name="Comma 9 2 9" xfId="16201" xr:uid="{F1691F43-B4B9-405F-8ECC-8D3B25A58CA3}"/>
    <cellStyle name="Comma 9 20" xfId="32581" xr:uid="{D210E450-93AE-4EFB-9A45-1AE3A96BA92B}"/>
    <cellStyle name="Comma 9 21" xfId="34471" xr:uid="{849183E7-B526-41A6-975F-93CC7D9DD25B}"/>
    <cellStyle name="Comma 9 22" xfId="36361" xr:uid="{360584A3-3222-41CC-9D4A-F46ECFD70B40}"/>
    <cellStyle name="Comma 9 23" xfId="38251" xr:uid="{7F046126-F178-4CF3-97E4-41AEC7E0581E}"/>
    <cellStyle name="Comma 9 24" xfId="40142" xr:uid="{58131707-3BD4-47FF-977C-1C36D1768ABB}"/>
    <cellStyle name="Comma 9 3" xfId="1711" xr:uid="{81375F37-27A2-4DC0-8465-176D38821DD7}"/>
    <cellStyle name="Comma 9 3 10" xfId="18721" xr:uid="{8DCD722C-A6CF-4225-8FA3-4CE15C99D2EB}"/>
    <cellStyle name="Comma 9 3 11" xfId="20611" xr:uid="{00B135E9-01BE-484C-9209-3701FA932490}"/>
    <cellStyle name="Comma 9 3 12" xfId="22501" xr:uid="{7E922BF8-5D24-416E-88D0-F26A3EE2620A}"/>
    <cellStyle name="Comma 9 3 13" xfId="24391" xr:uid="{76EE134C-609A-4407-8E46-98FAC5154034}"/>
    <cellStyle name="Comma 9 3 14" xfId="26281" xr:uid="{5D9DEF0C-0457-4E3B-B8B3-33C62BF533FF}"/>
    <cellStyle name="Comma 9 3 15" xfId="28171" xr:uid="{674EFD2A-DA77-4B0D-8F11-477B9F209502}"/>
    <cellStyle name="Comma 9 3 16" xfId="30061" xr:uid="{55710080-51D4-44BA-ABC3-FDA85B2FDF32}"/>
    <cellStyle name="Comma 9 3 17" xfId="31951" xr:uid="{09AFB221-B2E3-42B1-98D8-4C366D88CE1A}"/>
    <cellStyle name="Comma 9 3 18" xfId="33841" xr:uid="{DD3EF53D-22F4-4E2D-A43A-B700212EE81B}"/>
    <cellStyle name="Comma 9 3 19" xfId="35731" xr:uid="{B5CFB0D6-8900-42A9-BCA4-1F8AAD697F76}"/>
    <cellStyle name="Comma 9 3 2" xfId="3601" xr:uid="{C1491D7A-36F9-4084-80FB-640C80A22932}"/>
    <cellStyle name="Comma 9 3 20" xfId="37621" xr:uid="{DC079CA5-AB50-4C40-A527-0F93FFC90760}"/>
    <cellStyle name="Comma 9 3 21" xfId="39511" xr:uid="{AC17B7E7-C5A4-4260-A25F-2E1281691B4C}"/>
    <cellStyle name="Comma 9 3 22" xfId="41402" xr:uid="{CC1BA474-C01E-41C0-88DB-09548904853F}"/>
    <cellStyle name="Comma 9 3 3" xfId="5491" xr:uid="{22192D4B-AE72-4E88-B35B-5C3A81CA0743}"/>
    <cellStyle name="Comma 9 3 4" xfId="7381" xr:uid="{565F0431-7921-4A41-A3CE-1A4B80BC5068}"/>
    <cellStyle name="Comma 9 3 5" xfId="9271" xr:uid="{B3A8B127-1A05-4216-ACAC-3A38A59246A8}"/>
    <cellStyle name="Comma 9 3 6" xfId="11161" xr:uid="{A4DCF62D-73DE-430C-9F3E-7FDD7EDF47DF}"/>
    <cellStyle name="Comma 9 3 7" xfId="13051" xr:uid="{501CD652-E3EA-4E39-89C7-6D3AC13FEAA2}"/>
    <cellStyle name="Comma 9 3 8" xfId="14941" xr:uid="{18622D1D-63AE-47BD-AC69-A44F843D4C67}"/>
    <cellStyle name="Comma 9 3 9" xfId="16831" xr:uid="{DA128F97-8764-4450-8B1C-24B0061FCD45}"/>
    <cellStyle name="Comma 9 4" xfId="2341" xr:uid="{E0E5DB78-6ABD-4938-8821-25AD1AC92840}"/>
    <cellStyle name="Comma 9 5" xfId="4231" xr:uid="{594DD196-0BF5-426A-AB50-430FAB6F8A96}"/>
    <cellStyle name="Comma 9 6" xfId="6121" xr:uid="{2B6E45D0-DDFB-424B-AE6F-1BA8DD23A695}"/>
    <cellStyle name="Comma 9 7" xfId="8011" xr:uid="{F2A29F07-C1C1-41B4-BC45-70D34A2CAD94}"/>
    <cellStyle name="Comma 9 8" xfId="9901" xr:uid="{6409A9FB-5757-466C-9BB3-E428932C8B42}"/>
    <cellStyle name="Comma 9 9" xfId="11791" xr:uid="{73C4E83A-E9DB-450C-8692-7AE83E143654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8A107CC3-9CEE-4F77-A8D5-C7B80A66067C}"/>
    <cellStyle name="Normal 10 10" xfId="7676" xr:uid="{1F776977-BA4A-44AC-8279-FD92F621D3A4}"/>
    <cellStyle name="Normal 10 11" xfId="9566" xr:uid="{3E8AEB72-D7ED-4513-9AB2-5B333044589C}"/>
    <cellStyle name="Normal 10 12" xfId="11456" xr:uid="{FDCB5E54-FD98-43EE-94F2-86AB9CC2B67D}"/>
    <cellStyle name="Normal 10 13" xfId="13346" xr:uid="{8FA53881-8B27-4A2E-8290-F69D68E77736}"/>
    <cellStyle name="Normal 10 14" xfId="15236" xr:uid="{0677BCE8-3C02-4B4C-927F-4B04047C70A8}"/>
    <cellStyle name="Normal 10 15" xfId="17126" xr:uid="{CA46183E-62E6-45FB-AF98-58E95D628F77}"/>
    <cellStyle name="Normal 10 16" xfId="19016" xr:uid="{11F4B20A-923F-40C0-9DC9-355F8C5E6C21}"/>
    <cellStyle name="Normal 10 17" xfId="20906" xr:uid="{D46DACC9-B3A2-4060-BCB7-326D95338722}"/>
    <cellStyle name="Normal 10 18" xfId="22796" xr:uid="{0B39DC93-52FF-4C2C-AEE1-4F102F61E6F8}"/>
    <cellStyle name="Normal 10 19" xfId="24686" xr:uid="{F8AEB96E-60AB-4AD5-9484-711D43EF5257}"/>
    <cellStyle name="Normal 10 2" xfId="221" xr:uid="{2DBC48AB-11CF-4731-BDF5-37D8F5F9750F}"/>
    <cellStyle name="Normal 10 2 10" xfId="9671" xr:uid="{0F56A256-9124-4FBB-A16B-1F3F1C34B17A}"/>
    <cellStyle name="Normal 10 2 11" xfId="11561" xr:uid="{EED4F445-B3DA-42CF-A225-A5D93116EE8A}"/>
    <cellStyle name="Normal 10 2 12" xfId="13451" xr:uid="{8909D06B-1C59-4007-A59C-FB743A4696CB}"/>
    <cellStyle name="Normal 10 2 13" xfId="15341" xr:uid="{A604C069-A368-4E73-8C0B-3C3E9E471377}"/>
    <cellStyle name="Normal 10 2 14" xfId="17231" xr:uid="{226EF958-3EF6-4481-8397-A2208E2AB273}"/>
    <cellStyle name="Normal 10 2 15" xfId="19121" xr:uid="{5ECD0951-7E08-4F6E-9EFC-50A73054FFE9}"/>
    <cellStyle name="Normal 10 2 16" xfId="21011" xr:uid="{D4147002-AA68-4FA3-9182-89B1A2D56414}"/>
    <cellStyle name="Normal 10 2 17" xfId="22901" xr:uid="{35D545BB-EA4E-48F4-A092-392929713458}"/>
    <cellStyle name="Normal 10 2 18" xfId="24791" xr:uid="{5C7DC0AA-E78F-4ED4-B907-D5367CC29697}"/>
    <cellStyle name="Normal 10 2 19" xfId="26681" xr:uid="{9BB9DE61-5764-495F-8D65-024A27923767}"/>
    <cellStyle name="Normal 10 2 2" xfId="431" xr:uid="{14FCD2EC-0C9F-4225-B199-F567E19D01A2}"/>
    <cellStyle name="Normal 10 2 2 10" xfId="13661" xr:uid="{8A42817D-66D9-4524-B16D-31DF6CD13B2C}"/>
    <cellStyle name="Normal 10 2 2 11" xfId="15551" xr:uid="{AB258837-8EA4-434D-977D-174E29FC1EDC}"/>
    <cellStyle name="Normal 10 2 2 12" xfId="17441" xr:uid="{679BABC9-CFA3-4E29-AC02-3842D05DA2D2}"/>
    <cellStyle name="Normal 10 2 2 13" xfId="19331" xr:uid="{CEE8BF0D-F187-4270-8046-3C1B2A278E10}"/>
    <cellStyle name="Normal 10 2 2 14" xfId="21221" xr:uid="{BD566534-DE3A-4C92-B0B7-1082154FF76C}"/>
    <cellStyle name="Normal 10 2 2 15" xfId="23111" xr:uid="{1197EAE9-397E-4749-BC2B-CEF1CFDD3088}"/>
    <cellStyle name="Normal 10 2 2 16" xfId="25001" xr:uid="{1203F231-98E3-4DBC-AAC3-3A28917A36D1}"/>
    <cellStyle name="Normal 10 2 2 17" xfId="26891" xr:uid="{7366E9B8-57EE-4159-885B-9C5797E3377D}"/>
    <cellStyle name="Normal 10 2 2 18" xfId="28781" xr:uid="{6F8D6882-90F2-4303-A2C7-6F75910713D0}"/>
    <cellStyle name="Normal 10 2 2 19" xfId="30671" xr:uid="{B0CCFE24-5746-4660-8DDA-133A58B3BF77}"/>
    <cellStyle name="Normal 10 2 2 2" xfId="1061" xr:uid="{6194D67D-80C9-42A6-B7DA-DEFB57500C6B}"/>
    <cellStyle name="Normal 10 2 2 2 10" xfId="18071" xr:uid="{A4A6B556-C48D-440B-9BEF-E1C829485667}"/>
    <cellStyle name="Normal 10 2 2 2 11" xfId="19961" xr:uid="{BB1378CA-8351-421C-8FE1-F991FEF1E747}"/>
    <cellStyle name="Normal 10 2 2 2 12" xfId="21851" xr:uid="{131B50D8-7CBF-4034-B156-C094E754ECBF}"/>
    <cellStyle name="Normal 10 2 2 2 13" xfId="23741" xr:uid="{9CF1942D-1247-4C0E-A891-BC57D07D6910}"/>
    <cellStyle name="Normal 10 2 2 2 14" xfId="25631" xr:uid="{E56B33FB-E796-428A-AAEC-499A351B4F6E}"/>
    <cellStyle name="Normal 10 2 2 2 15" xfId="27521" xr:uid="{42621B41-AAE0-45D2-B111-A42096F6DED4}"/>
    <cellStyle name="Normal 10 2 2 2 16" xfId="29411" xr:uid="{308000D4-A225-45D3-A16F-C3749C752B8B}"/>
    <cellStyle name="Normal 10 2 2 2 17" xfId="31301" xr:uid="{5F42D729-77C8-4E1D-92F3-1F72E9F29329}"/>
    <cellStyle name="Normal 10 2 2 2 18" xfId="33191" xr:uid="{2F6A23CE-8FE1-4111-AC99-31AA613F356B}"/>
    <cellStyle name="Normal 10 2 2 2 19" xfId="35081" xr:uid="{CA6E532D-C39D-4E51-9F3E-9BD3AF8F3D5F}"/>
    <cellStyle name="Normal 10 2 2 2 2" xfId="2951" xr:uid="{A795E2FA-DCF7-4707-B34D-4B02975FE1FC}"/>
    <cellStyle name="Normal 10 2 2 2 20" xfId="36971" xr:uid="{CAE37DBF-3C1E-4C73-AD0D-D35DBB6E398C}"/>
    <cellStyle name="Normal 10 2 2 2 21" xfId="38861" xr:uid="{4D5044BB-1C31-43BB-B246-DDA476D5F7E3}"/>
    <cellStyle name="Normal 10 2 2 2 22" xfId="40752" xr:uid="{E41C6B6E-F387-43E8-BC84-2D031065D59E}"/>
    <cellStyle name="Normal 10 2 2 2 3" xfId="4841" xr:uid="{9CBB9CA7-DAE7-4DF8-BBB3-E0F4E258AB50}"/>
    <cellStyle name="Normal 10 2 2 2 4" xfId="6731" xr:uid="{98835B78-AE98-44DC-8805-4146D17EE3D1}"/>
    <cellStyle name="Normal 10 2 2 2 5" xfId="8621" xr:uid="{46F096EC-BC18-43BE-8D34-2B9D02148395}"/>
    <cellStyle name="Normal 10 2 2 2 6" xfId="10511" xr:uid="{355F697A-B3E5-43D1-B29E-E82B73D4BFF0}"/>
    <cellStyle name="Normal 10 2 2 2 7" xfId="12401" xr:uid="{E4AD1BBC-C772-470B-AB33-1A3D08E0602D}"/>
    <cellStyle name="Normal 10 2 2 2 8" xfId="14291" xr:uid="{2F8F6B06-5623-437C-871B-9AB7920B5537}"/>
    <cellStyle name="Normal 10 2 2 2 9" xfId="16181" xr:uid="{5F8CE0F6-9258-41F6-A8CB-C938006AC739}"/>
    <cellStyle name="Normal 10 2 2 20" xfId="32561" xr:uid="{5799046F-C443-4F8C-A8D7-4792DFCC9ABF}"/>
    <cellStyle name="Normal 10 2 2 21" xfId="34451" xr:uid="{7475C081-3030-41E2-ABE7-59650ACFF066}"/>
    <cellStyle name="Normal 10 2 2 22" xfId="36341" xr:uid="{523F31C5-1375-4ADF-8CDF-24762C200171}"/>
    <cellStyle name="Normal 10 2 2 23" xfId="38231" xr:uid="{D0F700E7-D221-410C-833E-C4EB0376FE91}"/>
    <cellStyle name="Normal 10 2 2 24" xfId="40122" xr:uid="{1A48D791-CF68-43DE-B303-2A7593541531}"/>
    <cellStyle name="Normal 10 2 2 3" xfId="1691" xr:uid="{D4A9160C-D464-4B4E-8F8B-D5A76A1225B3}"/>
    <cellStyle name="Normal 10 2 2 3 10" xfId="18701" xr:uid="{21CAFE4F-5179-4C71-BCBD-9C42E57B8341}"/>
    <cellStyle name="Normal 10 2 2 3 11" xfId="20591" xr:uid="{874F6D1F-BFF4-4BAD-82E5-2D8FA1D5E966}"/>
    <cellStyle name="Normal 10 2 2 3 12" xfId="22481" xr:uid="{590245DE-B67A-40BF-8DFC-E50626DD73FE}"/>
    <cellStyle name="Normal 10 2 2 3 13" xfId="24371" xr:uid="{ED0450D3-5059-43F2-84C1-16333B7F4DBD}"/>
    <cellStyle name="Normal 10 2 2 3 14" xfId="26261" xr:uid="{30CF5006-2667-44F1-8253-A6F718B9B7E1}"/>
    <cellStyle name="Normal 10 2 2 3 15" xfId="28151" xr:uid="{08E942D6-A369-41B8-9097-F6EC798EC386}"/>
    <cellStyle name="Normal 10 2 2 3 16" xfId="30041" xr:uid="{B113683E-93D2-4CE1-A73D-0788CC7D7A83}"/>
    <cellStyle name="Normal 10 2 2 3 17" xfId="31931" xr:uid="{67A55300-E7E0-482E-AF04-DB2EE43622A3}"/>
    <cellStyle name="Normal 10 2 2 3 18" xfId="33821" xr:uid="{185DBCA8-7DAA-4C12-AFB8-F13E76C5EA14}"/>
    <cellStyle name="Normal 10 2 2 3 19" xfId="35711" xr:uid="{95CABA41-BE98-46E9-A54C-857A629D29B7}"/>
    <cellStyle name="Normal 10 2 2 3 2" xfId="3581" xr:uid="{5E517764-6A8D-4425-9DE0-9EA35817E3D5}"/>
    <cellStyle name="Normal 10 2 2 3 20" xfId="37601" xr:uid="{0EA88542-DA03-450F-8A7D-B9D0AC9AE73B}"/>
    <cellStyle name="Normal 10 2 2 3 21" xfId="39491" xr:uid="{6CFEA277-6293-44C6-BBEF-4D668CF3BE5A}"/>
    <cellStyle name="Normal 10 2 2 3 22" xfId="41382" xr:uid="{4668A9AA-CE76-467E-8BE9-F1410CD8871E}"/>
    <cellStyle name="Normal 10 2 2 3 3" xfId="5471" xr:uid="{E6A5F113-FE1F-492C-9512-C33A8BE2BAD2}"/>
    <cellStyle name="Normal 10 2 2 3 4" xfId="7361" xr:uid="{D84A4293-A833-49E8-A726-2C7504ABC782}"/>
    <cellStyle name="Normal 10 2 2 3 5" xfId="9251" xr:uid="{173DC6C4-24E9-42F1-9445-2721CF4D8F9A}"/>
    <cellStyle name="Normal 10 2 2 3 6" xfId="11141" xr:uid="{241527AB-2C28-4337-B714-CA3E01CB7335}"/>
    <cellStyle name="Normal 10 2 2 3 7" xfId="13031" xr:uid="{B8F650C9-122D-4920-98AD-D7F27FA698CB}"/>
    <cellStyle name="Normal 10 2 2 3 8" xfId="14921" xr:uid="{2D40793F-2856-4889-9104-C0DF0FF2DDC0}"/>
    <cellStyle name="Normal 10 2 2 3 9" xfId="16811" xr:uid="{1D226AD5-6A71-4B69-8A7C-D31F1E351DC5}"/>
    <cellStyle name="Normal 10 2 2 4" xfId="2321" xr:uid="{D86700C5-B426-498C-A9D9-FCDCF65D337C}"/>
    <cellStyle name="Normal 10 2 2 5" xfId="4211" xr:uid="{FB5D1E41-AD37-400E-9DB7-83A5B5C71A8D}"/>
    <cellStyle name="Normal 10 2 2 6" xfId="6101" xr:uid="{52F0AB0F-E961-4C04-8722-2943ED539CA1}"/>
    <cellStyle name="Normal 10 2 2 7" xfId="7991" xr:uid="{77B42989-019E-4464-B9A0-82F08944A856}"/>
    <cellStyle name="Normal 10 2 2 8" xfId="9881" xr:uid="{FD70621D-AC96-46F1-A0E4-7628B738B3DE}"/>
    <cellStyle name="Normal 10 2 2 9" xfId="11771" xr:uid="{EE123E8A-7C77-47C5-8D31-C7F4429A16C9}"/>
    <cellStyle name="Normal 10 2 20" xfId="28571" xr:uid="{0BB97679-EFDD-4E8B-B3D1-E35C209AF291}"/>
    <cellStyle name="Normal 10 2 21" xfId="30461" xr:uid="{8428C666-E99D-4BB9-99B0-8D5F39B5A0B3}"/>
    <cellStyle name="Normal 10 2 22" xfId="32351" xr:uid="{414E942F-72F4-4044-B8D7-1546DCD22562}"/>
    <cellStyle name="Normal 10 2 23" xfId="34241" xr:uid="{B104593C-5C16-4D5A-98D5-5157789511C7}"/>
    <cellStyle name="Normal 10 2 24" xfId="36131" xr:uid="{0859B97C-0E81-4ABF-B54A-856F0313F3FB}"/>
    <cellStyle name="Normal 10 2 25" xfId="38021" xr:uid="{18E3903B-CFA1-4983-99FF-355CDF1383EC}"/>
    <cellStyle name="Normal 10 2 26" xfId="39912" xr:uid="{B068453B-E5FE-403F-967E-EAB304CC6C7B}"/>
    <cellStyle name="Normal 10 2 3" xfId="641" xr:uid="{9468C87C-6834-4216-B204-212C5ACDAB65}"/>
    <cellStyle name="Normal 10 2 3 10" xfId="13871" xr:uid="{F54B78AB-2A7B-4BE2-BBE4-CE2E077F2426}"/>
    <cellStyle name="Normal 10 2 3 11" xfId="15761" xr:uid="{FAADDA72-F698-4723-8959-584A32891E0E}"/>
    <cellStyle name="Normal 10 2 3 12" xfId="17651" xr:uid="{EFED9DD5-EF08-48A5-B9FC-981E9CE9CD7B}"/>
    <cellStyle name="Normal 10 2 3 13" xfId="19541" xr:uid="{E11FC04F-2152-47D8-B2F6-7493528BB391}"/>
    <cellStyle name="Normal 10 2 3 14" xfId="21431" xr:uid="{9F9B7323-CBAB-4986-98E7-C556101D1E6F}"/>
    <cellStyle name="Normal 10 2 3 15" xfId="23321" xr:uid="{EDED8E98-5B66-4028-B828-92B962CBE0F8}"/>
    <cellStyle name="Normal 10 2 3 16" xfId="25211" xr:uid="{0F8EA4E2-DDA0-4CAF-A969-F36ACE0B7D3A}"/>
    <cellStyle name="Normal 10 2 3 17" xfId="27101" xr:uid="{D5BA6F45-3DF3-468B-975B-D3E7EE92AEDB}"/>
    <cellStyle name="Normal 10 2 3 18" xfId="28991" xr:uid="{590926F5-7AFA-47C3-AE4C-786ECDEF882A}"/>
    <cellStyle name="Normal 10 2 3 19" xfId="30881" xr:uid="{61A3A062-7F2C-4CAD-A252-04F7A0C99378}"/>
    <cellStyle name="Normal 10 2 3 2" xfId="1271" xr:uid="{74903718-3531-4109-91A7-BC6AA3825AEC}"/>
    <cellStyle name="Normal 10 2 3 2 10" xfId="18281" xr:uid="{CFB27670-8A8C-434D-B71A-3363B484D5D8}"/>
    <cellStyle name="Normal 10 2 3 2 11" xfId="20171" xr:uid="{073F7985-42FD-4CCC-8486-85E005B11022}"/>
    <cellStyle name="Normal 10 2 3 2 12" xfId="22061" xr:uid="{EC167745-D77E-4703-ACA7-D428D7A36535}"/>
    <cellStyle name="Normal 10 2 3 2 13" xfId="23951" xr:uid="{6E071567-4C56-41B9-8F2C-2EC959E3CEEF}"/>
    <cellStyle name="Normal 10 2 3 2 14" xfId="25841" xr:uid="{6E636E86-7257-48C3-8AA9-A3CE3809439A}"/>
    <cellStyle name="Normal 10 2 3 2 15" xfId="27731" xr:uid="{A0A46DF5-43EC-4F61-91B8-3898882F7E79}"/>
    <cellStyle name="Normal 10 2 3 2 16" xfId="29621" xr:uid="{A7C7C622-CB5F-4819-8F9A-0A1915EB681C}"/>
    <cellStyle name="Normal 10 2 3 2 17" xfId="31511" xr:uid="{E32EEEDB-6742-4E64-8156-181F35A2B876}"/>
    <cellStyle name="Normal 10 2 3 2 18" xfId="33401" xr:uid="{9D41BA49-D932-48FB-A4B3-81BD74BACA46}"/>
    <cellStyle name="Normal 10 2 3 2 19" xfId="35291" xr:uid="{55C856EA-899C-4210-A4BA-392F0717290E}"/>
    <cellStyle name="Normal 10 2 3 2 2" xfId="3161" xr:uid="{A09F5107-4616-4B96-928C-5C4F8A3BB952}"/>
    <cellStyle name="Normal 10 2 3 2 20" xfId="37181" xr:uid="{80FBAA9A-0788-40FD-9347-3E77D8CC6056}"/>
    <cellStyle name="Normal 10 2 3 2 21" xfId="39071" xr:uid="{FF18B2BB-DDF5-40EA-8C1A-78F02DC6B67F}"/>
    <cellStyle name="Normal 10 2 3 2 22" xfId="40962" xr:uid="{19F59674-9061-4BBC-AC88-92B02DE1FF6F}"/>
    <cellStyle name="Normal 10 2 3 2 3" xfId="5051" xr:uid="{C4E324FC-923E-465C-952C-B7F8B2BC1139}"/>
    <cellStyle name="Normal 10 2 3 2 4" xfId="6941" xr:uid="{9CD2D12F-60BD-47BA-898E-1660B251564D}"/>
    <cellStyle name="Normal 10 2 3 2 5" xfId="8831" xr:uid="{7109FECC-4D52-416E-9E71-5199544AF517}"/>
    <cellStyle name="Normal 10 2 3 2 6" xfId="10721" xr:uid="{9EA54130-BB03-4713-B6D9-33A4E8DBF71B}"/>
    <cellStyle name="Normal 10 2 3 2 7" xfId="12611" xr:uid="{E3D251D8-2E37-418C-BD50-764F800D8E1C}"/>
    <cellStyle name="Normal 10 2 3 2 8" xfId="14501" xr:uid="{8F6802F8-59CB-4B12-B1BD-A703199011B8}"/>
    <cellStyle name="Normal 10 2 3 2 9" xfId="16391" xr:uid="{13E42495-8255-488C-8F91-88573CA48E80}"/>
    <cellStyle name="Normal 10 2 3 20" xfId="32771" xr:uid="{4E545C5A-FDBE-4716-8211-05386FFEC0B3}"/>
    <cellStyle name="Normal 10 2 3 21" xfId="34661" xr:uid="{494050B1-3EB4-4A60-AAB0-B432A2F7F874}"/>
    <cellStyle name="Normal 10 2 3 22" xfId="36551" xr:uid="{F549EB51-4838-4E50-A056-E2B29220FD24}"/>
    <cellStyle name="Normal 10 2 3 23" xfId="38441" xr:uid="{610A88E0-BBAA-43A0-851F-D2A82D3EA961}"/>
    <cellStyle name="Normal 10 2 3 24" xfId="40332" xr:uid="{5B5B09BF-9754-4F23-AE1C-D7F01510E62B}"/>
    <cellStyle name="Normal 10 2 3 3" xfId="1901" xr:uid="{47F1E4B4-C3A0-45A3-872F-4DBD40F64F98}"/>
    <cellStyle name="Normal 10 2 3 3 10" xfId="18911" xr:uid="{03E7919D-4A14-4F8B-A646-16A86ED81BA2}"/>
    <cellStyle name="Normal 10 2 3 3 11" xfId="20801" xr:uid="{05E0DAC4-DE56-406E-ADEB-130D36D9BD0E}"/>
    <cellStyle name="Normal 10 2 3 3 12" xfId="22691" xr:uid="{66BD7DEE-566F-422F-8266-20FFF76ED50F}"/>
    <cellStyle name="Normal 10 2 3 3 13" xfId="24581" xr:uid="{D21F88E6-87B0-41A1-A5FD-07BC2B49A3C0}"/>
    <cellStyle name="Normal 10 2 3 3 14" xfId="26471" xr:uid="{3BB59567-3D8C-4CD8-9C6C-38F0DDE4FD92}"/>
    <cellStyle name="Normal 10 2 3 3 15" xfId="28361" xr:uid="{A3E038A3-28A6-489C-A94D-2E28F44C6132}"/>
    <cellStyle name="Normal 10 2 3 3 16" xfId="30251" xr:uid="{2A5C682F-C8FF-47A1-95D4-1351301FEB92}"/>
    <cellStyle name="Normal 10 2 3 3 17" xfId="32141" xr:uid="{138A36C8-ACF5-42F1-AA7A-3A0BE5891820}"/>
    <cellStyle name="Normal 10 2 3 3 18" xfId="34031" xr:uid="{172C8B97-64BD-489A-A116-AC3A3B6FEB51}"/>
    <cellStyle name="Normal 10 2 3 3 19" xfId="35921" xr:uid="{E91E070F-133B-4604-B0C2-A2064F0D4AD1}"/>
    <cellStyle name="Normal 10 2 3 3 2" xfId="3791" xr:uid="{5800A29D-60EF-4ECF-A2B4-7F0126C2F1D7}"/>
    <cellStyle name="Normal 10 2 3 3 20" xfId="37811" xr:uid="{8ED82960-B01C-43F6-AF7F-A3D8DFCF0CA1}"/>
    <cellStyle name="Normal 10 2 3 3 21" xfId="39701" xr:uid="{64D08410-8A28-4D00-AE85-1F75C722D682}"/>
    <cellStyle name="Normal 10 2 3 3 22" xfId="41592" xr:uid="{EB3FBD2C-871E-452D-A7F4-483AB7D42B71}"/>
    <cellStyle name="Normal 10 2 3 3 3" xfId="5681" xr:uid="{BDAB24CB-19AC-43BC-A7B5-D30117846B97}"/>
    <cellStyle name="Normal 10 2 3 3 4" xfId="7571" xr:uid="{77BB1055-71CB-418F-BAB3-C81110E4D353}"/>
    <cellStyle name="Normal 10 2 3 3 5" xfId="9461" xr:uid="{83C2DEF3-2970-4371-AB33-681852F5DBB3}"/>
    <cellStyle name="Normal 10 2 3 3 6" xfId="11351" xr:uid="{A9796482-721D-4868-A28A-58201791A426}"/>
    <cellStyle name="Normal 10 2 3 3 7" xfId="13241" xr:uid="{9E71E10A-AC75-47A5-9AB5-405748EF4466}"/>
    <cellStyle name="Normal 10 2 3 3 8" xfId="15131" xr:uid="{4306F826-F919-4971-8E91-542C023A96E0}"/>
    <cellStyle name="Normal 10 2 3 3 9" xfId="17021" xr:uid="{7FC9A0CD-3FC9-4E4E-8740-5459746C2B85}"/>
    <cellStyle name="Normal 10 2 3 4" xfId="2531" xr:uid="{478FD8BC-4212-41EC-9A8E-AD793ED6555A}"/>
    <cellStyle name="Normal 10 2 3 5" xfId="4421" xr:uid="{91A161EB-DD16-4438-A6F3-92905DD73A73}"/>
    <cellStyle name="Normal 10 2 3 6" xfId="6311" xr:uid="{D170106F-DBA8-4279-854F-9A168F4F5F23}"/>
    <cellStyle name="Normal 10 2 3 7" xfId="8201" xr:uid="{6C666950-645D-4623-868F-FF4DE64E2155}"/>
    <cellStyle name="Normal 10 2 3 8" xfId="10091" xr:uid="{9161FC8C-C42D-4FA8-8107-9340A3D70D98}"/>
    <cellStyle name="Normal 10 2 3 9" xfId="11981" xr:uid="{870FE26F-C96F-4A40-8EDB-2740D8B34196}"/>
    <cellStyle name="Normal 10 2 4" xfId="851" xr:uid="{F8F36670-1198-4ABE-BC9F-4788E09555D9}"/>
    <cellStyle name="Normal 10 2 4 10" xfId="17861" xr:uid="{417CF754-285A-4AD8-8E89-0EC7E896A5FC}"/>
    <cellStyle name="Normal 10 2 4 11" xfId="19751" xr:uid="{5E39A6D2-22D9-40B0-94D9-14CCE3D5375D}"/>
    <cellStyle name="Normal 10 2 4 12" xfId="21641" xr:uid="{5C842342-A001-421A-ADE5-89FF431A63D3}"/>
    <cellStyle name="Normal 10 2 4 13" xfId="23531" xr:uid="{B23C988F-3BBC-48F8-9C77-03C21B66D8A6}"/>
    <cellStyle name="Normal 10 2 4 14" xfId="25421" xr:uid="{57649DE2-C4D5-4FA9-B14C-751F5AC5EC4D}"/>
    <cellStyle name="Normal 10 2 4 15" xfId="27311" xr:uid="{941D0C74-62EF-4A37-A27C-68D02712DE62}"/>
    <cellStyle name="Normal 10 2 4 16" xfId="29201" xr:uid="{1D4AEEDE-A41D-4A30-A321-51183A65A27C}"/>
    <cellStyle name="Normal 10 2 4 17" xfId="31091" xr:uid="{424BCC77-B5A5-41FF-AE15-2AD814928CE0}"/>
    <cellStyle name="Normal 10 2 4 18" xfId="32981" xr:uid="{745E6DA1-CF36-4077-987E-AB4D2CA0EC94}"/>
    <cellStyle name="Normal 10 2 4 19" xfId="34871" xr:uid="{D4B8B0E7-A803-4216-804B-F1C2BA87C7C4}"/>
    <cellStyle name="Normal 10 2 4 2" xfId="2741" xr:uid="{1B794EB6-9502-4ECA-8608-CCC89C600A6F}"/>
    <cellStyle name="Normal 10 2 4 20" xfId="36761" xr:uid="{A1FF5FA9-6C03-49D6-83BE-D8EC67DE9B5A}"/>
    <cellStyle name="Normal 10 2 4 21" xfId="38651" xr:uid="{8916D274-6171-4B44-9D22-20A1D116D389}"/>
    <cellStyle name="Normal 10 2 4 22" xfId="40542" xr:uid="{FFCB8234-FF18-45CC-BC6E-EDE1DFA32CB7}"/>
    <cellStyle name="Normal 10 2 4 3" xfId="4631" xr:uid="{4B34BC53-4174-411F-ADC4-4CC95087327E}"/>
    <cellStyle name="Normal 10 2 4 4" xfId="6521" xr:uid="{B49107E7-A97E-484E-A78E-019614F3D66B}"/>
    <cellStyle name="Normal 10 2 4 5" xfId="8411" xr:uid="{C428EFAB-AC8B-423E-ACD3-01FB687DF004}"/>
    <cellStyle name="Normal 10 2 4 6" xfId="10301" xr:uid="{42995F40-6DDE-4BCD-AFCB-721E5DF84C97}"/>
    <cellStyle name="Normal 10 2 4 7" xfId="12191" xr:uid="{DA76C3F7-C1FA-4CC9-BCEA-F0CDCEDE6C3A}"/>
    <cellStyle name="Normal 10 2 4 8" xfId="14081" xr:uid="{2DF7C85B-76AB-41D0-ABE3-90075C9C32E0}"/>
    <cellStyle name="Normal 10 2 4 9" xfId="15971" xr:uid="{893CB832-378B-4D5F-862B-E676C07A8908}"/>
    <cellStyle name="Normal 10 2 5" xfId="1481" xr:uid="{6598C9CC-B3A7-4767-82B4-698434987896}"/>
    <cellStyle name="Normal 10 2 5 10" xfId="18491" xr:uid="{E904E154-207F-491F-851D-1C80A983CB7C}"/>
    <cellStyle name="Normal 10 2 5 11" xfId="20381" xr:uid="{DE140B9E-089B-46E0-91FB-E04036B4DB73}"/>
    <cellStyle name="Normal 10 2 5 12" xfId="22271" xr:uid="{39709357-E9A4-43F2-B621-F68933489C82}"/>
    <cellStyle name="Normal 10 2 5 13" xfId="24161" xr:uid="{29115AEA-61D1-405A-8292-60064693F05B}"/>
    <cellStyle name="Normal 10 2 5 14" xfId="26051" xr:uid="{1E9B8EA6-EF79-4904-8DCB-C3DFD78A41DF}"/>
    <cellStyle name="Normal 10 2 5 15" xfId="27941" xr:uid="{44388E94-4F56-40D0-8B39-687262A5AA5C}"/>
    <cellStyle name="Normal 10 2 5 16" xfId="29831" xr:uid="{95C8712D-E1D7-4813-9A93-9F970F7D10B3}"/>
    <cellStyle name="Normal 10 2 5 17" xfId="31721" xr:uid="{5DDC66A5-3622-4AC5-877F-2CE22B557147}"/>
    <cellStyle name="Normal 10 2 5 18" xfId="33611" xr:uid="{F0878442-F8AE-4F1B-B3DC-9E0363E5B0AB}"/>
    <cellStyle name="Normal 10 2 5 19" xfId="35501" xr:uid="{1040F65C-C001-4F5D-AC7A-115F4C052326}"/>
    <cellStyle name="Normal 10 2 5 2" xfId="3371" xr:uid="{05D2F3E6-CE18-4377-868D-E42FCE35A420}"/>
    <cellStyle name="Normal 10 2 5 20" xfId="37391" xr:uid="{A6F4E038-C660-486F-8B5B-9EE4A41C3B7B}"/>
    <cellStyle name="Normal 10 2 5 21" xfId="39281" xr:uid="{31474DAD-D863-4A62-9626-6D5EA06DD86F}"/>
    <cellStyle name="Normal 10 2 5 22" xfId="41172" xr:uid="{075D617A-D94F-4B98-9997-28F6DDBAC35C}"/>
    <cellStyle name="Normal 10 2 5 3" xfId="5261" xr:uid="{BC628855-A847-43D3-B334-2A5E161F3965}"/>
    <cellStyle name="Normal 10 2 5 4" xfId="7151" xr:uid="{A666CF7B-3576-4790-BFDF-8D48FABD3352}"/>
    <cellStyle name="Normal 10 2 5 5" xfId="9041" xr:uid="{4269B277-D1F2-42C6-B334-186805DAE9E6}"/>
    <cellStyle name="Normal 10 2 5 6" xfId="10931" xr:uid="{7C5796A2-048D-4439-BF7A-0FE5BF107DC9}"/>
    <cellStyle name="Normal 10 2 5 7" xfId="12821" xr:uid="{5DF95A5B-A514-4D1C-B805-9A6C1A07D006}"/>
    <cellStyle name="Normal 10 2 5 8" xfId="14711" xr:uid="{D98FF006-9287-48D4-A6F7-8D125039FB80}"/>
    <cellStyle name="Normal 10 2 5 9" xfId="16601" xr:uid="{232B6574-C7A2-4653-B947-E31A483114AF}"/>
    <cellStyle name="Normal 10 2 6" xfId="2111" xr:uid="{C28C8F3F-8C54-4190-ADA1-3250060A03A5}"/>
    <cellStyle name="Normal 10 2 7" xfId="4001" xr:uid="{6BB247ED-8536-4043-A639-378C26A585B5}"/>
    <cellStyle name="Normal 10 2 8" xfId="5891" xr:uid="{9C449624-5EEA-46A5-AA13-5BD2E267BB2E}"/>
    <cellStyle name="Normal 10 2 9" xfId="7781" xr:uid="{99C194A5-766A-427D-AB03-AB3C9D341DD7}"/>
    <cellStyle name="Normal 10 20" xfId="26576" xr:uid="{96F491B6-29D0-4AE0-ADEC-474AD1641AA0}"/>
    <cellStyle name="Normal 10 21" xfId="28466" xr:uid="{6B60D716-AD1F-4224-AFEC-D714E5BBDF10}"/>
    <cellStyle name="Normal 10 22" xfId="30356" xr:uid="{868DDC4C-356F-4DE8-9AB6-879C33C6B6A9}"/>
    <cellStyle name="Normal 10 23" xfId="32246" xr:uid="{AD55910F-509C-4BE7-A85F-6C1DC00A72CD}"/>
    <cellStyle name="Normal 10 24" xfId="34136" xr:uid="{63A84012-70C5-476B-9D04-99622FAFC296}"/>
    <cellStyle name="Normal 10 25" xfId="36026" xr:uid="{7DE66A6C-3AFF-4276-8B91-82A75C134CAF}"/>
    <cellStyle name="Normal 10 26" xfId="37916" xr:uid="{E18A62B2-6BD3-4A21-8A79-7A18E2CE2E65}"/>
    <cellStyle name="Normal 10 27" xfId="39807" xr:uid="{880D8CAF-804A-41D8-81CE-D26EE965DA45}"/>
    <cellStyle name="Normal 10 3" xfId="326" xr:uid="{61896509-14EF-42E0-805E-C74A3D182E2F}"/>
    <cellStyle name="Normal 10 3 10" xfId="13556" xr:uid="{93C00AF6-E45C-4939-BC89-A566CA80DAD2}"/>
    <cellStyle name="Normal 10 3 11" xfId="15446" xr:uid="{8767A193-48DA-4B71-ADA9-A051F6AFCA22}"/>
    <cellStyle name="Normal 10 3 12" xfId="17336" xr:uid="{D291DB49-4EC7-49BE-A9A9-B024A20E26D2}"/>
    <cellStyle name="Normal 10 3 13" xfId="19226" xr:uid="{8EDB7D15-3895-4D7F-884A-5F22D694E5E1}"/>
    <cellStyle name="Normal 10 3 14" xfId="21116" xr:uid="{0ED72B6D-BF12-4494-AA42-1AD2D91DC098}"/>
    <cellStyle name="Normal 10 3 15" xfId="23006" xr:uid="{44AAF128-753C-44E6-B9FA-4EB1D28D23AF}"/>
    <cellStyle name="Normal 10 3 16" xfId="24896" xr:uid="{84482844-1A3F-4567-8D31-4E68AC0E6A7A}"/>
    <cellStyle name="Normal 10 3 17" xfId="26786" xr:uid="{D7AA09C1-DF05-4FFE-8DE0-CE3A96202828}"/>
    <cellStyle name="Normal 10 3 18" xfId="28676" xr:uid="{7E96C8A6-77BC-4AB1-A2AA-8FF1885E24F1}"/>
    <cellStyle name="Normal 10 3 19" xfId="30566" xr:uid="{8364F200-7919-47CA-9A2D-34EAA3C91AF0}"/>
    <cellStyle name="Normal 10 3 2" xfId="956" xr:uid="{0BD154FD-711C-4F72-93C5-FB31697FA886}"/>
    <cellStyle name="Normal 10 3 2 10" xfId="17966" xr:uid="{D4FE935E-B6FB-420A-BEF5-AF171282DFFF}"/>
    <cellStyle name="Normal 10 3 2 11" xfId="19856" xr:uid="{6EF2760F-1328-47C5-8177-49954B918BBE}"/>
    <cellStyle name="Normal 10 3 2 12" xfId="21746" xr:uid="{A1F76655-DEFE-41A5-86CC-DDF7FA41CAD4}"/>
    <cellStyle name="Normal 10 3 2 13" xfId="23636" xr:uid="{19171737-C440-451F-9736-9709635DE706}"/>
    <cellStyle name="Normal 10 3 2 14" xfId="25526" xr:uid="{F79CD2B4-7196-4A94-8390-EFD5856A1701}"/>
    <cellStyle name="Normal 10 3 2 15" xfId="27416" xr:uid="{177AFA8D-8128-4768-99C1-239484BF676E}"/>
    <cellStyle name="Normal 10 3 2 16" xfId="29306" xr:uid="{5EE4311B-D0C8-4CAD-AF63-96E464790DE9}"/>
    <cellStyle name="Normal 10 3 2 17" xfId="31196" xr:uid="{FEC6767D-F955-47E2-AF3A-A3070198B5DD}"/>
    <cellStyle name="Normal 10 3 2 18" xfId="33086" xr:uid="{CAE7E7BE-25DB-4455-90C8-FCECE5CB6C48}"/>
    <cellStyle name="Normal 10 3 2 19" xfId="34976" xr:uid="{9CDFE5CC-691A-4C44-A387-274BB405C9DD}"/>
    <cellStyle name="Normal 10 3 2 2" xfId="2846" xr:uid="{D568CFA6-3850-4D00-8408-CB5A88D0A7E2}"/>
    <cellStyle name="Normal 10 3 2 20" xfId="36866" xr:uid="{FF04E415-07CB-4C80-85B2-50E67C7BADB5}"/>
    <cellStyle name="Normal 10 3 2 21" xfId="38756" xr:uid="{B852D463-23BD-4A14-8F4E-2AA6389E43EE}"/>
    <cellStyle name="Normal 10 3 2 22" xfId="40647" xr:uid="{FBB95238-FE2D-4DD1-9721-0A2BAA4F3925}"/>
    <cellStyle name="Normal 10 3 2 3" xfId="4736" xr:uid="{331AA1FB-B602-4D52-A5FB-36F6488805C8}"/>
    <cellStyle name="Normal 10 3 2 4" xfId="6626" xr:uid="{402B3EDC-93D9-4263-9808-0BC7D7492923}"/>
    <cellStyle name="Normal 10 3 2 5" xfId="8516" xr:uid="{3C218CEC-9F3D-4822-ACB0-1CC75E746CAF}"/>
    <cellStyle name="Normal 10 3 2 6" xfId="10406" xr:uid="{F3C17D7B-B301-4FC7-8FA9-D42A577B6638}"/>
    <cellStyle name="Normal 10 3 2 7" xfId="12296" xr:uid="{FF8D7945-74BC-479F-9636-F13282AC49D9}"/>
    <cellStyle name="Normal 10 3 2 8" xfId="14186" xr:uid="{ABBB5864-00BB-408A-8E14-452CD3F816AA}"/>
    <cellStyle name="Normal 10 3 2 9" xfId="16076" xr:uid="{A18526A3-8BA9-492E-873D-0D649874DDB7}"/>
    <cellStyle name="Normal 10 3 20" xfId="32456" xr:uid="{49BC3918-9B19-438F-87ED-A31E01D7C8C6}"/>
    <cellStyle name="Normal 10 3 21" xfId="34346" xr:uid="{9D491B06-7B39-4F45-A5E2-2E3D82FFC912}"/>
    <cellStyle name="Normal 10 3 22" xfId="36236" xr:uid="{139D300A-D8AC-467A-A6B3-F71C276A6C58}"/>
    <cellStyle name="Normal 10 3 23" xfId="38126" xr:uid="{6E68724D-8F40-42C0-B269-1DBC21856014}"/>
    <cellStyle name="Normal 10 3 24" xfId="40017" xr:uid="{DA4BA3D0-3A9C-478C-A37D-B3246DF3FFAB}"/>
    <cellStyle name="Normal 10 3 3" xfId="1586" xr:uid="{43EA1A24-89E6-4835-AAD1-C1FB73EC51F7}"/>
    <cellStyle name="Normal 10 3 3 10" xfId="18596" xr:uid="{7DB9383E-ED55-43F0-BBAC-25F4ECA2E233}"/>
    <cellStyle name="Normal 10 3 3 11" xfId="20486" xr:uid="{2822BC79-A009-4715-813C-7F3B7302AF1E}"/>
    <cellStyle name="Normal 10 3 3 12" xfId="22376" xr:uid="{547EB5F2-335B-428F-B77E-826FFECE55A9}"/>
    <cellStyle name="Normal 10 3 3 13" xfId="24266" xr:uid="{42268CDE-A95B-4A58-8323-C604B763F8F7}"/>
    <cellStyle name="Normal 10 3 3 14" xfId="26156" xr:uid="{897F7C5F-AF40-4804-BAC9-7CB87311018F}"/>
    <cellStyle name="Normal 10 3 3 15" xfId="28046" xr:uid="{CCBD0A66-8F89-41B7-AECA-7A12E9A87BCA}"/>
    <cellStyle name="Normal 10 3 3 16" xfId="29936" xr:uid="{B424BEAB-3CCF-4BFF-8A1D-6EBF6FA5ED84}"/>
    <cellStyle name="Normal 10 3 3 17" xfId="31826" xr:uid="{7797F8D5-6714-4662-8321-CEB6BF6B8971}"/>
    <cellStyle name="Normal 10 3 3 18" xfId="33716" xr:uid="{442D5281-64C4-44C4-B12D-EA08AFC8244B}"/>
    <cellStyle name="Normal 10 3 3 19" xfId="35606" xr:uid="{A8EBFF8F-E6D9-41C7-B83B-2D9B11372FA1}"/>
    <cellStyle name="Normal 10 3 3 2" xfId="3476" xr:uid="{5F6F4D60-088C-4A15-974B-A9BCF15E580D}"/>
    <cellStyle name="Normal 10 3 3 20" xfId="37496" xr:uid="{5372AB85-4AE1-40CA-BC3C-40B5FE34445E}"/>
    <cellStyle name="Normal 10 3 3 21" xfId="39386" xr:uid="{5D805056-5535-49E0-9694-57D71A1ABEC2}"/>
    <cellStyle name="Normal 10 3 3 22" xfId="41277" xr:uid="{E139AD23-E579-4C75-AAC0-B39ACDA7A980}"/>
    <cellStyle name="Normal 10 3 3 3" xfId="5366" xr:uid="{7BCDB8A9-95E2-480B-A9E3-18F8ACC9CDE5}"/>
    <cellStyle name="Normal 10 3 3 4" xfId="7256" xr:uid="{B2DD2E92-D844-4DE3-8BEC-F2D25A377550}"/>
    <cellStyle name="Normal 10 3 3 5" xfId="9146" xr:uid="{60437D60-D972-44BE-B773-25FC1321CC9C}"/>
    <cellStyle name="Normal 10 3 3 6" xfId="11036" xr:uid="{29337F89-1B7B-467C-B1E9-3FE4F78FFBDB}"/>
    <cellStyle name="Normal 10 3 3 7" xfId="12926" xr:uid="{BA80CA5D-02ED-4066-AF8D-9EF438B0A639}"/>
    <cellStyle name="Normal 10 3 3 8" xfId="14816" xr:uid="{E60AC321-2137-4C4B-B3AB-AA7DF1C7F5CB}"/>
    <cellStyle name="Normal 10 3 3 9" xfId="16706" xr:uid="{2B321412-445A-449E-B9AF-20D3046A360F}"/>
    <cellStyle name="Normal 10 3 4" xfId="2216" xr:uid="{1A8EA341-B2A5-4FFF-8DC5-72E86648F14E}"/>
    <cellStyle name="Normal 10 3 5" xfId="4106" xr:uid="{C26A5BB4-A71F-4A0F-A348-93431A3224CB}"/>
    <cellStyle name="Normal 10 3 6" xfId="5996" xr:uid="{7D1DC24D-A90E-4F57-A2A0-0FD818C7FCEB}"/>
    <cellStyle name="Normal 10 3 7" xfId="7886" xr:uid="{8DE2BA2D-2B3E-4B5A-9D48-A409442C4BD7}"/>
    <cellStyle name="Normal 10 3 8" xfId="9776" xr:uid="{9949A6F1-5588-4FD8-AD41-9EA8C4E7CFA6}"/>
    <cellStyle name="Normal 10 3 9" xfId="11666" xr:uid="{1E60F690-06FD-4943-A43E-DF36E4E35B36}"/>
    <cellStyle name="Normal 10 4" xfId="536" xr:uid="{54E11E3D-6FD7-409D-978A-42BECBF1DCEA}"/>
    <cellStyle name="Normal 10 4 10" xfId="13766" xr:uid="{1BE3282E-D74C-410F-BF87-235B35B2430E}"/>
    <cellStyle name="Normal 10 4 11" xfId="15656" xr:uid="{B857A548-E192-42A8-A599-7DE4DD10AE52}"/>
    <cellStyle name="Normal 10 4 12" xfId="17546" xr:uid="{022A8200-E692-4CAF-8270-8C051951EB8D}"/>
    <cellStyle name="Normal 10 4 13" xfId="19436" xr:uid="{5C7F6F09-4381-4F82-887D-20B28CD151C0}"/>
    <cellStyle name="Normal 10 4 14" xfId="21326" xr:uid="{130E11EF-A976-4366-B6A6-35A38A4BF0D7}"/>
    <cellStyle name="Normal 10 4 15" xfId="23216" xr:uid="{9BBBCEE6-810E-4323-9019-86D22CA13391}"/>
    <cellStyle name="Normal 10 4 16" xfId="25106" xr:uid="{290362BA-7847-44EA-B183-97986FC1656A}"/>
    <cellStyle name="Normal 10 4 17" xfId="26996" xr:uid="{0FDAB9E1-3157-4406-AD5A-C2CF14592115}"/>
    <cellStyle name="Normal 10 4 18" xfId="28886" xr:uid="{D58C0379-FC45-4CA9-8100-DE03AFCA7A40}"/>
    <cellStyle name="Normal 10 4 19" xfId="30776" xr:uid="{C6260D65-E349-41B7-89C2-898309397B8B}"/>
    <cellStyle name="Normal 10 4 2" xfId="1166" xr:uid="{B43FEAA7-E905-4948-B763-1EC3E4B984A4}"/>
    <cellStyle name="Normal 10 4 2 10" xfId="18176" xr:uid="{9E85EF24-A083-4256-87EA-83C2BD8AC2CF}"/>
    <cellStyle name="Normal 10 4 2 11" xfId="20066" xr:uid="{3B081C5A-1A38-42EB-9291-7466F0930EB7}"/>
    <cellStyle name="Normal 10 4 2 12" xfId="21956" xr:uid="{728FC2F0-2C8C-48B1-A14D-82196F7E638C}"/>
    <cellStyle name="Normal 10 4 2 13" xfId="23846" xr:uid="{100D36C7-C146-405A-9E35-13D934F8279A}"/>
    <cellStyle name="Normal 10 4 2 14" xfId="25736" xr:uid="{351BC857-58B5-4ECC-8032-409290EF46A2}"/>
    <cellStyle name="Normal 10 4 2 15" xfId="27626" xr:uid="{3DB4E322-C34F-4195-8D4B-1945D014F988}"/>
    <cellStyle name="Normal 10 4 2 16" xfId="29516" xr:uid="{3500341B-5024-45A6-B61E-E203EEB1D79D}"/>
    <cellStyle name="Normal 10 4 2 17" xfId="31406" xr:uid="{1545245B-E02E-4145-A2F8-84E5773960B7}"/>
    <cellStyle name="Normal 10 4 2 18" xfId="33296" xr:uid="{82D97EC1-A9B3-476E-A9C8-8896734BF370}"/>
    <cellStyle name="Normal 10 4 2 19" xfId="35186" xr:uid="{CAC966F7-732D-4E90-ABD2-445085EFA3B1}"/>
    <cellStyle name="Normal 10 4 2 2" xfId="3056" xr:uid="{80836936-B7B5-4B1B-972B-2FED002DF7BA}"/>
    <cellStyle name="Normal 10 4 2 20" xfId="37076" xr:uid="{7C679148-03A1-4A88-A8C5-2DA8C11A5BE2}"/>
    <cellStyle name="Normal 10 4 2 21" xfId="38966" xr:uid="{8A6F2E92-20F8-44A1-AAE4-9A9928723640}"/>
    <cellStyle name="Normal 10 4 2 22" xfId="40857" xr:uid="{BE6895A8-9A6B-416D-BC3D-29AD87C057D1}"/>
    <cellStyle name="Normal 10 4 2 3" xfId="4946" xr:uid="{BCA43FEF-B1C0-497E-9746-4CC09F99C53D}"/>
    <cellStyle name="Normal 10 4 2 4" xfId="6836" xr:uid="{B0C89E68-5074-456D-99D6-5569D17C0FDC}"/>
    <cellStyle name="Normal 10 4 2 5" xfId="8726" xr:uid="{DE6EC312-8159-49EE-8350-03FF95859676}"/>
    <cellStyle name="Normal 10 4 2 6" xfId="10616" xr:uid="{DF7DDE98-11A1-4517-AA14-ECF834EDBD6A}"/>
    <cellStyle name="Normal 10 4 2 7" xfId="12506" xr:uid="{C5FC8172-3252-4B1A-AC0A-D7AE6A3023D6}"/>
    <cellStyle name="Normal 10 4 2 8" xfId="14396" xr:uid="{C8B5A663-5DA3-4E23-9D4E-154EB13E56A9}"/>
    <cellStyle name="Normal 10 4 2 9" xfId="16286" xr:uid="{202B883B-5228-4BAD-87AC-EE1F5017E401}"/>
    <cellStyle name="Normal 10 4 20" xfId="32666" xr:uid="{3B80890F-7D91-4EFD-8760-DD371C8C468C}"/>
    <cellStyle name="Normal 10 4 21" xfId="34556" xr:uid="{34449BE4-85E6-4962-996A-ACC9106541A1}"/>
    <cellStyle name="Normal 10 4 22" xfId="36446" xr:uid="{0C62D8AB-11E4-4997-9179-776CD09B1D54}"/>
    <cellStyle name="Normal 10 4 23" xfId="38336" xr:uid="{90484D97-A886-417B-B784-82357F8AD35F}"/>
    <cellStyle name="Normal 10 4 24" xfId="40227" xr:uid="{2B546C43-6091-4CFB-A61E-4DE8F13FE3B2}"/>
    <cellStyle name="Normal 10 4 3" xfId="1796" xr:uid="{98B03418-2D1F-448E-853D-8A2F9B29FA45}"/>
    <cellStyle name="Normal 10 4 3 10" xfId="18806" xr:uid="{E1E32ACB-D936-4412-9A2D-A2DFF2079F1C}"/>
    <cellStyle name="Normal 10 4 3 11" xfId="20696" xr:uid="{EA534F89-03B0-4CD7-9C7B-DDAE73DA412C}"/>
    <cellStyle name="Normal 10 4 3 12" xfId="22586" xr:uid="{488E37F0-7EE6-4646-B121-6B3C8D16F9C0}"/>
    <cellStyle name="Normal 10 4 3 13" xfId="24476" xr:uid="{20914917-E846-417D-AC64-0C0F5B2F07F4}"/>
    <cellStyle name="Normal 10 4 3 14" xfId="26366" xr:uid="{495F11F3-422A-45A5-9981-91B033F8EB8F}"/>
    <cellStyle name="Normal 10 4 3 15" xfId="28256" xr:uid="{C057BDE2-BAAE-4C7A-82AF-3B27BF047A40}"/>
    <cellStyle name="Normal 10 4 3 16" xfId="30146" xr:uid="{9B33869E-48CC-4447-89C0-B4AA1F2D0E5C}"/>
    <cellStyle name="Normal 10 4 3 17" xfId="32036" xr:uid="{8D7337F5-CC2B-4E8F-8D15-AB293E85B2AC}"/>
    <cellStyle name="Normal 10 4 3 18" xfId="33926" xr:uid="{EA51F1EA-4269-4839-9144-272337C52D76}"/>
    <cellStyle name="Normal 10 4 3 19" xfId="35816" xr:uid="{650E6BC8-F89D-4CCA-AA61-E1068B7134CE}"/>
    <cellStyle name="Normal 10 4 3 2" xfId="3686" xr:uid="{30B16A94-AEB4-4AF7-9291-876BBABB657A}"/>
    <cellStyle name="Normal 10 4 3 20" xfId="37706" xr:uid="{0EFA8F32-401B-4F86-ABA5-E00780083F03}"/>
    <cellStyle name="Normal 10 4 3 21" xfId="39596" xr:uid="{BB50FEFF-81F8-4DC1-92CC-DC9BECC66167}"/>
    <cellStyle name="Normal 10 4 3 22" xfId="41487" xr:uid="{5F72421C-6606-448E-9A7F-11022A3E1594}"/>
    <cellStyle name="Normal 10 4 3 3" xfId="5576" xr:uid="{51F5A557-5DB2-4115-A7AB-F1EEC3D48728}"/>
    <cellStyle name="Normal 10 4 3 4" xfId="7466" xr:uid="{87C96ADB-FAEF-48A1-9AD1-168745B3C580}"/>
    <cellStyle name="Normal 10 4 3 5" xfId="9356" xr:uid="{641928A2-07F7-448F-B0D3-C241553185A4}"/>
    <cellStyle name="Normal 10 4 3 6" xfId="11246" xr:uid="{27408829-3AEE-49F2-BF38-EADAC67C03CD}"/>
    <cellStyle name="Normal 10 4 3 7" xfId="13136" xr:uid="{9E5DA70F-5B3E-4549-9C24-3E3555312542}"/>
    <cellStyle name="Normal 10 4 3 8" xfId="15026" xr:uid="{DEA85719-7B49-4F7D-A188-83DEBA6D3329}"/>
    <cellStyle name="Normal 10 4 3 9" xfId="16916" xr:uid="{1235FF39-1796-4C6B-B445-395E8A9E8C2A}"/>
    <cellStyle name="Normal 10 4 4" xfId="2426" xr:uid="{BEE998E0-4886-46FD-AA1B-F12A87AF0060}"/>
    <cellStyle name="Normal 10 4 5" xfId="4316" xr:uid="{EB2FFE54-FCD9-4268-BBED-ECF8B78C4CFB}"/>
    <cellStyle name="Normal 10 4 6" xfId="6206" xr:uid="{1AFE80F7-08DD-4E5A-BE80-8B69735BA930}"/>
    <cellStyle name="Normal 10 4 7" xfId="8096" xr:uid="{7FA3D902-8F53-4B29-B89C-904D3CB27476}"/>
    <cellStyle name="Normal 10 4 8" xfId="9986" xr:uid="{B628DF36-8FF7-46A7-8177-B4BC47EAB274}"/>
    <cellStyle name="Normal 10 4 9" xfId="11876" xr:uid="{5B3FE3C8-521C-42CF-AFC5-C178269D441B}"/>
    <cellStyle name="Normal 10 5" xfId="746" xr:uid="{078978D3-23CF-4022-A328-686DE81916D9}"/>
    <cellStyle name="Normal 10 5 10" xfId="17756" xr:uid="{EE43F7E7-B00A-413F-BAC6-E13A9A18AE0F}"/>
    <cellStyle name="Normal 10 5 11" xfId="19646" xr:uid="{B09E1275-B163-4621-AE51-6B738BCD27EC}"/>
    <cellStyle name="Normal 10 5 12" xfId="21536" xr:uid="{7A637A88-92D5-4DD7-8DC5-4A5DD00DE85C}"/>
    <cellStyle name="Normal 10 5 13" xfId="23426" xr:uid="{42017D68-CD8C-4A7B-B1E3-E2958993F30B}"/>
    <cellStyle name="Normal 10 5 14" xfId="25316" xr:uid="{0BCFC1E1-A7FA-438A-88DF-9622E19D37D7}"/>
    <cellStyle name="Normal 10 5 15" xfId="27206" xr:uid="{4D5DD32B-FBD5-41A4-828A-B0EB61EB36F5}"/>
    <cellStyle name="Normal 10 5 16" xfId="29096" xr:uid="{BC751FAB-09D8-417E-8D42-F7E4FD4B73D0}"/>
    <cellStyle name="Normal 10 5 17" xfId="30986" xr:uid="{5F1FE34F-36BB-477B-A73F-94A5AC8AFB84}"/>
    <cellStyle name="Normal 10 5 18" xfId="32876" xr:uid="{6F113413-97A3-4278-9217-93FB47781F63}"/>
    <cellStyle name="Normal 10 5 19" xfId="34766" xr:uid="{E3D7BF45-7FDF-4C28-92EE-461B8B480631}"/>
    <cellStyle name="Normal 10 5 2" xfId="2636" xr:uid="{6627ED25-ABA1-4CBC-8F22-EC754174F52F}"/>
    <cellStyle name="Normal 10 5 20" xfId="36656" xr:uid="{A8BD0B03-9C16-4766-8C41-2863EDAE2D06}"/>
    <cellStyle name="Normal 10 5 21" xfId="38546" xr:uid="{A2D61EA2-E92C-4DCC-8321-C566C6773E3F}"/>
    <cellStyle name="Normal 10 5 22" xfId="40437" xr:uid="{711888A0-48BC-43A8-ABAE-FAE17EB4119E}"/>
    <cellStyle name="Normal 10 5 3" xfId="4526" xr:uid="{0ABEDBF5-BB53-4ED6-90BF-9492BF288540}"/>
    <cellStyle name="Normal 10 5 4" xfId="6416" xr:uid="{3858A7FB-5D66-4ED8-9B56-E136D3AF3B66}"/>
    <cellStyle name="Normal 10 5 5" xfId="8306" xr:uid="{00954A35-B73E-410C-A344-0D28D7560C98}"/>
    <cellStyle name="Normal 10 5 6" xfId="10196" xr:uid="{8778199A-0168-4B83-9361-92CA93871810}"/>
    <cellStyle name="Normal 10 5 7" xfId="12086" xr:uid="{B006FF7D-5D81-44DA-A690-B85E5DE8BCE8}"/>
    <cellStyle name="Normal 10 5 8" xfId="13976" xr:uid="{196BCC08-56D9-4B60-BE57-B6E3CD35950B}"/>
    <cellStyle name="Normal 10 5 9" xfId="15866" xr:uid="{63961514-6A2F-4027-BFD4-FABB1572FD9F}"/>
    <cellStyle name="Normal 10 6" xfId="1376" xr:uid="{678A9D24-7A90-4BF8-BA72-E8599A35E08E}"/>
    <cellStyle name="Normal 10 6 10" xfId="18386" xr:uid="{267D3D2B-516A-4F9C-8569-D751DAE09037}"/>
    <cellStyle name="Normal 10 6 11" xfId="20276" xr:uid="{827A13F2-2132-412B-9B84-785491F47209}"/>
    <cellStyle name="Normal 10 6 12" xfId="22166" xr:uid="{F36AD24E-24E8-428B-87D7-9287F4CB6E6F}"/>
    <cellStyle name="Normal 10 6 13" xfId="24056" xr:uid="{3BF2F0E1-4E4D-4811-B958-07A9EA2D80FD}"/>
    <cellStyle name="Normal 10 6 14" xfId="25946" xr:uid="{54C23570-8FF3-49B1-B8CF-6C9A682EF6CB}"/>
    <cellStyle name="Normal 10 6 15" xfId="27836" xr:uid="{9461C5D5-C3AF-4217-815B-FC5571C97941}"/>
    <cellStyle name="Normal 10 6 16" xfId="29726" xr:uid="{A6F82BB9-4B13-40D8-A25D-01E6108D00E1}"/>
    <cellStyle name="Normal 10 6 17" xfId="31616" xr:uid="{D2AD8D9D-2FA2-49DC-994C-B40756309827}"/>
    <cellStyle name="Normal 10 6 18" xfId="33506" xr:uid="{0D43431D-ED49-42E7-B13D-CB7469D1B983}"/>
    <cellStyle name="Normal 10 6 19" xfId="35396" xr:uid="{3CC9C25E-685E-467C-9787-74EBE18E32F1}"/>
    <cellStyle name="Normal 10 6 2" xfId="3266" xr:uid="{FE4CE1C8-FF17-4DBB-8F21-8D1EBCFA40D4}"/>
    <cellStyle name="Normal 10 6 20" xfId="37286" xr:uid="{381E9081-24D9-4D1B-A059-C0529FD0AA83}"/>
    <cellStyle name="Normal 10 6 21" xfId="39176" xr:uid="{BCD59E65-D836-44A6-920A-F50557C3FC5D}"/>
    <cellStyle name="Normal 10 6 22" xfId="41067" xr:uid="{D88D4FF8-DCA6-4D05-AE3C-833CB97CBA83}"/>
    <cellStyle name="Normal 10 6 3" xfId="5156" xr:uid="{1CFCAC04-209C-4330-9454-866550531370}"/>
    <cellStyle name="Normal 10 6 4" xfId="7046" xr:uid="{AE4CB6FC-E954-40AF-BB48-9F661561162D}"/>
    <cellStyle name="Normal 10 6 5" xfId="8936" xr:uid="{9BBD413A-6F4B-402A-9F03-2D1EC0446208}"/>
    <cellStyle name="Normal 10 6 6" xfId="10826" xr:uid="{B4C01026-E1C2-4CFB-8AB2-225C3215E29C}"/>
    <cellStyle name="Normal 10 6 7" xfId="12716" xr:uid="{3FB4B9F1-2EB0-41B3-907D-158A7AC56316}"/>
    <cellStyle name="Normal 10 6 8" xfId="14606" xr:uid="{9DA77412-C797-4587-99CE-520FC0EDC74C}"/>
    <cellStyle name="Normal 10 6 9" xfId="16496" xr:uid="{49788B72-E375-4201-B95E-FC8A5FB4899F}"/>
    <cellStyle name="Normal 10 7" xfId="2006" xr:uid="{4ED58F80-1EC2-46A2-885F-8B7A8AF61592}"/>
    <cellStyle name="Normal 10 8" xfId="3896" xr:uid="{ED5B2B0D-3097-4867-BA0D-E9744B869248}"/>
    <cellStyle name="Normal 10 9" xfId="5786" xr:uid="{4EC9FF94-1F8C-4D72-A3F6-72DD59EDD89C}"/>
    <cellStyle name="Normal 11" xfId="39721" xr:uid="{20C9F503-0D05-4EC2-B84E-11B0578DD634}"/>
    <cellStyle name="Normal 12" xfId="41612" xr:uid="{A1040FFC-68EC-4091-B8DD-7793C9725976}"/>
    <cellStyle name="Normal 13" xfId="41613" xr:uid="{42BF1B94-4776-48A3-B143-593330DA10D5}"/>
    <cellStyle name="Normal 14" xfId="41614" xr:uid="{8541BBDE-C04C-4068-A5D1-3C8B09267DF2}"/>
    <cellStyle name="Normal 15" xfId="41615" xr:uid="{C233D060-4F08-419D-8FDD-82915CC8836B}"/>
    <cellStyle name="Normal 16" xfId="41616" xr:uid="{043CC69D-9F2B-4E0D-A30C-F12070BA1882}"/>
    <cellStyle name="Normal 17" xfId="41617" xr:uid="{5F5F739A-147B-4B82-8DA8-E503BFD7EAFC}"/>
    <cellStyle name="Normal 2" xfId="5" xr:uid="{00000000-0005-0000-0000-000032000000}"/>
    <cellStyle name="Normal 2 10" xfId="454" xr:uid="{E4D3F9A3-37E1-416A-914D-DE6C835F2DAD}"/>
    <cellStyle name="Normal 2 10 10" xfId="13684" xr:uid="{54039846-91B9-4B47-BC46-F23D63CE7EAC}"/>
    <cellStyle name="Normal 2 10 11" xfId="15574" xr:uid="{2E3BCF80-C8D1-4A04-8CB0-8995B80488BC}"/>
    <cellStyle name="Normal 2 10 12" xfId="17464" xr:uid="{AED7B5DD-413D-4B44-8829-CAFFB0A6796F}"/>
    <cellStyle name="Normal 2 10 13" xfId="19354" xr:uid="{FF515041-CB64-405D-A488-A4095F2A916A}"/>
    <cellStyle name="Normal 2 10 14" xfId="21244" xr:uid="{7B20AC20-9119-49D5-924E-8624F22DB015}"/>
    <cellStyle name="Normal 2 10 15" xfId="23134" xr:uid="{386D2B5C-CEB8-471C-9D48-A12F9FDEB9DB}"/>
    <cellStyle name="Normal 2 10 16" xfId="25024" xr:uid="{98DD8B10-0BCA-4373-BF81-765DB41E10E0}"/>
    <cellStyle name="Normal 2 10 17" xfId="26914" xr:uid="{84963BB8-30E4-4C70-B438-11079EFC5E8C}"/>
    <cellStyle name="Normal 2 10 18" xfId="28804" xr:uid="{C1D61B16-9878-44CC-B720-4F43EC8B85FA}"/>
    <cellStyle name="Normal 2 10 19" xfId="30694" xr:uid="{81F4D31C-4EED-4D91-A088-823DA9C833FA}"/>
    <cellStyle name="Normal 2 10 2" xfId="1084" xr:uid="{9D105715-332A-4C48-8003-F102BF5F80B0}"/>
    <cellStyle name="Normal 2 10 2 10" xfId="18094" xr:uid="{E39BCF06-FF95-419D-AD12-1C49A65C2139}"/>
    <cellStyle name="Normal 2 10 2 11" xfId="19984" xr:uid="{645EE378-3BB3-4185-AF45-0B7FB692E796}"/>
    <cellStyle name="Normal 2 10 2 12" xfId="21874" xr:uid="{2580AE30-7EFE-4560-B3F2-65C04085F8EE}"/>
    <cellStyle name="Normal 2 10 2 13" xfId="23764" xr:uid="{B1F36F7B-9927-41F4-B324-FD6B7AB75504}"/>
    <cellStyle name="Normal 2 10 2 14" xfId="25654" xr:uid="{949652EA-F4C2-449A-B763-C6ED36684A88}"/>
    <cellStyle name="Normal 2 10 2 15" xfId="27544" xr:uid="{BD672414-F327-4DEE-A744-F7F0C51244A8}"/>
    <cellStyle name="Normal 2 10 2 16" xfId="29434" xr:uid="{68EB1C2A-BD09-4CB4-B032-6B4B2B55AE8D}"/>
    <cellStyle name="Normal 2 10 2 17" xfId="31324" xr:uid="{DCDA77A2-95E2-4C5A-A9BC-D91AFE383B70}"/>
    <cellStyle name="Normal 2 10 2 18" xfId="33214" xr:uid="{8A9AFB85-91B1-4C8E-AFE6-218DCE112E53}"/>
    <cellStyle name="Normal 2 10 2 19" xfId="35104" xr:uid="{0B91E962-3C0C-4833-8FF1-55847C60D0A6}"/>
    <cellStyle name="Normal 2 10 2 2" xfId="2974" xr:uid="{18D8600C-364E-4774-80EE-5004A13B9263}"/>
    <cellStyle name="Normal 2 10 2 20" xfId="36994" xr:uid="{1A2CF87A-12BB-4843-A4BA-B95FC0089ADC}"/>
    <cellStyle name="Normal 2 10 2 21" xfId="38884" xr:uid="{AADECE70-33EC-4926-897F-48D2033478B1}"/>
    <cellStyle name="Normal 2 10 2 22" xfId="40775" xr:uid="{D21A1CCE-602D-4EAD-9461-AA59A2AA6003}"/>
    <cellStyle name="Normal 2 10 2 3" xfId="4864" xr:uid="{A4B255A9-3494-47A4-AD80-D7239E7FBC6F}"/>
    <cellStyle name="Normal 2 10 2 4" xfId="6754" xr:uid="{AEAFA19B-362E-46EC-B7B0-9ED0883403D3}"/>
    <cellStyle name="Normal 2 10 2 5" xfId="8644" xr:uid="{4CAECB71-3C1B-4FAC-B798-89493F284B23}"/>
    <cellStyle name="Normal 2 10 2 6" xfId="10534" xr:uid="{0C0632E1-8EC1-43F7-8ABD-3EB6E3137191}"/>
    <cellStyle name="Normal 2 10 2 7" xfId="12424" xr:uid="{FFE641E9-B4BC-4BF5-904C-DDD48651B94A}"/>
    <cellStyle name="Normal 2 10 2 8" xfId="14314" xr:uid="{7ADBB32A-945D-427D-BB9A-9F409F59B894}"/>
    <cellStyle name="Normal 2 10 2 9" xfId="16204" xr:uid="{061C9C32-C3B0-4B7C-A396-BD49C642D94F}"/>
    <cellStyle name="Normal 2 10 20" xfId="32584" xr:uid="{60669E71-F39E-401A-83E0-A0A0070C8817}"/>
    <cellStyle name="Normal 2 10 21" xfId="34474" xr:uid="{58FAB1C2-33DA-4DA3-ACD6-E33B195D5A3F}"/>
    <cellStyle name="Normal 2 10 22" xfId="36364" xr:uid="{6559902F-301E-4731-AD72-FD5EDCE56882}"/>
    <cellStyle name="Normal 2 10 23" xfId="38254" xr:uid="{FB41ABD3-859D-44E6-8AE4-EEEC53EEF9F5}"/>
    <cellStyle name="Normal 2 10 24" xfId="40145" xr:uid="{784C82AD-EB94-4033-A62B-75E289DA8237}"/>
    <cellStyle name="Normal 2 10 3" xfId="1714" xr:uid="{CB64CF38-A0FF-4B45-ADA7-A8616135E720}"/>
    <cellStyle name="Normal 2 10 3 10" xfId="18724" xr:uid="{8ECC3E8E-DAF8-44BB-AA4B-9E2385D09BCE}"/>
    <cellStyle name="Normal 2 10 3 11" xfId="20614" xr:uid="{B3AF2E5E-908E-466A-BF10-86A383BC3D4E}"/>
    <cellStyle name="Normal 2 10 3 12" xfId="22504" xr:uid="{045B1F4C-CB13-44AE-AC56-8B1C05D55EC4}"/>
    <cellStyle name="Normal 2 10 3 13" xfId="24394" xr:uid="{20C47A61-E63E-4641-B26F-4BB821089579}"/>
    <cellStyle name="Normal 2 10 3 14" xfId="26284" xr:uid="{811B63AC-7475-498F-9C5D-DD543138F033}"/>
    <cellStyle name="Normal 2 10 3 15" xfId="28174" xr:uid="{4869F356-9206-4ECD-9C2D-515C38F09FB3}"/>
    <cellStyle name="Normal 2 10 3 16" xfId="30064" xr:uid="{73666753-089D-49C2-9C31-D0B2C8D9C86D}"/>
    <cellStyle name="Normal 2 10 3 17" xfId="31954" xr:uid="{15C09FE3-356E-49E9-A51B-2D5BDA5CBF0E}"/>
    <cellStyle name="Normal 2 10 3 18" xfId="33844" xr:uid="{F2D1481F-E37D-4AA6-A4FE-448B5749A844}"/>
    <cellStyle name="Normal 2 10 3 19" xfId="35734" xr:uid="{42990712-8DD1-4915-B5D5-E871C59570FC}"/>
    <cellStyle name="Normal 2 10 3 2" xfId="3604" xr:uid="{AAA9A758-CD96-43A2-BCB6-C4A80FBE7F0A}"/>
    <cellStyle name="Normal 2 10 3 20" xfId="37624" xr:uid="{E2A9BA50-E707-4DC5-86B6-2595644020AE}"/>
    <cellStyle name="Normal 2 10 3 21" xfId="39514" xr:uid="{631619F9-5856-4EDE-91B5-26234CECECAD}"/>
    <cellStyle name="Normal 2 10 3 22" xfId="41405" xr:uid="{EA57AEE5-B3BE-44EC-9ED3-77E10BC65295}"/>
    <cellStyle name="Normal 2 10 3 3" xfId="5494" xr:uid="{D60F9E1A-285A-4513-A33A-FF0CC7B8F0D3}"/>
    <cellStyle name="Normal 2 10 3 4" xfId="7384" xr:uid="{B0D5C76D-03F2-4F0C-A255-4CBDF0F0AB7E}"/>
    <cellStyle name="Normal 2 10 3 5" xfId="9274" xr:uid="{778399B5-8436-42F7-BEBF-6836B420F335}"/>
    <cellStyle name="Normal 2 10 3 6" xfId="11164" xr:uid="{941E7639-A8E3-409B-B7D5-E62A95221BCB}"/>
    <cellStyle name="Normal 2 10 3 7" xfId="13054" xr:uid="{F4AC6F25-CCDA-4ECE-B0BE-4F6BC774D5BC}"/>
    <cellStyle name="Normal 2 10 3 8" xfId="14944" xr:uid="{F715DCFF-48F5-4115-B75F-B4F4A3885A12}"/>
    <cellStyle name="Normal 2 10 3 9" xfId="16834" xr:uid="{6EFAD855-EED9-4F35-9780-21A2F99EEAA8}"/>
    <cellStyle name="Normal 2 10 4" xfId="2344" xr:uid="{FA689044-3424-4E0E-805B-C0B0E6BC8672}"/>
    <cellStyle name="Normal 2 10 5" xfId="4234" xr:uid="{7E0572DB-AA4E-4116-86A2-0C412B91CE5E}"/>
    <cellStyle name="Normal 2 10 6" xfId="6124" xr:uid="{07FD1769-A05A-4763-816D-E5AB2FDE87A0}"/>
    <cellStyle name="Normal 2 10 7" xfId="8014" xr:uid="{D872F821-BF60-4568-B692-9BB45CB8C67C}"/>
    <cellStyle name="Normal 2 10 8" xfId="9904" xr:uid="{73ACDD89-FEF8-447C-8B5A-BCC10F192EAA}"/>
    <cellStyle name="Normal 2 10 9" xfId="11794" xr:uid="{BB54A8D6-CAC5-4993-A4B9-C4FF81EB0238}"/>
    <cellStyle name="Normal 2 11" xfId="664" xr:uid="{90EFB5DE-A196-4C80-9ECD-2F6A2E80DB1C}"/>
    <cellStyle name="Normal 2 11 10" xfId="17674" xr:uid="{0D94C823-6ED1-4EFF-BD14-F01975AA6B20}"/>
    <cellStyle name="Normal 2 11 11" xfId="19564" xr:uid="{849D4185-FB5B-4A9D-BF74-F789D7DBD7B2}"/>
    <cellStyle name="Normal 2 11 12" xfId="21454" xr:uid="{3CB37D57-9C0A-4CCC-B8E2-29EB385E56FA}"/>
    <cellStyle name="Normal 2 11 13" xfId="23344" xr:uid="{4017E96E-A9B9-4592-AD61-3CDF98FB4499}"/>
    <cellStyle name="Normal 2 11 14" xfId="25234" xr:uid="{20609517-5E40-4629-AAD1-53C9C273A912}"/>
    <cellStyle name="Normal 2 11 15" xfId="27124" xr:uid="{49029C2B-17B4-46D3-ADE4-6E708829BD68}"/>
    <cellStyle name="Normal 2 11 16" xfId="29014" xr:uid="{B443F1BD-2422-4724-8957-7C27F56BF193}"/>
    <cellStyle name="Normal 2 11 17" xfId="30904" xr:uid="{FA7D4056-4350-4156-A79A-84A692A68933}"/>
    <cellStyle name="Normal 2 11 18" xfId="32794" xr:uid="{D1DC8C2C-0EE5-44AD-B2E4-236D9116AF2E}"/>
    <cellStyle name="Normal 2 11 19" xfId="34684" xr:uid="{62501D52-B87A-4AD8-A458-8C67F538150C}"/>
    <cellStyle name="Normal 2 11 2" xfId="2554" xr:uid="{0D0A7DB4-C78A-4256-BD82-FF96B2808803}"/>
    <cellStyle name="Normal 2 11 20" xfId="36574" xr:uid="{416D0EE5-E56C-42C1-9224-0EEFE09704B7}"/>
    <cellStyle name="Normal 2 11 21" xfId="38464" xr:uid="{BEB00097-FE36-4044-96AB-27404E238E82}"/>
    <cellStyle name="Normal 2 11 22" xfId="40355" xr:uid="{78979EF9-269D-41E1-B506-00F10863D9B7}"/>
    <cellStyle name="Normal 2 11 3" xfId="4444" xr:uid="{AC3E3D75-B5D5-4441-A20D-87CADE33D5D9}"/>
    <cellStyle name="Normal 2 11 4" xfId="6334" xr:uid="{936501BE-9448-40FC-8048-F54E22B18865}"/>
    <cellStyle name="Normal 2 11 5" xfId="8224" xr:uid="{3C8906DA-F689-42B6-B82A-9B421F42DDA6}"/>
    <cellStyle name="Normal 2 11 6" xfId="10114" xr:uid="{5E5B301C-1272-48E6-861D-7611581430A2}"/>
    <cellStyle name="Normal 2 11 7" xfId="12004" xr:uid="{784C5911-BEDA-4135-8F75-3D69EFFA760D}"/>
    <cellStyle name="Normal 2 11 8" xfId="13894" xr:uid="{4683F00F-5762-4947-AB88-5E99A87E90EB}"/>
    <cellStyle name="Normal 2 11 9" xfId="15784" xr:uid="{58D55DC2-CFF3-46BF-BEEE-68D1589C7314}"/>
    <cellStyle name="Normal 2 12" xfId="1294" xr:uid="{AD7F855F-F71E-40F6-ABF5-879CD6789FD8}"/>
    <cellStyle name="Normal 2 12 10" xfId="18304" xr:uid="{7E67D334-8FE2-42CF-9820-BDF97363D9B9}"/>
    <cellStyle name="Normal 2 12 11" xfId="20194" xr:uid="{2E762942-5EF6-4C39-A392-DEFCE5537738}"/>
    <cellStyle name="Normal 2 12 12" xfId="22084" xr:uid="{4E681531-D99C-4B3F-98B9-24EFB2C95DC2}"/>
    <cellStyle name="Normal 2 12 13" xfId="23974" xr:uid="{D60FF0C1-C2B9-41D0-96AE-50604659B8D3}"/>
    <cellStyle name="Normal 2 12 14" xfId="25864" xr:uid="{8A624818-E6F7-40C8-B57C-30A6D74AD304}"/>
    <cellStyle name="Normal 2 12 15" xfId="27754" xr:uid="{8EAA2DD5-09B8-4240-B233-6588F5342560}"/>
    <cellStyle name="Normal 2 12 16" xfId="29644" xr:uid="{2F0D2FF2-ADF9-453C-BCD7-3CA66C3C8AA4}"/>
    <cellStyle name="Normal 2 12 17" xfId="31534" xr:uid="{5E8B008D-2B67-4275-A02C-81DBD9774CA3}"/>
    <cellStyle name="Normal 2 12 18" xfId="33424" xr:uid="{F55D3E20-3263-43E5-A90B-EB8799A4E114}"/>
    <cellStyle name="Normal 2 12 19" xfId="35314" xr:uid="{1EF53E12-A357-4C09-8ECB-047C0A122E10}"/>
    <cellStyle name="Normal 2 12 2" xfId="3184" xr:uid="{4EAF49A9-D60A-4EEA-93B9-03F798DF6FF4}"/>
    <cellStyle name="Normal 2 12 20" xfId="37204" xr:uid="{C555F02D-54CA-4231-BAC6-6A4A85610F09}"/>
    <cellStyle name="Normal 2 12 21" xfId="39094" xr:uid="{F61EAF44-3E74-4C6A-8A81-6EEA5B8C00FD}"/>
    <cellStyle name="Normal 2 12 22" xfId="40985" xr:uid="{9998CF57-BC1D-44DD-A13F-59DA220D60CC}"/>
    <cellStyle name="Normal 2 12 3" xfId="5074" xr:uid="{60690022-C6E6-429C-83E2-73A0BD16DFED}"/>
    <cellStyle name="Normal 2 12 4" xfId="6964" xr:uid="{4F86045D-6D89-48E8-B59B-1EF53A97193F}"/>
    <cellStyle name="Normal 2 12 5" xfId="8854" xr:uid="{527ECCC4-12A9-4FAD-BCA1-0CAA85D70AAB}"/>
    <cellStyle name="Normal 2 12 6" xfId="10744" xr:uid="{2E17E1E5-8715-433B-ADCC-F2BE0F0DC7A0}"/>
    <cellStyle name="Normal 2 12 7" xfId="12634" xr:uid="{ACDBC97B-049A-4DE6-B8DD-B14FA671F3ED}"/>
    <cellStyle name="Normal 2 12 8" xfId="14524" xr:uid="{09AC1078-0554-45A3-A592-687A249774B0}"/>
    <cellStyle name="Normal 2 12 9" xfId="16414" xr:uid="{EEDB67B7-08E4-4C2E-BB35-17710B665654}"/>
    <cellStyle name="Normal 2 13" xfId="1924" xr:uid="{B72FF095-7171-4339-BCF2-224220B42BC0}"/>
    <cellStyle name="Normal 2 14" xfId="3814" xr:uid="{FF17ABC5-A2DF-4AA9-8EF0-02A69FE5B0F2}"/>
    <cellStyle name="Normal 2 15" xfId="5704" xr:uid="{23F62160-26C2-425D-85E6-C9A0B02FFD93}"/>
    <cellStyle name="Normal 2 16" xfId="7594" xr:uid="{26442DAA-50D2-4EDE-AF6B-E93E24113486}"/>
    <cellStyle name="Normal 2 17" xfId="9484" xr:uid="{AA9901DF-4A72-4B0B-93D1-67A4A90E211F}"/>
    <cellStyle name="Normal 2 18" xfId="11374" xr:uid="{1DC40974-6346-4099-8A06-13345916B5EC}"/>
    <cellStyle name="Normal 2 19" xfId="13264" xr:uid="{24EFE6E6-8544-4393-8A31-E478D9389126}"/>
    <cellStyle name="Normal 2 2" xfId="6" xr:uid="{00000000-0005-0000-0000-000033000000}"/>
    <cellStyle name="Normal 2 20" xfId="15154" xr:uid="{E5FA4C16-3121-4D83-B514-2F4CFE05B4D9}"/>
    <cellStyle name="Normal 2 21" xfId="17044" xr:uid="{A7BADE27-5185-4D2F-A5B9-E903FF976272}"/>
    <cellStyle name="Normal 2 22" xfId="18934" xr:uid="{A39FA2BA-9E28-43CB-AC83-1A05D7817033}"/>
    <cellStyle name="Normal 2 23" xfId="20824" xr:uid="{12BF42E8-35F0-4B17-9ABE-BBE88DB1DDFC}"/>
    <cellStyle name="Normal 2 24" xfId="22714" xr:uid="{9BE298CC-6013-404B-A9DD-1E099B1422AD}"/>
    <cellStyle name="Normal 2 25" xfId="24604" xr:uid="{EC04B7A5-FDD2-4952-8C11-81390797958F}"/>
    <cellStyle name="Normal 2 26" xfId="26494" xr:uid="{7FAFFC58-337D-4A20-B7FC-A96891C53440}"/>
    <cellStyle name="Normal 2 27" xfId="28384" xr:uid="{242E02C8-819D-4B31-ACD0-ADF1204F9ABD}"/>
    <cellStyle name="Normal 2 28" xfId="30274" xr:uid="{60C69CFB-64C9-4568-AF42-BAD190B4442B}"/>
    <cellStyle name="Normal 2 29" xfId="32164" xr:uid="{20860B72-F970-4DE6-9D93-225504635866}"/>
    <cellStyle name="Normal 2 3" xfId="7" xr:uid="{00000000-0005-0000-0000-000034000000}"/>
    <cellStyle name="Normal 2 3 10" xfId="1295" xr:uid="{FE066E27-B029-40D4-85DA-F75B2B9C4560}"/>
    <cellStyle name="Normal 2 3 10 10" xfId="18305" xr:uid="{D7C6C654-C540-4604-B9DF-497FA8C8828F}"/>
    <cellStyle name="Normal 2 3 10 11" xfId="20195" xr:uid="{B83F246A-A9AF-4BE7-AAA3-D83CBEBF1BD6}"/>
    <cellStyle name="Normal 2 3 10 12" xfId="22085" xr:uid="{1577B836-3264-446A-AF74-D1E08A8E79A0}"/>
    <cellStyle name="Normal 2 3 10 13" xfId="23975" xr:uid="{C6C95605-6D9A-4911-B8EB-5F7B1C84490A}"/>
    <cellStyle name="Normal 2 3 10 14" xfId="25865" xr:uid="{DF7D8ED4-EACE-49E3-90A2-C27EEE7C28A4}"/>
    <cellStyle name="Normal 2 3 10 15" xfId="27755" xr:uid="{999FF1A7-0A81-4653-900B-5F97BDAEE032}"/>
    <cellStyle name="Normal 2 3 10 16" xfId="29645" xr:uid="{3194C812-8950-403C-B881-744A22D55DAF}"/>
    <cellStyle name="Normal 2 3 10 17" xfId="31535" xr:uid="{06C84EC4-D71A-4C17-A674-211C7B4E7D4E}"/>
    <cellStyle name="Normal 2 3 10 18" xfId="33425" xr:uid="{BCBF47BA-FC3D-4AA0-9DCE-9F85D6299A34}"/>
    <cellStyle name="Normal 2 3 10 19" xfId="35315" xr:uid="{CC2E630B-CFA0-4D6C-BC5F-E6FEC2784C89}"/>
    <cellStyle name="Normal 2 3 10 2" xfId="3185" xr:uid="{2A6CE7B8-8FB9-4363-816F-B02B31E3CFE3}"/>
    <cellStyle name="Normal 2 3 10 20" xfId="37205" xr:uid="{1BA115BD-C644-40EB-ADF8-C98E29AC6573}"/>
    <cellStyle name="Normal 2 3 10 21" xfId="39095" xr:uid="{9BE2E3FD-931F-4CDC-8A23-A9EF2EC0BE60}"/>
    <cellStyle name="Normal 2 3 10 22" xfId="40986" xr:uid="{C0760AF0-2380-420B-9408-128553FAFAAE}"/>
    <cellStyle name="Normal 2 3 10 3" xfId="5075" xr:uid="{E5803EA1-E981-444D-A783-B42A3252C54B}"/>
    <cellStyle name="Normal 2 3 10 4" xfId="6965" xr:uid="{938D3FC7-DA9C-48D2-94DF-CD2E82FEECD9}"/>
    <cellStyle name="Normal 2 3 10 5" xfId="8855" xr:uid="{21B68C04-4EE6-45A6-B557-1031A2766588}"/>
    <cellStyle name="Normal 2 3 10 6" xfId="10745" xr:uid="{BDA76870-51C0-41AE-B986-6F4806EDE950}"/>
    <cellStyle name="Normal 2 3 10 7" xfId="12635" xr:uid="{DD2D9AA6-CB10-4224-847B-F05BE2F8B723}"/>
    <cellStyle name="Normal 2 3 10 8" xfId="14525" xr:uid="{92ABD4FE-F6D8-43BF-9264-92433266F95F}"/>
    <cellStyle name="Normal 2 3 10 9" xfId="16415" xr:uid="{E5242298-43EA-4986-9AED-0029A7588332}"/>
    <cellStyle name="Normal 2 3 11" xfId="1925" xr:uid="{C123126F-42C9-40C4-8F23-8CDD6E03FB45}"/>
    <cellStyle name="Normal 2 3 12" xfId="3815" xr:uid="{A744504B-9541-4FF4-AD90-748BC37D9C46}"/>
    <cellStyle name="Normal 2 3 13" xfId="5705" xr:uid="{F93B5F22-77EE-4C18-91FB-83F1962C138F}"/>
    <cellStyle name="Normal 2 3 14" xfId="7595" xr:uid="{B318017B-A723-4C79-95FB-5FD6389DD12E}"/>
    <cellStyle name="Normal 2 3 15" xfId="9485" xr:uid="{BA6D2EDD-DB0E-41A2-8CD5-01928660438F}"/>
    <cellStyle name="Normal 2 3 16" xfId="11375" xr:uid="{23436B02-ACDC-4E02-B6CA-476AF291051C}"/>
    <cellStyle name="Normal 2 3 17" xfId="13265" xr:uid="{237121A7-B679-4277-8A32-1F76884B45CE}"/>
    <cellStyle name="Normal 2 3 18" xfId="15155" xr:uid="{2F8ADD55-8C96-49DD-8E94-22A48E188DE8}"/>
    <cellStyle name="Normal 2 3 19" xfId="17045" xr:uid="{9EA21CA7-3CA4-49EA-B01D-B756B0CEBF9B}"/>
    <cellStyle name="Normal 2 3 2" xfId="26" xr:uid="{5561D8D9-9240-4854-8AD0-5CDB3A4CA097}"/>
    <cellStyle name="Normal 2 3 2 10" xfId="7608" xr:uid="{FF18B808-3962-472C-A155-71C4719003F1}"/>
    <cellStyle name="Normal 2 3 2 11" xfId="9498" xr:uid="{61FB5A73-4DE6-4B2C-9F49-5898CC792792}"/>
    <cellStyle name="Normal 2 3 2 12" xfId="11388" xr:uid="{9DE0C06F-D11E-451B-AF2B-7555D6296D85}"/>
    <cellStyle name="Normal 2 3 2 13" xfId="13278" xr:uid="{4EFA236F-30CD-4C64-80D2-A81CAEF08938}"/>
    <cellStyle name="Normal 2 3 2 14" xfId="15168" xr:uid="{56092EA0-FD5E-4906-9397-7F49DD123FF1}"/>
    <cellStyle name="Normal 2 3 2 15" xfId="17058" xr:uid="{53C89FCC-E660-49B7-86AF-5B19E295C764}"/>
    <cellStyle name="Normal 2 3 2 16" xfId="18948" xr:uid="{7F10645C-02D5-4A7F-A32F-4AB26BC4243F}"/>
    <cellStyle name="Normal 2 3 2 17" xfId="20838" xr:uid="{5DF9DC48-CCF0-4189-87B7-9989C66E6267}"/>
    <cellStyle name="Normal 2 3 2 18" xfId="22728" xr:uid="{868A336A-CD50-460C-876A-27E5964D435A}"/>
    <cellStyle name="Normal 2 3 2 19" xfId="24618" xr:uid="{106DEC3B-3F25-4D5C-A084-7199E746192C}"/>
    <cellStyle name="Normal 2 3 2 2" xfId="153" xr:uid="{29A39DA9-2A44-4716-B630-017DD39EF1BB}"/>
    <cellStyle name="Normal 2 3 2 2 10" xfId="9603" xr:uid="{EBD13739-5EDC-4EBD-A9CA-777CD33834EE}"/>
    <cellStyle name="Normal 2 3 2 2 11" xfId="11493" xr:uid="{374A2078-D333-46FF-93F7-5252E3034DAB}"/>
    <cellStyle name="Normal 2 3 2 2 12" xfId="13383" xr:uid="{2DD2963C-A5D7-4014-AEE3-229FEBFD78D5}"/>
    <cellStyle name="Normal 2 3 2 2 13" xfId="15273" xr:uid="{8838DA67-26DF-407B-B62A-83624FDAC067}"/>
    <cellStyle name="Normal 2 3 2 2 14" xfId="17163" xr:uid="{9BE7B1EE-009D-4FDF-BD5D-8A3EB683132F}"/>
    <cellStyle name="Normal 2 3 2 2 15" xfId="19053" xr:uid="{89E52602-8E04-40DB-A496-CE63900AB519}"/>
    <cellStyle name="Normal 2 3 2 2 16" xfId="20943" xr:uid="{B17AF28C-11AF-40E0-BEE1-8BA9D88D5843}"/>
    <cellStyle name="Normal 2 3 2 2 17" xfId="22833" xr:uid="{50F10F37-CD32-4FDD-A975-930D0B258455}"/>
    <cellStyle name="Normal 2 3 2 2 18" xfId="24723" xr:uid="{FFACFB79-5D50-435A-86B9-5460CEC8B8B7}"/>
    <cellStyle name="Normal 2 3 2 2 19" xfId="26613" xr:uid="{59DF5449-EF0E-49BB-91AC-92E5BBEE527F}"/>
    <cellStyle name="Normal 2 3 2 2 2" xfId="363" xr:uid="{A302A823-5060-4984-8811-DFEEBC6156A8}"/>
    <cellStyle name="Normal 2 3 2 2 2 10" xfId="13593" xr:uid="{1EF3CEE3-CA31-4B82-98E5-21E448CCE9C4}"/>
    <cellStyle name="Normal 2 3 2 2 2 11" xfId="15483" xr:uid="{145B1D14-8AA4-4039-BC54-DD4F12D94FBC}"/>
    <cellStyle name="Normal 2 3 2 2 2 12" xfId="17373" xr:uid="{2F0D8D40-0102-4884-B20B-695EDEBECAB3}"/>
    <cellStyle name="Normal 2 3 2 2 2 13" xfId="19263" xr:uid="{9D3CD44F-501B-4B50-B51B-B5EEADB5BDC1}"/>
    <cellStyle name="Normal 2 3 2 2 2 14" xfId="21153" xr:uid="{25E28FB3-055F-488E-8032-28EB35A66A10}"/>
    <cellStyle name="Normal 2 3 2 2 2 15" xfId="23043" xr:uid="{9BA955A2-0ACB-4235-905F-10793093958B}"/>
    <cellStyle name="Normal 2 3 2 2 2 16" xfId="24933" xr:uid="{19BD4C79-CCC7-45FD-BD30-423C0D197502}"/>
    <cellStyle name="Normal 2 3 2 2 2 17" xfId="26823" xr:uid="{456D172B-4682-42B1-88BE-0BE6B3BC5B99}"/>
    <cellStyle name="Normal 2 3 2 2 2 18" xfId="28713" xr:uid="{AE6B82EC-4B31-49D2-81D4-17994512028F}"/>
    <cellStyle name="Normal 2 3 2 2 2 19" xfId="30603" xr:uid="{61978F83-36CB-4FE0-B3C0-9ECD103DC25D}"/>
    <cellStyle name="Normal 2 3 2 2 2 2" xfId="993" xr:uid="{BDC16F34-6CB9-4CAA-A19B-8E73216DF9C0}"/>
    <cellStyle name="Normal 2 3 2 2 2 2 10" xfId="18003" xr:uid="{56D3CC1F-63A8-49F8-A1BC-FB55DD2736EA}"/>
    <cellStyle name="Normal 2 3 2 2 2 2 11" xfId="19893" xr:uid="{FB95D8E6-0315-41BF-85FB-2C6A5F037250}"/>
    <cellStyle name="Normal 2 3 2 2 2 2 12" xfId="21783" xr:uid="{6387530C-ECAB-4BC1-9D18-0D1BC56A47C7}"/>
    <cellStyle name="Normal 2 3 2 2 2 2 13" xfId="23673" xr:uid="{D3C0E805-7DA2-4C7F-A3D6-AF4CABF1961C}"/>
    <cellStyle name="Normal 2 3 2 2 2 2 14" xfId="25563" xr:uid="{059EE2ED-4BA9-423A-B3F7-0442DA834663}"/>
    <cellStyle name="Normal 2 3 2 2 2 2 15" xfId="27453" xr:uid="{66762985-3A60-4906-90D2-1FE0DFA6817B}"/>
    <cellStyle name="Normal 2 3 2 2 2 2 16" xfId="29343" xr:uid="{345FCE49-A529-4F72-AB79-79F4E82F5BCF}"/>
    <cellStyle name="Normal 2 3 2 2 2 2 17" xfId="31233" xr:uid="{D4B8055C-F375-41FF-8B1E-99718B77EE4A}"/>
    <cellStyle name="Normal 2 3 2 2 2 2 18" xfId="33123" xr:uid="{2A6DF416-9129-4E97-9D75-F12301D8E679}"/>
    <cellStyle name="Normal 2 3 2 2 2 2 19" xfId="35013" xr:uid="{5E006316-140D-4AA5-A75E-79F130AB73FC}"/>
    <cellStyle name="Normal 2 3 2 2 2 2 2" xfId="2883" xr:uid="{CDC9E3A6-C4CA-427D-857F-A5EF2DBEF8BF}"/>
    <cellStyle name="Normal 2 3 2 2 2 2 20" xfId="36903" xr:uid="{DE6C4B70-A9F6-45E8-9065-94AF7A557524}"/>
    <cellStyle name="Normal 2 3 2 2 2 2 21" xfId="38793" xr:uid="{95C7A7F2-8ED6-4DD2-B74A-AFE1FA8A5A89}"/>
    <cellStyle name="Normal 2 3 2 2 2 2 22" xfId="40684" xr:uid="{A117813C-2BA3-4C32-9ED9-01D5DE087C27}"/>
    <cellStyle name="Normal 2 3 2 2 2 2 3" xfId="4773" xr:uid="{4E81C898-C9C5-4A60-ABD2-14BE835F5DF4}"/>
    <cellStyle name="Normal 2 3 2 2 2 2 4" xfId="6663" xr:uid="{3B1018D4-6A19-4A7C-ACF6-29B85FEF0836}"/>
    <cellStyle name="Normal 2 3 2 2 2 2 5" xfId="8553" xr:uid="{EF13C484-A3B8-42D8-BD7D-6F1B7F509860}"/>
    <cellStyle name="Normal 2 3 2 2 2 2 6" xfId="10443" xr:uid="{2AF431FF-F44C-4D2C-BC26-F10CE444B22E}"/>
    <cellStyle name="Normal 2 3 2 2 2 2 7" xfId="12333" xr:uid="{39876FCE-3B7D-47D7-B656-467EA37EF3BC}"/>
    <cellStyle name="Normal 2 3 2 2 2 2 8" xfId="14223" xr:uid="{624880B9-57B4-4FC8-8848-BC96AD264109}"/>
    <cellStyle name="Normal 2 3 2 2 2 2 9" xfId="16113" xr:uid="{91053072-3EA6-40D0-B9A7-E464C69485C6}"/>
    <cellStyle name="Normal 2 3 2 2 2 20" xfId="32493" xr:uid="{80B9A333-5174-4F41-A830-8FAC6F6213C4}"/>
    <cellStyle name="Normal 2 3 2 2 2 21" xfId="34383" xr:uid="{C7D32476-F0C5-4B49-8645-6C89DDA85965}"/>
    <cellStyle name="Normal 2 3 2 2 2 22" xfId="36273" xr:uid="{062AB061-9FEB-4DA3-9B3D-6C20F05F2514}"/>
    <cellStyle name="Normal 2 3 2 2 2 23" xfId="38163" xr:uid="{A6BB169F-9E2B-48A8-BD21-C4186DAC61AF}"/>
    <cellStyle name="Normal 2 3 2 2 2 24" xfId="40054" xr:uid="{9B6964EC-365B-4314-B914-AD8A18B5D3F7}"/>
    <cellStyle name="Normal 2 3 2 2 2 3" xfId="1623" xr:uid="{9DDDA4B6-AAAE-405A-8727-3DDEF46F1E4D}"/>
    <cellStyle name="Normal 2 3 2 2 2 3 10" xfId="18633" xr:uid="{144D3620-C32D-473E-8CC7-0AE13EF77395}"/>
    <cellStyle name="Normal 2 3 2 2 2 3 11" xfId="20523" xr:uid="{B2C94BDE-4EEB-411F-8E79-D7C35F819BF5}"/>
    <cellStyle name="Normal 2 3 2 2 2 3 12" xfId="22413" xr:uid="{8EA587A2-3604-4520-904A-E9BB2835F2CA}"/>
    <cellStyle name="Normal 2 3 2 2 2 3 13" xfId="24303" xr:uid="{671BF2ED-ADCE-454E-8B69-38332280F8DF}"/>
    <cellStyle name="Normal 2 3 2 2 2 3 14" xfId="26193" xr:uid="{77783A78-0E81-4463-8C24-CD664B0DAAF2}"/>
    <cellStyle name="Normal 2 3 2 2 2 3 15" xfId="28083" xr:uid="{3CA31D03-862D-4BE8-A917-D49D90163B3E}"/>
    <cellStyle name="Normal 2 3 2 2 2 3 16" xfId="29973" xr:uid="{534447AC-4FF4-4E9E-BC9C-779DC3926797}"/>
    <cellStyle name="Normal 2 3 2 2 2 3 17" xfId="31863" xr:uid="{806DEF52-A8F5-4BC4-ABF1-49C8B057C238}"/>
    <cellStyle name="Normal 2 3 2 2 2 3 18" xfId="33753" xr:uid="{1598591C-BFA3-4AEC-886F-084C1942282C}"/>
    <cellStyle name="Normal 2 3 2 2 2 3 19" xfId="35643" xr:uid="{4E9C7EA5-4A0C-498B-9E79-C5E0F9AB4828}"/>
    <cellStyle name="Normal 2 3 2 2 2 3 2" xfId="3513" xr:uid="{DF1CDF4B-2B00-4433-A1A4-FCD160B10181}"/>
    <cellStyle name="Normal 2 3 2 2 2 3 20" xfId="37533" xr:uid="{5BC07071-7101-4FA6-8E62-3EAD626314B9}"/>
    <cellStyle name="Normal 2 3 2 2 2 3 21" xfId="39423" xr:uid="{B71B7C8C-E9E1-4F2E-A09A-0FF56C92C437}"/>
    <cellStyle name="Normal 2 3 2 2 2 3 22" xfId="41314" xr:uid="{AB2B39D9-371D-4499-9A87-1CF87EB6133F}"/>
    <cellStyle name="Normal 2 3 2 2 2 3 3" xfId="5403" xr:uid="{BC021840-641F-4EA1-A9FB-7D7AB24A745C}"/>
    <cellStyle name="Normal 2 3 2 2 2 3 4" xfId="7293" xr:uid="{6BD6A67F-3C75-4CC0-8D68-6C5F734A703F}"/>
    <cellStyle name="Normal 2 3 2 2 2 3 5" xfId="9183" xr:uid="{EBB000EF-7115-4569-AAFF-B170209960EC}"/>
    <cellStyle name="Normal 2 3 2 2 2 3 6" xfId="11073" xr:uid="{E8535FB9-D036-47B5-AAAD-C95B874A4742}"/>
    <cellStyle name="Normal 2 3 2 2 2 3 7" xfId="12963" xr:uid="{CFF52B7D-688E-49CD-BAAE-3ACB5B956AB4}"/>
    <cellStyle name="Normal 2 3 2 2 2 3 8" xfId="14853" xr:uid="{7362FD7B-A9BB-4B69-BF8D-01C5681C8769}"/>
    <cellStyle name="Normal 2 3 2 2 2 3 9" xfId="16743" xr:uid="{10CAA106-2482-4081-A917-CA8C7BF446D1}"/>
    <cellStyle name="Normal 2 3 2 2 2 4" xfId="2253" xr:uid="{115AF98D-0812-40FF-AE6F-9F2762EB8E13}"/>
    <cellStyle name="Normal 2 3 2 2 2 5" xfId="4143" xr:uid="{D9BB0ABD-B37B-4C24-B40A-8CCA9C15B73C}"/>
    <cellStyle name="Normal 2 3 2 2 2 6" xfId="6033" xr:uid="{4F171FA9-D46E-45F9-94C7-8D9562FCE9BD}"/>
    <cellStyle name="Normal 2 3 2 2 2 7" xfId="7923" xr:uid="{413024CC-EAD9-46CC-AE7B-8B7C75D5E5BD}"/>
    <cellStyle name="Normal 2 3 2 2 2 8" xfId="9813" xr:uid="{D15C5638-0AC8-4762-B5D6-DD82874F089A}"/>
    <cellStyle name="Normal 2 3 2 2 2 9" xfId="11703" xr:uid="{9093E34F-D931-438B-A9D4-034A39ED33B4}"/>
    <cellStyle name="Normal 2 3 2 2 20" xfId="28503" xr:uid="{3188F265-5DE6-46A3-B37C-4D5ACE48AA01}"/>
    <cellStyle name="Normal 2 3 2 2 21" xfId="30393" xr:uid="{EA397CF0-5BEB-4650-89BF-40D3898DE19B}"/>
    <cellStyle name="Normal 2 3 2 2 22" xfId="32283" xr:uid="{B5394C49-9B69-4907-8F9F-DF9C7E3C2C33}"/>
    <cellStyle name="Normal 2 3 2 2 23" xfId="34173" xr:uid="{2BCEFE77-71D9-4593-9B64-2F30AF00BAF8}"/>
    <cellStyle name="Normal 2 3 2 2 24" xfId="36063" xr:uid="{B9690B17-369A-4C82-9737-FE5F3B1C649A}"/>
    <cellStyle name="Normal 2 3 2 2 25" xfId="37953" xr:uid="{9A649D74-0F6F-4136-A995-C3BBCFD79058}"/>
    <cellStyle name="Normal 2 3 2 2 26" xfId="39844" xr:uid="{5A5C9026-BBB3-452A-B2F7-3C8806BB4891}"/>
    <cellStyle name="Normal 2 3 2 2 3" xfId="573" xr:uid="{9E943C37-738D-429B-8082-F9DE43EAFB5E}"/>
    <cellStyle name="Normal 2 3 2 2 3 10" xfId="13803" xr:uid="{17645955-F26B-4079-A7AA-77BB77690293}"/>
    <cellStyle name="Normal 2 3 2 2 3 11" xfId="15693" xr:uid="{4A85E6F3-A867-4D38-9C40-32E1A11C5F6A}"/>
    <cellStyle name="Normal 2 3 2 2 3 12" xfId="17583" xr:uid="{64D094B3-54A7-4C47-9E2C-CB5FD0B361F8}"/>
    <cellStyle name="Normal 2 3 2 2 3 13" xfId="19473" xr:uid="{3203637F-A9D0-4AF9-8E27-38F7F2BD9704}"/>
    <cellStyle name="Normal 2 3 2 2 3 14" xfId="21363" xr:uid="{A221839C-E675-417D-9F37-E7FFD91876DA}"/>
    <cellStyle name="Normal 2 3 2 2 3 15" xfId="23253" xr:uid="{46EA77CD-FD87-40F5-A7DF-455EE15798B6}"/>
    <cellStyle name="Normal 2 3 2 2 3 16" xfId="25143" xr:uid="{87B2EEF9-8C15-435F-8700-61AE8F779F05}"/>
    <cellStyle name="Normal 2 3 2 2 3 17" xfId="27033" xr:uid="{07E95209-59E7-4FD7-9571-C72CBFB952E5}"/>
    <cellStyle name="Normal 2 3 2 2 3 18" xfId="28923" xr:uid="{D8A00D55-56FA-4D1E-B60F-263E7EB3C234}"/>
    <cellStyle name="Normal 2 3 2 2 3 19" xfId="30813" xr:uid="{F9B5EAA9-D485-49CA-B94C-EFF88EBFB8FE}"/>
    <cellStyle name="Normal 2 3 2 2 3 2" xfId="1203" xr:uid="{12DBCFF9-E31E-4045-950D-B4A6395D3A53}"/>
    <cellStyle name="Normal 2 3 2 2 3 2 10" xfId="18213" xr:uid="{5C7FB20B-F280-441E-942B-28EDDBFB0A1D}"/>
    <cellStyle name="Normal 2 3 2 2 3 2 11" xfId="20103" xr:uid="{5375C2E5-1874-40E2-98E0-240CC72641F2}"/>
    <cellStyle name="Normal 2 3 2 2 3 2 12" xfId="21993" xr:uid="{9DDAD166-BDC0-43F5-9EA8-BFFD6347AA9F}"/>
    <cellStyle name="Normal 2 3 2 2 3 2 13" xfId="23883" xr:uid="{5EFA52F3-6385-4F4E-A756-E32F9920CFA9}"/>
    <cellStyle name="Normal 2 3 2 2 3 2 14" xfId="25773" xr:uid="{C11261D6-FFFD-4FC7-8205-38363654A652}"/>
    <cellStyle name="Normal 2 3 2 2 3 2 15" xfId="27663" xr:uid="{BAB5FA69-AAED-42BE-AC57-38B6C2098044}"/>
    <cellStyle name="Normal 2 3 2 2 3 2 16" xfId="29553" xr:uid="{42F7D5EE-9B83-496F-BD2B-8D2860984EC6}"/>
    <cellStyle name="Normal 2 3 2 2 3 2 17" xfId="31443" xr:uid="{6F15B563-503D-4FFC-A779-83BDD8C6E268}"/>
    <cellStyle name="Normal 2 3 2 2 3 2 18" xfId="33333" xr:uid="{2F9FA41E-FB38-4924-BF36-CFD4D1D1F71D}"/>
    <cellStyle name="Normal 2 3 2 2 3 2 19" xfId="35223" xr:uid="{AD34CCDB-4C09-45D8-AB32-3671A931BDEE}"/>
    <cellStyle name="Normal 2 3 2 2 3 2 2" xfId="3093" xr:uid="{A60C18F1-5E09-493A-9E96-71E5870B219C}"/>
    <cellStyle name="Normal 2 3 2 2 3 2 20" xfId="37113" xr:uid="{DEF3CE8A-00EF-46F8-AC59-241B2985C967}"/>
    <cellStyle name="Normal 2 3 2 2 3 2 21" xfId="39003" xr:uid="{DB2BC121-FE87-4607-8E4E-0CE77A2B6D4D}"/>
    <cellStyle name="Normal 2 3 2 2 3 2 22" xfId="40894" xr:uid="{B937CEB1-4FE3-4C05-9D2F-D5CBC3548C2C}"/>
    <cellStyle name="Normal 2 3 2 2 3 2 3" xfId="4983" xr:uid="{848518BE-C525-44BB-8EEA-C3A58F35B6E0}"/>
    <cellStyle name="Normal 2 3 2 2 3 2 4" xfId="6873" xr:uid="{84C50CC2-7637-4099-9468-4BF8BD99B0AB}"/>
    <cellStyle name="Normal 2 3 2 2 3 2 5" xfId="8763" xr:uid="{9FE72CE0-C0E8-490F-B087-FDF4EB8128E4}"/>
    <cellStyle name="Normal 2 3 2 2 3 2 6" xfId="10653" xr:uid="{4D125EA8-9A13-4E9C-A4AF-ECCF29BF800D}"/>
    <cellStyle name="Normal 2 3 2 2 3 2 7" xfId="12543" xr:uid="{A0D54DD6-9203-4D95-A04A-C551CC55A862}"/>
    <cellStyle name="Normal 2 3 2 2 3 2 8" xfId="14433" xr:uid="{9FEC2731-C15C-4E8C-9203-765183187317}"/>
    <cellStyle name="Normal 2 3 2 2 3 2 9" xfId="16323" xr:uid="{80B54D68-53A8-4A85-9D4B-F7B94ABCCAF5}"/>
    <cellStyle name="Normal 2 3 2 2 3 20" xfId="32703" xr:uid="{CE91E5B7-B1DB-45B1-94F9-DF03699CB887}"/>
    <cellStyle name="Normal 2 3 2 2 3 21" xfId="34593" xr:uid="{21DA9134-FE8B-4C55-A4E1-D0CF9438E274}"/>
    <cellStyle name="Normal 2 3 2 2 3 22" xfId="36483" xr:uid="{2B91CD84-571D-40AA-BF94-5F8E0F814288}"/>
    <cellStyle name="Normal 2 3 2 2 3 23" xfId="38373" xr:uid="{CCFA6EDC-C31C-4E35-BF1A-75DF1C516043}"/>
    <cellStyle name="Normal 2 3 2 2 3 24" xfId="40264" xr:uid="{7429D740-A659-4C66-8224-F4DB57CFE7CF}"/>
    <cellStyle name="Normal 2 3 2 2 3 3" xfId="1833" xr:uid="{4C758A73-EC61-406A-91AF-D630AD092C50}"/>
    <cellStyle name="Normal 2 3 2 2 3 3 10" xfId="18843" xr:uid="{694C0D41-348A-4237-9F44-081CE426B219}"/>
    <cellStyle name="Normal 2 3 2 2 3 3 11" xfId="20733" xr:uid="{A19C3776-089C-4B85-99D8-6D9336634653}"/>
    <cellStyle name="Normal 2 3 2 2 3 3 12" xfId="22623" xr:uid="{CFC00BED-8271-4622-B135-A0F1262F3DB3}"/>
    <cellStyle name="Normal 2 3 2 2 3 3 13" xfId="24513" xr:uid="{B76E90F1-F3BA-4CAD-8E54-FD508810A21C}"/>
    <cellStyle name="Normal 2 3 2 2 3 3 14" xfId="26403" xr:uid="{2CB581B8-C771-4818-9533-0081B5B08CC6}"/>
    <cellStyle name="Normal 2 3 2 2 3 3 15" xfId="28293" xr:uid="{91BC8A6E-7313-455A-AB4F-57CA249B1111}"/>
    <cellStyle name="Normal 2 3 2 2 3 3 16" xfId="30183" xr:uid="{BC4C81E5-B568-460D-B9D8-73861791D86D}"/>
    <cellStyle name="Normal 2 3 2 2 3 3 17" xfId="32073" xr:uid="{0853F67E-C817-4BDE-97C1-D188659E7A54}"/>
    <cellStyle name="Normal 2 3 2 2 3 3 18" xfId="33963" xr:uid="{C81A6B73-7867-4ED6-974E-6E5BBAFCE1D3}"/>
    <cellStyle name="Normal 2 3 2 2 3 3 19" xfId="35853" xr:uid="{2CB1FC6C-AEE8-4C70-AC36-8A7FD00F9828}"/>
    <cellStyle name="Normal 2 3 2 2 3 3 2" xfId="3723" xr:uid="{5B7AED5A-01DE-4D27-9F2C-209AFAB41B24}"/>
    <cellStyle name="Normal 2 3 2 2 3 3 20" xfId="37743" xr:uid="{ECF43223-3C5E-4012-8077-1533F6394DC0}"/>
    <cellStyle name="Normal 2 3 2 2 3 3 21" xfId="39633" xr:uid="{277E72C9-33EC-4CDF-AF49-9E7F431DA6F6}"/>
    <cellStyle name="Normal 2 3 2 2 3 3 22" xfId="41524" xr:uid="{1A4659BA-509E-44F9-8196-C34A6865C26E}"/>
    <cellStyle name="Normal 2 3 2 2 3 3 3" xfId="5613" xr:uid="{22B30C9E-9ED1-47EA-8C64-85881927F58A}"/>
    <cellStyle name="Normal 2 3 2 2 3 3 4" xfId="7503" xr:uid="{6A4A3421-6534-4E66-AE59-7400A9D0D995}"/>
    <cellStyle name="Normal 2 3 2 2 3 3 5" xfId="9393" xr:uid="{0184139F-4D6A-4029-9039-471284B9C568}"/>
    <cellStyle name="Normal 2 3 2 2 3 3 6" xfId="11283" xr:uid="{373C9E6D-0561-40B6-AD53-3DB70F37093B}"/>
    <cellStyle name="Normal 2 3 2 2 3 3 7" xfId="13173" xr:uid="{F0DD6A72-DB62-4E34-B005-B5D7AC79F9FD}"/>
    <cellStyle name="Normal 2 3 2 2 3 3 8" xfId="15063" xr:uid="{C2567ACF-62EF-48E0-874C-F8352633804B}"/>
    <cellStyle name="Normal 2 3 2 2 3 3 9" xfId="16953" xr:uid="{5F812AFA-9937-42E7-9A68-5E8BA3A4C7DC}"/>
    <cellStyle name="Normal 2 3 2 2 3 4" xfId="2463" xr:uid="{C4CDD19D-2215-45C2-9AF2-0EAB73C650EF}"/>
    <cellStyle name="Normal 2 3 2 2 3 5" xfId="4353" xr:uid="{26F84829-2469-46C0-A3A5-D9B88D8CCD35}"/>
    <cellStyle name="Normal 2 3 2 2 3 6" xfId="6243" xr:uid="{917C95FF-3A52-4DEB-8FFC-B197724FFB70}"/>
    <cellStyle name="Normal 2 3 2 2 3 7" xfId="8133" xr:uid="{F03A7D74-A2A2-4D5A-9881-1678EC3F5524}"/>
    <cellStyle name="Normal 2 3 2 2 3 8" xfId="10023" xr:uid="{3B6E6D71-0837-4473-A1AB-11D343D3EAB4}"/>
    <cellStyle name="Normal 2 3 2 2 3 9" xfId="11913" xr:uid="{DDE3FDC5-68D5-4EB1-A518-E68B16580B68}"/>
    <cellStyle name="Normal 2 3 2 2 4" xfId="783" xr:uid="{8C730471-BC34-49FD-B37E-99458402B39C}"/>
    <cellStyle name="Normal 2 3 2 2 4 10" xfId="17793" xr:uid="{5E960754-2CD1-4DE6-AAB8-FAB432645BE7}"/>
    <cellStyle name="Normal 2 3 2 2 4 11" xfId="19683" xr:uid="{F32A7B46-817C-4A09-B872-4DF6EC50E3DA}"/>
    <cellStyle name="Normal 2 3 2 2 4 12" xfId="21573" xr:uid="{47DE236B-FE9D-4EC3-9622-A48BB5A71760}"/>
    <cellStyle name="Normal 2 3 2 2 4 13" xfId="23463" xr:uid="{30A53F03-E992-4B70-AC5A-10FDC80A168F}"/>
    <cellStyle name="Normal 2 3 2 2 4 14" xfId="25353" xr:uid="{3519CC6A-5841-4144-A154-1EAF167173FD}"/>
    <cellStyle name="Normal 2 3 2 2 4 15" xfId="27243" xr:uid="{2ACDCBB7-BD95-4547-BFF1-1431F8B1D288}"/>
    <cellStyle name="Normal 2 3 2 2 4 16" xfId="29133" xr:uid="{4469FF9B-888D-4520-A1B7-E7A9A5BA8A9D}"/>
    <cellStyle name="Normal 2 3 2 2 4 17" xfId="31023" xr:uid="{6C147DEC-9825-4568-AC03-4BFA78F0C8C2}"/>
    <cellStyle name="Normal 2 3 2 2 4 18" xfId="32913" xr:uid="{65A701FA-104F-4625-AC84-F67865DE7928}"/>
    <cellStyle name="Normal 2 3 2 2 4 19" xfId="34803" xr:uid="{AF4110A3-ECC4-4B1F-831D-B152AC4C7AB1}"/>
    <cellStyle name="Normal 2 3 2 2 4 2" xfId="2673" xr:uid="{62685751-698B-4C39-9366-FD7F171626AE}"/>
    <cellStyle name="Normal 2 3 2 2 4 20" xfId="36693" xr:uid="{47154952-197A-44A0-81C0-D5F6CA46A999}"/>
    <cellStyle name="Normal 2 3 2 2 4 21" xfId="38583" xr:uid="{E5E9C41D-1F44-4B59-A71D-D078201DF976}"/>
    <cellStyle name="Normal 2 3 2 2 4 22" xfId="40474" xr:uid="{08462E11-99E7-46EB-9B9C-1CA92B96526D}"/>
    <cellStyle name="Normal 2 3 2 2 4 3" xfId="4563" xr:uid="{9B6B6B84-1B72-4ACD-BDF8-9615E3B64EEF}"/>
    <cellStyle name="Normal 2 3 2 2 4 4" xfId="6453" xr:uid="{5241E79D-960F-4A2A-9D20-4D1A28AAF771}"/>
    <cellStyle name="Normal 2 3 2 2 4 5" xfId="8343" xr:uid="{62D8FFED-CDB9-4C16-89D3-6A833863FDA5}"/>
    <cellStyle name="Normal 2 3 2 2 4 6" xfId="10233" xr:uid="{5F224106-106C-49B2-861A-66C21E159F98}"/>
    <cellStyle name="Normal 2 3 2 2 4 7" xfId="12123" xr:uid="{381784AB-3F81-4BF7-BE57-474EB69D5BA7}"/>
    <cellStyle name="Normal 2 3 2 2 4 8" xfId="14013" xr:uid="{B0587B08-17AE-4A8C-AAA0-BB670765C542}"/>
    <cellStyle name="Normal 2 3 2 2 4 9" xfId="15903" xr:uid="{AED6729F-D599-49F0-BBC1-DBD4B2315D1A}"/>
    <cellStyle name="Normal 2 3 2 2 5" xfId="1413" xr:uid="{BCE48743-E042-4C7C-B89F-366F8C8E688D}"/>
    <cellStyle name="Normal 2 3 2 2 5 10" xfId="18423" xr:uid="{1A079C0A-B898-4200-B3EC-195850E9406D}"/>
    <cellStyle name="Normal 2 3 2 2 5 11" xfId="20313" xr:uid="{D44B46B6-70E2-4042-B4B5-D608FEEEF1D1}"/>
    <cellStyle name="Normal 2 3 2 2 5 12" xfId="22203" xr:uid="{6F11EB35-2932-42FB-BAEC-E686BECE3C95}"/>
    <cellStyle name="Normal 2 3 2 2 5 13" xfId="24093" xr:uid="{55E8D2E2-4D4A-4CC8-92FF-04EF85BD3C14}"/>
    <cellStyle name="Normal 2 3 2 2 5 14" xfId="25983" xr:uid="{97D4DB06-FB3C-4C59-ADB8-2D89D175BA42}"/>
    <cellStyle name="Normal 2 3 2 2 5 15" xfId="27873" xr:uid="{0EBAC81D-CF5E-47F8-A67B-FE5352EC410C}"/>
    <cellStyle name="Normal 2 3 2 2 5 16" xfId="29763" xr:uid="{3BF90575-9A14-4A2C-82CD-641403B87CB2}"/>
    <cellStyle name="Normal 2 3 2 2 5 17" xfId="31653" xr:uid="{81D0E84B-850B-49EA-A415-A265F40642B9}"/>
    <cellStyle name="Normal 2 3 2 2 5 18" xfId="33543" xr:uid="{DD42B33D-E1A6-49CD-8CAB-251BEC47A5F2}"/>
    <cellStyle name="Normal 2 3 2 2 5 19" xfId="35433" xr:uid="{41E0442F-A5BB-4C84-9CBC-E8C02DDC5ED2}"/>
    <cellStyle name="Normal 2 3 2 2 5 2" xfId="3303" xr:uid="{1300A2AD-3D64-46D0-B0CD-12FDEE83CC71}"/>
    <cellStyle name="Normal 2 3 2 2 5 20" xfId="37323" xr:uid="{DFA0981E-FEC9-4302-8F17-9A0142FD5FCF}"/>
    <cellStyle name="Normal 2 3 2 2 5 21" xfId="39213" xr:uid="{EC175187-4487-41AE-8895-DB8143C2A337}"/>
    <cellStyle name="Normal 2 3 2 2 5 22" xfId="41104" xr:uid="{E4F38CB3-29DE-4CD4-94A0-DFF19FD83403}"/>
    <cellStyle name="Normal 2 3 2 2 5 3" xfId="5193" xr:uid="{7B53B90B-B9F2-420F-8A43-9780C08D9853}"/>
    <cellStyle name="Normal 2 3 2 2 5 4" xfId="7083" xr:uid="{BBADEFF4-6641-4FE1-83FA-DE10D34944B2}"/>
    <cellStyle name="Normal 2 3 2 2 5 5" xfId="8973" xr:uid="{8B531AA4-1834-4813-ABF4-51AB50529FA4}"/>
    <cellStyle name="Normal 2 3 2 2 5 6" xfId="10863" xr:uid="{3866BB0E-3BB1-44CC-ACBF-E156BC5F8010}"/>
    <cellStyle name="Normal 2 3 2 2 5 7" xfId="12753" xr:uid="{CDCF4BFE-20E3-4E07-AAA3-B0A103D98E0A}"/>
    <cellStyle name="Normal 2 3 2 2 5 8" xfId="14643" xr:uid="{1AB5AB17-9969-4736-A4A1-B5CB52A4BECB}"/>
    <cellStyle name="Normal 2 3 2 2 5 9" xfId="16533" xr:uid="{B1E760A4-FD0C-4B9B-9705-3D25506BC5DA}"/>
    <cellStyle name="Normal 2 3 2 2 6" xfId="2043" xr:uid="{677F009A-E038-4441-AA3A-A25B596306FC}"/>
    <cellStyle name="Normal 2 3 2 2 7" xfId="3933" xr:uid="{EA0201AA-7709-4667-93AC-5FA7EDC541F2}"/>
    <cellStyle name="Normal 2 3 2 2 8" xfId="5823" xr:uid="{8BDE81F5-E971-4A57-835B-FD2D29B6105B}"/>
    <cellStyle name="Normal 2 3 2 2 9" xfId="7713" xr:uid="{BD179E76-F25B-4138-B4D3-B5CBE6DE789D}"/>
    <cellStyle name="Normal 2 3 2 20" xfId="26508" xr:uid="{C01880E9-9F7A-4E59-99DF-9DB1CA9A05FA}"/>
    <cellStyle name="Normal 2 3 2 21" xfId="28398" xr:uid="{77AD55AD-74CF-45CC-AAA3-EA2BD60CF138}"/>
    <cellStyle name="Normal 2 3 2 22" xfId="30288" xr:uid="{E135395E-471F-4FC0-AEFC-C40B179CE1C4}"/>
    <cellStyle name="Normal 2 3 2 23" xfId="32178" xr:uid="{08627C96-A79C-45FF-A841-781EF0FB1ED6}"/>
    <cellStyle name="Normal 2 3 2 24" xfId="34068" xr:uid="{3CD6D8F9-7861-4D44-8F5F-2FA0DE3765B0}"/>
    <cellStyle name="Normal 2 3 2 25" xfId="35958" xr:uid="{75B5ED78-C702-4C5D-A69B-22EE0FB6C493}"/>
    <cellStyle name="Normal 2 3 2 26" xfId="37848" xr:uid="{6C07C98C-4188-4D5D-A3BF-D809A4DFB7DF}"/>
    <cellStyle name="Normal 2 3 2 27" xfId="39739" xr:uid="{A379EACA-6A61-4656-88FD-5FE1DDB918E8}"/>
    <cellStyle name="Normal 2 3 2 3" xfId="258" xr:uid="{8F8EF9FB-942A-48F9-B08A-6E82BE317B0C}"/>
    <cellStyle name="Normal 2 3 2 3 10" xfId="13488" xr:uid="{11217F2B-DEDE-446C-A99E-AFE207D5BBD0}"/>
    <cellStyle name="Normal 2 3 2 3 11" xfId="15378" xr:uid="{39DEA286-4499-47FE-A5B7-3E35ACAF79F7}"/>
    <cellStyle name="Normal 2 3 2 3 12" xfId="17268" xr:uid="{7258B2CD-8D24-49B3-A73E-42F9A06FAC90}"/>
    <cellStyle name="Normal 2 3 2 3 13" xfId="19158" xr:uid="{63FA5567-E1D5-4259-BB92-C346B9398EC7}"/>
    <cellStyle name="Normal 2 3 2 3 14" xfId="21048" xr:uid="{7B117DE7-C81F-4486-8F0F-6518E1E4BF02}"/>
    <cellStyle name="Normal 2 3 2 3 15" xfId="22938" xr:uid="{F2C00564-8040-40FC-AB50-8458F6063AC6}"/>
    <cellStyle name="Normal 2 3 2 3 16" xfId="24828" xr:uid="{57C42D2A-6C6D-48D9-AB7B-3CAF23B71A63}"/>
    <cellStyle name="Normal 2 3 2 3 17" xfId="26718" xr:uid="{DAD4E748-F162-4BFA-82DE-4860388A6ABF}"/>
    <cellStyle name="Normal 2 3 2 3 18" xfId="28608" xr:uid="{56F4E1DE-FEE8-4750-BDAB-FFC90AE5882E}"/>
    <cellStyle name="Normal 2 3 2 3 19" xfId="30498" xr:uid="{3A73AA1E-4418-4998-B004-E6670679E54F}"/>
    <cellStyle name="Normal 2 3 2 3 2" xfId="888" xr:uid="{92552610-D00C-4AB4-89D5-D7AA78EF29D6}"/>
    <cellStyle name="Normal 2 3 2 3 2 10" xfId="17898" xr:uid="{27409A35-6420-409D-B895-9D3A65B8F7FC}"/>
    <cellStyle name="Normal 2 3 2 3 2 11" xfId="19788" xr:uid="{CD519B7E-983C-44D0-AAAA-3A6D0FE7095F}"/>
    <cellStyle name="Normal 2 3 2 3 2 12" xfId="21678" xr:uid="{FD59A5AA-AC14-4F6D-8D9C-5203C6CD039F}"/>
    <cellStyle name="Normal 2 3 2 3 2 13" xfId="23568" xr:uid="{A5A9711A-CA0C-4DDA-92EC-1D06A21869D6}"/>
    <cellStyle name="Normal 2 3 2 3 2 14" xfId="25458" xr:uid="{E4345098-CA34-4E63-9529-00318DEA1276}"/>
    <cellStyle name="Normal 2 3 2 3 2 15" xfId="27348" xr:uid="{B20F3FD7-DE52-444C-8A09-DA98393567A3}"/>
    <cellStyle name="Normal 2 3 2 3 2 16" xfId="29238" xr:uid="{BF6C1EDD-E8E3-42B5-AAB3-B71B702ECD86}"/>
    <cellStyle name="Normal 2 3 2 3 2 17" xfId="31128" xr:uid="{282FEA19-69F1-4BBE-B3F8-9A4A9DE9E273}"/>
    <cellStyle name="Normal 2 3 2 3 2 18" xfId="33018" xr:uid="{B48A21CF-9703-4754-9A68-A61015D400A7}"/>
    <cellStyle name="Normal 2 3 2 3 2 19" xfId="34908" xr:uid="{73DDAA0C-EB09-4A9A-97F7-22E103B50358}"/>
    <cellStyle name="Normal 2 3 2 3 2 2" xfId="2778" xr:uid="{1A5F09EC-0DEB-4487-9E51-F724BA7EAF28}"/>
    <cellStyle name="Normal 2 3 2 3 2 20" xfId="36798" xr:uid="{0141FCD2-F481-4F2D-B457-7947A69810A7}"/>
    <cellStyle name="Normal 2 3 2 3 2 21" xfId="38688" xr:uid="{7AB81B54-5369-4BB2-BA13-0A7EF46C3A33}"/>
    <cellStyle name="Normal 2 3 2 3 2 22" xfId="40579" xr:uid="{90D29F6B-BF04-4973-8C35-64AE1EB811D2}"/>
    <cellStyle name="Normal 2 3 2 3 2 3" xfId="4668" xr:uid="{89EAC954-D4EC-4A25-B544-BF0522F5D071}"/>
    <cellStyle name="Normal 2 3 2 3 2 4" xfId="6558" xr:uid="{F7DC173C-00A9-4644-AA5C-D9C009C5ACE8}"/>
    <cellStyle name="Normal 2 3 2 3 2 5" xfId="8448" xr:uid="{5F7BF437-78B7-4EE0-8697-A8F33A202FC1}"/>
    <cellStyle name="Normal 2 3 2 3 2 6" xfId="10338" xr:uid="{F842810E-5AF0-4508-8A6F-EEDE9F16EE5E}"/>
    <cellStyle name="Normal 2 3 2 3 2 7" xfId="12228" xr:uid="{EF153946-D9F7-45E2-A35C-3F61C8827D5E}"/>
    <cellStyle name="Normal 2 3 2 3 2 8" xfId="14118" xr:uid="{A700817B-4079-4B8B-A884-8D445ED2E3E7}"/>
    <cellStyle name="Normal 2 3 2 3 2 9" xfId="16008" xr:uid="{E5791E09-5AEC-47AC-A988-B80F10609585}"/>
    <cellStyle name="Normal 2 3 2 3 20" xfId="32388" xr:uid="{BAA4E8C3-53B9-4A1D-BEB4-BF6E5B1A5AA5}"/>
    <cellStyle name="Normal 2 3 2 3 21" xfId="34278" xr:uid="{89377025-265D-4FE8-9E27-C6201B7F4F26}"/>
    <cellStyle name="Normal 2 3 2 3 22" xfId="36168" xr:uid="{6F854DD4-45EC-46A3-A209-BB180BF005E8}"/>
    <cellStyle name="Normal 2 3 2 3 23" xfId="38058" xr:uid="{779B62F9-8C5F-4BE9-89B2-0532E0251D07}"/>
    <cellStyle name="Normal 2 3 2 3 24" xfId="39949" xr:uid="{EA3E6766-202A-4121-88E1-F7B97B62BBC1}"/>
    <cellStyle name="Normal 2 3 2 3 3" xfId="1518" xr:uid="{04664676-2FC0-488E-B968-F0D23B314741}"/>
    <cellStyle name="Normal 2 3 2 3 3 10" xfId="18528" xr:uid="{5D242519-2FB8-485B-8BF4-F0658FDD4A55}"/>
    <cellStyle name="Normal 2 3 2 3 3 11" xfId="20418" xr:uid="{A3D3BC0E-BAA4-4D71-8E70-772E97024E20}"/>
    <cellStyle name="Normal 2 3 2 3 3 12" xfId="22308" xr:uid="{43E6D071-7DFF-4C51-B0A0-FBAD411C8D07}"/>
    <cellStyle name="Normal 2 3 2 3 3 13" xfId="24198" xr:uid="{D3AAD391-9A0E-4C4D-BB65-4AACB8D3B3EE}"/>
    <cellStyle name="Normal 2 3 2 3 3 14" xfId="26088" xr:uid="{6755DC63-745E-4D8F-BD99-A53AF5BAB4AE}"/>
    <cellStyle name="Normal 2 3 2 3 3 15" xfId="27978" xr:uid="{433D2B89-F6A0-4A2B-8CF7-BF22F8548890}"/>
    <cellStyle name="Normal 2 3 2 3 3 16" xfId="29868" xr:uid="{89BEEEF6-4ABE-4EDD-8926-5C6430F2F9C6}"/>
    <cellStyle name="Normal 2 3 2 3 3 17" xfId="31758" xr:uid="{09278DA1-31FB-43E3-A21B-C76F9F4A783E}"/>
    <cellStyle name="Normal 2 3 2 3 3 18" xfId="33648" xr:uid="{C8AF8A72-DFC0-4140-941A-B6665D77D96F}"/>
    <cellStyle name="Normal 2 3 2 3 3 19" xfId="35538" xr:uid="{B5BCA43F-92EB-4DAC-A0F4-685936F72B9D}"/>
    <cellStyle name="Normal 2 3 2 3 3 2" xfId="3408" xr:uid="{2268F44B-7952-4246-8879-8991A9E1A9E3}"/>
    <cellStyle name="Normal 2 3 2 3 3 20" xfId="37428" xr:uid="{2A3A2BB4-5202-40B9-88B6-8F1B59E4B893}"/>
    <cellStyle name="Normal 2 3 2 3 3 21" xfId="39318" xr:uid="{009C8A7F-6D0B-432F-A37E-F95EB4CBE793}"/>
    <cellStyle name="Normal 2 3 2 3 3 22" xfId="41209" xr:uid="{F2013EC7-3748-4D62-93F2-DF585B678A16}"/>
    <cellStyle name="Normal 2 3 2 3 3 3" xfId="5298" xr:uid="{48360B7A-EA07-478A-B462-5013EFF9E1D9}"/>
    <cellStyle name="Normal 2 3 2 3 3 4" xfId="7188" xr:uid="{6D4FB526-5F70-4B30-BD0D-7DCE03D9C2BF}"/>
    <cellStyle name="Normal 2 3 2 3 3 5" xfId="9078" xr:uid="{0E155832-F8D2-4F32-AD32-EF5C397596C1}"/>
    <cellStyle name="Normal 2 3 2 3 3 6" xfId="10968" xr:uid="{1A27F80C-8127-4A98-93F0-781F42546842}"/>
    <cellStyle name="Normal 2 3 2 3 3 7" xfId="12858" xr:uid="{CCD1059B-2DDC-4BAD-9505-4ED071485076}"/>
    <cellStyle name="Normal 2 3 2 3 3 8" xfId="14748" xr:uid="{6638A130-261B-4249-8326-3F809CD65FFF}"/>
    <cellStyle name="Normal 2 3 2 3 3 9" xfId="16638" xr:uid="{B9CD37CE-C664-45F0-8CD9-34A0E1563831}"/>
    <cellStyle name="Normal 2 3 2 3 4" xfId="2148" xr:uid="{7B59EDB9-F554-40A0-B9C1-539A4ACD99B1}"/>
    <cellStyle name="Normal 2 3 2 3 5" xfId="4038" xr:uid="{AD909A7D-C3FA-4ECB-8071-689E33EC6793}"/>
    <cellStyle name="Normal 2 3 2 3 6" xfId="5928" xr:uid="{25AB5971-32E4-4559-AA6D-86D680A8A4D2}"/>
    <cellStyle name="Normal 2 3 2 3 7" xfId="7818" xr:uid="{78531894-DF13-4219-A51C-1EB69B55B4EB}"/>
    <cellStyle name="Normal 2 3 2 3 8" xfId="9708" xr:uid="{61E2918F-5EDF-40EB-BE64-7BEA6B424D13}"/>
    <cellStyle name="Normal 2 3 2 3 9" xfId="11598" xr:uid="{DB6CF0DD-39F0-4EC5-8E79-335208D8D5A0}"/>
    <cellStyle name="Normal 2 3 2 4" xfId="468" xr:uid="{E72FE831-1F9F-4EF1-8DF4-36697AB14A0C}"/>
    <cellStyle name="Normal 2 3 2 4 10" xfId="13698" xr:uid="{58E75CF1-65BE-4A12-A186-ACC2A3DA141E}"/>
    <cellStyle name="Normal 2 3 2 4 11" xfId="15588" xr:uid="{72059A5D-6A12-4A3F-BACD-AB8AE817D879}"/>
    <cellStyle name="Normal 2 3 2 4 12" xfId="17478" xr:uid="{7BB2AF32-45E2-4B9E-A764-50B6819A09C5}"/>
    <cellStyle name="Normal 2 3 2 4 13" xfId="19368" xr:uid="{43B0010F-672C-49B9-9DFB-274397110264}"/>
    <cellStyle name="Normal 2 3 2 4 14" xfId="21258" xr:uid="{E4BB1804-3EA2-46D8-A204-AB2A3067670E}"/>
    <cellStyle name="Normal 2 3 2 4 15" xfId="23148" xr:uid="{CE7E37EE-F9C9-48A3-986A-F20529B6B2D2}"/>
    <cellStyle name="Normal 2 3 2 4 16" xfId="25038" xr:uid="{DBDD5164-2554-472E-B1CF-EEF0BD4E9B49}"/>
    <cellStyle name="Normal 2 3 2 4 17" xfId="26928" xr:uid="{7374013E-7D37-4EEC-A2AB-3EB287AE38FA}"/>
    <cellStyle name="Normal 2 3 2 4 18" xfId="28818" xr:uid="{14530E9A-8FA4-4272-8799-FF57F90ACFB9}"/>
    <cellStyle name="Normal 2 3 2 4 19" xfId="30708" xr:uid="{18F5C0EC-FA64-4127-BDAA-5B08B28B29B5}"/>
    <cellStyle name="Normal 2 3 2 4 2" xfId="1098" xr:uid="{C3111CEC-CC2E-4A6B-883E-13DD16C1EC19}"/>
    <cellStyle name="Normal 2 3 2 4 2 10" xfId="18108" xr:uid="{2A0E467B-BA0E-4DDE-B4F0-EBF2106F567D}"/>
    <cellStyle name="Normal 2 3 2 4 2 11" xfId="19998" xr:uid="{FC449074-FA28-4CFB-8729-2396FAAD880E}"/>
    <cellStyle name="Normal 2 3 2 4 2 12" xfId="21888" xr:uid="{6070D16B-97C4-446C-9C2F-1905522F51FC}"/>
    <cellStyle name="Normal 2 3 2 4 2 13" xfId="23778" xr:uid="{010499E2-A8A2-4E5B-A1FD-FC5A57C4C511}"/>
    <cellStyle name="Normal 2 3 2 4 2 14" xfId="25668" xr:uid="{619FF645-FE21-4667-B20A-EB839D949991}"/>
    <cellStyle name="Normal 2 3 2 4 2 15" xfId="27558" xr:uid="{18C379F4-2EE9-4C98-8246-69E6E1803562}"/>
    <cellStyle name="Normal 2 3 2 4 2 16" xfId="29448" xr:uid="{7DFE7B46-6112-40BB-BFF7-464248C4B363}"/>
    <cellStyle name="Normal 2 3 2 4 2 17" xfId="31338" xr:uid="{BCEC8F99-D881-4A5D-8C62-80B6A5CBCC25}"/>
    <cellStyle name="Normal 2 3 2 4 2 18" xfId="33228" xr:uid="{B3DA3CF7-2930-4032-912A-8B5D9218B6CB}"/>
    <cellStyle name="Normal 2 3 2 4 2 19" xfId="35118" xr:uid="{37BC7FEE-018B-4A9C-8050-A7E0846E37B2}"/>
    <cellStyle name="Normal 2 3 2 4 2 2" xfId="2988" xr:uid="{579B3ACA-337A-4476-B36D-B7F70D1C2E0C}"/>
    <cellStyle name="Normal 2 3 2 4 2 20" xfId="37008" xr:uid="{F24BBD78-459C-420C-92E1-B6E00522B0A6}"/>
    <cellStyle name="Normal 2 3 2 4 2 21" xfId="38898" xr:uid="{4DB034E1-038B-485D-8FA9-936260F74F49}"/>
    <cellStyle name="Normal 2 3 2 4 2 22" xfId="40789" xr:uid="{3780A803-1DC1-40B9-BAE8-B837B8183BAD}"/>
    <cellStyle name="Normal 2 3 2 4 2 3" xfId="4878" xr:uid="{7AF57506-27FB-46A4-B0C2-53FF282239EC}"/>
    <cellStyle name="Normal 2 3 2 4 2 4" xfId="6768" xr:uid="{3E356A60-41CA-48DC-B7FF-2EA8DA2DF352}"/>
    <cellStyle name="Normal 2 3 2 4 2 5" xfId="8658" xr:uid="{ACA2059D-0703-4E9D-BCD2-4FA5AABDFBE2}"/>
    <cellStyle name="Normal 2 3 2 4 2 6" xfId="10548" xr:uid="{52596EFA-457A-49F2-891B-C3C700609127}"/>
    <cellStyle name="Normal 2 3 2 4 2 7" xfId="12438" xr:uid="{C742646E-5FE3-43DF-81B9-F63BB622D6E5}"/>
    <cellStyle name="Normal 2 3 2 4 2 8" xfId="14328" xr:uid="{9E25BF28-3AA4-4950-BCC6-6CA1C2F15A1E}"/>
    <cellStyle name="Normal 2 3 2 4 2 9" xfId="16218" xr:uid="{5C4CEE31-1178-482A-B87C-4AE2B20DC71A}"/>
    <cellStyle name="Normal 2 3 2 4 20" xfId="32598" xr:uid="{0208B0F5-E606-4DDF-8AF7-176934F019C3}"/>
    <cellStyle name="Normal 2 3 2 4 21" xfId="34488" xr:uid="{B9CB2A98-E718-4764-B096-03BB59DBDF46}"/>
    <cellStyle name="Normal 2 3 2 4 22" xfId="36378" xr:uid="{548B2ECF-E131-45ED-ACDF-2AC32467B6F5}"/>
    <cellStyle name="Normal 2 3 2 4 23" xfId="38268" xr:uid="{C7C088DD-E077-4720-A022-4140A43BCA65}"/>
    <cellStyle name="Normal 2 3 2 4 24" xfId="40159" xr:uid="{D8754014-B56D-427F-ADA9-8477612471A5}"/>
    <cellStyle name="Normal 2 3 2 4 3" xfId="1728" xr:uid="{49E4EFD3-743B-493A-B11D-B13FC0589E9A}"/>
    <cellStyle name="Normal 2 3 2 4 3 10" xfId="18738" xr:uid="{D7602A82-6F60-4360-AAE5-CF6B54CAD34D}"/>
    <cellStyle name="Normal 2 3 2 4 3 11" xfId="20628" xr:uid="{FBAEBC9C-7E5A-4FCA-AEEE-C91662F24BA4}"/>
    <cellStyle name="Normal 2 3 2 4 3 12" xfId="22518" xr:uid="{4CD74FE3-6323-49AD-B9B0-D687723D0565}"/>
    <cellStyle name="Normal 2 3 2 4 3 13" xfId="24408" xr:uid="{2467AC71-2647-4982-9219-CEC4834FFED5}"/>
    <cellStyle name="Normal 2 3 2 4 3 14" xfId="26298" xr:uid="{E5BC38BD-4C7E-437F-8A90-8D1173E158F0}"/>
    <cellStyle name="Normal 2 3 2 4 3 15" xfId="28188" xr:uid="{F71ABD66-76E4-45B2-ACF2-87AD8B6666AB}"/>
    <cellStyle name="Normal 2 3 2 4 3 16" xfId="30078" xr:uid="{B7F8BC51-2758-4BC2-A5C4-E44277E10F3E}"/>
    <cellStyle name="Normal 2 3 2 4 3 17" xfId="31968" xr:uid="{8FD0B2E5-F54B-4B87-B705-EAD7F3718B9B}"/>
    <cellStyle name="Normal 2 3 2 4 3 18" xfId="33858" xr:uid="{AC0684FF-5C7C-4DB1-8D41-CC90A8F7319E}"/>
    <cellStyle name="Normal 2 3 2 4 3 19" xfId="35748" xr:uid="{80209773-BA3B-4E1C-9B57-88EFE5B17872}"/>
    <cellStyle name="Normal 2 3 2 4 3 2" xfId="3618" xr:uid="{B122254E-B629-4916-A8AE-8AB7FFC4CF79}"/>
    <cellStyle name="Normal 2 3 2 4 3 20" xfId="37638" xr:uid="{E055F0EC-4BF5-4FEC-B888-54524AA37731}"/>
    <cellStyle name="Normal 2 3 2 4 3 21" xfId="39528" xr:uid="{3C7935AF-BFEF-4543-B327-ECD1CCA26289}"/>
    <cellStyle name="Normal 2 3 2 4 3 22" xfId="41419" xr:uid="{FDA2BD67-A193-4691-8507-77AC2D577050}"/>
    <cellStyle name="Normal 2 3 2 4 3 3" xfId="5508" xr:uid="{15272529-FA12-4C6E-83F3-2778545252BA}"/>
    <cellStyle name="Normal 2 3 2 4 3 4" xfId="7398" xr:uid="{C819E3D8-2FC4-4AF7-86A2-3CC536A658B2}"/>
    <cellStyle name="Normal 2 3 2 4 3 5" xfId="9288" xr:uid="{C3DA891F-F685-416B-9145-A67DCA567FD5}"/>
    <cellStyle name="Normal 2 3 2 4 3 6" xfId="11178" xr:uid="{22F2991F-F3F6-4288-A3BC-CE1DA02A0C84}"/>
    <cellStyle name="Normal 2 3 2 4 3 7" xfId="13068" xr:uid="{9401148E-9CD4-4D8A-8FFF-B1E3F700BBC1}"/>
    <cellStyle name="Normal 2 3 2 4 3 8" xfId="14958" xr:uid="{44B5105E-2911-4CF9-AA26-83D23214F6DB}"/>
    <cellStyle name="Normal 2 3 2 4 3 9" xfId="16848" xr:uid="{8C350633-25A6-4859-89BE-C1BB3BB6C145}"/>
    <cellStyle name="Normal 2 3 2 4 4" xfId="2358" xr:uid="{B7CE0421-2CE8-4130-8D8F-1386D750B2C4}"/>
    <cellStyle name="Normal 2 3 2 4 5" xfId="4248" xr:uid="{B3DD16FF-D21D-44F4-AA13-5311F4CEDCC8}"/>
    <cellStyle name="Normal 2 3 2 4 6" xfId="6138" xr:uid="{961BC75D-098B-438F-AA1C-2CE6071E0951}"/>
    <cellStyle name="Normal 2 3 2 4 7" xfId="8028" xr:uid="{CFF1099F-993A-46C6-99C2-6B497BC1A874}"/>
    <cellStyle name="Normal 2 3 2 4 8" xfId="9918" xr:uid="{78087956-921A-4911-AF81-A0AA7F734B30}"/>
    <cellStyle name="Normal 2 3 2 4 9" xfId="11808" xr:uid="{5A40D638-A969-4B2A-8D3E-614A3AF8DF56}"/>
    <cellStyle name="Normal 2 3 2 5" xfId="678" xr:uid="{2A598D04-6C48-422B-9D8C-434C65449BC8}"/>
    <cellStyle name="Normal 2 3 2 5 10" xfId="17688" xr:uid="{120DBF89-93AA-410F-BC17-399D89E12750}"/>
    <cellStyle name="Normal 2 3 2 5 11" xfId="19578" xr:uid="{5BDA51E1-59EB-4CF5-BF04-A3E84B3F3E87}"/>
    <cellStyle name="Normal 2 3 2 5 12" xfId="21468" xr:uid="{425C2244-75BD-4FCE-A388-0A1E7A3B9D84}"/>
    <cellStyle name="Normal 2 3 2 5 13" xfId="23358" xr:uid="{0ED2B58C-22D6-4F00-9B2F-FC136328584F}"/>
    <cellStyle name="Normal 2 3 2 5 14" xfId="25248" xr:uid="{81586565-C72E-4CA2-B8BD-236840A347DC}"/>
    <cellStyle name="Normal 2 3 2 5 15" xfId="27138" xr:uid="{6B9AE6C8-A5DB-43DB-B87B-FB022DF1616D}"/>
    <cellStyle name="Normal 2 3 2 5 16" xfId="29028" xr:uid="{777D5B08-E5E4-42F2-BCCF-184CDF9431A7}"/>
    <cellStyle name="Normal 2 3 2 5 17" xfId="30918" xr:uid="{DB159B38-C188-4667-8598-2E7EB47B05D6}"/>
    <cellStyle name="Normal 2 3 2 5 18" xfId="32808" xr:uid="{F895B81A-A96A-4CAD-AF66-D4BCF1B9FFD0}"/>
    <cellStyle name="Normal 2 3 2 5 19" xfId="34698" xr:uid="{05EB6477-DDDD-4577-8861-397EF217D1E2}"/>
    <cellStyle name="Normal 2 3 2 5 2" xfId="2568" xr:uid="{633B6CBB-BFAC-4336-97E6-5135E6AAD820}"/>
    <cellStyle name="Normal 2 3 2 5 20" xfId="36588" xr:uid="{43BE7D0E-6748-4D6E-86ED-CD4DA0E65DE5}"/>
    <cellStyle name="Normal 2 3 2 5 21" xfId="38478" xr:uid="{E06E51BF-BA34-4FD6-9234-9FFFD900CE3F}"/>
    <cellStyle name="Normal 2 3 2 5 22" xfId="40369" xr:uid="{25FF381D-7BAC-4A3A-A2EC-17F0581D9B8B}"/>
    <cellStyle name="Normal 2 3 2 5 3" xfId="4458" xr:uid="{040D33FF-D302-454E-99BB-4D811A037792}"/>
    <cellStyle name="Normal 2 3 2 5 4" xfId="6348" xr:uid="{5F0B137B-3545-4C0C-8285-BA59569DFD15}"/>
    <cellStyle name="Normal 2 3 2 5 5" xfId="8238" xr:uid="{72076C73-CCB4-46B9-8B64-AADF268A3FC5}"/>
    <cellStyle name="Normal 2 3 2 5 6" xfId="10128" xr:uid="{4F8C959C-4177-4CD2-9A28-9DE78A61F2EE}"/>
    <cellStyle name="Normal 2 3 2 5 7" xfId="12018" xr:uid="{53773A85-6FB0-4972-A00C-F7DE6B1BB619}"/>
    <cellStyle name="Normal 2 3 2 5 8" xfId="13908" xr:uid="{C2D7D598-959C-4BE1-8B6D-3755F41B5A3B}"/>
    <cellStyle name="Normal 2 3 2 5 9" xfId="15798" xr:uid="{0BAF652D-1751-4660-B60D-7BE0F0706BE1}"/>
    <cellStyle name="Normal 2 3 2 6" xfId="1308" xr:uid="{0A8E856F-DE82-4CCB-9C21-54101BCC3919}"/>
    <cellStyle name="Normal 2 3 2 6 10" xfId="18318" xr:uid="{7A5A86C3-3805-4D3E-B09D-F7EE8D782145}"/>
    <cellStyle name="Normal 2 3 2 6 11" xfId="20208" xr:uid="{9ECCAF8F-9692-4479-A5F9-8086C1F6996C}"/>
    <cellStyle name="Normal 2 3 2 6 12" xfId="22098" xr:uid="{258189A7-F596-4E3F-A93B-8DFCF5AC5FA5}"/>
    <cellStyle name="Normal 2 3 2 6 13" xfId="23988" xr:uid="{54CF2D11-D209-4C5C-B192-056328E343B7}"/>
    <cellStyle name="Normal 2 3 2 6 14" xfId="25878" xr:uid="{6C008F2A-BB84-418D-9270-4EC1B77950E3}"/>
    <cellStyle name="Normal 2 3 2 6 15" xfId="27768" xr:uid="{81B901E1-E984-4822-9AE9-22CDA1E890CA}"/>
    <cellStyle name="Normal 2 3 2 6 16" xfId="29658" xr:uid="{5920AA57-0C2E-4D0F-A5AD-F649ED9E93B2}"/>
    <cellStyle name="Normal 2 3 2 6 17" xfId="31548" xr:uid="{7E8226DA-42E6-4A99-8304-A621F5350949}"/>
    <cellStyle name="Normal 2 3 2 6 18" xfId="33438" xr:uid="{F5A09897-FE92-41CE-A98D-DA50CCD8739F}"/>
    <cellStyle name="Normal 2 3 2 6 19" xfId="35328" xr:uid="{10C16026-41B3-48BF-B7FB-595FCFF1F2DB}"/>
    <cellStyle name="Normal 2 3 2 6 2" xfId="3198" xr:uid="{8E05FBA6-DC4E-4E4B-B3E5-9882B73D7768}"/>
    <cellStyle name="Normal 2 3 2 6 20" xfId="37218" xr:uid="{CC89CBB1-AEEC-4AA8-BEE4-76D924E2812F}"/>
    <cellStyle name="Normal 2 3 2 6 21" xfId="39108" xr:uid="{56633D69-A854-40B5-A96A-56B8EE494DEE}"/>
    <cellStyle name="Normal 2 3 2 6 22" xfId="40999" xr:uid="{62909AD2-FAD7-4CE1-888E-81417D482AF5}"/>
    <cellStyle name="Normal 2 3 2 6 3" xfId="5088" xr:uid="{134B44C3-7DB9-4C06-BE19-20544421C203}"/>
    <cellStyle name="Normal 2 3 2 6 4" xfId="6978" xr:uid="{065552CF-9A8C-47F4-AEAF-6FF8EDD2CE71}"/>
    <cellStyle name="Normal 2 3 2 6 5" xfId="8868" xr:uid="{E9B021B7-6E76-425E-B4D7-358DF3CFAE7D}"/>
    <cellStyle name="Normal 2 3 2 6 6" xfId="10758" xr:uid="{04394D17-ACC0-46A8-A395-BE87971E6A9E}"/>
    <cellStyle name="Normal 2 3 2 6 7" xfId="12648" xr:uid="{11B7258A-106C-4C8D-BD8D-C25C6159A020}"/>
    <cellStyle name="Normal 2 3 2 6 8" xfId="14538" xr:uid="{428952C2-09CB-4599-B517-715370A3BE8B}"/>
    <cellStyle name="Normal 2 3 2 6 9" xfId="16428" xr:uid="{382A4F64-41F8-4A8A-8257-D04A53E672C0}"/>
    <cellStyle name="Normal 2 3 2 7" xfId="1938" xr:uid="{434B3258-9E7F-483B-A3C5-18BEF32E83C8}"/>
    <cellStyle name="Normal 2 3 2 8" xfId="3828" xr:uid="{E6D91A85-B5D9-4CE6-87EB-737B7A34A967}"/>
    <cellStyle name="Normal 2 3 2 9" xfId="5718" xr:uid="{9D06209A-42EE-4FD4-8150-FB302139B302}"/>
    <cellStyle name="Normal 2 3 20" xfId="18935" xr:uid="{8E6071B5-88FE-4BB5-80C2-58F8EE5CC9A1}"/>
    <cellStyle name="Normal 2 3 21" xfId="20825" xr:uid="{67D40860-46A0-445F-841E-4A3D9C4521C7}"/>
    <cellStyle name="Normal 2 3 22" xfId="22715" xr:uid="{C9EE6CCB-680C-47DB-A560-324CE792DE6B}"/>
    <cellStyle name="Normal 2 3 23" xfId="24605" xr:uid="{C96F4A8B-B3BB-4908-AF16-83E8910ADB68}"/>
    <cellStyle name="Normal 2 3 24" xfId="26495" xr:uid="{88A71244-EFB3-4A9C-901C-9A7EB9D22731}"/>
    <cellStyle name="Normal 2 3 25" xfId="28385" xr:uid="{E3BCB165-FF3A-42C5-A752-245605C5BA3F}"/>
    <cellStyle name="Normal 2 3 26" xfId="30275" xr:uid="{4E3839F4-230B-4E48-B311-2C7CCE390372}"/>
    <cellStyle name="Normal 2 3 27" xfId="32165" xr:uid="{6DA00065-FE26-4CDF-B7B1-958CF898D9AF}"/>
    <cellStyle name="Normal 2 3 28" xfId="34055" xr:uid="{1669461C-9C0B-494A-AA81-02144BAC824F}"/>
    <cellStyle name="Normal 2 3 29" xfId="35945" xr:uid="{21B8C14D-4CD9-45D1-A005-D05D556DBAA8}"/>
    <cellStyle name="Normal 2 3 3" xfId="35" xr:uid="{83247AE7-BBD8-4F1B-A9E8-9900FDB24C25}"/>
    <cellStyle name="Normal 2 3 3 10" xfId="7617" xr:uid="{0AC5AA2A-1847-4293-84B6-4EC1D9A3D4BB}"/>
    <cellStyle name="Normal 2 3 3 11" xfId="9507" xr:uid="{6270A78A-5260-446C-A464-0A9029EA3529}"/>
    <cellStyle name="Normal 2 3 3 12" xfId="11397" xr:uid="{F7DC7356-260B-4F72-86C1-7FB13BE12B55}"/>
    <cellStyle name="Normal 2 3 3 13" xfId="13287" xr:uid="{9D03A629-5F60-4840-98C5-28958C44C34A}"/>
    <cellStyle name="Normal 2 3 3 14" xfId="15177" xr:uid="{E60A7248-A448-4E41-AF30-504CE33E6A51}"/>
    <cellStyle name="Normal 2 3 3 15" xfId="17067" xr:uid="{12A23BBE-726B-4387-957E-4631E74FAB52}"/>
    <cellStyle name="Normal 2 3 3 16" xfId="18957" xr:uid="{97B99F15-3322-4AC1-B54C-73CE5359BB93}"/>
    <cellStyle name="Normal 2 3 3 17" xfId="20847" xr:uid="{3A80E60B-43C5-4282-B5D0-F6DB4A4C2346}"/>
    <cellStyle name="Normal 2 3 3 18" xfId="22737" xr:uid="{D1197A80-B8C5-4FDA-8BA8-D1AB26FFB1FB}"/>
    <cellStyle name="Normal 2 3 3 19" xfId="24627" xr:uid="{61CD2134-41A0-4E6A-8E18-F123574AE17F}"/>
    <cellStyle name="Normal 2 3 3 2" xfId="162" xr:uid="{96EA35AE-92B6-460E-BF97-9066E915F84E}"/>
    <cellStyle name="Normal 2 3 3 2 10" xfId="9612" xr:uid="{10C329C8-1927-4286-BB62-E5CE666EF73E}"/>
    <cellStyle name="Normal 2 3 3 2 11" xfId="11502" xr:uid="{6B25A75E-5B3F-474B-897E-C3352DEC5F9C}"/>
    <cellStyle name="Normal 2 3 3 2 12" xfId="13392" xr:uid="{CF61001C-AE22-4404-A8D0-BE8E27AB9219}"/>
    <cellStyle name="Normal 2 3 3 2 13" xfId="15282" xr:uid="{1078C59F-2BB8-4AA1-AAE5-BB7B78E68082}"/>
    <cellStyle name="Normal 2 3 3 2 14" xfId="17172" xr:uid="{BA468DD6-53A4-47C9-A7F1-010C5F7347E6}"/>
    <cellStyle name="Normal 2 3 3 2 15" xfId="19062" xr:uid="{D7968BA9-7F12-4E21-880F-F2B40DBDC854}"/>
    <cellStyle name="Normal 2 3 3 2 16" xfId="20952" xr:uid="{08C1A521-1DA8-4C9D-B37F-C72DEB202381}"/>
    <cellStyle name="Normal 2 3 3 2 17" xfId="22842" xr:uid="{F8388660-0019-4160-B06D-888949DD1D1A}"/>
    <cellStyle name="Normal 2 3 3 2 18" xfId="24732" xr:uid="{CE384381-EA28-4C00-A66C-90FFE684CCB0}"/>
    <cellStyle name="Normal 2 3 3 2 19" xfId="26622" xr:uid="{8E9198BF-9BE9-47B3-9155-E19A72550648}"/>
    <cellStyle name="Normal 2 3 3 2 2" xfId="372" xr:uid="{F7E36075-D675-4A34-8867-339404FF024C}"/>
    <cellStyle name="Normal 2 3 3 2 2 10" xfId="13602" xr:uid="{F2E6EEFF-8166-429D-ADC4-2CA621C14F74}"/>
    <cellStyle name="Normal 2 3 3 2 2 11" xfId="15492" xr:uid="{B0845047-309E-4A25-9C52-0FA6ED497DA1}"/>
    <cellStyle name="Normal 2 3 3 2 2 12" xfId="17382" xr:uid="{9E4299B2-EECD-4463-95ED-FA67FDEE1F91}"/>
    <cellStyle name="Normal 2 3 3 2 2 13" xfId="19272" xr:uid="{7CD2E268-E754-4737-B0C2-9BDBF9A0463D}"/>
    <cellStyle name="Normal 2 3 3 2 2 14" xfId="21162" xr:uid="{BC45FAB9-8636-459A-9F0A-74C4D586C350}"/>
    <cellStyle name="Normal 2 3 3 2 2 15" xfId="23052" xr:uid="{9B7D24C1-0D00-4A21-95D4-1A05AB4A0A51}"/>
    <cellStyle name="Normal 2 3 3 2 2 16" xfId="24942" xr:uid="{3E515D8D-5AF9-49DD-8CEF-8F8290F97784}"/>
    <cellStyle name="Normal 2 3 3 2 2 17" xfId="26832" xr:uid="{ADD63412-6783-45F7-94F8-7A5B63953FFD}"/>
    <cellStyle name="Normal 2 3 3 2 2 18" xfId="28722" xr:uid="{3CB552E2-ACC0-411E-BFAC-A7A5C0708910}"/>
    <cellStyle name="Normal 2 3 3 2 2 19" xfId="30612" xr:uid="{D1B607ED-93AA-4DC4-A914-C07049B6A101}"/>
    <cellStyle name="Normal 2 3 3 2 2 2" xfId="1002" xr:uid="{71A86D7D-7DC6-4365-9404-817AB21CF48C}"/>
    <cellStyle name="Normal 2 3 3 2 2 2 10" xfId="18012" xr:uid="{9020234B-934B-4268-B76E-BB3AC7B3C745}"/>
    <cellStyle name="Normal 2 3 3 2 2 2 11" xfId="19902" xr:uid="{B5092C66-E14B-40C5-9B22-19AED57B915F}"/>
    <cellStyle name="Normal 2 3 3 2 2 2 12" xfId="21792" xr:uid="{EE3459C2-B6A6-4434-AAC1-836AABEB809E}"/>
    <cellStyle name="Normal 2 3 3 2 2 2 13" xfId="23682" xr:uid="{70B9DE76-E82F-43FD-B8F1-10E2DE001A79}"/>
    <cellStyle name="Normal 2 3 3 2 2 2 14" xfId="25572" xr:uid="{EEE8B3F6-25F2-451F-9AF9-8ECF591D2024}"/>
    <cellStyle name="Normal 2 3 3 2 2 2 15" xfId="27462" xr:uid="{CB51D9C8-B929-4682-A51C-68D9AE624860}"/>
    <cellStyle name="Normal 2 3 3 2 2 2 16" xfId="29352" xr:uid="{7F6BF094-3130-4724-874C-A066660A39B0}"/>
    <cellStyle name="Normal 2 3 3 2 2 2 17" xfId="31242" xr:uid="{45D19539-8938-4AD8-916D-D38734D92751}"/>
    <cellStyle name="Normal 2 3 3 2 2 2 18" xfId="33132" xr:uid="{4EDC10A7-4528-4A0D-AAD4-3D208F81F33E}"/>
    <cellStyle name="Normal 2 3 3 2 2 2 19" xfId="35022" xr:uid="{FED6994D-7496-40D3-91BF-67CB29490CCF}"/>
    <cellStyle name="Normal 2 3 3 2 2 2 2" xfId="2892" xr:uid="{113CC362-1F87-4187-B634-892AB750906C}"/>
    <cellStyle name="Normal 2 3 3 2 2 2 20" xfId="36912" xr:uid="{5E555268-80ED-4DD3-95C1-C0465260510F}"/>
    <cellStyle name="Normal 2 3 3 2 2 2 21" xfId="38802" xr:uid="{0D2D7A2F-85EA-454F-AA83-A7F7FF0EDAAB}"/>
    <cellStyle name="Normal 2 3 3 2 2 2 22" xfId="40693" xr:uid="{B88EE742-A729-4B56-8ED0-45D899EABB25}"/>
    <cellStyle name="Normal 2 3 3 2 2 2 3" xfId="4782" xr:uid="{1AAE0B64-F2DB-40D4-801C-7015F9444A58}"/>
    <cellStyle name="Normal 2 3 3 2 2 2 4" xfId="6672" xr:uid="{14CEB5EB-31E6-4981-855F-A8331F3115D8}"/>
    <cellStyle name="Normal 2 3 3 2 2 2 5" xfId="8562" xr:uid="{FA4052EC-0B41-45AF-BF32-46E7AC79CC74}"/>
    <cellStyle name="Normal 2 3 3 2 2 2 6" xfId="10452" xr:uid="{808BC6C1-A483-439D-8F94-68795E220845}"/>
    <cellStyle name="Normal 2 3 3 2 2 2 7" xfId="12342" xr:uid="{9B379008-FE13-4B48-A7B0-D76B146CD986}"/>
    <cellStyle name="Normal 2 3 3 2 2 2 8" xfId="14232" xr:uid="{DB577EC1-7EBE-4FA9-B9A8-BF7103CDF370}"/>
    <cellStyle name="Normal 2 3 3 2 2 2 9" xfId="16122" xr:uid="{18F5EE86-63CA-4BFC-8EB7-BCAEC28DE38B}"/>
    <cellStyle name="Normal 2 3 3 2 2 20" xfId="32502" xr:uid="{1389F211-2FC4-4DB3-A312-FC4B0D7223EE}"/>
    <cellStyle name="Normal 2 3 3 2 2 21" xfId="34392" xr:uid="{9D3FC230-0641-4325-ADFD-EB9706CD0C51}"/>
    <cellStyle name="Normal 2 3 3 2 2 22" xfId="36282" xr:uid="{53F1C87B-1F79-4CDB-95A3-E8DEA5C1F533}"/>
    <cellStyle name="Normal 2 3 3 2 2 23" xfId="38172" xr:uid="{D3568280-D805-42AE-AEFE-D3C67AA91FE4}"/>
    <cellStyle name="Normal 2 3 3 2 2 24" xfId="40063" xr:uid="{BB62E727-465F-4C2C-B5A4-8DCF353D92FF}"/>
    <cellStyle name="Normal 2 3 3 2 2 3" xfId="1632" xr:uid="{42C280D8-6EEC-4BA1-A7B1-54F2828D6F1E}"/>
    <cellStyle name="Normal 2 3 3 2 2 3 10" xfId="18642" xr:uid="{8E7EA3E2-B3D6-443B-B3A2-4B02A7D915F8}"/>
    <cellStyle name="Normal 2 3 3 2 2 3 11" xfId="20532" xr:uid="{72564406-8B66-4CF7-9CDF-8EC9A41D4E76}"/>
    <cellStyle name="Normal 2 3 3 2 2 3 12" xfId="22422" xr:uid="{CD7285C7-7884-446C-A3B7-797F9C8E0728}"/>
    <cellStyle name="Normal 2 3 3 2 2 3 13" xfId="24312" xr:uid="{1DD1EB24-1C7E-44A1-B671-9488A0CD019C}"/>
    <cellStyle name="Normal 2 3 3 2 2 3 14" xfId="26202" xr:uid="{ADF85D57-4C6D-4972-8873-F2D7F9551B3B}"/>
    <cellStyle name="Normal 2 3 3 2 2 3 15" xfId="28092" xr:uid="{E4581223-823C-4595-8E64-9115134D8E3B}"/>
    <cellStyle name="Normal 2 3 3 2 2 3 16" xfId="29982" xr:uid="{0E2CA341-C03A-4E6E-9E36-69D274B0E335}"/>
    <cellStyle name="Normal 2 3 3 2 2 3 17" xfId="31872" xr:uid="{135285A8-44F2-4767-B872-5265A6C4CB7F}"/>
    <cellStyle name="Normal 2 3 3 2 2 3 18" xfId="33762" xr:uid="{6229689B-C0E6-4D04-B0A9-DA2B38DCBEB8}"/>
    <cellStyle name="Normal 2 3 3 2 2 3 19" xfId="35652" xr:uid="{9E48D5F8-D1C7-4509-9E69-EDABACD06E01}"/>
    <cellStyle name="Normal 2 3 3 2 2 3 2" xfId="3522" xr:uid="{AA86A5F5-3F9E-474F-A356-FE4C87CA581E}"/>
    <cellStyle name="Normal 2 3 3 2 2 3 20" xfId="37542" xr:uid="{D0BDB97C-BE97-4CFD-87A6-693595A2387D}"/>
    <cellStyle name="Normal 2 3 3 2 2 3 21" xfId="39432" xr:uid="{29B3FF02-435E-436E-8B53-F5383CF23E85}"/>
    <cellStyle name="Normal 2 3 3 2 2 3 22" xfId="41323" xr:uid="{73219FA6-C90C-4AA6-A060-B82F3A891E94}"/>
    <cellStyle name="Normal 2 3 3 2 2 3 3" xfId="5412" xr:uid="{56B0A560-ED06-4685-A6B4-52D3CC172C3C}"/>
    <cellStyle name="Normal 2 3 3 2 2 3 4" xfId="7302" xr:uid="{EB5C929F-301E-4797-8F24-050EF778E797}"/>
    <cellStyle name="Normal 2 3 3 2 2 3 5" xfId="9192" xr:uid="{5FD125FA-890E-4728-A501-C35CC6F1E88A}"/>
    <cellStyle name="Normal 2 3 3 2 2 3 6" xfId="11082" xr:uid="{0A0696BD-788B-49D4-9D90-92E92D53FC39}"/>
    <cellStyle name="Normal 2 3 3 2 2 3 7" xfId="12972" xr:uid="{517F2D7F-AE06-42D9-BD45-6C3F29DE6A15}"/>
    <cellStyle name="Normal 2 3 3 2 2 3 8" xfId="14862" xr:uid="{88180A80-6644-4E81-9FE1-5E0C8675A11A}"/>
    <cellStyle name="Normal 2 3 3 2 2 3 9" xfId="16752" xr:uid="{60341EC1-5749-4B2C-BCBB-DEB98CC5C8D5}"/>
    <cellStyle name="Normal 2 3 3 2 2 4" xfId="2262" xr:uid="{A4FAA9BB-0D3C-41C3-B169-13538749F166}"/>
    <cellStyle name="Normal 2 3 3 2 2 5" xfId="4152" xr:uid="{47D0395F-B45B-4126-9E8E-E44B1FC5B9E0}"/>
    <cellStyle name="Normal 2 3 3 2 2 6" xfId="6042" xr:uid="{057A04DA-7621-4D34-B03F-384B6A4510F4}"/>
    <cellStyle name="Normal 2 3 3 2 2 7" xfId="7932" xr:uid="{62DE36ED-88B3-4A44-815A-16D3BFB4E14A}"/>
    <cellStyle name="Normal 2 3 3 2 2 8" xfId="9822" xr:uid="{2BEE5803-0010-4C76-89EF-415FB00568FE}"/>
    <cellStyle name="Normal 2 3 3 2 2 9" xfId="11712" xr:uid="{FE579FAA-2CF7-4A5A-84C6-3B58EC7E44A5}"/>
    <cellStyle name="Normal 2 3 3 2 20" xfId="28512" xr:uid="{AF8CDB6A-E079-4452-8A94-42F83EC67B9E}"/>
    <cellStyle name="Normal 2 3 3 2 21" xfId="30402" xr:uid="{F66809C6-B606-405A-AE02-DAA36C8B8062}"/>
    <cellStyle name="Normal 2 3 3 2 22" xfId="32292" xr:uid="{BEC483C7-AB8B-4C97-8CD1-8A053890ECCC}"/>
    <cellStyle name="Normal 2 3 3 2 23" xfId="34182" xr:uid="{61234C79-9963-4EF8-A02C-D81B07C2F9B7}"/>
    <cellStyle name="Normal 2 3 3 2 24" xfId="36072" xr:uid="{3924BC6F-F661-41DC-A009-961DA73DDE4E}"/>
    <cellStyle name="Normal 2 3 3 2 25" xfId="37962" xr:uid="{76E6BB19-B93E-4619-B232-00B14899242B}"/>
    <cellStyle name="Normal 2 3 3 2 26" xfId="39853" xr:uid="{FF75CB9E-17D1-442A-8CE3-7F434DE0071B}"/>
    <cellStyle name="Normal 2 3 3 2 3" xfId="582" xr:uid="{538B5026-8B91-4520-856A-E0E2643C2267}"/>
    <cellStyle name="Normal 2 3 3 2 3 10" xfId="13812" xr:uid="{D8E4FFD1-89D3-49F3-BBAE-F77E7D379CBA}"/>
    <cellStyle name="Normal 2 3 3 2 3 11" xfId="15702" xr:uid="{C5396C89-2896-41CB-B29C-772237D0752D}"/>
    <cellStyle name="Normal 2 3 3 2 3 12" xfId="17592" xr:uid="{7CD9CD9A-D416-46DC-8338-B9B0F04A6596}"/>
    <cellStyle name="Normal 2 3 3 2 3 13" xfId="19482" xr:uid="{4178FADC-3825-4495-9098-A4B44EE87364}"/>
    <cellStyle name="Normal 2 3 3 2 3 14" xfId="21372" xr:uid="{4F90A630-86F4-406E-A37B-A1473940A87C}"/>
    <cellStyle name="Normal 2 3 3 2 3 15" xfId="23262" xr:uid="{8ACF6D5A-9E84-4B84-B227-98EFBA240925}"/>
    <cellStyle name="Normal 2 3 3 2 3 16" xfId="25152" xr:uid="{8F97B1DA-DEFD-4C3C-9A47-E39291F28895}"/>
    <cellStyle name="Normal 2 3 3 2 3 17" xfId="27042" xr:uid="{6B3E990B-FE2A-413B-8B41-D030BE364DF9}"/>
    <cellStyle name="Normal 2 3 3 2 3 18" xfId="28932" xr:uid="{45FCD2CA-9225-4CD3-8031-2F057489EB9F}"/>
    <cellStyle name="Normal 2 3 3 2 3 19" xfId="30822" xr:uid="{22CFE363-8B9F-4F52-9B1A-4055EED580BB}"/>
    <cellStyle name="Normal 2 3 3 2 3 2" xfId="1212" xr:uid="{0DF0ABC4-2A46-47FB-9F4E-C8CA7BFF082F}"/>
    <cellStyle name="Normal 2 3 3 2 3 2 10" xfId="18222" xr:uid="{9903E362-4722-4E21-A192-32D0E9ECEECE}"/>
    <cellStyle name="Normal 2 3 3 2 3 2 11" xfId="20112" xr:uid="{A63B9E2D-3C1D-4CB4-AE9D-3FF7673EAF17}"/>
    <cellStyle name="Normal 2 3 3 2 3 2 12" xfId="22002" xr:uid="{1CA9D7AA-4BAA-4B59-8F46-AED001213085}"/>
    <cellStyle name="Normal 2 3 3 2 3 2 13" xfId="23892" xr:uid="{08D44C0A-0492-405D-A88E-961C065D47FA}"/>
    <cellStyle name="Normal 2 3 3 2 3 2 14" xfId="25782" xr:uid="{3D8806D9-A658-4F82-BD3E-A53017E124F9}"/>
    <cellStyle name="Normal 2 3 3 2 3 2 15" xfId="27672" xr:uid="{AF05F7CE-5B1E-4799-A7C8-3B859C56A4DE}"/>
    <cellStyle name="Normal 2 3 3 2 3 2 16" xfId="29562" xr:uid="{CF26B741-DD87-4C1A-A78B-56AA09CC51E0}"/>
    <cellStyle name="Normal 2 3 3 2 3 2 17" xfId="31452" xr:uid="{A83CDF57-E865-4F5B-81CC-DD457835E22A}"/>
    <cellStyle name="Normal 2 3 3 2 3 2 18" xfId="33342" xr:uid="{289A61C1-A80F-4177-83B3-2925E3CE3722}"/>
    <cellStyle name="Normal 2 3 3 2 3 2 19" xfId="35232" xr:uid="{2B016AAA-442B-456C-8D5D-900271EC44EF}"/>
    <cellStyle name="Normal 2 3 3 2 3 2 2" xfId="3102" xr:uid="{7E009B05-E0B1-4B15-859B-7E6D2B4AF210}"/>
    <cellStyle name="Normal 2 3 3 2 3 2 20" xfId="37122" xr:uid="{C92F6C37-DE3A-417B-BC91-E29207422F11}"/>
    <cellStyle name="Normal 2 3 3 2 3 2 21" xfId="39012" xr:uid="{0BADAC00-7C8A-46B9-9CEA-F36D3B2AD892}"/>
    <cellStyle name="Normal 2 3 3 2 3 2 22" xfId="40903" xr:uid="{28657B80-30E6-4D6E-BDFA-53C336451BB4}"/>
    <cellStyle name="Normal 2 3 3 2 3 2 3" xfId="4992" xr:uid="{3BE0308E-8FB1-4517-B55E-EBA1B8633371}"/>
    <cellStyle name="Normal 2 3 3 2 3 2 4" xfId="6882" xr:uid="{B240A218-1F33-4528-8E56-2FF3E3809BE4}"/>
    <cellStyle name="Normal 2 3 3 2 3 2 5" xfId="8772" xr:uid="{8BC60408-04F9-4CD9-9E0E-795B0230CAE6}"/>
    <cellStyle name="Normal 2 3 3 2 3 2 6" xfId="10662" xr:uid="{E9117C14-A3F3-495D-B45C-42ED3CD6FB0B}"/>
    <cellStyle name="Normal 2 3 3 2 3 2 7" xfId="12552" xr:uid="{E98B0F3A-64AA-4E3B-98D8-7AD4D45E4FB4}"/>
    <cellStyle name="Normal 2 3 3 2 3 2 8" xfId="14442" xr:uid="{97B8C4BA-9F74-47B6-AE79-DDF6CABF1C44}"/>
    <cellStyle name="Normal 2 3 3 2 3 2 9" xfId="16332" xr:uid="{FE8952B2-F016-4AE2-991D-86AC0FEEACFF}"/>
    <cellStyle name="Normal 2 3 3 2 3 20" xfId="32712" xr:uid="{1D1DA733-1F7A-4032-BEFB-20FAB16F8398}"/>
    <cellStyle name="Normal 2 3 3 2 3 21" xfId="34602" xr:uid="{2B3E2CDE-E44D-43EC-AAAC-4B1EA1F7C40F}"/>
    <cellStyle name="Normal 2 3 3 2 3 22" xfId="36492" xr:uid="{A6DAEDDD-BE27-4D18-AEEA-9B151FA857F6}"/>
    <cellStyle name="Normal 2 3 3 2 3 23" xfId="38382" xr:uid="{1307B896-A20D-42D1-8860-CAEF7D5511FA}"/>
    <cellStyle name="Normal 2 3 3 2 3 24" xfId="40273" xr:uid="{D861B067-632A-4CCE-80C6-25572CF4667D}"/>
    <cellStyle name="Normal 2 3 3 2 3 3" xfId="1842" xr:uid="{D11A6DDD-6DB8-4289-86D0-35C724BE85DE}"/>
    <cellStyle name="Normal 2 3 3 2 3 3 10" xfId="18852" xr:uid="{76010B13-E23C-46F5-A5AD-829B6839434B}"/>
    <cellStyle name="Normal 2 3 3 2 3 3 11" xfId="20742" xr:uid="{CED46225-4B0F-4FFE-AFAA-3693B3E9DD41}"/>
    <cellStyle name="Normal 2 3 3 2 3 3 12" xfId="22632" xr:uid="{6D418780-F85D-48A0-AFBA-CADC8F8F6DA7}"/>
    <cellStyle name="Normal 2 3 3 2 3 3 13" xfId="24522" xr:uid="{2DBC250A-F4DB-4619-9D5D-E954B0CF9171}"/>
    <cellStyle name="Normal 2 3 3 2 3 3 14" xfId="26412" xr:uid="{1C042A28-9B36-4B56-BE57-FE0FC9EDC157}"/>
    <cellStyle name="Normal 2 3 3 2 3 3 15" xfId="28302" xr:uid="{41CC5F53-CE6E-4423-A764-6283D9AA853D}"/>
    <cellStyle name="Normal 2 3 3 2 3 3 16" xfId="30192" xr:uid="{F3BCA0B2-E2FC-409C-A439-DE148D8FB536}"/>
    <cellStyle name="Normal 2 3 3 2 3 3 17" xfId="32082" xr:uid="{66EF30A1-2DEF-4ABA-857C-6DD96C77D71F}"/>
    <cellStyle name="Normal 2 3 3 2 3 3 18" xfId="33972" xr:uid="{754EF34F-B45B-47D1-AEC8-7F6954681460}"/>
    <cellStyle name="Normal 2 3 3 2 3 3 19" xfId="35862" xr:uid="{194085F3-9344-48D1-BBB5-D38FDFA0FFB3}"/>
    <cellStyle name="Normal 2 3 3 2 3 3 2" xfId="3732" xr:uid="{EA3E99B0-8954-498A-912F-3A51C6C51888}"/>
    <cellStyle name="Normal 2 3 3 2 3 3 20" xfId="37752" xr:uid="{66DC185C-9634-4821-A7C7-C2B6674E78BD}"/>
    <cellStyle name="Normal 2 3 3 2 3 3 21" xfId="39642" xr:uid="{574A3114-34DB-4833-9665-992825B52C3D}"/>
    <cellStyle name="Normal 2 3 3 2 3 3 22" xfId="41533" xr:uid="{23BAF03B-48F1-41AF-A489-4C369E002201}"/>
    <cellStyle name="Normal 2 3 3 2 3 3 3" xfId="5622" xr:uid="{F5C10C39-769B-4EA7-B658-413022E31906}"/>
    <cellStyle name="Normal 2 3 3 2 3 3 4" xfId="7512" xr:uid="{9021DACC-484C-4BE1-B6B8-128DEE3947CF}"/>
    <cellStyle name="Normal 2 3 3 2 3 3 5" xfId="9402" xr:uid="{0F5F54CF-D36B-4D71-9D0A-41FC00A3EDBC}"/>
    <cellStyle name="Normal 2 3 3 2 3 3 6" xfId="11292" xr:uid="{E424F439-073E-43CF-85A9-ECDF24B681F6}"/>
    <cellStyle name="Normal 2 3 3 2 3 3 7" xfId="13182" xr:uid="{2F3DFADC-67DC-4DD2-B7E5-F20A91C7BF6F}"/>
    <cellStyle name="Normal 2 3 3 2 3 3 8" xfId="15072" xr:uid="{9250ABDD-AE26-4AFD-A429-EF805FB448ED}"/>
    <cellStyle name="Normal 2 3 3 2 3 3 9" xfId="16962" xr:uid="{866C3EA3-CC86-4343-BAE5-3649FE6796C2}"/>
    <cellStyle name="Normal 2 3 3 2 3 4" xfId="2472" xr:uid="{9AF9B24E-4D73-4C2D-ADF9-B8B55A21DD03}"/>
    <cellStyle name="Normal 2 3 3 2 3 5" xfId="4362" xr:uid="{9ACE27B1-DD3C-4052-834F-D045A0F02D6A}"/>
    <cellStyle name="Normal 2 3 3 2 3 6" xfId="6252" xr:uid="{F46CD225-7D85-4A48-90C0-AB3B99E07768}"/>
    <cellStyle name="Normal 2 3 3 2 3 7" xfId="8142" xr:uid="{C5578B4D-B122-4681-BC20-34992C9FF646}"/>
    <cellStyle name="Normal 2 3 3 2 3 8" xfId="10032" xr:uid="{52B0E1BA-9F37-4762-901C-74D2724AD861}"/>
    <cellStyle name="Normal 2 3 3 2 3 9" xfId="11922" xr:uid="{BE86856E-636E-41B7-865B-5523CDD1A5ED}"/>
    <cellStyle name="Normal 2 3 3 2 4" xfId="792" xr:uid="{EF4EB617-16CE-4A7C-91C0-4A6D67C9720E}"/>
    <cellStyle name="Normal 2 3 3 2 4 10" xfId="17802" xr:uid="{7408A3F5-530E-4FD1-9338-F044E6FA90FD}"/>
    <cellStyle name="Normal 2 3 3 2 4 11" xfId="19692" xr:uid="{5FCE3CE8-CFC3-4174-9ED1-D60DAEF7A5AE}"/>
    <cellStyle name="Normal 2 3 3 2 4 12" xfId="21582" xr:uid="{4CD43D6F-BA1F-4319-BBDC-D6703F740F94}"/>
    <cellStyle name="Normal 2 3 3 2 4 13" xfId="23472" xr:uid="{8E6BB7E6-4F46-4F4D-BF24-ACCF72A87C5A}"/>
    <cellStyle name="Normal 2 3 3 2 4 14" xfId="25362" xr:uid="{86DCA899-4CA4-475F-9253-063F69CDFDB0}"/>
    <cellStyle name="Normal 2 3 3 2 4 15" xfId="27252" xr:uid="{6BFC3223-B9B3-480E-9B24-9E1BF8F0C0F8}"/>
    <cellStyle name="Normal 2 3 3 2 4 16" xfId="29142" xr:uid="{75CEDC3B-4590-4428-93BC-230BF6DB1BAC}"/>
    <cellStyle name="Normal 2 3 3 2 4 17" xfId="31032" xr:uid="{51126CC3-FD05-49CF-B92B-38B8AAE6DD54}"/>
    <cellStyle name="Normal 2 3 3 2 4 18" xfId="32922" xr:uid="{B8B8C71A-0273-4478-9F33-D88AAF22C7A9}"/>
    <cellStyle name="Normal 2 3 3 2 4 19" xfId="34812" xr:uid="{0B963093-0D21-4A55-ADC1-1A1CE0C8BCC2}"/>
    <cellStyle name="Normal 2 3 3 2 4 2" xfId="2682" xr:uid="{9AF30C4B-5693-4414-B6A7-AC43D515888B}"/>
    <cellStyle name="Normal 2 3 3 2 4 20" xfId="36702" xr:uid="{A84225C1-D60D-485D-AB9D-B9D26EF79FBD}"/>
    <cellStyle name="Normal 2 3 3 2 4 21" xfId="38592" xr:uid="{4394AF3A-DECD-422B-9636-C143AE81EC24}"/>
    <cellStyle name="Normal 2 3 3 2 4 22" xfId="40483" xr:uid="{B9528B16-5E64-4149-9DE4-9F75934A0E39}"/>
    <cellStyle name="Normal 2 3 3 2 4 3" xfId="4572" xr:uid="{D9D56BFD-ECAA-4981-AE89-29A30AF0E67C}"/>
    <cellStyle name="Normal 2 3 3 2 4 4" xfId="6462" xr:uid="{7AA40352-DEE6-40F9-B605-015180DCA3EE}"/>
    <cellStyle name="Normal 2 3 3 2 4 5" xfId="8352" xr:uid="{D3081279-23D5-4C8F-A863-82871B105D2F}"/>
    <cellStyle name="Normal 2 3 3 2 4 6" xfId="10242" xr:uid="{2CCB4008-2231-4525-BEA0-56EAE6857C13}"/>
    <cellStyle name="Normal 2 3 3 2 4 7" xfId="12132" xr:uid="{242D1256-A7BF-4AB2-960C-E0A2150A084F}"/>
    <cellStyle name="Normal 2 3 3 2 4 8" xfId="14022" xr:uid="{A54AE5FC-FC68-4C02-8DF8-D73B8479F407}"/>
    <cellStyle name="Normal 2 3 3 2 4 9" xfId="15912" xr:uid="{7E27FF10-8F97-4D83-B745-84263B1C56D3}"/>
    <cellStyle name="Normal 2 3 3 2 5" xfId="1422" xr:uid="{C1894850-C924-4822-959C-BC42F5CFC258}"/>
    <cellStyle name="Normal 2 3 3 2 5 10" xfId="18432" xr:uid="{178EB53C-7D10-43FF-849A-F8767CBF5762}"/>
    <cellStyle name="Normal 2 3 3 2 5 11" xfId="20322" xr:uid="{92E3349B-87F2-4C69-89D5-4F8771631738}"/>
    <cellStyle name="Normal 2 3 3 2 5 12" xfId="22212" xr:uid="{6CAD10F4-749A-4CC5-9955-57FAFFDE54E7}"/>
    <cellStyle name="Normal 2 3 3 2 5 13" xfId="24102" xr:uid="{91AF1400-25CE-49A6-8AA9-EC48EDC9EDA1}"/>
    <cellStyle name="Normal 2 3 3 2 5 14" xfId="25992" xr:uid="{30E9D15E-B984-4D86-A50C-7AA4FF27AAF5}"/>
    <cellStyle name="Normal 2 3 3 2 5 15" xfId="27882" xr:uid="{5661C6A2-B10B-47E7-8AC4-6D4FC09B5F2E}"/>
    <cellStyle name="Normal 2 3 3 2 5 16" xfId="29772" xr:uid="{31B1C326-5AF6-4A6B-9619-B6E2AFCD3B6F}"/>
    <cellStyle name="Normal 2 3 3 2 5 17" xfId="31662" xr:uid="{1932D3FD-5C99-4B2A-B10E-9088D120371B}"/>
    <cellStyle name="Normal 2 3 3 2 5 18" xfId="33552" xr:uid="{C27F2642-3F48-4313-A2EE-4958346CDF4F}"/>
    <cellStyle name="Normal 2 3 3 2 5 19" xfId="35442" xr:uid="{7E2F29B4-AAB4-48C0-9910-68A94E32C0FD}"/>
    <cellStyle name="Normal 2 3 3 2 5 2" xfId="3312" xr:uid="{D3E12E40-D525-450A-8CD8-31124F9251B6}"/>
    <cellStyle name="Normal 2 3 3 2 5 20" xfId="37332" xr:uid="{64962B71-3628-44F5-A630-A32F59EBF65B}"/>
    <cellStyle name="Normal 2 3 3 2 5 21" xfId="39222" xr:uid="{2EA2C74B-729B-4A5B-B25E-AEE7687A2E33}"/>
    <cellStyle name="Normal 2 3 3 2 5 22" xfId="41113" xr:uid="{6768C9C3-1567-497D-97E4-6E1522C831E4}"/>
    <cellStyle name="Normal 2 3 3 2 5 3" xfId="5202" xr:uid="{8DF9494C-196E-4941-947A-881714109207}"/>
    <cellStyle name="Normal 2 3 3 2 5 4" xfId="7092" xr:uid="{24FCB95F-E650-4D2F-9317-1321156BD8BB}"/>
    <cellStyle name="Normal 2 3 3 2 5 5" xfId="8982" xr:uid="{DAB41F57-4E56-4550-9715-D8089D108BCC}"/>
    <cellStyle name="Normal 2 3 3 2 5 6" xfId="10872" xr:uid="{BB63A579-A706-42AE-AEBD-9297483B2235}"/>
    <cellStyle name="Normal 2 3 3 2 5 7" xfId="12762" xr:uid="{97001D63-DAA9-421B-892D-BC73E404E1DB}"/>
    <cellStyle name="Normal 2 3 3 2 5 8" xfId="14652" xr:uid="{CAE33264-D5A6-4715-81DA-7E41556D0EBA}"/>
    <cellStyle name="Normal 2 3 3 2 5 9" xfId="16542" xr:uid="{835D5E8D-33E5-45FC-AA19-F45B5FABFEAE}"/>
    <cellStyle name="Normal 2 3 3 2 6" xfId="2052" xr:uid="{CE7D7BB8-056A-43AA-B7E2-F47F585D783E}"/>
    <cellStyle name="Normal 2 3 3 2 7" xfId="3942" xr:uid="{2B9546EE-B5BC-42F4-A4C5-3B24284A2D39}"/>
    <cellStyle name="Normal 2 3 3 2 8" xfId="5832" xr:uid="{45162AE5-D5E1-4F59-8603-5E6F58C820C9}"/>
    <cellStyle name="Normal 2 3 3 2 9" xfId="7722" xr:uid="{7915DC36-9B09-42BF-BC76-72911B762239}"/>
    <cellStyle name="Normal 2 3 3 20" xfId="26517" xr:uid="{65B9294D-E040-4647-8CFB-2106B99F5C01}"/>
    <cellStyle name="Normal 2 3 3 21" xfId="28407" xr:uid="{BA8955F1-3690-4BAE-9900-2EC7B3379AE3}"/>
    <cellStyle name="Normal 2 3 3 22" xfId="30297" xr:uid="{E769DF99-DAB6-4ED9-891B-765705F4FC67}"/>
    <cellStyle name="Normal 2 3 3 23" xfId="32187" xr:uid="{B3524E11-07D8-4FD0-8FF1-11F174A65868}"/>
    <cellStyle name="Normal 2 3 3 24" xfId="34077" xr:uid="{F06EA5F8-3D4E-45B9-AC8D-2C722D353EE4}"/>
    <cellStyle name="Normal 2 3 3 25" xfId="35967" xr:uid="{362BC0A4-C72A-4CEF-907A-D5154D8B5E84}"/>
    <cellStyle name="Normal 2 3 3 26" xfId="37857" xr:uid="{6EFEE80E-C666-4660-9353-7BBE1C663D98}"/>
    <cellStyle name="Normal 2 3 3 27" xfId="39748" xr:uid="{653D8CEB-FC59-437C-969C-4012A17E42F4}"/>
    <cellStyle name="Normal 2 3 3 3" xfId="267" xr:uid="{26A01080-68F0-4897-B750-8F7C9C1E577F}"/>
    <cellStyle name="Normal 2 3 3 3 10" xfId="13497" xr:uid="{66BA9BC8-108F-49C2-AC9A-EF30CFBDF7B3}"/>
    <cellStyle name="Normal 2 3 3 3 11" xfId="15387" xr:uid="{99F513FF-15F4-48B6-BFC5-B7EBBBD6D1F2}"/>
    <cellStyle name="Normal 2 3 3 3 12" xfId="17277" xr:uid="{1F35E595-3615-4ED5-9443-5BB854DA2BCD}"/>
    <cellStyle name="Normal 2 3 3 3 13" xfId="19167" xr:uid="{2A7F8FB6-1B1A-4DD0-88BD-A251ACDC9125}"/>
    <cellStyle name="Normal 2 3 3 3 14" xfId="21057" xr:uid="{7CA0929D-DFF0-401E-8EEE-6C2A16B12573}"/>
    <cellStyle name="Normal 2 3 3 3 15" xfId="22947" xr:uid="{83C5A4A2-0174-4AC4-A1FF-DBA18E153F3E}"/>
    <cellStyle name="Normal 2 3 3 3 16" xfId="24837" xr:uid="{A726486E-EB9A-4F2F-9B88-E6176175A4ED}"/>
    <cellStyle name="Normal 2 3 3 3 17" xfId="26727" xr:uid="{294F5CCD-0FE8-4544-AC97-BE478DCD684C}"/>
    <cellStyle name="Normal 2 3 3 3 18" xfId="28617" xr:uid="{D9D16EBE-4C4C-4A17-9FFA-CB4BAEC32BE8}"/>
    <cellStyle name="Normal 2 3 3 3 19" xfId="30507" xr:uid="{C6D5C515-92DC-43CF-B412-2054994436CA}"/>
    <cellStyle name="Normal 2 3 3 3 2" xfId="897" xr:uid="{0EC55F0C-C625-4FC0-935C-3ECD1083CCFE}"/>
    <cellStyle name="Normal 2 3 3 3 2 10" xfId="17907" xr:uid="{E87FA32C-371E-4F9E-ADC7-E16BE1DA912D}"/>
    <cellStyle name="Normal 2 3 3 3 2 11" xfId="19797" xr:uid="{16A93B5F-0639-4FD6-ABF1-577BB95AE948}"/>
    <cellStyle name="Normal 2 3 3 3 2 12" xfId="21687" xr:uid="{55B22753-36B6-4C13-8C83-67048CBA21F7}"/>
    <cellStyle name="Normal 2 3 3 3 2 13" xfId="23577" xr:uid="{35741CCA-4744-4A3A-A229-3005D8C32DFD}"/>
    <cellStyle name="Normal 2 3 3 3 2 14" xfId="25467" xr:uid="{A3B4BB92-1EB7-44DE-8596-F4F436307215}"/>
    <cellStyle name="Normal 2 3 3 3 2 15" xfId="27357" xr:uid="{E7E77E36-2B74-4E24-A4EF-EA174C093EA2}"/>
    <cellStyle name="Normal 2 3 3 3 2 16" xfId="29247" xr:uid="{86E8647A-F50E-47E0-BF96-A32FF978B1B9}"/>
    <cellStyle name="Normal 2 3 3 3 2 17" xfId="31137" xr:uid="{4869D044-43FC-4E93-B0F0-12EA67E7A3F6}"/>
    <cellStyle name="Normal 2 3 3 3 2 18" xfId="33027" xr:uid="{A99AC6F2-1B2C-4A3D-8B63-6384862759B1}"/>
    <cellStyle name="Normal 2 3 3 3 2 19" xfId="34917" xr:uid="{F9AB6E1B-0154-4C01-8F86-C7BEEA0F2EF5}"/>
    <cellStyle name="Normal 2 3 3 3 2 2" xfId="2787" xr:uid="{55357CF1-FE8D-470C-A07F-B115FDDB6349}"/>
    <cellStyle name="Normal 2 3 3 3 2 20" xfId="36807" xr:uid="{F278A25F-10AC-4685-85D8-4A06E964B32B}"/>
    <cellStyle name="Normal 2 3 3 3 2 21" xfId="38697" xr:uid="{773955DA-D5E8-4445-B19E-156369940C52}"/>
    <cellStyle name="Normal 2 3 3 3 2 22" xfId="40588" xr:uid="{BE7D6BCA-38BD-4F7F-9447-C50245974C75}"/>
    <cellStyle name="Normal 2 3 3 3 2 3" xfId="4677" xr:uid="{324FF031-7DC7-4635-B398-6A040CB7497B}"/>
    <cellStyle name="Normal 2 3 3 3 2 4" xfId="6567" xr:uid="{17995197-CAFC-4300-A948-310A2F069B3E}"/>
    <cellStyle name="Normal 2 3 3 3 2 5" xfId="8457" xr:uid="{CBE3F809-BAD4-42AC-A159-3B6DB1DCE12D}"/>
    <cellStyle name="Normal 2 3 3 3 2 6" xfId="10347" xr:uid="{FC263120-9BC7-4A94-B5A9-DC45F44396FF}"/>
    <cellStyle name="Normal 2 3 3 3 2 7" xfId="12237" xr:uid="{F597F9F8-EF9B-44F2-A71D-0C17D91F80E6}"/>
    <cellStyle name="Normal 2 3 3 3 2 8" xfId="14127" xr:uid="{4989340F-D912-427D-9023-13DC88535F02}"/>
    <cellStyle name="Normal 2 3 3 3 2 9" xfId="16017" xr:uid="{384F6299-6715-4607-A052-D1E1D82C00BD}"/>
    <cellStyle name="Normal 2 3 3 3 20" xfId="32397" xr:uid="{BBB58BD3-B7EA-4F27-A93F-95353DA365B3}"/>
    <cellStyle name="Normal 2 3 3 3 21" xfId="34287" xr:uid="{72A34385-A836-4A7A-A975-24703973EB9C}"/>
    <cellStyle name="Normal 2 3 3 3 22" xfId="36177" xr:uid="{20DF39CD-9951-418E-B7DA-587A75F52059}"/>
    <cellStyle name="Normal 2 3 3 3 23" xfId="38067" xr:uid="{BF6A5B6C-CE47-4BF4-9A7D-D2DFE194C9E6}"/>
    <cellStyle name="Normal 2 3 3 3 24" xfId="39958" xr:uid="{2BEDC949-E718-4B32-94DD-D69E856EA467}"/>
    <cellStyle name="Normal 2 3 3 3 3" xfId="1527" xr:uid="{89E14CC5-87F4-4274-80AD-6FF1715B80C1}"/>
    <cellStyle name="Normal 2 3 3 3 3 10" xfId="18537" xr:uid="{7F0650C1-59E5-47B1-873D-3A408B2B8B68}"/>
    <cellStyle name="Normal 2 3 3 3 3 11" xfId="20427" xr:uid="{111F7528-61AA-4D84-8240-7072B9B283CA}"/>
    <cellStyle name="Normal 2 3 3 3 3 12" xfId="22317" xr:uid="{3FD82830-89F8-4796-A6F1-E62B76FC7DA0}"/>
    <cellStyle name="Normal 2 3 3 3 3 13" xfId="24207" xr:uid="{DBB4AA27-3A0B-4B55-B369-F846DD20DBE1}"/>
    <cellStyle name="Normal 2 3 3 3 3 14" xfId="26097" xr:uid="{6E2F46E3-9B75-4A8E-8E92-28BA0BFCB3B6}"/>
    <cellStyle name="Normal 2 3 3 3 3 15" xfId="27987" xr:uid="{F805C1FE-F61D-48C0-93B7-9FE7830AF684}"/>
    <cellStyle name="Normal 2 3 3 3 3 16" xfId="29877" xr:uid="{A7D40180-B73C-48A6-B212-4033DC7E9D3F}"/>
    <cellStyle name="Normal 2 3 3 3 3 17" xfId="31767" xr:uid="{3C447301-C6D9-4F4C-9AFF-C621A68E3E0C}"/>
    <cellStyle name="Normal 2 3 3 3 3 18" xfId="33657" xr:uid="{88E41D0C-8B4E-470D-B45A-5CDF479A2FC4}"/>
    <cellStyle name="Normal 2 3 3 3 3 19" xfId="35547" xr:uid="{4DED264C-C6A6-4441-9B1D-795B10E86679}"/>
    <cellStyle name="Normal 2 3 3 3 3 2" xfId="3417" xr:uid="{829B7DD5-77D0-4536-98F6-D861E42CB443}"/>
    <cellStyle name="Normal 2 3 3 3 3 20" xfId="37437" xr:uid="{E51039A1-9FAC-48D5-8D15-EE3AB248E714}"/>
    <cellStyle name="Normal 2 3 3 3 3 21" xfId="39327" xr:uid="{40D0382E-877E-4915-BC4D-61AFF00180BC}"/>
    <cellStyle name="Normal 2 3 3 3 3 22" xfId="41218" xr:uid="{6FC88519-1F3F-4D5D-800C-472E23EEF57C}"/>
    <cellStyle name="Normal 2 3 3 3 3 3" xfId="5307" xr:uid="{9FD0E8FF-E47F-4122-B901-DFF8FE8CE64C}"/>
    <cellStyle name="Normal 2 3 3 3 3 4" xfId="7197" xr:uid="{BA3938D5-62E8-42A8-875C-680CFCF6FDAA}"/>
    <cellStyle name="Normal 2 3 3 3 3 5" xfId="9087" xr:uid="{D3C4C1BD-5D27-4E2F-B4B9-BF0C5BE0AED5}"/>
    <cellStyle name="Normal 2 3 3 3 3 6" xfId="10977" xr:uid="{0BEB6B14-5BD5-4238-B4FA-31A450DFA789}"/>
    <cellStyle name="Normal 2 3 3 3 3 7" xfId="12867" xr:uid="{542762AB-4C8F-450C-8027-87BDEA8AACDF}"/>
    <cellStyle name="Normal 2 3 3 3 3 8" xfId="14757" xr:uid="{BD6BAA71-69A4-440B-8C98-95346749DF54}"/>
    <cellStyle name="Normal 2 3 3 3 3 9" xfId="16647" xr:uid="{EC37A4A2-F00A-4883-BC94-E0AA1B9B43FA}"/>
    <cellStyle name="Normal 2 3 3 3 4" xfId="2157" xr:uid="{8D949D03-A432-4D3B-B10A-41C9EE89B426}"/>
    <cellStyle name="Normal 2 3 3 3 5" xfId="4047" xr:uid="{CE064672-380D-4787-8823-C676EE863788}"/>
    <cellStyle name="Normal 2 3 3 3 6" xfId="5937" xr:uid="{5578DE38-24A8-4E74-8B7B-5C12476D449D}"/>
    <cellStyle name="Normal 2 3 3 3 7" xfId="7827" xr:uid="{78B77E24-C7A1-4178-A526-C3F5E7E3BCC5}"/>
    <cellStyle name="Normal 2 3 3 3 8" xfId="9717" xr:uid="{B69068B3-AA2D-4656-89A8-E5429D5BE7BB}"/>
    <cellStyle name="Normal 2 3 3 3 9" xfId="11607" xr:uid="{E9A66734-C56D-46BD-882A-F312A5422833}"/>
    <cellStyle name="Normal 2 3 3 4" xfId="477" xr:uid="{4AEC676A-9501-471C-8291-09ED4363D2CA}"/>
    <cellStyle name="Normal 2 3 3 4 10" xfId="13707" xr:uid="{231DFD03-C17C-4D78-8A3F-CEB07D166DB0}"/>
    <cellStyle name="Normal 2 3 3 4 11" xfId="15597" xr:uid="{A4AD56D5-1FC7-4243-A41A-C47513BB8E15}"/>
    <cellStyle name="Normal 2 3 3 4 12" xfId="17487" xr:uid="{2B684C14-3D16-4A03-BEE6-F7662C523822}"/>
    <cellStyle name="Normal 2 3 3 4 13" xfId="19377" xr:uid="{7EDE7528-C69D-4820-9986-0BD862E2AF2C}"/>
    <cellStyle name="Normal 2 3 3 4 14" xfId="21267" xr:uid="{61CE9174-C631-4714-A8EB-0D9E42E5C02C}"/>
    <cellStyle name="Normal 2 3 3 4 15" xfId="23157" xr:uid="{F6C23907-EC47-46ED-88EC-C39C57FE7B92}"/>
    <cellStyle name="Normal 2 3 3 4 16" xfId="25047" xr:uid="{CA51214F-B1A8-45EB-AAC3-293ADFEA1492}"/>
    <cellStyle name="Normal 2 3 3 4 17" xfId="26937" xr:uid="{3B5F3BA1-EF17-4028-B268-2A488A5BA5E4}"/>
    <cellStyle name="Normal 2 3 3 4 18" xfId="28827" xr:uid="{57322101-731A-4F1A-A383-03877687F66B}"/>
    <cellStyle name="Normal 2 3 3 4 19" xfId="30717" xr:uid="{8D07D819-6862-4CD6-9241-B49888FE422F}"/>
    <cellStyle name="Normal 2 3 3 4 2" xfId="1107" xr:uid="{6EFEBACE-D3F2-4DA9-964E-7B1F58DE616B}"/>
    <cellStyle name="Normal 2 3 3 4 2 10" xfId="18117" xr:uid="{51E5EBCD-D8A0-4978-A6F6-69DDD09AD6AD}"/>
    <cellStyle name="Normal 2 3 3 4 2 11" xfId="20007" xr:uid="{632E72B5-9EC0-4EAB-B17C-ACD2A8DBFEEE}"/>
    <cellStyle name="Normal 2 3 3 4 2 12" xfId="21897" xr:uid="{F2F1262E-BF47-494E-BA8C-60747C4B8A55}"/>
    <cellStyle name="Normal 2 3 3 4 2 13" xfId="23787" xr:uid="{540D8876-C887-443A-B850-713E5637B470}"/>
    <cellStyle name="Normal 2 3 3 4 2 14" xfId="25677" xr:uid="{7AE36BA0-8627-43C3-8369-F8D769E02ADC}"/>
    <cellStyle name="Normal 2 3 3 4 2 15" xfId="27567" xr:uid="{695F650D-6BA2-48C9-AD9A-21216736C852}"/>
    <cellStyle name="Normal 2 3 3 4 2 16" xfId="29457" xr:uid="{DCC11939-E11F-47CB-ACE6-2E9DA1D090A8}"/>
    <cellStyle name="Normal 2 3 3 4 2 17" xfId="31347" xr:uid="{3742EDC3-8B9F-4F42-A25A-59B6293581DA}"/>
    <cellStyle name="Normal 2 3 3 4 2 18" xfId="33237" xr:uid="{75E9422C-5BE5-406C-9C8A-39ACC6B192C2}"/>
    <cellStyle name="Normal 2 3 3 4 2 19" xfId="35127" xr:uid="{7AF3533C-9676-4FFF-8C5A-779E03E5C215}"/>
    <cellStyle name="Normal 2 3 3 4 2 2" xfId="2997" xr:uid="{28C360EE-EAFB-427C-BC1E-950B1B2D0F25}"/>
    <cellStyle name="Normal 2 3 3 4 2 20" xfId="37017" xr:uid="{88AE90AC-5DE0-429E-AA5B-B476E75F5958}"/>
    <cellStyle name="Normal 2 3 3 4 2 21" xfId="38907" xr:uid="{8CE56C01-6FC7-4156-B002-BBE9F32AA635}"/>
    <cellStyle name="Normal 2 3 3 4 2 22" xfId="40798" xr:uid="{78258AC5-2CDF-4160-954C-736F4FBE3F16}"/>
    <cellStyle name="Normal 2 3 3 4 2 3" xfId="4887" xr:uid="{63CE7541-556C-41E4-8EEE-4CD88337D873}"/>
    <cellStyle name="Normal 2 3 3 4 2 4" xfId="6777" xr:uid="{1C2CB9B3-1603-4BAF-A762-F24F6BFE58E5}"/>
    <cellStyle name="Normal 2 3 3 4 2 5" xfId="8667" xr:uid="{F15D9376-B4F5-4CAB-A263-926F53FBB0AF}"/>
    <cellStyle name="Normal 2 3 3 4 2 6" xfId="10557" xr:uid="{323D8683-2485-480E-B8DF-0ACFF7857CE7}"/>
    <cellStyle name="Normal 2 3 3 4 2 7" xfId="12447" xr:uid="{9DA390D6-2E8A-43F0-871A-93539BFF81D7}"/>
    <cellStyle name="Normal 2 3 3 4 2 8" xfId="14337" xr:uid="{59428F7A-91CE-4C03-9A90-501E449EB886}"/>
    <cellStyle name="Normal 2 3 3 4 2 9" xfId="16227" xr:uid="{8BB9AAF8-DE87-4A49-94E8-5D1AF1E7D510}"/>
    <cellStyle name="Normal 2 3 3 4 20" xfId="32607" xr:uid="{A255AA2A-7A63-4BFE-8811-1FC8296F4882}"/>
    <cellStyle name="Normal 2 3 3 4 21" xfId="34497" xr:uid="{6CA0BE1E-D43C-49A1-87A4-0CD5981E1FD6}"/>
    <cellStyle name="Normal 2 3 3 4 22" xfId="36387" xr:uid="{C010B169-E66C-4164-94F0-F57962654411}"/>
    <cellStyle name="Normal 2 3 3 4 23" xfId="38277" xr:uid="{834C1F61-EFB3-4236-9271-63019FDED9CA}"/>
    <cellStyle name="Normal 2 3 3 4 24" xfId="40168" xr:uid="{25E18D8B-B813-4CE2-A0B9-182CA6178CE3}"/>
    <cellStyle name="Normal 2 3 3 4 3" xfId="1737" xr:uid="{208F2569-582A-4DDE-91FC-743414326ED7}"/>
    <cellStyle name="Normal 2 3 3 4 3 10" xfId="18747" xr:uid="{5E4194AE-DCEF-48C0-AE5F-A1EB769F331C}"/>
    <cellStyle name="Normal 2 3 3 4 3 11" xfId="20637" xr:uid="{6D2F05EC-0852-46B9-983F-61E9E7828C37}"/>
    <cellStyle name="Normal 2 3 3 4 3 12" xfId="22527" xr:uid="{81A121E1-9F56-43B9-BD03-1AF9218DAB19}"/>
    <cellStyle name="Normal 2 3 3 4 3 13" xfId="24417" xr:uid="{20551F90-84D3-4331-AA43-6F78A09E991B}"/>
    <cellStyle name="Normal 2 3 3 4 3 14" xfId="26307" xr:uid="{13063081-7E85-4475-BCE7-E10823AC756C}"/>
    <cellStyle name="Normal 2 3 3 4 3 15" xfId="28197" xr:uid="{9471C6AC-E1D6-4533-832C-02C1DEB3AA65}"/>
    <cellStyle name="Normal 2 3 3 4 3 16" xfId="30087" xr:uid="{CEB4BC4E-B945-4177-B0EE-FB36DDEBD647}"/>
    <cellStyle name="Normal 2 3 3 4 3 17" xfId="31977" xr:uid="{B119CA35-B507-4999-999B-5788F4885AAF}"/>
    <cellStyle name="Normal 2 3 3 4 3 18" xfId="33867" xr:uid="{72953086-AAD1-4A4B-A521-C12077EAB5B0}"/>
    <cellStyle name="Normal 2 3 3 4 3 19" xfId="35757" xr:uid="{36486E7D-39A7-4648-BE9B-510D2637B8CB}"/>
    <cellStyle name="Normal 2 3 3 4 3 2" xfId="3627" xr:uid="{85BEFFA4-07C1-4556-AB5A-9A225B5AB604}"/>
    <cellStyle name="Normal 2 3 3 4 3 20" xfId="37647" xr:uid="{FE3209BC-D9D3-486F-9B88-2A6C30E3DD6C}"/>
    <cellStyle name="Normal 2 3 3 4 3 21" xfId="39537" xr:uid="{6F3D9B20-B1B8-45BB-A86B-9A3B898A18FA}"/>
    <cellStyle name="Normal 2 3 3 4 3 22" xfId="41428" xr:uid="{8A88C15E-F8A7-4CCE-BAB8-E0F922ABC4B9}"/>
    <cellStyle name="Normal 2 3 3 4 3 3" xfId="5517" xr:uid="{4B8A617B-F271-4E4D-9BBA-0E6EDCBDD2B8}"/>
    <cellStyle name="Normal 2 3 3 4 3 4" xfId="7407" xr:uid="{A51439AC-4421-4494-9AD7-1CD313F26A1C}"/>
    <cellStyle name="Normal 2 3 3 4 3 5" xfId="9297" xr:uid="{C5CB3CD4-D233-4CA2-8EC6-9AD7AAFF71B8}"/>
    <cellStyle name="Normal 2 3 3 4 3 6" xfId="11187" xr:uid="{2DEDBDD4-15C4-4D60-AC3F-2EE3FFB0A20B}"/>
    <cellStyle name="Normal 2 3 3 4 3 7" xfId="13077" xr:uid="{74566AD7-BD91-4547-A415-AC95A52E7A7B}"/>
    <cellStyle name="Normal 2 3 3 4 3 8" xfId="14967" xr:uid="{9625C733-8ECC-45D6-B81E-7D8A53451244}"/>
    <cellStyle name="Normal 2 3 3 4 3 9" xfId="16857" xr:uid="{32860852-CB42-4D5E-9D05-AFA95BAAA992}"/>
    <cellStyle name="Normal 2 3 3 4 4" xfId="2367" xr:uid="{8107CFBD-E630-4687-8A56-0145372F26B2}"/>
    <cellStyle name="Normal 2 3 3 4 5" xfId="4257" xr:uid="{DEBAA58D-F45D-4A0C-A7B2-41B034337F1D}"/>
    <cellStyle name="Normal 2 3 3 4 6" xfId="6147" xr:uid="{47F8BBF9-15D2-474B-94CB-0C2F0474508B}"/>
    <cellStyle name="Normal 2 3 3 4 7" xfId="8037" xr:uid="{8B1B69BC-0776-41C5-BE30-E1627FF1C15C}"/>
    <cellStyle name="Normal 2 3 3 4 8" xfId="9927" xr:uid="{F581EE6A-6BC0-4EE3-8E55-AC921CB33C72}"/>
    <cellStyle name="Normal 2 3 3 4 9" xfId="11817" xr:uid="{A771D81D-5327-4137-A2D2-DADF6F5B5D3B}"/>
    <cellStyle name="Normal 2 3 3 5" xfId="687" xr:uid="{E920F166-49D0-4975-981C-11069C7FF236}"/>
    <cellStyle name="Normal 2 3 3 5 10" xfId="17697" xr:uid="{2A3469CF-98C6-4B31-8464-5625D569548A}"/>
    <cellStyle name="Normal 2 3 3 5 11" xfId="19587" xr:uid="{ECEB0D10-091B-4630-B53F-6EC085BE7485}"/>
    <cellStyle name="Normal 2 3 3 5 12" xfId="21477" xr:uid="{97C378CC-2CE5-4515-8D7A-951809437C4F}"/>
    <cellStyle name="Normal 2 3 3 5 13" xfId="23367" xr:uid="{994BBCB5-5B56-45B3-9D98-27EC53270F8B}"/>
    <cellStyle name="Normal 2 3 3 5 14" xfId="25257" xr:uid="{E89D305F-1B86-4A38-AB16-EAD84063DA80}"/>
    <cellStyle name="Normal 2 3 3 5 15" xfId="27147" xr:uid="{AC9E2BD7-CB20-46F7-A8F1-4A709E4D0E65}"/>
    <cellStyle name="Normal 2 3 3 5 16" xfId="29037" xr:uid="{70EB8E92-3CF5-4A95-9D70-20434CDB4836}"/>
    <cellStyle name="Normal 2 3 3 5 17" xfId="30927" xr:uid="{7BC3C680-4C7B-4CE0-823D-D24B591AE5E3}"/>
    <cellStyle name="Normal 2 3 3 5 18" xfId="32817" xr:uid="{B76617D2-06DE-4C8C-90A4-A765AEC1067F}"/>
    <cellStyle name="Normal 2 3 3 5 19" xfId="34707" xr:uid="{50E0E3EF-4D6C-45E4-B5C4-7AE67CFAE564}"/>
    <cellStyle name="Normal 2 3 3 5 2" xfId="2577" xr:uid="{4B1FE64E-E691-4DE3-B9DF-872D64109465}"/>
    <cellStyle name="Normal 2 3 3 5 20" xfId="36597" xr:uid="{415DB0C9-E330-475C-BADD-28DAA4DBD3CE}"/>
    <cellStyle name="Normal 2 3 3 5 21" xfId="38487" xr:uid="{0D3CCA3A-DEA2-46E5-A037-5C5DBEF4A2B0}"/>
    <cellStyle name="Normal 2 3 3 5 22" xfId="40378" xr:uid="{A4EDAFDC-5CF6-4586-9623-F492C3E80BDB}"/>
    <cellStyle name="Normal 2 3 3 5 3" xfId="4467" xr:uid="{7C7658B3-BDE3-4EDA-A720-684FBDEF45D1}"/>
    <cellStyle name="Normal 2 3 3 5 4" xfId="6357" xr:uid="{565C4050-0DB9-42A2-9D63-3D561BEF2504}"/>
    <cellStyle name="Normal 2 3 3 5 5" xfId="8247" xr:uid="{00C69F86-9E95-4D18-9D2A-9669F7A43587}"/>
    <cellStyle name="Normal 2 3 3 5 6" xfId="10137" xr:uid="{C36BEECF-25BB-4DA0-BB2E-1D38BE3BA2E5}"/>
    <cellStyle name="Normal 2 3 3 5 7" xfId="12027" xr:uid="{31045B3C-5F4C-4EA2-ACBC-06F02177C218}"/>
    <cellStyle name="Normal 2 3 3 5 8" xfId="13917" xr:uid="{E1F770D5-6DD3-4780-AC47-2FF03B131676}"/>
    <cellStyle name="Normal 2 3 3 5 9" xfId="15807" xr:uid="{9E22B324-0E14-4DD0-81B1-F0B3E478CDF3}"/>
    <cellStyle name="Normal 2 3 3 6" xfId="1317" xr:uid="{606DAE59-2FB7-43DB-83BF-D1F8C5764496}"/>
    <cellStyle name="Normal 2 3 3 6 10" xfId="18327" xr:uid="{12BCBCEE-B627-447E-8CA4-8C5B2938C168}"/>
    <cellStyle name="Normal 2 3 3 6 11" xfId="20217" xr:uid="{D9A1CA86-CCC5-4D5A-AD58-EE30A4AA5CF4}"/>
    <cellStyle name="Normal 2 3 3 6 12" xfId="22107" xr:uid="{A1643680-57DC-4745-B5A7-0CA16B51BDD4}"/>
    <cellStyle name="Normal 2 3 3 6 13" xfId="23997" xr:uid="{861A0F54-2F02-41B4-9E71-B017496399AD}"/>
    <cellStyle name="Normal 2 3 3 6 14" xfId="25887" xr:uid="{A029DCB9-C1E7-4B04-A53F-BECC5868243E}"/>
    <cellStyle name="Normal 2 3 3 6 15" xfId="27777" xr:uid="{1E64E44F-9FDC-4155-9FC8-5CC6F5332555}"/>
    <cellStyle name="Normal 2 3 3 6 16" xfId="29667" xr:uid="{A3460263-8BD4-40E2-8E95-37C51DFB77A1}"/>
    <cellStyle name="Normal 2 3 3 6 17" xfId="31557" xr:uid="{F5C54BE0-179A-4E35-8D72-DEDFE2F8EE03}"/>
    <cellStyle name="Normal 2 3 3 6 18" xfId="33447" xr:uid="{F49975BF-D29E-4F45-9DB7-0D5F3C8F7B84}"/>
    <cellStyle name="Normal 2 3 3 6 19" xfId="35337" xr:uid="{65B03324-7D79-407B-AEB9-69A06C444F11}"/>
    <cellStyle name="Normal 2 3 3 6 2" xfId="3207" xr:uid="{957A9959-4BA0-4030-ADCA-3759046B209E}"/>
    <cellStyle name="Normal 2 3 3 6 20" xfId="37227" xr:uid="{DFE28AD8-D699-477A-BCEF-0ABE99A934E3}"/>
    <cellStyle name="Normal 2 3 3 6 21" xfId="39117" xr:uid="{D4EC52C0-A6B8-478D-8454-9E2AF2C40A88}"/>
    <cellStyle name="Normal 2 3 3 6 22" xfId="41008" xr:uid="{93E7D4A8-E5E4-481A-81EF-D77AE6B15D23}"/>
    <cellStyle name="Normal 2 3 3 6 3" xfId="5097" xr:uid="{A6E70B80-5AD3-4304-805B-B33F2D43D90B}"/>
    <cellStyle name="Normal 2 3 3 6 4" xfId="6987" xr:uid="{E842A01B-8DA1-4E64-846D-40BC66B36106}"/>
    <cellStyle name="Normal 2 3 3 6 5" xfId="8877" xr:uid="{B0394F32-4E44-4F31-9B26-5C1B1E6FD354}"/>
    <cellStyle name="Normal 2 3 3 6 6" xfId="10767" xr:uid="{3E1A4DDC-B07C-4FB3-891A-3BDB32F786EC}"/>
    <cellStyle name="Normal 2 3 3 6 7" xfId="12657" xr:uid="{84D3FA87-06F3-4C55-8574-A5F1E1012D0A}"/>
    <cellStyle name="Normal 2 3 3 6 8" xfId="14547" xr:uid="{D5D71C5E-8DF5-445A-8121-10207B5D4648}"/>
    <cellStyle name="Normal 2 3 3 6 9" xfId="16437" xr:uid="{6F786EB2-59EC-4DAB-A2C1-7F67B5FF41FF}"/>
    <cellStyle name="Normal 2 3 3 7" xfId="1947" xr:uid="{86C9B26B-EF99-4889-9A7F-3BB72113EAD2}"/>
    <cellStyle name="Normal 2 3 3 8" xfId="3837" xr:uid="{F7DE8DC6-1AB6-4B16-BF7B-33DDBF70A13B}"/>
    <cellStyle name="Normal 2 3 3 9" xfId="5727" xr:uid="{0268952D-A1F5-4A8E-82BA-C85ED4D7DE18}"/>
    <cellStyle name="Normal 2 3 30" xfId="37835" xr:uid="{74BBA62D-B051-43C4-8A7B-3CD3F753314D}"/>
    <cellStyle name="Normal 2 3 31" xfId="39726" xr:uid="{423725FF-2072-4ED5-9333-32F0D5496A17}"/>
    <cellStyle name="Normal 2 3 4" xfId="44" xr:uid="{A5480DB1-7EC4-4FA6-A086-6C2273F3DB16}"/>
    <cellStyle name="Normal 2 3 4 10" xfId="7626" xr:uid="{0C5B987D-0000-4EAC-B20A-CA2E7516EB52}"/>
    <cellStyle name="Normal 2 3 4 11" xfId="9516" xr:uid="{1EBB2A6F-2BC4-46DD-BBBE-1E5B4ACD8247}"/>
    <cellStyle name="Normal 2 3 4 12" xfId="11406" xr:uid="{25AF34D3-76B0-497E-950F-D73A3CEECD3C}"/>
    <cellStyle name="Normal 2 3 4 13" xfId="13296" xr:uid="{0E2FE224-8692-4953-A516-C0F066813D7B}"/>
    <cellStyle name="Normal 2 3 4 14" xfId="15186" xr:uid="{2B0ECAE9-F746-4D2E-8D96-E72EB787EFD2}"/>
    <cellStyle name="Normal 2 3 4 15" xfId="17076" xr:uid="{E878A5B3-91CC-46D4-B056-FD5C72B08FFD}"/>
    <cellStyle name="Normal 2 3 4 16" xfId="18966" xr:uid="{F399ED8C-B976-4823-9523-029B6D355743}"/>
    <cellStyle name="Normal 2 3 4 17" xfId="20856" xr:uid="{BB0B6C91-28A3-41FF-B9B8-34F3362110C9}"/>
    <cellStyle name="Normal 2 3 4 18" xfId="22746" xr:uid="{00E97378-696A-43A4-95FC-5F2B44FEBF01}"/>
    <cellStyle name="Normal 2 3 4 19" xfId="24636" xr:uid="{C23F318B-14F2-44F4-9DE0-78299469C6FE}"/>
    <cellStyle name="Normal 2 3 4 2" xfId="171" xr:uid="{D019083E-817E-47D7-BE10-F3DDC45FE06A}"/>
    <cellStyle name="Normal 2 3 4 2 10" xfId="9621" xr:uid="{D9F8D7CE-4D67-4E2A-A570-B5F0042796A4}"/>
    <cellStyle name="Normal 2 3 4 2 11" xfId="11511" xr:uid="{90F7BF40-A392-4E84-BE56-CBF1F99E4F2D}"/>
    <cellStyle name="Normal 2 3 4 2 12" xfId="13401" xr:uid="{BC859DFF-3788-4FD0-A85D-213B93D24001}"/>
    <cellStyle name="Normal 2 3 4 2 13" xfId="15291" xr:uid="{F3DE267F-8368-4C26-BE6F-18A3EA0E450E}"/>
    <cellStyle name="Normal 2 3 4 2 14" xfId="17181" xr:uid="{FD741D61-0B25-4F04-BB5C-06C7EABEBAD5}"/>
    <cellStyle name="Normal 2 3 4 2 15" xfId="19071" xr:uid="{CEA19695-6022-45E1-8DC3-D252B88E9F59}"/>
    <cellStyle name="Normal 2 3 4 2 16" xfId="20961" xr:uid="{3D08BAAE-B1F1-4E00-97C1-337C2510C0B0}"/>
    <cellStyle name="Normal 2 3 4 2 17" xfId="22851" xr:uid="{01ADAE42-0C36-4416-88E4-77D34506512C}"/>
    <cellStyle name="Normal 2 3 4 2 18" xfId="24741" xr:uid="{9F3E5818-BB69-4056-80ED-BDA1125C08D1}"/>
    <cellStyle name="Normal 2 3 4 2 19" xfId="26631" xr:uid="{D6CC291F-DF5C-40C9-BFA9-BACFA827DE49}"/>
    <cellStyle name="Normal 2 3 4 2 2" xfId="381" xr:uid="{B1D2B466-4089-4B0C-B851-8B7E698798B7}"/>
    <cellStyle name="Normal 2 3 4 2 2 10" xfId="13611" xr:uid="{BAA3FF4E-7D4C-4CFC-9452-DC14DFFEE836}"/>
    <cellStyle name="Normal 2 3 4 2 2 11" xfId="15501" xr:uid="{D9B30D3B-22F9-404F-AB93-D8A3901C4380}"/>
    <cellStyle name="Normal 2 3 4 2 2 12" xfId="17391" xr:uid="{5C1DA983-11B5-4FB4-8645-53AE284543F9}"/>
    <cellStyle name="Normal 2 3 4 2 2 13" xfId="19281" xr:uid="{C4E890A7-60A2-4158-A86F-D84D88497A36}"/>
    <cellStyle name="Normal 2 3 4 2 2 14" xfId="21171" xr:uid="{BA63950B-49B8-46D2-BDC6-B85564FC54D7}"/>
    <cellStyle name="Normal 2 3 4 2 2 15" xfId="23061" xr:uid="{E4C4B616-1611-463B-9ACA-B40F5BC88557}"/>
    <cellStyle name="Normal 2 3 4 2 2 16" xfId="24951" xr:uid="{31B86C6D-E903-41C4-B2F7-0AD2C6D0BEDA}"/>
    <cellStyle name="Normal 2 3 4 2 2 17" xfId="26841" xr:uid="{2649382E-A789-4911-8ECB-2210E7A5D035}"/>
    <cellStyle name="Normal 2 3 4 2 2 18" xfId="28731" xr:uid="{4D884F05-EF57-401B-AB5D-8527CA16BA82}"/>
    <cellStyle name="Normal 2 3 4 2 2 19" xfId="30621" xr:uid="{318A1B5B-3319-4A0B-B6E3-3D3F7CC21826}"/>
    <cellStyle name="Normal 2 3 4 2 2 2" xfId="1011" xr:uid="{BCC30EA9-784C-4347-AF07-31A729F4BF6F}"/>
    <cellStyle name="Normal 2 3 4 2 2 2 10" xfId="18021" xr:uid="{F4E9390E-E0C9-43B9-838A-6F4F8F2FBB75}"/>
    <cellStyle name="Normal 2 3 4 2 2 2 11" xfId="19911" xr:uid="{E3742B4C-659F-49F9-B7F6-9D2FB8FC820C}"/>
    <cellStyle name="Normal 2 3 4 2 2 2 12" xfId="21801" xr:uid="{46ED435C-27D7-4E50-8BC9-1D7CD1BB9DA2}"/>
    <cellStyle name="Normal 2 3 4 2 2 2 13" xfId="23691" xr:uid="{7D6E1E85-C67D-43C0-A454-FCA4C517C7E4}"/>
    <cellStyle name="Normal 2 3 4 2 2 2 14" xfId="25581" xr:uid="{73AFA739-FC37-4D59-AEC1-8E5470B1BF06}"/>
    <cellStyle name="Normal 2 3 4 2 2 2 15" xfId="27471" xr:uid="{B66C65B2-2C27-4BD2-B37A-DC9E8EA6E4A3}"/>
    <cellStyle name="Normal 2 3 4 2 2 2 16" xfId="29361" xr:uid="{88B40740-B384-4BAD-A82C-04B5A862E50C}"/>
    <cellStyle name="Normal 2 3 4 2 2 2 17" xfId="31251" xr:uid="{8C6A2B04-AC49-4D22-B1A7-A265070DC1AB}"/>
    <cellStyle name="Normal 2 3 4 2 2 2 18" xfId="33141" xr:uid="{574879C3-950E-4C99-B1BB-0E414625A103}"/>
    <cellStyle name="Normal 2 3 4 2 2 2 19" xfId="35031" xr:uid="{108D252D-CA26-41AC-A3B2-77955A72549A}"/>
    <cellStyle name="Normal 2 3 4 2 2 2 2" xfId="2901" xr:uid="{957172E0-B071-4D72-9CF6-6008CE13EEFA}"/>
    <cellStyle name="Normal 2 3 4 2 2 2 20" xfId="36921" xr:uid="{27BD2C35-A2F6-44DD-960F-DC517E48CE83}"/>
    <cellStyle name="Normal 2 3 4 2 2 2 21" xfId="38811" xr:uid="{50199298-0CC3-43A1-AC0C-9B1718D70FEC}"/>
    <cellStyle name="Normal 2 3 4 2 2 2 22" xfId="40702" xr:uid="{E5A196E6-3784-462A-8D77-E2C48A8C0F32}"/>
    <cellStyle name="Normal 2 3 4 2 2 2 3" xfId="4791" xr:uid="{23EEA09C-BD03-422D-8084-6577580B4C4F}"/>
    <cellStyle name="Normal 2 3 4 2 2 2 4" xfId="6681" xr:uid="{95125C88-7D10-40FB-93CD-38442A5AC371}"/>
    <cellStyle name="Normal 2 3 4 2 2 2 5" xfId="8571" xr:uid="{84F9ED28-1BFB-46DC-8579-BF586ED3DD66}"/>
    <cellStyle name="Normal 2 3 4 2 2 2 6" xfId="10461" xr:uid="{37EC969A-5C8D-4AD2-9B48-DD3D32E91DB8}"/>
    <cellStyle name="Normal 2 3 4 2 2 2 7" xfId="12351" xr:uid="{F03C7F7E-F29D-4FF9-852A-B93BC39F472E}"/>
    <cellStyle name="Normal 2 3 4 2 2 2 8" xfId="14241" xr:uid="{0C314308-0AE6-4778-B011-8C33084E0230}"/>
    <cellStyle name="Normal 2 3 4 2 2 2 9" xfId="16131" xr:uid="{606655F7-B367-4414-B07D-E50B059C64BB}"/>
    <cellStyle name="Normal 2 3 4 2 2 20" xfId="32511" xr:uid="{50D912F5-C021-49A6-A854-A31FD3591A3A}"/>
    <cellStyle name="Normal 2 3 4 2 2 21" xfId="34401" xr:uid="{D0446D4D-4CD4-4C56-8F39-804CFA877974}"/>
    <cellStyle name="Normal 2 3 4 2 2 22" xfId="36291" xr:uid="{E09F2CAD-6B74-404B-8637-80F4D5707BDE}"/>
    <cellStyle name="Normal 2 3 4 2 2 23" xfId="38181" xr:uid="{5A21E66E-DC98-4234-890E-7DED908E38FA}"/>
    <cellStyle name="Normal 2 3 4 2 2 24" xfId="40072" xr:uid="{04DA881F-B96C-4848-9DE5-73F18CC7EE59}"/>
    <cellStyle name="Normal 2 3 4 2 2 3" xfId="1641" xr:uid="{98EF6F32-8BF4-4111-8F5E-981421A2B630}"/>
    <cellStyle name="Normal 2 3 4 2 2 3 10" xfId="18651" xr:uid="{61717269-2A03-4FFD-9998-2595D481A72B}"/>
    <cellStyle name="Normal 2 3 4 2 2 3 11" xfId="20541" xr:uid="{8DC28A35-AE95-4774-A649-993EDC0DF3BE}"/>
    <cellStyle name="Normal 2 3 4 2 2 3 12" xfId="22431" xr:uid="{FA1F5A0C-E1EF-462D-8867-1B15A189A082}"/>
    <cellStyle name="Normal 2 3 4 2 2 3 13" xfId="24321" xr:uid="{F14EB0AD-90E2-4FC2-9094-6DC2838DE0F6}"/>
    <cellStyle name="Normal 2 3 4 2 2 3 14" xfId="26211" xr:uid="{DB3410B2-545E-4C48-B6E0-3626D7A08FDC}"/>
    <cellStyle name="Normal 2 3 4 2 2 3 15" xfId="28101" xr:uid="{B1A5241B-D6A0-415B-9E35-EFEC6DD165EE}"/>
    <cellStyle name="Normal 2 3 4 2 2 3 16" xfId="29991" xr:uid="{35583414-7E8C-4E65-B72A-C7C3F60574A6}"/>
    <cellStyle name="Normal 2 3 4 2 2 3 17" xfId="31881" xr:uid="{6DDB5FE3-D42E-4373-94C0-EC1BFE5D68C7}"/>
    <cellStyle name="Normal 2 3 4 2 2 3 18" xfId="33771" xr:uid="{148F7B02-E13A-4A20-AD63-FD5C8539C16B}"/>
    <cellStyle name="Normal 2 3 4 2 2 3 19" xfId="35661" xr:uid="{EC75332B-D0D3-4203-919F-85EA88BB1C77}"/>
    <cellStyle name="Normal 2 3 4 2 2 3 2" xfId="3531" xr:uid="{B4BA9C1F-53ED-4121-8B4E-E5990FD7DD0A}"/>
    <cellStyle name="Normal 2 3 4 2 2 3 20" xfId="37551" xr:uid="{96F97B08-43A3-4635-BEA3-A9F6DC050440}"/>
    <cellStyle name="Normal 2 3 4 2 2 3 21" xfId="39441" xr:uid="{57089FD7-93EA-4643-84B2-17FFAEF3A369}"/>
    <cellStyle name="Normal 2 3 4 2 2 3 22" xfId="41332" xr:uid="{9944333D-24A3-4A01-B4E2-22996A5324EC}"/>
    <cellStyle name="Normal 2 3 4 2 2 3 3" xfId="5421" xr:uid="{B0A7F2E3-A972-48C3-B8C2-86399AA79307}"/>
    <cellStyle name="Normal 2 3 4 2 2 3 4" xfId="7311" xr:uid="{548F0635-1549-423C-8462-C3FBA4C952DE}"/>
    <cellStyle name="Normal 2 3 4 2 2 3 5" xfId="9201" xr:uid="{57E6AD87-8077-4633-AFA2-DDB1530AE865}"/>
    <cellStyle name="Normal 2 3 4 2 2 3 6" xfId="11091" xr:uid="{53BCCD74-4335-4203-BB66-6F9313D4BA76}"/>
    <cellStyle name="Normal 2 3 4 2 2 3 7" xfId="12981" xr:uid="{9D825B14-98A4-4B25-A513-95F3CCABB062}"/>
    <cellStyle name="Normal 2 3 4 2 2 3 8" xfId="14871" xr:uid="{1BAAD9D6-3669-4044-9373-53DA7BC61262}"/>
    <cellStyle name="Normal 2 3 4 2 2 3 9" xfId="16761" xr:uid="{BF7AE58F-16CE-49EF-9FE5-1646A3602A66}"/>
    <cellStyle name="Normal 2 3 4 2 2 4" xfId="2271" xr:uid="{CFE947E7-1A6B-450E-8EF0-20E0E2546200}"/>
    <cellStyle name="Normal 2 3 4 2 2 5" xfId="4161" xr:uid="{2621CB0A-B56E-43E8-9B12-A22DC9C1939A}"/>
    <cellStyle name="Normal 2 3 4 2 2 6" xfId="6051" xr:uid="{BD0663A5-CF53-4CD1-B3AB-5C999AF05281}"/>
    <cellStyle name="Normal 2 3 4 2 2 7" xfId="7941" xr:uid="{E0085028-99AF-489E-8710-C38A609D9069}"/>
    <cellStyle name="Normal 2 3 4 2 2 8" xfId="9831" xr:uid="{2AE322CB-04B8-4FBC-A214-68E27DECE347}"/>
    <cellStyle name="Normal 2 3 4 2 2 9" xfId="11721" xr:uid="{4C540B8C-3161-4008-A5BE-26756E0E8A07}"/>
    <cellStyle name="Normal 2 3 4 2 20" xfId="28521" xr:uid="{DC65F31E-F8BE-45F8-A371-22801264ED1B}"/>
    <cellStyle name="Normal 2 3 4 2 21" xfId="30411" xr:uid="{FF441FC8-ABEF-4D9D-9003-CAFFDB13097F}"/>
    <cellStyle name="Normal 2 3 4 2 22" xfId="32301" xr:uid="{DDFA10CD-6E92-4B37-82B6-9669E6AF49A7}"/>
    <cellStyle name="Normal 2 3 4 2 23" xfId="34191" xr:uid="{8748172A-9CEA-4D1B-8966-F16274BDE6BC}"/>
    <cellStyle name="Normal 2 3 4 2 24" xfId="36081" xr:uid="{5C3E162D-C8DD-444C-8073-A28DC7F3AA8A}"/>
    <cellStyle name="Normal 2 3 4 2 25" xfId="37971" xr:uid="{AE6D289C-0499-48D5-B3D6-1BAB91D14C3D}"/>
    <cellStyle name="Normal 2 3 4 2 26" xfId="39862" xr:uid="{A422D6DE-0326-41CB-AF2C-7F2D74A0F76B}"/>
    <cellStyle name="Normal 2 3 4 2 3" xfId="591" xr:uid="{0FAD2059-71F9-487F-A20C-87DEC94254AC}"/>
    <cellStyle name="Normal 2 3 4 2 3 10" xfId="13821" xr:uid="{F143F0CB-23D2-46A8-9FC0-6C7BC3262037}"/>
    <cellStyle name="Normal 2 3 4 2 3 11" xfId="15711" xr:uid="{7D7E9E89-F824-4A1A-8C77-1CB26208C38C}"/>
    <cellStyle name="Normal 2 3 4 2 3 12" xfId="17601" xr:uid="{12A9F101-0B96-46DF-A865-C7E075B3DC66}"/>
    <cellStyle name="Normal 2 3 4 2 3 13" xfId="19491" xr:uid="{ECDC0D1F-AE86-4E50-99A5-E7F8EE639B8A}"/>
    <cellStyle name="Normal 2 3 4 2 3 14" xfId="21381" xr:uid="{5F21B9D9-545D-4AF0-9686-B9FF69CCE94D}"/>
    <cellStyle name="Normal 2 3 4 2 3 15" xfId="23271" xr:uid="{14161810-C620-4A00-96FA-F087CFB9AC5A}"/>
    <cellStyle name="Normal 2 3 4 2 3 16" xfId="25161" xr:uid="{0DD910A8-83B6-4493-9EB8-E420AF446DBB}"/>
    <cellStyle name="Normal 2 3 4 2 3 17" xfId="27051" xr:uid="{763256A3-7A71-4DB6-A81D-175EF17EF92A}"/>
    <cellStyle name="Normal 2 3 4 2 3 18" xfId="28941" xr:uid="{2FFA8042-6AC3-4C96-A4C6-93EB71B988F4}"/>
    <cellStyle name="Normal 2 3 4 2 3 19" xfId="30831" xr:uid="{F51CCE69-5969-4E5C-949D-AE0FE7367519}"/>
    <cellStyle name="Normal 2 3 4 2 3 2" xfId="1221" xr:uid="{FAB51EFD-B4CD-4D9E-BF8A-475676E8243F}"/>
    <cellStyle name="Normal 2 3 4 2 3 2 10" xfId="18231" xr:uid="{8B356B44-ED37-4107-88C4-4F35C12109C3}"/>
    <cellStyle name="Normal 2 3 4 2 3 2 11" xfId="20121" xr:uid="{B97AB111-80AF-451A-A4B0-A34022685C20}"/>
    <cellStyle name="Normal 2 3 4 2 3 2 12" xfId="22011" xr:uid="{8B72D489-2148-460D-BCE9-CA3DAE0BE74B}"/>
    <cellStyle name="Normal 2 3 4 2 3 2 13" xfId="23901" xr:uid="{A4FF6B4F-67D7-4BA8-9722-F5A6562AC5DE}"/>
    <cellStyle name="Normal 2 3 4 2 3 2 14" xfId="25791" xr:uid="{055119E4-8336-4F56-83DE-8A63AEF401F5}"/>
    <cellStyle name="Normal 2 3 4 2 3 2 15" xfId="27681" xr:uid="{EF72E9F0-5B0D-40A0-BD8E-E65972252876}"/>
    <cellStyle name="Normal 2 3 4 2 3 2 16" xfId="29571" xr:uid="{ED3CF80A-9C0C-43C7-872D-2E17653E134D}"/>
    <cellStyle name="Normal 2 3 4 2 3 2 17" xfId="31461" xr:uid="{5998922F-68C0-432C-A131-6217C032AD6E}"/>
    <cellStyle name="Normal 2 3 4 2 3 2 18" xfId="33351" xr:uid="{708A54EA-D7FC-46BB-9BE7-8DD2DB2A5CE5}"/>
    <cellStyle name="Normal 2 3 4 2 3 2 19" xfId="35241" xr:uid="{28C4B4D8-FEE2-476D-8079-9F205F7EEFFD}"/>
    <cellStyle name="Normal 2 3 4 2 3 2 2" xfId="3111" xr:uid="{828F436E-27D1-4F2E-9160-180F9B7CD67B}"/>
    <cellStyle name="Normal 2 3 4 2 3 2 20" xfId="37131" xr:uid="{8FAC49DC-B436-46F3-A9C8-34B22DF58DAE}"/>
    <cellStyle name="Normal 2 3 4 2 3 2 21" xfId="39021" xr:uid="{5AFC7DE8-754E-4A30-A9FE-653FDDB3BC7B}"/>
    <cellStyle name="Normal 2 3 4 2 3 2 22" xfId="40912" xr:uid="{65646AD1-0473-4079-95F3-3232B2093392}"/>
    <cellStyle name="Normal 2 3 4 2 3 2 3" xfId="5001" xr:uid="{2C1FC1B7-8A8D-4011-B488-A90FB3F3B133}"/>
    <cellStyle name="Normal 2 3 4 2 3 2 4" xfId="6891" xr:uid="{54825F59-C1C7-4E97-B987-3F9795D2EECE}"/>
    <cellStyle name="Normal 2 3 4 2 3 2 5" xfId="8781" xr:uid="{87F71985-5FA1-4B0B-A54C-C90D42A6510B}"/>
    <cellStyle name="Normal 2 3 4 2 3 2 6" xfId="10671" xr:uid="{3954D7DB-2371-4225-8FAD-1ADA83BD3AD3}"/>
    <cellStyle name="Normal 2 3 4 2 3 2 7" xfId="12561" xr:uid="{27C750EE-3911-432C-AC3E-B184F0CB71F7}"/>
    <cellStyle name="Normal 2 3 4 2 3 2 8" xfId="14451" xr:uid="{3158F3B5-D501-4B29-AF99-B2C988739768}"/>
    <cellStyle name="Normal 2 3 4 2 3 2 9" xfId="16341" xr:uid="{1480C07E-2ACD-4108-8215-B22FCD87C41F}"/>
    <cellStyle name="Normal 2 3 4 2 3 20" xfId="32721" xr:uid="{633A6BC8-A67F-4328-BC5B-375A9AA66670}"/>
    <cellStyle name="Normal 2 3 4 2 3 21" xfId="34611" xr:uid="{88032242-5900-42E8-A1DF-8A873F60C0F7}"/>
    <cellStyle name="Normal 2 3 4 2 3 22" xfId="36501" xr:uid="{F3FBE3C5-551F-4745-866B-DC9E08DB72DA}"/>
    <cellStyle name="Normal 2 3 4 2 3 23" xfId="38391" xr:uid="{AFD82704-EDE2-42A8-B165-977C34306B22}"/>
    <cellStyle name="Normal 2 3 4 2 3 24" xfId="40282" xr:uid="{069E4843-731C-42B1-ACD6-EF8292A39998}"/>
    <cellStyle name="Normal 2 3 4 2 3 3" xfId="1851" xr:uid="{54C2BF71-7BE6-49AF-8509-03A7A2D28593}"/>
    <cellStyle name="Normal 2 3 4 2 3 3 10" xfId="18861" xr:uid="{03B541AF-0485-4614-8C01-702E7A0AA6DC}"/>
    <cellStyle name="Normal 2 3 4 2 3 3 11" xfId="20751" xr:uid="{CCD05F42-C04C-4E0C-82A9-B51AE01A1BDD}"/>
    <cellStyle name="Normal 2 3 4 2 3 3 12" xfId="22641" xr:uid="{979CEE92-0F96-4890-A3A1-6D29E36CF29C}"/>
    <cellStyle name="Normal 2 3 4 2 3 3 13" xfId="24531" xr:uid="{66D82B34-082A-4F7C-8CDF-68D5CC5A589A}"/>
    <cellStyle name="Normal 2 3 4 2 3 3 14" xfId="26421" xr:uid="{6689A6E8-A564-475C-9635-202117968BF2}"/>
    <cellStyle name="Normal 2 3 4 2 3 3 15" xfId="28311" xr:uid="{19D31ABF-7CAF-4A44-94A7-72B22346BF05}"/>
    <cellStyle name="Normal 2 3 4 2 3 3 16" xfId="30201" xr:uid="{9FB27811-B31F-45EC-857D-6627CDD33CDA}"/>
    <cellStyle name="Normal 2 3 4 2 3 3 17" xfId="32091" xr:uid="{572C29B8-52B4-45CB-BB72-CA777638211B}"/>
    <cellStyle name="Normal 2 3 4 2 3 3 18" xfId="33981" xr:uid="{2228D59A-5D2A-44AA-A05C-183DB0FF2771}"/>
    <cellStyle name="Normal 2 3 4 2 3 3 19" xfId="35871" xr:uid="{094D0BF8-EAB1-4020-A9FD-14AA1A58817E}"/>
    <cellStyle name="Normal 2 3 4 2 3 3 2" xfId="3741" xr:uid="{D661C197-AE93-4D93-823D-C7A65EEE2C03}"/>
    <cellStyle name="Normal 2 3 4 2 3 3 20" xfId="37761" xr:uid="{1E1F62BB-BF96-44A2-BE5C-C87B0EF02136}"/>
    <cellStyle name="Normal 2 3 4 2 3 3 21" xfId="39651" xr:uid="{8D50CE86-5991-4707-A119-3FF2BDFDD4AA}"/>
    <cellStyle name="Normal 2 3 4 2 3 3 22" xfId="41542" xr:uid="{772B9FAA-C9F0-495D-B754-15EF348E51B2}"/>
    <cellStyle name="Normal 2 3 4 2 3 3 3" xfId="5631" xr:uid="{87024642-486D-4DA2-A083-31D3DB502933}"/>
    <cellStyle name="Normal 2 3 4 2 3 3 4" xfId="7521" xr:uid="{6A72E196-4396-432F-9603-CC8081958E40}"/>
    <cellStyle name="Normal 2 3 4 2 3 3 5" xfId="9411" xr:uid="{CC5072BE-2C16-4EEC-8CDA-36D555E4DD5A}"/>
    <cellStyle name="Normal 2 3 4 2 3 3 6" xfId="11301" xr:uid="{71805BAA-48A5-4E54-BF3F-400DA818DC1D}"/>
    <cellStyle name="Normal 2 3 4 2 3 3 7" xfId="13191" xr:uid="{995DFAEA-7F4C-4905-9738-8951EB935569}"/>
    <cellStyle name="Normal 2 3 4 2 3 3 8" xfId="15081" xr:uid="{CF40C5CC-B281-4301-A7C8-E45F5B5D108B}"/>
    <cellStyle name="Normal 2 3 4 2 3 3 9" xfId="16971" xr:uid="{C6B16865-B56C-4020-AD46-6EE2F96BC418}"/>
    <cellStyle name="Normal 2 3 4 2 3 4" xfId="2481" xr:uid="{7E333546-D24E-42F7-9326-E5EC6B7C88A2}"/>
    <cellStyle name="Normal 2 3 4 2 3 5" xfId="4371" xr:uid="{C76EFA14-EFB5-4F5A-98B1-1177646C6897}"/>
    <cellStyle name="Normal 2 3 4 2 3 6" xfId="6261" xr:uid="{C7BB71DD-BCDD-40D0-A370-9A4D6A4229CD}"/>
    <cellStyle name="Normal 2 3 4 2 3 7" xfId="8151" xr:uid="{2F138180-FA5B-4C15-B2A3-EB881723543C}"/>
    <cellStyle name="Normal 2 3 4 2 3 8" xfId="10041" xr:uid="{073B5B92-0F10-4644-BE2F-68C3D166171F}"/>
    <cellStyle name="Normal 2 3 4 2 3 9" xfId="11931" xr:uid="{85BC8349-7CDA-44CC-8778-3C263F85BC61}"/>
    <cellStyle name="Normal 2 3 4 2 4" xfId="801" xr:uid="{8BB08319-3DB3-49B9-843C-E2008817B7BE}"/>
    <cellStyle name="Normal 2 3 4 2 4 10" xfId="17811" xr:uid="{0BABB3A6-52DD-4FDE-BC3C-426875F1B639}"/>
    <cellStyle name="Normal 2 3 4 2 4 11" xfId="19701" xr:uid="{A5593EDB-6C3F-4E61-952C-BBA59ACA760B}"/>
    <cellStyle name="Normal 2 3 4 2 4 12" xfId="21591" xr:uid="{BC7221B5-5431-48AF-B240-1004A5EDE488}"/>
    <cellStyle name="Normal 2 3 4 2 4 13" xfId="23481" xr:uid="{AC797337-A1A7-4AA0-9D57-5BF609DB8069}"/>
    <cellStyle name="Normal 2 3 4 2 4 14" xfId="25371" xr:uid="{85FEFFB4-6598-4B6A-9541-01EEF29F5B17}"/>
    <cellStyle name="Normal 2 3 4 2 4 15" xfId="27261" xr:uid="{DCD4D236-7B2D-46ED-9D77-630B18848842}"/>
    <cellStyle name="Normal 2 3 4 2 4 16" xfId="29151" xr:uid="{5B98E752-C5ED-40A4-8CA2-5D984A6EC3DB}"/>
    <cellStyle name="Normal 2 3 4 2 4 17" xfId="31041" xr:uid="{414150DF-7794-488B-9C7A-AEEB155F985B}"/>
    <cellStyle name="Normal 2 3 4 2 4 18" xfId="32931" xr:uid="{B3453427-597B-4F95-ABC5-03298847908C}"/>
    <cellStyle name="Normal 2 3 4 2 4 19" xfId="34821" xr:uid="{C2765BCA-A404-46FE-9151-DE6377A120E9}"/>
    <cellStyle name="Normal 2 3 4 2 4 2" xfId="2691" xr:uid="{710D1717-E34C-403E-AA8F-A7F3CF4A9E97}"/>
    <cellStyle name="Normal 2 3 4 2 4 20" xfId="36711" xr:uid="{82EBFF0A-8D77-4880-A916-515904F8B3E7}"/>
    <cellStyle name="Normal 2 3 4 2 4 21" xfId="38601" xr:uid="{A5607F43-3679-4313-A516-C536FB887729}"/>
    <cellStyle name="Normal 2 3 4 2 4 22" xfId="40492" xr:uid="{683EA0C0-92D0-4071-A9A8-ABA4D6FED39B}"/>
    <cellStyle name="Normal 2 3 4 2 4 3" xfId="4581" xr:uid="{26BF8A69-495F-4C2D-8B03-96BE0FC9BFBD}"/>
    <cellStyle name="Normal 2 3 4 2 4 4" xfId="6471" xr:uid="{43F33779-2276-4F2F-B4F4-AF6F68EE0976}"/>
    <cellStyle name="Normal 2 3 4 2 4 5" xfId="8361" xr:uid="{A13D27B5-860D-4AE9-8A06-F75D731E3324}"/>
    <cellStyle name="Normal 2 3 4 2 4 6" xfId="10251" xr:uid="{D372152C-1596-48FA-82C0-4360E88637B6}"/>
    <cellStyle name="Normal 2 3 4 2 4 7" xfId="12141" xr:uid="{C359456F-4DAF-4EEE-A63A-0409F3C87298}"/>
    <cellStyle name="Normal 2 3 4 2 4 8" xfId="14031" xr:uid="{C48D543E-FBE6-43C4-A88F-5B5733D09FBA}"/>
    <cellStyle name="Normal 2 3 4 2 4 9" xfId="15921" xr:uid="{A4398C5A-51ED-4960-8A5E-33155C21B74D}"/>
    <cellStyle name="Normal 2 3 4 2 5" xfId="1431" xr:uid="{E1744AE7-8413-44B3-81BE-8A3830DA43DE}"/>
    <cellStyle name="Normal 2 3 4 2 5 10" xfId="18441" xr:uid="{A1E3E07B-C126-4034-98E8-8BB6F3CDC105}"/>
    <cellStyle name="Normal 2 3 4 2 5 11" xfId="20331" xr:uid="{B2E4B98D-12C2-492B-9D91-7D956D0A0FDB}"/>
    <cellStyle name="Normal 2 3 4 2 5 12" xfId="22221" xr:uid="{784C6949-D50C-4D1D-9A5C-E1F75E97F7EC}"/>
    <cellStyle name="Normal 2 3 4 2 5 13" xfId="24111" xr:uid="{16E71C76-BA6F-48F3-A359-6DC371ED8881}"/>
    <cellStyle name="Normal 2 3 4 2 5 14" xfId="26001" xr:uid="{B56C3107-B532-41C4-8276-6655190DAFEF}"/>
    <cellStyle name="Normal 2 3 4 2 5 15" xfId="27891" xr:uid="{E9DBF4E7-BCC4-4D3D-B577-C96D8D18061F}"/>
    <cellStyle name="Normal 2 3 4 2 5 16" xfId="29781" xr:uid="{313AC7F1-08F2-4217-8B5F-EB81B163B1B8}"/>
    <cellStyle name="Normal 2 3 4 2 5 17" xfId="31671" xr:uid="{AD2FA558-BB4C-4F5D-839D-578CD5439E94}"/>
    <cellStyle name="Normal 2 3 4 2 5 18" xfId="33561" xr:uid="{75141A88-25E0-4091-AFC8-32EF0EBFB804}"/>
    <cellStyle name="Normal 2 3 4 2 5 19" xfId="35451" xr:uid="{0F5AA75D-0CBD-447F-8356-68B0220CB8A5}"/>
    <cellStyle name="Normal 2 3 4 2 5 2" xfId="3321" xr:uid="{D949E6DE-4C7B-4280-9331-B3A10FF9BBCF}"/>
    <cellStyle name="Normal 2 3 4 2 5 20" xfId="37341" xr:uid="{6AFD4006-A39D-4E4E-8CE6-491C9FC6BFDE}"/>
    <cellStyle name="Normal 2 3 4 2 5 21" xfId="39231" xr:uid="{10E0CBBE-9655-4B42-A5CE-9A82CF5185A8}"/>
    <cellStyle name="Normal 2 3 4 2 5 22" xfId="41122" xr:uid="{B511B4E4-088D-4166-B250-0476FA80E3A0}"/>
    <cellStyle name="Normal 2 3 4 2 5 3" xfId="5211" xr:uid="{F376EE44-4705-4AA6-A836-B54BDFD942FF}"/>
    <cellStyle name="Normal 2 3 4 2 5 4" xfId="7101" xr:uid="{4F85867D-6BBB-4931-B0EA-0ABFCED248EA}"/>
    <cellStyle name="Normal 2 3 4 2 5 5" xfId="8991" xr:uid="{D935A967-B6A4-41D8-B17C-EA903800C05E}"/>
    <cellStyle name="Normal 2 3 4 2 5 6" xfId="10881" xr:uid="{42E90E65-1B14-4481-BDCD-DFECD7BF122E}"/>
    <cellStyle name="Normal 2 3 4 2 5 7" xfId="12771" xr:uid="{E03B9628-3927-4E18-AEAA-516D5404DAC7}"/>
    <cellStyle name="Normal 2 3 4 2 5 8" xfId="14661" xr:uid="{F98061B6-909F-4D7E-A8F5-00C237C4C5E0}"/>
    <cellStyle name="Normal 2 3 4 2 5 9" xfId="16551" xr:uid="{6ED879F1-7960-4EB4-8645-CDE15957565F}"/>
    <cellStyle name="Normal 2 3 4 2 6" xfId="2061" xr:uid="{7BD2C789-55A8-49BB-8052-6A55D7C31989}"/>
    <cellStyle name="Normal 2 3 4 2 7" xfId="3951" xr:uid="{35FABB23-3BEF-4356-B625-E9C9FB610114}"/>
    <cellStyle name="Normal 2 3 4 2 8" xfId="5841" xr:uid="{3A0FFD1D-8ACB-4976-823D-CBAD33E464D8}"/>
    <cellStyle name="Normal 2 3 4 2 9" xfId="7731" xr:uid="{9F4CBD64-A1FE-4C1F-917A-3256213B5F7B}"/>
    <cellStyle name="Normal 2 3 4 20" xfId="26526" xr:uid="{D110AABE-65E8-4871-B694-975F62184384}"/>
    <cellStyle name="Normal 2 3 4 21" xfId="28416" xr:uid="{117781FC-A36A-47AA-96EF-B231B45587FF}"/>
    <cellStyle name="Normal 2 3 4 22" xfId="30306" xr:uid="{C743AC8D-FC27-4D0E-AD64-AF40C9DCF02C}"/>
    <cellStyle name="Normal 2 3 4 23" xfId="32196" xr:uid="{418DBEFB-E8B9-4FC1-8D69-2175CC2B7F1B}"/>
    <cellStyle name="Normal 2 3 4 24" xfId="34086" xr:uid="{F1D759CC-F6C8-437A-9E47-D9DAAB3A8B5A}"/>
    <cellStyle name="Normal 2 3 4 25" xfId="35976" xr:uid="{B7AF9F72-AA25-4072-9E0B-C4B51635D529}"/>
    <cellStyle name="Normal 2 3 4 26" xfId="37866" xr:uid="{5B1180DF-CC5A-49FE-91C6-59D40C5A5F55}"/>
    <cellStyle name="Normal 2 3 4 27" xfId="39757" xr:uid="{B838E9E9-4840-4899-9B80-04376ADDAA87}"/>
    <cellStyle name="Normal 2 3 4 3" xfId="276" xr:uid="{8A92E7C6-EDF8-417D-8690-39652B46B43C}"/>
    <cellStyle name="Normal 2 3 4 3 10" xfId="13506" xr:uid="{535B4254-74D0-4D34-9B97-4510D671DE9C}"/>
    <cellStyle name="Normal 2 3 4 3 11" xfId="15396" xr:uid="{05C235BB-D6B3-4C9B-B63F-BDC84BE53027}"/>
    <cellStyle name="Normal 2 3 4 3 12" xfId="17286" xr:uid="{580B6C8E-B618-43E8-A47F-F3B58F245899}"/>
    <cellStyle name="Normal 2 3 4 3 13" xfId="19176" xr:uid="{3456398D-00A8-4FF9-B93A-0BC7CC4A19DE}"/>
    <cellStyle name="Normal 2 3 4 3 14" xfId="21066" xr:uid="{1E346296-CC2D-4509-A1C4-82CA2B522BB1}"/>
    <cellStyle name="Normal 2 3 4 3 15" xfId="22956" xr:uid="{7D80DAA1-195A-4ED2-8801-40CA3551B5E3}"/>
    <cellStyle name="Normal 2 3 4 3 16" xfId="24846" xr:uid="{665D0188-1B42-4251-92C8-2FC4A94523F9}"/>
    <cellStyle name="Normal 2 3 4 3 17" xfId="26736" xr:uid="{65071165-3763-4615-8135-A7D80CA7B5F4}"/>
    <cellStyle name="Normal 2 3 4 3 18" xfId="28626" xr:uid="{2EF6A1E0-5857-4B27-AC48-7226C65FD507}"/>
    <cellStyle name="Normal 2 3 4 3 19" xfId="30516" xr:uid="{E94FB0D0-02EA-4CD3-95CE-9146148E3FCC}"/>
    <cellStyle name="Normal 2 3 4 3 2" xfId="906" xr:uid="{BC95D609-D183-4D32-ACFE-BEAEBED4D217}"/>
    <cellStyle name="Normal 2 3 4 3 2 10" xfId="17916" xr:uid="{BD334E9F-CA50-4B6A-9BA8-4D3C1DB1CD38}"/>
    <cellStyle name="Normal 2 3 4 3 2 11" xfId="19806" xr:uid="{B883AD0A-486B-4922-A4DD-CB72433732AA}"/>
    <cellStyle name="Normal 2 3 4 3 2 12" xfId="21696" xr:uid="{E8C0BC22-449F-4D56-BC8E-A3611507C358}"/>
    <cellStyle name="Normal 2 3 4 3 2 13" xfId="23586" xr:uid="{D44F1FBF-201E-4572-BCF4-07CF92A547C4}"/>
    <cellStyle name="Normal 2 3 4 3 2 14" xfId="25476" xr:uid="{E2EB236C-7F28-446A-9360-9DAF98A5A76A}"/>
    <cellStyle name="Normal 2 3 4 3 2 15" xfId="27366" xr:uid="{087D67CC-1C6C-4515-852C-2B3CA6FDC39F}"/>
    <cellStyle name="Normal 2 3 4 3 2 16" xfId="29256" xr:uid="{620B79E2-D77A-4ED6-B4F3-3C042B968EEE}"/>
    <cellStyle name="Normal 2 3 4 3 2 17" xfId="31146" xr:uid="{C640DAF9-9BAF-4240-B87A-58B286D3C62D}"/>
    <cellStyle name="Normal 2 3 4 3 2 18" xfId="33036" xr:uid="{A95B3E9C-24E9-43D0-AB9D-E042CAB8F6C8}"/>
    <cellStyle name="Normal 2 3 4 3 2 19" xfId="34926" xr:uid="{56FEAE84-F7C8-4D6E-908C-377AEB6778BB}"/>
    <cellStyle name="Normal 2 3 4 3 2 2" xfId="2796" xr:uid="{670BF5BE-7109-4BAE-845E-13E14F9B9F40}"/>
    <cellStyle name="Normal 2 3 4 3 2 20" xfId="36816" xr:uid="{71E06E27-8C53-4E59-9317-A7E9D80F340F}"/>
    <cellStyle name="Normal 2 3 4 3 2 21" xfId="38706" xr:uid="{E8375AA0-2555-440E-8350-E85BFF9A4411}"/>
    <cellStyle name="Normal 2 3 4 3 2 22" xfId="40597" xr:uid="{1086BBB2-7D11-4337-92A1-2AE37DD7D7B9}"/>
    <cellStyle name="Normal 2 3 4 3 2 3" xfId="4686" xr:uid="{06BDA2DB-461D-4B30-9836-501F5F547CC3}"/>
    <cellStyle name="Normal 2 3 4 3 2 4" xfId="6576" xr:uid="{6759DECD-19BF-417F-A2CD-42E917E18C88}"/>
    <cellStyle name="Normal 2 3 4 3 2 5" xfId="8466" xr:uid="{0B6DCCDA-C174-4951-B0AE-35DA59EED6AA}"/>
    <cellStyle name="Normal 2 3 4 3 2 6" xfId="10356" xr:uid="{2BFBB352-DE1A-49B2-BF72-6015879D0378}"/>
    <cellStyle name="Normal 2 3 4 3 2 7" xfId="12246" xr:uid="{01C175A1-BFE1-4640-A245-727DF609A58E}"/>
    <cellStyle name="Normal 2 3 4 3 2 8" xfId="14136" xr:uid="{F880F37E-5BDC-402B-9D1F-DE572261CA0E}"/>
    <cellStyle name="Normal 2 3 4 3 2 9" xfId="16026" xr:uid="{BCE375AC-5E7C-4A3D-A3BF-20C6C8F281F2}"/>
    <cellStyle name="Normal 2 3 4 3 20" xfId="32406" xr:uid="{092952DF-229A-480C-9DB7-A01D85C1699B}"/>
    <cellStyle name="Normal 2 3 4 3 21" xfId="34296" xr:uid="{9B87ACD5-933C-47ED-B97C-B66A75BED720}"/>
    <cellStyle name="Normal 2 3 4 3 22" xfId="36186" xr:uid="{7E43DF81-F918-420D-9142-EC1F41493CA2}"/>
    <cellStyle name="Normal 2 3 4 3 23" xfId="38076" xr:uid="{27B6FCFE-3DD3-4F65-8936-324E343F6698}"/>
    <cellStyle name="Normal 2 3 4 3 24" xfId="39967" xr:uid="{68C23362-6EA7-480D-89B1-E2BF3D1B72C0}"/>
    <cellStyle name="Normal 2 3 4 3 3" xfId="1536" xr:uid="{C892343E-F22E-403E-A935-6BA6ACB78A69}"/>
    <cellStyle name="Normal 2 3 4 3 3 10" xfId="18546" xr:uid="{A70C675F-2152-4201-9648-6440D4FD15E9}"/>
    <cellStyle name="Normal 2 3 4 3 3 11" xfId="20436" xr:uid="{2CB36902-EA09-45D9-9BF3-D9050F43876B}"/>
    <cellStyle name="Normal 2 3 4 3 3 12" xfId="22326" xr:uid="{D908D215-0E9F-4F6F-B35C-D0B8C73FB9FF}"/>
    <cellStyle name="Normal 2 3 4 3 3 13" xfId="24216" xr:uid="{94B4EEB0-4246-4EF0-A4D7-AD897AF8F59B}"/>
    <cellStyle name="Normal 2 3 4 3 3 14" xfId="26106" xr:uid="{C6AD968E-DA1C-494C-83C1-99B6571C15A5}"/>
    <cellStyle name="Normal 2 3 4 3 3 15" xfId="27996" xr:uid="{A239C2F6-4D7C-4BF4-9B51-249CC4B89989}"/>
    <cellStyle name="Normal 2 3 4 3 3 16" xfId="29886" xr:uid="{8F18D21C-7647-469F-BAA3-9DB4914B1822}"/>
    <cellStyle name="Normal 2 3 4 3 3 17" xfId="31776" xr:uid="{A24C63D5-6549-4BE1-B707-2E5FC167439F}"/>
    <cellStyle name="Normal 2 3 4 3 3 18" xfId="33666" xr:uid="{CDD38678-7A31-4FA7-B03B-E98C9FCFC328}"/>
    <cellStyle name="Normal 2 3 4 3 3 19" xfId="35556" xr:uid="{FF71E81F-4365-4697-B212-B245B8ACC884}"/>
    <cellStyle name="Normal 2 3 4 3 3 2" xfId="3426" xr:uid="{ADF3EB24-2F79-4506-8D3B-A3146F24F759}"/>
    <cellStyle name="Normal 2 3 4 3 3 20" xfId="37446" xr:uid="{593C4C59-66BA-4A5D-804B-E4F4BF8E0272}"/>
    <cellStyle name="Normal 2 3 4 3 3 21" xfId="39336" xr:uid="{97A0F4BC-0FB7-4DDF-89BE-5CD0556F8B31}"/>
    <cellStyle name="Normal 2 3 4 3 3 22" xfId="41227" xr:uid="{E95CC59A-F494-4292-BAAF-A34CF245CB6B}"/>
    <cellStyle name="Normal 2 3 4 3 3 3" xfId="5316" xr:uid="{1D83D025-7182-4475-A10D-73DA2486FF67}"/>
    <cellStyle name="Normal 2 3 4 3 3 4" xfId="7206" xr:uid="{E6D52377-E28D-4B4C-A686-6F32AEC81298}"/>
    <cellStyle name="Normal 2 3 4 3 3 5" xfId="9096" xr:uid="{FB3E43DB-5A9C-48A6-87DF-A2EE1DC452C4}"/>
    <cellStyle name="Normal 2 3 4 3 3 6" xfId="10986" xr:uid="{57A4077C-8169-4399-916F-A9D7B1864705}"/>
    <cellStyle name="Normal 2 3 4 3 3 7" xfId="12876" xr:uid="{C4FE5711-2373-41C3-9765-E72888B77DB9}"/>
    <cellStyle name="Normal 2 3 4 3 3 8" xfId="14766" xr:uid="{911CBC5F-AF1B-42B5-91FB-A4B68012F8DE}"/>
    <cellStyle name="Normal 2 3 4 3 3 9" xfId="16656" xr:uid="{506229BE-325C-46AE-8337-305A01F8907F}"/>
    <cellStyle name="Normal 2 3 4 3 4" xfId="2166" xr:uid="{D2CEDC30-F1A2-450B-972C-1E3E9074B7EE}"/>
    <cellStyle name="Normal 2 3 4 3 5" xfId="4056" xr:uid="{1AD27D92-C952-4C7C-8CE3-93F3A7F6778F}"/>
    <cellStyle name="Normal 2 3 4 3 6" xfId="5946" xr:uid="{B567F772-A464-4857-8A54-AA5872665F66}"/>
    <cellStyle name="Normal 2 3 4 3 7" xfId="7836" xr:uid="{EEB686D0-71C0-4890-B8E6-AA98BC46A03D}"/>
    <cellStyle name="Normal 2 3 4 3 8" xfId="9726" xr:uid="{D998F502-EBBB-4A21-9E54-DFF8B9E5C7D5}"/>
    <cellStyle name="Normal 2 3 4 3 9" xfId="11616" xr:uid="{C44D7466-D0AD-4E15-8293-013FE30718C3}"/>
    <cellStyle name="Normal 2 3 4 4" xfId="486" xr:uid="{B481E5E4-587F-43EC-A71D-4882794D8D6E}"/>
    <cellStyle name="Normal 2 3 4 4 10" xfId="13716" xr:uid="{1FEFA796-3914-4383-A511-21EEBB5D22BB}"/>
    <cellStyle name="Normal 2 3 4 4 11" xfId="15606" xr:uid="{0C4F1C4F-4212-4B0A-9077-6B175D8D944D}"/>
    <cellStyle name="Normal 2 3 4 4 12" xfId="17496" xr:uid="{2A4897B3-689E-4987-9277-FE010C9CB1E8}"/>
    <cellStyle name="Normal 2 3 4 4 13" xfId="19386" xr:uid="{535B2F86-CE5C-4EA3-94A0-54AE53033D21}"/>
    <cellStyle name="Normal 2 3 4 4 14" xfId="21276" xr:uid="{7AF5CCB0-F640-43F8-973A-77E15F0E811B}"/>
    <cellStyle name="Normal 2 3 4 4 15" xfId="23166" xr:uid="{4B7FABE5-9AFF-4FBB-81A0-94125EE9B325}"/>
    <cellStyle name="Normal 2 3 4 4 16" xfId="25056" xr:uid="{004519B2-6B26-4ACA-9AE3-7CA4CB540F95}"/>
    <cellStyle name="Normal 2 3 4 4 17" xfId="26946" xr:uid="{D09B5AD4-22B3-4E0D-AE67-477F816DF57C}"/>
    <cellStyle name="Normal 2 3 4 4 18" xfId="28836" xr:uid="{71D417C8-F0D5-4DEB-B6E3-607BB1C04008}"/>
    <cellStyle name="Normal 2 3 4 4 19" xfId="30726" xr:uid="{33FCBAD3-DB02-4B6E-AC7F-F0D878E19F4D}"/>
    <cellStyle name="Normal 2 3 4 4 2" xfId="1116" xr:uid="{AB923C23-3E87-4095-B93D-E12C9627691B}"/>
    <cellStyle name="Normal 2 3 4 4 2 10" xfId="18126" xr:uid="{641287C6-FDA1-49C2-A8E9-8AB2A22AF59E}"/>
    <cellStyle name="Normal 2 3 4 4 2 11" xfId="20016" xr:uid="{919D8E93-5E4D-42A3-8452-0430F20BCDD9}"/>
    <cellStyle name="Normal 2 3 4 4 2 12" xfId="21906" xr:uid="{5B4C3043-A431-4460-ABD9-C4878E11D8DF}"/>
    <cellStyle name="Normal 2 3 4 4 2 13" xfId="23796" xr:uid="{1C092EE8-E4C2-4F51-AD0E-C842C50D4C0C}"/>
    <cellStyle name="Normal 2 3 4 4 2 14" xfId="25686" xr:uid="{F1AA6ED3-5FEA-46C5-8164-4F7BE8CDCBBB}"/>
    <cellStyle name="Normal 2 3 4 4 2 15" xfId="27576" xr:uid="{8097E77C-E8B7-4E08-9092-DEBA1719499E}"/>
    <cellStyle name="Normal 2 3 4 4 2 16" xfId="29466" xr:uid="{FD484E1C-ADBA-4DF1-A60B-BEAC4465AB4D}"/>
    <cellStyle name="Normal 2 3 4 4 2 17" xfId="31356" xr:uid="{29D4C49E-A201-4041-810B-2B945F653F4A}"/>
    <cellStyle name="Normal 2 3 4 4 2 18" xfId="33246" xr:uid="{17521530-F81D-4E66-9550-BEFA66BC8D5D}"/>
    <cellStyle name="Normal 2 3 4 4 2 19" xfId="35136" xr:uid="{E21EBA54-6DE9-424C-9D8E-F7D7D0394F5C}"/>
    <cellStyle name="Normal 2 3 4 4 2 2" xfId="3006" xr:uid="{2C985AC9-B20B-42E6-A5BA-BFD713D0B975}"/>
    <cellStyle name="Normal 2 3 4 4 2 20" xfId="37026" xr:uid="{63B41FA8-192A-42DB-9C06-C8BCB6CEB4AC}"/>
    <cellStyle name="Normal 2 3 4 4 2 21" xfId="38916" xr:uid="{4AE3E852-2A62-431C-9538-CEC4FA8DB19E}"/>
    <cellStyle name="Normal 2 3 4 4 2 22" xfId="40807" xr:uid="{596C8B3E-DAA0-486E-BCC7-8AA9AA05527B}"/>
    <cellStyle name="Normal 2 3 4 4 2 3" xfId="4896" xr:uid="{368FDB9E-6233-44BA-8FF2-4A10EE694629}"/>
    <cellStyle name="Normal 2 3 4 4 2 4" xfId="6786" xr:uid="{DD75F92D-C4B2-4C05-992C-ACC675EBA752}"/>
    <cellStyle name="Normal 2 3 4 4 2 5" xfId="8676" xr:uid="{50198718-25AF-488E-86CD-719AA6DF98B1}"/>
    <cellStyle name="Normal 2 3 4 4 2 6" xfId="10566" xr:uid="{3AAA0F58-7415-4AC8-A7C8-EF5F831A66E3}"/>
    <cellStyle name="Normal 2 3 4 4 2 7" xfId="12456" xr:uid="{0E35BD59-BC65-4871-BC9F-BBF014A3CD98}"/>
    <cellStyle name="Normal 2 3 4 4 2 8" xfId="14346" xr:uid="{79186420-DD70-4BF8-A435-238129467973}"/>
    <cellStyle name="Normal 2 3 4 4 2 9" xfId="16236" xr:uid="{6339DE47-CBFA-439A-86E9-CDF16B0627FB}"/>
    <cellStyle name="Normal 2 3 4 4 20" xfId="32616" xr:uid="{C39518F6-CDA4-4C2E-9731-D327C1CBC21B}"/>
    <cellStyle name="Normal 2 3 4 4 21" xfId="34506" xr:uid="{BB57DCFE-472A-4D60-9A53-D08E4E0BC3B2}"/>
    <cellStyle name="Normal 2 3 4 4 22" xfId="36396" xr:uid="{EE37F398-C1C4-4826-AA87-D7EAE297A634}"/>
    <cellStyle name="Normal 2 3 4 4 23" xfId="38286" xr:uid="{CF0A8A23-3EFD-4E68-BCDD-9694D2713400}"/>
    <cellStyle name="Normal 2 3 4 4 24" xfId="40177" xr:uid="{DFB5289D-5335-412D-8F9D-B87DD29808FA}"/>
    <cellStyle name="Normal 2 3 4 4 3" xfId="1746" xr:uid="{18959B5F-0441-44A5-8BDF-3C65AE9CBFEB}"/>
    <cellStyle name="Normal 2 3 4 4 3 10" xfId="18756" xr:uid="{0F8E4C5A-364C-4793-8288-2D674E6F8D3B}"/>
    <cellStyle name="Normal 2 3 4 4 3 11" xfId="20646" xr:uid="{5D7E7553-2399-46ED-85B9-129B5785897D}"/>
    <cellStyle name="Normal 2 3 4 4 3 12" xfId="22536" xr:uid="{F09E8EEC-064E-486F-BE79-8A5F372317AB}"/>
    <cellStyle name="Normal 2 3 4 4 3 13" xfId="24426" xr:uid="{0423CB8F-6B90-4928-B1BC-1C934252BFA6}"/>
    <cellStyle name="Normal 2 3 4 4 3 14" xfId="26316" xr:uid="{E92A996F-14EB-47DC-97B8-0A4AE7BCCB67}"/>
    <cellStyle name="Normal 2 3 4 4 3 15" xfId="28206" xr:uid="{0C1F3738-C25C-490B-B115-20646D536D9E}"/>
    <cellStyle name="Normal 2 3 4 4 3 16" xfId="30096" xr:uid="{A6D475D1-8144-4079-B2AA-8A0F6AE8E8E5}"/>
    <cellStyle name="Normal 2 3 4 4 3 17" xfId="31986" xr:uid="{192B9845-2847-4EE4-A97E-0F41E93D62A6}"/>
    <cellStyle name="Normal 2 3 4 4 3 18" xfId="33876" xr:uid="{6862F9E6-614C-4BCB-B02A-2781E2C707F4}"/>
    <cellStyle name="Normal 2 3 4 4 3 19" xfId="35766" xr:uid="{0E12C268-1270-4642-98E5-7626A6D443E6}"/>
    <cellStyle name="Normal 2 3 4 4 3 2" xfId="3636" xr:uid="{E08D0250-A6A1-4EDF-A576-419DEE6C245E}"/>
    <cellStyle name="Normal 2 3 4 4 3 20" xfId="37656" xr:uid="{B0A891C7-F5FC-47E6-B043-476EC132E981}"/>
    <cellStyle name="Normal 2 3 4 4 3 21" xfId="39546" xr:uid="{7E7997D1-5CA0-49C3-A2A5-93F7CB399BCD}"/>
    <cellStyle name="Normal 2 3 4 4 3 22" xfId="41437" xr:uid="{8211A673-800C-4BB4-8854-FE1831DD0D38}"/>
    <cellStyle name="Normal 2 3 4 4 3 3" xfId="5526" xr:uid="{E733C3F4-9673-44F3-8F39-BDF2D61341A5}"/>
    <cellStyle name="Normal 2 3 4 4 3 4" xfId="7416" xr:uid="{4A9D3625-26DB-457A-8290-DCE239BA6A4B}"/>
    <cellStyle name="Normal 2 3 4 4 3 5" xfId="9306" xr:uid="{701857B9-C155-4139-8C30-7C589E6439ED}"/>
    <cellStyle name="Normal 2 3 4 4 3 6" xfId="11196" xr:uid="{5C9904A6-D877-4E78-985F-4E022B94E769}"/>
    <cellStyle name="Normal 2 3 4 4 3 7" xfId="13086" xr:uid="{F9DEF080-C506-41A2-9003-F821D217A56D}"/>
    <cellStyle name="Normal 2 3 4 4 3 8" xfId="14976" xr:uid="{6E8CB59E-6F2C-48A7-A717-75F60FE0654C}"/>
    <cellStyle name="Normal 2 3 4 4 3 9" xfId="16866" xr:uid="{064E4E48-E56C-425C-AAE9-FB23627C2ADE}"/>
    <cellStyle name="Normal 2 3 4 4 4" xfId="2376" xr:uid="{CDF70F0D-F1B9-447D-9966-13C084593BCF}"/>
    <cellStyle name="Normal 2 3 4 4 5" xfId="4266" xr:uid="{4D7BD965-EF7A-47FB-96C4-B3F8FC5F370E}"/>
    <cellStyle name="Normal 2 3 4 4 6" xfId="6156" xr:uid="{2959715C-5998-4A0D-AF62-0E682DCC2905}"/>
    <cellStyle name="Normal 2 3 4 4 7" xfId="8046" xr:uid="{0E1C8848-4A67-42BC-B1FB-34678DA10CBD}"/>
    <cellStyle name="Normal 2 3 4 4 8" xfId="9936" xr:uid="{E3CA9FAA-76E6-4B76-8FE2-9CC7454E0DCF}"/>
    <cellStyle name="Normal 2 3 4 4 9" xfId="11826" xr:uid="{5AA9D6D4-6E50-4D3D-AF69-9754211B519F}"/>
    <cellStyle name="Normal 2 3 4 5" xfId="696" xr:uid="{4678A963-9815-4A67-AC0F-97DA0B042484}"/>
    <cellStyle name="Normal 2 3 4 5 10" xfId="17706" xr:uid="{C75AD535-758C-4DFE-995C-808C60D8B47A}"/>
    <cellStyle name="Normal 2 3 4 5 11" xfId="19596" xr:uid="{017C2BAA-EA5E-43C3-8BD8-9972677C0FC1}"/>
    <cellStyle name="Normal 2 3 4 5 12" xfId="21486" xr:uid="{12087F2C-8E18-4373-87AE-ED6CDEF3C611}"/>
    <cellStyle name="Normal 2 3 4 5 13" xfId="23376" xr:uid="{EE9ADCF0-31EE-4B5F-A5AC-A010002D659F}"/>
    <cellStyle name="Normal 2 3 4 5 14" xfId="25266" xr:uid="{EB20F824-22EE-4539-A9E1-D289CC253E58}"/>
    <cellStyle name="Normal 2 3 4 5 15" xfId="27156" xr:uid="{C883A38D-39A8-4A42-83C4-8ACA76725A82}"/>
    <cellStyle name="Normal 2 3 4 5 16" xfId="29046" xr:uid="{88BF2EAE-3691-4B95-B728-F7B8847C5A1A}"/>
    <cellStyle name="Normal 2 3 4 5 17" xfId="30936" xr:uid="{6852775A-F5A5-459D-A78B-04CF130E806E}"/>
    <cellStyle name="Normal 2 3 4 5 18" xfId="32826" xr:uid="{48C70EC4-D4F3-4269-A5EE-103164377E7F}"/>
    <cellStyle name="Normal 2 3 4 5 19" xfId="34716" xr:uid="{C340E19B-F79B-410E-B43D-8D82B30C636F}"/>
    <cellStyle name="Normal 2 3 4 5 2" xfId="2586" xr:uid="{98CCCF5C-E2EB-4F56-92FD-8B6F608B96FA}"/>
    <cellStyle name="Normal 2 3 4 5 20" xfId="36606" xr:uid="{0581A7BB-924E-4900-981A-568659B3B302}"/>
    <cellStyle name="Normal 2 3 4 5 21" xfId="38496" xr:uid="{D4CF014C-CD4E-4B0D-A376-5A44F369D1B9}"/>
    <cellStyle name="Normal 2 3 4 5 22" xfId="40387" xr:uid="{EAB9E4FD-376F-4D66-BFC7-34BF2301B459}"/>
    <cellStyle name="Normal 2 3 4 5 3" xfId="4476" xr:uid="{E626A9C8-861D-4D82-871B-155715C5CC7E}"/>
    <cellStyle name="Normal 2 3 4 5 4" xfId="6366" xr:uid="{60CFF4EE-FBF4-4D30-8737-915A2F1B4EBF}"/>
    <cellStyle name="Normal 2 3 4 5 5" xfId="8256" xr:uid="{31932B8A-C0C4-4F3F-84F9-76FC2E0AD0F1}"/>
    <cellStyle name="Normal 2 3 4 5 6" xfId="10146" xr:uid="{F197C884-2E6E-46E8-8FB1-7934C0288DBD}"/>
    <cellStyle name="Normal 2 3 4 5 7" xfId="12036" xr:uid="{B364B8B6-4F69-4B1E-817D-2866B9E0F472}"/>
    <cellStyle name="Normal 2 3 4 5 8" xfId="13926" xr:uid="{B594B2E6-0D3F-4972-B251-D7E9D154DB2B}"/>
    <cellStyle name="Normal 2 3 4 5 9" xfId="15816" xr:uid="{568016A4-FE73-4D2F-8F5D-628FB00D1D67}"/>
    <cellStyle name="Normal 2 3 4 6" xfId="1326" xr:uid="{04AA91E2-7AC8-4C24-9B6C-CC84DD73CC34}"/>
    <cellStyle name="Normal 2 3 4 6 10" xfId="18336" xr:uid="{335CA2E2-3BAA-420F-9A73-5AF7FF7D72B3}"/>
    <cellStyle name="Normal 2 3 4 6 11" xfId="20226" xr:uid="{237F6ED5-5868-445D-8088-D11BA0CCE1A0}"/>
    <cellStyle name="Normal 2 3 4 6 12" xfId="22116" xr:uid="{0EAFC06D-0BC5-47F0-86D6-5213C9E663A3}"/>
    <cellStyle name="Normal 2 3 4 6 13" xfId="24006" xr:uid="{A18ABEB0-5D47-4917-A275-0BF82EF620A2}"/>
    <cellStyle name="Normal 2 3 4 6 14" xfId="25896" xr:uid="{6A206BF2-C775-419A-9EDE-B13D1C3AF108}"/>
    <cellStyle name="Normal 2 3 4 6 15" xfId="27786" xr:uid="{723AB813-B3CF-4149-A44C-A64D83F6CAD0}"/>
    <cellStyle name="Normal 2 3 4 6 16" xfId="29676" xr:uid="{775013F4-C862-4138-BA74-E42FD58BB034}"/>
    <cellStyle name="Normal 2 3 4 6 17" xfId="31566" xr:uid="{A0CC0911-1E6E-4817-B062-79CE99FF825C}"/>
    <cellStyle name="Normal 2 3 4 6 18" xfId="33456" xr:uid="{B27E960B-0859-49C0-988B-ED7FD0B7AEA1}"/>
    <cellStyle name="Normal 2 3 4 6 19" xfId="35346" xr:uid="{5B1A087A-FB73-4179-BF12-5506E714752C}"/>
    <cellStyle name="Normal 2 3 4 6 2" xfId="3216" xr:uid="{D0669ABC-50AD-4EA7-91FE-32768B863F98}"/>
    <cellStyle name="Normal 2 3 4 6 20" xfId="37236" xr:uid="{13CF6F63-05AA-47B8-9FAB-93E9123E3141}"/>
    <cellStyle name="Normal 2 3 4 6 21" xfId="39126" xr:uid="{9FE50A69-31C5-4838-93B7-6DE8F0E37368}"/>
    <cellStyle name="Normal 2 3 4 6 22" xfId="41017" xr:uid="{118EE8D1-E25D-45D9-B09F-E9FC3B895EEB}"/>
    <cellStyle name="Normal 2 3 4 6 3" xfId="5106" xr:uid="{01874BD6-25C7-4E91-A7B4-DF1647DBEFB0}"/>
    <cellStyle name="Normal 2 3 4 6 4" xfId="6996" xr:uid="{4F8AB8C7-50E5-4363-A9DC-5D44FDFB0338}"/>
    <cellStyle name="Normal 2 3 4 6 5" xfId="8886" xr:uid="{79A3543D-A995-490B-855F-15B153F53ED1}"/>
    <cellStyle name="Normal 2 3 4 6 6" xfId="10776" xr:uid="{23D9B85B-7774-4DF5-8AC0-73DF4E5A3853}"/>
    <cellStyle name="Normal 2 3 4 6 7" xfId="12666" xr:uid="{0CB65C89-F86E-42E0-8B80-08CBC4845533}"/>
    <cellStyle name="Normal 2 3 4 6 8" xfId="14556" xr:uid="{151B0437-3796-4814-BD5C-C6BDD1266938}"/>
    <cellStyle name="Normal 2 3 4 6 9" xfId="16446" xr:uid="{E8DC5DED-2DD7-4465-8FF1-9445F9FF5347}"/>
    <cellStyle name="Normal 2 3 4 7" xfId="1956" xr:uid="{40B68E69-676A-4A29-B376-3BD88370121F}"/>
    <cellStyle name="Normal 2 3 4 8" xfId="3846" xr:uid="{E6DF7CB5-DE13-47AA-A221-2C228A492500}"/>
    <cellStyle name="Normal 2 3 4 9" xfId="5736" xr:uid="{CA06E02A-733E-4FF2-B642-85D3A2D6B0E1}"/>
    <cellStyle name="Normal 2 3 5" xfId="53" xr:uid="{7647F173-C90D-4AFC-81C6-20739257EC8D}"/>
    <cellStyle name="Normal 2 3 5 10" xfId="7635" xr:uid="{3F21CB45-A020-458F-B259-2F3F166DD62B}"/>
    <cellStyle name="Normal 2 3 5 11" xfId="9525" xr:uid="{02C3E942-57E5-4706-A86D-891EB8E04968}"/>
    <cellStyle name="Normal 2 3 5 12" xfId="11415" xr:uid="{E1E995D8-6A71-4440-8481-181CB5164840}"/>
    <cellStyle name="Normal 2 3 5 13" xfId="13305" xr:uid="{827C94E4-745D-4F68-B6A2-FE91CEA61A83}"/>
    <cellStyle name="Normal 2 3 5 14" xfId="15195" xr:uid="{ADFDE7CB-E527-4946-8CB5-D28BC35BCF2D}"/>
    <cellStyle name="Normal 2 3 5 15" xfId="17085" xr:uid="{02BB68E3-6F68-40F4-9567-93272EC8A8C2}"/>
    <cellStyle name="Normal 2 3 5 16" xfId="18975" xr:uid="{3332A601-896F-45B6-968B-A6CFC2D5CF02}"/>
    <cellStyle name="Normal 2 3 5 17" xfId="20865" xr:uid="{033CFE4F-F3BF-4A2A-92DB-C192A115094F}"/>
    <cellStyle name="Normal 2 3 5 18" xfId="22755" xr:uid="{9A0FB719-BA79-4F2B-8566-FD5D5F9416C9}"/>
    <cellStyle name="Normal 2 3 5 19" xfId="24645" xr:uid="{F1917186-8641-4494-9DCC-3BB96667F388}"/>
    <cellStyle name="Normal 2 3 5 2" xfId="180" xr:uid="{87F15944-797C-4FEB-A0D4-7EB81E22ABF1}"/>
    <cellStyle name="Normal 2 3 5 2 10" xfId="9630" xr:uid="{F807C332-A7C1-4097-A3E2-FF6ED1CBD38B}"/>
    <cellStyle name="Normal 2 3 5 2 11" xfId="11520" xr:uid="{53A956C7-3385-4EDC-AED4-1D4413BCB09E}"/>
    <cellStyle name="Normal 2 3 5 2 12" xfId="13410" xr:uid="{4E6113BC-397C-4BE6-BB79-2EA1A2B47BFD}"/>
    <cellStyle name="Normal 2 3 5 2 13" xfId="15300" xr:uid="{6942DBC6-4524-4EE1-BACF-FA27A60EA914}"/>
    <cellStyle name="Normal 2 3 5 2 14" xfId="17190" xr:uid="{03ED87F4-69E8-42B8-933E-D4963FE8A51F}"/>
    <cellStyle name="Normal 2 3 5 2 15" xfId="19080" xr:uid="{67A53097-18D8-4A8F-9A4C-1769C418996E}"/>
    <cellStyle name="Normal 2 3 5 2 16" xfId="20970" xr:uid="{8E2BFB35-4E0E-4055-83C2-AB3830F9F57E}"/>
    <cellStyle name="Normal 2 3 5 2 17" xfId="22860" xr:uid="{DF96385A-4815-4B90-8CE2-71471657028F}"/>
    <cellStyle name="Normal 2 3 5 2 18" xfId="24750" xr:uid="{F4F5024C-E7A6-44FF-8A12-BB9A5B92D6FD}"/>
    <cellStyle name="Normal 2 3 5 2 19" xfId="26640" xr:uid="{57BAD9FC-7481-433F-9051-A2ECAD012117}"/>
    <cellStyle name="Normal 2 3 5 2 2" xfId="390" xr:uid="{DD0224B5-730F-4113-93F0-EABC23CCBEBF}"/>
    <cellStyle name="Normal 2 3 5 2 2 10" xfId="13620" xr:uid="{BCD239B2-F3F6-42C4-8486-30295B947625}"/>
    <cellStyle name="Normal 2 3 5 2 2 11" xfId="15510" xr:uid="{F56FA0EC-E9FA-4820-AA69-CC60928B7279}"/>
    <cellStyle name="Normal 2 3 5 2 2 12" xfId="17400" xr:uid="{AEF2ECE1-35EF-48A9-90A5-A69B9B5C16E0}"/>
    <cellStyle name="Normal 2 3 5 2 2 13" xfId="19290" xr:uid="{65E95018-5DFD-48C4-A651-BEC68FD7A7E1}"/>
    <cellStyle name="Normal 2 3 5 2 2 14" xfId="21180" xr:uid="{07BC9864-0510-4845-B999-4D8865D2DFF2}"/>
    <cellStyle name="Normal 2 3 5 2 2 15" xfId="23070" xr:uid="{DB4B96B1-8FAB-41C2-93C3-BD02A3C96EBE}"/>
    <cellStyle name="Normal 2 3 5 2 2 16" xfId="24960" xr:uid="{44350601-CB53-4EC5-997D-09F308E111C5}"/>
    <cellStyle name="Normal 2 3 5 2 2 17" xfId="26850" xr:uid="{96F7AAC8-8657-4E4A-A2F0-1A0FBDF11984}"/>
    <cellStyle name="Normal 2 3 5 2 2 18" xfId="28740" xr:uid="{8DE3003A-32BC-408B-B59C-BEE5CC43C7A0}"/>
    <cellStyle name="Normal 2 3 5 2 2 19" xfId="30630" xr:uid="{A8024A1E-72B4-4A38-AC51-CF6F8CE87247}"/>
    <cellStyle name="Normal 2 3 5 2 2 2" xfId="1020" xr:uid="{FB42DD2F-8854-46AE-8E46-470B4110C19D}"/>
    <cellStyle name="Normal 2 3 5 2 2 2 10" xfId="18030" xr:uid="{E4A628C4-A850-4445-AE48-1C702A19037A}"/>
    <cellStyle name="Normal 2 3 5 2 2 2 11" xfId="19920" xr:uid="{A33C37E0-B60F-4867-938B-E4C1D92D5168}"/>
    <cellStyle name="Normal 2 3 5 2 2 2 12" xfId="21810" xr:uid="{9E99C480-8C17-4041-A1C6-8AC52413EC09}"/>
    <cellStyle name="Normal 2 3 5 2 2 2 13" xfId="23700" xr:uid="{B2252DD2-2711-4AB6-BEB3-017BB04D3ABC}"/>
    <cellStyle name="Normal 2 3 5 2 2 2 14" xfId="25590" xr:uid="{EAB0EC50-13B9-42D7-8F7D-18F0B4724C89}"/>
    <cellStyle name="Normal 2 3 5 2 2 2 15" xfId="27480" xr:uid="{F39F12F1-2926-4555-BD4C-EED43CBD0F5D}"/>
    <cellStyle name="Normal 2 3 5 2 2 2 16" xfId="29370" xr:uid="{FB273059-3013-44EC-9D2E-71A8333747CF}"/>
    <cellStyle name="Normal 2 3 5 2 2 2 17" xfId="31260" xr:uid="{1B86F286-16DC-4BF9-A769-8A1A60CFF590}"/>
    <cellStyle name="Normal 2 3 5 2 2 2 18" xfId="33150" xr:uid="{49003A38-629A-42A8-8F81-3B78C132FC00}"/>
    <cellStyle name="Normal 2 3 5 2 2 2 19" xfId="35040" xr:uid="{13DF246B-2AF0-4388-95B8-62B3783B19EE}"/>
    <cellStyle name="Normal 2 3 5 2 2 2 2" xfId="2910" xr:uid="{477445C6-B572-47F8-AE83-335AC85FD27A}"/>
    <cellStyle name="Normal 2 3 5 2 2 2 20" xfId="36930" xr:uid="{5C122BA7-CAE7-4A0F-9536-B77EDA97D88E}"/>
    <cellStyle name="Normal 2 3 5 2 2 2 21" xfId="38820" xr:uid="{77F053B5-8C3A-4AA3-9BA8-42F342FE6997}"/>
    <cellStyle name="Normal 2 3 5 2 2 2 22" xfId="40711" xr:uid="{B1BFC64B-A020-4A9A-AA72-AA22DD8261ED}"/>
    <cellStyle name="Normal 2 3 5 2 2 2 3" xfId="4800" xr:uid="{28A04152-B3F6-45A2-B990-9F90AB60B1BE}"/>
    <cellStyle name="Normal 2 3 5 2 2 2 4" xfId="6690" xr:uid="{7A8B3BFE-2C67-454D-980C-1402DF5403F8}"/>
    <cellStyle name="Normal 2 3 5 2 2 2 5" xfId="8580" xr:uid="{1D04B8EA-FE7E-481E-B850-1E044DE6C951}"/>
    <cellStyle name="Normal 2 3 5 2 2 2 6" xfId="10470" xr:uid="{18353F27-C4EB-47E4-8DA4-36AAAE713B9B}"/>
    <cellStyle name="Normal 2 3 5 2 2 2 7" xfId="12360" xr:uid="{DD128278-1BD3-456A-9700-366EFC9B6FE4}"/>
    <cellStyle name="Normal 2 3 5 2 2 2 8" xfId="14250" xr:uid="{5D438DD9-34AC-4292-B1BD-428090544E39}"/>
    <cellStyle name="Normal 2 3 5 2 2 2 9" xfId="16140" xr:uid="{884419DC-E07F-4A2C-87E6-0A5A32CA4CAD}"/>
    <cellStyle name="Normal 2 3 5 2 2 20" xfId="32520" xr:uid="{F8186C1B-150F-493D-AE4A-ACCCE5F4FD4F}"/>
    <cellStyle name="Normal 2 3 5 2 2 21" xfId="34410" xr:uid="{5B631B77-5271-416D-A659-D83EC70D7A92}"/>
    <cellStyle name="Normal 2 3 5 2 2 22" xfId="36300" xr:uid="{03EB2B41-3B2A-4486-A424-FAC334189F77}"/>
    <cellStyle name="Normal 2 3 5 2 2 23" xfId="38190" xr:uid="{E93E35C6-1328-4288-B928-E45E45C67F94}"/>
    <cellStyle name="Normal 2 3 5 2 2 24" xfId="40081" xr:uid="{788202BF-2511-4DDE-81C6-48E37D09D66A}"/>
    <cellStyle name="Normal 2 3 5 2 2 3" xfId="1650" xr:uid="{C2E0AC70-3E87-492D-9003-8CCA204F9CBF}"/>
    <cellStyle name="Normal 2 3 5 2 2 3 10" xfId="18660" xr:uid="{5D893343-2EB2-479A-8467-2DB5383EBD01}"/>
    <cellStyle name="Normal 2 3 5 2 2 3 11" xfId="20550" xr:uid="{C022C488-C0A3-4036-9121-CED9BE7B0091}"/>
    <cellStyle name="Normal 2 3 5 2 2 3 12" xfId="22440" xr:uid="{41E0B2D2-A21A-4025-9D5C-3F487034D323}"/>
    <cellStyle name="Normal 2 3 5 2 2 3 13" xfId="24330" xr:uid="{96C0FEF1-438A-429C-99B5-7EA90340BF74}"/>
    <cellStyle name="Normal 2 3 5 2 2 3 14" xfId="26220" xr:uid="{BC06FD93-06E7-4B4B-884E-94A97ECE1A69}"/>
    <cellStyle name="Normal 2 3 5 2 2 3 15" xfId="28110" xr:uid="{E0CC2A84-75EC-429F-B09A-BE9F66F3B024}"/>
    <cellStyle name="Normal 2 3 5 2 2 3 16" xfId="30000" xr:uid="{442453D0-0C9F-4E7A-934F-5604658ED0B7}"/>
    <cellStyle name="Normal 2 3 5 2 2 3 17" xfId="31890" xr:uid="{1271C16A-E227-4C08-B24D-24F9C9AFA314}"/>
    <cellStyle name="Normal 2 3 5 2 2 3 18" xfId="33780" xr:uid="{D408C6E1-957F-441B-8FF9-724EFB476254}"/>
    <cellStyle name="Normal 2 3 5 2 2 3 19" xfId="35670" xr:uid="{1AF5D005-458F-420E-8BA5-3180E848EC90}"/>
    <cellStyle name="Normal 2 3 5 2 2 3 2" xfId="3540" xr:uid="{74D94D39-9687-443A-A9E4-848327E322D2}"/>
    <cellStyle name="Normal 2 3 5 2 2 3 20" xfId="37560" xr:uid="{DE974504-255E-4FB6-ACBE-988BF9EC57C7}"/>
    <cellStyle name="Normal 2 3 5 2 2 3 21" xfId="39450" xr:uid="{BCC8EC69-81B9-47C6-829F-14ABECDC3B59}"/>
    <cellStyle name="Normal 2 3 5 2 2 3 22" xfId="41341" xr:uid="{6E2D83FC-1B64-4B5C-B652-64EE5AE36AE4}"/>
    <cellStyle name="Normal 2 3 5 2 2 3 3" xfId="5430" xr:uid="{D09A2ECC-C5F6-4261-9E2F-1329A34F1532}"/>
    <cellStyle name="Normal 2 3 5 2 2 3 4" xfId="7320" xr:uid="{2C11DF6D-470F-4E04-810A-0020003C46FC}"/>
    <cellStyle name="Normal 2 3 5 2 2 3 5" xfId="9210" xr:uid="{970E08EC-8A21-439A-A62D-49223BCA123B}"/>
    <cellStyle name="Normal 2 3 5 2 2 3 6" xfId="11100" xr:uid="{A531F83C-B770-4093-BB6C-E4410D61B0B0}"/>
    <cellStyle name="Normal 2 3 5 2 2 3 7" xfId="12990" xr:uid="{5616DC85-3512-49C6-816B-874A59AB6747}"/>
    <cellStyle name="Normal 2 3 5 2 2 3 8" xfId="14880" xr:uid="{6BEC3DC1-A6F2-450A-937A-C1AD928FEE16}"/>
    <cellStyle name="Normal 2 3 5 2 2 3 9" xfId="16770" xr:uid="{5221E1C1-4ECD-46AE-A9F3-B95C6D65E3D3}"/>
    <cellStyle name="Normal 2 3 5 2 2 4" xfId="2280" xr:uid="{6488821F-6749-47B3-A083-2AEB0B1CF450}"/>
    <cellStyle name="Normal 2 3 5 2 2 5" xfId="4170" xr:uid="{FB133701-7D65-441C-8841-C57F1A24372D}"/>
    <cellStyle name="Normal 2 3 5 2 2 6" xfId="6060" xr:uid="{5A405BEB-71E1-4836-A48E-76E3D36B8F60}"/>
    <cellStyle name="Normal 2 3 5 2 2 7" xfId="7950" xr:uid="{90AB4B46-C5E8-4972-BBB2-E5FC5A3F6691}"/>
    <cellStyle name="Normal 2 3 5 2 2 8" xfId="9840" xr:uid="{96FFCFB0-04E8-450E-A97F-7715BABBD0A3}"/>
    <cellStyle name="Normal 2 3 5 2 2 9" xfId="11730" xr:uid="{B8AA7975-DA13-48D7-ACC1-44E7E2980090}"/>
    <cellStyle name="Normal 2 3 5 2 20" xfId="28530" xr:uid="{1DBCBDD8-0BA3-4E57-808F-D946D9E7EB25}"/>
    <cellStyle name="Normal 2 3 5 2 21" xfId="30420" xr:uid="{34C90558-7273-4EA7-9BBA-6E47F3171023}"/>
    <cellStyle name="Normal 2 3 5 2 22" xfId="32310" xr:uid="{878AE24B-00A2-408D-B442-143E4913E120}"/>
    <cellStyle name="Normal 2 3 5 2 23" xfId="34200" xr:uid="{1C784BCE-8D35-4CB5-AE45-953612C72059}"/>
    <cellStyle name="Normal 2 3 5 2 24" xfId="36090" xr:uid="{F1B6B0DE-E527-47AC-A805-E84BA09276D0}"/>
    <cellStyle name="Normal 2 3 5 2 25" xfId="37980" xr:uid="{A8BFA8FA-E4EB-4F98-93A5-72FCDE0CA362}"/>
    <cellStyle name="Normal 2 3 5 2 26" xfId="39871" xr:uid="{19CA3EAA-95C8-475A-8835-459661141EBC}"/>
    <cellStyle name="Normal 2 3 5 2 3" xfId="600" xr:uid="{EFB537AF-E8E1-4757-B858-1AD04767A2C7}"/>
    <cellStyle name="Normal 2 3 5 2 3 10" xfId="13830" xr:uid="{BE10FB70-E54E-4991-A788-9EA78118774D}"/>
    <cellStyle name="Normal 2 3 5 2 3 11" xfId="15720" xr:uid="{FA55A295-4258-4AD1-8690-8D633AFDBA90}"/>
    <cellStyle name="Normal 2 3 5 2 3 12" xfId="17610" xr:uid="{EEBCC12B-AECD-400B-863C-250B7C8F8EE1}"/>
    <cellStyle name="Normal 2 3 5 2 3 13" xfId="19500" xr:uid="{051E15E9-EACA-481E-A935-DF4D7B4FD705}"/>
    <cellStyle name="Normal 2 3 5 2 3 14" xfId="21390" xr:uid="{D4DDF2A1-AF94-4AE9-86F7-7F579E417D1B}"/>
    <cellStyle name="Normal 2 3 5 2 3 15" xfId="23280" xr:uid="{30C53CC4-2F50-4EF0-B06A-A10C5FF696B4}"/>
    <cellStyle name="Normal 2 3 5 2 3 16" xfId="25170" xr:uid="{8C38552E-EA8A-4A79-84A5-8E2811A59041}"/>
    <cellStyle name="Normal 2 3 5 2 3 17" xfId="27060" xr:uid="{83DBCAF2-8661-405C-94FB-74A55AB53272}"/>
    <cellStyle name="Normal 2 3 5 2 3 18" xfId="28950" xr:uid="{FC1396FF-9BCC-4A19-BB3D-EE1455D6B4EA}"/>
    <cellStyle name="Normal 2 3 5 2 3 19" xfId="30840" xr:uid="{74F8CF95-7835-429D-B7D0-84C21AE3C7DF}"/>
    <cellStyle name="Normal 2 3 5 2 3 2" xfId="1230" xr:uid="{4FBD92D2-09CA-4C4D-9C1E-D1C61BB8DAB1}"/>
    <cellStyle name="Normal 2 3 5 2 3 2 10" xfId="18240" xr:uid="{06DDEFF4-64A9-49E4-BFDE-395353A3D967}"/>
    <cellStyle name="Normal 2 3 5 2 3 2 11" xfId="20130" xr:uid="{05D4C547-55C2-4ADE-893D-FC41BB7617DD}"/>
    <cellStyle name="Normal 2 3 5 2 3 2 12" xfId="22020" xr:uid="{8C1A3D3E-3269-430C-BCF5-AD03728BB3AF}"/>
    <cellStyle name="Normal 2 3 5 2 3 2 13" xfId="23910" xr:uid="{9217B3CF-F5B5-433E-86A7-F72EA81DD9DC}"/>
    <cellStyle name="Normal 2 3 5 2 3 2 14" xfId="25800" xr:uid="{DC8E3D2C-4A75-4C97-A589-8991D069B06A}"/>
    <cellStyle name="Normal 2 3 5 2 3 2 15" xfId="27690" xr:uid="{6BBFDE1E-29C9-4290-AA4E-E899FB3EB1DE}"/>
    <cellStyle name="Normal 2 3 5 2 3 2 16" xfId="29580" xr:uid="{361EC14E-E2B7-491C-987E-89400C724DB6}"/>
    <cellStyle name="Normal 2 3 5 2 3 2 17" xfId="31470" xr:uid="{8BA04224-A6C1-4AC5-A4BD-66EB85AA6DA0}"/>
    <cellStyle name="Normal 2 3 5 2 3 2 18" xfId="33360" xr:uid="{35722B46-5E08-47CE-A720-25E0E7D1C2FD}"/>
    <cellStyle name="Normal 2 3 5 2 3 2 19" xfId="35250" xr:uid="{1F941717-40E6-437C-A913-7871219F7F7D}"/>
    <cellStyle name="Normal 2 3 5 2 3 2 2" xfId="3120" xr:uid="{7634EF47-410F-4E65-83B9-352B80B603C2}"/>
    <cellStyle name="Normal 2 3 5 2 3 2 20" xfId="37140" xr:uid="{290EEE21-2EF8-42FD-988A-DB15749BAA96}"/>
    <cellStyle name="Normal 2 3 5 2 3 2 21" xfId="39030" xr:uid="{9FED21D1-EE50-4C55-A791-229CF0CB8B60}"/>
    <cellStyle name="Normal 2 3 5 2 3 2 22" xfId="40921" xr:uid="{CE17102B-0241-48A2-91B3-14DACFB6EA4E}"/>
    <cellStyle name="Normal 2 3 5 2 3 2 3" xfId="5010" xr:uid="{FEB7FE8D-5BC1-4EEE-9C29-AA34831BE48E}"/>
    <cellStyle name="Normal 2 3 5 2 3 2 4" xfId="6900" xr:uid="{D9B52DA3-429A-4A8F-B8EE-88DC489FEAF6}"/>
    <cellStyle name="Normal 2 3 5 2 3 2 5" xfId="8790" xr:uid="{CC374DD5-BF77-44B3-A25B-B34C1057B066}"/>
    <cellStyle name="Normal 2 3 5 2 3 2 6" xfId="10680" xr:uid="{4C34720A-F80D-4B12-9BB5-3ED1B85A8CE8}"/>
    <cellStyle name="Normal 2 3 5 2 3 2 7" xfId="12570" xr:uid="{A39FA9BA-B892-4FD6-A8BD-BB003DA6380D}"/>
    <cellStyle name="Normal 2 3 5 2 3 2 8" xfId="14460" xr:uid="{28BC501B-32C4-4B02-B615-0B3D9A420985}"/>
    <cellStyle name="Normal 2 3 5 2 3 2 9" xfId="16350" xr:uid="{FDD49F08-660D-437D-BDB1-89758D21A4ED}"/>
    <cellStyle name="Normal 2 3 5 2 3 20" xfId="32730" xr:uid="{9009E6EE-E50D-4BDB-92EB-FA2B2FB12FAC}"/>
    <cellStyle name="Normal 2 3 5 2 3 21" xfId="34620" xr:uid="{0BB8DE43-01B0-4A66-B17A-50831C41F6F0}"/>
    <cellStyle name="Normal 2 3 5 2 3 22" xfId="36510" xr:uid="{4FA21262-8D58-4795-A350-53DDB498C622}"/>
    <cellStyle name="Normal 2 3 5 2 3 23" xfId="38400" xr:uid="{32AF13A0-B2CC-4848-A2C8-91AB9DE3E649}"/>
    <cellStyle name="Normal 2 3 5 2 3 24" xfId="40291" xr:uid="{A60A52DF-EDCD-4015-9929-4FF7489EB46E}"/>
    <cellStyle name="Normal 2 3 5 2 3 3" xfId="1860" xr:uid="{0D5051DF-79A6-44A3-8ED0-8850B323A647}"/>
    <cellStyle name="Normal 2 3 5 2 3 3 10" xfId="18870" xr:uid="{8BF8BDF7-00DE-40AA-BE3B-E9364E35BFFA}"/>
    <cellStyle name="Normal 2 3 5 2 3 3 11" xfId="20760" xr:uid="{0767C1B2-2065-458F-BF94-98B850FB23D9}"/>
    <cellStyle name="Normal 2 3 5 2 3 3 12" xfId="22650" xr:uid="{5EC5A5A0-BD41-498F-AB1C-7FA13E21193B}"/>
    <cellStyle name="Normal 2 3 5 2 3 3 13" xfId="24540" xr:uid="{67C3A442-2867-4F1D-AC4D-B26335E14C32}"/>
    <cellStyle name="Normal 2 3 5 2 3 3 14" xfId="26430" xr:uid="{6057FCB4-910E-4370-B440-4F98EA9CF523}"/>
    <cellStyle name="Normal 2 3 5 2 3 3 15" xfId="28320" xr:uid="{CC581209-B5A2-44D2-9663-B450AAC3F9C5}"/>
    <cellStyle name="Normal 2 3 5 2 3 3 16" xfId="30210" xr:uid="{2AD4E8A4-7102-4DED-AA10-70A9C4705B88}"/>
    <cellStyle name="Normal 2 3 5 2 3 3 17" xfId="32100" xr:uid="{4418FE28-2B6F-4DA9-9747-0203095F0815}"/>
    <cellStyle name="Normal 2 3 5 2 3 3 18" xfId="33990" xr:uid="{FD6F2A30-38AD-43AC-95CA-ED2703C875DA}"/>
    <cellStyle name="Normal 2 3 5 2 3 3 19" xfId="35880" xr:uid="{3A58943D-2923-49E5-AE67-B1B8FE2708DE}"/>
    <cellStyle name="Normal 2 3 5 2 3 3 2" xfId="3750" xr:uid="{518E0DA7-C94F-4573-A598-00378E3B04B5}"/>
    <cellStyle name="Normal 2 3 5 2 3 3 20" xfId="37770" xr:uid="{DBE98F31-08A5-4A8E-A674-1CDAD4CA1530}"/>
    <cellStyle name="Normal 2 3 5 2 3 3 21" xfId="39660" xr:uid="{BEC79154-FA99-4930-8473-8FF596F4BB37}"/>
    <cellStyle name="Normal 2 3 5 2 3 3 22" xfId="41551" xr:uid="{2FB0C6BD-A3EA-4394-92CC-8BDC36E3F03C}"/>
    <cellStyle name="Normal 2 3 5 2 3 3 3" xfId="5640" xr:uid="{902884F5-D86A-4943-A2A5-BDD0AE33C0C1}"/>
    <cellStyle name="Normal 2 3 5 2 3 3 4" xfId="7530" xr:uid="{B931C48B-E2DF-410F-A615-1C0EC2C19616}"/>
    <cellStyle name="Normal 2 3 5 2 3 3 5" xfId="9420" xr:uid="{E4C14B95-3EF3-4DDB-9932-88462843816E}"/>
    <cellStyle name="Normal 2 3 5 2 3 3 6" xfId="11310" xr:uid="{C21447BA-0F68-406A-B59F-CB7C87BA4229}"/>
    <cellStyle name="Normal 2 3 5 2 3 3 7" xfId="13200" xr:uid="{FC5EE3CE-FEC8-4AFC-8E79-330C434AD95D}"/>
    <cellStyle name="Normal 2 3 5 2 3 3 8" xfId="15090" xr:uid="{2D9CD666-717B-4575-BF21-AF9A629A7454}"/>
    <cellStyle name="Normal 2 3 5 2 3 3 9" xfId="16980" xr:uid="{EB41EFE8-DFBD-4407-870F-8CE3004A99B4}"/>
    <cellStyle name="Normal 2 3 5 2 3 4" xfId="2490" xr:uid="{47D3D73B-6BE9-45CA-A261-72E1EAC292C3}"/>
    <cellStyle name="Normal 2 3 5 2 3 5" xfId="4380" xr:uid="{9B927CCB-2199-4767-816C-605435DD9455}"/>
    <cellStyle name="Normal 2 3 5 2 3 6" xfId="6270" xr:uid="{C5275FA1-E8A3-4641-8FF8-997A07E1AC4C}"/>
    <cellStyle name="Normal 2 3 5 2 3 7" xfId="8160" xr:uid="{465DC624-D2CC-4524-BE1B-561EB335C0CD}"/>
    <cellStyle name="Normal 2 3 5 2 3 8" xfId="10050" xr:uid="{740BEC52-033F-4FA4-83FF-383140994A73}"/>
    <cellStyle name="Normal 2 3 5 2 3 9" xfId="11940" xr:uid="{9B8ACBB1-FBAE-4AC1-8A37-605D04376197}"/>
    <cellStyle name="Normal 2 3 5 2 4" xfId="810" xr:uid="{F102B1D3-DBBC-4BE5-9A7B-FD79FB8F1A9E}"/>
    <cellStyle name="Normal 2 3 5 2 4 10" xfId="17820" xr:uid="{1437BEE5-8A0F-4D31-B731-D6EA124DBB5E}"/>
    <cellStyle name="Normal 2 3 5 2 4 11" xfId="19710" xr:uid="{F9DBA5EB-3E60-4BD6-B8FF-DB377D62F8A1}"/>
    <cellStyle name="Normal 2 3 5 2 4 12" xfId="21600" xr:uid="{24F3382F-F063-4FAF-A545-7002D9D87AE5}"/>
    <cellStyle name="Normal 2 3 5 2 4 13" xfId="23490" xr:uid="{4BEF04B4-DF31-4EFC-A4EA-53F43C166993}"/>
    <cellStyle name="Normal 2 3 5 2 4 14" xfId="25380" xr:uid="{07B41E60-C79A-40E4-9913-298487D47F0A}"/>
    <cellStyle name="Normal 2 3 5 2 4 15" xfId="27270" xr:uid="{54379433-50FE-4F1A-9792-F3219841BEC3}"/>
    <cellStyle name="Normal 2 3 5 2 4 16" xfId="29160" xr:uid="{1EBCE108-6C85-4816-9A5E-267333387AEF}"/>
    <cellStyle name="Normal 2 3 5 2 4 17" xfId="31050" xr:uid="{A12895E4-9699-4F91-95D4-4F4C25BA6B31}"/>
    <cellStyle name="Normal 2 3 5 2 4 18" xfId="32940" xr:uid="{FAFAB190-00CF-4FD1-B307-DA18DB8282E7}"/>
    <cellStyle name="Normal 2 3 5 2 4 19" xfId="34830" xr:uid="{B6E4EA61-8C63-42A6-91C8-A711732524E3}"/>
    <cellStyle name="Normal 2 3 5 2 4 2" xfId="2700" xr:uid="{D14A4393-C01C-4AEE-B680-F31CBBECE4CD}"/>
    <cellStyle name="Normal 2 3 5 2 4 20" xfId="36720" xr:uid="{52F7CDDA-8AF9-46F2-AE8C-D1267038A230}"/>
    <cellStyle name="Normal 2 3 5 2 4 21" xfId="38610" xr:uid="{DA6517E4-C49A-4A20-B051-56D95792376E}"/>
    <cellStyle name="Normal 2 3 5 2 4 22" xfId="40501" xr:uid="{CF23A365-2B30-4C0D-9DD8-21A264ED842B}"/>
    <cellStyle name="Normal 2 3 5 2 4 3" xfId="4590" xr:uid="{7F4CAC61-3940-4A05-9A49-5ED9DE319A84}"/>
    <cellStyle name="Normal 2 3 5 2 4 4" xfId="6480" xr:uid="{A70556D2-AD95-4EAC-B8D7-B3879DB83A09}"/>
    <cellStyle name="Normal 2 3 5 2 4 5" xfId="8370" xr:uid="{B82A2E7E-54E9-47B8-AA22-A629647D6A80}"/>
    <cellStyle name="Normal 2 3 5 2 4 6" xfId="10260" xr:uid="{EFEC95DB-680E-4D1C-B825-F9D5A6CCFC0A}"/>
    <cellStyle name="Normal 2 3 5 2 4 7" xfId="12150" xr:uid="{C7259E55-B204-42F9-B9BF-1E298E689A39}"/>
    <cellStyle name="Normal 2 3 5 2 4 8" xfId="14040" xr:uid="{514A44E2-B0CC-4716-B9D8-15BB0F784F7C}"/>
    <cellStyle name="Normal 2 3 5 2 4 9" xfId="15930" xr:uid="{586E6795-29BE-4CA7-9008-225B6D7D7452}"/>
    <cellStyle name="Normal 2 3 5 2 5" xfId="1440" xr:uid="{2F8E850F-8DA7-44BD-82CD-A5A21785947E}"/>
    <cellStyle name="Normal 2 3 5 2 5 10" xfId="18450" xr:uid="{7133B62C-9391-4CEB-8E12-8B54796441EB}"/>
    <cellStyle name="Normal 2 3 5 2 5 11" xfId="20340" xr:uid="{C5D5B643-E22C-4C75-8120-1989B1874711}"/>
    <cellStyle name="Normal 2 3 5 2 5 12" xfId="22230" xr:uid="{9AA3E162-AC4F-4547-8C2C-19C471EE9F77}"/>
    <cellStyle name="Normal 2 3 5 2 5 13" xfId="24120" xr:uid="{0A9C72F6-8558-4550-BDB9-58468539ECF4}"/>
    <cellStyle name="Normal 2 3 5 2 5 14" xfId="26010" xr:uid="{C1D242BD-B7F6-4966-B9CE-70EB49E1C9D5}"/>
    <cellStyle name="Normal 2 3 5 2 5 15" xfId="27900" xr:uid="{8F60A59D-D1FE-41EF-A045-7F7BD99C8E2C}"/>
    <cellStyle name="Normal 2 3 5 2 5 16" xfId="29790" xr:uid="{C1D0AAD5-ABA5-414F-A055-7C6B7D97FB62}"/>
    <cellStyle name="Normal 2 3 5 2 5 17" xfId="31680" xr:uid="{9B39EF76-3EC6-400C-9ED0-F00423BBDB33}"/>
    <cellStyle name="Normal 2 3 5 2 5 18" xfId="33570" xr:uid="{8BE43D1D-9C36-41F1-A48F-BD087C381457}"/>
    <cellStyle name="Normal 2 3 5 2 5 19" xfId="35460" xr:uid="{AA969A47-F12F-4FAC-B5DD-219ABD1CC8A4}"/>
    <cellStyle name="Normal 2 3 5 2 5 2" xfId="3330" xr:uid="{8976D5B2-0FE5-4F24-9F8F-CE070B37A963}"/>
    <cellStyle name="Normal 2 3 5 2 5 20" xfId="37350" xr:uid="{17FD4DF4-23A3-4645-95BE-C3FA0A7B963B}"/>
    <cellStyle name="Normal 2 3 5 2 5 21" xfId="39240" xr:uid="{DDDD0A95-04B0-40E1-8B55-DF1F0390B656}"/>
    <cellStyle name="Normal 2 3 5 2 5 22" xfId="41131" xr:uid="{6576D708-6A3B-4BB8-BFF3-7C5A35F56A36}"/>
    <cellStyle name="Normal 2 3 5 2 5 3" xfId="5220" xr:uid="{E0DD729C-FE1D-4CDA-BA7F-4823B9089E83}"/>
    <cellStyle name="Normal 2 3 5 2 5 4" xfId="7110" xr:uid="{D203B757-DB40-4325-86F3-2D5E533A5216}"/>
    <cellStyle name="Normal 2 3 5 2 5 5" xfId="9000" xr:uid="{2B2EC417-E053-498E-B1CF-EA234447D336}"/>
    <cellStyle name="Normal 2 3 5 2 5 6" xfId="10890" xr:uid="{DBD3A59C-9A19-4C77-8BF1-47C0E93880F4}"/>
    <cellStyle name="Normal 2 3 5 2 5 7" xfId="12780" xr:uid="{A892F688-8A58-40DA-8421-D6A91CF2036A}"/>
    <cellStyle name="Normal 2 3 5 2 5 8" xfId="14670" xr:uid="{9F50F446-10E9-4EAD-AB8E-1D2B705DF03B}"/>
    <cellStyle name="Normal 2 3 5 2 5 9" xfId="16560" xr:uid="{45EDB509-19AA-4F1F-835D-F53CF009531E}"/>
    <cellStyle name="Normal 2 3 5 2 6" xfId="2070" xr:uid="{DC52F46F-162A-4E48-9FDE-05316DBD670B}"/>
    <cellStyle name="Normal 2 3 5 2 7" xfId="3960" xr:uid="{1649266A-A043-4995-B291-C4C1254D503E}"/>
    <cellStyle name="Normal 2 3 5 2 8" xfId="5850" xr:uid="{0D534FED-421D-4B3C-8666-0532B7F25A0D}"/>
    <cellStyle name="Normal 2 3 5 2 9" xfId="7740" xr:uid="{5A80841B-B23A-443D-B3A7-3D05F120C073}"/>
    <cellStyle name="Normal 2 3 5 20" xfId="26535" xr:uid="{8C6589EC-2E63-4555-8DE1-A40D31D89788}"/>
    <cellStyle name="Normal 2 3 5 21" xfId="28425" xr:uid="{000091A1-A885-46F5-8019-C029B9167DA6}"/>
    <cellStyle name="Normal 2 3 5 22" xfId="30315" xr:uid="{9E6D00D6-56E4-43A1-A2FC-AA31C5E04603}"/>
    <cellStyle name="Normal 2 3 5 23" xfId="32205" xr:uid="{ED98C3AC-D2A1-439B-B750-7FC30FAA829E}"/>
    <cellStyle name="Normal 2 3 5 24" xfId="34095" xr:uid="{CA55A58D-0532-4018-B514-D48504676A97}"/>
    <cellStyle name="Normal 2 3 5 25" xfId="35985" xr:uid="{49C4EF6E-391D-447B-B296-49DD31468802}"/>
    <cellStyle name="Normal 2 3 5 26" xfId="37875" xr:uid="{FB25AF2D-EE3A-4FBC-B9B7-19117D9E47C4}"/>
    <cellStyle name="Normal 2 3 5 27" xfId="39766" xr:uid="{E7D84A80-73FA-45D3-9BBD-77DDF1D20425}"/>
    <cellStyle name="Normal 2 3 5 3" xfId="285" xr:uid="{B1E98B03-A5FA-4746-A875-3AD94C8031E8}"/>
    <cellStyle name="Normal 2 3 5 3 10" xfId="13515" xr:uid="{33CF19C8-C3B0-47F2-9CD7-2E5E7DAB7881}"/>
    <cellStyle name="Normal 2 3 5 3 11" xfId="15405" xr:uid="{19A28D15-C18B-4FB8-873B-A64648A49FEF}"/>
    <cellStyle name="Normal 2 3 5 3 12" xfId="17295" xr:uid="{F87FF2BA-4122-47A1-9CC5-F4F585A9B897}"/>
    <cellStyle name="Normal 2 3 5 3 13" xfId="19185" xr:uid="{CEBAAB3A-1E44-404B-8F8F-49DF30E54615}"/>
    <cellStyle name="Normal 2 3 5 3 14" xfId="21075" xr:uid="{710C0A56-BE55-4833-82FD-0C8D8521D2A9}"/>
    <cellStyle name="Normal 2 3 5 3 15" xfId="22965" xr:uid="{E12EA88E-CD49-4155-948D-344E7F48CDD3}"/>
    <cellStyle name="Normal 2 3 5 3 16" xfId="24855" xr:uid="{519FFEE8-5288-4598-B823-6CE70BE6ED17}"/>
    <cellStyle name="Normal 2 3 5 3 17" xfId="26745" xr:uid="{E3BD607C-E7F8-4CB6-9E0C-E0F9022221C9}"/>
    <cellStyle name="Normal 2 3 5 3 18" xfId="28635" xr:uid="{C03CEBEA-D20F-43A9-83AD-83A23985D7A0}"/>
    <cellStyle name="Normal 2 3 5 3 19" xfId="30525" xr:uid="{31E5D3D2-6962-4FBA-8BEC-19E851AE9041}"/>
    <cellStyle name="Normal 2 3 5 3 2" xfId="915" xr:uid="{EB128DA5-21D7-4820-BE9F-88BC80AFBBC4}"/>
    <cellStyle name="Normal 2 3 5 3 2 10" xfId="17925" xr:uid="{FD2045D7-BD37-4324-AFE8-674914A9176A}"/>
    <cellStyle name="Normal 2 3 5 3 2 11" xfId="19815" xr:uid="{936F8AE4-6E0A-4070-82EB-76FCCC90F163}"/>
    <cellStyle name="Normal 2 3 5 3 2 12" xfId="21705" xr:uid="{D9362B53-90A6-4A89-A02C-C99FD0A20FC0}"/>
    <cellStyle name="Normal 2 3 5 3 2 13" xfId="23595" xr:uid="{18A58F02-9ADC-46B1-BE7D-68D451F47100}"/>
    <cellStyle name="Normal 2 3 5 3 2 14" xfId="25485" xr:uid="{116C8F7C-8E7E-4055-B70E-5A3DA0522610}"/>
    <cellStyle name="Normal 2 3 5 3 2 15" xfId="27375" xr:uid="{57B16EB5-4691-440A-A8FC-DFDE5B92F029}"/>
    <cellStyle name="Normal 2 3 5 3 2 16" xfId="29265" xr:uid="{1A049D12-1D16-4DC3-B9F9-70FED2239583}"/>
    <cellStyle name="Normal 2 3 5 3 2 17" xfId="31155" xr:uid="{A053B557-418B-423C-8DEB-C81CDF4DF622}"/>
    <cellStyle name="Normal 2 3 5 3 2 18" xfId="33045" xr:uid="{1F55027E-F751-4B37-B463-6EFEE61B9875}"/>
    <cellStyle name="Normal 2 3 5 3 2 19" xfId="34935" xr:uid="{E1541084-FE3B-4FE7-894E-C6654DE2B88E}"/>
    <cellStyle name="Normal 2 3 5 3 2 2" xfId="2805" xr:uid="{8FB0ED3D-1231-44A5-BFE9-9EB57BA084D5}"/>
    <cellStyle name="Normal 2 3 5 3 2 20" xfId="36825" xr:uid="{FF3438B4-C7A9-4E93-8AE9-0D5DF4B0E04A}"/>
    <cellStyle name="Normal 2 3 5 3 2 21" xfId="38715" xr:uid="{A348A933-BA5E-44F0-A0E6-8A87B1E3EF05}"/>
    <cellStyle name="Normal 2 3 5 3 2 22" xfId="40606" xr:uid="{4E435B21-8550-4E1F-A7CE-57D98AB31E9F}"/>
    <cellStyle name="Normal 2 3 5 3 2 3" xfId="4695" xr:uid="{56E58C2A-2D25-4254-B40F-411A1012FE35}"/>
    <cellStyle name="Normal 2 3 5 3 2 4" xfId="6585" xr:uid="{07CFE815-0C79-4154-9156-CC0FF501EDE9}"/>
    <cellStyle name="Normal 2 3 5 3 2 5" xfId="8475" xr:uid="{F11C1C8D-7957-4901-AA61-732E66583246}"/>
    <cellStyle name="Normal 2 3 5 3 2 6" xfId="10365" xr:uid="{5D795F3E-BDDA-4CED-B5C7-F29529A1646C}"/>
    <cellStyle name="Normal 2 3 5 3 2 7" xfId="12255" xr:uid="{B7401F70-EB2A-42BF-822F-0E95E2DA60A2}"/>
    <cellStyle name="Normal 2 3 5 3 2 8" xfId="14145" xr:uid="{70DACF13-E1A5-4753-9D80-DABA65A2DF68}"/>
    <cellStyle name="Normal 2 3 5 3 2 9" xfId="16035" xr:uid="{DC278300-39FB-49B8-90C0-AC16C445C42D}"/>
    <cellStyle name="Normal 2 3 5 3 20" xfId="32415" xr:uid="{2C509636-DBB7-4DE0-9B4E-4F20C8E1FB3B}"/>
    <cellStyle name="Normal 2 3 5 3 21" xfId="34305" xr:uid="{857123D9-2401-4054-83D5-A302A1EEDF2B}"/>
    <cellStyle name="Normal 2 3 5 3 22" xfId="36195" xr:uid="{26DC4203-CFBB-4F8F-A3FD-3059F2C9D3E2}"/>
    <cellStyle name="Normal 2 3 5 3 23" xfId="38085" xr:uid="{BBCFA0EF-5066-4FD7-BA46-53A215F73C1D}"/>
    <cellStyle name="Normal 2 3 5 3 24" xfId="39976" xr:uid="{5AE30BDE-1139-4F95-86D0-A0FDB07FADB3}"/>
    <cellStyle name="Normal 2 3 5 3 3" xfId="1545" xr:uid="{9564808F-DCF7-45F6-A6B9-718785D42560}"/>
    <cellStyle name="Normal 2 3 5 3 3 10" xfId="18555" xr:uid="{19108C85-0129-4537-B17E-DBBE23B3860A}"/>
    <cellStyle name="Normal 2 3 5 3 3 11" xfId="20445" xr:uid="{6B452549-375B-47C8-BE0A-A04FB49C2410}"/>
    <cellStyle name="Normal 2 3 5 3 3 12" xfId="22335" xr:uid="{CF1151B7-8DAF-41BE-A2A6-6DCD6BDDF4FB}"/>
    <cellStyle name="Normal 2 3 5 3 3 13" xfId="24225" xr:uid="{1A14D177-9B4F-4410-ACFF-9ED4528FFD7C}"/>
    <cellStyle name="Normal 2 3 5 3 3 14" xfId="26115" xr:uid="{4C4A8B9E-9324-4466-979B-06FD5ACF9848}"/>
    <cellStyle name="Normal 2 3 5 3 3 15" xfId="28005" xr:uid="{2C4BBAB3-237B-464E-89C8-FB66699784A8}"/>
    <cellStyle name="Normal 2 3 5 3 3 16" xfId="29895" xr:uid="{BF1001B2-16F5-43FD-96AF-8A0C6A97B65D}"/>
    <cellStyle name="Normal 2 3 5 3 3 17" xfId="31785" xr:uid="{7E701A9F-16D7-4E93-9C67-8A1322C42A0B}"/>
    <cellStyle name="Normal 2 3 5 3 3 18" xfId="33675" xr:uid="{E38FB6B3-F8A0-4B82-A4B0-DBE29D35EC69}"/>
    <cellStyle name="Normal 2 3 5 3 3 19" xfId="35565" xr:uid="{CEF73A15-D9A3-4323-8F39-8F4EA2D615A9}"/>
    <cellStyle name="Normal 2 3 5 3 3 2" xfId="3435" xr:uid="{39B5CDD0-F166-4CA9-B706-23BC5F855DFD}"/>
    <cellStyle name="Normal 2 3 5 3 3 20" xfId="37455" xr:uid="{A009109D-23A6-4BCC-90D1-D2EEF14CF5F1}"/>
    <cellStyle name="Normal 2 3 5 3 3 21" xfId="39345" xr:uid="{86CACDDC-6514-4655-9670-29EC78767008}"/>
    <cellStyle name="Normal 2 3 5 3 3 22" xfId="41236" xr:uid="{BAD467E5-4CF7-4205-9D41-A222556ADBE0}"/>
    <cellStyle name="Normal 2 3 5 3 3 3" xfId="5325" xr:uid="{61E66033-DA3C-470D-AD5A-D66B06506271}"/>
    <cellStyle name="Normal 2 3 5 3 3 4" xfId="7215" xr:uid="{4ED1ABAA-92AF-405D-B494-1BDA20D176EE}"/>
    <cellStyle name="Normal 2 3 5 3 3 5" xfId="9105" xr:uid="{5926FA6B-BC28-4B1E-B640-5954C0833FC5}"/>
    <cellStyle name="Normal 2 3 5 3 3 6" xfId="10995" xr:uid="{046B52C4-7EEB-42FF-AE0C-B4E655852AED}"/>
    <cellStyle name="Normal 2 3 5 3 3 7" xfId="12885" xr:uid="{3A57DED6-81D0-4CF7-A67E-400DC1195355}"/>
    <cellStyle name="Normal 2 3 5 3 3 8" xfId="14775" xr:uid="{1E2BEE21-5776-46D2-B102-153E249B1103}"/>
    <cellStyle name="Normal 2 3 5 3 3 9" xfId="16665" xr:uid="{2444F75B-58C3-4E46-ADB1-15F293B17A81}"/>
    <cellStyle name="Normal 2 3 5 3 4" xfId="2175" xr:uid="{E5F2BB5A-0739-489F-95FE-51191D5D2429}"/>
    <cellStyle name="Normal 2 3 5 3 5" xfId="4065" xr:uid="{BC10DB6D-7200-42BC-8F9B-8BB08E792492}"/>
    <cellStyle name="Normal 2 3 5 3 6" xfId="5955" xr:uid="{58FEB9FD-301E-44DB-BF49-0E74208DE109}"/>
    <cellStyle name="Normal 2 3 5 3 7" xfId="7845" xr:uid="{14F5A3E7-E513-4A5E-A11E-0E348EE02B31}"/>
    <cellStyle name="Normal 2 3 5 3 8" xfId="9735" xr:uid="{B9DB6227-4A81-4858-9C9A-F29596DD52DE}"/>
    <cellStyle name="Normal 2 3 5 3 9" xfId="11625" xr:uid="{49149207-1AC1-4595-9E48-ED6A71F5A7EE}"/>
    <cellStyle name="Normal 2 3 5 4" xfId="495" xr:uid="{8943C2C2-0C77-40B9-AD03-DBD1BE25A6F7}"/>
    <cellStyle name="Normal 2 3 5 4 10" xfId="13725" xr:uid="{D52DD9DC-5C37-470B-8E3C-BACC5EED2F63}"/>
    <cellStyle name="Normal 2 3 5 4 11" xfId="15615" xr:uid="{CE481EE9-1104-4E5E-BA61-A4A11BB3029B}"/>
    <cellStyle name="Normal 2 3 5 4 12" xfId="17505" xr:uid="{0605B53A-D8A0-4CB5-93A8-5B42A2B6F168}"/>
    <cellStyle name="Normal 2 3 5 4 13" xfId="19395" xr:uid="{581EC37C-9FCB-41D8-8297-F737D383E62B}"/>
    <cellStyle name="Normal 2 3 5 4 14" xfId="21285" xr:uid="{BC939388-35E3-4266-9C6F-275DF6EA4C6D}"/>
    <cellStyle name="Normal 2 3 5 4 15" xfId="23175" xr:uid="{F7CD5295-3679-44AD-B725-93B7749A50F2}"/>
    <cellStyle name="Normal 2 3 5 4 16" xfId="25065" xr:uid="{08C52F98-9468-4FCD-B8E2-CF77B98B9EAF}"/>
    <cellStyle name="Normal 2 3 5 4 17" xfId="26955" xr:uid="{3E77EB94-4FA2-4AC4-82CF-15A76470498F}"/>
    <cellStyle name="Normal 2 3 5 4 18" xfId="28845" xr:uid="{1B632580-16D0-4F28-A67B-806298470B03}"/>
    <cellStyle name="Normal 2 3 5 4 19" xfId="30735" xr:uid="{3110271E-ADB4-4808-8295-12A9963D2046}"/>
    <cellStyle name="Normal 2 3 5 4 2" xfId="1125" xr:uid="{B2086E48-C1B6-45F8-8164-13036E49D93C}"/>
    <cellStyle name="Normal 2 3 5 4 2 10" xfId="18135" xr:uid="{9F413AEC-4F5D-4AED-A62C-DF4CE7783B7F}"/>
    <cellStyle name="Normal 2 3 5 4 2 11" xfId="20025" xr:uid="{5B67EDF2-587B-4F0A-A8D3-20F66241168A}"/>
    <cellStyle name="Normal 2 3 5 4 2 12" xfId="21915" xr:uid="{568D5C08-D6E0-46B9-9340-9827DF872A31}"/>
    <cellStyle name="Normal 2 3 5 4 2 13" xfId="23805" xr:uid="{A54608A1-78D1-430F-AD8F-60218FF947B5}"/>
    <cellStyle name="Normal 2 3 5 4 2 14" xfId="25695" xr:uid="{BCE33CA3-BF12-4CB6-B591-49E66634EE29}"/>
    <cellStyle name="Normal 2 3 5 4 2 15" xfId="27585" xr:uid="{F90D8EA1-BE18-42C2-BAC9-17CA8D4FE800}"/>
    <cellStyle name="Normal 2 3 5 4 2 16" xfId="29475" xr:uid="{A02079A8-236E-4445-8AC9-ACFFE6B85414}"/>
    <cellStyle name="Normal 2 3 5 4 2 17" xfId="31365" xr:uid="{B4148DAE-86BB-433D-99F2-8E49CEAB2C9B}"/>
    <cellStyle name="Normal 2 3 5 4 2 18" xfId="33255" xr:uid="{CB95B0DC-2147-4410-BFC7-3CDCF4554309}"/>
    <cellStyle name="Normal 2 3 5 4 2 19" xfId="35145" xr:uid="{D0596BF4-40F8-4928-8024-CC8E183C5EB1}"/>
    <cellStyle name="Normal 2 3 5 4 2 2" xfId="3015" xr:uid="{58844C2F-FBE1-4367-AB85-13A33412DB9B}"/>
    <cellStyle name="Normal 2 3 5 4 2 20" xfId="37035" xr:uid="{63189D03-D885-4DF5-B57D-9B71F9064D50}"/>
    <cellStyle name="Normal 2 3 5 4 2 21" xfId="38925" xr:uid="{A7885D75-AABC-41B9-BDAA-A383557B296A}"/>
    <cellStyle name="Normal 2 3 5 4 2 22" xfId="40816" xr:uid="{25B63FC7-CBF2-4F1C-B02C-01492CF20EF7}"/>
    <cellStyle name="Normal 2 3 5 4 2 3" xfId="4905" xr:uid="{55927DA3-E6E9-464B-8887-61205F53EE3E}"/>
    <cellStyle name="Normal 2 3 5 4 2 4" xfId="6795" xr:uid="{98E2C474-2491-4642-9F0D-AA1675A632F3}"/>
    <cellStyle name="Normal 2 3 5 4 2 5" xfId="8685" xr:uid="{057F3BD5-5B69-48E6-A52D-6B1FD8C781A8}"/>
    <cellStyle name="Normal 2 3 5 4 2 6" xfId="10575" xr:uid="{EA46D907-0B11-4CBD-A2E3-09622DC8540C}"/>
    <cellStyle name="Normal 2 3 5 4 2 7" xfId="12465" xr:uid="{D24B9583-1551-46E4-885A-EB74F578457F}"/>
    <cellStyle name="Normal 2 3 5 4 2 8" xfId="14355" xr:uid="{F7AC31BD-531B-4440-9118-D5C48E495DF5}"/>
    <cellStyle name="Normal 2 3 5 4 2 9" xfId="16245" xr:uid="{76AE6E24-123B-492D-AF37-35991C26F32F}"/>
    <cellStyle name="Normal 2 3 5 4 20" xfId="32625" xr:uid="{4A30807D-2D9C-49A3-B6FC-55F0777E6770}"/>
    <cellStyle name="Normal 2 3 5 4 21" xfId="34515" xr:uid="{EF1FEE01-6214-4FB5-8BF2-8EDEC87C83DF}"/>
    <cellStyle name="Normal 2 3 5 4 22" xfId="36405" xr:uid="{62D36761-432D-44A0-87FB-D561A99B188E}"/>
    <cellStyle name="Normal 2 3 5 4 23" xfId="38295" xr:uid="{B936C833-9E05-42C3-8284-66446CBEF9A1}"/>
    <cellStyle name="Normal 2 3 5 4 24" xfId="40186" xr:uid="{29CECCD5-0D91-4852-AA13-3C733CC39DD3}"/>
    <cellStyle name="Normal 2 3 5 4 3" xfId="1755" xr:uid="{1A09B491-2BCD-42CC-AB63-D3DD57B85819}"/>
    <cellStyle name="Normal 2 3 5 4 3 10" xfId="18765" xr:uid="{D37978FD-67AC-45E3-9BD5-DA923BF76423}"/>
    <cellStyle name="Normal 2 3 5 4 3 11" xfId="20655" xr:uid="{D493C4CA-3B59-405F-97B9-652387596AB3}"/>
    <cellStyle name="Normal 2 3 5 4 3 12" xfId="22545" xr:uid="{539CBC19-D6F1-430C-9F31-F969C356FD36}"/>
    <cellStyle name="Normal 2 3 5 4 3 13" xfId="24435" xr:uid="{C50D632D-E4F4-4B66-B314-88A96C403733}"/>
    <cellStyle name="Normal 2 3 5 4 3 14" xfId="26325" xr:uid="{F93A528F-1CE8-4C38-B051-6BDF08FFC97A}"/>
    <cellStyle name="Normal 2 3 5 4 3 15" xfId="28215" xr:uid="{51B774A1-D711-4CA3-939E-E1A7692EC3F2}"/>
    <cellStyle name="Normal 2 3 5 4 3 16" xfId="30105" xr:uid="{6E793E37-B2F3-48C9-9F17-D3701C93B89C}"/>
    <cellStyle name="Normal 2 3 5 4 3 17" xfId="31995" xr:uid="{47C86263-0585-4B68-A7D1-737BEC8B33C1}"/>
    <cellStyle name="Normal 2 3 5 4 3 18" xfId="33885" xr:uid="{631BC966-5CED-487E-8570-40027C0358E3}"/>
    <cellStyle name="Normal 2 3 5 4 3 19" xfId="35775" xr:uid="{794D3774-BC80-4665-A9CD-D6A5A90FA43D}"/>
    <cellStyle name="Normal 2 3 5 4 3 2" xfId="3645" xr:uid="{EB85E682-DB92-4A51-81FA-9F7EF21123AD}"/>
    <cellStyle name="Normal 2 3 5 4 3 20" xfId="37665" xr:uid="{8713015B-5379-4E4D-BC4F-5154A24C9269}"/>
    <cellStyle name="Normal 2 3 5 4 3 21" xfId="39555" xr:uid="{8179F77E-339D-49A7-A9CD-FE6F97CC0125}"/>
    <cellStyle name="Normal 2 3 5 4 3 22" xfId="41446" xr:uid="{D1F6A4FF-956A-4F65-981F-3E74AE54A301}"/>
    <cellStyle name="Normal 2 3 5 4 3 3" xfId="5535" xr:uid="{264FA738-D0BE-4771-87DC-A2E083D1269A}"/>
    <cellStyle name="Normal 2 3 5 4 3 4" xfId="7425" xr:uid="{26FD3F6E-5575-466A-9F6A-0FBA62E49C2C}"/>
    <cellStyle name="Normal 2 3 5 4 3 5" xfId="9315" xr:uid="{EFEB904F-520F-4734-BD7B-41AEEC52EFC8}"/>
    <cellStyle name="Normal 2 3 5 4 3 6" xfId="11205" xr:uid="{B4913B1D-DCCE-44F2-899E-D955EFA9837E}"/>
    <cellStyle name="Normal 2 3 5 4 3 7" xfId="13095" xr:uid="{F213646A-4C59-48D5-B250-D998C62E4BC7}"/>
    <cellStyle name="Normal 2 3 5 4 3 8" xfId="14985" xr:uid="{2D622C36-2A65-4C72-B27B-668D15AD1EAA}"/>
    <cellStyle name="Normal 2 3 5 4 3 9" xfId="16875" xr:uid="{18546F8D-4430-416A-B3B3-8353026C2DF8}"/>
    <cellStyle name="Normal 2 3 5 4 4" xfId="2385" xr:uid="{666CC799-6957-432E-BC41-A2F4C5944E4E}"/>
    <cellStyle name="Normal 2 3 5 4 5" xfId="4275" xr:uid="{80E78A9D-BF6F-4FE0-8354-C48A48A0305E}"/>
    <cellStyle name="Normal 2 3 5 4 6" xfId="6165" xr:uid="{BDE687CF-02F2-4DC2-827D-D2D13F777C6A}"/>
    <cellStyle name="Normal 2 3 5 4 7" xfId="8055" xr:uid="{1312CCCE-191B-4F9C-88E1-DBF9E421BEB3}"/>
    <cellStyle name="Normal 2 3 5 4 8" xfId="9945" xr:uid="{B4A454C6-4703-4D4A-9571-21573D6BA92E}"/>
    <cellStyle name="Normal 2 3 5 4 9" xfId="11835" xr:uid="{DC5311F9-A630-4CC0-811E-FB58559A695B}"/>
    <cellStyle name="Normal 2 3 5 5" xfId="705" xr:uid="{CABDEF2D-09AA-4B22-8AFE-072D2E1FD92C}"/>
    <cellStyle name="Normal 2 3 5 5 10" xfId="17715" xr:uid="{FDE4A204-243B-4008-AF13-2505030541B8}"/>
    <cellStyle name="Normal 2 3 5 5 11" xfId="19605" xr:uid="{307C51ED-41EC-46D2-94FB-80ACB228C74B}"/>
    <cellStyle name="Normal 2 3 5 5 12" xfId="21495" xr:uid="{C335B1A0-E164-4756-942C-B640704BD0E1}"/>
    <cellStyle name="Normal 2 3 5 5 13" xfId="23385" xr:uid="{E03CF0E6-852F-4D95-8E3C-A4F616FA9C2A}"/>
    <cellStyle name="Normal 2 3 5 5 14" xfId="25275" xr:uid="{6CBD6616-5F93-4505-8FFD-4473BF484539}"/>
    <cellStyle name="Normal 2 3 5 5 15" xfId="27165" xr:uid="{5D6144D4-0925-440C-B1CE-A281519B19EA}"/>
    <cellStyle name="Normal 2 3 5 5 16" xfId="29055" xr:uid="{8BB5AD27-9E2B-463C-8C1E-94AF3FE11E54}"/>
    <cellStyle name="Normal 2 3 5 5 17" xfId="30945" xr:uid="{E05B14F4-7A1F-4BFD-A8F4-AFF07C231173}"/>
    <cellStyle name="Normal 2 3 5 5 18" xfId="32835" xr:uid="{08B20FD4-EA48-40A8-A6BE-0DFDD527FA9A}"/>
    <cellStyle name="Normal 2 3 5 5 19" xfId="34725" xr:uid="{F77908D0-2F83-486F-87FC-050E29B93C8B}"/>
    <cellStyle name="Normal 2 3 5 5 2" xfId="2595" xr:uid="{23577087-C9B2-47D3-96A4-7E0A36A33368}"/>
    <cellStyle name="Normal 2 3 5 5 20" xfId="36615" xr:uid="{30F12FB1-E27F-4C91-9DEC-8F9A180D32A3}"/>
    <cellStyle name="Normal 2 3 5 5 21" xfId="38505" xr:uid="{2D233F73-32CA-4EC1-B960-435ADF92F4CE}"/>
    <cellStyle name="Normal 2 3 5 5 22" xfId="40396" xr:uid="{686A78AB-EE03-46E3-9D74-A2BE1ED17551}"/>
    <cellStyle name="Normal 2 3 5 5 3" xfId="4485" xr:uid="{D0D3A6A2-D54F-4529-9723-805BBBAE8566}"/>
    <cellStyle name="Normal 2 3 5 5 4" xfId="6375" xr:uid="{4618148C-2B6F-4E97-99EB-D48D4458B8A1}"/>
    <cellStyle name="Normal 2 3 5 5 5" xfId="8265" xr:uid="{AEDAF758-5DB6-42D9-82EF-CEEE06FA2300}"/>
    <cellStyle name="Normal 2 3 5 5 6" xfId="10155" xr:uid="{EF9082D1-5717-40F7-BF19-F43E8C393D1B}"/>
    <cellStyle name="Normal 2 3 5 5 7" xfId="12045" xr:uid="{950D208F-7304-469F-B9CC-D0ED6290FDFB}"/>
    <cellStyle name="Normal 2 3 5 5 8" xfId="13935" xr:uid="{F6C0A7AA-0672-442F-9866-D299A9E74E5B}"/>
    <cellStyle name="Normal 2 3 5 5 9" xfId="15825" xr:uid="{674F87D0-AA14-490F-A8CF-1903DEBB34D4}"/>
    <cellStyle name="Normal 2 3 5 6" xfId="1335" xr:uid="{6640B469-7F01-4E7C-8570-8A1F0E8B44F7}"/>
    <cellStyle name="Normal 2 3 5 6 10" xfId="18345" xr:uid="{8289F06D-9264-42CB-AC92-E0DDDE87ED6A}"/>
    <cellStyle name="Normal 2 3 5 6 11" xfId="20235" xr:uid="{3AA331C9-FC4E-4D32-A95D-AEFD5CB24BED}"/>
    <cellStyle name="Normal 2 3 5 6 12" xfId="22125" xr:uid="{060FFE78-2796-4F31-BBBE-9234C484314A}"/>
    <cellStyle name="Normal 2 3 5 6 13" xfId="24015" xr:uid="{733D8D7E-6C90-497B-A29F-D3B5CB8CBCA8}"/>
    <cellStyle name="Normal 2 3 5 6 14" xfId="25905" xr:uid="{A27DEC67-76BE-4B7A-9FD1-C52D183C57F8}"/>
    <cellStyle name="Normal 2 3 5 6 15" xfId="27795" xr:uid="{97F5835C-5B7D-4D4B-830C-CD7D03F6CCD1}"/>
    <cellStyle name="Normal 2 3 5 6 16" xfId="29685" xr:uid="{E0B37275-8460-48E1-A760-CDC21AFCE706}"/>
    <cellStyle name="Normal 2 3 5 6 17" xfId="31575" xr:uid="{B0DBDAAC-A640-418D-A036-D399CCC7B326}"/>
    <cellStyle name="Normal 2 3 5 6 18" xfId="33465" xr:uid="{FE77060B-72FA-436F-BC37-83F00C4E767A}"/>
    <cellStyle name="Normal 2 3 5 6 19" xfId="35355" xr:uid="{D47D1CAC-904E-4B41-A2CA-04E7B7683F85}"/>
    <cellStyle name="Normal 2 3 5 6 2" xfId="3225" xr:uid="{57B0F295-3AE4-4043-B252-BC358CBAB277}"/>
    <cellStyle name="Normal 2 3 5 6 20" xfId="37245" xr:uid="{B6D2A9D2-9D18-48C6-90F8-6B06B4AC119C}"/>
    <cellStyle name="Normal 2 3 5 6 21" xfId="39135" xr:uid="{BFDD00D8-561D-48F8-9B19-C179A3E615EB}"/>
    <cellStyle name="Normal 2 3 5 6 22" xfId="41026" xr:uid="{52AAB713-D659-4C47-92D6-C159716930D0}"/>
    <cellStyle name="Normal 2 3 5 6 3" xfId="5115" xr:uid="{79F7C8AB-D040-4744-B5AF-172892C61B0E}"/>
    <cellStyle name="Normal 2 3 5 6 4" xfId="7005" xr:uid="{2A0131A5-7B0C-496E-99A8-792314082CD6}"/>
    <cellStyle name="Normal 2 3 5 6 5" xfId="8895" xr:uid="{B9204141-AB56-4408-A4F2-E25FE591179C}"/>
    <cellStyle name="Normal 2 3 5 6 6" xfId="10785" xr:uid="{6810F01E-53D0-4A05-BDA9-9A6CD2F25801}"/>
    <cellStyle name="Normal 2 3 5 6 7" xfId="12675" xr:uid="{4190A955-6F23-47BA-89B9-3B886753A688}"/>
    <cellStyle name="Normal 2 3 5 6 8" xfId="14565" xr:uid="{A5FD3624-2BE4-41F1-BA79-8E84BA03D27F}"/>
    <cellStyle name="Normal 2 3 5 6 9" xfId="16455" xr:uid="{F981141D-8739-4D77-B974-48DC2B4771FE}"/>
    <cellStyle name="Normal 2 3 5 7" xfId="1965" xr:uid="{04C902C8-85EA-4AB9-94A0-72B85E8F98CE}"/>
    <cellStyle name="Normal 2 3 5 8" xfId="3855" xr:uid="{654AF581-F3B5-4796-AA98-98F4A6E5A6FE}"/>
    <cellStyle name="Normal 2 3 5 9" xfId="5745" xr:uid="{CE4B92A7-CB48-4441-8B62-0EBB4F368C85}"/>
    <cellStyle name="Normal 2 3 6" xfId="140" xr:uid="{6945B69F-CA6C-4923-A309-8D608622618B}"/>
    <cellStyle name="Normal 2 3 6 10" xfId="9590" xr:uid="{E79BC28E-6BA4-4CDC-A904-C3F31F28DDCE}"/>
    <cellStyle name="Normal 2 3 6 11" xfId="11480" xr:uid="{D2E54F18-8006-4C6E-B879-0C6F4DE252C7}"/>
    <cellStyle name="Normal 2 3 6 12" xfId="13370" xr:uid="{F92E96EB-2474-4DA1-B41D-2D989655BBB1}"/>
    <cellStyle name="Normal 2 3 6 13" xfId="15260" xr:uid="{C682B0E2-1D3A-47F4-800D-2FF5E270814A}"/>
    <cellStyle name="Normal 2 3 6 14" xfId="17150" xr:uid="{BF64FA41-5AD8-46AF-AF14-165A337B4D16}"/>
    <cellStyle name="Normal 2 3 6 15" xfId="19040" xr:uid="{C48C2D12-0F63-4B34-B7C5-F87C53F4EF09}"/>
    <cellStyle name="Normal 2 3 6 16" xfId="20930" xr:uid="{43613845-592D-482B-8E49-939509A7CE22}"/>
    <cellStyle name="Normal 2 3 6 17" xfId="22820" xr:uid="{77C6C1B7-10C9-4EEE-9F96-153DE4C3DC41}"/>
    <cellStyle name="Normal 2 3 6 18" xfId="24710" xr:uid="{E324D4DC-9C52-4DA7-BA3E-5CE2A4B3AA1C}"/>
    <cellStyle name="Normal 2 3 6 19" xfId="26600" xr:uid="{4E4290DD-8259-4641-8638-EAEA45123380}"/>
    <cellStyle name="Normal 2 3 6 2" xfId="350" xr:uid="{CFAA25CA-C50D-4AF4-8E50-35CBAC8DBF8C}"/>
    <cellStyle name="Normal 2 3 6 2 10" xfId="13580" xr:uid="{9BD24A81-165C-4CEB-9F20-C2CC3324CC9D}"/>
    <cellStyle name="Normal 2 3 6 2 11" xfId="15470" xr:uid="{2F3AEC7F-8C0B-4E13-9715-39C1109FD348}"/>
    <cellStyle name="Normal 2 3 6 2 12" xfId="17360" xr:uid="{153E44C5-1C41-419A-A2FF-102AB5B25288}"/>
    <cellStyle name="Normal 2 3 6 2 13" xfId="19250" xr:uid="{FB8F501C-23B8-46AC-ABF9-AE77431DD948}"/>
    <cellStyle name="Normal 2 3 6 2 14" xfId="21140" xr:uid="{7F429B76-7225-4528-A289-F48D13F41C0E}"/>
    <cellStyle name="Normal 2 3 6 2 15" xfId="23030" xr:uid="{C6AF4051-63D2-4A02-B532-ED35821996B3}"/>
    <cellStyle name="Normal 2 3 6 2 16" xfId="24920" xr:uid="{EDAABEBB-CB36-4B6A-ACC7-A48ED8622448}"/>
    <cellStyle name="Normal 2 3 6 2 17" xfId="26810" xr:uid="{772CD3C7-938D-4A2A-A0B9-3CC5666ED474}"/>
    <cellStyle name="Normal 2 3 6 2 18" xfId="28700" xr:uid="{FCB7D3CF-77D6-4430-8F48-1B41743C16FB}"/>
    <cellStyle name="Normal 2 3 6 2 19" xfId="30590" xr:uid="{731FCD11-F2CB-455A-8F86-55D768228962}"/>
    <cellStyle name="Normal 2 3 6 2 2" xfId="980" xr:uid="{C47A7E70-0D93-4E95-A47E-673F2E9FF3A6}"/>
    <cellStyle name="Normal 2 3 6 2 2 10" xfId="17990" xr:uid="{6FA60B99-AB9E-4F51-956F-6611C5FB8DED}"/>
    <cellStyle name="Normal 2 3 6 2 2 11" xfId="19880" xr:uid="{95B0F77F-DEF4-4894-8C9D-44490A4EA2BF}"/>
    <cellStyle name="Normal 2 3 6 2 2 12" xfId="21770" xr:uid="{3394EFF9-4B54-4F94-A1BE-B0A4CFD400A5}"/>
    <cellStyle name="Normal 2 3 6 2 2 13" xfId="23660" xr:uid="{0512E960-563F-43BB-B478-6601FDE5243C}"/>
    <cellStyle name="Normal 2 3 6 2 2 14" xfId="25550" xr:uid="{CE9A918E-844A-4E84-A689-0C50266130A7}"/>
    <cellStyle name="Normal 2 3 6 2 2 15" xfId="27440" xr:uid="{C62246D6-A62E-42A4-B67A-647116408E44}"/>
    <cellStyle name="Normal 2 3 6 2 2 16" xfId="29330" xr:uid="{404AA425-E2B3-4A5D-8474-A7AFE314ED00}"/>
    <cellStyle name="Normal 2 3 6 2 2 17" xfId="31220" xr:uid="{9C6E7BF0-17B3-46AF-9758-83780E348AE8}"/>
    <cellStyle name="Normal 2 3 6 2 2 18" xfId="33110" xr:uid="{A02B5F73-E120-4FCB-8E10-6245DAC8C8C4}"/>
    <cellStyle name="Normal 2 3 6 2 2 19" xfId="35000" xr:uid="{860BFAA5-EAF7-4916-9CA1-D6830E6209B8}"/>
    <cellStyle name="Normal 2 3 6 2 2 2" xfId="2870" xr:uid="{0AEA7887-2328-4A5B-8BFE-3D4C5792FDF1}"/>
    <cellStyle name="Normal 2 3 6 2 2 20" xfId="36890" xr:uid="{C7C42A17-2FC6-4E3B-A543-9E505F1A3CB2}"/>
    <cellStyle name="Normal 2 3 6 2 2 21" xfId="38780" xr:uid="{4CECA4A3-ED26-4EEB-8D25-CDF55E897289}"/>
    <cellStyle name="Normal 2 3 6 2 2 22" xfId="40671" xr:uid="{B410FD38-BA30-4D47-85E4-EDD8D6411B50}"/>
    <cellStyle name="Normal 2 3 6 2 2 3" xfId="4760" xr:uid="{8414E2C2-C2DC-4178-9065-6A134398C13E}"/>
    <cellStyle name="Normal 2 3 6 2 2 4" xfId="6650" xr:uid="{611E35D2-FF4D-476A-ABA7-3F4701AB77A4}"/>
    <cellStyle name="Normal 2 3 6 2 2 5" xfId="8540" xr:uid="{2B68E732-4139-440B-A5A1-9EA4CFF53D86}"/>
    <cellStyle name="Normal 2 3 6 2 2 6" xfId="10430" xr:uid="{8D296B8A-D70E-4268-9FB3-714ED7806FF5}"/>
    <cellStyle name="Normal 2 3 6 2 2 7" xfId="12320" xr:uid="{A6153531-C60E-4289-8AFF-50A1F65580EB}"/>
    <cellStyle name="Normal 2 3 6 2 2 8" xfId="14210" xr:uid="{21DADAF3-5BFC-48B4-A2DC-E5D6409E7E95}"/>
    <cellStyle name="Normal 2 3 6 2 2 9" xfId="16100" xr:uid="{8ECFA6B6-8595-4474-BE91-DF65190B5584}"/>
    <cellStyle name="Normal 2 3 6 2 20" xfId="32480" xr:uid="{BC746C9D-00AD-48F9-BF2C-0B210637E90D}"/>
    <cellStyle name="Normal 2 3 6 2 21" xfId="34370" xr:uid="{3B44EBD2-7ABD-43C7-8AD0-A94DBAF24D40}"/>
    <cellStyle name="Normal 2 3 6 2 22" xfId="36260" xr:uid="{EB59F36C-9D02-448D-A49F-9ECF2BDB5C07}"/>
    <cellStyle name="Normal 2 3 6 2 23" xfId="38150" xr:uid="{D089975D-392E-405F-BFC5-2950E9C9932B}"/>
    <cellStyle name="Normal 2 3 6 2 24" xfId="40041" xr:uid="{D9B266DD-E7BA-4602-BCBA-93692BEDACFC}"/>
    <cellStyle name="Normal 2 3 6 2 3" xfId="1610" xr:uid="{20145E29-C772-4D70-8B9E-DDC3D93B59CD}"/>
    <cellStyle name="Normal 2 3 6 2 3 10" xfId="18620" xr:uid="{B58D694E-F354-483B-B209-5EE340C81821}"/>
    <cellStyle name="Normal 2 3 6 2 3 11" xfId="20510" xr:uid="{5DDF7719-98B3-4484-9B72-EC104E55D6BD}"/>
    <cellStyle name="Normal 2 3 6 2 3 12" xfId="22400" xr:uid="{0761DE2C-0C50-45BD-B07A-F697CA442EC8}"/>
    <cellStyle name="Normal 2 3 6 2 3 13" xfId="24290" xr:uid="{B6A06F30-0A68-452A-9363-7DE5D0740811}"/>
    <cellStyle name="Normal 2 3 6 2 3 14" xfId="26180" xr:uid="{596ACC03-1F4E-46E4-8080-DF9E736F7D9C}"/>
    <cellStyle name="Normal 2 3 6 2 3 15" xfId="28070" xr:uid="{14989B4E-0387-48D8-A93B-B1F399A92FAE}"/>
    <cellStyle name="Normal 2 3 6 2 3 16" xfId="29960" xr:uid="{D7FA4531-B2A1-4317-A41B-6C6533853B10}"/>
    <cellStyle name="Normal 2 3 6 2 3 17" xfId="31850" xr:uid="{ED428C5E-25C5-4D77-AC03-EE90F43013B3}"/>
    <cellStyle name="Normal 2 3 6 2 3 18" xfId="33740" xr:uid="{A16E9632-381A-4B8D-8C10-B3CD964D1675}"/>
    <cellStyle name="Normal 2 3 6 2 3 19" xfId="35630" xr:uid="{1D75D4DE-4471-45F2-948C-BFB494C31C01}"/>
    <cellStyle name="Normal 2 3 6 2 3 2" xfId="3500" xr:uid="{9449F7C5-0811-45DA-B3C5-0C25D640A49D}"/>
    <cellStyle name="Normal 2 3 6 2 3 20" xfId="37520" xr:uid="{1D1E78F9-610F-42F4-AED6-0E4EE2FB0B87}"/>
    <cellStyle name="Normal 2 3 6 2 3 21" xfId="39410" xr:uid="{7349BF08-7ACD-4B7F-823B-AC498B43042F}"/>
    <cellStyle name="Normal 2 3 6 2 3 22" xfId="41301" xr:uid="{581E36BC-6867-44E4-BE6B-1C51707F698A}"/>
    <cellStyle name="Normal 2 3 6 2 3 3" xfId="5390" xr:uid="{2DE8DE6D-2391-4B14-8296-14D1B110CD9D}"/>
    <cellStyle name="Normal 2 3 6 2 3 4" xfId="7280" xr:uid="{4FB22721-0C4E-4905-909C-BA708E49987B}"/>
    <cellStyle name="Normal 2 3 6 2 3 5" xfId="9170" xr:uid="{3DA8E405-A3B0-4B3E-971C-6B5E6BE4AE46}"/>
    <cellStyle name="Normal 2 3 6 2 3 6" xfId="11060" xr:uid="{E5EE2AE0-B5F0-4134-BA80-8B9F5B652201}"/>
    <cellStyle name="Normal 2 3 6 2 3 7" xfId="12950" xr:uid="{67C11D3E-7B9F-4CB0-BBB4-FD06EEEB6C4F}"/>
    <cellStyle name="Normal 2 3 6 2 3 8" xfId="14840" xr:uid="{BF9CDFCE-3FED-42B3-B1F2-E51BABA8E4A5}"/>
    <cellStyle name="Normal 2 3 6 2 3 9" xfId="16730" xr:uid="{F39C14EF-8E1B-4ED0-88AD-1E2F81041806}"/>
    <cellStyle name="Normal 2 3 6 2 4" xfId="2240" xr:uid="{0BAFDCAF-44DF-4CA6-A35B-BCB04DA759FD}"/>
    <cellStyle name="Normal 2 3 6 2 5" xfId="4130" xr:uid="{C236A1B7-B814-45FE-81B3-1018613B5C09}"/>
    <cellStyle name="Normal 2 3 6 2 6" xfId="6020" xr:uid="{DF3A6736-12DF-4C6F-934D-E8FEC728C543}"/>
    <cellStyle name="Normal 2 3 6 2 7" xfId="7910" xr:uid="{80D53DCF-82F6-4103-8F32-EE392C3E6FFE}"/>
    <cellStyle name="Normal 2 3 6 2 8" xfId="9800" xr:uid="{5219146D-FA93-4C6F-BD2B-676424C5EFE1}"/>
    <cellStyle name="Normal 2 3 6 2 9" xfId="11690" xr:uid="{8F354008-5807-4879-BFC8-504985115861}"/>
    <cellStyle name="Normal 2 3 6 20" xfId="28490" xr:uid="{F2918338-215A-4EA4-9F2A-07DB6D5A8D0D}"/>
    <cellStyle name="Normal 2 3 6 21" xfId="30380" xr:uid="{71153411-6027-466F-B844-A2659D763030}"/>
    <cellStyle name="Normal 2 3 6 22" xfId="32270" xr:uid="{AC7D860B-0B28-4CD1-94B3-E6E788AAD116}"/>
    <cellStyle name="Normal 2 3 6 23" xfId="34160" xr:uid="{620BF9DF-3D9A-4C67-B31F-1B3522460D2F}"/>
    <cellStyle name="Normal 2 3 6 24" xfId="36050" xr:uid="{1768E95F-E1EC-493B-997F-C3BA57A3CCCA}"/>
    <cellStyle name="Normal 2 3 6 25" xfId="37940" xr:uid="{55E5E8C9-546E-485D-9520-2A96833A9992}"/>
    <cellStyle name="Normal 2 3 6 26" xfId="39831" xr:uid="{7F3E9FCF-7809-4D35-B11F-C3A474A98B00}"/>
    <cellStyle name="Normal 2 3 6 3" xfId="560" xr:uid="{29F87B27-9443-44D4-AF01-80220756DAD7}"/>
    <cellStyle name="Normal 2 3 6 3 10" xfId="13790" xr:uid="{BE08F46D-8F58-4C1E-90E1-C3C6AA25C842}"/>
    <cellStyle name="Normal 2 3 6 3 11" xfId="15680" xr:uid="{FA918873-E080-411E-89BC-7495E250DDEC}"/>
    <cellStyle name="Normal 2 3 6 3 12" xfId="17570" xr:uid="{D026ED47-A6C5-4F08-B188-A890BEFC80DF}"/>
    <cellStyle name="Normal 2 3 6 3 13" xfId="19460" xr:uid="{CB66ABD8-C9E3-4B72-B8A0-428E2E3E7046}"/>
    <cellStyle name="Normal 2 3 6 3 14" xfId="21350" xr:uid="{C2AB1CC3-9422-4776-BD81-6D31A524699F}"/>
    <cellStyle name="Normal 2 3 6 3 15" xfId="23240" xr:uid="{E9245F31-CCD3-4972-9308-D0F2BEA96081}"/>
    <cellStyle name="Normal 2 3 6 3 16" xfId="25130" xr:uid="{34600B48-1BCC-4472-B4A2-5FC7289A4F63}"/>
    <cellStyle name="Normal 2 3 6 3 17" xfId="27020" xr:uid="{130E4E2B-AC5A-42F7-85B4-202FD653CA34}"/>
    <cellStyle name="Normal 2 3 6 3 18" xfId="28910" xr:uid="{9E5B927E-EDDE-41E1-8072-E4080DB61FC5}"/>
    <cellStyle name="Normal 2 3 6 3 19" xfId="30800" xr:uid="{35327465-288C-4254-8061-A40F845C1C3F}"/>
    <cellStyle name="Normal 2 3 6 3 2" xfId="1190" xr:uid="{ED72BAEF-3A31-40AD-A553-3C42991E9ACE}"/>
    <cellStyle name="Normal 2 3 6 3 2 10" xfId="18200" xr:uid="{8976AC36-2269-42C9-ACFC-7430702224F6}"/>
    <cellStyle name="Normal 2 3 6 3 2 11" xfId="20090" xr:uid="{7DFA651C-3278-4BBF-B2F0-43DB148563E3}"/>
    <cellStyle name="Normal 2 3 6 3 2 12" xfId="21980" xr:uid="{5AE137F7-56DE-451D-8F41-EE1352589B15}"/>
    <cellStyle name="Normal 2 3 6 3 2 13" xfId="23870" xr:uid="{61F45141-2AC1-48B9-8B30-766601B8402C}"/>
    <cellStyle name="Normal 2 3 6 3 2 14" xfId="25760" xr:uid="{C311AFE6-33A2-42A8-B9A9-98C0D708C14B}"/>
    <cellStyle name="Normal 2 3 6 3 2 15" xfId="27650" xr:uid="{982AA3FC-DF1A-4168-A8D0-A9226DD70091}"/>
    <cellStyle name="Normal 2 3 6 3 2 16" xfId="29540" xr:uid="{F0A6BED1-6906-453F-9229-189228D10445}"/>
    <cellStyle name="Normal 2 3 6 3 2 17" xfId="31430" xr:uid="{9C0DD1EE-3186-4801-B317-938491C0C486}"/>
    <cellStyle name="Normal 2 3 6 3 2 18" xfId="33320" xr:uid="{0251CF7D-6701-444E-8C4F-B3ED054DF4B6}"/>
    <cellStyle name="Normal 2 3 6 3 2 19" xfId="35210" xr:uid="{7BDDADF3-C795-4FC1-911F-14E28F850B84}"/>
    <cellStyle name="Normal 2 3 6 3 2 2" xfId="3080" xr:uid="{905D7127-62C8-44EA-AB78-46C7967A5986}"/>
    <cellStyle name="Normal 2 3 6 3 2 20" xfId="37100" xr:uid="{B042B346-AA69-406E-90C9-1AB43C2B6832}"/>
    <cellStyle name="Normal 2 3 6 3 2 21" xfId="38990" xr:uid="{9DAB448A-107B-4706-B278-8E4CFDACFCE3}"/>
    <cellStyle name="Normal 2 3 6 3 2 22" xfId="40881" xr:uid="{3646C612-88BA-42C2-80F0-BEC693585130}"/>
    <cellStyle name="Normal 2 3 6 3 2 3" xfId="4970" xr:uid="{C0F5B4B7-C8AF-4EF3-86B0-32C930C83DCD}"/>
    <cellStyle name="Normal 2 3 6 3 2 4" xfId="6860" xr:uid="{A8647280-04A4-4909-AE39-9EB144BADA88}"/>
    <cellStyle name="Normal 2 3 6 3 2 5" xfId="8750" xr:uid="{AE98437F-3D58-414F-A2EE-63B63049BC00}"/>
    <cellStyle name="Normal 2 3 6 3 2 6" xfId="10640" xr:uid="{F1F3022C-9D67-43D2-B7A8-7FB2E3024265}"/>
    <cellStyle name="Normal 2 3 6 3 2 7" xfId="12530" xr:uid="{68B80645-9EDB-4C7F-8FA8-0E7EBA59F62B}"/>
    <cellStyle name="Normal 2 3 6 3 2 8" xfId="14420" xr:uid="{C1576E27-9CE7-49EB-A38F-1A782A93ADC9}"/>
    <cellStyle name="Normal 2 3 6 3 2 9" xfId="16310" xr:uid="{2391F679-2B8F-4F7B-BEE5-E16D2022946B}"/>
    <cellStyle name="Normal 2 3 6 3 20" xfId="32690" xr:uid="{BBC82169-B53A-4768-866E-780DFA080B03}"/>
    <cellStyle name="Normal 2 3 6 3 21" xfId="34580" xr:uid="{09E7D305-4CDE-4B11-8796-3CAC5629A2ED}"/>
    <cellStyle name="Normal 2 3 6 3 22" xfId="36470" xr:uid="{B8295BD6-7E78-45F3-BBDB-053842598544}"/>
    <cellStyle name="Normal 2 3 6 3 23" xfId="38360" xr:uid="{6F5DD3D4-F38A-443E-B6BB-FA23271DAA07}"/>
    <cellStyle name="Normal 2 3 6 3 24" xfId="40251" xr:uid="{C52E8C6F-EBF2-49A7-BA3C-3C7C23598988}"/>
    <cellStyle name="Normal 2 3 6 3 3" xfId="1820" xr:uid="{81E97725-4D74-4646-9C6D-654D8D9121A6}"/>
    <cellStyle name="Normal 2 3 6 3 3 10" xfId="18830" xr:uid="{253DD959-A152-4702-934E-EEF1ABDD8D47}"/>
    <cellStyle name="Normal 2 3 6 3 3 11" xfId="20720" xr:uid="{79E4680A-499E-4B65-9256-28F1AB2BBD80}"/>
    <cellStyle name="Normal 2 3 6 3 3 12" xfId="22610" xr:uid="{DA327DD4-9B51-45C1-B129-86FEDA7B4D27}"/>
    <cellStyle name="Normal 2 3 6 3 3 13" xfId="24500" xr:uid="{2625BAE9-1C39-4183-9808-DB1DC7F37A55}"/>
    <cellStyle name="Normal 2 3 6 3 3 14" xfId="26390" xr:uid="{86573F42-E353-4602-8DE6-4A997896559E}"/>
    <cellStyle name="Normal 2 3 6 3 3 15" xfId="28280" xr:uid="{F0CE4A6A-98EA-45DF-B1DE-A9CD55DADE32}"/>
    <cellStyle name="Normal 2 3 6 3 3 16" xfId="30170" xr:uid="{C24898D2-EB9F-4B43-9F59-71A510221255}"/>
    <cellStyle name="Normal 2 3 6 3 3 17" xfId="32060" xr:uid="{E5C43FA5-3E6E-4F6D-90CE-96B2B95251D8}"/>
    <cellStyle name="Normal 2 3 6 3 3 18" xfId="33950" xr:uid="{463A74F1-6767-41A4-BB20-036C0F156D11}"/>
    <cellStyle name="Normal 2 3 6 3 3 19" xfId="35840" xr:uid="{965A18F1-70B7-4952-9831-B7DE84759DC1}"/>
    <cellStyle name="Normal 2 3 6 3 3 2" xfId="3710" xr:uid="{615E4C4B-8B4C-4EBA-B811-DFD433B84BCC}"/>
    <cellStyle name="Normal 2 3 6 3 3 20" xfId="37730" xr:uid="{4DE8EFCB-8AF8-4FC5-A448-4AAD7C96613C}"/>
    <cellStyle name="Normal 2 3 6 3 3 21" xfId="39620" xr:uid="{64A8F19B-0390-4D33-93BC-69ABA821B1B2}"/>
    <cellStyle name="Normal 2 3 6 3 3 22" xfId="41511" xr:uid="{27594FA5-7874-46DE-A73D-E380A038156E}"/>
    <cellStyle name="Normal 2 3 6 3 3 3" xfId="5600" xr:uid="{69A25BC0-523A-4DEF-B738-DA0A2C0058CB}"/>
    <cellStyle name="Normal 2 3 6 3 3 4" xfId="7490" xr:uid="{0E227E66-0994-46CE-9B42-5E59683EAF7A}"/>
    <cellStyle name="Normal 2 3 6 3 3 5" xfId="9380" xr:uid="{2C218D22-CAEE-42CE-B089-1271F744B9A3}"/>
    <cellStyle name="Normal 2 3 6 3 3 6" xfId="11270" xr:uid="{B6BAC6E8-5D7D-4803-9694-067349A3D48E}"/>
    <cellStyle name="Normal 2 3 6 3 3 7" xfId="13160" xr:uid="{044A0200-E96A-4999-96B4-AC21E1119AFC}"/>
    <cellStyle name="Normal 2 3 6 3 3 8" xfId="15050" xr:uid="{3EEDA892-D776-4173-ACA0-6312F066E065}"/>
    <cellStyle name="Normal 2 3 6 3 3 9" xfId="16940" xr:uid="{215875B3-EEFB-49CD-8AA8-BC6D16B6F7F8}"/>
    <cellStyle name="Normal 2 3 6 3 4" xfId="2450" xr:uid="{07C408C2-560D-40AD-9044-C87276236F31}"/>
    <cellStyle name="Normal 2 3 6 3 5" xfId="4340" xr:uid="{A9F258EC-FB82-485A-B899-3A8815B5D2B0}"/>
    <cellStyle name="Normal 2 3 6 3 6" xfId="6230" xr:uid="{25241389-21C9-4F4C-AF10-A694D1D4D14F}"/>
    <cellStyle name="Normal 2 3 6 3 7" xfId="8120" xr:uid="{59216126-C251-4A94-880B-AB01156BD8BD}"/>
    <cellStyle name="Normal 2 3 6 3 8" xfId="10010" xr:uid="{DF598B5D-58CD-475D-9491-71CA9639BC53}"/>
    <cellStyle name="Normal 2 3 6 3 9" xfId="11900" xr:uid="{85057AAC-6237-47E3-9E6F-32109841BB30}"/>
    <cellStyle name="Normal 2 3 6 4" xfId="770" xr:uid="{3393C606-12C8-4F2A-A867-8456C4D9B75D}"/>
    <cellStyle name="Normal 2 3 6 4 10" xfId="17780" xr:uid="{9ABA997B-AD0F-4ED6-B697-5B06FE16C799}"/>
    <cellStyle name="Normal 2 3 6 4 11" xfId="19670" xr:uid="{6CAFBD01-DEF6-43B1-8B66-61CED5E2C174}"/>
    <cellStyle name="Normal 2 3 6 4 12" xfId="21560" xr:uid="{18F7A37C-FC73-4090-9DFB-A15D01AEE52B}"/>
    <cellStyle name="Normal 2 3 6 4 13" xfId="23450" xr:uid="{A8368D73-25DF-441E-932F-E1B91BC6C402}"/>
    <cellStyle name="Normal 2 3 6 4 14" xfId="25340" xr:uid="{6BDB1D9E-9BBB-47ED-9128-E734A591AF83}"/>
    <cellStyle name="Normal 2 3 6 4 15" xfId="27230" xr:uid="{B3288C7B-5DF5-4015-8B9B-38DB3DD6EC90}"/>
    <cellStyle name="Normal 2 3 6 4 16" xfId="29120" xr:uid="{5CBA2265-BE01-4F2C-AEE7-0574C3BE75ED}"/>
    <cellStyle name="Normal 2 3 6 4 17" xfId="31010" xr:uid="{E59E007C-BAAF-476A-954D-2037D0CF6F49}"/>
    <cellStyle name="Normal 2 3 6 4 18" xfId="32900" xr:uid="{4D064298-BDCB-47AA-8A49-8FD3B7CA01E6}"/>
    <cellStyle name="Normal 2 3 6 4 19" xfId="34790" xr:uid="{3D234E2C-C279-4406-844A-9A8C5B98450E}"/>
    <cellStyle name="Normal 2 3 6 4 2" xfId="2660" xr:uid="{E813F4BC-3E71-44AD-AC2B-CF4493A1A433}"/>
    <cellStyle name="Normal 2 3 6 4 20" xfId="36680" xr:uid="{6AD4D477-EB88-4B1D-B01A-51DCAA9921A8}"/>
    <cellStyle name="Normal 2 3 6 4 21" xfId="38570" xr:uid="{61E09FC9-553C-4958-A2FA-507A659D8DF8}"/>
    <cellStyle name="Normal 2 3 6 4 22" xfId="40461" xr:uid="{BC2BAF72-06EE-4FB9-BEC7-D1041917DECD}"/>
    <cellStyle name="Normal 2 3 6 4 3" xfId="4550" xr:uid="{F36CBC8F-1AC2-4411-8879-132CFF11D4B3}"/>
    <cellStyle name="Normal 2 3 6 4 4" xfId="6440" xr:uid="{5FAC619C-7BE6-41DF-BB79-A6EB12212809}"/>
    <cellStyle name="Normal 2 3 6 4 5" xfId="8330" xr:uid="{45D95F16-908D-47ED-8CD6-D5CA90A8ECB8}"/>
    <cellStyle name="Normal 2 3 6 4 6" xfId="10220" xr:uid="{C56FA419-BBDE-49F5-9B70-F52295C56B27}"/>
    <cellStyle name="Normal 2 3 6 4 7" xfId="12110" xr:uid="{4383AC93-973D-4EB6-A98B-D3134938A3E8}"/>
    <cellStyle name="Normal 2 3 6 4 8" xfId="14000" xr:uid="{734D77F7-0039-4009-90C0-7299F7BB6886}"/>
    <cellStyle name="Normal 2 3 6 4 9" xfId="15890" xr:uid="{AF8B7B0D-A8B4-4B1C-9E09-656E85D17EFF}"/>
    <cellStyle name="Normal 2 3 6 5" xfId="1400" xr:uid="{6794ED05-F333-4964-B841-D93CE6E1D66E}"/>
    <cellStyle name="Normal 2 3 6 5 10" xfId="18410" xr:uid="{1EC3B9C2-3124-4D01-A827-F9ED9A154D47}"/>
    <cellStyle name="Normal 2 3 6 5 11" xfId="20300" xr:uid="{DA6EF1CE-C45F-4613-A58D-F0C5275273D9}"/>
    <cellStyle name="Normal 2 3 6 5 12" xfId="22190" xr:uid="{965A23C1-3220-4A45-8C1A-04F2C6B7A8FB}"/>
    <cellStyle name="Normal 2 3 6 5 13" xfId="24080" xr:uid="{BBF91035-D683-4C26-BEBC-CA9DF9262235}"/>
    <cellStyle name="Normal 2 3 6 5 14" xfId="25970" xr:uid="{27B684D5-A8E4-4E98-BB95-266147478C69}"/>
    <cellStyle name="Normal 2 3 6 5 15" xfId="27860" xr:uid="{E31C0348-71BC-4193-9B6F-C6E871E0555A}"/>
    <cellStyle name="Normal 2 3 6 5 16" xfId="29750" xr:uid="{A3BF949A-48BF-441B-A6D1-2C1922768DFB}"/>
    <cellStyle name="Normal 2 3 6 5 17" xfId="31640" xr:uid="{91EC7C9E-12CA-4274-8B79-4BEE6033AEC0}"/>
    <cellStyle name="Normal 2 3 6 5 18" xfId="33530" xr:uid="{3C1BCA1C-2134-425D-9A63-084247FC26B1}"/>
    <cellStyle name="Normal 2 3 6 5 19" xfId="35420" xr:uid="{B21CEE6B-4337-439E-863C-1D66CBA31072}"/>
    <cellStyle name="Normal 2 3 6 5 2" xfId="3290" xr:uid="{E25C8E91-82EA-4465-B872-913CAEB217A7}"/>
    <cellStyle name="Normal 2 3 6 5 20" xfId="37310" xr:uid="{093D2FCF-F2CA-4F31-9E9C-1460EF35EDBE}"/>
    <cellStyle name="Normal 2 3 6 5 21" xfId="39200" xr:uid="{601A76DA-E7D1-42C2-B602-834EDED11C15}"/>
    <cellStyle name="Normal 2 3 6 5 22" xfId="41091" xr:uid="{DDD52CDD-A291-4711-A1E6-A4265D9520E2}"/>
    <cellStyle name="Normal 2 3 6 5 3" xfId="5180" xr:uid="{915397D1-9023-414C-AF2D-DB457688E219}"/>
    <cellStyle name="Normal 2 3 6 5 4" xfId="7070" xr:uid="{C27768E8-0914-4813-80C2-675180DBFE49}"/>
    <cellStyle name="Normal 2 3 6 5 5" xfId="8960" xr:uid="{51330874-3FF0-4293-9C79-428F5A77E95F}"/>
    <cellStyle name="Normal 2 3 6 5 6" xfId="10850" xr:uid="{C7EFB99C-F3C9-4C75-9612-35E0BE710F7C}"/>
    <cellStyle name="Normal 2 3 6 5 7" xfId="12740" xr:uid="{30EB5D68-7BF5-4C88-90F1-97658A341972}"/>
    <cellStyle name="Normal 2 3 6 5 8" xfId="14630" xr:uid="{80B0633A-3714-4BDC-8B4C-8314914D93CE}"/>
    <cellStyle name="Normal 2 3 6 5 9" xfId="16520" xr:uid="{D87EBA9D-C960-422D-9E19-DE5F45E7DAE7}"/>
    <cellStyle name="Normal 2 3 6 6" xfId="2030" xr:uid="{891BAB1C-A9F5-48DA-B137-C278217927E1}"/>
    <cellStyle name="Normal 2 3 6 7" xfId="3920" xr:uid="{EAD447E1-9F2C-4C57-B65B-540C3400FC66}"/>
    <cellStyle name="Normal 2 3 6 8" xfId="5810" xr:uid="{C6891267-7FC2-4C8A-A8F1-F581D1D5AA8E}"/>
    <cellStyle name="Normal 2 3 6 9" xfId="7700" xr:uid="{C28B5BBB-DCF0-4E12-9DC2-B63FD07ABD0B}"/>
    <cellStyle name="Normal 2 3 7" xfId="245" xr:uid="{67A40103-B18B-4C49-A4AF-12A1A065B03E}"/>
    <cellStyle name="Normal 2 3 7 10" xfId="13475" xr:uid="{DACB320A-F440-46DD-9BF5-5FF801972B6D}"/>
    <cellStyle name="Normal 2 3 7 11" xfId="15365" xr:uid="{64F6460B-CDB9-45D0-B280-E422AE8FC808}"/>
    <cellStyle name="Normal 2 3 7 12" xfId="17255" xr:uid="{B467471A-452C-40E9-B95B-4F705C40FA88}"/>
    <cellStyle name="Normal 2 3 7 13" xfId="19145" xr:uid="{4BADBE5B-A9AE-4365-81BF-D1BAF3949FCB}"/>
    <cellStyle name="Normal 2 3 7 14" xfId="21035" xr:uid="{C58B7C55-995D-478A-9FDB-57CB08CA67FA}"/>
    <cellStyle name="Normal 2 3 7 15" xfId="22925" xr:uid="{B0F24A0A-95C9-466B-A1A1-63D1328F05EA}"/>
    <cellStyle name="Normal 2 3 7 16" xfId="24815" xr:uid="{9A53ABE0-6308-420A-BC60-FEF01B87C7C8}"/>
    <cellStyle name="Normal 2 3 7 17" xfId="26705" xr:uid="{DA0F8C5F-1FCA-4584-96DD-8EAF9E5CE7F9}"/>
    <cellStyle name="Normal 2 3 7 18" xfId="28595" xr:uid="{0BB0EF46-08A1-4E1B-8BCF-1626FE041F48}"/>
    <cellStyle name="Normal 2 3 7 19" xfId="30485" xr:uid="{08B4AEE8-B304-4188-BF97-CF5A91D66F0E}"/>
    <cellStyle name="Normal 2 3 7 2" xfId="875" xr:uid="{32F1EDB5-99E1-466E-A7C1-CC035ABDBF0C}"/>
    <cellStyle name="Normal 2 3 7 2 10" xfId="17885" xr:uid="{B178DD37-76F2-4DEA-87C7-C7294DE5FA85}"/>
    <cellStyle name="Normal 2 3 7 2 11" xfId="19775" xr:uid="{4E87473B-B33D-4401-A8C7-03743BBBE167}"/>
    <cellStyle name="Normal 2 3 7 2 12" xfId="21665" xr:uid="{6F6992B4-70F5-4B70-8CF4-91F88E128A41}"/>
    <cellStyle name="Normal 2 3 7 2 13" xfId="23555" xr:uid="{167B2C9D-9660-4426-AF77-828442AAD134}"/>
    <cellStyle name="Normal 2 3 7 2 14" xfId="25445" xr:uid="{55F6E546-43B7-437B-AB81-6ECE13A095B6}"/>
    <cellStyle name="Normal 2 3 7 2 15" xfId="27335" xr:uid="{21A6F771-EE24-418E-88B6-71425AE37480}"/>
    <cellStyle name="Normal 2 3 7 2 16" xfId="29225" xr:uid="{ACC73B00-F91C-4E70-8B63-A05595153298}"/>
    <cellStyle name="Normal 2 3 7 2 17" xfId="31115" xr:uid="{9A97268F-0788-47F3-B597-0335065E3665}"/>
    <cellStyle name="Normal 2 3 7 2 18" xfId="33005" xr:uid="{68205126-CCDB-4A07-965A-0D98D63ADA78}"/>
    <cellStyle name="Normal 2 3 7 2 19" xfId="34895" xr:uid="{F7AF89F3-0EE2-4BEF-B201-DAD998ECCE7B}"/>
    <cellStyle name="Normal 2 3 7 2 2" xfId="2765" xr:uid="{F2DC4266-E92E-472C-BD32-8E83C74D8FEC}"/>
    <cellStyle name="Normal 2 3 7 2 20" xfId="36785" xr:uid="{E19FFEEB-C845-41AD-A339-185068A832A8}"/>
    <cellStyle name="Normal 2 3 7 2 21" xfId="38675" xr:uid="{263D76EB-CFC5-41EF-82B7-A53F7B4236CA}"/>
    <cellStyle name="Normal 2 3 7 2 22" xfId="40566" xr:uid="{FAFE528E-61BF-4F95-83FA-A100777541E5}"/>
    <cellStyle name="Normal 2 3 7 2 3" xfId="4655" xr:uid="{BBDDB49C-B865-4656-BF89-0ED64DE5948A}"/>
    <cellStyle name="Normal 2 3 7 2 4" xfId="6545" xr:uid="{D161C04F-5458-4BF7-A899-2A863DF1DFFA}"/>
    <cellStyle name="Normal 2 3 7 2 5" xfId="8435" xr:uid="{25119EAD-36C3-4236-A98C-2F546D27B6E8}"/>
    <cellStyle name="Normal 2 3 7 2 6" xfId="10325" xr:uid="{DB07D398-1460-4808-AB1B-8C0E0C627CED}"/>
    <cellStyle name="Normal 2 3 7 2 7" xfId="12215" xr:uid="{52DFD09B-2B71-4AB8-BEA4-930AECA720A1}"/>
    <cellStyle name="Normal 2 3 7 2 8" xfId="14105" xr:uid="{1D7AFC6B-813F-407A-8C17-782542AE3DA8}"/>
    <cellStyle name="Normal 2 3 7 2 9" xfId="15995" xr:uid="{AD65B2FF-6C4D-44E0-8A68-08EBDD77165D}"/>
    <cellStyle name="Normal 2 3 7 20" xfId="32375" xr:uid="{C377DE15-CC8E-4BAD-A70C-5B493F57080E}"/>
    <cellStyle name="Normal 2 3 7 21" xfId="34265" xr:uid="{ADEE5C27-55B8-420A-9D42-532E5E1C6BF6}"/>
    <cellStyle name="Normal 2 3 7 22" xfId="36155" xr:uid="{1337C948-63A2-4F23-8EE9-916F33CEFD20}"/>
    <cellStyle name="Normal 2 3 7 23" xfId="38045" xr:uid="{6089A598-636A-4B5F-BC27-56B5CF5036E2}"/>
    <cellStyle name="Normal 2 3 7 24" xfId="39936" xr:uid="{226C8C21-3C45-416A-8F65-BF770E0CD955}"/>
    <cellStyle name="Normal 2 3 7 3" xfId="1505" xr:uid="{6C01ADF4-F14C-4A23-926E-57DF29F57C94}"/>
    <cellStyle name="Normal 2 3 7 3 10" xfId="18515" xr:uid="{92F8DB5E-7DCD-4E6B-92C1-34D15B80B6A8}"/>
    <cellStyle name="Normal 2 3 7 3 11" xfId="20405" xr:uid="{7A72C1A4-4DA9-4692-B72D-9CF2112935A9}"/>
    <cellStyle name="Normal 2 3 7 3 12" xfId="22295" xr:uid="{F2468CE0-2AE4-4272-A228-6759FFA06162}"/>
    <cellStyle name="Normal 2 3 7 3 13" xfId="24185" xr:uid="{32230BF6-6332-4338-897F-4CAF7BC31225}"/>
    <cellStyle name="Normal 2 3 7 3 14" xfId="26075" xr:uid="{DE2F191E-69C5-4BD4-A9F1-A2496AAEDA20}"/>
    <cellStyle name="Normal 2 3 7 3 15" xfId="27965" xr:uid="{DB4530A1-A6EF-4E61-89E2-7DD365A2569A}"/>
    <cellStyle name="Normal 2 3 7 3 16" xfId="29855" xr:uid="{BFE85C54-7C8D-47D0-BE90-682566D7E72B}"/>
    <cellStyle name="Normal 2 3 7 3 17" xfId="31745" xr:uid="{A3D0FED4-8141-4E95-9373-C8DFF7176420}"/>
    <cellStyle name="Normal 2 3 7 3 18" xfId="33635" xr:uid="{50097078-46E0-4FC7-916B-3FA003C4131C}"/>
    <cellStyle name="Normal 2 3 7 3 19" xfId="35525" xr:uid="{BA98547A-F013-43E2-A0F3-21865CB89294}"/>
    <cellStyle name="Normal 2 3 7 3 2" xfId="3395" xr:uid="{D6B35CFE-AE04-438C-8A61-1C06DE3588E8}"/>
    <cellStyle name="Normal 2 3 7 3 20" xfId="37415" xr:uid="{2A9FB91B-CBB8-4DEE-A5DB-DCBAFDB4D7F1}"/>
    <cellStyle name="Normal 2 3 7 3 21" xfId="39305" xr:uid="{327AFC8D-FDD0-4D93-9915-B83ECF4E8D3C}"/>
    <cellStyle name="Normal 2 3 7 3 22" xfId="41196" xr:uid="{4329E789-9BA3-488B-8072-927E84A807D8}"/>
    <cellStyle name="Normal 2 3 7 3 3" xfId="5285" xr:uid="{582C2ECB-F94D-45DF-AFF3-1067E7F45815}"/>
    <cellStyle name="Normal 2 3 7 3 4" xfId="7175" xr:uid="{AFA04FAE-BEE2-4E0F-ACB0-A2DB72A086FB}"/>
    <cellStyle name="Normal 2 3 7 3 5" xfId="9065" xr:uid="{1E48DEB3-90FE-44D6-B42C-34949E58DB45}"/>
    <cellStyle name="Normal 2 3 7 3 6" xfId="10955" xr:uid="{7D1CDBB8-9AED-4E3C-B407-FA6A9D62CA2B}"/>
    <cellStyle name="Normal 2 3 7 3 7" xfId="12845" xr:uid="{0A8CE054-1527-4028-90DC-D51B6CF0C4DC}"/>
    <cellStyle name="Normal 2 3 7 3 8" xfId="14735" xr:uid="{1651E612-8C72-4230-8E25-FA4412845AAA}"/>
    <cellStyle name="Normal 2 3 7 3 9" xfId="16625" xr:uid="{7EDB7AA0-43E2-4CF8-AAA1-505295FDA7C7}"/>
    <cellStyle name="Normal 2 3 7 4" xfId="2135" xr:uid="{834401BE-4A01-4F49-B408-2A6FE9FC55E3}"/>
    <cellStyle name="Normal 2 3 7 5" xfId="4025" xr:uid="{E7D37E57-533E-4C11-9F8A-3774272EF4C9}"/>
    <cellStyle name="Normal 2 3 7 6" xfId="5915" xr:uid="{89827B5B-3813-4FB0-9DE0-7DD7B57AF292}"/>
    <cellStyle name="Normal 2 3 7 7" xfId="7805" xr:uid="{CD7DFA35-71E2-4310-B915-DF3844A5E623}"/>
    <cellStyle name="Normal 2 3 7 8" xfId="9695" xr:uid="{FB9034FC-AF03-4107-B974-EC235E524635}"/>
    <cellStyle name="Normal 2 3 7 9" xfId="11585" xr:uid="{538EC0D2-0925-4866-BF64-B7B80F94F5E7}"/>
    <cellStyle name="Normal 2 3 8" xfId="455" xr:uid="{415D76E0-6090-4A99-8081-1476B78F8F3B}"/>
    <cellStyle name="Normal 2 3 8 10" xfId="13685" xr:uid="{AB7B3F01-D754-4B21-AEAC-A3B682D9BFB2}"/>
    <cellStyle name="Normal 2 3 8 11" xfId="15575" xr:uid="{F01433A9-D7A9-4E3E-B362-AFD2257DF78E}"/>
    <cellStyle name="Normal 2 3 8 12" xfId="17465" xr:uid="{8A940578-DEB9-4231-B9A8-E331DBF4761C}"/>
    <cellStyle name="Normal 2 3 8 13" xfId="19355" xr:uid="{9D2E7F13-675C-4020-8C27-E670726E14C0}"/>
    <cellStyle name="Normal 2 3 8 14" xfId="21245" xr:uid="{0B6CBE5A-DD7D-4813-AE35-E96B68FC4885}"/>
    <cellStyle name="Normal 2 3 8 15" xfId="23135" xr:uid="{80747493-36C0-4851-A504-C45A622DCE0A}"/>
    <cellStyle name="Normal 2 3 8 16" xfId="25025" xr:uid="{741A506D-4DC2-4AC2-9589-21450ED61282}"/>
    <cellStyle name="Normal 2 3 8 17" xfId="26915" xr:uid="{731639B1-3050-4FFA-8CAA-82EF4715EF0A}"/>
    <cellStyle name="Normal 2 3 8 18" xfId="28805" xr:uid="{927AF787-9765-4586-88DD-92DD6B95E8BF}"/>
    <cellStyle name="Normal 2 3 8 19" xfId="30695" xr:uid="{F56FA18B-815E-42B8-90E9-4572C7707C24}"/>
    <cellStyle name="Normal 2 3 8 2" xfId="1085" xr:uid="{97582989-4D27-4999-944F-EBBA5A024D0E}"/>
    <cellStyle name="Normal 2 3 8 2 10" xfId="18095" xr:uid="{84D89491-FF2E-4250-86C3-282026331777}"/>
    <cellStyle name="Normal 2 3 8 2 11" xfId="19985" xr:uid="{D38F44EF-E1A4-4472-9EC3-18B895302970}"/>
    <cellStyle name="Normal 2 3 8 2 12" xfId="21875" xr:uid="{D0B54147-DA41-4B4B-991D-A13E05E4B15F}"/>
    <cellStyle name="Normal 2 3 8 2 13" xfId="23765" xr:uid="{15B7389A-0D84-4C89-BE8B-D5ACB05B581C}"/>
    <cellStyle name="Normal 2 3 8 2 14" xfId="25655" xr:uid="{CB99C025-F24B-4F00-80B6-7366903BAC3F}"/>
    <cellStyle name="Normal 2 3 8 2 15" xfId="27545" xr:uid="{0E45FAD5-C17F-4C72-9FB3-F1849C0B0C60}"/>
    <cellStyle name="Normal 2 3 8 2 16" xfId="29435" xr:uid="{3A9250DD-7222-4BDE-ABDC-924CDA27DC3F}"/>
    <cellStyle name="Normal 2 3 8 2 17" xfId="31325" xr:uid="{6D45E86D-01AF-44F0-9395-BBCBCF97F80A}"/>
    <cellStyle name="Normal 2 3 8 2 18" xfId="33215" xr:uid="{0C578B52-BC1C-424C-8C2A-15633AF32489}"/>
    <cellStyle name="Normal 2 3 8 2 19" xfId="35105" xr:uid="{4942F32B-8678-44F4-8E96-9550B57E933A}"/>
    <cellStyle name="Normal 2 3 8 2 2" xfId="2975" xr:uid="{FFAA3CDD-74F0-4B7E-B46D-9C216ECD7D05}"/>
    <cellStyle name="Normal 2 3 8 2 20" xfId="36995" xr:uid="{16A15BF6-502A-4E40-B48F-549F88759063}"/>
    <cellStyle name="Normal 2 3 8 2 21" xfId="38885" xr:uid="{1F0B63CE-BC70-412B-B0B3-1896538760A6}"/>
    <cellStyle name="Normal 2 3 8 2 22" xfId="40776" xr:uid="{35AE3FA4-4586-471C-B8F6-56EC061BBFF1}"/>
    <cellStyle name="Normal 2 3 8 2 3" xfId="4865" xr:uid="{92F81AF9-DEAE-49BA-9910-F897A8A7A2D5}"/>
    <cellStyle name="Normal 2 3 8 2 4" xfId="6755" xr:uid="{8FE0A2CB-8E0F-4952-B854-F4B8A312FE12}"/>
    <cellStyle name="Normal 2 3 8 2 5" xfId="8645" xr:uid="{1D5C7C92-37E8-4ADD-83E4-34AEAD8364B7}"/>
    <cellStyle name="Normal 2 3 8 2 6" xfId="10535" xr:uid="{F6446486-2F06-4622-A2D8-C6A1A3A7F5CC}"/>
    <cellStyle name="Normal 2 3 8 2 7" xfId="12425" xr:uid="{5351F7F8-3600-4A57-B68E-2A56384BA72F}"/>
    <cellStyle name="Normal 2 3 8 2 8" xfId="14315" xr:uid="{496C9F1D-ECB4-4A6A-8E41-D947837F9D24}"/>
    <cellStyle name="Normal 2 3 8 2 9" xfId="16205" xr:uid="{5DD5C75E-33EE-47EC-B07C-B19EB04A150C}"/>
    <cellStyle name="Normal 2 3 8 20" xfId="32585" xr:uid="{3E46C476-E3A6-42B7-AED9-8F96CEB3D0AF}"/>
    <cellStyle name="Normal 2 3 8 21" xfId="34475" xr:uid="{9DC955B4-39E1-4D85-AD45-5F2E6C6CC8E3}"/>
    <cellStyle name="Normal 2 3 8 22" xfId="36365" xr:uid="{A7AF93CA-39B9-436E-874F-DEBDBA4F7F9B}"/>
    <cellStyle name="Normal 2 3 8 23" xfId="38255" xr:uid="{B6AECA51-642E-438E-A8D6-97F86C61D85B}"/>
    <cellStyle name="Normal 2 3 8 24" xfId="40146" xr:uid="{ABA64362-A1CD-44F5-AB08-0E2608E6DA0E}"/>
    <cellStyle name="Normal 2 3 8 3" xfId="1715" xr:uid="{3AB3B8EC-0C7B-42CE-8DCD-386E749970A8}"/>
    <cellStyle name="Normal 2 3 8 3 10" xfId="18725" xr:uid="{AC67D313-E890-491E-B182-C50857E7F694}"/>
    <cellStyle name="Normal 2 3 8 3 11" xfId="20615" xr:uid="{848148D6-11BF-4FC7-B8D5-8461FA84CC2C}"/>
    <cellStyle name="Normal 2 3 8 3 12" xfId="22505" xr:uid="{C9E84AFA-E5B4-494A-9E47-EF744E060546}"/>
    <cellStyle name="Normal 2 3 8 3 13" xfId="24395" xr:uid="{F49B5259-F420-4101-A152-57DB514DE418}"/>
    <cellStyle name="Normal 2 3 8 3 14" xfId="26285" xr:uid="{97E11A12-5494-492C-8DF8-1579D32F674A}"/>
    <cellStyle name="Normal 2 3 8 3 15" xfId="28175" xr:uid="{03EB0DAD-50A0-4202-B40D-01B8D738E54B}"/>
    <cellStyle name="Normal 2 3 8 3 16" xfId="30065" xr:uid="{C6F4E067-2AC2-4E68-B5B1-73BE5B724E9E}"/>
    <cellStyle name="Normal 2 3 8 3 17" xfId="31955" xr:uid="{74251077-030E-4B04-A964-AF1BA7A8FE0C}"/>
    <cellStyle name="Normal 2 3 8 3 18" xfId="33845" xr:uid="{837417A6-6C13-4BDD-9FAB-E3592759D7E5}"/>
    <cellStyle name="Normal 2 3 8 3 19" xfId="35735" xr:uid="{D58E0F18-F8F8-4042-86D4-6849BBA4B735}"/>
    <cellStyle name="Normal 2 3 8 3 2" xfId="3605" xr:uid="{E8CC1191-25BF-4F25-9CEB-B62F9204F632}"/>
    <cellStyle name="Normal 2 3 8 3 20" xfId="37625" xr:uid="{0CA7F8AF-A5AF-46AF-A97A-5EDA953A02F4}"/>
    <cellStyle name="Normal 2 3 8 3 21" xfId="39515" xr:uid="{F6F66324-D1C5-49B5-8043-F7438FFB7BD9}"/>
    <cellStyle name="Normal 2 3 8 3 22" xfId="41406" xr:uid="{6F0EA7EF-E3F1-413B-BFC7-94B30C545811}"/>
    <cellStyle name="Normal 2 3 8 3 3" xfId="5495" xr:uid="{EFD42172-104B-4220-8769-43DC7D1417AD}"/>
    <cellStyle name="Normal 2 3 8 3 4" xfId="7385" xr:uid="{2985DE97-7A39-4E8D-92F9-A84AFE9940D2}"/>
    <cellStyle name="Normal 2 3 8 3 5" xfId="9275" xr:uid="{0BCA9DAE-3635-4D81-A7F4-ABEB52AF1884}"/>
    <cellStyle name="Normal 2 3 8 3 6" xfId="11165" xr:uid="{7E3B715E-66DF-46A9-B7BD-00860B95336E}"/>
    <cellStyle name="Normal 2 3 8 3 7" xfId="13055" xr:uid="{E03CCD5D-EE95-4BE2-AD27-92F23419802F}"/>
    <cellStyle name="Normal 2 3 8 3 8" xfId="14945" xr:uid="{992BFFD7-42D8-4BA7-BBAE-45AC34376997}"/>
    <cellStyle name="Normal 2 3 8 3 9" xfId="16835" xr:uid="{BBF3E8FE-95DD-4CA2-A4C3-1B18EE3A784D}"/>
    <cellStyle name="Normal 2 3 8 4" xfId="2345" xr:uid="{4966118B-B329-4663-BC93-1CC6AB2F669B}"/>
    <cellStyle name="Normal 2 3 8 5" xfId="4235" xr:uid="{060BA0E1-0473-47B4-A670-32673A98B469}"/>
    <cellStyle name="Normal 2 3 8 6" xfId="6125" xr:uid="{F2A848FB-6FED-4538-8D4B-E4D23EE2005A}"/>
    <cellStyle name="Normal 2 3 8 7" xfId="8015" xr:uid="{08B602E6-232A-4AC3-885D-D53D03C198D5}"/>
    <cellStyle name="Normal 2 3 8 8" xfId="9905" xr:uid="{B7732C12-E2F6-4714-B577-3DD8DD47CA28}"/>
    <cellStyle name="Normal 2 3 8 9" xfId="11795" xr:uid="{CE2136A1-613B-4708-9420-96EC2556F817}"/>
    <cellStyle name="Normal 2 3 9" xfId="665" xr:uid="{95014F4A-A2AF-416B-B0C6-00C882AE9995}"/>
    <cellStyle name="Normal 2 3 9 10" xfId="17675" xr:uid="{2BA15C2A-FEE3-4324-98C8-2B147C45CC95}"/>
    <cellStyle name="Normal 2 3 9 11" xfId="19565" xr:uid="{B82B7DB5-4D98-498B-960A-00859DA1137F}"/>
    <cellStyle name="Normal 2 3 9 12" xfId="21455" xr:uid="{19E07B3C-606D-4B0A-8E1B-A51CDDB8348C}"/>
    <cellStyle name="Normal 2 3 9 13" xfId="23345" xr:uid="{0AE054D1-92FF-457D-BFAA-347B542E9907}"/>
    <cellStyle name="Normal 2 3 9 14" xfId="25235" xr:uid="{A3F47952-4812-4840-934B-70111B6C665E}"/>
    <cellStyle name="Normal 2 3 9 15" xfId="27125" xr:uid="{7627B600-7A06-4A22-8E27-D7B482A65208}"/>
    <cellStyle name="Normal 2 3 9 16" xfId="29015" xr:uid="{1C26F303-C16D-4FA0-9FED-A07BBB290044}"/>
    <cellStyle name="Normal 2 3 9 17" xfId="30905" xr:uid="{3BBE7013-8FD5-4A85-B42A-DEFA2D099556}"/>
    <cellStyle name="Normal 2 3 9 18" xfId="32795" xr:uid="{67901895-F484-4714-8055-0C8D48A3612F}"/>
    <cellStyle name="Normal 2 3 9 19" xfId="34685" xr:uid="{3852B08D-AACA-4708-8F38-79FA58AE8764}"/>
    <cellStyle name="Normal 2 3 9 2" xfId="2555" xr:uid="{6B4CB142-9710-4095-9A2F-12C42777DA6B}"/>
    <cellStyle name="Normal 2 3 9 20" xfId="36575" xr:uid="{35968E37-C9A3-4F28-95EE-17B9F32D974D}"/>
    <cellStyle name="Normal 2 3 9 21" xfId="38465" xr:uid="{46E8685D-8155-4001-865D-611D436BB3B6}"/>
    <cellStyle name="Normal 2 3 9 22" xfId="40356" xr:uid="{B201DB88-680E-425F-B8BC-862482A766A0}"/>
    <cellStyle name="Normal 2 3 9 3" xfId="4445" xr:uid="{9E1C1FE4-7E84-4954-A680-CC883FEB2B93}"/>
    <cellStyle name="Normal 2 3 9 4" xfId="6335" xr:uid="{0544C2D8-639E-4F4E-9C98-B235743769EC}"/>
    <cellStyle name="Normal 2 3 9 5" xfId="8225" xr:uid="{CEA21D47-0515-4470-BAEF-2AB5EF8323B8}"/>
    <cellStyle name="Normal 2 3 9 6" xfId="10115" xr:uid="{AD4F47CA-2E83-422B-8998-B47B9B4FF24D}"/>
    <cellStyle name="Normal 2 3 9 7" xfId="12005" xr:uid="{9241CC4E-719B-41A6-AA9F-2790DFDA3134}"/>
    <cellStyle name="Normal 2 3 9 8" xfId="13895" xr:uid="{3A006D37-25DB-409F-9A9B-F45A3A7396C7}"/>
    <cellStyle name="Normal 2 3 9 9" xfId="15785" xr:uid="{C15FC958-D6E5-4127-8CF4-B0350512C146}"/>
    <cellStyle name="Normal 2 30" xfId="34054" xr:uid="{A2D5F934-5B1A-4F21-A3BD-E0D7B3C8FF30}"/>
    <cellStyle name="Normal 2 31" xfId="35944" xr:uid="{7B30AB9C-5A7B-4C56-9CE0-8B5EE33D3A6C}"/>
    <cellStyle name="Normal 2 32" xfId="37834" xr:uid="{42E92B8B-A2A6-4C05-B89B-996CD32A301C}"/>
    <cellStyle name="Normal 2 33" xfId="39725" xr:uid="{032A1AE5-9EC1-4B43-A28F-5B9DCECAE115}"/>
    <cellStyle name="Normal 2 4" xfId="22" xr:uid="{C8FFFA98-D72C-40F5-980A-5D9CDBCA584D}"/>
    <cellStyle name="Normal 2 4 10" xfId="7604" xr:uid="{4AD69CB9-FBD2-4B55-A8E5-3C1A395D9844}"/>
    <cellStyle name="Normal 2 4 11" xfId="9494" xr:uid="{11384107-8A92-42DB-8599-055D199B113D}"/>
    <cellStyle name="Normal 2 4 12" xfId="11384" xr:uid="{A3447B68-8C0E-4380-ADB4-1A7551728EE9}"/>
    <cellStyle name="Normal 2 4 13" xfId="13274" xr:uid="{BC54068F-66B2-4118-B11E-188CEBA88C1E}"/>
    <cellStyle name="Normal 2 4 14" xfId="15164" xr:uid="{2D1BF75A-280C-45B7-918B-516C42E3492D}"/>
    <cellStyle name="Normal 2 4 15" xfId="17054" xr:uid="{673C1697-B1AC-4087-AA1C-57AB578D9C35}"/>
    <cellStyle name="Normal 2 4 16" xfId="18944" xr:uid="{115BFD43-2587-4014-AF15-FBB7D96DEBFF}"/>
    <cellStyle name="Normal 2 4 17" xfId="20834" xr:uid="{BC99DA2A-99DD-48BB-90FF-AE8ED924D208}"/>
    <cellStyle name="Normal 2 4 18" xfId="22724" xr:uid="{4A87EFA2-6A24-4AC3-B93F-737B0125534B}"/>
    <cellStyle name="Normal 2 4 19" xfId="24614" xr:uid="{F0F80E3F-D054-4F2B-A440-41F054B5D331}"/>
    <cellStyle name="Normal 2 4 2" xfId="149" xr:uid="{6D855900-1007-4A89-B42B-73F545C82122}"/>
    <cellStyle name="Normal 2 4 2 10" xfId="9599" xr:uid="{438A86C5-E691-422B-B83C-31E1711E5510}"/>
    <cellStyle name="Normal 2 4 2 11" xfId="11489" xr:uid="{C401758D-D23D-456B-BAAF-53F259C72D1C}"/>
    <cellStyle name="Normal 2 4 2 12" xfId="13379" xr:uid="{29AD2953-3400-4EDC-8D32-FF6DF5018272}"/>
    <cellStyle name="Normal 2 4 2 13" xfId="15269" xr:uid="{ECD80725-E1C3-491F-BB5D-7FCE5F179E45}"/>
    <cellStyle name="Normal 2 4 2 14" xfId="17159" xr:uid="{36CD0A6E-7379-43D1-B470-ADA557782602}"/>
    <cellStyle name="Normal 2 4 2 15" xfId="19049" xr:uid="{662A4957-3292-4778-BF89-5AD9DC78E6BE}"/>
    <cellStyle name="Normal 2 4 2 16" xfId="20939" xr:uid="{B1F29D6E-8ADD-4E2C-9AFD-0933583A1859}"/>
    <cellStyle name="Normal 2 4 2 17" xfId="22829" xr:uid="{5E79ADF3-63B4-40B6-920B-F38AA16C03B4}"/>
    <cellStyle name="Normal 2 4 2 18" xfId="24719" xr:uid="{089721C2-6305-4652-A08F-F693128300F0}"/>
    <cellStyle name="Normal 2 4 2 19" xfId="26609" xr:uid="{A231CF0C-EBCF-4D8B-BBDD-B57567334E78}"/>
    <cellStyle name="Normal 2 4 2 2" xfId="359" xr:uid="{FE0AE395-3A84-45FB-BF9F-DE793092E3DE}"/>
    <cellStyle name="Normal 2 4 2 2 10" xfId="13589" xr:uid="{EF787E5E-6D6D-4806-90AC-8755D9A3D95C}"/>
    <cellStyle name="Normal 2 4 2 2 11" xfId="15479" xr:uid="{7E588EF5-46C7-4573-BDB7-B35CBA6B6B17}"/>
    <cellStyle name="Normal 2 4 2 2 12" xfId="17369" xr:uid="{E3B9E5A0-5321-4CE9-9351-680DD485F718}"/>
    <cellStyle name="Normal 2 4 2 2 13" xfId="19259" xr:uid="{3EAD8696-7C40-4018-A0D2-D5561C03E10D}"/>
    <cellStyle name="Normal 2 4 2 2 14" xfId="21149" xr:uid="{B74319E4-18CC-43AD-9D2E-127CF83CD41D}"/>
    <cellStyle name="Normal 2 4 2 2 15" xfId="23039" xr:uid="{F195ABDF-2BD4-4606-B993-39759FACBA2B}"/>
    <cellStyle name="Normal 2 4 2 2 16" xfId="24929" xr:uid="{27AA8E77-BB93-4DDA-9F5B-5981D2ECED3B}"/>
    <cellStyle name="Normal 2 4 2 2 17" xfId="26819" xr:uid="{2F75E264-FCD9-4168-B9DF-FE3AC9A7646E}"/>
    <cellStyle name="Normal 2 4 2 2 18" xfId="28709" xr:uid="{10419F8C-BEAA-4937-AA1C-AB2F29A1BADB}"/>
    <cellStyle name="Normal 2 4 2 2 19" xfId="30599" xr:uid="{2F3DFCE1-8817-48DB-8BB2-3C3239F5C7E1}"/>
    <cellStyle name="Normal 2 4 2 2 2" xfId="989" xr:uid="{5BC75819-C034-40DF-81CC-2A6F9FC9D650}"/>
    <cellStyle name="Normal 2 4 2 2 2 10" xfId="17999" xr:uid="{5F3ACDE8-6EA7-4076-A1A1-3BB24CAC9041}"/>
    <cellStyle name="Normal 2 4 2 2 2 11" xfId="19889" xr:uid="{F37986A5-D00B-433C-B57A-B6E057785FBB}"/>
    <cellStyle name="Normal 2 4 2 2 2 12" xfId="21779" xr:uid="{B7F7E94A-A8C2-44E3-9F53-18645852C42B}"/>
    <cellStyle name="Normal 2 4 2 2 2 13" xfId="23669" xr:uid="{16C79B89-B228-4C83-9FD3-FBA328CF3669}"/>
    <cellStyle name="Normal 2 4 2 2 2 14" xfId="25559" xr:uid="{ED9C25B8-810F-4E01-AF3D-4861D17C93DE}"/>
    <cellStyle name="Normal 2 4 2 2 2 15" xfId="27449" xr:uid="{27026965-8AAE-4D77-A7C4-D712826DFF31}"/>
    <cellStyle name="Normal 2 4 2 2 2 16" xfId="29339" xr:uid="{FF08C39A-142A-49BE-AB93-75A5C85F2684}"/>
    <cellStyle name="Normal 2 4 2 2 2 17" xfId="31229" xr:uid="{FB5F9E2B-E006-48AD-A92F-59F7C3DE1D6F}"/>
    <cellStyle name="Normal 2 4 2 2 2 18" xfId="33119" xr:uid="{A56956CD-2B52-42F3-8D28-32E69E91A0D7}"/>
    <cellStyle name="Normal 2 4 2 2 2 19" xfId="35009" xr:uid="{553A81A1-ACCB-4936-B080-FAD78F2D254A}"/>
    <cellStyle name="Normal 2 4 2 2 2 2" xfId="2879" xr:uid="{8F127AA6-EE27-47E0-9532-02EA3EA66BB2}"/>
    <cellStyle name="Normal 2 4 2 2 2 20" xfId="36899" xr:uid="{2A26F198-443A-4650-B610-C1CDA0A2579C}"/>
    <cellStyle name="Normal 2 4 2 2 2 21" xfId="38789" xr:uid="{92E7021E-3980-4049-B0B1-F8CA2013AA95}"/>
    <cellStyle name="Normal 2 4 2 2 2 22" xfId="40680" xr:uid="{4607C5EC-1340-4BB6-929B-C0157EE57911}"/>
    <cellStyle name="Normal 2 4 2 2 2 3" xfId="4769" xr:uid="{DB1C2285-DB5A-4D85-8E68-A9722F2CADAC}"/>
    <cellStyle name="Normal 2 4 2 2 2 4" xfId="6659" xr:uid="{98834563-CCDA-4A92-A7F9-6A571E106D08}"/>
    <cellStyle name="Normal 2 4 2 2 2 5" xfId="8549" xr:uid="{8DC6B123-5E34-4032-8A6F-BA9B00402599}"/>
    <cellStyle name="Normal 2 4 2 2 2 6" xfId="10439" xr:uid="{8033E903-3323-41E6-98DD-24ED81940AE1}"/>
    <cellStyle name="Normal 2 4 2 2 2 7" xfId="12329" xr:uid="{4B955E06-71D6-4273-91B1-5F531A74926F}"/>
    <cellStyle name="Normal 2 4 2 2 2 8" xfId="14219" xr:uid="{6D41CEBB-DAFC-4A3E-AB03-80BB0EB61B7C}"/>
    <cellStyle name="Normal 2 4 2 2 2 9" xfId="16109" xr:uid="{AA27601C-49DA-4E65-8629-5E1EAC7431EC}"/>
    <cellStyle name="Normal 2 4 2 2 20" xfId="32489" xr:uid="{3ECF339C-7765-4E45-B0AE-B9404E4C542A}"/>
    <cellStyle name="Normal 2 4 2 2 21" xfId="34379" xr:uid="{0B8D7FE1-0B9C-424C-837C-9998E3C3CAA5}"/>
    <cellStyle name="Normal 2 4 2 2 22" xfId="36269" xr:uid="{F2010F24-1E1D-4982-92A4-5808C9CD9EA2}"/>
    <cellStyle name="Normal 2 4 2 2 23" xfId="38159" xr:uid="{5FC1BADA-78D2-4A7B-9993-D6A0B55BFBC9}"/>
    <cellStyle name="Normal 2 4 2 2 24" xfId="40050" xr:uid="{82795C00-4A1A-4991-8C36-D80F79308D9C}"/>
    <cellStyle name="Normal 2 4 2 2 3" xfId="1619" xr:uid="{914728C8-9AF9-4871-8054-43D2F4A10477}"/>
    <cellStyle name="Normal 2 4 2 2 3 10" xfId="18629" xr:uid="{B5159BCF-2E57-4E7F-B76F-B0DDE295A605}"/>
    <cellStyle name="Normal 2 4 2 2 3 11" xfId="20519" xr:uid="{AE854E3D-CC3E-4EB4-ACEF-D48EC1E1D6E2}"/>
    <cellStyle name="Normal 2 4 2 2 3 12" xfId="22409" xr:uid="{072E62A0-9E44-4BCA-9CE4-9C10223B76C8}"/>
    <cellStyle name="Normal 2 4 2 2 3 13" xfId="24299" xr:uid="{C93601DD-4472-4F48-A6B4-441C75320C30}"/>
    <cellStyle name="Normal 2 4 2 2 3 14" xfId="26189" xr:uid="{C212DEFC-D987-432F-9E27-5256404939E1}"/>
    <cellStyle name="Normal 2 4 2 2 3 15" xfId="28079" xr:uid="{4E9F9583-C657-4C0B-971E-A50E36060EFA}"/>
    <cellStyle name="Normal 2 4 2 2 3 16" xfId="29969" xr:uid="{F7F33D1D-1466-4976-AD51-B1E642B17340}"/>
    <cellStyle name="Normal 2 4 2 2 3 17" xfId="31859" xr:uid="{A42D687E-B3E6-44E4-AB16-CB31F735480B}"/>
    <cellStyle name="Normal 2 4 2 2 3 18" xfId="33749" xr:uid="{1A0CD913-49F7-434B-8044-21D1285F3E58}"/>
    <cellStyle name="Normal 2 4 2 2 3 19" xfId="35639" xr:uid="{0271DA81-B420-46EF-9C61-ED89B3294ABA}"/>
    <cellStyle name="Normal 2 4 2 2 3 2" xfId="3509" xr:uid="{5E26FEC1-6535-4C55-B2FD-7FCAFB8DAE4F}"/>
    <cellStyle name="Normal 2 4 2 2 3 20" xfId="37529" xr:uid="{EB5479C0-B05B-4D0C-AB69-E94AE3114F4B}"/>
    <cellStyle name="Normal 2 4 2 2 3 21" xfId="39419" xr:uid="{4F0125B1-6647-4F5B-9F1B-8224AF1DF235}"/>
    <cellStyle name="Normal 2 4 2 2 3 22" xfId="41310" xr:uid="{A9633BE4-9D9B-441B-BAA5-44A3FF3A7CD3}"/>
    <cellStyle name="Normal 2 4 2 2 3 3" xfId="5399" xr:uid="{6B7E653F-E7E0-4D8C-936E-22A66AABA7B2}"/>
    <cellStyle name="Normal 2 4 2 2 3 4" xfId="7289" xr:uid="{A218A381-4834-4511-92A5-12B3A7046749}"/>
    <cellStyle name="Normal 2 4 2 2 3 5" xfId="9179" xr:uid="{0A34D5AF-B787-4788-8CAB-15E36EBDD6E3}"/>
    <cellStyle name="Normal 2 4 2 2 3 6" xfId="11069" xr:uid="{7FDB4136-A2AF-4E4C-86C8-4DFBC9531E0E}"/>
    <cellStyle name="Normal 2 4 2 2 3 7" xfId="12959" xr:uid="{7B130AA7-576E-4183-A543-B72D9E57CBAC}"/>
    <cellStyle name="Normal 2 4 2 2 3 8" xfId="14849" xr:uid="{ED01D94B-7479-40F3-A113-8F1716FAFED2}"/>
    <cellStyle name="Normal 2 4 2 2 3 9" xfId="16739" xr:uid="{94D5B20E-F41F-4AC0-A156-4A5DF63D2363}"/>
    <cellStyle name="Normal 2 4 2 2 4" xfId="2249" xr:uid="{54A8FFCD-BD41-4126-B88F-FDFC74CF7EC1}"/>
    <cellStyle name="Normal 2 4 2 2 5" xfId="4139" xr:uid="{4B6013A7-AD63-406C-8D51-360B83984F91}"/>
    <cellStyle name="Normal 2 4 2 2 6" xfId="6029" xr:uid="{070CD6E4-F8D7-4C46-96F3-6CCBA73F84DA}"/>
    <cellStyle name="Normal 2 4 2 2 7" xfId="7919" xr:uid="{B167C3B2-256E-433A-9EB0-A1EF1B4D85AE}"/>
    <cellStyle name="Normal 2 4 2 2 8" xfId="9809" xr:uid="{E26D934D-AA65-4E25-BA8C-782B91B22A9F}"/>
    <cellStyle name="Normal 2 4 2 2 9" xfId="11699" xr:uid="{F2308CD6-EA28-4C54-BAF1-A7376751F46C}"/>
    <cellStyle name="Normal 2 4 2 20" xfId="28499" xr:uid="{A6AB84A8-9CA9-47D9-95E6-F68078C6E967}"/>
    <cellStyle name="Normal 2 4 2 21" xfId="30389" xr:uid="{E291FB78-ED6F-42F3-9940-11B46448620A}"/>
    <cellStyle name="Normal 2 4 2 22" xfId="32279" xr:uid="{9DA4035B-00E9-4FFA-AA2E-2AE9BCD851FD}"/>
    <cellStyle name="Normal 2 4 2 23" xfId="34169" xr:uid="{83D60B60-A09B-4685-877B-AA385DEC36FD}"/>
    <cellStyle name="Normal 2 4 2 24" xfId="36059" xr:uid="{F5616BB9-A56C-4BEA-BEAE-F27B5D44B256}"/>
    <cellStyle name="Normal 2 4 2 25" xfId="37949" xr:uid="{2177AB97-028D-4C9A-B823-8459369ED4A0}"/>
    <cellStyle name="Normal 2 4 2 26" xfId="39840" xr:uid="{E230DE8D-6322-4C21-A18E-18900635138E}"/>
    <cellStyle name="Normal 2 4 2 3" xfId="569" xr:uid="{37FAB99F-15F2-49EC-B396-2988907EB5E2}"/>
    <cellStyle name="Normal 2 4 2 3 10" xfId="13799" xr:uid="{CA289D15-2675-4E9E-9F18-270B2D3B1D7E}"/>
    <cellStyle name="Normal 2 4 2 3 11" xfId="15689" xr:uid="{23F1C9E4-7FE0-4D28-8614-17B985AA70CB}"/>
    <cellStyle name="Normal 2 4 2 3 12" xfId="17579" xr:uid="{FD3DCA78-47F5-4417-B7A6-AF075420738A}"/>
    <cellStyle name="Normal 2 4 2 3 13" xfId="19469" xr:uid="{16BE83C4-2A98-4FAA-A7BD-97A7F3C854AA}"/>
    <cellStyle name="Normal 2 4 2 3 14" xfId="21359" xr:uid="{B23006AC-0D02-407B-96F6-2A4653346337}"/>
    <cellStyle name="Normal 2 4 2 3 15" xfId="23249" xr:uid="{9C33F10A-90B8-4963-8D2E-919D682CED8C}"/>
    <cellStyle name="Normal 2 4 2 3 16" xfId="25139" xr:uid="{2CE020FF-C829-420A-A74D-95F9BC02441E}"/>
    <cellStyle name="Normal 2 4 2 3 17" xfId="27029" xr:uid="{167463CC-6628-4666-8B82-E9D69BC4B442}"/>
    <cellStyle name="Normal 2 4 2 3 18" xfId="28919" xr:uid="{018F9C2A-C8AF-4646-8205-E6F5DBACED8B}"/>
    <cellStyle name="Normal 2 4 2 3 19" xfId="30809" xr:uid="{57AB2CC8-3B08-49A1-812F-6CE67ED6B966}"/>
    <cellStyle name="Normal 2 4 2 3 2" xfId="1199" xr:uid="{EAD051A5-EE8E-4D23-8E67-50201B4572CD}"/>
    <cellStyle name="Normal 2 4 2 3 2 10" xfId="18209" xr:uid="{9BFDF471-3CC4-4B99-84F1-0B207CAB13A9}"/>
    <cellStyle name="Normal 2 4 2 3 2 11" xfId="20099" xr:uid="{972F78F2-0730-407E-B4D0-DE6B43850C16}"/>
    <cellStyle name="Normal 2 4 2 3 2 12" xfId="21989" xr:uid="{0A936D6D-8A61-4C9C-9417-0B4C5CC871B2}"/>
    <cellStyle name="Normal 2 4 2 3 2 13" xfId="23879" xr:uid="{92EF06BB-B292-4192-AE76-FEC2844E41FA}"/>
    <cellStyle name="Normal 2 4 2 3 2 14" xfId="25769" xr:uid="{BFDA4600-439A-4572-855C-8DE56CB83F70}"/>
    <cellStyle name="Normal 2 4 2 3 2 15" xfId="27659" xr:uid="{0F4888CF-5E91-442C-8A43-5DD1A6CF8364}"/>
    <cellStyle name="Normal 2 4 2 3 2 16" xfId="29549" xr:uid="{490C0D3E-451C-4328-86D3-9CFA3554653F}"/>
    <cellStyle name="Normal 2 4 2 3 2 17" xfId="31439" xr:uid="{5F45EC71-C196-40F4-B8EA-782DB1582C99}"/>
    <cellStyle name="Normal 2 4 2 3 2 18" xfId="33329" xr:uid="{89B710EC-34F7-40F6-A9E0-6283C56A4825}"/>
    <cellStyle name="Normal 2 4 2 3 2 19" xfId="35219" xr:uid="{DD626E7E-6FFB-48F9-9DD4-0745E433F52E}"/>
    <cellStyle name="Normal 2 4 2 3 2 2" xfId="3089" xr:uid="{DF58EB5E-E928-4532-BC10-F03CE3175E8D}"/>
    <cellStyle name="Normal 2 4 2 3 2 20" xfId="37109" xr:uid="{4A077F0D-5615-4C68-94C6-46A699B839FB}"/>
    <cellStyle name="Normal 2 4 2 3 2 21" xfId="38999" xr:uid="{811B73F1-390C-474B-8F18-731674838514}"/>
    <cellStyle name="Normal 2 4 2 3 2 22" xfId="40890" xr:uid="{1B35AC80-844C-4B03-8FC2-2E80EA4104E5}"/>
    <cellStyle name="Normal 2 4 2 3 2 3" xfId="4979" xr:uid="{E0C420C3-5E63-4F51-A942-3FB81EB016C8}"/>
    <cellStyle name="Normal 2 4 2 3 2 4" xfId="6869" xr:uid="{9FED4740-BDF4-4C00-9B71-0B6222EBBE75}"/>
    <cellStyle name="Normal 2 4 2 3 2 5" xfId="8759" xr:uid="{B5A6D5C4-ED05-41FF-BD7D-ABA77C142B48}"/>
    <cellStyle name="Normal 2 4 2 3 2 6" xfId="10649" xr:uid="{F8868B45-157E-4000-909A-AA9478170EE3}"/>
    <cellStyle name="Normal 2 4 2 3 2 7" xfId="12539" xr:uid="{6F3C756E-0BFA-4972-9E60-148CEAB4188A}"/>
    <cellStyle name="Normal 2 4 2 3 2 8" xfId="14429" xr:uid="{B19497C1-FEF4-4147-ADDD-8D05AEE5097D}"/>
    <cellStyle name="Normal 2 4 2 3 2 9" xfId="16319" xr:uid="{381062C0-27BC-4327-8E50-FE2C9F5ABEBB}"/>
    <cellStyle name="Normal 2 4 2 3 20" xfId="32699" xr:uid="{314A4F2E-F622-4476-BB4C-1ADD457D8C82}"/>
    <cellStyle name="Normal 2 4 2 3 21" xfId="34589" xr:uid="{0F8775A2-8336-47A3-B316-AC972840B1B3}"/>
    <cellStyle name="Normal 2 4 2 3 22" xfId="36479" xr:uid="{6DC97FA3-81C2-4AAB-ACE4-16A24A397639}"/>
    <cellStyle name="Normal 2 4 2 3 23" xfId="38369" xr:uid="{71C82295-A7DD-408F-A11E-CCC823F8A648}"/>
    <cellStyle name="Normal 2 4 2 3 24" xfId="40260" xr:uid="{399ECC33-29D4-4C79-A7EB-E228269B15FF}"/>
    <cellStyle name="Normal 2 4 2 3 3" xfId="1829" xr:uid="{97D01399-B912-4B7B-AD9C-9B1411368796}"/>
    <cellStyle name="Normal 2 4 2 3 3 10" xfId="18839" xr:uid="{06BC5508-AAFF-486F-8CF5-BED7D69FB208}"/>
    <cellStyle name="Normal 2 4 2 3 3 11" xfId="20729" xr:uid="{72E02116-63B4-48C1-8F23-12020C2BB6E5}"/>
    <cellStyle name="Normal 2 4 2 3 3 12" xfId="22619" xr:uid="{3BF67CC4-D3C0-443C-8AFA-2F41FCC7E157}"/>
    <cellStyle name="Normal 2 4 2 3 3 13" xfId="24509" xr:uid="{A447498C-03C4-4426-8A3F-DD4DAD0E2858}"/>
    <cellStyle name="Normal 2 4 2 3 3 14" xfId="26399" xr:uid="{02F0E1E9-14ED-40A8-AD40-587EBD327A73}"/>
    <cellStyle name="Normal 2 4 2 3 3 15" xfId="28289" xr:uid="{59DB81E7-192A-4D45-B26F-E9C69FCCA73B}"/>
    <cellStyle name="Normal 2 4 2 3 3 16" xfId="30179" xr:uid="{3540FD05-F822-4AA2-B306-EFADC39CEDC9}"/>
    <cellStyle name="Normal 2 4 2 3 3 17" xfId="32069" xr:uid="{4C1B81D5-A0B6-427D-8BAE-5E50A60CBD1C}"/>
    <cellStyle name="Normal 2 4 2 3 3 18" xfId="33959" xr:uid="{CDFAC9BA-C94B-4DC4-A3A9-F36B2093B428}"/>
    <cellStyle name="Normal 2 4 2 3 3 19" xfId="35849" xr:uid="{68972DDC-38C3-4431-9D7B-CFD48ED1DFB6}"/>
    <cellStyle name="Normal 2 4 2 3 3 2" xfId="3719" xr:uid="{90930402-2EBD-411E-AE45-AA2C51ABD5B5}"/>
    <cellStyle name="Normal 2 4 2 3 3 20" xfId="37739" xr:uid="{1EA431FE-9E36-4789-A204-4793C7D0A4B9}"/>
    <cellStyle name="Normal 2 4 2 3 3 21" xfId="39629" xr:uid="{C400E119-5C9E-4492-8E27-417232514C91}"/>
    <cellStyle name="Normal 2 4 2 3 3 22" xfId="41520" xr:uid="{9D6F8DCD-A62F-48E1-BB84-DEDF1F62FB2C}"/>
    <cellStyle name="Normal 2 4 2 3 3 3" xfId="5609" xr:uid="{8456B6DD-D9D6-4205-90CF-DA02F48A1894}"/>
    <cellStyle name="Normal 2 4 2 3 3 4" xfId="7499" xr:uid="{E3E5DE5A-8817-4F16-9B96-3BB7731EE547}"/>
    <cellStyle name="Normal 2 4 2 3 3 5" xfId="9389" xr:uid="{587AB2E5-8CE0-46A8-82AD-E8C8F4EBA053}"/>
    <cellStyle name="Normal 2 4 2 3 3 6" xfId="11279" xr:uid="{FD0EA207-9047-42BF-BEB2-5D3C25C1B53B}"/>
    <cellStyle name="Normal 2 4 2 3 3 7" xfId="13169" xr:uid="{56087376-769A-4698-AE7D-DC7941D95B2C}"/>
    <cellStyle name="Normal 2 4 2 3 3 8" xfId="15059" xr:uid="{B6C4990C-F2CF-4AED-BFEA-B075C7DD56CE}"/>
    <cellStyle name="Normal 2 4 2 3 3 9" xfId="16949" xr:uid="{B8DF704B-3B41-4B94-ADDA-3C13DF0C5576}"/>
    <cellStyle name="Normal 2 4 2 3 4" xfId="2459" xr:uid="{27FDEF73-7009-4BE5-BB28-CE72857824A8}"/>
    <cellStyle name="Normal 2 4 2 3 5" xfId="4349" xr:uid="{CB0B476F-D9A2-489B-89E4-5A7CC59BF0BB}"/>
    <cellStyle name="Normal 2 4 2 3 6" xfId="6239" xr:uid="{DF6AD9E8-3109-4701-8355-224E3905B85B}"/>
    <cellStyle name="Normal 2 4 2 3 7" xfId="8129" xr:uid="{DC46E452-92D8-4C33-B9BD-BE798EC4DF66}"/>
    <cellStyle name="Normal 2 4 2 3 8" xfId="10019" xr:uid="{10AFB3F2-B8B0-4BF0-AB76-549BAB134419}"/>
    <cellStyle name="Normal 2 4 2 3 9" xfId="11909" xr:uid="{F2376277-707A-46DE-BB02-E7572FA057BA}"/>
    <cellStyle name="Normal 2 4 2 4" xfId="779" xr:uid="{B09771D8-380B-4E02-8F0B-E28DFE608099}"/>
    <cellStyle name="Normal 2 4 2 4 10" xfId="17789" xr:uid="{12F8696D-2A24-4E15-9595-A90F7AC9B22D}"/>
    <cellStyle name="Normal 2 4 2 4 11" xfId="19679" xr:uid="{4100352B-320F-4CCB-B633-1D6E42B79FB2}"/>
    <cellStyle name="Normal 2 4 2 4 12" xfId="21569" xr:uid="{84FF545F-D30E-4F39-8138-6D08CC8D3851}"/>
    <cellStyle name="Normal 2 4 2 4 13" xfId="23459" xr:uid="{A76B1B6D-5F29-45B4-ADFD-4F854CC993F2}"/>
    <cellStyle name="Normal 2 4 2 4 14" xfId="25349" xr:uid="{3C9F295D-0A56-438A-ADA2-D6C8FB5C8E39}"/>
    <cellStyle name="Normal 2 4 2 4 15" xfId="27239" xr:uid="{5F9FA3B1-02D3-41B3-9781-DC0E02B4777C}"/>
    <cellStyle name="Normal 2 4 2 4 16" xfId="29129" xr:uid="{6D5CEF39-9E6E-4FDA-94EF-345317D6DD4A}"/>
    <cellStyle name="Normal 2 4 2 4 17" xfId="31019" xr:uid="{BC44366C-BBE8-43C9-8998-9D43280297AF}"/>
    <cellStyle name="Normal 2 4 2 4 18" xfId="32909" xr:uid="{3CE2FA30-79D5-44AC-B071-13DF9EBF6C49}"/>
    <cellStyle name="Normal 2 4 2 4 19" xfId="34799" xr:uid="{DE470EC6-B1FD-4AE1-AB6F-5AD56D347A21}"/>
    <cellStyle name="Normal 2 4 2 4 2" xfId="2669" xr:uid="{E98F157B-14F8-45A5-B3A2-8879BCFC7FC2}"/>
    <cellStyle name="Normal 2 4 2 4 20" xfId="36689" xr:uid="{8257B2F8-2293-48A1-8D8D-6BA20AB2147B}"/>
    <cellStyle name="Normal 2 4 2 4 21" xfId="38579" xr:uid="{60313082-A77D-4C89-AE7A-5DA5420FA0A5}"/>
    <cellStyle name="Normal 2 4 2 4 22" xfId="40470" xr:uid="{991AB0CD-D8CC-40C3-B7AE-48DEDE5A1883}"/>
    <cellStyle name="Normal 2 4 2 4 3" xfId="4559" xr:uid="{1B02388F-B0E0-4CF5-AD95-8E48C41FF017}"/>
    <cellStyle name="Normal 2 4 2 4 4" xfId="6449" xr:uid="{A33DB6E5-5BF0-47F4-B6C4-91B849A5D11C}"/>
    <cellStyle name="Normal 2 4 2 4 5" xfId="8339" xr:uid="{2413E850-A9AB-419E-8E0E-B7B7459BA3AB}"/>
    <cellStyle name="Normal 2 4 2 4 6" xfId="10229" xr:uid="{CC860315-F4C8-46AB-9FB4-A65581A5BC16}"/>
    <cellStyle name="Normal 2 4 2 4 7" xfId="12119" xr:uid="{4689140D-15FF-46CD-82C6-BFB549835E53}"/>
    <cellStyle name="Normal 2 4 2 4 8" xfId="14009" xr:uid="{B1C2C8D6-45DA-4B6B-A14A-3B10A255A08A}"/>
    <cellStyle name="Normal 2 4 2 4 9" xfId="15899" xr:uid="{EC227C18-87E8-441C-A04F-F3336785C003}"/>
    <cellStyle name="Normal 2 4 2 5" xfId="1409" xr:uid="{5EEC5814-44C9-4458-8873-86324072C491}"/>
    <cellStyle name="Normal 2 4 2 5 10" xfId="18419" xr:uid="{2653AB2E-4EC4-4405-A2EB-7F7B04A4023C}"/>
    <cellStyle name="Normal 2 4 2 5 11" xfId="20309" xr:uid="{251406F8-61AE-458D-BFD3-0C10321C64BB}"/>
    <cellStyle name="Normal 2 4 2 5 12" xfId="22199" xr:uid="{D97815EF-1536-4501-ADCA-B7AC6282AEBD}"/>
    <cellStyle name="Normal 2 4 2 5 13" xfId="24089" xr:uid="{3C52AAEE-6644-435E-8511-E584E6E98B36}"/>
    <cellStyle name="Normal 2 4 2 5 14" xfId="25979" xr:uid="{1633E629-4CC2-4E74-93F7-946CA0D2BC66}"/>
    <cellStyle name="Normal 2 4 2 5 15" xfId="27869" xr:uid="{B6DA7288-C2CF-4E8C-A503-F8163949E715}"/>
    <cellStyle name="Normal 2 4 2 5 16" xfId="29759" xr:uid="{FFC61C68-0C55-4759-AC64-402F650720CC}"/>
    <cellStyle name="Normal 2 4 2 5 17" xfId="31649" xr:uid="{C4B4F45E-204F-4DEB-B401-290DE951CEE0}"/>
    <cellStyle name="Normal 2 4 2 5 18" xfId="33539" xr:uid="{F586F792-267D-4890-B685-CEB22CBC54B7}"/>
    <cellStyle name="Normal 2 4 2 5 19" xfId="35429" xr:uid="{8E326426-C9F4-4917-A176-76B56FB5E100}"/>
    <cellStyle name="Normal 2 4 2 5 2" xfId="3299" xr:uid="{2A08F577-1FBA-4C8D-9BBE-A757892B473B}"/>
    <cellStyle name="Normal 2 4 2 5 20" xfId="37319" xr:uid="{3B0B6BEC-36E7-4935-B019-186386863E49}"/>
    <cellStyle name="Normal 2 4 2 5 21" xfId="39209" xr:uid="{F5174E99-525A-419D-B66A-16E41BB2C101}"/>
    <cellStyle name="Normal 2 4 2 5 22" xfId="41100" xr:uid="{E0A450C0-90B5-4B87-85DD-5240C5091933}"/>
    <cellStyle name="Normal 2 4 2 5 3" xfId="5189" xr:uid="{8E8BDD8D-F44F-4AB3-8192-DFC47B5D1B64}"/>
    <cellStyle name="Normal 2 4 2 5 4" xfId="7079" xr:uid="{56301647-AAD9-4A32-8EB0-905B746B1708}"/>
    <cellStyle name="Normal 2 4 2 5 5" xfId="8969" xr:uid="{B7B6C642-4D95-4ACC-BAC1-46FBDD72F5F1}"/>
    <cellStyle name="Normal 2 4 2 5 6" xfId="10859" xr:uid="{12542CEF-13A8-45A9-8D25-236D218B11B0}"/>
    <cellStyle name="Normal 2 4 2 5 7" xfId="12749" xr:uid="{B7A275CC-73B8-4B84-A117-1295A19FCB4D}"/>
    <cellStyle name="Normal 2 4 2 5 8" xfId="14639" xr:uid="{27AF5C49-AE8B-4BE4-8336-ED54C37B7520}"/>
    <cellStyle name="Normal 2 4 2 5 9" xfId="16529" xr:uid="{74B115CC-8D3D-49C1-94DD-C2FB621D2BBE}"/>
    <cellStyle name="Normal 2 4 2 6" xfId="2039" xr:uid="{8145F16C-AFC0-4471-8F24-36CE65DD6FA4}"/>
    <cellStyle name="Normal 2 4 2 7" xfId="3929" xr:uid="{70D56CE0-B7BC-48F0-9273-D48F67DBFDA0}"/>
    <cellStyle name="Normal 2 4 2 8" xfId="5819" xr:uid="{B613A957-F8C9-42C8-A4B1-A8F7C7B213D6}"/>
    <cellStyle name="Normal 2 4 2 9" xfId="7709" xr:uid="{CF1B8B96-4A83-4D0F-8765-013A46F6FD17}"/>
    <cellStyle name="Normal 2 4 20" xfId="26504" xr:uid="{F06F984C-25AA-4B79-8C96-B8705C55CCB7}"/>
    <cellStyle name="Normal 2 4 21" xfId="28394" xr:uid="{C0745F82-2435-4ECA-BA7C-EFB1B50A4A23}"/>
    <cellStyle name="Normal 2 4 22" xfId="30284" xr:uid="{C584407F-E4A1-4B69-A07D-99C68876C0B7}"/>
    <cellStyle name="Normal 2 4 23" xfId="32174" xr:uid="{E129294A-58D2-4A2D-B0E4-209F35BEB0B0}"/>
    <cellStyle name="Normal 2 4 24" xfId="34064" xr:uid="{D202367E-3D7C-4496-9255-8771E6702D96}"/>
    <cellStyle name="Normal 2 4 25" xfId="35954" xr:uid="{E7A5F0E4-671E-4EE0-8A23-3BF44AAD4F58}"/>
    <cellStyle name="Normal 2 4 26" xfId="37844" xr:uid="{1D38243E-1C1A-44D6-87D2-2F212AD0F74F}"/>
    <cellStyle name="Normal 2 4 27" xfId="39735" xr:uid="{F62E1602-13F2-43A8-857F-41DEAB82561F}"/>
    <cellStyle name="Normal 2 4 3" xfId="254" xr:uid="{79F7F348-CA3B-4E5D-BA31-3BE00A9D9F70}"/>
    <cellStyle name="Normal 2 4 3 10" xfId="13484" xr:uid="{5FA9E283-540B-49D9-AD1B-B64BF87C843E}"/>
    <cellStyle name="Normal 2 4 3 11" xfId="15374" xr:uid="{804F971C-476F-49A5-B8FA-27308D88D089}"/>
    <cellStyle name="Normal 2 4 3 12" xfId="17264" xr:uid="{38210F30-D1D4-41B6-88A0-DC6F6FB096DC}"/>
    <cellStyle name="Normal 2 4 3 13" xfId="19154" xr:uid="{F025FC64-30E2-4F61-AC1D-4F7CC68745E9}"/>
    <cellStyle name="Normal 2 4 3 14" xfId="21044" xr:uid="{04428B42-5103-459F-855C-A3C50E2478A5}"/>
    <cellStyle name="Normal 2 4 3 15" xfId="22934" xr:uid="{D8607760-E1A4-46F0-910C-4022C5D4C22A}"/>
    <cellStyle name="Normal 2 4 3 16" xfId="24824" xr:uid="{0ADC577E-5A94-42A5-BD63-DB4F71611326}"/>
    <cellStyle name="Normal 2 4 3 17" xfId="26714" xr:uid="{A509F47E-0650-4EB9-86AE-F20AEFE3BC54}"/>
    <cellStyle name="Normal 2 4 3 18" xfId="28604" xr:uid="{611B1646-9A8D-4369-8364-EEDD78FB0A45}"/>
    <cellStyle name="Normal 2 4 3 19" xfId="30494" xr:uid="{FFC28305-A2A6-4956-B9EF-4DFFF33CFD16}"/>
    <cellStyle name="Normal 2 4 3 2" xfId="884" xr:uid="{2BCF14DD-378E-438B-9FF5-A18BFD2AABB0}"/>
    <cellStyle name="Normal 2 4 3 2 10" xfId="17894" xr:uid="{B5FF8778-3B7F-47E6-B23E-9648D75A9FCB}"/>
    <cellStyle name="Normal 2 4 3 2 11" xfId="19784" xr:uid="{F55552FB-8106-4A4C-AAB7-D2F32513FE7D}"/>
    <cellStyle name="Normal 2 4 3 2 12" xfId="21674" xr:uid="{A2E89BF1-F381-4EE0-A840-82E279592120}"/>
    <cellStyle name="Normal 2 4 3 2 13" xfId="23564" xr:uid="{C90CFA77-9AD8-43A7-A8FD-FBD49D8D5D74}"/>
    <cellStyle name="Normal 2 4 3 2 14" xfId="25454" xr:uid="{33371626-C345-40AC-9B73-81D3CD0D006D}"/>
    <cellStyle name="Normal 2 4 3 2 15" xfId="27344" xr:uid="{3D66A9C7-7253-4D0F-92D1-8CB5E34E627B}"/>
    <cellStyle name="Normal 2 4 3 2 16" xfId="29234" xr:uid="{22E3412B-60E4-440F-93ED-EED613C85823}"/>
    <cellStyle name="Normal 2 4 3 2 17" xfId="31124" xr:uid="{B79C01BD-AC3F-4963-B5B5-5F92253BB629}"/>
    <cellStyle name="Normal 2 4 3 2 18" xfId="33014" xr:uid="{FFFA9218-68CA-4E81-97D8-8B4B78B83298}"/>
    <cellStyle name="Normal 2 4 3 2 19" xfId="34904" xr:uid="{CABDFB07-D175-4C98-A4D9-62F82DE03B11}"/>
    <cellStyle name="Normal 2 4 3 2 2" xfId="2774" xr:uid="{78D25210-B612-4D72-BF16-B7CE500A7B2C}"/>
    <cellStyle name="Normal 2 4 3 2 20" xfId="36794" xr:uid="{7A83A304-64E8-4179-9CB4-E8A0ECA9420F}"/>
    <cellStyle name="Normal 2 4 3 2 21" xfId="38684" xr:uid="{1872BA4F-E3ED-4F0B-8D0D-DDF5CEB95EE4}"/>
    <cellStyle name="Normal 2 4 3 2 22" xfId="40575" xr:uid="{256D5B20-1F62-4C40-B86F-E74CC6DCF101}"/>
    <cellStyle name="Normal 2 4 3 2 3" xfId="4664" xr:uid="{E417C8A7-5091-420C-91AA-7108D364B747}"/>
    <cellStyle name="Normal 2 4 3 2 4" xfId="6554" xr:uid="{2C7B666E-BDCE-43BB-A141-0B83DF5AB549}"/>
    <cellStyle name="Normal 2 4 3 2 5" xfId="8444" xr:uid="{A27F188F-CD3C-41CB-A159-EA1A79EE7329}"/>
    <cellStyle name="Normal 2 4 3 2 6" xfId="10334" xr:uid="{31711F6D-0B45-4041-9BC3-4F3927BA641C}"/>
    <cellStyle name="Normal 2 4 3 2 7" xfId="12224" xr:uid="{BFB363DC-E867-4AC5-862E-F6BDA62BEB71}"/>
    <cellStyle name="Normal 2 4 3 2 8" xfId="14114" xr:uid="{67437476-C52D-4CF5-8D0E-BF7387F5D0E5}"/>
    <cellStyle name="Normal 2 4 3 2 9" xfId="16004" xr:uid="{EC147A44-53EF-4BCC-B92F-B7F3E5C6D5DA}"/>
    <cellStyle name="Normal 2 4 3 20" xfId="32384" xr:uid="{BC581B75-D5C0-47C1-8DC1-ECBF9EA34C6E}"/>
    <cellStyle name="Normal 2 4 3 21" xfId="34274" xr:uid="{777B772F-F2AC-4C45-8C74-058A89AB336A}"/>
    <cellStyle name="Normal 2 4 3 22" xfId="36164" xr:uid="{647BD95C-8D56-4364-A17C-6CA22C4C51F0}"/>
    <cellStyle name="Normal 2 4 3 23" xfId="38054" xr:uid="{7FD97A0D-B70E-46A3-AB73-786B96A86E32}"/>
    <cellStyle name="Normal 2 4 3 24" xfId="39945" xr:uid="{F814CC53-9FC9-4C77-95D7-8E69D6B84CDE}"/>
    <cellStyle name="Normal 2 4 3 3" xfId="1514" xr:uid="{655FD572-893D-488E-88DA-49491044DCC5}"/>
    <cellStyle name="Normal 2 4 3 3 10" xfId="18524" xr:uid="{330BBBD9-DFA8-4059-9F3D-FB30120D70ED}"/>
    <cellStyle name="Normal 2 4 3 3 11" xfId="20414" xr:uid="{F96BAC5A-AFD4-434B-86B5-F0F8D1DABE91}"/>
    <cellStyle name="Normal 2 4 3 3 12" xfId="22304" xr:uid="{8794317B-C70E-45B7-B9AF-7FF436687646}"/>
    <cellStyle name="Normal 2 4 3 3 13" xfId="24194" xr:uid="{358D0687-CC8D-45F2-A6CB-F1D9E4B4BE0F}"/>
    <cellStyle name="Normal 2 4 3 3 14" xfId="26084" xr:uid="{03D0B601-927D-44C2-BC03-46F1AEE63725}"/>
    <cellStyle name="Normal 2 4 3 3 15" xfId="27974" xr:uid="{40E39E96-0C6D-4B2A-AE82-5888FA4C436E}"/>
    <cellStyle name="Normal 2 4 3 3 16" xfId="29864" xr:uid="{325846C6-85E7-4C84-9A3B-053B273584E7}"/>
    <cellStyle name="Normal 2 4 3 3 17" xfId="31754" xr:uid="{DB6E7A78-5CB8-427E-A7F0-158748714BF2}"/>
    <cellStyle name="Normal 2 4 3 3 18" xfId="33644" xr:uid="{EB8604AB-3D81-4B73-8076-D1CD70DE2A73}"/>
    <cellStyle name="Normal 2 4 3 3 19" xfId="35534" xr:uid="{A9C8F5DF-174E-40A2-8007-99F2E7AFD845}"/>
    <cellStyle name="Normal 2 4 3 3 2" xfId="3404" xr:uid="{942B4E52-C88E-4447-99FC-32DF55036C98}"/>
    <cellStyle name="Normal 2 4 3 3 20" xfId="37424" xr:uid="{2D5AAAAA-5F72-432D-BFD4-B4091AA711B0}"/>
    <cellStyle name="Normal 2 4 3 3 21" xfId="39314" xr:uid="{75F8E136-ADB3-48A7-B2E0-6EE0DBFCAA48}"/>
    <cellStyle name="Normal 2 4 3 3 22" xfId="41205" xr:uid="{42805747-62CC-45B1-8255-21DC1BC1D2CB}"/>
    <cellStyle name="Normal 2 4 3 3 3" xfId="5294" xr:uid="{3959351D-67B5-4EEF-A5C9-771AD6CA1DC6}"/>
    <cellStyle name="Normal 2 4 3 3 4" xfId="7184" xr:uid="{24A44491-188F-49DA-B745-A58D01382FE5}"/>
    <cellStyle name="Normal 2 4 3 3 5" xfId="9074" xr:uid="{069EE028-541C-4596-A165-8BA53B8F4D08}"/>
    <cellStyle name="Normal 2 4 3 3 6" xfId="10964" xr:uid="{AA0A7139-D250-43FD-BC2B-93195C05839D}"/>
    <cellStyle name="Normal 2 4 3 3 7" xfId="12854" xr:uid="{35CAC8C6-1DD9-4B9A-BD63-C9E8EDD1A7F7}"/>
    <cellStyle name="Normal 2 4 3 3 8" xfId="14744" xr:uid="{88187190-F87E-428B-AD36-4E26A0C550E1}"/>
    <cellStyle name="Normal 2 4 3 3 9" xfId="16634" xr:uid="{D987E236-39B6-4BAB-882A-E08E32D82540}"/>
    <cellStyle name="Normal 2 4 3 4" xfId="2144" xr:uid="{6CB023C7-6AAB-4B60-B0F2-BE40DF63FB72}"/>
    <cellStyle name="Normal 2 4 3 5" xfId="4034" xr:uid="{58E8758C-0A5A-405B-BD99-C77FAC66D458}"/>
    <cellStyle name="Normal 2 4 3 6" xfId="5924" xr:uid="{C1FCF627-227F-4259-969D-693F69AFF9BA}"/>
    <cellStyle name="Normal 2 4 3 7" xfId="7814" xr:uid="{13495AED-12B0-433E-91F7-612DE85F7C3E}"/>
    <cellStyle name="Normal 2 4 3 8" xfId="9704" xr:uid="{37883D03-3B9B-4CBB-9EA7-D52A681DE91B}"/>
    <cellStyle name="Normal 2 4 3 9" xfId="11594" xr:uid="{C944E748-A947-4B0A-96C6-D197B23ED983}"/>
    <cellStyle name="Normal 2 4 4" xfId="464" xr:uid="{34BD7E2C-428F-4384-8F29-FE3B5B8EED65}"/>
    <cellStyle name="Normal 2 4 4 10" xfId="13694" xr:uid="{94E51A85-4AEF-40AE-B515-CEC7CBD291D2}"/>
    <cellStyle name="Normal 2 4 4 11" xfId="15584" xr:uid="{9220BBCE-773B-49B1-BE3F-BE5605E945DD}"/>
    <cellStyle name="Normal 2 4 4 12" xfId="17474" xr:uid="{38A70E61-BF96-4016-A617-AFFF707B9836}"/>
    <cellStyle name="Normal 2 4 4 13" xfId="19364" xr:uid="{959E13A4-9B10-4354-9F0D-B49A8ED495F5}"/>
    <cellStyle name="Normal 2 4 4 14" xfId="21254" xr:uid="{293D5923-7149-4686-9817-C479C109408D}"/>
    <cellStyle name="Normal 2 4 4 15" xfId="23144" xr:uid="{7531E999-CEBC-4D88-BF8B-96DD9E51D53C}"/>
    <cellStyle name="Normal 2 4 4 16" xfId="25034" xr:uid="{895F2D24-E52D-4FD7-BC4E-121221549485}"/>
    <cellStyle name="Normal 2 4 4 17" xfId="26924" xr:uid="{4C539E46-6FCB-4A34-89F0-1B362B4F59D2}"/>
    <cellStyle name="Normal 2 4 4 18" xfId="28814" xr:uid="{6327CC69-A560-461E-9AD0-53B34E65D94A}"/>
    <cellStyle name="Normal 2 4 4 19" xfId="30704" xr:uid="{37AB87DE-5CB2-4665-9EAD-916B1AB07DAA}"/>
    <cellStyle name="Normal 2 4 4 2" xfId="1094" xr:uid="{3EBF93A8-3380-494D-ADFD-98C6AD716CF8}"/>
    <cellStyle name="Normal 2 4 4 2 10" xfId="18104" xr:uid="{A13A14BA-18A1-4EC3-900A-DE27797BC83C}"/>
    <cellStyle name="Normal 2 4 4 2 11" xfId="19994" xr:uid="{6C32318D-2D17-45A0-A495-B11B52B9D2A6}"/>
    <cellStyle name="Normal 2 4 4 2 12" xfId="21884" xr:uid="{64274A05-EDB0-4C2F-8139-F6B34ECFC8DD}"/>
    <cellStyle name="Normal 2 4 4 2 13" xfId="23774" xr:uid="{08B72B0D-A659-4585-9740-80AFB8BB894F}"/>
    <cellStyle name="Normal 2 4 4 2 14" xfId="25664" xr:uid="{7DB23243-681F-4ED6-9C32-19608AFAF404}"/>
    <cellStyle name="Normal 2 4 4 2 15" xfId="27554" xr:uid="{26960C8B-BF0B-4AD5-8234-77D90CB21D02}"/>
    <cellStyle name="Normal 2 4 4 2 16" xfId="29444" xr:uid="{E43DAF2C-9282-4BA6-9CD6-73FD5A251A84}"/>
    <cellStyle name="Normal 2 4 4 2 17" xfId="31334" xr:uid="{E2F91DA6-6EDF-4998-A213-0FE04B10E631}"/>
    <cellStyle name="Normal 2 4 4 2 18" xfId="33224" xr:uid="{20A051D1-505F-4FFF-A25A-0F7967352F24}"/>
    <cellStyle name="Normal 2 4 4 2 19" xfId="35114" xr:uid="{43422631-F661-4B10-9C24-637AD32EACAF}"/>
    <cellStyle name="Normal 2 4 4 2 2" xfId="2984" xr:uid="{EA01BC66-EFA6-4F87-AF8B-D23649266C71}"/>
    <cellStyle name="Normal 2 4 4 2 20" xfId="37004" xr:uid="{1E6C8CA0-7C3E-461E-A1FD-15C35925E44E}"/>
    <cellStyle name="Normal 2 4 4 2 21" xfId="38894" xr:uid="{CA2F9AEE-4530-442C-AEB0-CCE35A4742AC}"/>
    <cellStyle name="Normal 2 4 4 2 22" xfId="40785" xr:uid="{CD8B46E9-BC69-447A-916F-E878A05D4916}"/>
    <cellStyle name="Normal 2 4 4 2 3" xfId="4874" xr:uid="{6E3F6793-AF26-495E-94FD-3B3AFA8F9F32}"/>
    <cellStyle name="Normal 2 4 4 2 4" xfId="6764" xr:uid="{A3AB81FD-6431-4572-9D63-B80969F5657E}"/>
    <cellStyle name="Normal 2 4 4 2 5" xfId="8654" xr:uid="{897364C9-3F59-4741-A911-48EEF738DD44}"/>
    <cellStyle name="Normal 2 4 4 2 6" xfId="10544" xr:uid="{2967E7B6-58D7-4948-B2E5-DC250C8988C4}"/>
    <cellStyle name="Normal 2 4 4 2 7" xfId="12434" xr:uid="{347FD565-2B96-48EA-BAF4-7AD0D2E02BB8}"/>
    <cellStyle name="Normal 2 4 4 2 8" xfId="14324" xr:uid="{90D5D7E5-3DB4-4B11-A469-6A307819C23E}"/>
    <cellStyle name="Normal 2 4 4 2 9" xfId="16214" xr:uid="{F38BC311-E654-4687-9970-7A940B689DD3}"/>
    <cellStyle name="Normal 2 4 4 20" xfId="32594" xr:uid="{418FAE8F-F9D5-4071-9957-24F0E1809168}"/>
    <cellStyle name="Normal 2 4 4 21" xfId="34484" xr:uid="{0210234E-37C3-46AA-8F52-CA4A464DCE60}"/>
    <cellStyle name="Normal 2 4 4 22" xfId="36374" xr:uid="{2B0BD2C2-29FB-490D-916B-5F6807671BE9}"/>
    <cellStyle name="Normal 2 4 4 23" xfId="38264" xr:uid="{7E64BB80-A36E-4A39-A2C5-B01978A36919}"/>
    <cellStyle name="Normal 2 4 4 24" xfId="40155" xr:uid="{B38BEBE6-F13C-4481-875A-A19D98BE5766}"/>
    <cellStyle name="Normal 2 4 4 3" xfId="1724" xr:uid="{2188DC45-5AD1-4DDC-BD1B-99516C270CDE}"/>
    <cellStyle name="Normal 2 4 4 3 10" xfId="18734" xr:uid="{25FEA765-2BEB-4E2A-BA49-93A704C992A3}"/>
    <cellStyle name="Normal 2 4 4 3 11" xfId="20624" xr:uid="{1C93AC54-18FC-4C3F-B066-71386072ECF0}"/>
    <cellStyle name="Normal 2 4 4 3 12" xfId="22514" xr:uid="{5815C9FD-3382-4256-9423-AF106B75A2D5}"/>
    <cellStyle name="Normal 2 4 4 3 13" xfId="24404" xr:uid="{A34B99ED-A9D4-4C72-A1B2-18F83525DFB5}"/>
    <cellStyle name="Normal 2 4 4 3 14" xfId="26294" xr:uid="{5AE0BC09-B9A9-49F5-B1A7-CE90B21452E9}"/>
    <cellStyle name="Normal 2 4 4 3 15" xfId="28184" xr:uid="{36DDC58B-56E1-4B85-9787-2F2CC46430F7}"/>
    <cellStyle name="Normal 2 4 4 3 16" xfId="30074" xr:uid="{54C043AB-7C6D-40F2-9C05-79D0C58C9F66}"/>
    <cellStyle name="Normal 2 4 4 3 17" xfId="31964" xr:uid="{E08D0968-56D1-4AC2-9B53-AFF64AD2852B}"/>
    <cellStyle name="Normal 2 4 4 3 18" xfId="33854" xr:uid="{98723A9E-8372-4DDA-93A3-4D583C9C8D4E}"/>
    <cellStyle name="Normal 2 4 4 3 19" xfId="35744" xr:uid="{3AAB9399-B105-4546-B1C8-4590042F9BBB}"/>
    <cellStyle name="Normal 2 4 4 3 2" xfId="3614" xr:uid="{F50D17FD-B74F-48CB-A32D-84B2BE98856B}"/>
    <cellStyle name="Normal 2 4 4 3 20" xfId="37634" xr:uid="{C63C98EA-A94D-454C-B55C-700F9382AC9A}"/>
    <cellStyle name="Normal 2 4 4 3 21" xfId="39524" xr:uid="{BFA243F0-27E5-42CE-833B-0D5BE3C85F49}"/>
    <cellStyle name="Normal 2 4 4 3 22" xfId="41415" xr:uid="{057B8CA6-97CD-4197-BBDB-024B228E2EC4}"/>
    <cellStyle name="Normal 2 4 4 3 3" xfId="5504" xr:uid="{FF00E72E-27CB-426F-94BC-A7D5272B5093}"/>
    <cellStyle name="Normal 2 4 4 3 4" xfId="7394" xr:uid="{1621A4EA-32FB-4C31-ACFC-67629F21B75B}"/>
    <cellStyle name="Normal 2 4 4 3 5" xfId="9284" xr:uid="{B5F182A5-7176-4AE8-9D00-425BE15773AD}"/>
    <cellStyle name="Normal 2 4 4 3 6" xfId="11174" xr:uid="{F43C355E-6B1F-42B8-98F8-E727B1C20191}"/>
    <cellStyle name="Normal 2 4 4 3 7" xfId="13064" xr:uid="{3D94349B-739A-455F-AEE5-FBAA6284B7B7}"/>
    <cellStyle name="Normal 2 4 4 3 8" xfId="14954" xr:uid="{DB1AA3B4-B65B-4618-9BFA-5591199E4C33}"/>
    <cellStyle name="Normal 2 4 4 3 9" xfId="16844" xr:uid="{961629E4-48D8-454E-988A-04933372DD03}"/>
    <cellStyle name="Normal 2 4 4 4" xfId="2354" xr:uid="{9EE8EBDA-E654-4114-AD44-D69008689FF8}"/>
    <cellStyle name="Normal 2 4 4 5" xfId="4244" xr:uid="{744FA3A8-BC24-4A7C-8311-0B0AEDFF4479}"/>
    <cellStyle name="Normal 2 4 4 6" xfId="6134" xr:uid="{084DFE91-0181-43A9-ABF2-27F1B9FA315F}"/>
    <cellStyle name="Normal 2 4 4 7" xfId="8024" xr:uid="{B0942EA1-4BAB-40EF-A38D-63ACAAA99604}"/>
    <cellStyle name="Normal 2 4 4 8" xfId="9914" xr:uid="{0D8A0254-AEFE-4400-830A-2CEF32B5C56A}"/>
    <cellStyle name="Normal 2 4 4 9" xfId="11804" xr:uid="{AA218D7D-1A0A-4DEA-8A9B-211A96C112C5}"/>
    <cellStyle name="Normal 2 4 5" xfId="674" xr:uid="{C9D9FFFE-72E1-4965-A9C7-A6821783BA40}"/>
    <cellStyle name="Normal 2 4 5 10" xfId="17684" xr:uid="{39BABEF7-8134-4AC6-8DE6-D73B627B2ED6}"/>
    <cellStyle name="Normal 2 4 5 11" xfId="19574" xr:uid="{8918D29E-95B2-403E-B63A-6BD970EEEE2D}"/>
    <cellStyle name="Normal 2 4 5 12" xfId="21464" xr:uid="{06EC6CC9-404E-40FB-AF0A-15CB24630699}"/>
    <cellStyle name="Normal 2 4 5 13" xfId="23354" xr:uid="{87103883-5657-4B9C-95C5-2998757BFACB}"/>
    <cellStyle name="Normal 2 4 5 14" xfId="25244" xr:uid="{E34D8694-3D3E-4410-9229-47DE42CE89EE}"/>
    <cellStyle name="Normal 2 4 5 15" xfId="27134" xr:uid="{B2806C16-F6F5-4EC4-B231-B6A241AA1A89}"/>
    <cellStyle name="Normal 2 4 5 16" xfId="29024" xr:uid="{D1954814-A0B5-4276-B1F8-F84EE71518C2}"/>
    <cellStyle name="Normal 2 4 5 17" xfId="30914" xr:uid="{3C07A232-61A4-4E88-B71B-82B6295D25A5}"/>
    <cellStyle name="Normal 2 4 5 18" xfId="32804" xr:uid="{A314850E-C234-4D37-BC87-96E2E21FC9D1}"/>
    <cellStyle name="Normal 2 4 5 19" xfId="34694" xr:uid="{914D7CBB-B19E-4663-BF64-A1C0A70DC709}"/>
    <cellStyle name="Normal 2 4 5 2" xfId="2564" xr:uid="{82C5AF43-FAA1-44A4-9DE6-48A06C06D389}"/>
    <cellStyle name="Normal 2 4 5 20" xfId="36584" xr:uid="{5F447D46-FB69-4083-A7E4-96F1D8024E56}"/>
    <cellStyle name="Normal 2 4 5 21" xfId="38474" xr:uid="{06D18FD5-E6D3-40AC-9D07-B136023DF466}"/>
    <cellStyle name="Normal 2 4 5 22" xfId="40365" xr:uid="{7399F236-FE33-4C7E-8BD5-F98195177D47}"/>
    <cellStyle name="Normal 2 4 5 3" xfId="4454" xr:uid="{7961415B-AB05-45C3-BF6C-DEC2A6D027B9}"/>
    <cellStyle name="Normal 2 4 5 4" xfId="6344" xr:uid="{2E7EB26D-2D31-4AFB-A2DE-462669CA0CA9}"/>
    <cellStyle name="Normal 2 4 5 5" xfId="8234" xr:uid="{12770619-43F9-40DF-B5FC-4DF3D2CFAB57}"/>
    <cellStyle name="Normal 2 4 5 6" xfId="10124" xr:uid="{CC9764ED-F357-455B-B29D-C34EBABC00CD}"/>
    <cellStyle name="Normal 2 4 5 7" xfId="12014" xr:uid="{3C947D80-BEA4-41A7-A332-F0E5A0EA1612}"/>
    <cellStyle name="Normal 2 4 5 8" xfId="13904" xr:uid="{D0D2FA97-B6E3-426D-8AD1-BE802CF1CE9D}"/>
    <cellStyle name="Normal 2 4 5 9" xfId="15794" xr:uid="{99D59229-05B2-4444-BF27-FC333CAFABD9}"/>
    <cellStyle name="Normal 2 4 6" xfId="1304" xr:uid="{B7DF68F3-E0E2-43A7-BD05-741DC5C6448F}"/>
    <cellStyle name="Normal 2 4 6 10" xfId="18314" xr:uid="{DF462F36-6784-41B8-984D-2E49891D066D}"/>
    <cellStyle name="Normal 2 4 6 11" xfId="20204" xr:uid="{4D30B844-6B8B-464C-A897-018047AB1F1F}"/>
    <cellStyle name="Normal 2 4 6 12" xfId="22094" xr:uid="{76A357D8-C3C0-43D6-B5C9-C8D4ECE23F43}"/>
    <cellStyle name="Normal 2 4 6 13" xfId="23984" xr:uid="{B1B30C3B-3938-4B4E-9268-0447C762BB91}"/>
    <cellStyle name="Normal 2 4 6 14" xfId="25874" xr:uid="{44FACBCB-3518-4A8C-9814-2FF77724D9D8}"/>
    <cellStyle name="Normal 2 4 6 15" xfId="27764" xr:uid="{6996B2C9-E215-4669-8605-09EACC9256AB}"/>
    <cellStyle name="Normal 2 4 6 16" xfId="29654" xr:uid="{ACB31A06-CEEE-4BAC-A45B-6DB23D7CCB6B}"/>
    <cellStyle name="Normal 2 4 6 17" xfId="31544" xr:uid="{9D2606BF-A5D6-4E74-AF36-F5FBA623CFB9}"/>
    <cellStyle name="Normal 2 4 6 18" xfId="33434" xr:uid="{7CE4A9C7-31D5-44A5-9F30-54E09811770E}"/>
    <cellStyle name="Normal 2 4 6 19" xfId="35324" xr:uid="{510A4FDC-C990-440E-8CB0-396EA470FC23}"/>
    <cellStyle name="Normal 2 4 6 2" xfId="3194" xr:uid="{AB95E907-F145-4E24-BEA0-4AF837B2ED2C}"/>
    <cellStyle name="Normal 2 4 6 20" xfId="37214" xr:uid="{5268D46D-ED16-407E-9E01-2471DE8F9AC3}"/>
    <cellStyle name="Normal 2 4 6 21" xfId="39104" xr:uid="{C17A6EFA-16D0-4407-9998-E75A757954F8}"/>
    <cellStyle name="Normal 2 4 6 22" xfId="40995" xr:uid="{2E0A57BF-2208-49D7-B56D-16362E0F9CEA}"/>
    <cellStyle name="Normal 2 4 6 3" xfId="5084" xr:uid="{14073892-DC2C-4583-9AE5-C0A85523AA42}"/>
    <cellStyle name="Normal 2 4 6 4" xfId="6974" xr:uid="{087BD27C-2A98-4DB1-B04E-E465FD80AF07}"/>
    <cellStyle name="Normal 2 4 6 5" xfId="8864" xr:uid="{C2A7211D-ECA5-4647-A461-EC2F2D721152}"/>
    <cellStyle name="Normal 2 4 6 6" xfId="10754" xr:uid="{C2CA0441-A080-40F2-A7EC-E2C46AA0E0C1}"/>
    <cellStyle name="Normal 2 4 6 7" xfId="12644" xr:uid="{4618AC63-557F-4AC1-8A7C-A3F3F7A81220}"/>
    <cellStyle name="Normal 2 4 6 8" xfId="14534" xr:uid="{FA2CF931-B101-4BFA-8B71-E17EC1D92222}"/>
    <cellStyle name="Normal 2 4 6 9" xfId="16424" xr:uid="{EE3BBA4B-90A3-41BC-9EF5-CB08A077C5AB}"/>
    <cellStyle name="Normal 2 4 7" xfId="1934" xr:uid="{251B9FC7-0605-4ECE-BFF0-D563A6564274}"/>
    <cellStyle name="Normal 2 4 8" xfId="3824" xr:uid="{1C5916F9-6CB8-4707-AC50-E20C0180378A}"/>
    <cellStyle name="Normal 2 4 9" xfId="5714" xr:uid="{E357101E-331D-45D0-AA80-680E2765E482}"/>
    <cellStyle name="Normal 2 5" xfId="31" xr:uid="{742E2F01-2C24-4114-B3FF-81D6AE5998A6}"/>
    <cellStyle name="Normal 2 5 10" xfId="7613" xr:uid="{963FE4D9-8EDB-44F4-B94B-50BC9B74BA34}"/>
    <cellStyle name="Normal 2 5 11" xfId="9503" xr:uid="{30E843F1-71F1-4500-A78D-745E85E22E36}"/>
    <cellStyle name="Normal 2 5 12" xfId="11393" xr:uid="{B5641B0A-D600-4EA2-AD51-8B82B48FCDA0}"/>
    <cellStyle name="Normal 2 5 13" xfId="13283" xr:uid="{B3CB1E15-F475-4CB6-B1A1-9485BDF9F4D5}"/>
    <cellStyle name="Normal 2 5 14" xfId="15173" xr:uid="{423F490B-28F0-4CB0-BA99-85A3943CCF61}"/>
    <cellStyle name="Normal 2 5 15" xfId="17063" xr:uid="{09F99444-E642-40EA-B43E-086CA994F28D}"/>
    <cellStyle name="Normal 2 5 16" xfId="18953" xr:uid="{67772306-BF7F-423E-BEB3-10E0854B9691}"/>
    <cellStyle name="Normal 2 5 17" xfId="20843" xr:uid="{7D7148B4-A9DA-40DC-8B55-1DE66A5714FC}"/>
    <cellStyle name="Normal 2 5 18" xfId="22733" xr:uid="{4F8C9524-69A1-465D-B736-E20F0DF5AC8C}"/>
    <cellStyle name="Normal 2 5 19" xfId="24623" xr:uid="{79102670-7A3E-47EB-8E7B-806F866C4FAE}"/>
    <cellStyle name="Normal 2 5 2" xfId="158" xr:uid="{27135FA8-9E82-4EF6-A501-714DBC9995AF}"/>
    <cellStyle name="Normal 2 5 2 10" xfId="9608" xr:uid="{A90CA259-700A-48E2-ADE2-22616AF37CBD}"/>
    <cellStyle name="Normal 2 5 2 11" xfId="11498" xr:uid="{7A61FECC-45D2-4E20-9A26-C05A09797B07}"/>
    <cellStyle name="Normal 2 5 2 12" xfId="13388" xr:uid="{0ED7733C-9160-4C64-86F8-1001CDAB26EF}"/>
    <cellStyle name="Normal 2 5 2 13" xfId="15278" xr:uid="{37F090BB-C2BF-49D4-A20E-4BDA9048E20E}"/>
    <cellStyle name="Normal 2 5 2 14" xfId="17168" xr:uid="{E43E72B4-1564-4BA4-B67D-66EA6426F9CF}"/>
    <cellStyle name="Normal 2 5 2 15" xfId="19058" xr:uid="{E85EB313-5A64-4D17-B9EF-BF6E19EE0542}"/>
    <cellStyle name="Normal 2 5 2 16" xfId="20948" xr:uid="{46191ACE-DEEE-4FE2-8562-4C77773FE862}"/>
    <cellStyle name="Normal 2 5 2 17" xfId="22838" xr:uid="{0CAD66BC-B54D-4377-95EB-A9EC53AE46F9}"/>
    <cellStyle name="Normal 2 5 2 18" xfId="24728" xr:uid="{F431CCFF-DBE1-4EF6-A94A-A58549A9C17E}"/>
    <cellStyle name="Normal 2 5 2 19" xfId="26618" xr:uid="{07090C79-A550-41C1-A6FC-042A07630E22}"/>
    <cellStyle name="Normal 2 5 2 2" xfId="368" xr:uid="{4C4FED3D-2820-46D0-8100-3A8E81933FDC}"/>
    <cellStyle name="Normal 2 5 2 2 10" xfId="13598" xr:uid="{4906DF2D-32B0-47EF-A15B-273DC5F52160}"/>
    <cellStyle name="Normal 2 5 2 2 11" xfId="15488" xr:uid="{B1BE1DCB-0A61-4C24-9646-5F061CCB5E82}"/>
    <cellStyle name="Normal 2 5 2 2 12" xfId="17378" xr:uid="{69D6CC98-D783-456B-8A5C-967E6477A642}"/>
    <cellStyle name="Normal 2 5 2 2 13" xfId="19268" xr:uid="{19BAECC1-09C4-4C7E-B059-64248226EE45}"/>
    <cellStyle name="Normal 2 5 2 2 14" xfId="21158" xr:uid="{21EB06C0-6005-4FDB-AB43-BE2684AEEA3E}"/>
    <cellStyle name="Normal 2 5 2 2 15" xfId="23048" xr:uid="{35C5C579-8200-4B76-8D56-F5F5CFA0CDD9}"/>
    <cellStyle name="Normal 2 5 2 2 16" xfId="24938" xr:uid="{D90F56C7-419C-4AD0-B8F1-5193700F88C1}"/>
    <cellStyle name="Normal 2 5 2 2 17" xfId="26828" xr:uid="{F249702D-A882-4731-9F3D-CE5DDDCD4E5B}"/>
    <cellStyle name="Normal 2 5 2 2 18" xfId="28718" xr:uid="{BBF5FD12-91B7-45D2-AB7D-19FB0FA545D3}"/>
    <cellStyle name="Normal 2 5 2 2 19" xfId="30608" xr:uid="{9829B96E-F6EA-4DB3-A977-33EF94F332A9}"/>
    <cellStyle name="Normal 2 5 2 2 2" xfId="998" xr:uid="{1C78788B-746C-4736-9503-101B54A2C79D}"/>
    <cellStyle name="Normal 2 5 2 2 2 10" xfId="18008" xr:uid="{A3B4F5F9-5C1A-41A2-9768-BAD016E7089C}"/>
    <cellStyle name="Normal 2 5 2 2 2 11" xfId="19898" xr:uid="{1E93BE2C-AED1-4169-A265-D625CF5961E9}"/>
    <cellStyle name="Normal 2 5 2 2 2 12" xfId="21788" xr:uid="{3B188ACA-4E02-4DEC-AC32-01420C47D2A1}"/>
    <cellStyle name="Normal 2 5 2 2 2 13" xfId="23678" xr:uid="{176DD045-BC7B-4AD0-BEC3-B839890E1B5C}"/>
    <cellStyle name="Normal 2 5 2 2 2 14" xfId="25568" xr:uid="{829E7F29-5D46-4A27-9417-E9B0D27D2792}"/>
    <cellStyle name="Normal 2 5 2 2 2 15" xfId="27458" xr:uid="{927A956C-6475-404A-A9BB-86DCC98B2C6A}"/>
    <cellStyle name="Normal 2 5 2 2 2 16" xfId="29348" xr:uid="{45A5D4EB-72CF-464D-856B-67C7F7317A34}"/>
    <cellStyle name="Normal 2 5 2 2 2 17" xfId="31238" xr:uid="{F06D591B-B310-49EC-9F55-9E540F8E02C7}"/>
    <cellStyle name="Normal 2 5 2 2 2 18" xfId="33128" xr:uid="{98A0E5A5-0CEC-4829-9AB9-5484772FEBFC}"/>
    <cellStyle name="Normal 2 5 2 2 2 19" xfId="35018" xr:uid="{BC4B5162-D259-46DD-AFCD-2C1568406894}"/>
    <cellStyle name="Normal 2 5 2 2 2 2" xfId="2888" xr:uid="{C97DB9DC-0071-42D4-A9ED-070F63C628E1}"/>
    <cellStyle name="Normal 2 5 2 2 2 20" xfId="36908" xr:uid="{A949D913-F448-4D64-A6BD-57BE807837D7}"/>
    <cellStyle name="Normal 2 5 2 2 2 21" xfId="38798" xr:uid="{1A568FB1-5CB5-45F7-B258-3D71CAEB4EF2}"/>
    <cellStyle name="Normal 2 5 2 2 2 22" xfId="40689" xr:uid="{189CA5CF-66A4-43E9-A3C1-CE04280AE6D2}"/>
    <cellStyle name="Normal 2 5 2 2 2 3" xfId="4778" xr:uid="{55C298FA-2A86-4840-B959-7289DCBBFC43}"/>
    <cellStyle name="Normal 2 5 2 2 2 4" xfId="6668" xr:uid="{DAFAD415-6530-4E77-B81A-0FCA4F14EC8D}"/>
    <cellStyle name="Normal 2 5 2 2 2 5" xfId="8558" xr:uid="{6F8D37B1-19F1-4428-96B3-00CA7B904FEE}"/>
    <cellStyle name="Normal 2 5 2 2 2 6" xfId="10448" xr:uid="{A1DA2776-D405-478F-B6D7-17038C8FE20E}"/>
    <cellStyle name="Normal 2 5 2 2 2 7" xfId="12338" xr:uid="{7107148C-B8AE-4669-88A0-ABBD005B0E6A}"/>
    <cellStyle name="Normal 2 5 2 2 2 8" xfId="14228" xr:uid="{30D05D1F-776A-4A00-AAB9-E7CAABE392C4}"/>
    <cellStyle name="Normal 2 5 2 2 2 9" xfId="16118" xr:uid="{85419BBD-971A-4D22-84E5-A0E95EBDA8CC}"/>
    <cellStyle name="Normal 2 5 2 2 20" xfId="32498" xr:uid="{362225D9-2F22-411C-8F66-E4A6036C2C4F}"/>
    <cellStyle name="Normal 2 5 2 2 21" xfId="34388" xr:uid="{CDD53446-77B1-466C-AD01-1DCD0E993423}"/>
    <cellStyle name="Normal 2 5 2 2 22" xfId="36278" xr:uid="{0915685A-BEC2-43B9-A6B8-031DD65C5EB6}"/>
    <cellStyle name="Normal 2 5 2 2 23" xfId="38168" xr:uid="{15A0B715-D83A-4EF0-B2B0-629B493DD6FB}"/>
    <cellStyle name="Normal 2 5 2 2 24" xfId="40059" xr:uid="{F72D5860-A566-4D6D-BE43-DF160E630F00}"/>
    <cellStyle name="Normal 2 5 2 2 3" xfId="1628" xr:uid="{5E45EB5D-7472-44BF-9791-746B19A49076}"/>
    <cellStyle name="Normal 2 5 2 2 3 10" xfId="18638" xr:uid="{48F2E170-8492-4A2D-920D-4AE628E026ED}"/>
    <cellStyle name="Normal 2 5 2 2 3 11" xfId="20528" xr:uid="{6A9DD799-B28D-4727-84D6-9FAFDFBB32BC}"/>
    <cellStyle name="Normal 2 5 2 2 3 12" xfId="22418" xr:uid="{914A3059-FAB1-4A88-B2F2-A2921F3A6DC5}"/>
    <cellStyle name="Normal 2 5 2 2 3 13" xfId="24308" xr:uid="{41A05095-2E68-4087-B836-ECBE5819C5C5}"/>
    <cellStyle name="Normal 2 5 2 2 3 14" xfId="26198" xr:uid="{A1BBA884-6F67-44F1-BDAB-C4E9092C4504}"/>
    <cellStyle name="Normal 2 5 2 2 3 15" xfId="28088" xr:uid="{947A6ECF-8C38-4850-9F30-7FB1D98CB3B2}"/>
    <cellStyle name="Normal 2 5 2 2 3 16" xfId="29978" xr:uid="{00A05D0D-ADC5-421E-A607-7770ABC9F1DF}"/>
    <cellStyle name="Normal 2 5 2 2 3 17" xfId="31868" xr:uid="{4FD60BC4-0BB6-480D-AA86-2610C644B6B9}"/>
    <cellStyle name="Normal 2 5 2 2 3 18" xfId="33758" xr:uid="{9CE029A8-34CF-4B4B-B002-A6C75FA1C9CC}"/>
    <cellStyle name="Normal 2 5 2 2 3 19" xfId="35648" xr:uid="{49344169-BA45-4D98-ACC8-4D9F3ABEB6D1}"/>
    <cellStyle name="Normal 2 5 2 2 3 2" xfId="3518" xr:uid="{7DB51CA0-A7AB-4273-AA69-DE3F0AEBD829}"/>
    <cellStyle name="Normal 2 5 2 2 3 20" xfId="37538" xr:uid="{CE203A10-C869-4FEA-B116-9E2FF4C7689B}"/>
    <cellStyle name="Normal 2 5 2 2 3 21" xfId="39428" xr:uid="{1BC76612-6C86-46C7-A3E2-E7FFCC9CE082}"/>
    <cellStyle name="Normal 2 5 2 2 3 22" xfId="41319" xr:uid="{F5231C6E-9652-4BB7-BC41-CCED004E2CC9}"/>
    <cellStyle name="Normal 2 5 2 2 3 3" xfId="5408" xr:uid="{AA74C693-F821-4CEF-8D36-A9A5F8176BA0}"/>
    <cellStyle name="Normal 2 5 2 2 3 4" xfId="7298" xr:uid="{705CE491-639D-4777-B3CD-0E81EE5872D1}"/>
    <cellStyle name="Normal 2 5 2 2 3 5" xfId="9188" xr:uid="{D6E8AA5D-A6CB-4E5A-87C0-B7F34FA45112}"/>
    <cellStyle name="Normal 2 5 2 2 3 6" xfId="11078" xr:uid="{3AABE2D4-3140-4F29-AA1B-4C0B738D6A58}"/>
    <cellStyle name="Normal 2 5 2 2 3 7" xfId="12968" xr:uid="{E25DF1E5-9736-4BBF-8EE3-2C8AF6FBAF9B}"/>
    <cellStyle name="Normal 2 5 2 2 3 8" xfId="14858" xr:uid="{94537392-658B-4616-A630-B81EE8E7B0FE}"/>
    <cellStyle name="Normal 2 5 2 2 3 9" xfId="16748" xr:uid="{0FFFEAD7-0652-4DE3-A675-AE36F0FF105D}"/>
    <cellStyle name="Normal 2 5 2 2 4" xfId="2258" xr:uid="{A14F7F02-C9C5-4878-9DC3-5281A64B9A44}"/>
    <cellStyle name="Normal 2 5 2 2 5" xfId="4148" xr:uid="{4CFAE8FB-9DDA-475D-A867-8BB585090153}"/>
    <cellStyle name="Normal 2 5 2 2 6" xfId="6038" xr:uid="{9271FE7C-254C-4FE2-B17B-E3C9E431A98F}"/>
    <cellStyle name="Normal 2 5 2 2 7" xfId="7928" xr:uid="{9E22B15C-5FE7-4874-ADC8-DB459417EE14}"/>
    <cellStyle name="Normal 2 5 2 2 8" xfId="9818" xr:uid="{D0A41F00-F3EB-4761-BBE2-9C859DA94D88}"/>
    <cellStyle name="Normal 2 5 2 2 9" xfId="11708" xr:uid="{23CF8A5E-7C23-43E0-8A75-0B658ADCB2D3}"/>
    <cellStyle name="Normal 2 5 2 20" xfId="28508" xr:uid="{9A7568FF-61F6-47DD-AABA-24B8BC3FCE0A}"/>
    <cellStyle name="Normal 2 5 2 21" xfId="30398" xr:uid="{4AE61253-4906-45D0-9F9A-CEEA3B2641D0}"/>
    <cellStyle name="Normal 2 5 2 22" xfId="32288" xr:uid="{FA97BF00-5D28-49BB-9981-3032ED934D63}"/>
    <cellStyle name="Normal 2 5 2 23" xfId="34178" xr:uid="{D3D4D807-3D4C-488D-9EAD-053F859EFA02}"/>
    <cellStyle name="Normal 2 5 2 24" xfId="36068" xr:uid="{327A665C-60A9-45E3-B266-37B77C9157B5}"/>
    <cellStyle name="Normal 2 5 2 25" xfId="37958" xr:uid="{C4F800B8-36A5-4A6B-864C-9B9E018B7083}"/>
    <cellStyle name="Normal 2 5 2 26" xfId="39849" xr:uid="{74E9ED36-13E3-4950-87DE-840D90E91586}"/>
    <cellStyle name="Normal 2 5 2 3" xfId="578" xr:uid="{94F0ADC8-B0F8-4EC1-B729-15208D4C4F45}"/>
    <cellStyle name="Normal 2 5 2 3 10" xfId="13808" xr:uid="{4BF6AEE2-F8F4-4078-8931-E6526958A743}"/>
    <cellStyle name="Normal 2 5 2 3 11" xfId="15698" xr:uid="{482CB9E9-BF31-40A6-985D-9C5E9569E295}"/>
    <cellStyle name="Normal 2 5 2 3 12" xfId="17588" xr:uid="{8E82A326-89B3-46D6-8524-6061C03199A2}"/>
    <cellStyle name="Normal 2 5 2 3 13" xfId="19478" xr:uid="{C11BD312-C0C6-4B53-85B3-420DA2C32078}"/>
    <cellStyle name="Normal 2 5 2 3 14" xfId="21368" xr:uid="{AAE0D8AA-ACAE-4BD6-A9E0-1131045C3BC5}"/>
    <cellStyle name="Normal 2 5 2 3 15" xfId="23258" xr:uid="{E595F5E7-778C-41D4-89D5-E31813E6D0FE}"/>
    <cellStyle name="Normal 2 5 2 3 16" xfId="25148" xr:uid="{30A5AA39-0AC9-495B-9C0D-78A344134961}"/>
    <cellStyle name="Normal 2 5 2 3 17" xfId="27038" xr:uid="{1B29829F-4BB1-4235-864A-79516E4E7A4E}"/>
    <cellStyle name="Normal 2 5 2 3 18" xfId="28928" xr:uid="{73C20A35-FA94-4E8D-83E2-B926C5CFB92D}"/>
    <cellStyle name="Normal 2 5 2 3 19" xfId="30818" xr:uid="{AF285972-1851-4CB6-92D9-F46E829DA5EF}"/>
    <cellStyle name="Normal 2 5 2 3 2" xfId="1208" xr:uid="{067C2460-460F-44F3-AE35-9A2A330EEB51}"/>
    <cellStyle name="Normal 2 5 2 3 2 10" xfId="18218" xr:uid="{68CBB385-2E20-4A59-83BB-3BD1351855D1}"/>
    <cellStyle name="Normal 2 5 2 3 2 11" xfId="20108" xr:uid="{F0819331-9A02-4FA7-A3E7-1F4DDB4C24CB}"/>
    <cellStyle name="Normal 2 5 2 3 2 12" xfId="21998" xr:uid="{BFAB73FB-F2F2-4487-8C50-721E618FB872}"/>
    <cellStyle name="Normal 2 5 2 3 2 13" xfId="23888" xr:uid="{1882937F-5EDB-4E42-A06A-2CA1D54140B1}"/>
    <cellStyle name="Normal 2 5 2 3 2 14" xfId="25778" xr:uid="{9DF6F107-142E-42B6-949E-EF002E41A878}"/>
    <cellStyle name="Normal 2 5 2 3 2 15" xfId="27668" xr:uid="{6630BCED-C16E-44FB-9234-DAFAB0FC6571}"/>
    <cellStyle name="Normal 2 5 2 3 2 16" xfId="29558" xr:uid="{3752D49D-4EC5-43B3-992B-26F72B548500}"/>
    <cellStyle name="Normal 2 5 2 3 2 17" xfId="31448" xr:uid="{B85E9ABC-C1B4-43D9-B0F2-EA7BAD4DA0CC}"/>
    <cellStyle name="Normal 2 5 2 3 2 18" xfId="33338" xr:uid="{CAFA83E9-F115-4020-BBAF-B9B6EA106E6C}"/>
    <cellStyle name="Normal 2 5 2 3 2 19" xfId="35228" xr:uid="{FB37DAB8-428B-4969-8FC8-1F39613C0A4F}"/>
    <cellStyle name="Normal 2 5 2 3 2 2" xfId="3098" xr:uid="{45F76DC1-330C-432D-945D-9AF8FC5218FA}"/>
    <cellStyle name="Normal 2 5 2 3 2 20" xfId="37118" xr:uid="{592D3987-EB55-42CF-BEA8-4C4203A89CC7}"/>
    <cellStyle name="Normal 2 5 2 3 2 21" xfId="39008" xr:uid="{BB9564D9-4861-4EB3-93DE-496993308594}"/>
    <cellStyle name="Normal 2 5 2 3 2 22" xfId="40899" xr:uid="{6838DB4B-F23D-490F-84B4-46948600A069}"/>
    <cellStyle name="Normal 2 5 2 3 2 3" xfId="4988" xr:uid="{2F0E8957-CBF8-4A92-BD2B-67D75647FD06}"/>
    <cellStyle name="Normal 2 5 2 3 2 4" xfId="6878" xr:uid="{9F08D94F-40B5-4D02-9D63-CD75D206BF70}"/>
    <cellStyle name="Normal 2 5 2 3 2 5" xfId="8768" xr:uid="{230BD241-475E-4ADB-B5CE-4EC892900EF8}"/>
    <cellStyle name="Normal 2 5 2 3 2 6" xfId="10658" xr:uid="{4B2C5591-61CC-4710-8D21-6D9D805EF901}"/>
    <cellStyle name="Normal 2 5 2 3 2 7" xfId="12548" xr:uid="{748CF680-5F54-44D8-BEFE-94A5E97FE0E0}"/>
    <cellStyle name="Normal 2 5 2 3 2 8" xfId="14438" xr:uid="{18E7D544-D8E8-4CC1-8F88-F3E4683513CE}"/>
    <cellStyle name="Normal 2 5 2 3 2 9" xfId="16328" xr:uid="{5D4E2270-B882-47CB-B27A-15BE65CD6B45}"/>
    <cellStyle name="Normal 2 5 2 3 20" xfId="32708" xr:uid="{5B3F23B4-F360-4612-89B2-A1E2B74E1282}"/>
    <cellStyle name="Normal 2 5 2 3 21" xfId="34598" xr:uid="{83E22897-5763-495C-9F1F-3290DBB52074}"/>
    <cellStyle name="Normal 2 5 2 3 22" xfId="36488" xr:uid="{CBDD5758-F920-462D-A108-88946616C7A3}"/>
    <cellStyle name="Normal 2 5 2 3 23" xfId="38378" xr:uid="{2F2BF5B9-8EFC-4427-981A-9D58153E1EBB}"/>
    <cellStyle name="Normal 2 5 2 3 24" xfId="40269" xr:uid="{94E93512-9353-4D61-9A79-305CB2089C8A}"/>
    <cellStyle name="Normal 2 5 2 3 3" xfId="1838" xr:uid="{2F7AB82E-0EA7-47D0-9B18-24D1C7A5AC90}"/>
    <cellStyle name="Normal 2 5 2 3 3 10" xfId="18848" xr:uid="{AE6C3443-19F8-4ADD-A43E-6CEC019EAE54}"/>
    <cellStyle name="Normal 2 5 2 3 3 11" xfId="20738" xr:uid="{8CB09414-6DC0-43CB-B8BA-6A8DA2FB21DA}"/>
    <cellStyle name="Normal 2 5 2 3 3 12" xfId="22628" xr:uid="{E29CD97C-D4B2-4CB4-B345-6D1941A15092}"/>
    <cellStyle name="Normal 2 5 2 3 3 13" xfId="24518" xr:uid="{727D4AB4-3B2B-4574-9AE4-8E89D87FD1CC}"/>
    <cellStyle name="Normal 2 5 2 3 3 14" xfId="26408" xr:uid="{8B78626D-33F7-4340-806C-ADEBE91A44D5}"/>
    <cellStyle name="Normal 2 5 2 3 3 15" xfId="28298" xr:uid="{CFCA6443-D053-41BC-8735-6CC825280566}"/>
    <cellStyle name="Normal 2 5 2 3 3 16" xfId="30188" xr:uid="{8F997117-0AFD-48C0-9EAA-975658ABE9A1}"/>
    <cellStyle name="Normal 2 5 2 3 3 17" xfId="32078" xr:uid="{E946A306-44EF-4CBB-BE19-5E0FBF3519B0}"/>
    <cellStyle name="Normal 2 5 2 3 3 18" xfId="33968" xr:uid="{960C04B8-A82C-4A06-8955-884D62587A0D}"/>
    <cellStyle name="Normal 2 5 2 3 3 19" xfId="35858" xr:uid="{97A4B1E8-1A98-48CD-974C-48112DED90E9}"/>
    <cellStyle name="Normal 2 5 2 3 3 2" xfId="3728" xr:uid="{6380A824-F9E9-4609-AC93-6CCE49223BA5}"/>
    <cellStyle name="Normal 2 5 2 3 3 20" xfId="37748" xr:uid="{F1FDC757-8856-445B-B086-3AD6DB1039B4}"/>
    <cellStyle name="Normal 2 5 2 3 3 21" xfId="39638" xr:uid="{5757485F-B780-40ED-85F5-6221A1A54BEF}"/>
    <cellStyle name="Normal 2 5 2 3 3 22" xfId="41529" xr:uid="{D16F72A7-C7EF-4602-8751-5B9FC1F26641}"/>
    <cellStyle name="Normal 2 5 2 3 3 3" xfId="5618" xr:uid="{6E0F226F-2E82-4080-BFC6-91C3DD39816C}"/>
    <cellStyle name="Normal 2 5 2 3 3 4" xfId="7508" xr:uid="{ABC86A52-3CEA-4246-9DD7-604E4752D102}"/>
    <cellStyle name="Normal 2 5 2 3 3 5" xfId="9398" xr:uid="{585920CB-3FEB-4C1D-99E0-6CE79833028A}"/>
    <cellStyle name="Normal 2 5 2 3 3 6" xfId="11288" xr:uid="{DE2565B4-5E24-445D-B6E1-D76E85609B7F}"/>
    <cellStyle name="Normal 2 5 2 3 3 7" xfId="13178" xr:uid="{93E15ADF-63B6-4CD3-8F64-D1D87E8C5443}"/>
    <cellStyle name="Normal 2 5 2 3 3 8" xfId="15068" xr:uid="{C4089A73-855A-41D3-9028-F4E8575B8179}"/>
    <cellStyle name="Normal 2 5 2 3 3 9" xfId="16958" xr:uid="{5367D34F-5B35-49A3-A0EE-AC431A17EDFE}"/>
    <cellStyle name="Normal 2 5 2 3 4" xfId="2468" xr:uid="{C3FC43BD-663E-4470-8A4B-066B6703D743}"/>
    <cellStyle name="Normal 2 5 2 3 5" xfId="4358" xr:uid="{0764A4E7-392F-498E-A73E-DFC4D0F90958}"/>
    <cellStyle name="Normal 2 5 2 3 6" xfId="6248" xr:uid="{94E24B65-09C9-48F8-BED6-17D234A74379}"/>
    <cellStyle name="Normal 2 5 2 3 7" xfId="8138" xr:uid="{85258476-E07A-4066-83E8-A42EB7C88956}"/>
    <cellStyle name="Normal 2 5 2 3 8" xfId="10028" xr:uid="{F2BBD9E8-6663-4FC3-A8B5-17EB19647D5D}"/>
    <cellStyle name="Normal 2 5 2 3 9" xfId="11918" xr:uid="{E7928FA9-7549-45C2-969D-B48CDFA84AC6}"/>
    <cellStyle name="Normal 2 5 2 4" xfId="788" xr:uid="{7B297831-BA3C-40EC-88B6-35786C80E223}"/>
    <cellStyle name="Normal 2 5 2 4 10" xfId="17798" xr:uid="{F3F9B670-2F0A-4B5F-8DC7-639C763783F2}"/>
    <cellStyle name="Normal 2 5 2 4 11" xfId="19688" xr:uid="{5B4A4F4C-12C4-4009-9461-AAE91D3BF975}"/>
    <cellStyle name="Normal 2 5 2 4 12" xfId="21578" xr:uid="{0AFA56EB-AE92-4193-A3FC-5B8528A72BD0}"/>
    <cellStyle name="Normal 2 5 2 4 13" xfId="23468" xr:uid="{2BED9667-7108-41E2-AFBF-3D0B1D18EA8C}"/>
    <cellStyle name="Normal 2 5 2 4 14" xfId="25358" xr:uid="{612E79A7-A69F-4E65-AE4C-754CB465B971}"/>
    <cellStyle name="Normal 2 5 2 4 15" xfId="27248" xr:uid="{F518F9EC-A69C-4AC2-94AB-6661C22F1327}"/>
    <cellStyle name="Normal 2 5 2 4 16" xfId="29138" xr:uid="{3CCDFC40-C953-4FA3-9F0F-28EA92F454ED}"/>
    <cellStyle name="Normal 2 5 2 4 17" xfId="31028" xr:uid="{97D6A173-43A3-4EE3-9BBE-0828EF9423B8}"/>
    <cellStyle name="Normal 2 5 2 4 18" xfId="32918" xr:uid="{548CB3EE-C47B-4DD5-B516-9C2AD684FEF9}"/>
    <cellStyle name="Normal 2 5 2 4 19" xfId="34808" xr:uid="{3052606D-4B21-4DAA-9866-85F30CB4C8F6}"/>
    <cellStyle name="Normal 2 5 2 4 2" xfId="2678" xr:uid="{0E28D8BD-2BEB-4BBD-8AE7-6A941619EFA9}"/>
    <cellStyle name="Normal 2 5 2 4 20" xfId="36698" xr:uid="{B4767CB4-A37A-41C4-B2F0-00F88DA86F2E}"/>
    <cellStyle name="Normal 2 5 2 4 21" xfId="38588" xr:uid="{1C451C5D-17FA-4342-8FDA-BFA0708867BA}"/>
    <cellStyle name="Normal 2 5 2 4 22" xfId="40479" xr:uid="{A2352E88-8FB0-426D-86BD-621C9891F7B7}"/>
    <cellStyle name="Normal 2 5 2 4 3" xfId="4568" xr:uid="{A53DEDDD-1AF6-48C7-94C0-4B96510045CC}"/>
    <cellStyle name="Normal 2 5 2 4 4" xfId="6458" xr:uid="{C341D122-1E65-46CD-9C47-C41A418F983E}"/>
    <cellStyle name="Normal 2 5 2 4 5" xfId="8348" xr:uid="{777CCC1D-440A-4D4D-9BCC-2870B2470828}"/>
    <cellStyle name="Normal 2 5 2 4 6" xfId="10238" xr:uid="{8FC5ED7B-E123-489A-9D93-F4E556D4E2DE}"/>
    <cellStyle name="Normal 2 5 2 4 7" xfId="12128" xr:uid="{B91249F3-F1D6-4DE0-B3A3-D74F631A49DB}"/>
    <cellStyle name="Normal 2 5 2 4 8" xfId="14018" xr:uid="{34E75262-59C9-46C2-AF8B-F1B9F8FD7A4C}"/>
    <cellStyle name="Normal 2 5 2 4 9" xfId="15908" xr:uid="{7B16CEE9-54BA-40E1-A427-7122C824C864}"/>
    <cellStyle name="Normal 2 5 2 5" xfId="1418" xr:uid="{13B70B71-B598-4593-8F22-E8BB99F44552}"/>
    <cellStyle name="Normal 2 5 2 5 10" xfId="18428" xr:uid="{E7574006-82C3-48FA-843A-6901EF462928}"/>
    <cellStyle name="Normal 2 5 2 5 11" xfId="20318" xr:uid="{6DB1A658-F97E-4057-83F4-766D8DC3E34A}"/>
    <cellStyle name="Normal 2 5 2 5 12" xfId="22208" xr:uid="{5094498E-BFE3-48B7-94C8-B2A25BDA2B20}"/>
    <cellStyle name="Normal 2 5 2 5 13" xfId="24098" xr:uid="{757DD5A1-63E0-4213-AF6A-A2FF6637D0D8}"/>
    <cellStyle name="Normal 2 5 2 5 14" xfId="25988" xr:uid="{6DFBD96D-1608-460C-80F4-FC32FD4CC28A}"/>
    <cellStyle name="Normal 2 5 2 5 15" xfId="27878" xr:uid="{AB935772-CFC2-4D5C-83E6-DDEA98C10774}"/>
    <cellStyle name="Normal 2 5 2 5 16" xfId="29768" xr:uid="{6E7C8762-6461-42B6-A81A-0D6C65137D50}"/>
    <cellStyle name="Normal 2 5 2 5 17" xfId="31658" xr:uid="{E835CBB5-C114-497D-A73C-38417259CEE0}"/>
    <cellStyle name="Normal 2 5 2 5 18" xfId="33548" xr:uid="{5B56516F-209D-4378-A29C-D458B8151806}"/>
    <cellStyle name="Normal 2 5 2 5 19" xfId="35438" xr:uid="{1A587F10-201C-42FC-92DF-B640D8C61683}"/>
    <cellStyle name="Normal 2 5 2 5 2" xfId="3308" xr:uid="{ACD10D17-6C74-43E7-908D-928E4838CA68}"/>
    <cellStyle name="Normal 2 5 2 5 20" xfId="37328" xr:uid="{97BF52CA-C420-43D4-8FDA-0421B532E759}"/>
    <cellStyle name="Normal 2 5 2 5 21" xfId="39218" xr:uid="{0811395F-30FE-416D-8560-6039556DE61E}"/>
    <cellStyle name="Normal 2 5 2 5 22" xfId="41109" xr:uid="{705FF20B-A247-4414-8A8A-391FCD3C8430}"/>
    <cellStyle name="Normal 2 5 2 5 3" xfId="5198" xr:uid="{1BAC4BC2-A865-48A6-B2DE-E9F342BEC47A}"/>
    <cellStyle name="Normal 2 5 2 5 4" xfId="7088" xr:uid="{B5F5CBA6-9BC3-4840-AE3B-1A78DA07B340}"/>
    <cellStyle name="Normal 2 5 2 5 5" xfId="8978" xr:uid="{BD9605FD-9A7B-4988-B55E-2C7A237CD0EA}"/>
    <cellStyle name="Normal 2 5 2 5 6" xfId="10868" xr:uid="{396185E8-9247-43DE-A658-781F2126411A}"/>
    <cellStyle name="Normal 2 5 2 5 7" xfId="12758" xr:uid="{60B9456B-C6F5-401D-9A5F-7A2E8C330910}"/>
    <cellStyle name="Normal 2 5 2 5 8" xfId="14648" xr:uid="{9721A616-7877-4A33-A35A-90DF5E6E0CFB}"/>
    <cellStyle name="Normal 2 5 2 5 9" xfId="16538" xr:uid="{107995A8-54B2-4D1E-BB0C-026598F23FFD}"/>
    <cellStyle name="Normal 2 5 2 6" xfId="2048" xr:uid="{94340111-41E7-4B8B-A870-ACD078A77E37}"/>
    <cellStyle name="Normal 2 5 2 7" xfId="3938" xr:uid="{ADF9B8D4-CDBD-4ABC-882F-FF0D4C0F9BB7}"/>
    <cellStyle name="Normal 2 5 2 8" xfId="5828" xr:uid="{09BFCA64-4F3F-4DBC-8427-8006D9F3D4C8}"/>
    <cellStyle name="Normal 2 5 2 9" xfId="7718" xr:uid="{E05D2D2E-26DF-4D4F-B2B3-9F4249BA0001}"/>
    <cellStyle name="Normal 2 5 20" xfId="26513" xr:uid="{A73E5A19-0B31-4E7B-AE47-13B5B968F608}"/>
    <cellStyle name="Normal 2 5 21" xfId="28403" xr:uid="{96263C65-BB64-4D86-B2B2-14072804566D}"/>
    <cellStyle name="Normal 2 5 22" xfId="30293" xr:uid="{45B015CA-5E0A-4987-942B-2B880F314A9E}"/>
    <cellStyle name="Normal 2 5 23" xfId="32183" xr:uid="{9AB77DF6-7458-457C-A5BA-7A84D4D29248}"/>
    <cellStyle name="Normal 2 5 24" xfId="34073" xr:uid="{9512C59C-EE1C-4DB4-A18D-51EAD7EEAAFF}"/>
    <cellStyle name="Normal 2 5 25" xfId="35963" xr:uid="{28C842C8-0F43-41B1-9205-1841C68D9D58}"/>
    <cellStyle name="Normal 2 5 26" xfId="37853" xr:uid="{9170410A-329D-4436-B318-1EBDA3740EA1}"/>
    <cellStyle name="Normal 2 5 27" xfId="39744" xr:uid="{3488FA76-BF26-4758-9C81-1B5F65A649B3}"/>
    <cellStyle name="Normal 2 5 3" xfId="263" xr:uid="{5D246FF1-3F79-4383-BE8C-74A6E9A951E2}"/>
    <cellStyle name="Normal 2 5 3 10" xfId="13493" xr:uid="{61D198F6-CACB-4381-A3FF-047056D160C7}"/>
    <cellStyle name="Normal 2 5 3 11" xfId="15383" xr:uid="{8853696E-E913-49A9-8A63-4007F101DDB1}"/>
    <cellStyle name="Normal 2 5 3 12" xfId="17273" xr:uid="{778C6355-A98A-473D-8F70-ABF6987A6F6B}"/>
    <cellStyle name="Normal 2 5 3 13" xfId="19163" xr:uid="{1311C605-8AA5-4F46-AA44-5FF382D1D195}"/>
    <cellStyle name="Normal 2 5 3 14" xfId="21053" xr:uid="{C053F0AF-5052-409B-83B6-BAADA540E05D}"/>
    <cellStyle name="Normal 2 5 3 15" xfId="22943" xr:uid="{0FB0A1B7-0307-4745-AE11-50ED8ADBCECB}"/>
    <cellStyle name="Normal 2 5 3 16" xfId="24833" xr:uid="{D8BB4477-1CAD-4C18-B9FD-DA84D0A876B6}"/>
    <cellStyle name="Normal 2 5 3 17" xfId="26723" xr:uid="{B71B6100-2F31-49FE-A75A-4D3BD3862895}"/>
    <cellStyle name="Normal 2 5 3 18" xfId="28613" xr:uid="{6F6BF574-A4F1-4641-960A-F3A7C98D7D86}"/>
    <cellStyle name="Normal 2 5 3 19" xfId="30503" xr:uid="{154BC085-FD55-42B3-A4B3-CD93122E2671}"/>
    <cellStyle name="Normal 2 5 3 2" xfId="893" xr:uid="{81B0F33A-200B-4AF5-B41A-C1A29303E967}"/>
    <cellStyle name="Normal 2 5 3 2 10" xfId="17903" xr:uid="{FBD39DD9-DBF6-45C8-8CC4-B3B059F7C9B3}"/>
    <cellStyle name="Normal 2 5 3 2 11" xfId="19793" xr:uid="{F40A6521-1160-4043-B3CE-034E614BD901}"/>
    <cellStyle name="Normal 2 5 3 2 12" xfId="21683" xr:uid="{CCB57D10-DF8E-4072-B647-17D28481A0DB}"/>
    <cellStyle name="Normal 2 5 3 2 13" xfId="23573" xr:uid="{43EF6DE0-F85D-4331-A07E-3FEF745201A4}"/>
    <cellStyle name="Normal 2 5 3 2 14" xfId="25463" xr:uid="{B3462CCE-46B8-4BB7-89D4-A7D3E1E1B675}"/>
    <cellStyle name="Normal 2 5 3 2 15" xfId="27353" xr:uid="{369B2AE9-4A4E-4EFB-99EA-6EAEC990FD31}"/>
    <cellStyle name="Normal 2 5 3 2 16" xfId="29243" xr:uid="{3115DE93-DAF3-40A1-9FD8-D9ECBA0CBCBA}"/>
    <cellStyle name="Normal 2 5 3 2 17" xfId="31133" xr:uid="{9D58C9FE-6FA1-4D6C-9E6D-A568A985D838}"/>
    <cellStyle name="Normal 2 5 3 2 18" xfId="33023" xr:uid="{7803EC83-493A-49CD-8C3D-546E75F51DA0}"/>
    <cellStyle name="Normal 2 5 3 2 19" xfId="34913" xr:uid="{C1ADC6FA-E835-433B-AFE4-DA6BD3AF94A1}"/>
    <cellStyle name="Normal 2 5 3 2 2" xfId="2783" xr:uid="{E74F547E-D25B-4C93-9D5E-0D8E77DEE36B}"/>
    <cellStyle name="Normal 2 5 3 2 20" xfId="36803" xr:uid="{A6896F38-B340-40CF-A13B-DDEB95FD90F4}"/>
    <cellStyle name="Normal 2 5 3 2 21" xfId="38693" xr:uid="{1E2F0639-1920-4290-8C98-3D68109321AB}"/>
    <cellStyle name="Normal 2 5 3 2 22" xfId="40584" xr:uid="{D177869A-4B53-4365-89D6-330ADE40EB7E}"/>
    <cellStyle name="Normal 2 5 3 2 3" xfId="4673" xr:uid="{54B98436-787D-4988-8733-683191A45087}"/>
    <cellStyle name="Normal 2 5 3 2 4" xfId="6563" xr:uid="{42A1E556-D867-46E4-B641-267570990D6F}"/>
    <cellStyle name="Normal 2 5 3 2 5" xfId="8453" xr:uid="{D4AAD9DE-9A4F-4F5B-A39C-810FBDBFFB3D}"/>
    <cellStyle name="Normal 2 5 3 2 6" xfId="10343" xr:uid="{38F3F88E-017C-4BAF-9EDB-7171C239CDB8}"/>
    <cellStyle name="Normal 2 5 3 2 7" xfId="12233" xr:uid="{A4832555-3D8C-4453-9B88-D5BCD0B65DAF}"/>
    <cellStyle name="Normal 2 5 3 2 8" xfId="14123" xr:uid="{1282650F-FBC4-45E7-97C5-8AACDD35762C}"/>
    <cellStyle name="Normal 2 5 3 2 9" xfId="16013" xr:uid="{0F38A5C2-3E6A-469A-B660-A00174178A97}"/>
    <cellStyle name="Normal 2 5 3 20" xfId="32393" xr:uid="{E5197AA0-0D38-4C81-B9B4-D9D03CB79C82}"/>
    <cellStyle name="Normal 2 5 3 21" xfId="34283" xr:uid="{04F5A2D3-CB86-48E4-9A86-F5811C894801}"/>
    <cellStyle name="Normal 2 5 3 22" xfId="36173" xr:uid="{2EB58C09-890F-4DD3-88DE-272F5C4200B4}"/>
    <cellStyle name="Normal 2 5 3 23" xfId="38063" xr:uid="{2C507F06-A7EA-4D68-BC52-15626C4309BC}"/>
    <cellStyle name="Normal 2 5 3 24" xfId="39954" xr:uid="{5E167E2D-97B5-44AF-9EB6-2D34E17F6AE3}"/>
    <cellStyle name="Normal 2 5 3 3" xfId="1523" xr:uid="{ECA85C1F-C263-4707-B8DF-C7945E1B92C0}"/>
    <cellStyle name="Normal 2 5 3 3 10" xfId="18533" xr:uid="{9BBED20E-6DC0-4075-B747-58A46BC5A77F}"/>
    <cellStyle name="Normal 2 5 3 3 11" xfId="20423" xr:uid="{03C66724-A002-498C-8D2B-6DFA8D010F84}"/>
    <cellStyle name="Normal 2 5 3 3 12" xfId="22313" xr:uid="{CBAFB073-6816-4389-890F-F75AD60709BD}"/>
    <cellStyle name="Normal 2 5 3 3 13" xfId="24203" xr:uid="{B55ABC67-9219-490B-8B62-2FD63DBE32D1}"/>
    <cellStyle name="Normal 2 5 3 3 14" xfId="26093" xr:uid="{DD4BA221-5A8C-4B55-9828-1CA4AD2D762B}"/>
    <cellStyle name="Normal 2 5 3 3 15" xfId="27983" xr:uid="{F5F68D89-32D7-44B4-AFCF-F0D33D4EEC3C}"/>
    <cellStyle name="Normal 2 5 3 3 16" xfId="29873" xr:uid="{343E8BBB-97F0-44B5-89F8-7375B9779FA8}"/>
    <cellStyle name="Normal 2 5 3 3 17" xfId="31763" xr:uid="{A4D93B60-0DD6-495D-BDAD-05A2579B3FC8}"/>
    <cellStyle name="Normal 2 5 3 3 18" xfId="33653" xr:uid="{C1EAE30F-402F-4636-A469-5B284541A7E8}"/>
    <cellStyle name="Normal 2 5 3 3 19" xfId="35543" xr:uid="{EB81A2FE-195F-4F75-A7BD-B8DDFECE9831}"/>
    <cellStyle name="Normal 2 5 3 3 2" xfId="3413" xr:uid="{E6973ACD-92BE-449A-A74E-ACCCA0D1B9F6}"/>
    <cellStyle name="Normal 2 5 3 3 20" xfId="37433" xr:uid="{FFC05993-13C4-4DE0-B394-92FDA6356B8E}"/>
    <cellStyle name="Normal 2 5 3 3 21" xfId="39323" xr:uid="{3771D855-4C51-42AC-BEDF-1A601471DD5E}"/>
    <cellStyle name="Normal 2 5 3 3 22" xfId="41214" xr:uid="{232E7C5B-527F-4FFD-BA12-424AB346E272}"/>
    <cellStyle name="Normal 2 5 3 3 3" xfId="5303" xr:uid="{F8B57252-6074-41BC-B544-41B5B614B9CF}"/>
    <cellStyle name="Normal 2 5 3 3 4" xfId="7193" xr:uid="{D84053C9-4AFF-4B0B-AABC-2B9723063CD3}"/>
    <cellStyle name="Normal 2 5 3 3 5" xfId="9083" xr:uid="{A7BFF661-BA10-45CF-897B-58275A5C2FA2}"/>
    <cellStyle name="Normal 2 5 3 3 6" xfId="10973" xr:uid="{0765CFD1-5D9A-41C6-8B3F-A1B606161098}"/>
    <cellStyle name="Normal 2 5 3 3 7" xfId="12863" xr:uid="{6C9F4E82-1B5B-41AB-B2FD-0F1B3D225E46}"/>
    <cellStyle name="Normal 2 5 3 3 8" xfId="14753" xr:uid="{9A65EF9C-C9B9-422D-89AC-9AFC39F695C7}"/>
    <cellStyle name="Normal 2 5 3 3 9" xfId="16643" xr:uid="{C8306742-42F4-4408-A5E4-EC1DFB58B9B1}"/>
    <cellStyle name="Normal 2 5 3 4" xfId="2153" xr:uid="{1BEA18D1-F320-4A68-811F-2DE04AE5F123}"/>
    <cellStyle name="Normal 2 5 3 5" xfId="4043" xr:uid="{3261C87A-C71E-4CF2-8D1F-17CF21534A24}"/>
    <cellStyle name="Normal 2 5 3 6" xfId="5933" xr:uid="{60008FC0-1BFB-4947-9C40-6359DCBE519D}"/>
    <cellStyle name="Normal 2 5 3 7" xfId="7823" xr:uid="{1125E989-223B-4EAE-8164-9D7DFD5A6853}"/>
    <cellStyle name="Normal 2 5 3 8" xfId="9713" xr:uid="{ECB74C2F-BACC-4C11-AC09-0701A61FD8A9}"/>
    <cellStyle name="Normal 2 5 3 9" xfId="11603" xr:uid="{7DC0A93A-3130-41C7-BC2F-1D421D7AA1D5}"/>
    <cellStyle name="Normal 2 5 4" xfId="473" xr:uid="{73D0D288-A3EA-4FAC-8D79-8C5AB772A891}"/>
    <cellStyle name="Normal 2 5 4 10" xfId="13703" xr:uid="{016ABAC9-9652-4144-92E6-AF77BFA92106}"/>
    <cellStyle name="Normal 2 5 4 11" xfId="15593" xr:uid="{362B5D47-88C3-43C2-BBE7-8D465E7FC583}"/>
    <cellStyle name="Normal 2 5 4 12" xfId="17483" xr:uid="{809B584A-3ACE-4BB2-8C27-53D8B9975D59}"/>
    <cellStyle name="Normal 2 5 4 13" xfId="19373" xr:uid="{DE9A5C84-7F57-4A4E-924A-DA6494EA2952}"/>
    <cellStyle name="Normal 2 5 4 14" xfId="21263" xr:uid="{AE346383-CED6-4BE4-A3F2-FB8C094AEE23}"/>
    <cellStyle name="Normal 2 5 4 15" xfId="23153" xr:uid="{E2AD4DA2-81E6-4262-B2BA-605D008FED75}"/>
    <cellStyle name="Normal 2 5 4 16" xfId="25043" xr:uid="{445B879D-0F26-4919-897F-D4E73431F58B}"/>
    <cellStyle name="Normal 2 5 4 17" xfId="26933" xr:uid="{F755F78B-D607-4860-9304-E0CC297A6EB4}"/>
    <cellStyle name="Normal 2 5 4 18" xfId="28823" xr:uid="{36F05519-6E84-4763-8920-1180A6B75300}"/>
    <cellStyle name="Normal 2 5 4 19" xfId="30713" xr:uid="{2AB786A1-57E2-468F-82C3-30CE4350E6CF}"/>
    <cellStyle name="Normal 2 5 4 2" xfId="1103" xr:uid="{1A53AEC8-6147-4ED5-80C4-12005FDEC475}"/>
    <cellStyle name="Normal 2 5 4 2 10" xfId="18113" xr:uid="{E463B66B-A5D4-48BF-AF69-22A6E7F1B19E}"/>
    <cellStyle name="Normal 2 5 4 2 11" xfId="20003" xr:uid="{8686E570-C943-443F-B19F-ADF0C9550E80}"/>
    <cellStyle name="Normal 2 5 4 2 12" xfId="21893" xr:uid="{95DF2DED-1FA2-4A94-9761-F3CF0B35889D}"/>
    <cellStyle name="Normal 2 5 4 2 13" xfId="23783" xr:uid="{0AFC7495-D2BB-4949-A54D-44CE6E35DCAF}"/>
    <cellStyle name="Normal 2 5 4 2 14" xfId="25673" xr:uid="{BBEB0305-52FC-4451-83BC-14815E32FFB0}"/>
    <cellStyle name="Normal 2 5 4 2 15" xfId="27563" xr:uid="{5DF6E24B-60A6-4C9A-8122-C7EDB1C4B336}"/>
    <cellStyle name="Normal 2 5 4 2 16" xfId="29453" xr:uid="{7756D213-AAFC-497B-A27C-7690A72B5403}"/>
    <cellStyle name="Normal 2 5 4 2 17" xfId="31343" xr:uid="{55E68CEA-39F7-4981-97F1-AE7C74F10F3E}"/>
    <cellStyle name="Normal 2 5 4 2 18" xfId="33233" xr:uid="{63C8F7F6-02A3-4568-8F76-B5B5AFFB8C5D}"/>
    <cellStyle name="Normal 2 5 4 2 19" xfId="35123" xr:uid="{C478FB72-44EF-42D8-B522-27963623C2DD}"/>
    <cellStyle name="Normal 2 5 4 2 2" xfId="2993" xr:uid="{F7DFD2D2-9745-4AD9-9D7C-281CE44A9BFA}"/>
    <cellStyle name="Normal 2 5 4 2 20" xfId="37013" xr:uid="{79DDCF61-A3B4-480F-892C-05C8FBE988CD}"/>
    <cellStyle name="Normal 2 5 4 2 21" xfId="38903" xr:uid="{7CD168F2-0720-4F18-B306-70C85B6DDC0F}"/>
    <cellStyle name="Normal 2 5 4 2 22" xfId="40794" xr:uid="{961287D1-708E-48CE-BF87-1BDE14AF22BD}"/>
    <cellStyle name="Normal 2 5 4 2 3" xfId="4883" xr:uid="{4E10A395-D21B-4A40-AD6B-B693A2243FA0}"/>
    <cellStyle name="Normal 2 5 4 2 4" xfId="6773" xr:uid="{184642F4-BA96-4EAD-A99A-5929252649B8}"/>
    <cellStyle name="Normal 2 5 4 2 5" xfId="8663" xr:uid="{0379C7EA-A382-4F33-B4E5-2A6A46C3A6FC}"/>
    <cellStyle name="Normal 2 5 4 2 6" xfId="10553" xr:uid="{5BD2C480-DCEA-4E3D-BA28-3DCC7E26FD74}"/>
    <cellStyle name="Normal 2 5 4 2 7" xfId="12443" xr:uid="{D9E87D97-D019-447B-8365-3981A7B4EE70}"/>
    <cellStyle name="Normal 2 5 4 2 8" xfId="14333" xr:uid="{A1E2ECBC-7010-4A72-8939-DE8DEE154149}"/>
    <cellStyle name="Normal 2 5 4 2 9" xfId="16223" xr:uid="{6A0315D3-B42B-4FBB-81E9-7218E767EA89}"/>
    <cellStyle name="Normal 2 5 4 20" xfId="32603" xr:uid="{F0B98B43-FA59-480B-94FE-BB25D615B2B5}"/>
    <cellStyle name="Normal 2 5 4 21" xfId="34493" xr:uid="{E2B04B77-1D1A-4194-BC5A-0EC7C05963FD}"/>
    <cellStyle name="Normal 2 5 4 22" xfId="36383" xr:uid="{27E8B2E9-76FD-4DE3-A62B-76B2CD36B0F3}"/>
    <cellStyle name="Normal 2 5 4 23" xfId="38273" xr:uid="{7B4C15FE-B5D7-47A1-9C2D-3A4C2666BB05}"/>
    <cellStyle name="Normal 2 5 4 24" xfId="40164" xr:uid="{8ECC85E8-82F0-467C-9CC8-623C926DEA45}"/>
    <cellStyle name="Normal 2 5 4 3" xfId="1733" xr:uid="{29CFFD06-B775-499E-AB30-BB5D69AD15B2}"/>
    <cellStyle name="Normal 2 5 4 3 10" xfId="18743" xr:uid="{D047C1D2-6B54-44C3-9097-5465DAACEFC6}"/>
    <cellStyle name="Normal 2 5 4 3 11" xfId="20633" xr:uid="{E7174CDF-F989-4256-B005-F830D96A47EC}"/>
    <cellStyle name="Normal 2 5 4 3 12" xfId="22523" xr:uid="{8472AA0D-1AE7-4F1E-BE08-965468F0E786}"/>
    <cellStyle name="Normal 2 5 4 3 13" xfId="24413" xr:uid="{6B149C97-79AF-4561-AD4C-EA923E43C87A}"/>
    <cellStyle name="Normal 2 5 4 3 14" xfId="26303" xr:uid="{75BFCE73-0B84-4B4B-B9A9-3CA7938300DC}"/>
    <cellStyle name="Normal 2 5 4 3 15" xfId="28193" xr:uid="{E97A14B5-AD21-43BC-80AE-F1F84AF0F7AB}"/>
    <cellStyle name="Normal 2 5 4 3 16" xfId="30083" xr:uid="{C71F9855-BCF2-4A79-B069-0E1BD169D992}"/>
    <cellStyle name="Normal 2 5 4 3 17" xfId="31973" xr:uid="{6F215DFF-0015-44A7-A4F3-8558E82BFB13}"/>
    <cellStyle name="Normal 2 5 4 3 18" xfId="33863" xr:uid="{0B7B72DE-52C8-443A-82A2-77D1AD64353E}"/>
    <cellStyle name="Normal 2 5 4 3 19" xfId="35753" xr:uid="{167470BB-3CD6-4C3A-BF77-81485EA2C389}"/>
    <cellStyle name="Normal 2 5 4 3 2" xfId="3623" xr:uid="{CEB51E08-7F3E-45AA-A936-FC35D09B19FB}"/>
    <cellStyle name="Normal 2 5 4 3 20" xfId="37643" xr:uid="{9A02ECD9-C01B-4481-8537-F4D9BF9055E1}"/>
    <cellStyle name="Normal 2 5 4 3 21" xfId="39533" xr:uid="{EE8766EF-5349-4B07-A8E3-8FFD2690C780}"/>
    <cellStyle name="Normal 2 5 4 3 22" xfId="41424" xr:uid="{C18B931D-EFBD-46B4-A490-71011149FB65}"/>
    <cellStyle name="Normal 2 5 4 3 3" xfId="5513" xr:uid="{496F20C4-D6C3-4AAE-9D79-7F32B79D0173}"/>
    <cellStyle name="Normal 2 5 4 3 4" xfId="7403" xr:uid="{A42FB498-3B46-464F-950C-85B8CFE47948}"/>
    <cellStyle name="Normal 2 5 4 3 5" xfId="9293" xr:uid="{3446C14B-42B6-48B7-94B3-46BE39F090C1}"/>
    <cellStyle name="Normal 2 5 4 3 6" xfId="11183" xr:uid="{8FCB3624-34A2-4914-8A42-C29C8B09DD50}"/>
    <cellStyle name="Normal 2 5 4 3 7" xfId="13073" xr:uid="{1A8A06B3-B901-469F-BCDF-C14E66CA048D}"/>
    <cellStyle name="Normal 2 5 4 3 8" xfId="14963" xr:uid="{58441E25-1AAE-4059-A99C-FD40BDEF6836}"/>
    <cellStyle name="Normal 2 5 4 3 9" xfId="16853" xr:uid="{3B612637-8A30-4CD0-8552-A889ADC0E6FD}"/>
    <cellStyle name="Normal 2 5 4 4" xfId="2363" xr:uid="{40F68D49-8267-4DE3-B94A-9876BE7BA5A6}"/>
    <cellStyle name="Normal 2 5 4 5" xfId="4253" xr:uid="{E55D26E6-F0BC-4DAC-9F9D-AF0BD2CF8EEE}"/>
    <cellStyle name="Normal 2 5 4 6" xfId="6143" xr:uid="{54B9B871-AD83-48AB-95BE-990339DBE75B}"/>
    <cellStyle name="Normal 2 5 4 7" xfId="8033" xr:uid="{3E1870AE-F086-4903-8264-A695A9EF9DDF}"/>
    <cellStyle name="Normal 2 5 4 8" xfId="9923" xr:uid="{49ADC6A1-EFD2-43ED-B9F0-533299EC2D35}"/>
    <cellStyle name="Normal 2 5 4 9" xfId="11813" xr:uid="{EC42D0E0-33BF-465C-B7B5-BB93FD6D8467}"/>
    <cellStyle name="Normal 2 5 5" xfId="683" xr:uid="{26E9B1FD-2756-42BD-872B-155EA3E77134}"/>
    <cellStyle name="Normal 2 5 5 10" xfId="17693" xr:uid="{554B6584-EA94-4F5F-8F28-743B3F74129A}"/>
    <cellStyle name="Normal 2 5 5 11" xfId="19583" xr:uid="{AA16AFE2-813F-42DE-A4EC-EB4ED2CC367F}"/>
    <cellStyle name="Normal 2 5 5 12" xfId="21473" xr:uid="{8850CFAD-F416-4FC4-9F70-307D10ED1F42}"/>
    <cellStyle name="Normal 2 5 5 13" xfId="23363" xr:uid="{5F335629-58F2-4426-9E02-FA53CB23A746}"/>
    <cellStyle name="Normal 2 5 5 14" xfId="25253" xr:uid="{28043885-481B-4C31-AAF5-5266A8F4BCB7}"/>
    <cellStyle name="Normal 2 5 5 15" xfId="27143" xr:uid="{D2DD85B4-671D-4406-81A1-0ACCD3B4F74A}"/>
    <cellStyle name="Normal 2 5 5 16" xfId="29033" xr:uid="{E0C77526-8C84-4E9A-869E-78820B486467}"/>
    <cellStyle name="Normal 2 5 5 17" xfId="30923" xr:uid="{242305F4-FA12-4C9F-B19E-E6BCBFC4DCF1}"/>
    <cellStyle name="Normal 2 5 5 18" xfId="32813" xr:uid="{D7A1D046-2BFE-49C0-8B17-F30D0517B9B4}"/>
    <cellStyle name="Normal 2 5 5 19" xfId="34703" xr:uid="{C8B8BB40-3997-41D4-A5C6-D14BAB0433BC}"/>
    <cellStyle name="Normal 2 5 5 2" xfId="2573" xr:uid="{6221BA53-6C7C-41D3-B09A-EA84C00CFA29}"/>
    <cellStyle name="Normal 2 5 5 20" xfId="36593" xr:uid="{08212EFF-2FE2-4D5B-9B4A-9B2E7EB4C0BE}"/>
    <cellStyle name="Normal 2 5 5 21" xfId="38483" xr:uid="{2F0F0871-1907-4CE5-ACBF-2BFCBC8E7E10}"/>
    <cellStyle name="Normal 2 5 5 22" xfId="40374" xr:uid="{AF5F3128-AF2C-485A-A4BA-3E2883718A36}"/>
    <cellStyle name="Normal 2 5 5 3" xfId="4463" xr:uid="{38338973-320D-4FA8-8E7C-42B37EC7D891}"/>
    <cellStyle name="Normal 2 5 5 4" xfId="6353" xr:uid="{3BEC2F22-EDE8-490E-9A71-FBF5F08908C5}"/>
    <cellStyle name="Normal 2 5 5 5" xfId="8243" xr:uid="{0CE017D2-763E-4B16-9D24-0875C5103C2F}"/>
    <cellStyle name="Normal 2 5 5 6" xfId="10133" xr:uid="{11A243EE-9E77-4D3A-A2E2-B98B8C3F89F4}"/>
    <cellStyle name="Normal 2 5 5 7" xfId="12023" xr:uid="{26497843-A885-428C-A010-5526FEA3A142}"/>
    <cellStyle name="Normal 2 5 5 8" xfId="13913" xr:uid="{54BF0F1C-96FE-4767-BEC3-2EAD677F77F8}"/>
    <cellStyle name="Normal 2 5 5 9" xfId="15803" xr:uid="{EF5F66F1-C0E1-4D78-A7F3-38C9DDAB577C}"/>
    <cellStyle name="Normal 2 5 6" xfId="1313" xr:uid="{595C1E2E-0548-4406-919D-58A0814D685C}"/>
    <cellStyle name="Normal 2 5 6 10" xfId="18323" xr:uid="{8BBBC6CD-F3D2-4710-ADB5-63031EC71694}"/>
    <cellStyle name="Normal 2 5 6 11" xfId="20213" xr:uid="{C0CC75C3-6C7C-45C6-B171-EF0D60DA8BFA}"/>
    <cellStyle name="Normal 2 5 6 12" xfId="22103" xr:uid="{450921B5-B5FD-4E26-9FB0-9EE2C26B3E44}"/>
    <cellStyle name="Normal 2 5 6 13" xfId="23993" xr:uid="{161932DE-8D23-47FD-85F5-38FC0793FC2F}"/>
    <cellStyle name="Normal 2 5 6 14" xfId="25883" xr:uid="{2789E99B-8191-4F1C-A979-94686FB7025F}"/>
    <cellStyle name="Normal 2 5 6 15" xfId="27773" xr:uid="{80F3D52C-4886-4F25-B8B3-36D991B19571}"/>
    <cellStyle name="Normal 2 5 6 16" xfId="29663" xr:uid="{F9AE1491-8531-45BB-90E6-0EAF905B4D20}"/>
    <cellStyle name="Normal 2 5 6 17" xfId="31553" xr:uid="{2B532C19-3DAF-4AEC-A8BA-EC19DB7E6202}"/>
    <cellStyle name="Normal 2 5 6 18" xfId="33443" xr:uid="{4A4C60D3-EF94-4AD3-B8FC-A7531C6C3213}"/>
    <cellStyle name="Normal 2 5 6 19" xfId="35333" xr:uid="{6FA8ACF7-32F1-41FE-93EB-9E1B6E9CF156}"/>
    <cellStyle name="Normal 2 5 6 2" xfId="3203" xr:uid="{4D417CB7-37BD-4E19-8426-175794420F46}"/>
    <cellStyle name="Normal 2 5 6 20" xfId="37223" xr:uid="{51DDAC7D-21BE-43CB-93C8-D3A820713F66}"/>
    <cellStyle name="Normal 2 5 6 21" xfId="39113" xr:uid="{15360378-54B0-48D6-8A56-6C10237BCD1D}"/>
    <cellStyle name="Normal 2 5 6 22" xfId="41004" xr:uid="{769B3883-B69E-4410-8F88-F668BF706269}"/>
    <cellStyle name="Normal 2 5 6 3" xfId="5093" xr:uid="{10FCD4D2-7004-422B-80BC-2616A5AC8A28}"/>
    <cellStyle name="Normal 2 5 6 4" xfId="6983" xr:uid="{D9244C4A-39D1-49B5-BB40-B7BE7D0835DE}"/>
    <cellStyle name="Normal 2 5 6 5" xfId="8873" xr:uid="{82C26A2E-47E9-4798-A08A-E37F89BBC4B6}"/>
    <cellStyle name="Normal 2 5 6 6" xfId="10763" xr:uid="{EF9CD0A1-B838-4EC9-95F5-84733E4D177E}"/>
    <cellStyle name="Normal 2 5 6 7" xfId="12653" xr:uid="{9432782A-C868-422A-A1EC-21ECE054B936}"/>
    <cellStyle name="Normal 2 5 6 8" xfId="14543" xr:uid="{2CFD9A4D-A3BC-49CC-9769-7E85BC2B1F5A}"/>
    <cellStyle name="Normal 2 5 6 9" xfId="16433" xr:uid="{97236C65-4BCC-44FB-8B0D-4C3422A916A4}"/>
    <cellStyle name="Normal 2 5 7" xfId="1943" xr:uid="{4282565E-FAC4-416F-AB22-273702BCA205}"/>
    <cellStyle name="Normal 2 5 8" xfId="3833" xr:uid="{0A452B53-3FA5-4DCF-A04A-D45A1A9CCBD8}"/>
    <cellStyle name="Normal 2 5 9" xfId="5723" xr:uid="{7A513FFD-80E2-49B5-9085-FF04FEA9EE7C}"/>
    <cellStyle name="Normal 2 6" xfId="40" xr:uid="{A07E00FC-3EA2-49AC-9E0A-3D848DEE29CF}"/>
    <cellStyle name="Normal 2 6 10" xfId="7622" xr:uid="{9CCD53D5-9C18-4429-AEFD-4ECC6FB1D9CF}"/>
    <cellStyle name="Normal 2 6 11" xfId="9512" xr:uid="{EF246B9D-C1FB-432E-98B8-E4814181588E}"/>
    <cellStyle name="Normal 2 6 12" xfId="11402" xr:uid="{3A05F938-D62C-4678-A8F8-BA8F1B11455E}"/>
    <cellStyle name="Normal 2 6 13" xfId="13292" xr:uid="{3794BD09-B696-41B3-AA99-8A8AB0578491}"/>
    <cellStyle name="Normal 2 6 14" xfId="15182" xr:uid="{269594BE-F55B-482D-AC3D-B21CA009DD89}"/>
    <cellStyle name="Normal 2 6 15" xfId="17072" xr:uid="{85A9DAF5-B197-4F13-80F1-3383AAE54745}"/>
    <cellStyle name="Normal 2 6 16" xfId="18962" xr:uid="{CC1A54AE-8CC9-44D5-A56E-D9C27C67754A}"/>
    <cellStyle name="Normal 2 6 17" xfId="20852" xr:uid="{5A77EBA2-6132-4606-A75D-762F4F3BAD9E}"/>
    <cellStyle name="Normal 2 6 18" xfId="22742" xr:uid="{49FF004C-188F-47E9-8B44-5E5F9FBCECEA}"/>
    <cellStyle name="Normal 2 6 19" xfId="24632" xr:uid="{50B40B69-FD8B-4FD0-AA24-0301D48E5283}"/>
    <cellStyle name="Normal 2 6 2" xfId="167" xr:uid="{5C449FD0-5835-497B-A8E0-42090331CFE9}"/>
    <cellStyle name="Normal 2 6 2 10" xfId="9617" xr:uid="{5E7050EF-EDE2-4F22-AD36-EC5B8E474A05}"/>
    <cellStyle name="Normal 2 6 2 11" xfId="11507" xr:uid="{F6C0CB07-8F7E-4639-9E69-9020E1DD1697}"/>
    <cellStyle name="Normal 2 6 2 12" xfId="13397" xr:uid="{2455AC5B-8EB7-42E2-B26E-69EB48B11754}"/>
    <cellStyle name="Normal 2 6 2 13" xfId="15287" xr:uid="{B7864007-6628-4699-9F57-3E5700446DC0}"/>
    <cellStyle name="Normal 2 6 2 14" xfId="17177" xr:uid="{56C3BB64-98E2-40CA-94CE-D244294809FE}"/>
    <cellStyle name="Normal 2 6 2 15" xfId="19067" xr:uid="{F96504C3-B6DC-4524-A0D3-B783BDAB9123}"/>
    <cellStyle name="Normal 2 6 2 16" xfId="20957" xr:uid="{1AE99B39-FFE0-4580-B1CD-B50DDE2D7CE7}"/>
    <cellStyle name="Normal 2 6 2 17" xfId="22847" xr:uid="{E0CB7CFC-BA9B-4DA6-AD03-69E359295681}"/>
    <cellStyle name="Normal 2 6 2 18" xfId="24737" xr:uid="{858D195A-DF34-4E95-B127-68726E4BE3AE}"/>
    <cellStyle name="Normal 2 6 2 19" xfId="26627" xr:uid="{E0738D8E-162D-471F-9F55-04AD4AE2F1C7}"/>
    <cellStyle name="Normal 2 6 2 2" xfId="377" xr:uid="{8FB7E338-820F-46FF-B5E6-0FB406F9C90E}"/>
    <cellStyle name="Normal 2 6 2 2 10" xfId="13607" xr:uid="{2BE73FE2-5789-4734-B830-C54121B576F5}"/>
    <cellStyle name="Normal 2 6 2 2 11" xfId="15497" xr:uid="{E3DAB534-C012-46BA-AC0C-90133F2F925E}"/>
    <cellStyle name="Normal 2 6 2 2 12" xfId="17387" xr:uid="{81B024AA-01E2-465B-9EB8-C360A31DB246}"/>
    <cellStyle name="Normal 2 6 2 2 13" xfId="19277" xr:uid="{9EAE1F20-688B-4DFE-9BB1-D73070A920C1}"/>
    <cellStyle name="Normal 2 6 2 2 14" xfId="21167" xr:uid="{64B62BD9-4041-4887-8E01-25774470DDEB}"/>
    <cellStyle name="Normal 2 6 2 2 15" xfId="23057" xr:uid="{FB4F2590-AB37-439D-BDE2-325BC40B4720}"/>
    <cellStyle name="Normal 2 6 2 2 16" xfId="24947" xr:uid="{CF049186-60E7-48AF-B716-60715009869C}"/>
    <cellStyle name="Normal 2 6 2 2 17" xfId="26837" xr:uid="{5427F5D5-7B73-48DD-8877-74C5B67E71A4}"/>
    <cellStyle name="Normal 2 6 2 2 18" xfId="28727" xr:uid="{607799C9-E585-49CB-AA46-28DA91A9D21B}"/>
    <cellStyle name="Normal 2 6 2 2 19" xfId="30617" xr:uid="{F4ABC91B-2C40-4CA5-88A1-9993424DF84A}"/>
    <cellStyle name="Normal 2 6 2 2 2" xfId="1007" xr:uid="{34943747-4443-4101-82B6-FBC931912956}"/>
    <cellStyle name="Normal 2 6 2 2 2 10" xfId="18017" xr:uid="{AEDF18A0-137B-4F67-A824-CA18CD3F1BDE}"/>
    <cellStyle name="Normal 2 6 2 2 2 11" xfId="19907" xr:uid="{08B1DAAD-A6B3-4A4F-AFD1-1F41FED55C5D}"/>
    <cellStyle name="Normal 2 6 2 2 2 12" xfId="21797" xr:uid="{E48C91EE-2D57-49C6-AB31-0BF8DF985E35}"/>
    <cellStyle name="Normal 2 6 2 2 2 13" xfId="23687" xr:uid="{B21F751E-26F2-4D4C-825C-7596F10FA598}"/>
    <cellStyle name="Normal 2 6 2 2 2 14" xfId="25577" xr:uid="{F1D5ABE2-E8B4-4D58-BC5E-D7D39A3DC8FA}"/>
    <cellStyle name="Normal 2 6 2 2 2 15" xfId="27467" xr:uid="{9558A4C7-4612-46AE-8D48-DFEB1116506E}"/>
    <cellStyle name="Normal 2 6 2 2 2 16" xfId="29357" xr:uid="{DA5A5EC1-C67A-43A9-89EB-FE136C35CB58}"/>
    <cellStyle name="Normal 2 6 2 2 2 17" xfId="31247" xr:uid="{920A2632-6DBF-4031-9D3A-E475C381B6C8}"/>
    <cellStyle name="Normal 2 6 2 2 2 18" xfId="33137" xr:uid="{111463B9-BC91-4195-B549-0C5DC1E8728D}"/>
    <cellStyle name="Normal 2 6 2 2 2 19" xfId="35027" xr:uid="{BF715586-24AE-4E6B-A550-9C3C329FE001}"/>
    <cellStyle name="Normal 2 6 2 2 2 2" xfId="2897" xr:uid="{38D25285-D24E-4F1A-A6C5-923B818DAE09}"/>
    <cellStyle name="Normal 2 6 2 2 2 20" xfId="36917" xr:uid="{6E312FA7-73B1-4572-BDB3-A4AEF5A17645}"/>
    <cellStyle name="Normal 2 6 2 2 2 21" xfId="38807" xr:uid="{B8BA8DC2-5AD2-4E55-8470-F7CE2A5CBEC0}"/>
    <cellStyle name="Normal 2 6 2 2 2 22" xfId="40698" xr:uid="{AC85775C-F6ED-4C6E-869C-9678AADB2D58}"/>
    <cellStyle name="Normal 2 6 2 2 2 3" xfId="4787" xr:uid="{6B5F4FCB-1693-4842-AD6C-401F7956113E}"/>
    <cellStyle name="Normal 2 6 2 2 2 4" xfId="6677" xr:uid="{739B75B2-BCD7-48CC-B298-7DD3E6E38436}"/>
    <cellStyle name="Normal 2 6 2 2 2 5" xfId="8567" xr:uid="{AD855319-AA8C-4734-8324-15F6CD443686}"/>
    <cellStyle name="Normal 2 6 2 2 2 6" xfId="10457" xr:uid="{ABDE220F-2B0F-4B15-B7A7-1F46966CEA9B}"/>
    <cellStyle name="Normal 2 6 2 2 2 7" xfId="12347" xr:uid="{FCAE3934-4F6B-46A6-8716-FE8A8CB72092}"/>
    <cellStyle name="Normal 2 6 2 2 2 8" xfId="14237" xr:uid="{12761B9D-776D-4790-B33E-6AF84B4208B7}"/>
    <cellStyle name="Normal 2 6 2 2 2 9" xfId="16127" xr:uid="{A0EE579F-B4ED-45CA-9183-6FD3E8CDD1B0}"/>
    <cellStyle name="Normal 2 6 2 2 20" xfId="32507" xr:uid="{BEB9F5BB-9BFB-406D-8613-A607754E32CE}"/>
    <cellStyle name="Normal 2 6 2 2 21" xfId="34397" xr:uid="{9F7421E3-E8E1-44CE-ACDC-8E8EF196C27B}"/>
    <cellStyle name="Normal 2 6 2 2 22" xfId="36287" xr:uid="{F8890695-4D45-4752-B3F3-E9F102C381F3}"/>
    <cellStyle name="Normal 2 6 2 2 23" xfId="38177" xr:uid="{74F6CBAE-1E95-4F83-A217-E7D251604847}"/>
    <cellStyle name="Normal 2 6 2 2 24" xfId="40068" xr:uid="{9874C2C0-8FFF-44AD-A1DF-FD00F342D4AC}"/>
    <cellStyle name="Normal 2 6 2 2 3" xfId="1637" xr:uid="{3EE7407F-CBD8-4C63-AE2C-6722F9BC00C2}"/>
    <cellStyle name="Normal 2 6 2 2 3 10" xfId="18647" xr:uid="{4303B497-EE78-45AE-8188-0D445924E758}"/>
    <cellStyle name="Normal 2 6 2 2 3 11" xfId="20537" xr:uid="{D6EA064A-8209-4C94-8C91-1E015A9C5529}"/>
    <cellStyle name="Normal 2 6 2 2 3 12" xfId="22427" xr:uid="{9C4DE2B5-7270-4B43-BBBD-76D9264B8F24}"/>
    <cellStyle name="Normal 2 6 2 2 3 13" xfId="24317" xr:uid="{E4D37E24-4EA8-4577-A82E-E1243F7040BB}"/>
    <cellStyle name="Normal 2 6 2 2 3 14" xfId="26207" xr:uid="{F83022D2-1A3A-44E9-AEE0-0E0B9E0FC8FD}"/>
    <cellStyle name="Normal 2 6 2 2 3 15" xfId="28097" xr:uid="{527AD345-8745-4E72-B054-A29148FEA03E}"/>
    <cellStyle name="Normal 2 6 2 2 3 16" xfId="29987" xr:uid="{FBB32897-1642-47BA-B33A-190C7CF21F66}"/>
    <cellStyle name="Normal 2 6 2 2 3 17" xfId="31877" xr:uid="{C9DB104C-41E1-4674-9A1F-E178DEAD5368}"/>
    <cellStyle name="Normal 2 6 2 2 3 18" xfId="33767" xr:uid="{C72991A7-3553-4FEC-A846-EBA8102A7B3F}"/>
    <cellStyle name="Normal 2 6 2 2 3 19" xfId="35657" xr:uid="{3DCB51F7-6E72-45E6-B5A9-0A54167D46F7}"/>
    <cellStyle name="Normal 2 6 2 2 3 2" xfId="3527" xr:uid="{AFF6C1EE-059A-4445-BD4C-894DEF8BB2FB}"/>
    <cellStyle name="Normal 2 6 2 2 3 20" xfId="37547" xr:uid="{7722A3B5-5F15-4D98-AF17-44470EA26BF9}"/>
    <cellStyle name="Normal 2 6 2 2 3 21" xfId="39437" xr:uid="{CE5575D1-F9C9-4C39-8AC1-9EDB16832491}"/>
    <cellStyle name="Normal 2 6 2 2 3 22" xfId="41328" xr:uid="{2FA1A6D8-9144-48A1-AB86-AE63F7AD0C96}"/>
    <cellStyle name="Normal 2 6 2 2 3 3" xfId="5417" xr:uid="{473FD67E-5FA6-4AA1-9BCF-D7D5CBD2271D}"/>
    <cellStyle name="Normal 2 6 2 2 3 4" xfId="7307" xr:uid="{77A5DB39-1475-44A3-A65D-59682C870694}"/>
    <cellStyle name="Normal 2 6 2 2 3 5" xfId="9197" xr:uid="{E1A3DBBC-FB6C-4CFC-A722-74030B44F811}"/>
    <cellStyle name="Normal 2 6 2 2 3 6" xfId="11087" xr:uid="{C027BD26-A064-45F9-B00C-944AB45B2AAA}"/>
    <cellStyle name="Normal 2 6 2 2 3 7" xfId="12977" xr:uid="{99354E41-851A-40B2-A66D-C821002B2FF0}"/>
    <cellStyle name="Normal 2 6 2 2 3 8" xfId="14867" xr:uid="{40178892-2E17-4BBC-8FC6-7E2181AA23CE}"/>
    <cellStyle name="Normal 2 6 2 2 3 9" xfId="16757" xr:uid="{A075582B-933A-4377-8E6C-097EF76067CB}"/>
    <cellStyle name="Normal 2 6 2 2 4" xfId="2267" xr:uid="{30A2F0A3-5CF0-4074-BF02-04B58A2E5F49}"/>
    <cellStyle name="Normal 2 6 2 2 5" xfId="4157" xr:uid="{67B4BB61-E4B5-4029-AD15-A671A22A53C9}"/>
    <cellStyle name="Normal 2 6 2 2 6" xfId="6047" xr:uid="{9D3776C5-DBAE-4B02-8394-AF4AD8D8BDD5}"/>
    <cellStyle name="Normal 2 6 2 2 7" xfId="7937" xr:uid="{A559A2B9-FF95-4144-AD8E-C27420F0F5BF}"/>
    <cellStyle name="Normal 2 6 2 2 8" xfId="9827" xr:uid="{8DA2992E-0A27-43DF-B305-B069C99B74CF}"/>
    <cellStyle name="Normal 2 6 2 2 9" xfId="11717" xr:uid="{79A4ED16-2CCC-4F5E-AF53-EB012C58001C}"/>
    <cellStyle name="Normal 2 6 2 20" xfId="28517" xr:uid="{874DB263-7A9F-4C99-9DC4-C5C9A0703692}"/>
    <cellStyle name="Normal 2 6 2 21" xfId="30407" xr:uid="{3C411E07-9028-4FC3-A3F8-6F44F456A499}"/>
    <cellStyle name="Normal 2 6 2 22" xfId="32297" xr:uid="{552B2687-6A05-4865-86AC-D228FEBD093E}"/>
    <cellStyle name="Normal 2 6 2 23" xfId="34187" xr:uid="{39A64D69-052D-495A-BA81-74F46D21D493}"/>
    <cellStyle name="Normal 2 6 2 24" xfId="36077" xr:uid="{9E2F8368-E7C5-473B-8542-79DDCB731B43}"/>
    <cellStyle name="Normal 2 6 2 25" xfId="37967" xr:uid="{17AE493E-FED4-4BA9-A5EB-93F5EA0FC63E}"/>
    <cellStyle name="Normal 2 6 2 26" xfId="39858" xr:uid="{C667B12A-C5BA-449D-8558-51086D9E82AB}"/>
    <cellStyle name="Normal 2 6 2 3" xfId="587" xr:uid="{6C4936C8-6D48-4F5B-957F-CE67F4CD2F7B}"/>
    <cellStyle name="Normal 2 6 2 3 10" xfId="13817" xr:uid="{46FF0063-ACA2-41BE-B58F-FD31597969DB}"/>
    <cellStyle name="Normal 2 6 2 3 11" xfId="15707" xr:uid="{EDF955DD-FC54-407D-A798-3FA67E94C3A7}"/>
    <cellStyle name="Normal 2 6 2 3 12" xfId="17597" xr:uid="{EE550F86-6858-4442-8A62-2F9CD7D368EB}"/>
    <cellStyle name="Normal 2 6 2 3 13" xfId="19487" xr:uid="{FED38953-3F1D-4336-9152-2514F59BEA66}"/>
    <cellStyle name="Normal 2 6 2 3 14" xfId="21377" xr:uid="{EDD82B76-5C32-4F27-8910-6E743A9A13D9}"/>
    <cellStyle name="Normal 2 6 2 3 15" xfId="23267" xr:uid="{CAE1D8C1-4958-4A0B-B42C-BBDDA6DD5361}"/>
    <cellStyle name="Normal 2 6 2 3 16" xfId="25157" xr:uid="{863D6E2B-92D0-4F0B-AA41-897B2FE49152}"/>
    <cellStyle name="Normal 2 6 2 3 17" xfId="27047" xr:uid="{A53F4CA2-5334-4E37-B26A-CE64152143E8}"/>
    <cellStyle name="Normal 2 6 2 3 18" xfId="28937" xr:uid="{2CE5C2E2-452E-4E79-A987-1CF0F61B6308}"/>
    <cellStyle name="Normal 2 6 2 3 19" xfId="30827" xr:uid="{E4676BEF-A258-4496-A65C-915F9767E673}"/>
    <cellStyle name="Normal 2 6 2 3 2" xfId="1217" xr:uid="{9FC50B01-86EC-43A8-B898-5D488A5AC7D2}"/>
    <cellStyle name="Normal 2 6 2 3 2 10" xfId="18227" xr:uid="{8F2C1092-EEDC-4CB8-B13C-0DE7EB81B90C}"/>
    <cellStyle name="Normal 2 6 2 3 2 11" xfId="20117" xr:uid="{B50954F9-2639-43E0-B23A-58CCE5CF9361}"/>
    <cellStyle name="Normal 2 6 2 3 2 12" xfId="22007" xr:uid="{A39F0906-077F-444F-94E5-2A994D36D8B0}"/>
    <cellStyle name="Normal 2 6 2 3 2 13" xfId="23897" xr:uid="{F02B503F-D0DF-4D4C-A400-C7D90DFC55E3}"/>
    <cellStyle name="Normal 2 6 2 3 2 14" xfId="25787" xr:uid="{9261D9BA-D4A6-45A2-9004-E7E046A667D5}"/>
    <cellStyle name="Normal 2 6 2 3 2 15" xfId="27677" xr:uid="{D16453B3-0456-4209-B001-A32E6858BE42}"/>
    <cellStyle name="Normal 2 6 2 3 2 16" xfId="29567" xr:uid="{B47F5184-029C-4547-B459-E22E7BEAAD80}"/>
    <cellStyle name="Normal 2 6 2 3 2 17" xfId="31457" xr:uid="{1ABC7FCD-57F1-4C7D-932B-FED8B7F6E36E}"/>
    <cellStyle name="Normal 2 6 2 3 2 18" xfId="33347" xr:uid="{128B172E-F057-464C-A924-A2878B88CA5F}"/>
    <cellStyle name="Normal 2 6 2 3 2 19" xfId="35237" xr:uid="{3A9FD5ED-C3A2-46D5-9A4C-354C97E6CF16}"/>
    <cellStyle name="Normal 2 6 2 3 2 2" xfId="3107" xr:uid="{0FD9F205-A8CA-4DAF-81D7-3907DC9F3CBA}"/>
    <cellStyle name="Normal 2 6 2 3 2 20" xfId="37127" xr:uid="{2A6A9160-40A9-4F54-B4F3-1D4AB39A4945}"/>
    <cellStyle name="Normal 2 6 2 3 2 21" xfId="39017" xr:uid="{62A4E292-549A-4E0D-90E4-D099F4218CF2}"/>
    <cellStyle name="Normal 2 6 2 3 2 22" xfId="40908" xr:uid="{75973486-C22C-46E4-987B-687DC204E76B}"/>
    <cellStyle name="Normal 2 6 2 3 2 3" xfId="4997" xr:uid="{3E42246C-3E80-4675-86D0-4BCC7A486558}"/>
    <cellStyle name="Normal 2 6 2 3 2 4" xfId="6887" xr:uid="{AA4ECFAB-7247-4E8B-9A0D-D319CBB5E15F}"/>
    <cellStyle name="Normal 2 6 2 3 2 5" xfId="8777" xr:uid="{9240F679-E0D2-4977-87DB-078DDBF7CAA1}"/>
    <cellStyle name="Normal 2 6 2 3 2 6" xfId="10667" xr:uid="{9703369C-4C64-4196-8C69-FAFFBD138CFC}"/>
    <cellStyle name="Normal 2 6 2 3 2 7" xfId="12557" xr:uid="{34A4F4D9-CA5A-4E6E-988A-7B97DF4D604B}"/>
    <cellStyle name="Normal 2 6 2 3 2 8" xfId="14447" xr:uid="{E0A79996-0E02-4F7C-8D7F-E1F5CB805042}"/>
    <cellStyle name="Normal 2 6 2 3 2 9" xfId="16337" xr:uid="{1E16F537-803A-4E33-95E1-3F4132037B3E}"/>
    <cellStyle name="Normal 2 6 2 3 20" xfId="32717" xr:uid="{EAEB24AC-BCA6-43CF-8730-ACA16065F212}"/>
    <cellStyle name="Normal 2 6 2 3 21" xfId="34607" xr:uid="{BCC704DB-2765-4DB7-8D23-B33D18FE52B7}"/>
    <cellStyle name="Normal 2 6 2 3 22" xfId="36497" xr:uid="{AD93906A-94C8-4171-978D-67A296E0626F}"/>
    <cellStyle name="Normal 2 6 2 3 23" xfId="38387" xr:uid="{160DD2C3-03C9-4E4B-A4CB-D978D2D850B4}"/>
    <cellStyle name="Normal 2 6 2 3 24" xfId="40278" xr:uid="{28428491-46A2-4E90-8B98-ED663F8A44DF}"/>
    <cellStyle name="Normal 2 6 2 3 3" xfId="1847" xr:uid="{34A24294-6535-4209-8CEB-B179C832765A}"/>
    <cellStyle name="Normal 2 6 2 3 3 10" xfId="18857" xr:uid="{99AF7D53-C4A8-42DE-8772-AAA17DD2CAAC}"/>
    <cellStyle name="Normal 2 6 2 3 3 11" xfId="20747" xr:uid="{C6824FB7-1B14-4E40-B1F0-B205F7B309A8}"/>
    <cellStyle name="Normal 2 6 2 3 3 12" xfId="22637" xr:uid="{B10C120F-6BC6-4974-B560-F62A812BA995}"/>
    <cellStyle name="Normal 2 6 2 3 3 13" xfId="24527" xr:uid="{9227248C-7DC6-4470-A80B-13C6080DC76C}"/>
    <cellStyle name="Normal 2 6 2 3 3 14" xfId="26417" xr:uid="{2E49A60B-294F-4F1C-8598-B1962B85F773}"/>
    <cellStyle name="Normal 2 6 2 3 3 15" xfId="28307" xr:uid="{D795BCBD-68A6-43BB-8CA6-6BDEBD9C3A6C}"/>
    <cellStyle name="Normal 2 6 2 3 3 16" xfId="30197" xr:uid="{E7C2D21D-BE84-4166-AB2E-DE2E015476B4}"/>
    <cellStyle name="Normal 2 6 2 3 3 17" xfId="32087" xr:uid="{AA955BBE-1795-4712-9B93-38A8BB579037}"/>
    <cellStyle name="Normal 2 6 2 3 3 18" xfId="33977" xr:uid="{DF5618E4-4814-4F2D-846A-40533BE39AA2}"/>
    <cellStyle name="Normal 2 6 2 3 3 19" xfId="35867" xr:uid="{AA90DA63-DB41-4696-A6E2-90DA7D20505D}"/>
    <cellStyle name="Normal 2 6 2 3 3 2" xfId="3737" xr:uid="{D3C1282E-E0AE-437F-AB81-5D69FDC1E412}"/>
    <cellStyle name="Normal 2 6 2 3 3 20" xfId="37757" xr:uid="{BE4D26B3-BE1C-47CE-AE3E-267BAC4B0D4D}"/>
    <cellStyle name="Normal 2 6 2 3 3 21" xfId="39647" xr:uid="{E73E30FB-44D1-464D-9291-77CCED69C74E}"/>
    <cellStyle name="Normal 2 6 2 3 3 22" xfId="41538" xr:uid="{7A3A172D-201E-4E21-8E2B-2CFCC9912203}"/>
    <cellStyle name="Normal 2 6 2 3 3 3" xfId="5627" xr:uid="{D4E3C5A5-3F72-49F6-841B-E5D7A6915F63}"/>
    <cellStyle name="Normal 2 6 2 3 3 4" xfId="7517" xr:uid="{CC14BA0A-DF02-4708-9F47-890A777A774E}"/>
    <cellStyle name="Normal 2 6 2 3 3 5" xfId="9407" xr:uid="{1A8D9BA6-139C-4814-A204-2D5A08A0D0AD}"/>
    <cellStyle name="Normal 2 6 2 3 3 6" xfId="11297" xr:uid="{9268C851-D887-4489-8E16-1C450A837520}"/>
    <cellStyle name="Normal 2 6 2 3 3 7" xfId="13187" xr:uid="{7EB17E39-ECF0-4B33-84A3-999A536C6234}"/>
    <cellStyle name="Normal 2 6 2 3 3 8" xfId="15077" xr:uid="{1B32A9A1-3EE2-4E27-91C8-EBECE5DE50A8}"/>
    <cellStyle name="Normal 2 6 2 3 3 9" xfId="16967" xr:uid="{4A98E696-BBD6-4D17-A990-9697E2589C02}"/>
    <cellStyle name="Normal 2 6 2 3 4" xfId="2477" xr:uid="{040844FE-C1FF-4DA7-84FB-44B1911BFB61}"/>
    <cellStyle name="Normal 2 6 2 3 5" xfId="4367" xr:uid="{1F248D5B-0965-4F14-9423-CD4BF39FA22A}"/>
    <cellStyle name="Normal 2 6 2 3 6" xfId="6257" xr:uid="{D4F16546-1B39-43BF-A80C-9862764D7043}"/>
    <cellStyle name="Normal 2 6 2 3 7" xfId="8147" xr:uid="{02F6E27D-FA45-45A3-8C05-11E28F90A48F}"/>
    <cellStyle name="Normal 2 6 2 3 8" xfId="10037" xr:uid="{6740C945-9EBC-46C1-BF20-6736C172BB17}"/>
    <cellStyle name="Normal 2 6 2 3 9" xfId="11927" xr:uid="{4A083250-FE1F-4526-BD37-719C6785D1C1}"/>
    <cellStyle name="Normal 2 6 2 4" xfId="797" xr:uid="{31EF383D-5ADA-46A3-A2EA-EB8194E9B2E0}"/>
    <cellStyle name="Normal 2 6 2 4 10" xfId="17807" xr:uid="{3F20702C-735A-4B72-8865-33C41E35E934}"/>
    <cellStyle name="Normal 2 6 2 4 11" xfId="19697" xr:uid="{CEF28231-8B56-4F97-BD7B-0170FCD13C31}"/>
    <cellStyle name="Normal 2 6 2 4 12" xfId="21587" xr:uid="{F9D8DD9E-6CFD-492F-9669-97CCAE09B786}"/>
    <cellStyle name="Normal 2 6 2 4 13" xfId="23477" xr:uid="{68BBF6C6-B88A-484C-9C52-00FFB239AD76}"/>
    <cellStyle name="Normal 2 6 2 4 14" xfId="25367" xr:uid="{8859ADA3-44A0-47BA-A38E-220AB993A18B}"/>
    <cellStyle name="Normal 2 6 2 4 15" xfId="27257" xr:uid="{316383D4-6AE7-4EEF-993B-4AE14EAB63E6}"/>
    <cellStyle name="Normal 2 6 2 4 16" xfId="29147" xr:uid="{1AA1E7A0-4FE9-4B8E-BDB6-45329E751ADC}"/>
    <cellStyle name="Normal 2 6 2 4 17" xfId="31037" xr:uid="{9C0E1223-6CD9-460F-8D46-D2D935660E94}"/>
    <cellStyle name="Normal 2 6 2 4 18" xfId="32927" xr:uid="{43BC8FF7-7DE9-4C80-B5F4-8E1A97454C60}"/>
    <cellStyle name="Normal 2 6 2 4 19" xfId="34817" xr:uid="{E0A41D09-8326-439F-862D-61B41C3C0EB7}"/>
    <cellStyle name="Normal 2 6 2 4 2" xfId="2687" xr:uid="{499660EB-883D-4058-9900-A7ED5F3F8FAD}"/>
    <cellStyle name="Normal 2 6 2 4 20" xfId="36707" xr:uid="{C7311BED-6A9D-4273-AFE2-9A66A87CFF26}"/>
    <cellStyle name="Normal 2 6 2 4 21" xfId="38597" xr:uid="{99773FC2-E809-4BFC-8576-C7C669BD818D}"/>
    <cellStyle name="Normal 2 6 2 4 22" xfId="40488" xr:uid="{7DD691E3-5627-4BB6-9C03-88F33D0D08DF}"/>
    <cellStyle name="Normal 2 6 2 4 3" xfId="4577" xr:uid="{95787372-A908-4E0F-B0BE-1C3C1D3F6CA1}"/>
    <cellStyle name="Normal 2 6 2 4 4" xfId="6467" xr:uid="{A16D1EBA-6005-4D94-98EB-BE4FA8E4423B}"/>
    <cellStyle name="Normal 2 6 2 4 5" xfId="8357" xr:uid="{54DD9EC5-5D0D-4B83-A41E-608E40ECDF31}"/>
    <cellStyle name="Normal 2 6 2 4 6" xfId="10247" xr:uid="{4D6EAAAD-A5BE-4BA9-87D6-78E62C45C776}"/>
    <cellStyle name="Normal 2 6 2 4 7" xfId="12137" xr:uid="{2B05101D-08EE-4205-9F62-4ACD34418953}"/>
    <cellStyle name="Normal 2 6 2 4 8" xfId="14027" xr:uid="{BFF8BFD1-1F11-4D1B-9C69-8F094F195CDF}"/>
    <cellStyle name="Normal 2 6 2 4 9" xfId="15917" xr:uid="{C5CA66A0-10AE-4044-B945-C57C3EEBE9E8}"/>
    <cellStyle name="Normal 2 6 2 5" xfId="1427" xr:uid="{FF361911-6A7F-44F3-A50D-AC9DF49E50F3}"/>
    <cellStyle name="Normal 2 6 2 5 10" xfId="18437" xr:uid="{B92FD79D-8FDE-4F89-B6BA-4ACD04D655D8}"/>
    <cellStyle name="Normal 2 6 2 5 11" xfId="20327" xr:uid="{D2A39101-9B43-49C5-8BF2-987C0B5F3B2E}"/>
    <cellStyle name="Normal 2 6 2 5 12" xfId="22217" xr:uid="{938F4779-1ECB-46DC-9D96-223758EB2EB1}"/>
    <cellStyle name="Normal 2 6 2 5 13" xfId="24107" xr:uid="{B863A76D-9CBD-4EB2-A16A-0AB9CE6BE63A}"/>
    <cellStyle name="Normal 2 6 2 5 14" xfId="25997" xr:uid="{3904AE93-3E54-43D3-A454-9EE1D6DC677A}"/>
    <cellStyle name="Normal 2 6 2 5 15" xfId="27887" xr:uid="{001712A1-C4E2-495C-B1B6-A42A6D0855E8}"/>
    <cellStyle name="Normal 2 6 2 5 16" xfId="29777" xr:uid="{A2759DB3-C758-4D56-B722-DA85ED7A1C43}"/>
    <cellStyle name="Normal 2 6 2 5 17" xfId="31667" xr:uid="{93CA05AE-92E1-4657-91DA-10C118307E8A}"/>
    <cellStyle name="Normal 2 6 2 5 18" xfId="33557" xr:uid="{82F9F42E-B81A-434C-A3E9-6F71568A6223}"/>
    <cellStyle name="Normal 2 6 2 5 19" xfId="35447" xr:uid="{290EC3AF-2CAE-4979-A55C-C6E7BB97DD89}"/>
    <cellStyle name="Normal 2 6 2 5 2" xfId="3317" xr:uid="{7C3D9592-8E11-46BA-8A6D-F551C64C83C7}"/>
    <cellStyle name="Normal 2 6 2 5 20" xfId="37337" xr:uid="{1A485F03-0AD9-4E45-9EBB-1A59512F0C59}"/>
    <cellStyle name="Normal 2 6 2 5 21" xfId="39227" xr:uid="{3D922465-D843-4175-9515-72C6F41F4FA8}"/>
    <cellStyle name="Normal 2 6 2 5 22" xfId="41118" xr:uid="{0580A9C3-28A8-40E8-93C0-90F4E8EE1B8D}"/>
    <cellStyle name="Normal 2 6 2 5 3" xfId="5207" xr:uid="{3033E22C-8635-4F57-8B7E-D522599F4653}"/>
    <cellStyle name="Normal 2 6 2 5 4" xfId="7097" xr:uid="{47E87FF4-B81D-4352-979D-88E99A14C92E}"/>
    <cellStyle name="Normal 2 6 2 5 5" xfId="8987" xr:uid="{CE20EC4F-4155-4967-A83F-A96F8C8A756D}"/>
    <cellStyle name="Normal 2 6 2 5 6" xfId="10877" xr:uid="{4EF23E1F-39F0-4CD0-A784-93293CDD9907}"/>
    <cellStyle name="Normal 2 6 2 5 7" xfId="12767" xr:uid="{C7047022-73DA-459E-93BB-5FD1113C8E31}"/>
    <cellStyle name="Normal 2 6 2 5 8" xfId="14657" xr:uid="{1C71CFB4-0D89-4DBD-9533-9B931A137ABD}"/>
    <cellStyle name="Normal 2 6 2 5 9" xfId="16547" xr:uid="{B6C1E0B4-C590-4385-A1E8-F85FBE66AC4F}"/>
    <cellStyle name="Normal 2 6 2 6" xfId="2057" xr:uid="{4C308D7C-C372-4C8B-B2A2-39DC160962B0}"/>
    <cellStyle name="Normal 2 6 2 7" xfId="3947" xr:uid="{A3468E59-7852-4C50-9848-36245D3EDC31}"/>
    <cellStyle name="Normal 2 6 2 8" xfId="5837" xr:uid="{650BE84C-FB6F-411D-9E52-86A93A7695F0}"/>
    <cellStyle name="Normal 2 6 2 9" xfId="7727" xr:uid="{8EF1A03D-BE75-435B-B94A-413FB7EEFC41}"/>
    <cellStyle name="Normal 2 6 20" xfId="26522" xr:uid="{45B65757-9FEF-42D1-B283-A5E5719E5DDB}"/>
    <cellStyle name="Normal 2 6 21" xfId="28412" xr:uid="{AE25E775-58D2-486B-9F00-05575594131E}"/>
    <cellStyle name="Normal 2 6 22" xfId="30302" xr:uid="{9C3EEA77-AF2D-4968-B009-E6374D8F1D5D}"/>
    <cellStyle name="Normal 2 6 23" xfId="32192" xr:uid="{17967B0F-1129-4850-A926-BB06EE32513F}"/>
    <cellStyle name="Normal 2 6 24" xfId="34082" xr:uid="{1E3D632E-C9C9-42BC-B5C2-BE3F62272BA0}"/>
    <cellStyle name="Normal 2 6 25" xfId="35972" xr:uid="{2E9C71D4-276C-48EA-B76B-9268329AA125}"/>
    <cellStyle name="Normal 2 6 26" xfId="37862" xr:uid="{2732C547-E407-441B-A933-733582F2A16C}"/>
    <cellStyle name="Normal 2 6 27" xfId="39753" xr:uid="{7E3AD854-194E-49F2-8349-C5C9831AD7F1}"/>
    <cellStyle name="Normal 2 6 3" xfId="272" xr:uid="{9A7B4690-A0B7-424B-A480-7ACAF1FD5EA1}"/>
    <cellStyle name="Normal 2 6 3 10" xfId="13502" xr:uid="{3BBF9D85-23CB-43D4-B7C6-F55F1425F32E}"/>
    <cellStyle name="Normal 2 6 3 11" xfId="15392" xr:uid="{69F5DC0A-AA6B-4E46-866A-076E263E6492}"/>
    <cellStyle name="Normal 2 6 3 12" xfId="17282" xr:uid="{36CFEADD-E007-4A55-8DEA-D2A017F8D9DA}"/>
    <cellStyle name="Normal 2 6 3 13" xfId="19172" xr:uid="{3BAB8B95-C159-4C4F-8F29-9D0F3F6A6681}"/>
    <cellStyle name="Normal 2 6 3 14" xfId="21062" xr:uid="{0A6F4AC0-02C0-4884-948F-B3E6AB9D5F12}"/>
    <cellStyle name="Normal 2 6 3 15" xfId="22952" xr:uid="{8232C48C-8F89-4116-8773-B0E85C849C23}"/>
    <cellStyle name="Normal 2 6 3 16" xfId="24842" xr:uid="{F0099DED-31A9-4EAF-B7A0-A4A733CA3F75}"/>
    <cellStyle name="Normal 2 6 3 17" xfId="26732" xr:uid="{0EB4AB0B-F082-42BE-98CA-DA3EF798BFCB}"/>
    <cellStyle name="Normal 2 6 3 18" xfId="28622" xr:uid="{F62CA1BF-602B-46A8-82AC-45334A96371D}"/>
    <cellStyle name="Normal 2 6 3 19" xfId="30512" xr:uid="{2CEE25CC-C378-462B-A27F-5E81766E325A}"/>
    <cellStyle name="Normal 2 6 3 2" xfId="902" xr:uid="{22CC9F14-EB71-4654-804B-D8D2046BD28A}"/>
    <cellStyle name="Normal 2 6 3 2 10" xfId="17912" xr:uid="{BD05AE39-27F3-47FD-A6A1-B7949EC25B61}"/>
    <cellStyle name="Normal 2 6 3 2 11" xfId="19802" xr:uid="{F72FE593-EB3B-49DD-B85B-85054F8B0C43}"/>
    <cellStyle name="Normal 2 6 3 2 12" xfId="21692" xr:uid="{B01E862C-C6F9-43CF-BFEA-B13B859D0673}"/>
    <cellStyle name="Normal 2 6 3 2 13" xfId="23582" xr:uid="{E6D010C3-F509-41D8-B7C3-8DD60694CABC}"/>
    <cellStyle name="Normal 2 6 3 2 14" xfId="25472" xr:uid="{0E387D23-0674-4B1C-A73B-E9B16B773DF0}"/>
    <cellStyle name="Normal 2 6 3 2 15" xfId="27362" xr:uid="{176E4AF7-C1A9-4274-92EC-1EF6BF535EB8}"/>
    <cellStyle name="Normal 2 6 3 2 16" xfId="29252" xr:uid="{AF8581EB-BACF-4B6D-9344-DA29CB7FD486}"/>
    <cellStyle name="Normal 2 6 3 2 17" xfId="31142" xr:uid="{FE12658C-5AC2-4436-AFD6-618FFFD1ECE7}"/>
    <cellStyle name="Normal 2 6 3 2 18" xfId="33032" xr:uid="{ED638FEC-D26C-439B-B4B3-7B63FF4F1A7E}"/>
    <cellStyle name="Normal 2 6 3 2 19" xfId="34922" xr:uid="{C54695A0-6CAE-496D-9B7C-2C4F5500720D}"/>
    <cellStyle name="Normal 2 6 3 2 2" xfId="2792" xr:uid="{582C4CFD-5324-42A1-8280-88E0F3E6ED8B}"/>
    <cellStyle name="Normal 2 6 3 2 20" xfId="36812" xr:uid="{314EE7E9-F212-4965-8C7A-52B4D4A94035}"/>
    <cellStyle name="Normal 2 6 3 2 21" xfId="38702" xr:uid="{E8B82B4C-E986-4C99-8E2C-CC82AFE6C19D}"/>
    <cellStyle name="Normal 2 6 3 2 22" xfId="40593" xr:uid="{2350E474-5674-4A4F-8444-39F093A7A702}"/>
    <cellStyle name="Normal 2 6 3 2 3" xfId="4682" xr:uid="{A1305244-461F-4344-8217-7EB7316038C9}"/>
    <cellStyle name="Normal 2 6 3 2 4" xfId="6572" xr:uid="{7E9E2F9D-1DF3-4127-83D8-8AFC5BE1904E}"/>
    <cellStyle name="Normal 2 6 3 2 5" xfId="8462" xr:uid="{65FAAEE2-2263-4FAB-A10D-014FB8A10E0E}"/>
    <cellStyle name="Normal 2 6 3 2 6" xfId="10352" xr:uid="{C299A91E-7C24-442F-83E4-439C4F90FAD5}"/>
    <cellStyle name="Normal 2 6 3 2 7" xfId="12242" xr:uid="{C616B063-3868-49AF-B185-CEFF89443070}"/>
    <cellStyle name="Normal 2 6 3 2 8" xfId="14132" xr:uid="{406C69AF-9A15-4A9F-831C-0131874B5C09}"/>
    <cellStyle name="Normal 2 6 3 2 9" xfId="16022" xr:uid="{73AF9833-79B4-40DD-ADBA-2D42EC08733E}"/>
    <cellStyle name="Normal 2 6 3 20" xfId="32402" xr:uid="{0CB2AB4B-D49C-470D-A830-6BD4A5CD77F1}"/>
    <cellStyle name="Normal 2 6 3 21" xfId="34292" xr:uid="{48F86991-17F7-4371-8AEE-B4B0E30B99AC}"/>
    <cellStyle name="Normal 2 6 3 22" xfId="36182" xr:uid="{4A708ABE-DB51-4C2A-9492-93FEA412E1D8}"/>
    <cellStyle name="Normal 2 6 3 23" xfId="38072" xr:uid="{A6650940-1D06-46BE-8C28-9A1970C06E79}"/>
    <cellStyle name="Normal 2 6 3 24" xfId="39963" xr:uid="{CCB2BCA3-120D-4160-9283-1FF900454F34}"/>
    <cellStyle name="Normal 2 6 3 3" xfId="1532" xr:uid="{42EB83BE-4345-4CC8-B808-06BD41F48B1B}"/>
    <cellStyle name="Normal 2 6 3 3 10" xfId="18542" xr:uid="{96BC6B4E-49A8-4459-AD9B-F24F7F20EB91}"/>
    <cellStyle name="Normal 2 6 3 3 11" xfId="20432" xr:uid="{E7AD339B-C2D4-4A59-815E-52D24E4D519D}"/>
    <cellStyle name="Normal 2 6 3 3 12" xfId="22322" xr:uid="{F70872DB-B809-475B-995C-B59484C56418}"/>
    <cellStyle name="Normal 2 6 3 3 13" xfId="24212" xr:uid="{81EE6B6D-F192-411A-A9EB-2A4B102B3A98}"/>
    <cellStyle name="Normal 2 6 3 3 14" xfId="26102" xr:uid="{F77250A3-B375-4D56-B056-1816068FF9CA}"/>
    <cellStyle name="Normal 2 6 3 3 15" xfId="27992" xr:uid="{36F2857C-5645-4125-B3BB-93FA08C39E2D}"/>
    <cellStyle name="Normal 2 6 3 3 16" xfId="29882" xr:uid="{969A81E1-E395-4EF7-B657-AF938B603A59}"/>
    <cellStyle name="Normal 2 6 3 3 17" xfId="31772" xr:uid="{2A529313-D19F-4AB2-8A51-F79853C4E227}"/>
    <cellStyle name="Normal 2 6 3 3 18" xfId="33662" xr:uid="{88A219F9-4F38-4340-9B50-155FC3F58859}"/>
    <cellStyle name="Normal 2 6 3 3 19" xfId="35552" xr:uid="{402C8B75-0157-4DF6-985E-C2CE10297553}"/>
    <cellStyle name="Normal 2 6 3 3 2" xfId="3422" xr:uid="{96AE3D8E-BDA3-42A4-973D-7B6C72033C06}"/>
    <cellStyle name="Normal 2 6 3 3 20" xfId="37442" xr:uid="{33FBC472-41C9-48B2-A4E2-BA2EF0F534F1}"/>
    <cellStyle name="Normal 2 6 3 3 21" xfId="39332" xr:uid="{4D9C1DAC-2AD1-4796-B328-0D11BA05E4D0}"/>
    <cellStyle name="Normal 2 6 3 3 22" xfId="41223" xr:uid="{8BD80F14-E5D2-40CF-BC09-838F6287D253}"/>
    <cellStyle name="Normal 2 6 3 3 3" xfId="5312" xr:uid="{F7BA8278-0552-4349-BF2E-4A25A9FFBBC1}"/>
    <cellStyle name="Normal 2 6 3 3 4" xfId="7202" xr:uid="{141AC409-0135-49E8-8104-7A5B3525676B}"/>
    <cellStyle name="Normal 2 6 3 3 5" xfId="9092" xr:uid="{4B816F62-26EB-46EA-A356-481284C6B5F1}"/>
    <cellStyle name="Normal 2 6 3 3 6" xfId="10982" xr:uid="{22EAF0D4-02FA-4BFD-986F-952B692DB93F}"/>
    <cellStyle name="Normal 2 6 3 3 7" xfId="12872" xr:uid="{7612CE48-A796-4A86-9A07-A5318C39A1DA}"/>
    <cellStyle name="Normal 2 6 3 3 8" xfId="14762" xr:uid="{8C905F50-4FAA-4DA7-90B0-D24411E2B92A}"/>
    <cellStyle name="Normal 2 6 3 3 9" xfId="16652" xr:uid="{9F0EA8EF-8C54-4D20-A384-2C55E556AF1F}"/>
    <cellStyle name="Normal 2 6 3 4" xfId="2162" xr:uid="{FCAD5B10-A7DE-4D27-A1FA-8D7DEC67056C}"/>
    <cellStyle name="Normal 2 6 3 5" xfId="4052" xr:uid="{07C1F553-D8C6-45D5-AF6B-193A3D34A8B1}"/>
    <cellStyle name="Normal 2 6 3 6" xfId="5942" xr:uid="{4B5A9481-69D7-4492-8411-321C2A3946A3}"/>
    <cellStyle name="Normal 2 6 3 7" xfId="7832" xr:uid="{4D01945C-1C25-48EE-8DE2-72CB94801930}"/>
    <cellStyle name="Normal 2 6 3 8" xfId="9722" xr:uid="{2791922B-EA8A-49C9-B933-0ACBAA3BFF80}"/>
    <cellStyle name="Normal 2 6 3 9" xfId="11612" xr:uid="{05EA60AD-A99F-4759-AF09-12913DE2AD8B}"/>
    <cellStyle name="Normal 2 6 4" xfId="482" xr:uid="{0BE3B758-30F3-4199-BF39-7BC60FFD99C6}"/>
    <cellStyle name="Normal 2 6 4 10" xfId="13712" xr:uid="{23A9312A-797D-4265-94AB-ECA0195AC318}"/>
    <cellStyle name="Normal 2 6 4 11" xfId="15602" xr:uid="{15035BA5-F2E1-4A40-87B0-B568A2981069}"/>
    <cellStyle name="Normal 2 6 4 12" xfId="17492" xr:uid="{90910C9D-9FB0-4380-BCEC-179FA52A9B92}"/>
    <cellStyle name="Normal 2 6 4 13" xfId="19382" xr:uid="{71CF4C4F-B47F-4BF1-B825-77C3B9BDCCCF}"/>
    <cellStyle name="Normal 2 6 4 14" xfId="21272" xr:uid="{4E5CFF81-A8A0-4806-B0A6-E3A8ACF8EFF4}"/>
    <cellStyle name="Normal 2 6 4 15" xfId="23162" xr:uid="{43532FFA-DA5B-48F4-B247-792CD0E8D25E}"/>
    <cellStyle name="Normal 2 6 4 16" xfId="25052" xr:uid="{A49A6413-AE25-442D-BD7A-B0708FF48156}"/>
    <cellStyle name="Normal 2 6 4 17" xfId="26942" xr:uid="{C0A906EC-6856-46D8-B8DF-1A84E3BC4849}"/>
    <cellStyle name="Normal 2 6 4 18" xfId="28832" xr:uid="{9E0D078C-2F91-4CBF-ADC0-AA05A0CEE9B0}"/>
    <cellStyle name="Normal 2 6 4 19" xfId="30722" xr:uid="{8BDB5212-3847-482A-966C-E9A719C9DBE6}"/>
    <cellStyle name="Normal 2 6 4 2" xfId="1112" xr:uid="{9F9E06C5-6741-4A85-A279-EF3A56CFCFE2}"/>
    <cellStyle name="Normal 2 6 4 2 10" xfId="18122" xr:uid="{ACFAD694-E1CE-4DDA-809A-C37F4CFE7E1C}"/>
    <cellStyle name="Normal 2 6 4 2 11" xfId="20012" xr:uid="{6C869D9E-6385-4B8B-AD86-8FCAE77BBDB1}"/>
    <cellStyle name="Normal 2 6 4 2 12" xfId="21902" xr:uid="{BBB4FA3F-C223-4FE6-AA34-2632ECD58A89}"/>
    <cellStyle name="Normal 2 6 4 2 13" xfId="23792" xr:uid="{CAC4939E-BF5C-4CF3-BD41-FA327CC54DD5}"/>
    <cellStyle name="Normal 2 6 4 2 14" xfId="25682" xr:uid="{AB42B942-ADF6-49FC-B086-F3FF8C0FF93F}"/>
    <cellStyle name="Normal 2 6 4 2 15" xfId="27572" xr:uid="{96738487-C69B-4F52-80FD-2E64483F17DB}"/>
    <cellStyle name="Normal 2 6 4 2 16" xfId="29462" xr:uid="{2797921A-8891-432B-991B-9FBFCCB4C224}"/>
    <cellStyle name="Normal 2 6 4 2 17" xfId="31352" xr:uid="{0D5A84C8-615C-476B-992F-579174B42A06}"/>
    <cellStyle name="Normal 2 6 4 2 18" xfId="33242" xr:uid="{4758ACC6-439A-4286-AE94-04038422FEB2}"/>
    <cellStyle name="Normal 2 6 4 2 19" xfId="35132" xr:uid="{23BB1E6B-D637-4F92-A84D-A06FB07DEFCC}"/>
    <cellStyle name="Normal 2 6 4 2 2" xfId="3002" xr:uid="{D71B4FA8-CAE3-4FEA-B074-9A035B0803D0}"/>
    <cellStyle name="Normal 2 6 4 2 20" xfId="37022" xr:uid="{9C5635CB-8444-4C78-9311-AE261DE1B5F0}"/>
    <cellStyle name="Normal 2 6 4 2 21" xfId="38912" xr:uid="{413134CD-D6C3-49A0-ACC9-D976D1ADCB4D}"/>
    <cellStyle name="Normal 2 6 4 2 22" xfId="40803" xr:uid="{144BE6FE-3853-4EC1-B1A3-51C9F3B954A4}"/>
    <cellStyle name="Normal 2 6 4 2 3" xfId="4892" xr:uid="{1F012F37-B5E3-45A1-9E52-60FE2E31BC32}"/>
    <cellStyle name="Normal 2 6 4 2 4" xfId="6782" xr:uid="{7F82E5ED-D31F-41E8-B6AD-EE02209CABF4}"/>
    <cellStyle name="Normal 2 6 4 2 5" xfId="8672" xr:uid="{51990C20-05E1-4C3E-A643-57E03F830E30}"/>
    <cellStyle name="Normal 2 6 4 2 6" xfId="10562" xr:uid="{F8FF29BA-C099-4E01-89BC-83AB649E73C5}"/>
    <cellStyle name="Normal 2 6 4 2 7" xfId="12452" xr:uid="{151E457F-CC79-4484-87CA-DFA10FAC8D05}"/>
    <cellStyle name="Normal 2 6 4 2 8" xfId="14342" xr:uid="{7BE9EA68-0E61-4D74-8350-00CE9D16DAFB}"/>
    <cellStyle name="Normal 2 6 4 2 9" xfId="16232" xr:uid="{1E64504F-AE47-494C-8A92-1F44ECC04C6A}"/>
    <cellStyle name="Normal 2 6 4 20" xfId="32612" xr:uid="{B61C0D75-3747-422E-A4FC-9EC40664762C}"/>
    <cellStyle name="Normal 2 6 4 21" xfId="34502" xr:uid="{395466B0-1E91-4B35-B20E-B1636026629A}"/>
    <cellStyle name="Normal 2 6 4 22" xfId="36392" xr:uid="{889FBF62-00A3-4889-8ACD-67BBE1FC97BB}"/>
    <cellStyle name="Normal 2 6 4 23" xfId="38282" xr:uid="{F4BEAF90-7418-4843-95C4-CFCE0DD38610}"/>
    <cellStyle name="Normal 2 6 4 24" xfId="40173" xr:uid="{5FCF7554-AE8B-4B0B-A6D9-DA512785A23D}"/>
    <cellStyle name="Normal 2 6 4 3" xfId="1742" xr:uid="{38BC61CE-8559-42E7-BB78-AE07E1963848}"/>
    <cellStyle name="Normal 2 6 4 3 10" xfId="18752" xr:uid="{0627B9E4-FA42-4D24-AD87-AB5BDC8889FB}"/>
    <cellStyle name="Normal 2 6 4 3 11" xfId="20642" xr:uid="{088BD983-FFD7-4B2E-B4A6-72C2785782AC}"/>
    <cellStyle name="Normal 2 6 4 3 12" xfId="22532" xr:uid="{5D6FA68B-4344-4455-A367-5A7A8E03E563}"/>
    <cellStyle name="Normal 2 6 4 3 13" xfId="24422" xr:uid="{10A9A8E1-9DC2-48AC-AAF8-C9FE4E5EEA2C}"/>
    <cellStyle name="Normal 2 6 4 3 14" xfId="26312" xr:uid="{C20CA897-BB37-41B7-A089-658AC0BF0A3E}"/>
    <cellStyle name="Normal 2 6 4 3 15" xfId="28202" xr:uid="{25FE3307-705B-4318-893B-EEF302958E8C}"/>
    <cellStyle name="Normal 2 6 4 3 16" xfId="30092" xr:uid="{01380543-0F86-45B5-A952-FF2CAE416154}"/>
    <cellStyle name="Normal 2 6 4 3 17" xfId="31982" xr:uid="{99DA92C2-6BFD-4471-AB41-8FB5DEAD03FB}"/>
    <cellStyle name="Normal 2 6 4 3 18" xfId="33872" xr:uid="{4C216BBE-191D-417E-97BA-E9A0F83C8BCA}"/>
    <cellStyle name="Normal 2 6 4 3 19" xfId="35762" xr:uid="{0827294F-F9E8-4D77-9758-A169598E99E5}"/>
    <cellStyle name="Normal 2 6 4 3 2" xfId="3632" xr:uid="{5F7981AB-5662-4AFC-B32D-85D3617E97E7}"/>
    <cellStyle name="Normal 2 6 4 3 20" xfId="37652" xr:uid="{F2294704-89C4-45BC-A5A9-AD95AB25948F}"/>
    <cellStyle name="Normal 2 6 4 3 21" xfId="39542" xr:uid="{233981D0-E3BC-4ADD-A9B4-A1DF94F48473}"/>
    <cellStyle name="Normal 2 6 4 3 22" xfId="41433" xr:uid="{FDB6B6AF-0562-41BA-8F72-C3EE7E08E2D6}"/>
    <cellStyle name="Normal 2 6 4 3 3" xfId="5522" xr:uid="{628EE927-A46E-4F23-B10C-9AAA16C9785A}"/>
    <cellStyle name="Normal 2 6 4 3 4" xfId="7412" xr:uid="{5E1BAF45-C4CE-4C0E-8DB8-FC2FE9660B9B}"/>
    <cellStyle name="Normal 2 6 4 3 5" xfId="9302" xr:uid="{AB0A0C87-3D58-45C4-A3D4-B5CFE21C31CD}"/>
    <cellStyle name="Normal 2 6 4 3 6" xfId="11192" xr:uid="{2103BAAA-C674-4CF9-AF96-51FA933DA8E5}"/>
    <cellStyle name="Normal 2 6 4 3 7" xfId="13082" xr:uid="{96317EE4-CC29-4799-A166-83CFB6CD3CD7}"/>
    <cellStyle name="Normal 2 6 4 3 8" xfId="14972" xr:uid="{F900AA43-E942-4CAA-A126-D4B2DEBC8783}"/>
    <cellStyle name="Normal 2 6 4 3 9" xfId="16862" xr:uid="{CB78D405-0C16-43BC-A965-E0F1E94FA03D}"/>
    <cellStyle name="Normal 2 6 4 4" xfId="2372" xr:uid="{E7C22397-BA74-4D73-8D37-50C5F4F8389D}"/>
    <cellStyle name="Normal 2 6 4 5" xfId="4262" xr:uid="{0BBA42B2-18BC-46BE-B607-B05FA4A8316A}"/>
    <cellStyle name="Normal 2 6 4 6" xfId="6152" xr:uid="{8B526A99-A0B1-474B-8907-7893A3245BF6}"/>
    <cellStyle name="Normal 2 6 4 7" xfId="8042" xr:uid="{13246A35-50AD-463B-B6AE-2515475BB57D}"/>
    <cellStyle name="Normal 2 6 4 8" xfId="9932" xr:uid="{E6DF4921-A208-431E-8D3F-8E214E62DD0A}"/>
    <cellStyle name="Normal 2 6 4 9" xfId="11822" xr:uid="{CA0F28E5-A9F6-4E1D-BDB2-47A95867DA08}"/>
    <cellStyle name="Normal 2 6 5" xfId="692" xr:uid="{7F717590-7211-4B0E-B2E5-8F3C07C66496}"/>
    <cellStyle name="Normal 2 6 5 10" xfId="17702" xr:uid="{A07C705B-7C5E-415C-A7E7-3022C391C82B}"/>
    <cellStyle name="Normal 2 6 5 11" xfId="19592" xr:uid="{4651A022-5F9F-41A5-B7C0-5DD66E730E93}"/>
    <cellStyle name="Normal 2 6 5 12" xfId="21482" xr:uid="{9DFE017F-FDB5-402C-B204-49D8116CF92A}"/>
    <cellStyle name="Normal 2 6 5 13" xfId="23372" xr:uid="{B68FE568-59CA-4C20-80DF-5536734FB6C7}"/>
    <cellStyle name="Normal 2 6 5 14" xfId="25262" xr:uid="{0122E5A2-F38B-4B90-8717-CF79EAB426EC}"/>
    <cellStyle name="Normal 2 6 5 15" xfId="27152" xr:uid="{02EC1EA7-E836-4900-A71F-B45CFBA1D4B9}"/>
    <cellStyle name="Normal 2 6 5 16" xfId="29042" xr:uid="{9F1C3226-637D-4705-8B3F-99E0356EC51D}"/>
    <cellStyle name="Normal 2 6 5 17" xfId="30932" xr:uid="{40082D88-5F24-4E49-AB9E-C05E1B33A579}"/>
    <cellStyle name="Normal 2 6 5 18" xfId="32822" xr:uid="{57644BA0-790B-4694-94CA-921FDBD53F49}"/>
    <cellStyle name="Normal 2 6 5 19" xfId="34712" xr:uid="{7286275C-4CCA-409D-9D88-3844E21E389A}"/>
    <cellStyle name="Normal 2 6 5 2" xfId="2582" xr:uid="{8D6F8063-CA18-4F03-AB00-67823671743C}"/>
    <cellStyle name="Normal 2 6 5 20" xfId="36602" xr:uid="{D44054A6-565D-4E21-AD6B-AF4C246FAB9D}"/>
    <cellStyle name="Normal 2 6 5 21" xfId="38492" xr:uid="{86882E68-7403-439C-AD19-CA44CC6BF1BF}"/>
    <cellStyle name="Normal 2 6 5 22" xfId="40383" xr:uid="{7E63D9FF-E19A-4E4F-8231-6F1E769C56C1}"/>
    <cellStyle name="Normal 2 6 5 3" xfId="4472" xr:uid="{3C01136B-9D44-4447-BD21-852E19296618}"/>
    <cellStyle name="Normal 2 6 5 4" xfId="6362" xr:uid="{C4F566C6-F162-454D-9828-2D49D0E9042B}"/>
    <cellStyle name="Normal 2 6 5 5" xfId="8252" xr:uid="{D6A954C8-7271-4878-9EB0-3DDB1E19F15C}"/>
    <cellStyle name="Normal 2 6 5 6" xfId="10142" xr:uid="{B298EFC7-34D7-4E49-AB56-A2A249B7CA65}"/>
    <cellStyle name="Normal 2 6 5 7" xfId="12032" xr:uid="{58F98D37-182D-421A-8358-C961187D2958}"/>
    <cellStyle name="Normal 2 6 5 8" xfId="13922" xr:uid="{0412D20C-7508-4BFA-8D2C-E96B00ABEB38}"/>
    <cellStyle name="Normal 2 6 5 9" xfId="15812" xr:uid="{AB1E169C-030C-46DA-AB52-6A816289C933}"/>
    <cellStyle name="Normal 2 6 6" xfId="1322" xr:uid="{8CE27AE1-E1AC-416C-96F6-662CA6C91CC7}"/>
    <cellStyle name="Normal 2 6 6 10" xfId="18332" xr:uid="{42681C81-60B4-4D27-BEA5-8EFA560711C4}"/>
    <cellStyle name="Normal 2 6 6 11" xfId="20222" xr:uid="{755183A9-5859-4962-A04C-83E24839721D}"/>
    <cellStyle name="Normal 2 6 6 12" xfId="22112" xr:uid="{720525CF-743B-47EB-8A57-E8279370C148}"/>
    <cellStyle name="Normal 2 6 6 13" xfId="24002" xr:uid="{6712C28A-3F47-48F5-A8DC-7D0C2D4C224F}"/>
    <cellStyle name="Normal 2 6 6 14" xfId="25892" xr:uid="{EBBAC7AC-0A42-4E30-9EF0-0DB183141C5E}"/>
    <cellStyle name="Normal 2 6 6 15" xfId="27782" xr:uid="{D0732AF3-ED81-4370-BE2A-DCF715990570}"/>
    <cellStyle name="Normal 2 6 6 16" xfId="29672" xr:uid="{734A4A04-55E1-4D64-9FBD-8BED43E331B6}"/>
    <cellStyle name="Normal 2 6 6 17" xfId="31562" xr:uid="{0EE04567-06E5-4B8E-835F-67D5090C5293}"/>
    <cellStyle name="Normal 2 6 6 18" xfId="33452" xr:uid="{5BF99BBD-BCD7-4393-97F7-97696065CF0A}"/>
    <cellStyle name="Normal 2 6 6 19" xfId="35342" xr:uid="{FDB9B3E6-18B9-4D1F-93B2-4A3F2FEA99D7}"/>
    <cellStyle name="Normal 2 6 6 2" xfId="3212" xr:uid="{8E6A9F50-6098-40DB-8328-8EAFFB61E165}"/>
    <cellStyle name="Normal 2 6 6 20" xfId="37232" xr:uid="{EAD9C0A9-E050-4331-955E-F19265C67411}"/>
    <cellStyle name="Normal 2 6 6 21" xfId="39122" xr:uid="{79B14D8D-3968-4680-BACA-032EBDBAF7DC}"/>
    <cellStyle name="Normal 2 6 6 22" xfId="41013" xr:uid="{548F6B63-6AF6-4A30-93C9-BB67A445B808}"/>
    <cellStyle name="Normal 2 6 6 3" xfId="5102" xr:uid="{E4E1DCD1-76C7-4977-A543-766D8D9E56CA}"/>
    <cellStyle name="Normal 2 6 6 4" xfId="6992" xr:uid="{22405698-D8A9-4D78-8FB6-FF1131302498}"/>
    <cellStyle name="Normal 2 6 6 5" xfId="8882" xr:uid="{D2EDDA9F-A6A7-412D-9E19-38E6AB0F3A0C}"/>
    <cellStyle name="Normal 2 6 6 6" xfId="10772" xr:uid="{BE6FE876-8642-4C00-8B3A-05625F940108}"/>
    <cellStyle name="Normal 2 6 6 7" xfId="12662" xr:uid="{361E2C6B-AC4D-4394-996E-0FE3DAC03161}"/>
    <cellStyle name="Normal 2 6 6 8" xfId="14552" xr:uid="{F187E22B-0814-4C3A-8860-24D37481DF63}"/>
    <cellStyle name="Normal 2 6 6 9" xfId="16442" xr:uid="{69AF6F14-107E-47B4-9396-DCF1716F8249}"/>
    <cellStyle name="Normal 2 6 7" xfId="1952" xr:uid="{CE4330F4-701D-4CE8-AE2A-2A23961275AC}"/>
    <cellStyle name="Normal 2 6 8" xfId="3842" xr:uid="{B396B878-C74A-4210-B1BD-955D17A339D9}"/>
    <cellStyle name="Normal 2 6 9" xfId="5732" xr:uid="{53483746-53DD-4CB9-8FAA-1FDC340F5799}"/>
    <cellStyle name="Normal 2 7" xfId="49" xr:uid="{AE00F874-BF36-4C71-AD0C-06762CAF2389}"/>
    <cellStyle name="Normal 2 7 10" xfId="7631" xr:uid="{4B5C4CBE-00D0-426C-AA8D-760370DBA492}"/>
    <cellStyle name="Normal 2 7 11" xfId="9521" xr:uid="{2872C74B-DA61-4031-9BC0-9918CAFD771D}"/>
    <cellStyle name="Normal 2 7 12" xfId="11411" xr:uid="{E7DDD3A0-31EF-43EF-81DA-EDCA5B033DFB}"/>
    <cellStyle name="Normal 2 7 13" xfId="13301" xr:uid="{1FD3001A-9153-43F0-B354-671AC951CB35}"/>
    <cellStyle name="Normal 2 7 14" xfId="15191" xr:uid="{89D5B1D2-4ECB-41B2-84CC-FCD6DDB8F6D9}"/>
    <cellStyle name="Normal 2 7 15" xfId="17081" xr:uid="{32998A69-7ED0-4901-86A9-B3A99A98384A}"/>
    <cellStyle name="Normal 2 7 16" xfId="18971" xr:uid="{2ED40196-9FDF-44E5-AD6D-E7E9F6F43F14}"/>
    <cellStyle name="Normal 2 7 17" xfId="20861" xr:uid="{DAF5439D-309A-4368-97F8-3F93CB0B8612}"/>
    <cellStyle name="Normal 2 7 18" xfId="22751" xr:uid="{80E35C53-AC04-466F-A66C-09BC72690F4C}"/>
    <cellStyle name="Normal 2 7 19" xfId="24641" xr:uid="{0CD4B723-ADE3-447F-AC81-E86F6302399E}"/>
    <cellStyle name="Normal 2 7 2" xfId="176" xr:uid="{49BF86E1-0145-4B09-8E26-23B0060A00BF}"/>
    <cellStyle name="Normal 2 7 2 10" xfId="9626" xr:uid="{A4BE305D-2A06-4D0A-99D5-18B251BFFC7F}"/>
    <cellStyle name="Normal 2 7 2 11" xfId="11516" xr:uid="{083CE9C8-A64D-438D-B026-240504A9039B}"/>
    <cellStyle name="Normal 2 7 2 12" xfId="13406" xr:uid="{76A67F9C-B449-4EDB-9843-E2C53FC73056}"/>
    <cellStyle name="Normal 2 7 2 13" xfId="15296" xr:uid="{899EE44C-7410-4199-B62E-BE2D4A67018A}"/>
    <cellStyle name="Normal 2 7 2 14" xfId="17186" xr:uid="{AF7358FB-22E7-49B8-B0C0-9C063781BEF1}"/>
    <cellStyle name="Normal 2 7 2 15" xfId="19076" xr:uid="{9AEB1554-BD6D-491F-A59F-18FABA8B6D3E}"/>
    <cellStyle name="Normal 2 7 2 16" xfId="20966" xr:uid="{07DDD485-DCF9-4B39-ADA3-74FCD3818FDE}"/>
    <cellStyle name="Normal 2 7 2 17" xfId="22856" xr:uid="{8BA68D3B-1025-464A-933D-E09B87C01488}"/>
    <cellStyle name="Normal 2 7 2 18" xfId="24746" xr:uid="{608790AB-94B5-4309-9ED6-032E912DFA83}"/>
    <cellStyle name="Normal 2 7 2 19" xfId="26636" xr:uid="{8AC23B71-512E-459E-991C-166B681B784D}"/>
    <cellStyle name="Normal 2 7 2 2" xfId="386" xr:uid="{02B20CAA-E945-4399-8645-96FC6772D89E}"/>
    <cellStyle name="Normal 2 7 2 2 10" xfId="13616" xr:uid="{C69B731B-B6A2-42B9-A8A8-D9FD676C512D}"/>
    <cellStyle name="Normal 2 7 2 2 11" xfId="15506" xr:uid="{978D6B3F-4406-48BB-BE03-BBA92F345300}"/>
    <cellStyle name="Normal 2 7 2 2 12" xfId="17396" xr:uid="{2B5543DE-533E-43DE-A5A4-1E915AD054FC}"/>
    <cellStyle name="Normal 2 7 2 2 13" xfId="19286" xr:uid="{AD42322B-BFA2-4D9B-8D9A-21907C454851}"/>
    <cellStyle name="Normal 2 7 2 2 14" xfId="21176" xr:uid="{C7F974CD-3188-40CA-8124-47B98A6B2CFA}"/>
    <cellStyle name="Normal 2 7 2 2 15" xfId="23066" xr:uid="{CDD332AF-9049-432B-95D0-AF9445F7CC94}"/>
    <cellStyle name="Normal 2 7 2 2 16" xfId="24956" xr:uid="{FFC5EF18-3B1F-43E1-B99C-FB683E44AD9B}"/>
    <cellStyle name="Normal 2 7 2 2 17" xfId="26846" xr:uid="{CBD42A15-71E0-4CF1-9F47-4DBC7CFDA211}"/>
    <cellStyle name="Normal 2 7 2 2 18" xfId="28736" xr:uid="{1CA61C1C-377E-4CEF-AC45-A64F957DB0E2}"/>
    <cellStyle name="Normal 2 7 2 2 19" xfId="30626" xr:uid="{A9B62115-52CB-40D1-8BE2-80ED8967137B}"/>
    <cellStyle name="Normal 2 7 2 2 2" xfId="1016" xr:uid="{63F0DAC3-CFA2-4B6A-A394-DE581EC5615F}"/>
    <cellStyle name="Normal 2 7 2 2 2 10" xfId="18026" xr:uid="{40DDC709-EE20-414A-BB07-F9FF78D89900}"/>
    <cellStyle name="Normal 2 7 2 2 2 11" xfId="19916" xr:uid="{21D3B8C8-4AF4-41E3-BBB9-778B6019D950}"/>
    <cellStyle name="Normal 2 7 2 2 2 12" xfId="21806" xr:uid="{2643F94D-846F-4BD4-B7BD-81A988D5F1DF}"/>
    <cellStyle name="Normal 2 7 2 2 2 13" xfId="23696" xr:uid="{6C6A541F-C304-40BE-8D90-17AFF726C30C}"/>
    <cellStyle name="Normal 2 7 2 2 2 14" xfId="25586" xr:uid="{88FC99AF-71AE-4DCC-9242-6DE409E73247}"/>
    <cellStyle name="Normal 2 7 2 2 2 15" xfId="27476" xr:uid="{A5F2F500-86A5-441F-8F45-6218B8F5AC12}"/>
    <cellStyle name="Normal 2 7 2 2 2 16" xfId="29366" xr:uid="{A696F754-DC9A-48E6-8D58-7BF936B506EA}"/>
    <cellStyle name="Normal 2 7 2 2 2 17" xfId="31256" xr:uid="{848793AE-2DE1-406C-807A-7CBC52BD859F}"/>
    <cellStyle name="Normal 2 7 2 2 2 18" xfId="33146" xr:uid="{09016CE2-D5AB-473E-8ED0-8357DC7814E2}"/>
    <cellStyle name="Normal 2 7 2 2 2 19" xfId="35036" xr:uid="{3FD6D67C-6C37-4202-BD41-E206000FD08A}"/>
    <cellStyle name="Normal 2 7 2 2 2 2" xfId="2906" xr:uid="{82E756F8-E543-4FDF-A01A-838529471825}"/>
    <cellStyle name="Normal 2 7 2 2 2 20" xfId="36926" xr:uid="{7B2771A5-58AA-484B-9B67-A427006981F2}"/>
    <cellStyle name="Normal 2 7 2 2 2 21" xfId="38816" xr:uid="{65816BD4-2864-4B3D-A589-A90841BFE91F}"/>
    <cellStyle name="Normal 2 7 2 2 2 22" xfId="40707" xr:uid="{ADA0FE13-C51F-477D-986F-91AA44D84E40}"/>
    <cellStyle name="Normal 2 7 2 2 2 3" xfId="4796" xr:uid="{40582765-9016-4C9B-9F28-F513C78F727B}"/>
    <cellStyle name="Normal 2 7 2 2 2 4" xfId="6686" xr:uid="{D5FFACCF-BEBF-46A9-854A-23A342644BBD}"/>
    <cellStyle name="Normal 2 7 2 2 2 5" xfId="8576" xr:uid="{D247C234-3B66-4339-88D1-9FA17A5BD8E1}"/>
    <cellStyle name="Normal 2 7 2 2 2 6" xfId="10466" xr:uid="{26246C86-7E48-4B4E-826F-13A9F722E3B7}"/>
    <cellStyle name="Normal 2 7 2 2 2 7" xfId="12356" xr:uid="{F9F6C37F-6317-4B95-B7D6-7984EFF4143E}"/>
    <cellStyle name="Normal 2 7 2 2 2 8" xfId="14246" xr:uid="{F591581C-02EF-435A-9CB7-8C5A3B3EEE1C}"/>
    <cellStyle name="Normal 2 7 2 2 2 9" xfId="16136" xr:uid="{8569E617-4A9F-4966-A0BE-BCC881FC9101}"/>
    <cellStyle name="Normal 2 7 2 2 20" xfId="32516" xr:uid="{F4DC8641-A7EA-4943-A4D5-1F6BE2196248}"/>
    <cellStyle name="Normal 2 7 2 2 21" xfId="34406" xr:uid="{C3216B80-A250-4D46-85FB-96CFD781AECD}"/>
    <cellStyle name="Normal 2 7 2 2 22" xfId="36296" xr:uid="{32C185F3-EF94-4111-82CB-5D8E01405871}"/>
    <cellStyle name="Normal 2 7 2 2 23" xfId="38186" xr:uid="{421C1D13-6E44-472F-A585-72DD3CC71C26}"/>
    <cellStyle name="Normal 2 7 2 2 24" xfId="40077" xr:uid="{13E8E699-79D4-487C-807A-05C6C569B14A}"/>
    <cellStyle name="Normal 2 7 2 2 3" xfId="1646" xr:uid="{9E4BD0D1-373D-4B09-A2E7-DCFB52087FEF}"/>
    <cellStyle name="Normal 2 7 2 2 3 10" xfId="18656" xr:uid="{93079DCA-B2A2-49BD-9FE7-2B7D8973088F}"/>
    <cellStyle name="Normal 2 7 2 2 3 11" xfId="20546" xr:uid="{85B471A2-02C8-4FAE-BF85-294D1043FCCE}"/>
    <cellStyle name="Normal 2 7 2 2 3 12" xfId="22436" xr:uid="{EEC0DBFC-CB9D-4B3D-8587-44D2E57BFACB}"/>
    <cellStyle name="Normal 2 7 2 2 3 13" xfId="24326" xr:uid="{383D8560-3BDE-4390-A114-459A9D73D7D6}"/>
    <cellStyle name="Normal 2 7 2 2 3 14" xfId="26216" xr:uid="{6C5837F3-1FA5-4041-BCBA-6E4C2D2D6530}"/>
    <cellStyle name="Normal 2 7 2 2 3 15" xfId="28106" xr:uid="{B0CF7099-E1C8-4619-ABCE-183BC1A65A24}"/>
    <cellStyle name="Normal 2 7 2 2 3 16" xfId="29996" xr:uid="{32CF2BA7-BF62-452B-8808-B20CB34352EB}"/>
    <cellStyle name="Normal 2 7 2 2 3 17" xfId="31886" xr:uid="{CF74C454-8385-488E-A948-7126AE5C5791}"/>
    <cellStyle name="Normal 2 7 2 2 3 18" xfId="33776" xr:uid="{CAE591D4-622E-43BE-92B9-BC4BFBF9506D}"/>
    <cellStyle name="Normal 2 7 2 2 3 19" xfId="35666" xr:uid="{9023D443-B801-442B-A905-BBE9099CD5D1}"/>
    <cellStyle name="Normal 2 7 2 2 3 2" xfId="3536" xr:uid="{BFEC0F28-D8D5-441B-A0B5-BBAC60164142}"/>
    <cellStyle name="Normal 2 7 2 2 3 20" xfId="37556" xr:uid="{7F6762F8-E42F-4DA5-A637-EC7B5E260194}"/>
    <cellStyle name="Normal 2 7 2 2 3 21" xfId="39446" xr:uid="{4D90BF48-BA00-4805-A633-AB1EFC347C9D}"/>
    <cellStyle name="Normal 2 7 2 2 3 22" xfId="41337" xr:uid="{9C0BA3E7-EBBF-4920-9AA1-5A46D877CFF8}"/>
    <cellStyle name="Normal 2 7 2 2 3 3" xfId="5426" xr:uid="{C1C78E22-59DA-4D22-912F-5369EFA5F25A}"/>
    <cellStyle name="Normal 2 7 2 2 3 4" xfId="7316" xr:uid="{29226D01-0C15-44EE-A3EA-F6B9E1F7840E}"/>
    <cellStyle name="Normal 2 7 2 2 3 5" xfId="9206" xr:uid="{E6FC0446-625A-4713-B2A1-A090889A1BAD}"/>
    <cellStyle name="Normal 2 7 2 2 3 6" xfId="11096" xr:uid="{B5E6C0DF-C21F-4F21-BBC1-1D8CBA7D33C8}"/>
    <cellStyle name="Normal 2 7 2 2 3 7" xfId="12986" xr:uid="{7D3FAE47-3AA2-4183-97AE-7191D0E7DA9E}"/>
    <cellStyle name="Normal 2 7 2 2 3 8" xfId="14876" xr:uid="{41407D52-CFE6-4F0A-91FE-42D218E9D2B9}"/>
    <cellStyle name="Normal 2 7 2 2 3 9" xfId="16766" xr:uid="{C73D12D4-2091-4CA6-86E9-442BD6042496}"/>
    <cellStyle name="Normal 2 7 2 2 4" xfId="2276" xr:uid="{91EEE76C-C9EC-40C2-AA9D-19AC9D8EBE2D}"/>
    <cellStyle name="Normal 2 7 2 2 5" xfId="4166" xr:uid="{82054834-4B55-4A12-9774-2AB2DC992CB9}"/>
    <cellStyle name="Normal 2 7 2 2 6" xfId="6056" xr:uid="{80A4F053-5040-465B-97F9-610447B6EC5B}"/>
    <cellStyle name="Normal 2 7 2 2 7" xfId="7946" xr:uid="{2B0CE478-BEFE-4C7A-BA94-613C8A3109D9}"/>
    <cellStyle name="Normal 2 7 2 2 8" xfId="9836" xr:uid="{3792CBE6-778F-4E47-96AA-D2A1D527F0BE}"/>
    <cellStyle name="Normal 2 7 2 2 9" xfId="11726" xr:uid="{15F01305-C381-4FDE-9623-D3DC8D2555A5}"/>
    <cellStyle name="Normal 2 7 2 20" xfId="28526" xr:uid="{896C9256-B510-43D6-8C85-C0FA36D466FB}"/>
    <cellStyle name="Normal 2 7 2 21" xfId="30416" xr:uid="{DC19909A-F390-43C1-AB16-6190BC6B8656}"/>
    <cellStyle name="Normal 2 7 2 22" xfId="32306" xr:uid="{D57B5C39-7F77-4C97-96D6-F5B4A1F4B24B}"/>
    <cellStyle name="Normal 2 7 2 23" xfId="34196" xr:uid="{33386516-D9D0-4F08-960E-C5CC0062AE8E}"/>
    <cellStyle name="Normal 2 7 2 24" xfId="36086" xr:uid="{575BFFC0-D1C2-4271-A18E-8FB5B7721D83}"/>
    <cellStyle name="Normal 2 7 2 25" xfId="37976" xr:uid="{55E433AF-D600-4335-A37A-17C062300FD0}"/>
    <cellStyle name="Normal 2 7 2 26" xfId="39867" xr:uid="{B73BE1F1-9430-4CED-BD68-9274F647B759}"/>
    <cellStyle name="Normal 2 7 2 3" xfId="596" xr:uid="{86EEB1BA-7D19-4D4F-85F5-EDEB107BAAE0}"/>
    <cellStyle name="Normal 2 7 2 3 10" xfId="13826" xr:uid="{F036DDB8-28F8-4F77-996B-B31882B8EAEC}"/>
    <cellStyle name="Normal 2 7 2 3 11" xfId="15716" xr:uid="{AA5BF59A-4EC5-4294-81CB-993826EEBA98}"/>
    <cellStyle name="Normal 2 7 2 3 12" xfId="17606" xr:uid="{DB2E23C1-03AA-4DEF-8024-3FDF8FBF2E03}"/>
    <cellStyle name="Normal 2 7 2 3 13" xfId="19496" xr:uid="{B5BFE883-5097-4B56-BFBB-96814912291C}"/>
    <cellStyle name="Normal 2 7 2 3 14" xfId="21386" xr:uid="{C536A80B-C9A6-4D34-9345-E93852E69DE1}"/>
    <cellStyle name="Normal 2 7 2 3 15" xfId="23276" xr:uid="{DA75B54C-2AC8-4A3B-906D-F574591C17AA}"/>
    <cellStyle name="Normal 2 7 2 3 16" xfId="25166" xr:uid="{E3D22E8D-D8B0-41BD-918F-86F43217DB54}"/>
    <cellStyle name="Normal 2 7 2 3 17" xfId="27056" xr:uid="{44CD20BC-B854-4A0C-B8F3-A8EB92E6E939}"/>
    <cellStyle name="Normal 2 7 2 3 18" xfId="28946" xr:uid="{80016D34-A588-4CB4-9C08-38858A81421F}"/>
    <cellStyle name="Normal 2 7 2 3 19" xfId="30836" xr:uid="{6B062097-E456-4769-AF28-FB5157B18FF0}"/>
    <cellStyle name="Normal 2 7 2 3 2" xfId="1226" xr:uid="{B4B9411E-6232-43DD-9D0B-4EB76C449FEA}"/>
    <cellStyle name="Normal 2 7 2 3 2 10" xfId="18236" xr:uid="{E7DD007D-5267-4C11-9A5C-D48E131A59E7}"/>
    <cellStyle name="Normal 2 7 2 3 2 11" xfId="20126" xr:uid="{FE353A50-1983-4C16-96AE-FC4816EC24D2}"/>
    <cellStyle name="Normal 2 7 2 3 2 12" xfId="22016" xr:uid="{23885DB1-F182-4A35-868D-F771F09F6570}"/>
    <cellStyle name="Normal 2 7 2 3 2 13" xfId="23906" xr:uid="{C0F0B69B-1FB2-4824-B1E3-6B6FF673DEED}"/>
    <cellStyle name="Normal 2 7 2 3 2 14" xfId="25796" xr:uid="{3F5F82A7-8D6C-481C-BFEB-013BB056840F}"/>
    <cellStyle name="Normal 2 7 2 3 2 15" xfId="27686" xr:uid="{392ECFCD-CA28-4AEF-8A77-E8EC2A77A32A}"/>
    <cellStyle name="Normal 2 7 2 3 2 16" xfId="29576" xr:uid="{BA8FBE27-5D6A-4311-960A-F2C6B7A7E2C6}"/>
    <cellStyle name="Normal 2 7 2 3 2 17" xfId="31466" xr:uid="{746E82E2-9353-44A1-A71D-9050E01A3DDB}"/>
    <cellStyle name="Normal 2 7 2 3 2 18" xfId="33356" xr:uid="{B7320E15-0545-4B04-8134-70C000B1DD95}"/>
    <cellStyle name="Normal 2 7 2 3 2 19" xfId="35246" xr:uid="{94E4D57B-0E3C-4327-BF72-CE5E84067B49}"/>
    <cellStyle name="Normal 2 7 2 3 2 2" xfId="3116" xr:uid="{8CC1F1A7-246B-41C2-AA0A-356923A2519F}"/>
    <cellStyle name="Normal 2 7 2 3 2 20" xfId="37136" xr:uid="{D341FBFC-9036-40DD-8313-BD417862C2C0}"/>
    <cellStyle name="Normal 2 7 2 3 2 21" xfId="39026" xr:uid="{298D5F48-0DE2-4AF6-9082-21F213927E87}"/>
    <cellStyle name="Normal 2 7 2 3 2 22" xfId="40917" xr:uid="{8519CBA5-84A8-4AC4-B9CF-3E59F42CBD8A}"/>
    <cellStyle name="Normal 2 7 2 3 2 3" xfId="5006" xr:uid="{8E07D47D-71DD-4402-9B0D-FAAD58056C1F}"/>
    <cellStyle name="Normal 2 7 2 3 2 4" xfId="6896" xr:uid="{A84F3001-AA84-4756-BD1D-1FFB17F0B6A2}"/>
    <cellStyle name="Normal 2 7 2 3 2 5" xfId="8786" xr:uid="{77B1B981-B070-4AC7-9170-D2EF5F8D695C}"/>
    <cellStyle name="Normal 2 7 2 3 2 6" xfId="10676" xr:uid="{09F6BE28-2C01-4ED0-B366-FDFEF075BE47}"/>
    <cellStyle name="Normal 2 7 2 3 2 7" xfId="12566" xr:uid="{BE63EFBB-EAA3-42A6-A154-0B3B37BAD9A7}"/>
    <cellStyle name="Normal 2 7 2 3 2 8" xfId="14456" xr:uid="{4D7C0545-95B3-4AFC-B26D-50B63E70DEA4}"/>
    <cellStyle name="Normal 2 7 2 3 2 9" xfId="16346" xr:uid="{AFF37C50-0BBA-40A6-B1EE-47947F2338F4}"/>
    <cellStyle name="Normal 2 7 2 3 20" xfId="32726" xr:uid="{5F3AA280-7D08-4C40-AC6E-8EB0EF4604D4}"/>
    <cellStyle name="Normal 2 7 2 3 21" xfId="34616" xr:uid="{3ACB333E-4D57-4690-BC44-97D295ED86E4}"/>
    <cellStyle name="Normal 2 7 2 3 22" xfId="36506" xr:uid="{CC9AA201-148B-4A31-9953-83BA822E2C35}"/>
    <cellStyle name="Normal 2 7 2 3 23" xfId="38396" xr:uid="{D04A739B-1A90-41A3-B389-FDA96DB528F3}"/>
    <cellStyle name="Normal 2 7 2 3 24" xfId="40287" xr:uid="{0171DA9A-8204-4B83-9E8E-42C1FD756110}"/>
    <cellStyle name="Normal 2 7 2 3 3" xfId="1856" xr:uid="{B5ECDE06-58F5-4F92-A267-45739BAE2258}"/>
    <cellStyle name="Normal 2 7 2 3 3 10" xfId="18866" xr:uid="{52B6CC40-12BE-4CFB-97DE-D71FCB54DCA2}"/>
    <cellStyle name="Normal 2 7 2 3 3 11" xfId="20756" xr:uid="{56DDEC93-0069-464B-BDDB-9C7998103D3C}"/>
    <cellStyle name="Normal 2 7 2 3 3 12" xfId="22646" xr:uid="{41E3DD2F-A360-4DC8-B87E-DB86CFA1FADF}"/>
    <cellStyle name="Normal 2 7 2 3 3 13" xfId="24536" xr:uid="{DAA7C45C-8DBF-4279-988B-858DB7C2EDE2}"/>
    <cellStyle name="Normal 2 7 2 3 3 14" xfId="26426" xr:uid="{6F4186C1-61EB-4962-ABC8-7B9A3A2DB72A}"/>
    <cellStyle name="Normal 2 7 2 3 3 15" xfId="28316" xr:uid="{27892321-CDF0-461D-B225-017B80191492}"/>
    <cellStyle name="Normal 2 7 2 3 3 16" xfId="30206" xr:uid="{D5D82324-051A-4A52-A605-421AB4FB60F1}"/>
    <cellStyle name="Normal 2 7 2 3 3 17" xfId="32096" xr:uid="{E5BB7543-2632-4AA4-90DB-5092E6779345}"/>
    <cellStyle name="Normal 2 7 2 3 3 18" xfId="33986" xr:uid="{DA947AA3-0CEA-4563-AC37-0AF03C408EEE}"/>
    <cellStyle name="Normal 2 7 2 3 3 19" xfId="35876" xr:uid="{90CD78BE-241A-4093-AE12-C0A26839AF31}"/>
    <cellStyle name="Normal 2 7 2 3 3 2" xfId="3746" xr:uid="{5D684D35-DCF1-4528-A99D-EA66B6C16006}"/>
    <cellStyle name="Normal 2 7 2 3 3 20" xfId="37766" xr:uid="{93EDCEA1-AD92-4ED5-867C-C4398CE1AC06}"/>
    <cellStyle name="Normal 2 7 2 3 3 21" xfId="39656" xr:uid="{590E002D-6716-47B8-8004-099A17C92C3A}"/>
    <cellStyle name="Normal 2 7 2 3 3 22" xfId="41547" xr:uid="{6E9003EA-852F-48E0-BB9C-58F5A526AC13}"/>
    <cellStyle name="Normal 2 7 2 3 3 3" xfId="5636" xr:uid="{56B24C14-5D06-4393-9E08-C89326069EAD}"/>
    <cellStyle name="Normal 2 7 2 3 3 4" xfId="7526" xr:uid="{2514D241-4DCD-4CE3-AB1E-8D629286F034}"/>
    <cellStyle name="Normal 2 7 2 3 3 5" xfId="9416" xr:uid="{7F34E0C6-A9BB-4491-87F7-1DD414013604}"/>
    <cellStyle name="Normal 2 7 2 3 3 6" xfId="11306" xr:uid="{844B4B2D-CE24-4069-A59B-646BDC98A8FB}"/>
    <cellStyle name="Normal 2 7 2 3 3 7" xfId="13196" xr:uid="{3AFD3DA4-B8A9-45ED-9CE4-B697B30E52FD}"/>
    <cellStyle name="Normal 2 7 2 3 3 8" xfId="15086" xr:uid="{DA0E0513-F491-45BB-B283-8E06C8DD951A}"/>
    <cellStyle name="Normal 2 7 2 3 3 9" xfId="16976" xr:uid="{38425A34-00E5-4C88-9237-5169F69A0C1C}"/>
    <cellStyle name="Normal 2 7 2 3 4" xfId="2486" xr:uid="{CA252E90-BA79-4C4A-BBC2-1764C97D84D3}"/>
    <cellStyle name="Normal 2 7 2 3 5" xfId="4376" xr:uid="{65589EAD-D008-47E1-AAC0-77B215C4BC72}"/>
    <cellStyle name="Normal 2 7 2 3 6" xfId="6266" xr:uid="{DE47409F-F380-45C5-81D2-3811CDEA676F}"/>
    <cellStyle name="Normal 2 7 2 3 7" xfId="8156" xr:uid="{1E3219D4-3B49-4FF0-A837-9227AC4F3649}"/>
    <cellStyle name="Normal 2 7 2 3 8" xfId="10046" xr:uid="{3BB592E9-891A-4016-975B-122C16AEFD22}"/>
    <cellStyle name="Normal 2 7 2 3 9" xfId="11936" xr:uid="{A7669AF4-8060-42E6-B02B-BE49A0F01724}"/>
    <cellStyle name="Normal 2 7 2 4" xfId="806" xr:uid="{ECD29296-C459-4A3F-9B8F-4A2D8C7EE93E}"/>
    <cellStyle name="Normal 2 7 2 4 10" xfId="17816" xr:uid="{E011D34E-3734-47FA-A98F-134CE8AAEEA1}"/>
    <cellStyle name="Normal 2 7 2 4 11" xfId="19706" xr:uid="{5263B6E6-AD68-46C8-BA32-6240EF5AF595}"/>
    <cellStyle name="Normal 2 7 2 4 12" xfId="21596" xr:uid="{1B1C03D3-E831-476E-A7FF-06E5027EA24F}"/>
    <cellStyle name="Normal 2 7 2 4 13" xfId="23486" xr:uid="{FCD605C6-6DBB-4708-9271-918F15C06EF7}"/>
    <cellStyle name="Normal 2 7 2 4 14" xfId="25376" xr:uid="{69B66894-2C49-4C31-A523-DED6CD7EC0C8}"/>
    <cellStyle name="Normal 2 7 2 4 15" xfId="27266" xr:uid="{42A15706-E92F-46A4-9691-06C3D2E1FED1}"/>
    <cellStyle name="Normal 2 7 2 4 16" xfId="29156" xr:uid="{F558E50A-8F04-46F0-8D57-DD941ACB8950}"/>
    <cellStyle name="Normal 2 7 2 4 17" xfId="31046" xr:uid="{09E46976-57F4-44B9-930A-2BB3AA538F56}"/>
    <cellStyle name="Normal 2 7 2 4 18" xfId="32936" xr:uid="{859AED0A-F47F-4FCF-BC39-72E021FDA094}"/>
    <cellStyle name="Normal 2 7 2 4 19" xfId="34826" xr:uid="{058AA0C5-5C43-4338-AC1C-9335AC32C1C5}"/>
    <cellStyle name="Normal 2 7 2 4 2" xfId="2696" xr:uid="{F659E26B-E718-4DE2-BE81-3B980AED7CE9}"/>
    <cellStyle name="Normal 2 7 2 4 20" xfId="36716" xr:uid="{C2950349-2E9B-47E8-828E-84D0FB48366A}"/>
    <cellStyle name="Normal 2 7 2 4 21" xfId="38606" xr:uid="{6E9ADA05-A50E-4361-B8CA-8B4EC75DAEF3}"/>
    <cellStyle name="Normal 2 7 2 4 22" xfId="40497" xr:uid="{B44BA8B7-58CB-4CAE-8A34-5F9FAA7CEE88}"/>
    <cellStyle name="Normal 2 7 2 4 3" xfId="4586" xr:uid="{682EC2FB-BC6F-4D66-B35B-FF83EB3FFA1E}"/>
    <cellStyle name="Normal 2 7 2 4 4" xfId="6476" xr:uid="{C099B168-12A2-4E8B-A31D-AC6178C43966}"/>
    <cellStyle name="Normal 2 7 2 4 5" xfId="8366" xr:uid="{F4D9DDD7-D2EE-4B6B-9F13-13DA15DED5CF}"/>
    <cellStyle name="Normal 2 7 2 4 6" xfId="10256" xr:uid="{17DD3D6E-6520-4038-B34F-0D05E143DB81}"/>
    <cellStyle name="Normal 2 7 2 4 7" xfId="12146" xr:uid="{87E47324-3C5A-40C6-BEB9-6946D09CD38B}"/>
    <cellStyle name="Normal 2 7 2 4 8" xfId="14036" xr:uid="{BCA4C71C-CCA7-4E49-AFE0-20DA9E617DAE}"/>
    <cellStyle name="Normal 2 7 2 4 9" xfId="15926" xr:uid="{313CC26A-BA1C-48C7-B480-BAC6E189833E}"/>
    <cellStyle name="Normal 2 7 2 5" xfId="1436" xr:uid="{0E6CF021-E60F-4049-8AAF-E40332A29898}"/>
    <cellStyle name="Normal 2 7 2 5 10" xfId="18446" xr:uid="{D2321B02-606C-4835-8482-22CF1ADE905F}"/>
    <cellStyle name="Normal 2 7 2 5 11" xfId="20336" xr:uid="{3127DC10-17B0-4F49-A6EA-DC9847128F70}"/>
    <cellStyle name="Normal 2 7 2 5 12" xfId="22226" xr:uid="{288DBA0D-5394-4E59-AAFF-5C4DFAE61838}"/>
    <cellStyle name="Normal 2 7 2 5 13" xfId="24116" xr:uid="{ECF9B93F-5FF2-4BCE-B8E5-795C3173880E}"/>
    <cellStyle name="Normal 2 7 2 5 14" xfId="26006" xr:uid="{6CFBB547-D7C9-450F-84F3-A1ED4291E16C}"/>
    <cellStyle name="Normal 2 7 2 5 15" xfId="27896" xr:uid="{1943E998-339D-4366-9390-B689DBBF7319}"/>
    <cellStyle name="Normal 2 7 2 5 16" xfId="29786" xr:uid="{06DB207B-B030-417C-9C33-FE83AEAC560C}"/>
    <cellStyle name="Normal 2 7 2 5 17" xfId="31676" xr:uid="{2E3F3493-B2AC-4DCF-8C40-6D4828030458}"/>
    <cellStyle name="Normal 2 7 2 5 18" xfId="33566" xr:uid="{789D69B2-89FF-44D2-816D-0F09D4935963}"/>
    <cellStyle name="Normal 2 7 2 5 19" xfId="35456" xr:uid="{18499580-2FE6-4FFF-A784-0E592DA263D3}"/>
    <cellStyle name="Normal 2 7 2 5 2" xfId="3326" xr:uid="{02F781CB-B196-4B8D-9CAB-0325A7990766}"/>
    <cellStyle name="Normal 2 7 2 5 20" xfId="37346" xr:uid="{8D410C3B-C5C8-43AA-AFA7-7C73EA93EA3F}"/>
    <cellStyle name="Normal 2 7 2 5 21" xfId="39236" xr:uid="{8DAE1216-2F96-475B-B152-73E116561915}"/>
    <cellStyle name="Normal 2 7 2 5 22" xfId="41127" xr:uid="{3DAACAC9-6383-4384-9D3A-C289C3996D1A}"/>
    <cellStyle name="Normal 2 7 2 5 3" xfId="5216" xr:uid="{32D6E2C4-93D0-4AA5-A714-2F07D88EC912}"/>
    <cellStyle name="Normal 2 7 2 5 4" xfId="7106" xr:uid="{E1564E29-F553-4FC9-B988-50A669B18DAD}"/>
    <cellStyle name="Normal 2 7 2 5 5" xfId="8996" xr:uid="{34092D39-D520-4BD4-9DB0-32AC8365E3C0}"/>
    <cellStyle name="Normal 2 7 2 5 6" xfId="10886" xr:uid="{CC138F40-35EE-4493-BEE3-4A1D14E39893}"/>
    <cellStyle name="Normal 2 7 2 5 7" xfId="12776" xr:uid="{B02A0011-B83E-4440-8B55-19E73D4F1AF1}"/>
    <cellStyle name="Normal 2 7 2 5 8" xfId="14666" xr:uid="{5E5C98D5-1023-46B9-832F-DA54FEC7DEF2}"/>
    <cellStyle name="Normal 2 7 2 5 9" xfId="16556" xr:uid="{B39BB6D6-B699-42C4-8BAF-1ABA3D3B317D}"/>
    <cellStyle name="Normal 2 7 2 6" xfId="2066" xr:uid="{8AAE5D43-23CF-4862-8E58-514A9170ADF5}"/>
    <cellStyle name="Normal 2 7 2 7" xfId="3956" xr:uid="{769A1219-7BA8-464B-BDD5-FE4B2FEE6712}"/>
    <cellStyle name="Normal 2 7 2 8" xfId="5846" xr:uid="{BA2205BB-0A60-4451-AF8F-AE36D6B0F568}"/>
    <cellStyle name="Normal 2 7 2 9" xfId="7736" xr:uid="{2DDBB0A2-255E-4351-A8F9-F1CA9CC4DFBE}"/>
    <cellStyle name="Normal 2 7 20" xfId="26531" xr:uid="{DE2B329D-FBE4-4CAC-8F20-70630088AD72}"/>
    <cellStyle name="Normal 2 7 21" xfId="28421" xr:uid="{C17A0607-FAF5-4257-9F2B-C328FBAE5CF9}"/>
    <cellStyle name="Normal 2 7 22" xfId="30311" xr:uid="{000AD338-7CAF-4C17-96DA-1C65FBD51E12}"/>
    <cellStyle name="Normal 2 7 23" xfId="32201" xr:uid="{E1C409EC-5B7F-48B8-AE43-28678E1208A5}"/>
    <cellStyle name="Normal 2 7 24" xfId="34091" xr:uid="{87F3A2F9-9365-4CB8-9C6B-B3D232B83005}"/>
    <cellStyle name="Normal 2 7 25" xfId="35981" xr:uid="{8F9BA970-076C-46D8-96C5-306681202B71}"/>
    <cellStyle name="Normal 2 7 26" xfId="37871" xr:uid="{FC463F6A-8269-4F52-B2E8-501FC32CBA30}"/>
    <cellStyle name="Normal 2 7 27" xfId="39762" xr:uid="{8B200333-01E3-4490-B13F-7586A6A8B56B}"/>
    <cellStyle name="Normal 2 7 3" xfId="281" xr:uid="{110AE165-6F94-4A7D-AD35-A31294D0DB59}"/>
    <cellStyle name="Normal 2 7 3 10" xfId="13511" xr:uid="{D2F0AD67-AC99-4D34-9664-1262894CBAE5}"/>
    <cellStyle name="Normal 2 7 3 11" xfId="15401" xr:uid="{4112BBE1-81F3-48E7-B2BD-C1E39B97DF73}"/>
    <cellStyle name="Normal 2 7 3 12" xfId="17291" xr:uid="{C44E9C80-C4D7-4927-9F3F-0DD882B9F5A5}"/>
    <cellStyle name="Normal 2 7 3 13" xfId="19181" xr:uid="{B37FB6D5-8B4B-47C5-BDAB-09F164AA5C02}"/>
    <cellStyle name="Normal 2 7 3 14" xfId="21071" xr:uid="{6EB002FF-41CF-4D7C-9A9F-BDB2C7E947E0}"/>
    <cellStyle name="Normal 2 7 3 15" xfId="22961" xr:uid="{C2A03BD0-2018-44D1-AF35-D74703ABC084}"/>
    <cellStyle name="Normal 2 7 3 16" xfId="24851" xr:uid="{13733F83-890F-4559-AE81-CC1D8D7929EC}"/>
    <cellStyle name="Normal 2 7 3 17" xfId="26741" xr:uid="{C6493536-EA2B-49B3-9E64-350DE6108B60}"/>
    <cellStyle name="Normal 2 7 3 18" xfId="28631" xr:uid="{0C097525-F1C5-45A5-B5A7-F8E21326D19C}"/>
    <cellStyle name="Normal 2 7 3 19" xfId="30521" xr:uid="{75836253-D7FA-4087-95B2-15ED238B9394}"/>
    <cellStyle name="Normal 2 7 3 2" xfId="911" xr:uid="{43075D44-9EE2-4E0C-8267-AAFA67673EF5}"/>
    <cellStyle name="Normal 2 7 3 2 10" xfId="17921" xr:uid="{8A00986E-CADE-414C-96F6-3633D79B72EE}"/>
    <cellStyle name="Normal 2 7 3 2 11" xfId="19811" xr:uid="{6C4A3C7B-2865-4E61-805D-B60F8F8B148F}"/>
    <cellStyle name="Normal 2 7 3 2 12" xfId="21701" xr:uid="{48DBF278-5BA6-44B1-94FC-4A2487E74842}"/>
    <cellStyle name="Normal 2 7 3 2 13" xfId="23591" xr:uid="{3ABBD62D-BCBC-49B4-B01D-89F89567E1C1}"/>
    <cellStyle name="Normal 2 7 3 2 14" xfId="25481" xr:uid="{A9ACF2C3-E003-4939-A018-2FE701052067}"/>
    <cellStyle name="Normal 2 7 3 2 15" xfId="27371" xr:uid="{4A9B5537-DF61-47E9-95AC-DE01304038D2}"/>
    <cellStyle name="Normal 2 7 3 2 16" xfId="29261" xr:uid="{03DB46EA-1E54-46AC-92F1-2CC50B843F2B}"/>
    <cellStyle name="Normal 2 7 3 2 17" xfId="31151" xr:uid="{C141D096-19ED-4C96-B243-930D18CE6098}"/>
    <cellStyle name="Normal 2 7 3 2 18" xfId="33041" xr:uid="{D93E0B4F-21F5-4156-8712-FD06C333296C}"/>
    <cellStyle name="Normal 2 7 3 2 19" xfId="34931" xr:uid="{4ABA6AEF-B4B6-43AE-8B32-D19BE765A5B7}"/>
    <cellStyle name="Normal 2 7 3 2 2" xfId="2801" xr:uid="{FC37F60B-DF32-4464-A2B0-17CCF1B94704}"/>
    <cellStyle name="Normal 2 7 3 2 20" xfId="36821" xr:uid="{4B4721B5-6FFC-4BC5-89A3-A5DB8BA9D308}"/>
    <cellStyle name="Normal 2 7 3 2 21" xfId="38711" xr:uid="{A8DFF859-23C8-4DF0-85D7-2B41A56DABA7}"/>
    <cellStyle name="Normal 2 7 3 2 22" xfId="40602" xr:uid="{7E3CD23A-98A0-41CC-81D7-D7B267CBB3DF}"/>
    <cellStyle name="Normal 2 7 3 2 3" xfId="4691" xr:uid="{CB819570-4256-45CF-8A89-FFB079A50245}"/>
    <cellStyle name="Normal 2 7 3 2 4" xfId="6581" xr:uid="{6C631691-E5CB-4240-AF54-4A7A751599FB}"/>
    <cellStyle name="Normal 2 7 3 2 5" xfId="8471" xr:uid="{0504C207-97AA-45C7-9C1B-492014387D9C}"/>
    <cellStyle name="Normal 2 7 3 2 6" xfId="10361" xr:uid="{3073840F-EB8F-4648-AFAB-892B6F48C886}"/>
    <cellStyle name="Normal 2 7 3 2 7" xfId="12251" xr:uid="{6065EF1E-A209-44B3-99B5-EA856A7F4704}"/>
    <cellStyle name="Normal 2 7 3 2 8" xfId="14141" xr:uid="{9D77D2DF-DD49-4518-BC55-0F591D2C977F}"/>
    <cellStyle name="Normal 2 7 3 2 9" xfId="16031" xr:uid="{56ABB646-9A58-4058-9122-4832ABCA134F}"/>
    <cellStyle name="Normal 2 7 3 20" xfId="32411" xr:uid="{27758C29-8838-47E0-BC73-1A42BF11D402}"/>
    <cellStyle name="Normal 2 7 3 21" xfId="34301" xr:uid="{D36AED69-2B48-4179-8ED7-A891DF08368E}"/>
    <cellStyle name="Normal 2 7 3 22" xfId="36191" xr:uid="{76264F3F-0E13-4AC5-9E86-44A6880F129E}"/>
    <cellStyle name="Normal 2 7 3 23" xfId="38081" xr:uid="{8F157316-F2A3-4B4E-882E-4D133C041CA5}"/>
    <cellStyle name="Normal 2 7 3 24" xfId="39972" xr:uid="{AA20D255-4F49-45E2-8922-8542077DAA67}"/>
    <cellStyle name="Normal 2 7 3 3" xfId="1541" xr:uid="{44B78C17-E43D-4903-B644-78C46AC281F2}"/>
    <cellStyle name="Normal 2 7 3 3 10" xfId="18551" xr:uid="{63E4F34B-1AC7-4D1A-928A-4B91BBB527DB}"/>
    <cellStyle name="Normal 2 7 3 3 11" xfId="20441" xr:uid="{6BB6962A-C1A8-4017-8CD5-1F13647C0BE5}"/>
    <cellStyle name="Normal 2 7 3 3 12" xfId="22331" xr:uid="{4C61FC26-9C0C-4364-A434-346B496EB311}"/>
    <cellStyle name="Normal 2 7 3 3 13" xfId="24221" xr:uid="{BE457B3A-E9CE-475B-8D8B-E96244927CF7}"/>
    <cellStyle name="Normal 2 7 3 3 14" xfId="26111" xr:uid="{46578AD0-B08F-4ECE-B20C-31F4A15B7FEE}"/>
    <cellStyle name="Normal 2 7 3 3 15" xfId="28001" xr:uid="{D3F95846-81AD-4882-BCBC-BFBA4A54727C}"/>
    <cellStyle name="Normal 2 7 3 3 16" xfId="29891" xr:uid="{7C4F6719-CB69-49E4-9F6B-075F05700D8D}"/>
    <cellStyle name="Normal 2 7 3 3 17" xfId="31781" xr:uid="{9059484E-F7A7-4258-B4F4-93253EC3A1F6}"/>
    <cellStyle name="Normal 2 7 3 3 18" xfId="33671" xr:uid="{7BBF18D1-A430-4F2E-B515-E8E3719ACAC7}"/>
    <cellStyle name="Normal 2 7 3 3 19" xfId="35561" xr:uid="{24889688-F203-4975-9CA5-C51570DACBDE}"/>
    <cellStyle name="Normal 2 7 3 3 2" xfId="3431" xr:uid="{02D963EA-A3D2-490B-9E16-75ADA69AF764}"/>
    <cellStyle name="Normal 2 7 3 3 20" xfId="37451" xr:uid="{8E8E23E2-8D10-49C4-8C86-0C0280E2B687}"/>
    <cellStyle name="Normal 2 7 3 3 21" xfId="39341" xr:uid="{D3EAF538-BC37-4794-883A-62A797576CB6}"/>
    <cellStyle name="Normal 2 7 3 3 22" xfId="41232" xr:uid="{C78F81CB-C199-4B23-8FBC-5BDD0C498477}"/>
    <cellStyle name="Normal 2 7 3 3 3" xfId="5321" xr:uid="{B5A5DC93-08D4-436A-BB81-B87D2E53AAAF}"/>
    <cellStyle name="Normal 2 7 3 3 4" xfId="7211" xr:uid="{479773B6-11BD-4DF8-A30E-0278110A3F5F}"/>
    <cellStyle name="Normal 2 7 3 3 5" xfId="9101" xr:uid="{137831C2-F4AE-4A93-9295-17B43CDDCECE}"/>
    <cellStyle name="Normal 2 7 3 3 6" xfId="10991" xr:uid="{1CF368CB-FA9F-4143-9A4F-268C038FC207}"/>
    <cellStyle name="Normal 2 7 3 3 7" xfId="12881" xr:uid="{A8342C31-1877-4D3E-BAA2-F0ED188D0A07}"/>
    <cellStyle name="Normal 2 7 3 3 8" xfId="14771" xr:uid="{C317C004-A61C-4428-AE72-6A6A3929118D}"/>
    <cellStyle name="Normal 2 7 3 3 9" xfId="16661" xr:uid="{D9CBDD99-6BA1-4E6F-A885-3CEF3AACCF6C}"/>
    <cellStyle name="Normal 2 7 3 4" xfId="2171" xr:uid="{9114BF15-F22B-415C-B3B1-FF4952116246}"/>
    <cellStyle name="Normal 2 7 3 5" xfId="4061" xr:uid="{C9DCD4FE-2B14-4758-8B05-15185BEE5313}"/>
    <cellStyle name="Normal 2 7 3 6" xfId="5951" xr:uid="{DADE1A62-D96B-4CC1-8DE8-28EDFE37209B}"/>
    <cellStyle name="Normal 2 7 3 7" xfId="7841" xr:uid="{0C8D5F95-47A6-4C11-8585-071093B8D978}"/>
    <cellStyle name="Normal 2 7 3 8" xfId="9731" xr:uid="{A52DEABB-77A4-4C99-8A6A-CA37CC17E1AD}"/>
    <cellStyle name="Normal 2 7 3 9" xfId="11621" xr:uid="{1BBAE0E0-640F-4DC2-B328-6812732238B3}"/>
    <cellStyle name="Normal 2 7 4" xfId="491" xr:uid="{05682A67-82BC-4DFF-A1B3-3AD1E76E66A2}"/>
    <cellStyle name="Normal 2 7 4 10" xfId="13721" xr:uid="{6FFEABA4-5913-469B-9F79-29CF0DE6A7B6}"/>
    <cellStyle name="Normal 2 7 4 11" xfId="15611" xr:uid="{5D45FEF9-38DA-464E-813E-D575CC3DE18E}"/>
    <cellStyle name="Normal 2 7 4 12" xfId="17501" xr:uid="{F62B05CA-4B5A-4178-94CD-F88E1A87B79E}"/>
    <cellStyle name="Normal 2 7 4 13" xfId="19391" xr:uid="{B6384C33-83A9-4FAB-A80F-D5FEC6B7907E}"/>
    <cellStyle name="Normal 2 7 4 14" xfId="21281" xr:uid="{44475AE6-06E6-4645-9786-1D0914FCF94B}"/>
    <cellStyle name="Normal 2 7 4 15" xfId="23171" xr:uid="{84CC4625-1D74-42AD-A004-093426EC36D4}"/>
    <cellStyle name="Normal 2 7 4 16" xfId="25061" xr:uid="{6628C63C-29DD-4D8B-B477-15EF215B829F}"/>
    <cellStyle name="Normal 2 7 4 17" xfId="26951" xr:uid="{ECDDB9C8-DF92-4477-888C-950B4CBD6458}"/>
    <cellStyle name="Normal 2 7 4 18" xfId="28841" xr:uid="{0568A7FC-CA36-4ABE-9210-EDA5CE2BF1C6}"/>
    <cellStyle name="Normal 2 7 4 19" xfId="30731" xr:uid="{3A8EA038-4A99-4190-82F3-9BB1A31F1D56}"/>
    <cellStyle name="Normal 2 7 4 2" xfId="1121" xr:uid="{CFB0B3CB-D4FE-40A7-9833-C288DD3A7360}"/>
    <cellStyle name="Normal 2 7 4 2 10" xfId="18131" xr:uid="{482208B8-01E7-491A-A52F-C00BD5C6F2BB}"/>
    <cellStyle name="Normal 2 7 4 2 11" xfId="20021" xr:uid="{BF2650C6-5C61-402F-B73B-574BD03A33D3}"/>
    <cellStyle name="Normal 2 7 4 2 12" xfId="21911" xr:uid="{907DAD59-DAA2-4F67-9279-F874CC37B42D}"/>
    <cellStyle name="Normal 2 7 4 2 13" xfId="23801" xr:uid="{8DCD8046-FE6D-4279-B2F4-09E290E10B03}"/>
    <cellStyle name="Normal 2 7 4 2 14" xfId="25691" xr:uid="{FCA3D820-7941-40AE-830D-9A94201BDD03}"/>
    <cellStyle name="Normal 2 7 4 2 15" xfId="27581" xr:uid="{93C31841-1801-4FE3-A710-35DD75F91890}"/>
    <cellStyle name="Normal 2 7 4 2 16" xfId="29471" xr:uid="{A2D7998B-72FD-40D9-8F64-3EA9AE5096FF}"/>
    <cellStyle name="Normal 2 7 4 2 17" xfId="31361" xr:uid="{5CA84A35-F480-4F6B-B7EB-792735ADD1C6}"/>
    <cellStyle name="Normal 2 7 4 2 18" xfId="33251" xr:uid="{3E7344BE-6288-4ADB-9795-99DC8576D9F0}"/>
    <cellStyle name="Normal 2 7 4 2 19" xfId="35141" xr:uid="{BCD1B1B9-EC57-40A3-BFB7-0D27F62D5108}"/>
    <cellStyle name="Normal 2 7 4 2 2" xfId="3011" xr:uid="{83E982B3-59A8-40F5-BA3B-72F0BB19B3DC}"/>
    <cellStyle name="Normal 2 7 4 2 20" xfId="37031" xr:uid="{DBFFF350-C6F0-4A75-949A-3F961611EF65}"/>
    <cellStyle name="Normal 2 7 4 2 21" xfId="38921" xr:uid="{16D81612-CCDE-4B22-BF63-8D4F9097C2C4}"/>
    <cellStyle name="Normal 2 7 4 2 22" xfId="40812" xr:uid="{619BACAC-598A-4E78-B624-8F12DB34A906}"/>
    <cellStyle name="Normal 2 7 4 2 3" xfId="4901" xr:uid="{22E25023-E154-4F49-8819-04248B260A3F}"/>
    <cellStyle name="Normal 2 7 4 2 4" xfId="6791" xr:uid="{08F54F6E-CBBF-4604-9C6E-E5374642CBE3}"/>
    <cellStyle name="Normal 2 7 4 2 5" xfId="8681" xr:uid="{ADD11AED-1E0F-4F19-B312-4678E7ED922C}"/>
    <cellStyle name="Normal 2 7 4 2 6" xfId="10571" xr:uid="{C7D4F69C-C332-4427-A966-F329A23FDC3D}"/>
    <cellStyle name="Normal 2 7 4 2 7" xfId="12461" xr:uid="{099980F3-F0BE-40CA-9AFC-2BE44121D5AA}"/>
    <cellStyle name="Normal 2 7 4 2 8" xfId="14351" xr:uid="{74C34BC8-9897-4BE8-8756-E06315295A9E}"/>
    <cellStyle name="Normal 2 7 4 2 9" xfId="16241" xr:uid="{9FFDF7E8-F19D-4F2E-AC36-15C73E330C98}"/>
    <cellStyle name="Normal 2 7 4 20" xfId="32621" xr:uid="{8C052DE8-9B23-4109-A318-665840E6D700}"/>
    <cellStyle name="Normal 2 7 4 21" xfId="34511" xr:uid="{5FDD19AC-A056-46AD-835B-D25119F655E1}"/>
    <cellStyle name="Normal 2 7 4 22" xfId="36401" xr:uid="{D3DA60DA-29B6-4AF5-B110-9DD26E318217}"/>
    <cellStyle name="Normal 2 7 4 23" xfId="38291" xr:uid="{45EA1456-3FFC-45EE-A38F-B530D6B6E64D}"/>
    <cellStyle name="Normal 2 7 4 24" xfId="40182" xr:uid="{5687D2DE-AF91-448E-831D-EE95BE5F715B}"/>
    <cellStyle name="Normal 2 7 4 3" xfId="1751" xr:uid="{7ECB0267-8583-43EE-A118-6E2D4E5008E0}"/>
    <cellStyle name="Normal 2 7 4 3 10" xfId="18761" xr:uid="{2A843A5A-1989-462C-9842-9E04FFF22BAA}"/>
    <cellStyle name="Normal 2 7 4 3 11" xfId="20651" xr:uid="{58BE2391-91C9-4E4E-8C8F-EA0DD8FB87A6}"/>
    <cellStyle name="Normal 2 7 4 3 12" xfId="22541" xr:uid="{A02A4FA9-34B2-48AD-9044-84CF61B9D4FC}"/>
    <cellStyle name="Normal 2 7 4 3 13" xfId="24431" xr:uid="{9B4E6E2E-F019-4DF8-BB39-34365EDBF0C1}"/>
    <cellStyle name="Normal 2 7 4 3 14" xfId="26321" xr:uid="{168A83D5-3F42-46C4-97DC-2E22D7B529CB}"/>
    <cellStyle name="Normal 2 7 4 3 15" xfId="28211" xr:uid="{8E23F55D-4CA7-488C-96EE-6C9F110A72CF}"/>
    <cellStyle name="Normal 2 7 4 3 16" xfId="30101" xr:uid="{822CEC00-A4A0-47A6-AC99-154FA6C38F38}"/>
    <cellStyle name="Normal 2 7 4 3 17" xfId="31991" xr:uid="{8DC7C73E-5F82-4D48-B251-A0C5A4241DA6}"/>
    <cellStyle name="Normal 2 7 4 3 18" xfId="33881" xr:uid="{15B384BC-7D6E-4B79-9FD4-1CE030150BFD}"/>
    <cellStyle name="Normal 2 7 4 3 19" xfId="35771" xr:uid="{0EF4C146-1110-488B-B9D5-98612ADF6B87}"/>
    <cellStyle name="Normal 2 7 4 3 2" xfId="3641" xr:uid="{FAD5B9B4-AB3E-4315-8DBC-CC72DC6122BD}"/>
    <cellStyle name="Normal 2 7 4 3 20" xfId="37661" xr:uid="{3EA3C14A-A707-4280-8241-E46E7D5AE840}"/>
    <cellStyle name="Normal 2 7 4 3 21" xfId="39551" xr:uid="{07229A28-4AAB-43AF-8888-5980383A58BB}"/>
    <cellStyle name="Normal 2 7 4 3 22" xfId="41442" xr:uid="{895597C5-5435-4DDF-861B-81AF68962723}"/>
    <cellStyle name="Normal 2 7 4 3 3" xfId="5531" xr:uid="{7AC87A39-361E-4E63-8809-0B8C5D7AFC96}"/>
    <cellStyle name="Normal 2 7 4 3 4" xfId="7421" xr:uid="{AA65C5FC-2F27-4D57-8235-C5B65434D5DA}"/>
    <cellStyle name="Normal 2 7 4 3 5" xfId="9311" xr:uid="{F78A4A1E-3F9E-46D2-88F7-47872F3A28D2}"/>
    <cellStyle name="Normal 2 7 4 3 6" xfId="11201" xr:uid="{5B9CDB7A-A3B5-48B4-B58D-AF5E54E70731}"/>
    <cellStyle name="Normal 2 7 4 3 7" xfId="13091" xr:uid="{F9C25158-6D45-4CE2-8FC1-0B66D2BEA3C8}"/>
    <cellStyle name="Normal 2 7 4 3 8" xfId="14981" xr:uid="{1439F193-8057-477E-8829-C2627AA70D30}"/>
    <cellStyle name="Normal 2 7 4 3 9" xfId="16871" xr:uid="{C1535021-ED0C-42D9-A61B-6D8BC0E32701}"/>
    <cellStyle name="Normal 2 7 4 4" xfId="2381" xr:uid="{8885F913-1673-48DC-AF06-DE24A79E5015}"/>
    <cellStyle name="Normal 2 7 4 5" xfId="4271" xr:uid="{0E8F14AE-F02E-4CE5-84E1-9E66C129CE68}"/>
    <cellStyle name="Normal 2 7 4 6" xfId="6161" xr:uid="{40D0BFB9-41FA-4778-BE7C-17C195F5F843}"/>
    <cellStyle name="Normal 2 7 4 7" xfId="8051" xr:uid="{2920DE90-E8A4-48AD-A02C-55C6786681E9}"/>
    <cellStyle name="Normal 2 7 4 8" xfId="9941" xr:uid="{58E3171B-111D-4F3B-819A-4F69362A14CB}"/>
    <cellStyle name="Normal 2 7 4 9" xfId="11831" xr:uid="{BFBC14F0-2956-499E-B5C3-51D355081A91}"/>
    <cellStyle name="Normal 2 7 5" xfId="701" xr:uid="{773D4582-66F9-42A5-87C2-FA7BF637049B}"/>
    <cellStyle name="Normal 2 7 5 10" xfId="17711" xr:uid="{720156AE-25C4-4C3B-9B82-A2AF2CCAA018}"/>
    <cellStyle name="Normal 2 7 5 11" xfId="19601" xr:uid="{DBF1877E-CFCE-48AB-B498-02C8E4B7AD9C}"/>
    <cellStyle name="Normal 2 7 5 12" xfId="21491" xr:uid="{E712D399-500B-4B55-8324-F807BB89E71E}"/>
    <cellStyle name="Normal 2 7 5 13" xfId="23381" xr:uid="{00232ABE-2FBB-456E-81A8-9CB2033B2304}"/>
    <cellStyle name="Normal 2 7 5 14" xfId="25271" xr:uid="{A6801D74-698F-4F1A-B8AC-211E75AF9D42}"/>
    <cellStyle name="Normal 2 7 5 15" xfId="27161" xr:uid="{7FC3C056-1DDD-4B8B-8507-ACA5C61ADA8C}"/>
    <cellStyle name="Normal 2 7 5 16" xfId="29051" xr:uid="{7268A315-5A20-4EA5-B412-DED00A9CB0A0}"/>
    <cellStyle name="Normal 2 7 5 17" xfId="30941" xr:uid="{24D77B0B-6CDD-4183-8396-95C6728AD95E}"/>
    <cellStyle name="Normal 2 7 5 18" xfId="32831" xr:uid="{AC4A2BC8-763D-4B5B-8EDC-D5BC1B074DA5}"/>
    <cellStyle name="Normal 2 7 5 19" xfId="34721" xr:uid="{DF78D07B-36E4-4FB8-BB03-9E8C27740902}"/>
    <cellStyle name="Normal 2 7 5 2" xfId="2591" xr:uid="{8A52D138-7107-4679-9D0D-7CBE5A824473}"/>
    <cellStyle name="Normal 2 7 5 20" xfId="36611" xr:uid="{D04EE127-1F51-4E63-B804-51F7F5C5DFEB}"/>
    <cellStyle name="Normal 2 7 5 21" xfId="38501" xr:uid="{694F79F1-1EAB-403C-855A-712802540475}"/>
    <cellStyle name="Normal 2 7 5 22" xfId="40392" xr:uid="{B019034B-12A2-4FDF-AFBB-6F0BBF22CDCE}"/>
    <cellStyle name="Normal 2 7 5 3" xfId="4481" xr:uid="{4B6A7418-5CB9-413C-A8DC-29B1A8C4D4AE}"/>
    <cellStyle name="Normal 2 7 5 4" xfId="6371" xr:uid="{08B01491-80C5-4997-AC8B-677F00482A13}"/>
    <cellStyle name="Normal 2 7 5 5" xfId="8261" xr:uid="{9DC66806-7D11-4D74-A787-B1712AAA5544}"/>
    <cellStyle name="Normal 2 7 5 6" xfId="10151" xr:uid="{04EA042A-04FA-41CD-827E-4DB7356ED4CF}"/>
    <cellStyle name="Normal 2 7 5 7" xfId="12041" xr:uid="{05A7CF60-B7FC-4458-A184-2EE5BA68C521}"/>
    <cellStyle name="Normal 2 7 5 8" xfId="13931" xr:uid="{4940A3D4-197B-4FAE-BDE5-5EA2300A46C2}"/>
    <cellStyle name="Normal 2 7 5 9" xfId="15821" xr:uid="{CA47CCD5-55EA-4C99-8E1F-A418725CC575}"/>
    <cellStyle name="Normal 2 7 6" xfId="1331" xr:uid="{56152ED8-46DF-4EC2-9F14-FDAC7C7558A7}"/>
    <cellStyle name="Normal 2 7 6 10" xfId="18341" xr:uid="{E282D5AA-976A-41E5-AE06-87B3E06C8A3C}"/>
    <cellStyle name="Normal 2 7 6 11" xfId="20231" xr:uid="{3C7F6907-0B15-4994-8557-71D804FD2705}"/>
    <cellStyle name="Normal 2 7 6 12" xfId="22121" xr:uid="{53496A26-742A-44C0-9D83-B4036155FCB7}"/>
    <cellStyle name="Normal 2 7 6 13" xfId="24011" xr:uid="{D5589AEB-1F84-4F0B-A939-4B199E637B98}"/>
    <cellStyle name="Normal 2 7 6 14" xfId="25901" xr:uid="{53F5EC3A-DAF1-45C7-B3AC-DE590C59CCFA}"/>
    <cellStyle name="Normal 2 7 6 15" xfId="27791" xr:uid="{F690273A-2627-43DC-8505-F8E074D8967F}"/>
    <cellStyle name="Normal 2 7 6 16" xfId="29681" xr:uid="{5333370A-D6FB-4A82-AC2C-011470561087}"/>
    <cellStyle name="Normal 2 7 6 17" xfId="31571" xr:uid="{2B94EA8D-70DA-4AD6-84B2-7513393508F3}"/>
    <cellStyle name="Normal 2 7 6 18" xfId="33461" xr:uid="{9CA0898D-C17D-4903-96F3-126FA1C8F6F3}"/>
    <cellStyle name="Normal 2 7 6 19" xfId="35351" xr:uid="{A74CC70C-F738-432E-8E72-B05D25543505}"/>
    <cellStyle name="Normal 2 7 6 2" xfId="3221" xr:uid="{97D054A0-7A21-4504-89BA-A7900E992FE8}"/>
    <cellStyle name="Normal 2 7 6 20" xfId="37241" xr:uid="{C56D429F-23A0-4318-A2CC-F7F272CEE181}"/>
    <cellStyle name="Normal 2 7 6 21" xfId="39131" xr:uid="{E1475781-E0C6-49B6-AF92-8819F119D7C5}"/>
    <cellStyle name="Normal 2 7 6 22" xfId="41022" xr:uid="{70F1002F-3ADD-46D1-9D20-9E73D3DC2426}"/>
    <cellStyle name="Normal 2 7 6 3" xfId="5111" xr:uid="{C31262E4-0FBC-45EF-9A55-D8D0488E5A1D}"/>
    <cellStyle name="Normal 2 7 6 4" xfId="7001" xr:uid="{85124065-BAB7-4B40-9D88-A8185475DE00}"/>
    <cellStyle name="Normal 2 7 6 5" xfId="8891" xr:uid="{CC9F90CB-D701-4EA3-97FE-6008F232D0BF}"/>
    <cellStyle name="Normal 2 7 6 6" xfId="10781" xr:uid="{AEE86AF0-01F2-4D7B-9AB3-2B6F22B161AD}"/>
    <cellStyle name="Normal 2 7 6 7" xfId="12671" xr:uid="{07825132-2F21-4056-AEDE-ED08D57E2792}"/>
    <cellStyle name="Normal 2 7 6 8" xfId="14561" xr:uid="{446DB4ED-0546-49A6-B743-B4CA2FA91B90}"/>
    <cellStyle name="Normal 2 7 6 9" xfId="16451" xr:uid="{4874B42E-2D6D-48AA-B0AE-5FA820DA647A}"/>
    <cellStyle name="Normal 2 7 7" xfId="1961" xr:uid="{D473941E-513B-4FB6-9BEE-D02D4D1ED522}"/>
    <cellStyle name="Normal 2 7 8" xfId="3851" xr:uid="{52E9C1F3-0D3A-44BF-9A9E-0075FF465266}"/>
    <cellStyle name="Normal 2 7 9" xfId="5741" xr:uid="{0E0E327C-7327-49B9-A85C-5B67EB86BCAC}"/>
    <cellStyle name="Normal 2 8" xfId="139" xr:uid="{A1A31FEA-2FFD-4B17-9291-7F3D22515FB5}"/>
    <cellStyle name="Normal 2 8 10" xfId="9589" xr:uid="{04633918-39ED-4264-BA93-36612A46ECDD}"/>
    <cellStyle name="Normal 2 8 11" xfId="11479" xr:uid="{49CD783D-0D4F-46F2-B459-A713151C0403}"/>
    <cellStyle name="Normal 2 8 12" xfId="13369" xr:uid="{B195EBA9-02BA-4C8B-BB84-68D3EACED12D}"/>
    <cellStyle name="Normal 2 8 13" xfId="15259" xr:uid="{BF235291-5F4B-4EAE-B22E-9F65DEE9BA67}"/>
    <cellStyle name="Normal 2 8 14" xfId="17149" xr:uid="{1DE91E59-359C-4FB6-8239-60E29BFA03C0}"/>
    <cellStyle name="Normal 2 8 15" xfId="19039" xr:uid="{589A9C3E-E47D-4A70-918B-C6D48DAAD69E}"/>
    <cellStyle name="Normal 2 8 16" xfId="20929" xr:uid="{CE8D2A00-90A2-486E-A3E1-F49D5D218DEF}"/>
    <cellStyle name="Normal 2 8 17" xfId="22819" xr:uid="{8FB88B61-6EC2-4A99-92E6-8C95F37AE23E}"/>
    <cellStyle name="Normal 2 8 18" xfId="24709" xr:uid="{E7A5EBA1-78AA-4DE0-AD19-281F80B4800D}"/>
    <cellStyle name="Normal 2 8 19" xfId="26599" xr:uid="{50A54F57-34B1-4518-AF7D-2CA2963A96C8}"/>
    <cellStyle name="Normal 2 8 2" xfId="349" xr:uid="{C6DA8D4E-A92E-4144-937C-6A2AC0E9F62F}"/>
    <cellStyle name="Normal 2 8 2 10" xfId="13579" xr:uid="{7829F32E-95D1-41A9-BE89-5A74477195B1}"/>
    <cellStyle name="Normal 2 8 2 11" xfId="15469" xr:uid="{D7C027C0-010C-4731-8B95-BD842749D2BE}"/>
    <cellStyle name="Normal 2 8 2 12" xfId="17359" xr:uid="{5F162029-AB13-43B1-AD9E-52ECAC4C04E4}"/>
    <cellStyle name="Normal 2 8 2 13" xfId="19249" xr:uid="{8C7D8082-F694-4BBB-A598-BA4B04E66643}"/>
    <cellStyle name="Normal 2 8 2 14" xfId="21139" xr:uid="{6D152C46-649A-4356-9649-E414EA933012}"/>
    <cellStyle name="Normal 2 8 2 15" xfId="23029" xr:uid="{002F6BC3-5606-4BB0-99D7-99BE37B27917}"/>
    <cellStyle name="Normal 2 8 2 16" xfId="24919" xr:uid="{F5FCD6FC-57E3-44E7-9AB9-EB56629618D8}"/>
    <cellStyle name="Normal 2 8 2 17" xfId="26809" xr:uid="{A8115820-1D56-4697-8335-710E0F947962}"/>
    <cellStyle name="Normal 2 8 2 18" xfId="28699" xr:uid="{CAE0CB4E-DEFD-46FE-AEB1-B44D8EC0EFBA}"/>
    <cellStyle name="Normal 2 8 2 19" xfId="30589" xr:uid="{92137728-BFF0-4C9E-87F4-12FADC746DB3}"/>
    <cellStyle name="Normal 2 8 2 2" xfId="979" xr:uid="{B0CEED14-AE7A-441B-9F8B-2A2853BD8978}"/>
    <cellStyle name="Normal 2 8 2 2 10" xfId="17989" xr:uid="{C6158E73-ADA2-43B5-813B-C32D4023F28C}"/>
    <cellStyle name="Normal 2 8 2 2 11" xfId="19879" xr:uid="{F0FCA6B8-7134-41B5-9373-68C72635144D}"/>
    <cellStyle name="Normal 2 8 2 2 12" xfId="21769" xr:uid="{55BC9F7D-AEC9-4423-A09B-C0A8B3585C26}"/>
    <cellStyle name="Normal 2 8 2 2 13" xfId="23659" xr:uid="{812ED6EF-49CE-4C1A-A693-2818FEB0110A}"/>
    <cellStyle name="Normal 2 8 2 2 14" xfId="25549" xr:uid="{8C50A560-7CA6-4264-96B0-60D01F318E7E}"/>
    <cellStyle name="Normal 2 8 2 2 15" xfId="27439" xr:uid="{DA198973-6F0C-4008-9BEC-1383267EA57E}"/>
    <cellStyle name="Normal 2 8 2 2 16" xfId="29329" xr:uid="{86550177-3DE7-4F44-8E52-56E270EA61E6}"/>
    <cellStyle name="Normal 2 8 2 2 17" xfId="31219" xr:uid="{FC5DCCA4-FF35-475C-B28F-C05FC5C54676}"/>
    <cellStyle name="Normal 2 8 2 2 18" xfId="33109" xr:uid="{C92BA5A2-D63E-416F-A1FA-3A43D49241D5}"/>
    <cellStyle name="Normal 2 8 2 2 19" xfId="34999" xr:uid="{F0AC1EF6-4A42-4E7C-9366-A51387E60A8E}"/>
    <cellStyle name="Normal 2 8 2 2 2" xfId="2869" xr:uid="{C0589FCB-DA2B-4746-8636-BE200E517F0F}"/>
    <cellStyle name="Normal 2 8 2 2 20" xfId="36889" xr:uid="{A24FA6AC-35C3-49D0-8BF1-474D8DC49AE0}"/>
    <cellStyle name="Normal 2 8 2 2 21" xfId="38779" xr:uid="{91A59988-40AD-445F-872A-6ADE7E4915BE}"/>
    <cellStyle name="Normal 2 8 2 2 22" xfId="40670" xr:uid="{897F09F9-BC32-4332-ABE6-8139544B25C6}"/>
    <cellStyle name="Normal 2 8 2 2 3" xfId="4759" xr:uid="{B368F7C0-1953-4ED3-B30C-45495782AD7A}"/>
    <cellStyle name="Normal 2 8 2 2 4" xfId="6649" xr:uid="{2E5A3171-9AE9-4B54-8D0A-8C9D195C61DE}"/>
    <cellStyle name="Normal 2 8 2 2 5" xfId="8539" xr:uid="{AE428CF6-3AEA-4926-984A-88ACA359D0C6}"/>
    <cellStyle name="Normal 2 8 2 2 6" xfId="10429" xr:uid="{6F450A59-C5F0-4B2E-B76E-ACFAA655AA6D}"/>
    <cellStyle name="Normal 2 8 2 2 7" xfId="12319" xr:uid="{83E74D97-8896-4992-AD70-3A1BBB7B4A37}"/>
    <cellStyle name="Normal 2 8 2 2 8" xfId="14209" xr:uid="{B1DB3041-20E1-48EB-93B7-248EE9C8FB47}"/>
    <cellStyle name="Normal 2 8 2 2 9" xfId="16099" xr:uid="{57BDB0C6-75DB-4B53-AECF-483566CD269F}"/>
    <cellStyle name="Normal 2 8 2 20" xfId="32479" xr:uid="{2FC633F8-BA1B-4B8E-942C-3D2E071C30F3}"/>
    <cellStyle name="Normal 2 8 2 21" xfId="34369" xr:uid="{2F6F25A5-EDF9-406C-81DC-49E6253CD25E}"/>
    <cellStyle name="Normal 2 8 2 22" xfId="36259" xr:uid="{8EFF9D2E-BB37-499E-961E-0BCAA967ACDA}"/>
    <cellStyle name="Normal 2 8 2 23" xfId="38149" xr:uid="{B5B79730-6E4B-4AB3-81FE-803293543FA8}"/>
    <cellStyle name="Normal 2 8 2 24" xfId="40040" xr:uid="{0CCC3DD0-4AC0-492D-8847-B5EDFB97DC4D}"/>
    <cellStyle name="Normal 2 8 2 3" xfId="1609" xr:uid="{5AC6EF1E-E5A3-443E-9AD6-F6BB8C0D8FC2}"/>
    <cellStyle name="Normal 2 8 2 3 10" xfId="18619" xr:uid="{D84E1C37-6A4E-446C-9536-A0F3D31D6037}"/>
    <cellStyle name="Normal 2 8 2 3 11" xfId="20509" xr:uid="{1E2EB48E-7778-4D5C-8461-4EF5334F00C6}"/>
    <cellStyle name="Normal 2 8 2 3 12" xfId="22399" xr:uid="{EBC2C2E9-C0B2-4CEB-8C76-BA6145D4AD11}"/>
    <cellStyle name="Normal 2 8 2 3 13" xfId="24289" xr:uid="{80A66772-C871-4937-A9B1-9A2A4D9592B9}"/>
    <cellStyle name="Normal 2 8 2 3 14" xfId="26179" xr:uid="{A79D610E-E382-49BB-A77A-700340F39A06}"/>
    <cellStyle name="Normal 2 8 2 3 15" xfId="28069" xr:uid="{05E86F7F-B587-458F-AA01-9D1BE1ABD5C2}"/>
    <cellStyle name="Normal 2 8 2 3 16" xfId="29959" xr:uid="{343A0329-3544-4231-80E3-77F266A51B81}"/>
    <cellStyle name="Normal 2 8 2 3 17" xfId="31849" xr:uid="{32F99F7E-99D6-4F8D-A06B-4E3C3C0D2089}"/>
    <cellStyle name="Normal 2 8 2 3 18" xfId="33739" xr:uid="{58F037A9-4E16-4397-B7EF-2A941A837DD9}"/>
    <cellStyle name="Normal 2 8 2 3 19" xfId="35629" xr:uid="{DB97C35F-48B0-4392-9977-6CAFF4F74390}"/>
    <cellStyle name="Normal 2 8 2 3 2" xfId="3499" xr:uid="{6237FEEF-3BAD-4109-B16B-C65A6FFED6F3}"/>
    <cellStyle name="Normal 2 8 2 3 20" xfId="37519" xr:uid="{8427543C-EBB3-4BBC-98E0-82376384C886}"/>
    <cellStyle name="Normal 2 8 2 3 21" xfId="39409" xr:uid="{9522482A-334F-4585-932F-2C60987121E1}"/>
    <cellStyle name="Normal 2 8 2 3 22" xfId="41300" xr:uid="{851C383A-519F-456B-8EE2-5C287BF13124}"/>
    <cellStyle name="Normal 2 8 2 3 3" xfId="5389" xr:uid="{8DA5B01A-E01C-4CD5-83B0-7AC1211055ED}"/>
    <cellStyle name="Normal 2 8 2 3 4" xfId="7279" xr:uid="{C19A3BE2-4CB2-450D-9139-9AF997D4BBF3}"/>
    <cellStyle name="Normal 2 8 2 3 5" xfId="9169" xr:uid="{9D527207-C810-4363-BC9D-F56951ADA8DB}"/>
    <cellStyle name="Normal 2 8 2 3 6" xfId="11059" xr:uid="{255F8738-6DDD-4B86-8128-6191317CD73E}"/>
    <cellStyle name="Normal 2 8 2 3 7" xfId="12949" xr:uid="{3CC77029-8737-41AF-8DD2-0C8400D78A6B}"/>
    <cellStyle name="Normal 2 8 2 3 8" xfId="14839" xr:uid="{4E87291D-6DDF-46EB-A64E-4357A7637362}"/>
    <cellStyle name="Normal 2 8 2 3 9" xfId="16729" xr:uid="{972DA801-382C-4577-BCAF-D8C95E3A3B5C}"/>
    <cellStyle name="Normal 2 8 2 4" xfId="2239" xr:uid="{6DCEDE9B-1F86-4BBC-BBC7-E7F655658ECC}"/>
    <cellStyle name="Normal 2 8 2 5" xfId="4129" xr:uid="{894B5F5D-6CFF-4A52-BC91-8303D9D9D417}"/>
    <cellStyle name="Normal 2 8 2 6" xfId="6019" xr:uid="{C4249433-A178-4770-8551-D4FE6E24C0FA}"/>
    <cellStyle name="Normal 2 8 2 7" xfId="7909" xr:uid="{0CD6C334-0060-4D3C-99F5-E01494BF2AAF}"/>
    <cellStyle name="Normal 2 8 2 8" xfId="9799" xr:uid="{54F8CFF5-DF45-47AE-8D67-2CC638A1B223}"/>
    <cellStyle name="Normal 2 8 2 9" xfId="11689" xr:uid="{EF20ED07-72AE-4C92-8038-18E34F11792A}"/>
    <cellStyle name="Normal 2 8 20" xfId="28489" xr:uid="{3F49B880-CDDA-491C-9609-B2DF965400B0}"/>
    <cellStyle name="Normal 2 8 21" xfId="30379" xr:uid="{FB319F1D-2EF0-4F0F-A1B3-817BC81ED2DD}"/>
    <cellStyle name="Normal 2 8 22" xfId="32269" xr:uid="{896D8F2E-3C13-456D-A344-F877AD2586E9}"/>
    <cellStyle name="Normal 2 8 23" xfId="34159" xr:uid="{46F8AB18-9B66-4474-8530-257CDB6EA2FA}"/>
    <cellStyle name="Normal 2 8 24" xfId="36049" xr:uid="{39C21A9D-A9F2-4773-A639-2F454125E61B}"/>
    <cellStyle name="Normal 2 8 25" xfId="37939" xr:uid="{D9381CF9-3953-4F04-9BF1-AC339D0D63BB}"/>
    <cellStyle name="Normal 2 8 26" xfId="39830" xr:uid="{7DD77618-A2CD-4F78-B95F-FE7D4CA21945}"/>
    <cellStyle name="Normal 2 8 3" xfId="559" xr:uid="{C8745563-2D6C-4B73-B330-FFEDFCA62B90}"/>
    <cellStyle name="Normal 2 8 3 10" xfId="13789" xr:uid="{DB1F6FB1-E42D-414C-BFDC-4AF2C0D1E5A3}"/>
    <cellStyle name="Normal 2 8 3 11" xfId="15679" xr:uid="{28AAF7D4-10AA-44BB-832E-E6A29A2C2245}"/>
    <cellStyle name="Normal 2 8 3 12" xfId="17569" xr:uid="{D451F748-E734-41D9-9A93-0D1CAAE437C8}"/>
    <cellStyle name="Normal 2 8 3 13" xfId="19459" xr:uid="{247E0415-FDBC-4722-9433-6543762B3BF5}"/>
    <cellStyle name="Normal 2 8 3 14" xfId="21349" xr:uid="{CE3EC141-F13B-4D1D-AA7F-57763D5738A6}"/>
    <cellStyle name="Normal 2 8 3 15" xfId="23239" xr:uid="{42379BEF-DC2B-4CF1-BEA1-716E6CA653E9}"/>
    <cellStyle name="Normal 2 8 3 16" xfId="25129" xr:uid="{17834EC3-6716-4B3D-98AF-E6E0E3494483}"/>
    <cellStyle name="Normal 2 8 3 17" xfId="27019" xr:uid="{695EC051-68E0-4A34-B07F-61783FFE7A69}"/>
    <cellStyle name="Normal 2 8 3 18" xfId="28909" xr:uid="{8684D233-5B24-4552-893B-8A5CD299E9AE}"/>
    <cellStyle name="Normal 2 8 3 19" xfId="30799" xr:uid="{76985FB9-4705-4597-8668-CFC8C3960136}"/>
    <cellStyle name="Normal 2 8 3 2" xfId="1189" xr:uid="{C057D61C-21FF-4E98-BD71-D50878034554}"/>
    <cellStyle name="Normal 2 8 3 2 10" xfId="18199" xr:uid="{8ABAE0AD-941A-47F4-99A7-9AED99705B5C}"/>
    <cellStyle name="Normal 2 8 3 2 11" xfId="20089" xr:uid="{44952C8E-AEC6-41A0-A7C5-B1165E26175D}"/>
    <cellStyle name="Normal 2 8 3 2 12" xfId="21979" xr:uid="{7DA594A9-82EB-4D98-B335-3AC1F22C7AD7}"/>
    <cellStyle name="Normal 2 8 3 2 13" xfId="23869" xr:uid="{AABEC62F-DA58-43BE-A297-DE93632DC94C}"/>
    <cellStyle name="Normal 2 8 3 2 14" xfId="25759" xr:uid="{32259998-7D55-49ED-966B-A03BD9A2F0BD}"/>
    <cellStyle name="Normal 2 8 3 2 15" xfId="27649" xr:uid="{4CF4E877-2B85-4D85-BE48-FE03F06E4C16}"/>
    <cellStyle name="Normal 2 8 3 2 16" xfId="29539" xr:uid="{2FECDCD2-2F5D-4B5E-81B5-CC0FB4EBA15C}"/>
    <cellStyle name="Normal 2 8 3 2 17" xfId="31429" xr:uid="{CA423DE1-871E-4DD0-A115-209EC0727258}"/>
    <cellStyle name="Normal 2 8 3 2 18" xfId="33319" xr:uid="{E3866AA3-8121-4EE3-A9DF-B46C11A37056}"/>
    <cellStyle name="Normal 2 8 3 2 19" xfId="35209" xr:uid="{54A15686-0703-405F-AC9E-23020C993B2E}"/>
    <cellStyle name="Normal 2 8 3 2 2" xfId="3079" xr:uid="{6E4ECDFC-B207-4D3B-BA4F-FCBF87808CCB}"/>
    <cellStyle name="Normal 2 8 3 2 20" xfId="37099" xr:uid="{50C5AAA7-F253-446E-A800-09EABA24CA4C}"/>
    <cellStyle name="Normal 2 8 3 2 21" xfId="38989" xr:uid="{33C5F0F2-7480-4747-A3C6-208F6CF62FAF}"/>
    <cellStyle name="Normal 2 8 3 2 22" xfId="40880" xr:uid="{C27B0CCC-61B7-4572-A0A6-7A3F417798E6}"/>
    <cellStyle name="Normal 2 8 3 2 3" xfId="4969" xr:uid="{3F7C5318-1643-49E7-A895-B170A2E9A049}"/>
    <cellStyle name="Normal 2 8 3 2 4" xfId="6859" xr:uid="{0618816E-ADE9-4C47-BD00-A0517C6E1640}"/>
    <cellStyle name="Normal 2 8 3 2 5" xfId="8749" xr:uid="{3ED92856-86CC-4E30-BC01-411B47C9271E}"/>
    <cellStyle name="Normal 2 8 3 2 6" xfId="10639" xr:uid="{9B7451E5-8A51-4FE2-A378-9CAD07591CDE}"/>
    <cellStyle name="Normal 2 8 3 2 7" xfId="12529" xr:uid="{CC72A7D1-E3FD-4FB3-A2A1-184A26B35D5C}"/>
    <cellStyle name="Normal 2 8 3 2 8" xfId="14419" xr:uid="{28D077C7-9622-40BC-89BD-875C2C422202}"/>
    <cellStyle name="Normal 2 8 3 2 9" xfId="16309" xr:uid="{47B15610-271F-4F13-8498-5EB9F1D50A37}"/>
    <cellStyle name="Normal 2 8 3 20" xfId="32689" xr:uid="{17FC88FB-E9A8-42BD-AB5F-478C639B28F4}"/>
    <cellStyle name="Normal 2 8 3 21" xfId="34579" xr:uid="{654678C9-D700-4700-9BED-764F090CC73F}"/>
    <cellStyle name="Normal 2 8 3 22" xfId="36469" xr:uid="{3006CCF3-0841-446C-B90F-92577E4CE918}"/>
    <cellStyle name="Normal 2 8 3 23" xfId="38359" xr:uid="{C81CD46F-00B8-4980-B714-D80BA37DBBC5}"/>
    <cellStyle name="Normal 2 8 3 24" xfId="40250" xr:uid="{4A419656-B23F-4295-BFD9-7364710115E8}"/>
    <cellStyle name="Normal 2 8 3 3" xfId="1819" xr:uid="{B5C4475D-7CFE-4D50-BEBE-50E0F6EFC779}"/>
    <cellStyle name="Normal 2 8 3 3 10" xfId="18829" xr:uid="{4784E85A-0740-4492-8A73-226976AFB5D4}"/>
    <cellStyle name="Normal 2 8 3 3 11" xfId="20719" xr:uid="{8E0E7F02-F3A2-413C-A0D1-991A848842A1}"/>
    <cellStyle name="Normal 2 8 3 3 12" xfId="22609" xr:uid="{AF10DED4-7E85-451F-AC1F-6DD32AC11259}"/>
    <cellStyle name="Normal 2 8 3 3 13" xfId="24499" xr:uid="{4B8B404C-70FE-473E-9B00-13C72B3C78DF}"/>
    <cellStyle name="Normal 2 8 3 3 14" xfId="26389" xr:uid="{AB123E5E-9111-4F49-9C82-19616C6DB97E}"/>
    <cellStyle name="Normal 2 8 3 3 15" xfId="28279" xr:uid="{F826FBA4-5F9C-4D6A-B71E-D83D14FB7684}"/>
    <cellStyle name="Normal 2 8 3 3 16" xfId="30169" xr:uid="{EEF7A97B-19F1-479A-915C-65DBFEE114C5}"/>
    <cellStyle name="Normal 2 8 3 3 17" xfId="32059" xr:uid="{F1103DF5-E676-4055-A6FF-5980DE4F6835}"/>
    <cellStyle name="Normal 2 8 3 3 18" xfId="33949" xr:uid="{2AA58627-CA2F-4FE3-B21A-060C0893E15F}"/>
    <cellStyle name="Normal 2 8 3 3 19" xfId="35839" xr:uid="{C01AB006-0B8D-42AC-BB6E-C5D965460CB5}"/>
    <cellStyle name="Normal 2 8 3 3 2" xfId="3709" xr:uid="{CBD5E536-0F54-4CE8-BB82-D78EE94014F6}"/>
    <cellStyle name="Normal 2 8 3 3 20" xfId="37729" xr:uid="{9A96BBAE-F661-4F9E-9DD3-541BD40BC48C}"/>
    <cellStyle name="Normal 2 8 3 3 21" xfId="39619" xr:uid="{75E0435C-4DDF-4CDE-8EBC-D30C375041E9}"/>
    <cellStyle name="Normal 2 8 3 3 22" xfId="41510" xr:uid="{01FAB077-9DBB-4D93-82F6-5DDC94622948}"/>
    <cellStyle name="Normal 2 8 3 3 3" xfId="5599" xr:uid="{36F4306A-C159-4D84-8C01-9EA42887F866}"/>
    <cellStyle name="Normal 2 8 3 3 4" xfId="7489" xr:uid="{FC16F6EA-8772-4C80-8241-3A8D1AD2A195}"/>
    <cellStyle name="Normal 2 8 3 3 5" xfId="9379" xr:uid="{C4A11C0B-EFD3-4DFF-B734-7C8989154C61}"/>
    <cellStyle name="Normal 2 8 3 3 6" xfId="11269" xr:uid="{CC92DFFA-35F9-4D5F-BA7F-1270162603ED}"/>
    <cellStyle name="Normal 2 8 3 3 7" xfId="13159" xr:uid="{649698ED-E23A-492B-9627-A58B6FAEC631}"/>
    <cellStyle name="Normal 2 8 3 3 8" xfId="15049" xr:uid="{3A9729EA-5EED-40BA-8B97-CE099C21A3C9}"/>
    <cellStyle name="Normal 2 8 3 3 9" xfId="16939" xr:uid="{DA31FCC3-0A14-43FC-B6F6-0976723E0E00}"/>
    <cellStyle name="Normal 2 8 3 4" xfId="2449" xr:uid="{5F234EAF-B921-4B56-9C47-23B7F03D8550}"/>
    <cellStyle name="Normal 2 8 3 5" xfId="4339" xr:uid="{160617F0-0104-423E-A9DB-A09214CF0C72}"/>
    <cellStyle name="Normal 2 8 3 6" xfId="6229" xr:uid="{113C97E5-AD81-409B-89DB-C7097F296613}"/>
    <cellStyle name="Normal 2 8 3 7" xfId="8119" xr:uid="{1BE7D5E5-770B-4122-AEE5-5F25359CDA8C}"/>
    <cellStyle name="Normal 2 8 3 8" xfId="10009" xr:uid="{FFD7EE81-3337-4185-A876-8A81252AF0C9}"/>
    <cellStyle name="Normal 2 8 3 9" xfId="11899" xr:uid="{DAA0A421-3B3C-48D8-B8D1-507CF97C073D}"/>
    <cellStyle name="Normal 2 8 4" xfId="769" xr:uid="{40B03CE5-E959-4338-B5EF-60BD065F9E0B}"/>
    <cellStyle name="Normal 2 8 4 10" xfId="17779" xr:uid="{87DF299E-4455-4BA5-8A60-5B0ADD9C8B28}"/>
    <cellStyle name="Normal 2 8 4 11" xfId="19669" xr:uid="{B22B0511-595E-4CB6-BD91-0E80C2B2C6F7}"/>
    <cellStyle name="Normal 2 8 4 12" xfId="21559" xr:uid="{1E22D289-69B5-4EF2-94FC-C7370DEA6897}"/>
    <cellStyle name="Normal 2 8 4 13" xfId="23449" xr:uid="{604966AC-C299-4930-819A-B3A608B83226}"/>
    <cellStyle name="Normal 2 8 4 14" xfId="25339" xr:uid="{53F4B446-C7CF-4F7B-A2BE-242D98A451BE}"/>
    <cellStyle name="Normal 2 8 4 15" xfId="27229" xr:uid="{62FC598F-5FA7-4ABF-A34E-6EAFC9BB1113}"/>
    <cellStyle name="Normal 2 8 4 16" xfId="29119" xr:uid="{309182B4-CB2C-4319-863B-8C5A48AC59C8}"/>
    <cellStyle name="Normal 2 8 4 17" xfId="31009" xr:uid="{A680719A-3A0C-45F1-87FC-0FDB6F840784}"/>
    <cellStyle name="Normal 2 8 4 18" xfId="32899" xr:uid="{89AC6353-469D-4A62-86F7-A6C0E430E98B}"/>
    <cellStyle name="Normal 2 8 4 19" xfId="34789" xr:uid="{C222D990-38A7-45C8-985C-D3882A39FF09}"/>
    <cellStyle name="Normal 2 8 4 2" xfId="2659" xr:uid="{A0609271-60F6-4232-8D18-CFE5D7A928EB}"/>
    <cellStyle name="Normal 2 8 4 20" xfId="36679" xr:uid="{AAE3D634-2277-4131-B1FD-006C70C9F311}"/>
    <cellStyle name="Normal 2 8 4 21" xfId="38569" xr:uid="{F6E3AA82-B2D2-4F76-BBAF-BE835DCAE71E}"/>
    <cellStyle name="Normal 2 8 4 22" xfId="40460" xr:uid="{1DCE38EE-7C5A-4972-8067-59C6594F50F1}"/>
    <cellStyle name="Normal 2 8 4 3" xfId="4549" xr:uid="{B6341CBE-B5D6-4BCE-8190-0E8C439D91AC}"/>
    <cellStyle name="Normal 2 8 4 4" xfId="6439" xr:uid="{20B2BF4C-618D-4DB1-9CB6-EF4757B4595C}"/>
    <cellStyle name="Normal 2 8 4 5" xfId="8329" xr:uid="{FE42E8F8-71B3-41FB-8965-11D92D693A25}"/>
    <cellStyle name="Normal 2 8 4 6" xfId="10219" xr:uid="{43F1D7D2-947C-4EAC-88B0-09DD45A6BC3A}"/>
    <cellStyle name="Normal 2 8 4 7" xfId="12109" xr:uid="{7FE31DA2-6976-4983-85B3-80968066AC3D}"/>
    <cellStyle name="Normal 2 8 4 8" xfId="13999" xr:uid="{42DC4057-B01F-4C51-B565-2AA707A2DA90}"/>
    <cellStyle name="Normal 2 8 4 9" xfId="15889" xr:uid="{2908CB45-26C1-4220-865E-F3A5129B75A8}"/>
    <cellStyle name="Normal 2 8 5" xfId="1399" xr:uid="{CA1D194A-2E51-41D8-89B7-70E34F03569F}"/>
    <cellStyle name="Normal 2 8 5 10" xfId="18409" xr:uid="{6F842558-C2EB-40D5-A61F-82BF8FF5BEE7}"/>
    <cellStyle name="Normal 2 8 5 11" xfId="20299" xr:uid="{F4E138E1-F5F0-466D-B780-65D6BAE82790}"/>
    <cellStyle name="Normal 2 8 5 12" xfId="22189" xr:uid="{DFCD8E30-DE4B-4FB9-A687-228A4765D38E}"/>
    <cellStyle name="Normal 2 8 5 13" xfId="24079" xr:uid="{DC9C4CD5-EE29-48AA-8D8D-14DA2142659A}"/>
    <cellStyle name="Normal 2 8 5 14" xfId="25969" xr:uid="{590DDFBD-DCE8-43AE-8C67-BC5AC27B61F5}"/>
    <cellStyle name="Normal 2 8 5 15" xfId="27859" xr:uid="{28C00FAE-E0D6-4C5E-BB62-6796065BED52}"/>
    <cellStyle name="Normal 2 8 5 16" xfId="29749" xr:uid="{82F3A6FD-1213-4117-A1C1-AE1E8B80A4EB}"/>
    <cellStyle name="Normal 2 8 5 17" xfId="31639" xr:uid="{4D25CD83-69C2-4791-A149-DC19012121D5}"/>
    <cellStyle name="Normal 2 8 5 18" xfId="33529" xr:uid="{ED975C1B-A0D9-48A8-8A03-3D8D03385CBD}"/>
    <cellStyle name="Normal 2 8 5 19" xfId="35419" xr:uid="{AFEDED15-7577-4616-B331-C2A08C03B861}"/>
    <cellStyle name="Normal 2 8 5 2" xfId="3289" xr:uid="{80D46932-9DC4-49B6-B418-2CCB4810164A}"/>
    <cellStyle name="Normal 2 8 5 20" xfId="37309" xr:uid="{25B2C8C2-C03A-4003-91B2-1F41B239E18C}"/>
    <cellStyle name="Normal 2 8 5 21" xfId="39199" xr:uid="{0BDF4A46-6416-451D-A313-1FDC3A4FF841}"/>
    <cellStyle name="Normal 2 8 5 22" xfId="41090" xr:uid="{062F8A54-6C4E-4359-A396-CDD33EB31548}"/>
    <cellStyle name="Normal 2 8 5 3" xfId="5179" xr:uid="{0096D3D1-8BEB-4AA9-A8A3-1F525BF2BB93}"/>
    <cellStyle name="Normal 2 8 5 4" xfId="7069" xr:uid="{9A7A0BF7-B90D-4AC9-B0A5-970900725993}"/>
    <cellStyle name="Normal 2 8 5 5" xfId="8959" xr:uid="{19275E5D-CF9E-46FB-9642-F0CA1B796300}"/>
    <cellStyle name="Normal 2 8 5 6" xfId="10849" xr:uid="{9868DEB1-DC5C-4AC2-B2C5-AFFEFA2D7029}"/>
    <cellStyle name="Normal 2 8 5 7" xfId="12739" xr:uid="{9A7BE4F4-7587-45DA-8F56-C21CF5F764E0}"/>
    <cellStyle name="Normal 2 8 5 8" xfId="14629" xr:uid="{2CABE20C-B173-44B8-A50E-17BD78D7E2EC}"/>
    <cellStyle name="Normal 2 8 5 9" xfId="16519" xr:uid="{91B4773A-0113-44D9-B567-4D1EABF3D412}"/>
    <cellStyle name="Normal 2 8 6" xfId="2029" xr:uid="{D0C2C1D9-4F95-44F4-B922-7619724A5E51}"/>
    <cellStyle name="Normal 2 8 7" xfId="3919" xr:uid="{5E60B10E-2309-4E5C-BE39-7E82CD82C94A}"/>
    <cellStyle name="Normal 2 8 8" xfId="5809" xr:uid="{6A2E8CE2-D48C-4A18-A586-8CDF202BF297}"/>
    <cellStyle name="Normal 2 8 9" xfId="7699" xr:uid="{79CFB927-6841-4DB1-A3A5-FCC0A1D82F47}"/>
    <cellStyle name="Normal 2 9" xfId="244" xr:uid="{1F14F5C1-F997-485A-9CE4-C043AFE72FA2}"/>
    <cellStyle name="Normal 2 9 10" xfId="13474" xr:uid="{29F2F841-94B7-48FD-8D86-3C5A05D5B71C}"/>
    <cellStyle name="Normal 2 9 11" xfId="15364" xr:uid="{81BFC7B6-4DE2-43D0-927F-C705EA190459}"/>
    <cellStyle name="Normal 2 9 12" xfId="17254" xr:uid="{B18DEE9E-77AA-4C8E-99DC-8F58EF12F06D}"/>
    <cellStyle name="Normal 2 9 13" xfId="19144" xr:uid="{3B0731EC-78E5-4948-B7A4-3BC86B67D0CD}"/>
    <cellStyle name="Normal 2 9 14" xfId="21034" xr:uid="{B985D893-11AF-4C1B-B884-2F15E4BB958F}"/>
    <cellStyle name="Normal 2 9 15" xfId="22924" xr:uid="{ED9AAD1B-C423-4E59-974F-9E1E08A9CD06}"/>
    <cellStyle name="Normal 2 9 16" xfId="24814" xr:uid="{1ED993AD-1095-4173-A6CA-FF7FB1B705AB}"/>
    <cellStyle name="Normal 2 9 17" xfId="26704" xr:uid="{D866EBE6-03B2-476F-9365-F6870A80CC61}"/>
    <cellStyle name="Normal 2 9 18" xfId="28594" xr:uid="{1F0FC55F-A989-4507-9306-E33246B365B3}"/>
    <cellStyle name="Normal 2 9 19" xfId="30484" xr:uid="{CCACE680-E345-4469-B99B-3B94D036B872}"/>
    <cellStyle name="Normal 2 9 2" xfId="874" xr:uid="{A943A0A7-2965-4762-BD23-B5074AE1BE5E}"/>
    <cellStyle name="Normal 2 9 2 10" xfId="17884" xr:uid="{959BD3BB-2A6A-4F8C-AC97-750AE453A419}"/>
    <cellStyle name="Normal 2 9 2 11" xfId="19774" xr:uid="{9EADC894-B21B-498A-986B-1B49E5456F7A}"/>
    <cellStyle name="Normal 2 9 2 12" xfId="21664" xr:uid="{2D84D89A-A890-4D43-8F61-DC5D7818DC49}"/>
    <cellStyle name="Normal 2 9 2 13" xfId="23554" xr:uid="{46469DC0-915B-43D4-A827-0F0A5F18CFF9}"/>
    <cellStyle name="Normal 2 9 2 14" xfId="25444" xr:uid="{E0A4208F-BF00-4748-AC63-43E29F1D0CAA}"/>
    <cellStyle name="Normal 2 9 2 15" xfId="27334" xr:uid="{71CA5806-B55C-4EC4-AB58-D536BE644AEA}"/>
    <cellStyle name="Normal 2 9 2 16" xfId="29224" xr:uid="{00FE2DDE-3AEF-4FA4-BB7D-3856CAB8FBC0}"/>
    <cellStyle name="Normal 2 9 2 17" xfId="31114" xr:uid="{F1CF0858-1EF8-44A0-94D3-176A1B77BC62}"/>
    <cellStyle name="Normal 2 9 2 18" xfId="33004" xr:uid="{7E48D873-CA4A-4BE6-A7BF-957367513AD1}"/>
    <cellStyle name="Normal 2 9 2 19" xfId="34894" xr:uid="{14B33582-F49F-43F4-BA1D-3AF9D7494289}"/>
    <cellStyle name="Normal 2 9 2 2" xfId="2764" xr:uid="{37C7DAF4-7223-43D0-91CA-9000BA3AA91B}"/>
    <cellStyle name="Normal 2 9 2 20" xfId="36784" xr:uid="{0720A34F-4A97-4D26-9E71-EA84A1AED25C}"/>
    <cellStyle name="Normal 2 9 2 21" xfId="38674" xr:uid="{8287FA55-9DD6-4A15-A5CE-9A54BE6B2487}"/>
    <cellStyle name="Normal 2 9 2 22" xfId="40565" xr:uid="{C3A091C4-D8A3-4002-8C7E-FA23A4B84316}"/>
    <cellStyle name="Normal 2 9 2 3" xfId="4654" xr:uid="{79417BCA-74FF-48CE-B6ED-E5CA21869D9D}"/>
    <cellStyle name="Normal 2 9 2 4" xfId="6544" xr:uid="{BE5A402E-A5C3-428C-A2FA-FCEC68FF98B9}"/>
    <cellStyle name="Normal 2 9 2 5" xfId="8434" xr:uid="{B7D3B9DA-B52F-4019-9C6B-15CB5BD58408}"/>
    <cellStyle name="Normal 2 9 2 6" xfId="10324" xr:uid="{3FFB0D76-4F2A-4911-82BB-E80E2D772F48}"/>
    <cellStyle name="Normal 2 9 2 7" xfId="12214" xr:uid="{BE9274DE-0FF2-40B4-8EF2-FB15600B653A}"/>
    <cellStyle name="Normal 2 9 2 8" xfId="14104" xr:uid="{DB51BCFC-6330-4625-9289-9EDDE68B8955}"/>
    <cellStyle name="Normal 2 9 2 9" xfId="15994" xr:uid="{886BFEDD-1688-4778-87C3-718557F1F6C3}"/>
    <cellStyle name="Normal 2 9 20" xfId="32374" xr:uid="{A395DCF9-E1B7-4D9E-9012-5C8E2406BF70}"/>
    <cellStyle name="Normal 2 9 21" xfId="34264" xr:uid="{0C0FA58A-F246-46CF-9FD6-0AF69BE561DC}"/>
    <cellStyle name="Normal 2 9 22" xfId="36154" xr:uid="{EC5E9402-6DE1-4383-A79A-9F0860076783}"/>
    <cellStyle name="Normal 2 9 23" xfId="38044" xr:uid="{9EBCF431-D267-412F-8A67-64C0AAD0B7B5}"/>
    <cellStyle name="Normal 2 9 24" xfId="39935" xr:uid="{614ACA0E-EE93-41B8-A02D-0EFD3EE2837E}"/>
    <cellStyle name="Normal 2 9 3" xfId="1504" xr:uid="{B5B82F63-65B7-4513-ADCB-C3F12A81AAD6}"/>
    <cellStyle name="Normal 2 9 3 10" xfId="18514" xr:uid="{357F540B-9F98-4EA7-928C-D284148DA42B}"/>
    <cellStyle name="Normal 2 9 3 11" xfId="20404" xr:uid="{8AD3E194-5F49-4144-A242-0301C0613E7F}"/>
    <cellStyle name="Normal 2 9 3 12" xfId="22294" xr:uid="{D93C6BC2-0F5A-4AD2-BF30-C2A5C13371B3}"/>
    <cellStyle name="Normal 2 9 3 13" xfId="24184" xr:uid="{AF15B727-62F9-4673-8C51-232C0EC3EBF6}"/>
    <cellStyle name="Normal 2 9 3 14" xfId="26074" xr:uid="{0AB0B4E7-78B2-408C-BD20-BEFE498E5151}"/>
    <cellStyle name="Normal 2 9 3 15" xfId="27964" xr:uid="{CBFB6ED2-E83E-499E-AC3B-E475E5471CB2}"/>
    <cellStyle name="Normal 2 9 3 16" xfId="29854" xr:uid="{215C89DA-5765-42D9-939A-483644C34787}"/>
    <cellStyle name="Normal 2 9 3 17" xfId="31744" xr:uid="{4D691117-958A-43B4-81C7-2185DF2734FC}"/>
    <cellStyle name="Normal 2 9 3 18" xfId="33634" xr:uid="{3C48F2CB-DFCD-436F-AECA-7A28C676178C}"/>
    <cellStyle name="Normal 2 9 3 19" xfId="35524" xr:uid="{1AA0C7BC-8C21-4BCC-B18F-0BBB59F5B742}"/>
    <cellStyle name="Normal 2 9 3 2" xfId="3394" xr:uid="{6CAC9E8D-38B2-4DDD-AC5C-25BB92622B65}"/>
    <cellStyle name="Normal 2 9 3 20" xfId="37414" xr:uid="{091646B2-2792-4AED-8EB8-467C9A763A5E}"/>
    <cellStyle name="Normal 2 9 3 21" xfId="39304" xr:uid="{AA5411E2-75A9-4A31-B989-BC7672D62268}"/>
    <cellStyle name="Normal 2 9 3 22" xfId="41195" xr:uid="{79C8DF96-AA3F-4091-A738-11538BFE15FC}"/>
    <cellStyle name="Normal 2 9 3 3" xfId="5284" xr:uid="{F76A75B2-5791-491F-BC74-2E4F05C8BC6F}"/>
    <cellStyle name="Normal 2 9 3 4" xfId="7174" xr:uid="{618657DB-4885-4C59-97CE-059393FD68E3}"/>
    <cellStyle name="Normal 2 9 3 5" xfId="9064" xr:uid="{9FF4EE14-88E9-4F38-9B56-8DF1FE9FC43C}"/>
    <cellStyle name="Normal 2 9 3 6" xfId="10954" xr:uid="{B62CBE29-ADCE-4D04-A1A0-5D5C6AF3DE7A}"/>
    <cellStyle name="Normal 2 9 3 7" xfId="12844" xr:uid="{CC6C1A98-138B-4AC5-B06D-EA1B5A0A0FDF}"/>
    <cellStyle name="Normal 2 9 3 8" xfId="14734" xr:uid="{470142FD-6F8C-4FC6-8CC2-73B1C76FD246}"/>
    <cellStyle name="Normal 2 9 3 9" xfId="16624" xr:uid="{402D0B30-6476-44E1-A796-37E742C4F3C3}"/>
    <cellStyle name="Normal 2 9 4" xfId="2134" xr:uid="{3B451EDA-E82C-4962-AE4B-11477F5FA253}"/>
    <cellStyle name="Normal 2 9 5" xfId="4024" xr:uid="{11B551F2-FC26-4934-8BA7-A49996C0CF47}"/>
    <cellStyle name="Normal 2 9 6" xfId="5914" xr:uid="{EABCB825-6E1D-435E-93D4-DE93239EB092}"/>
    <cellStyle name="Normal 2 9 7" xfId="7804" xr:uid="{802F1C21-0094-46E5-9FBE-ABCAA2DCE4DB}"/>
    <cellStyle name="Normal 2 9 8" xfId="9694" xr:uid="{F3FF4470-470B-47A2-A465-7C7F6C757A86}"/>
    <cellStyle name="Normal 2 9 9" xfId="11584" xr:uid="{9ACBC165-CAD5-4BE6-9B51-EF7C015B877B}"/>
    <cellStyle name="Normal 26" xfId="8" xr:uid="{00000000-0005-0000-0000-000035000000}"/>
    <cellStyle name="Normal 26 10" xfId="666" xr:uid="{871C5809-1028-4957-AF80-B1DD5F24535B}"/>
    <cellStyle name="Normal 26 10 10" xfId="17676" xr:uid="{1910A431-8D77-43C0-9037-58760DF601D0}"/>
    <cellStyle name="Normal 26 10 11" xfId="19566" xr:uid="{218C56C7-F9B2-46CF-886A-CFCCFC9A24A3}"/>
    <cellStyle name="Normal 26 10 12" xfId="21456" xr:uid="{D57AB7D9-A2AA-4E2E-AF87-1A0A2DED5129}"/>
    <cellStyle name="Normal 26 10 13" xfId="23346" xr:uid="{16C8CB5B-CEDC-4B4C-8683-E3C648DF31A8}"/>
    <cellStyle name="Normal 26 10 14" xfId="25236" xr:uid="{AD1D3A14-A435-4E56-A87C-69457DB4E1A2}"/>
    <cellStyle name="Normal 26 10 15" xfId="27126" xr:uid="{5AEEDEA3-C6DE-4432-8313-D8F668E238DB}"/>
    <cellStyle name="Normal 26 10 16" xfId="29016" xr:uid="{91D67022-59E2-4075-95AA-A43EB8C257B3}"/>
    <cellStyle name="Normal 26 10 17" xfId="30906" xr:uid="{B444BD91-D587-4DC7-A16B-FB9F4059968F}"/>
    <cellStyle name="Normal 26 10 18" xfId="32796" xr:uid="{D5A996D0-B6D4-46B9-BBB6-91BFC5F77C19}"/>
    <cellStyle name="Normal 26 10 19" xfId="34686" xr:uid="{8B6E30A4-400D-4881-80B4-1594D79D84F2}"/>
    <cellStyle name="Normal 26 10 2" xfId="2556" xr:uid="{35C8CEF5-7465-4FFD-9812-BA1E148DF32D}"/>
    <cellStyle name="Normal 26 10 20" xfId="36576" xr:uid="{F07AD635-D713-4F69-90C9-B53A2BEB0901}"/>
    <cellStyle name="Normal 26 10 21" xfId="38466" xr:uid="{C08339FA-9026-4F7B-B695-5D9E6558E7B0}"/>
    <cellStyle name="Normal 26 10 22" xfId="40357" xr:uid="{FC9A09D5-4E9D-4261-9973-F7E4EC228291}"/>
    <cellStyle name="Normal 26 10 3" xfId="4446" xr:uid="{99A3F49A-CD32-41D8-8E2C-C244B9513DA3}"/>
    <cellStyle name="Normal 26 10 4" xfId="6336" xr:uid="{72FD6C45-A352-4D1D-8E3D-84876DABB829}"/>
    <cellStyle name="Normal 26 10 5" xfId="8226" xr:uid="{CF93D597-F60F-4EA4-9226-544779585F1C}"/>
    <cellStyle name="Normal 26 10 6" xfId="10116" xr:uid="{033B666A-CC1F-4155-8635-C6CEC4EFF4EE}"/>
    <cellStyle name="Normal 26 10 7" xfId="12006" xr:uid="{E43AB7A0-1076-4CF9-AD11-14B3CCD70098}"/>
    <cellStyle name="Normal 26 10 8" xfId="13896" xr:uid="{69180E60-9CC6-4E38-963D-374F2AA22C54}"/>
    <cellStyle name="Normal 26 10 9" xfId="15786" xr:uid="{DD14F29B-6A22-407A-BE25-591262192504}"/>
    <cellStyle name="Normal 26 11" xfId="1296" xr:uid="{0934F720-1A1F-4B73-86F4-46D8EE3C231A}"/>
    <cellStyle name="Normal 26 11 10" xfId="18306" xr:uid="{2CEFBB64-7763-4995-8D9A-409374EC6771}"/>
    <cellStyle name="Normal 26 11 11" xfId="20196" xr:uid="{41562607-3747-44D4-9942-6AC6D2BF80C0}"/>
    <cellStyle name="Normal 26 11 12" xfId="22086" xr:uid="{3DD9AFB0-18C0-4E98-8C8E-CB249C9A929B}"/>
    <cellStyle name="Normal 26 11 13" xfId="23976" xr:uid="{C1CF9310-5ADC-4C45-8A05-6B853AA21A0A}"/>
    <cellStyle name="Normal 26 11 14" xfId="25866" xr:uid="{FDAD771A-B611-44D9-A49A-2DFD5F62D624}"/>
    <cellStyle name="Normal 26 11 15" xfId="27756" xr:uid="{997F2BE4-561B-43F3-9C05-EB6629E5C32E}"/>
    <cellStyle name="Normal 26 11 16" xfId="29646" xr:uid="{11953AC5-DE80-4C52-9F32-098E7A36C9A7}"/>
    <cellStyle name="Normal 26 11 17" xfId="31536" xr:uid="{78EF6E13-A55F-4505-BB24-90416FED0046}"/>
    <cellStyle name="Normal 26 11 18" xfId="33426" xr:uid="{8EBCCD95-744A-4578-9C0B-04C20CCC3D8C}"/>
    <cellStyle name="Normal 26 11 19" xfId="35316" xr:uid="{697765B6-081B-445D-ABCB-07E5C7DD5655}"/>
    <cellStyle name="Normal 26 11 2" xfId="3186" xr:uid="{0FDD6B3D-6629-4E25-A55B-943F17523DB6}"/>
    <cellStyle name="Normal 26 11 20" xfId="37206" xr:uid="{D985FA1C-EB47-4976-A8F4-E336F59BF7E7}"/>
    <cellStyle name="Normal 26 11 21" xfId="39096" xr:uid="{D6B33327-D2E0-43D2-A6A1-2DFA6BA7B742}"/>
    <cellStyle name="Normal 26 11 22" xfId="40987" xr:uid="{BE57D255-6C78-4579-ADE0-45FB4CF72979}"/>
    <cellStyle name="Normal 26 11 3" xfId="5076" xr:uid="{AC7EECBF-33A3-456A-B1E6-F26D8CF61FD8}"/>
    <cellStyle name="Normal 26 11 4" xfId="6966" xr:uid="{A55DF768-6B44-4178-9B0D-A5C9C9444E59}"/>
    <cellStyle name="Normal 26 11 5" xfId="8856" xr:uid="{DADB582A-A222-4E3E-9190-17D4D12720D2}"/>
    <cellStyle name="Normal 26 11 6" xfId="10746" xr:uid="{92DE9776-4998-4334-A29D-1193D6539EC8}"/>
    <cellStyle name="Normal 26 11 7" xfId="12636" xr:uid="{A85D089A-491A-485E-A3D7-BA205AC74B15}"/>
    <cellStyle name="Normal 26 11 8" xfId="14526" xr:uid="{07F9EBD6-2832-4F0F-9777-CA9D7929900B}"/>
    <cellStyle name="Normal 26 11 9" xfId="16416" xr:uid="{15E67B3A-2A69-4FB9-B636-AB828B957F48}"/>
    <cellStyle name="Normal 26 12" xfId="1926" xr:uid="{239F9DFE-0D81-4BFB-9BC4-55210122A119}"/>
    <cellStyle name="Normal 26 13" xfId="3816" xr:uid="{C5231961-FC36-46DE-933F-38B62A3D61D1}"/>
    <cellStyle name="Normal 26 14" xfId="5706" xr:uid="{A8F7D501-2371-492B-964E-17D3A263945F}"/>
    <cellStyle name="Normal 26 15" xfId="7596" xr:uid="{94CD0F34-CD92-48F9-90ED-40D0AB8A835B}"/>
    <cellStyle name="Normal 26 16" xfId="9486" xr:uid="{CAB4FFE6-6341-4542-A199-829F884DAE4A}"/>
    <cellStyle name="Normal 26 17" xfId="11376" xr:uid="{F37D751E-0907-4FDC-805F-7AFFD3148EFA}"/>
    <cellStyle name="Normal 26 18" xfId="13266" xr:uid="{023D2FA9-47F7-49CE-A75C-E540B63043B3}"/>
    <cellStyle name="Normal 26 19" xfId="15156" xr:uid="{F056C571-672E-4F01-A838-8C968239FC5F}"/>
    <cellStyle name="Normal 26 2" xfId="9" xr:uid="{00000000-0005-0000-0000-000036000000}"/>
    <cellStyle name="Normal 26 2 10" xfId="1297" xr:uid="{676C919B-F6C8-463E-A24D-63D09A07DFB2}"/>
    <cellStyle name="Normal 26 2 10 10" xfId="18307" xr:uid="{2362CB82-241A-448C-BD43-AE1AB1F3894A}"/>
    <cellStyle name="Normal 26 2 10 11" xfId="20197" xr:uid="{D0988D71-C708-441C-8690-7CEE634944F3}"/>
    <cellStyle name="Normal 26 2 10 12" xfId="22087" xr:uid="{B08BF977-A5CA-4B3C-8DE2-1E82DA60ED9D}"/>
    <cellStyle name="Normal 26 2 10 13" xfId="23977" xr:uid="{4B6F0BF1-F935-4266-B3B4-B2B91666E914}"/>
    <cellStyle name="Normal 26 2 10 14" xfId="25867" xr:uid="{07E95CF8-B7AE-4188-9AEE-E239D9B287FB}"/>
    <cellStyle name="Normal 26 2 10 15" xfId="27757" xr:uid="{48080D08-2EC1-457B-A491-4451B331A27F}"/>
    <cellStyle name="Normal 26 2 10 16" xfId="29647" xr:uid="{7FDB2A05-5AC5-40BD-AB7F-1F4B56E3C565}"/>
    <cellStyle name="Normal 26 2 10 17" xfId="31537" xr:uid="{37CCE7CC-CABD-4578-826A-BAC3A7F9957E}"/>
    <cellStyle name="Normal 26 2 10 18" xfId="33427" xr:uid="{F8B4E2CC-6DD2-4819-89FD-D10EB3818406}"/>
    <cellStyle name="Normal 26 2 10 19" xfId="35317" xr:uid="{A2542B02-61F6-438F-BFB0-B7E1EA87A945}"/>
    <cellStyle name="Normal 26 2 10 2" xfId="3187" xr:uid="{AF7C70AA-2209-4C19-A70B-2AECC2425B99}"/>
    <cellStyle name="Normal 26 2 10 20" xfId="37207" xr:uid="{9E96550C-BA79-4AF1-8836-D597622F25D8}"/>
    <cellStyle name="Normal 26 2 10 21" xfId="39097" xr:uid="{1780EF7D-2B30-4ED7-882F-76554D79E036}"/>
    <cellStyle name="Normal 26 2 10 22" xfId="40988" xr:uid="{0549E3EA-59FC-409E-BE20-3A7CEEBEA218}"/>
    <cellStyle name="Normal 26 2 10 3" xfId="5077" xr:uid="{D5830672-51D6-47F4-B3B8-5587D6F4D81B}"/>
    <cellStyle name="Normal 26 2 10 4" xfId="6967" xr:uid="{89AE5D75-FF7A-4ED3-AD93-DAA8DAC9D598}"/>
    <cellStyle name="Normal 26 2 10 5" xfId="8857" xr:uid="{F4826612-3618-4DAD-86D4-A95372AA6AA7}"/>
    <cellStyle name="Normal 26 2 10 6" xfId="10747" xr:uid="{27FAC197-1E2C-4B14-93E0-2CF2CE3ED192}"/>
    <cellStyle name="Normal 26 2 10 7" xfId="12637" xr:uid="{0AF78C7E-776A-471B-8F41-740950CC551A}"/>
    <cellStyle name="Normal 26 2 10 8" xfId="14527" xr:uid="{1753341B-9959-4FB4-9D09-E0B6FADAF5E2}"/>
    <cellStyle name="Normal 26 2 10 9" xfId="16417" xr:uid="{1CBE6AE2-1F3C-4CDC-8547-AABB24F91ADE}"/>
    <cellStyle name="Normal 26 2 11" xfId="1927" xr:uid="{ADC65243-6AE5-4FD5-98A9-4296BFAF57F0}"/>
    <cellStyle name="Normal 26 2 12" xfId="3817" xr:uid="{876E55DE-6BD2-4A92-940B-100D422210F1}"/>
    <cellStyle name="Normal 26 2 13" xfId="5707" xr:uid="{1D2323A0-AA30-4A5B-A4DB-E0CD3F03B689}"/>
    <cellStyle name="Normal 26 2 14" xfId="7597" xr:uid="{4F7C78A1-5741-465E-A59E-EDAAF8EA9BE5}"/>
    <cellStyle name="Normal 26 2 15" xfId="9487" xr:uid="{309A3A69-1079-48B2-9A90-046697825F1A}"/>
    <cellStyle name="Normal 26 2 16" xfId="11377" xr:uid="{85022F21-3469-4268-A491-C8D94EC32E64}"/>
    <cellStyle name="Normal 26 2 17" xfId="13267" xr:uid="{B8309377-0C0A-4C3A-8E38-4CCD978415EC}"/>
    <cellStyle name="Normal 26 2 18" xfId="15157" xr:uid="{4364CBD7-F3B6-4C6F-AD75-7E6FF14A1FB0}"/>
    <cellStyle name="Normal 26 2 19" xfId="17047" xr:uid="{8E5BB8ED-6869-42F5-8720-9851837A4A36}"/>
    <cellStyle name="Normal 26 2 2" xfId="23" xr:uid="{47F6C6E3-193C-444E-BFFC-6894025DB2A1}"/>
    <cellStyle name="Normal 26 2 2 10" xfId="7605" xr:uid="{7BCE659A-E4A5-4486-819C-A366643B1869}"/>
    <cellStyle name="Normal 26 2 2 11" xfId="9495" xr:uid="{03100D0E-DB34-4D6A-AE2C-ED9C7E0E04BF}"/>
    <cellStyle name="Normal 26 2 2 12" xfId="11385" xr:uid="{27EE42DD-7B5B-4E80-B14C-5BCCE128BE40}"/>
    <cellStyle name="Normal 26 2 2 13" xfId="13275" xr:uid="{3E233974-E621-4995-9F0D-B9089CD440A1}"/>
    <cellStyle name="Normal 26 2 2 14" xfId="15165" xr:uid="{02C10318-8582-441D-821C-4CF1C5C9EDEF}"/>
    <cellStyle name="Normal 26 2 2 15" xfId="17055" xr:uid="{729D199D-4116-4DD2-BB48-DC1CEDF2C47C}"/>
    <cellStyle name="Normal 26 2 2 16" xfId="18945" xr:uid="{11836BAC-546C-41C5-9257-95D7F68CD3E6}"/>
    <cellStyle name="Normal 26 2 2 17" xfId="20835" xr:uid="{6B4CA293-0673-4797-A186-C258437A680E}"/>
    <cellStyle name="Normal 26 2 2 18" xfId="22725" xr:uid="{11F80898-037B-4891-B3DA-AD4CFCC9264D}"/>
    <cellStyle name="Normal 26 2 2 19" xfId="24615" xr:uid="{4177CA27-4C50-4DF4-851D-14C59A6A5D6B}"/>
    <cellStyle name="Normal 26 2 2 2" xfId="150" xr:uid="{A0A0E7E0-218A-4148-B479-D1E05B103A99}"/>
    <cellStyle name="Normal 26 2 2 2 10" xfId="9600" xr:uid="{8F5AA06B-88D9-429A-8F07-B0A8698FDCA5}"/>
    <cellStyle name="Normal 26 2 2 2 11" xfId="11490" xr:uid="{609F731B-7CB2-4D34-8FA0-9D80DC1CFC7B}"/>
    <cellStyle name="Normal 26 2 2 2 12" xfId="13380" xr:uid="{D0CF562B-1F6E-4CF8-9C3C-E6C55A72C4E1}"/>
    <cellStyle name="Normal 26 2 2 2 13" xfId="15270" xr:uid="{AE6C1498-F107-47A8-9BE6-9DC1BF5A7E05}"/>
    <cellStyle name="Normal 26 2 2 2 14" xfId="17160" xr:uid="{7FD366E7-D88A-463E-B79C-0C8488A0AAE4}"/>
    <cellStyle name="Normal 26 2 2 2 15" xfId="19050" xr:uid="{4A1940D8-D0A1-413D-AF45-CD900E59DAEF}"/>
    <cellStyle name="Normal 26 2 2 2 16" xfId="20940" xr:uid="{88500737-DA44-49C1-9A96-91B885142290}"/>
    <cellStyle name="Normal 26 2 2 2 17" xfId="22830" xr:uid="{F9FF54D2-E423-4B99-ADA7-4B0C0CAE6B75}"/>
    <cellStyle name="Normal 26 2 2 2 18" xfId="24720" xr:uid="{A0920EAE-F8B7-4226-A55B-D7608C853B6C}"/>
    <cellStyle name="Normal 26 2 2 2 19" xfId="26610" xr:uid="{F2182766-3F87-402A-822E-FCF7ABB8067D}"/>
    <cellStyle name="Normal 26 2 2 2 2" xfId="360" xr:uid="{A690A78A-50A9-4A43-B6EF-9FEEE8179CCF}"/>
    <cellStyle name="Normal 26 2 2 2 2 10" xfId="13590" xr:uid="{2A4371E5-E84B-417A-A9B3-B74208DB903D}"/>
    <cellStyle name="Normal 26 2 2 2 2 11" xfId="15480" xr:uid="{285038A5-4516-4EBF-9078-110227A7C757}"/>
    <cellStyle name="Normal 26 2 2 2 2 12" xfId="17370" xr:uid="{7A0E9627-BFDC-45A2-8DFF-75398C1EC63F}"/>
    <cellStyle name="Normal 26 2 2 2 2 13" xfId="19260" xr:uid="{C06F7E07-E897-4DDD-B81F-029865B1D0B5}"/>
    <cellStyle name="Normal 26 2 2 2 2 14" xfId="21150" xr:uid="{ADA34210-762A-4923-BCF1-CC2708125C23}"/>
    <cellStyle name="Normal 26 2 2 2 2 15" xfId="23040" xr:uid="{676B184B-0D72-4A25-BF55-F2DE71FC3B05}"/>
    <cellStyle name="Normal 26 2 2 2 2 16" xfId="24930" xr:uid="{148D77D0-E07B-4046-9505-A4E8A72C8DE1}"/>
    <cellStyle name="Normal 26 2 2 2 2 17" xfId="26820" xr:uid="{A764232E-2904-4556-8B7D-9263B3BA2003}"/>
    <cellStyle name="Normal 26 2 2 2 2 18" xfId="28710" xr:uid="{A64CE6AD-CD60-414E-8E6E-2A6A22E06CFE}"/>
    <cellStyle name="Normal 26 2 2 2 2 19" xfId="30600" xr:uid="{D892DA36-41D3-41FF-A0A3-74873B57A9F2}"/>
    <cellStyle name="Normal 26 2 2 2 2 2" xfId="990" xr:uid="{413FF192-DCF7-4068-A7D4-30EC7192E9E1}"/>
    <cellStyle name="Normal 26 2 2 2 2 2 10" xfId="18000" xr:uid="{05C80955-2A06-4E3B-A850-FE319D4995C3}"/>
    <cellStyle name="Normal 26 2 2 2 2 2 11" xfId="19890" xr:uid="{E2CF3488-7849-44EF-ACED-D618152579CA}"/>
    <cellStyle name="Normal 26 2 2 2 2 2 12" xfId="21780" xr:uid="{732747D3-E185-4688-B0CA-B0B7D5F517EC}"/>
    <cellStyle name="Normal 26 2 2 2 2 2 13" xfId="23670" xr:uid="{2544A95D-DAF0-488E-AE84-1729D325B8A0}"/>
    <cellStyle name="Normal 26 2 2 2 2 2 14" xfId="25560" xr:uid="{44AD0D11-8A51-429A-907A-8E06F851E30F}"/>
    <cellStyle name="Normal 26 2 2 2 2 2 15" xfId="27450" xr:uid="{8F10E528-5C7F-4367-B8BD-BE82504165F4}"/>
    <cellStyle name="Normal 26 2 2 2 2 2 16" xfId="29340" xr:uid="{06FAB986-3878-4C06-80D9-0FFDEA5949BB}"/>
    <cellStyle name="Normal 26 2 2 2 2 2 17" xfId="31230" xr:uid="{3119F257-D53E-4AA5-B90A-F21CEFEF4475}"/>
    <cellStyle name="Normal 26 2 2 2 2 2 18" xfId="33120" xr:uid="{700A329B-22F4-4910-A4CD-AA747023414A}"/>
    <cellStyle name="Normal 26 2 2 2 2 2 19" xfId="35010" xr:uid="{D37CC480-D38D-4544-9536-26E5C4AFAF62}"/>
    <cellStyle name="Normal 26 2 2 2 2 2 2" xfId="2880" xr:uid="{F1A94165-B1B4-41F9-AF9F-DBF4FCF0E6EA}"/>
    <cellStyle name="Normal 26 2 2 2 2 2 20" xfId="36900" xr:uid="{4581F5F9-5844-4BCE-A86C-F5FCB2BD8686}"/>
    <cellStyle name="Normal 26 2 2 2 2 2 21" xfId="38790" xr:uid="{EA4EF9E0-68D3-42D8-9B5B-18AE70D19A57}"/>
    <cellStyle name="Normal 26 2 2 2 2 2 22" xfId="40681" xr:uid="{B5D4EFFE-3292-4F05-AE09-E0C93D9F8005}"/>
    <cellStyle name="Normal 26 2 2 2 2 2 3" xfId="4770" xr:uid="{E0154193-7F0E-4317-BA39-616F751C7085}"/>
    <cellStyle name="Normal 26 2 2 2 2 2 4" xfId="6660" xr:uid="{269DD768-FEC7-4FD1-9E64-A207EEA77EA5}"/>
    <cellStyle name="Normal 26 2 2 2 2 2 5" xfId="8550" xr:uid="{EA2D3032-A4B3-44DE-AC42-56EE5FC149DB}"/>
    <cellStyle name="Normal 26 2 2 2 2 2 6" xfId="10440" xr:uid="{1B8EACBB-3129-49B5-8BA6-723C5620DE01}"/>
    <cellStyle name="Normal 26 2 2 2 2 2 7" xfId="12330" xr:uid="{B41C1837-0296-4376-92FA-2C9492B7E729}"/>
    <cellStyle name="Normal 26 2 2 2 2 2 8" xfId="14220" xr:uid="{BFAF8858-6152-47C4-943D-EEBFA903E4DA}"/>
    <cellStyle name="Normal 26 2 2 2 2 2 9" xfId="16110" xr:uid="{99FEEEE8-CDF4-40C8-A6B6-2E632AD9A5C1}"/>
    <cellStyle name="Normal 26 2 2 2 2 20" xfId="32490" xr:uid="{C45A04F0-E7D3-496F-BF44-DB612E84622A}"/>
    <cellStyle name="Normal 26 2 2 2 2 21" xfId="34380" xr:uid="{4947F77B-D096-4F7D-A4CB-48BE8AAE421A}"/>
    <cellStyle name="Normal 26 2 2 2 2 22" xfId="36270" xr:uid="{D606EAAA-A818-4067-95D7-B37DE6FA2366}"/>
    <cellStyle name="Normal 26 2 2 2 2 23" xfId="38160" xr:uid="{B2001E00-0275-4FEF-AFBD-EE6B9F20954B}"/>
    <cellStyle name="Normal 26 2 2 2 2 24" xfId="40051" xr:uid="{C1712724-7522-4DCF-B6CE-4DE6F98BA026}"/>
    <cellStyle name="Normal 26 2 2 2 2 3" xfId="1620" xr:uid="{D0C547F1-BC3F-4074-B46D-4E2B41B2FC0D}"/>
    <cellStyle name="Normal 26 2 2 2 2 3 10" xfId="18630" xr:uid="{9D453FB4-2E36-437F-AFF6-7689BC3FEDA6}"/>
    <cellStyle name="Normal 26 2 2 2 2 3 11" xfId="20520" xr:uid="{7E7939DC-830A-45FA-9680-0F08A481F55E}"/>
    <cellStyle name="Normal 26 2 2 2 2 3 12" xfId="22410" xr:uid="{1CA6C7C3-268F-4129-B996-C41C94FB3614}"/>
    <cellStyle name="Normal 26 2 2 2 2 3 13" xfId="24300" xr:uid="{EDB48107-4206-4BDC-B08D-0AA4DEBE46C1}"/>
    <cellStyle name="Normal 26 2 2 2 2 3 14" xfId="26190" xr:uid="{B6A2F032-090B-4655-AC80-55F114ED6352}"/>
    <cellStyle name="Normal 26 2 2 2 2 3 15" xfId="28080" xr:uid="{029A53F6-5864-49E1-B22B-50220BDDE978}"/>
    <cellStyle name="Normal 26 2 2 2 2 3 16" xfId="29970" xr:uid="{ABC28BFB-787C-4CC9-9741-7EA958D5550B}"/>
    <cellStyle name="Normal 26 2 2 2 2 3 17" xfId="31860" xr:uid="{16E48303-7BB1-4A8E-9425-1F14F9768599}"/>
    <cellStyle name="Normal 26 2 2 2 2 3 18" xfId="33750" xr:uid="{93F08498-B91C-45FD-ACEA-D2AB265F4D38}"/>
    <cellStyle name="Normal 26 2 2 2 2 3 19" xfId="35640" xr:uid="{4D912188-82A8-4A5D-B193-E4E7CED59CF5}"/>
    <cellStyle name="Normal 26 2 2 2 2 3 2" xfId="3510" xr:uid="{73FD20AC-6DA3-48A2-B9C4-6944C587473A}"/>
    <cellStyle name="Normal 26 2 2 2 2 3 20" xfId="37530" xr:uid="{339A4ED5-6023-4C97-AB94-06B5DE63C813}"/>
    <cellStyle name="Normal 26 2 2 2 2 3 21" xfId="39420" xr:uid="{671FF03C-CCAB-4830-8915-9AC0B204DE3F}"/>
    <cellStyle name="Normal 26 2 2 2 2 3 22" xfId="41311" xr:uid="{BDBD9AC9-680D-4478-A534-DE7E40B80A7B}"/>
    <cellStyle name="Normal 26 2 2 2 2 3 3" xfId="5400" xr:uid="{B688C8D7-0419-4D94-BF40-4627089F52AD}"/>
    <cellStyle name="Normal 26 2 2 2 2 3 4" xfId="7290" xr:uid="{7FDAC159-DE4D-42A0-B426-20C13C2C445E}"/>
    <cellStyle name="Normal 26 2 2 2 2 3 5" xfId="9180" xr:uid="{AC928038-EC44-43D3-80FD-21DB3D4A590D}"/>
    <cellStyle name="Normal 26 2 2 2 2 3 6" xfId="11070" xr:uid="{ACA0D193-5B1B-4E71-A3FE-641B1FFB7DF2}"/>
    <cellStyle name="Normal 26 2 2 2 2 3 7" xfId="12960" xr:uid="{8FF8C595-030B-4C33-A0C3-B2809F7B79C7}"/>
    <cellStyle name="Normal 26 2 2 2 2 3 8" xfId="14850" xr:uid="{D5E0E23E-7A54-4F13-8D6C-A22D92721BD3}"/>
    <cellStyle name="Normal 26 2 2 2 2 3 9" xfId="16740" xr:uid="{F2FB069D-76BB-41BC-BB28-D7B7D487D32A}"/>
    <cellStyle name="Normal 26 2 2 2 2 4" xfId="2250" xr:uid="{67634C71-CBD0-4EF9-AF77-A1B68C3A4C56}"/>
    <cellStyle name="Normal 26 2 2 2 2 5" xfId="4140" xr:uid="{D877D528-DD7E-4E73-B2CC-103E758C1B7B}"/>
    <cellStyle name="Normal 26 2 2 2 2 6" xfId="6030" xr:uid="{7C16756C-D449-4332-89C8-C37F54985ADB}"/>
    <cellStyle name="Normal 26 2 2 2 2 7" xfId="7920" xr:uid="{65772180-36DB-4B6E-ACEA-2A609704A97E}"/>
    <cellStyle name="Normal 26 2 2 2 2 8" xfId="9810" xr:uid="{B0EA7DD6-482D-4254-BAA4-A6F1650BBD78}"/>
    <cellStyle name="Normal 26 2 2 2 2 9" xfId="11700" xr:uid="{1B80B53F-31C3-41D1-8C0D-ECE86D3FED82}"/>
    <cellStyle name="Normal 26 2 2 2 20" xfId="28500" xr:uid="{F9C1CF8A-1477-4E21-8F0E-3CCD5367FA1C}"/>
    <cellStyle name="Normal 26 2 2 2 21" xfId="30390" xr:uid="{9FE7F908-E175-48CE-8333-6E63620FA45C}"/>
    <cellStyle name="Normal 26 2 2 2 22" xfId="32280" xr:uid="{0CCC800B-2FCC-4C73-AAF4-A2CF9BA1D402}"/>
    <cellStyle name="Normal 26 2 2 2 23" xfId="34170" xr:uid="{909C7B38-FDE1-4B5B-A847-898049227D49}"/>
    <cellStyle name="Normal 26 2 2 2 24" xfId="36060" xr:uid="{ECC3AAF2-8EFE-4292-953B-EB8B5DC36D1E}"/>
    <cellStyle name="Normal 26 2 2 2 25" xfId="37950" xr:uid="{B79FEB19-B055-4D2E-A297-3B47DE1B8CC3}"/>
    <cellStyle name="Normal 26 2 2 2 26" xfId="39841" xr:uid="{5DE995DD-5601-420F-8C81-92E93A5383F0}"/>
    <cellStyle name="Normal 26 2 2 2 3" xfId="570" xr:uid="{B89ADFAC-2992-4081-88C5-FBC53518E4E8}"/>
    <cellStyle name="Normal 26 2 2 2 3 10" xfId="13800" xr:uid="{2D30502D-4596-448E-B2B8-D9123C9D29E9}"/>
    <cellStyle name="Normal 26 2 2 2 3 11" xfId="15690" xr:uid="{6FA8E892-085E-44E2-939B-1675B0DC484D}"/>
    <cellStyle name="Normal 26 2 2 2 3 12" xfId="17580" xr:uid="{E8810605-CFFF-4E69-813E-C83C2AF5F6ED}"/>
    <cellStyle name="Normal 26 2 2 2 3 13" xfId="19470" xr:uid="{1583BBFE-3D02-423B-8619-E69D715210FA}"/>
    <cellStyle name="Normal 26 2 2 2 3 14" xfId="21360" xr:uid="{B4B05717-76B1-4B05-AF25-B48398BC9607}"/>
    <cellStyle name="Normal 26 2 2 2 3 15" xfId="23250" xr:uid="{28076ED1-2813-4BF6-917F-E37AAD8E69A1}"/>
    <cellStyle name="Normal 26 2 2 2 3 16" xfId="25140" xr:uid="{544AAA58-1D01-4320-957C-74993E15C6ED}"/>
    <cellStyle name="Normal 26 2 2 2 3 17" xfId="27030" xr:uid="{40E12027-7581-48F2-A2F7-A28AFDEA03FF}"/>
    <cellStyle name="Normal 26 2 2 2 3 18" xfId="28920" xr:uid="{B477B288-CCBD-457B-BAA4-DCE0BCCF80B1}"/>
    <cellStyle name="Normal 26 2 2 2 3 19" xfId="30810" xr:uid="{8DF2A193-AFCC-4739-907F-9707789FC32F}"/>
    <cellStyle name="Normal 26 2 2 2 3 2" xfId="1200" xr:uid="{AD0C929A-64DF-4418-8F7F-85E5FE40D632}"/>
    <cellStyle name="Normal 26 2 2 2 3 2 10" xfId="18210" xr:uid="{20271072-F4EC-4C3C-B9EE-3F7D14EDDA2A}"/>
    <cellStyle name="Normal 26 2 2 2 3 2 11" xfId="20100" xr:uid="{B7918AEF-C369-4CE3-8EC8-67D3F00B413D}"/>
    <cellStyle name="Normal 26 2 2 2 3 2 12" xfId="21990" xr:uid="{7583D29F-D1C7-4912-8729-29B53AA2A032}"/>
    <cellStyle name="Normal 26 2 2 2 3 2 13" xfId="23880" xr:uid="{ED852FA1-F2D5-4050-8B2B-6760E874EB9E}"/>
    <cellStyle name="Normal 26 2 2 2 3 2 14" xfId="25770" xr:uid="{EF6AD042-E7C6-4914-8DC5-E40D1984AD55}"/>
    <cellStyle name="Normal 26 2 2 2 3 2 15" xfId="27660" xr:uid="{A9ED1376-B559-4160-A5B1-0D87FF868A77}"/>
    <cellStyle name="Normal 26 2 2 2 3 2 16" xfId="29550" xr:uid="{79870052-D363-472D-82C3-DC9F303D7E8F}"/>
    <cellStyle name="Normal 26 2 2 2 3 2 17" xfId="31440" xr:uid="{B13F6958-63E8-4B82-9BEE-EE5C195E93C1}"/>
    <cellStyle name="Normal 26 2 2 2 3 2 18" xfId="33330" xr:uid="{40048AE6-8C38-42B7-A024-763C4A021CBB}"/>
    <cellStyle name="Normal 26 2 2 2 3 2 19" xfId="35220" xr:uid="{FE9A30D8-2C89-49DD-AF9B-ADA7B77CBF22}"/>
    <cellStyle name="Normal 26 2 2 2 3 2 2" xfId="3090" xr:uid="{78B5CF71-9146-4740-AB21-ECCE9CD49BE0}"/>
    <cellStyle name="Normal 26 2 2 2 3 2 20" xfId="37110" xr:uid="{4CC7EAD1-CEB4-4633-87C4-7E7641AFC552}"/>
    <cellStyle name="Normal 26 2 2 2 3 2 21" xfId="39000" xr:uid="{5467B121-6CED-4058-B75C-6F9124B676A5}"/>
    <cellStyle name="Normal 26 2 2 2 3 2 22" xfId="40891" xr:uid="{E5709C9F-665F-405C-85E1-F6999E3431C3}"/>
    <cellStyle name="Normal 26 2 2 2 3 2 3" xfId="4980" xr:uid="{05864F12-C26C-4C2F-B1FB-1DEE78CBED4E}"/>
    <cellStyle name="Normal 26 2 2 2 3 2 4" xfId="6870" xr:uid="{656D3304-90FA-4506-97DA-1721CB00E441}"/>
    <cellStyle name="Normal 26 2 2 2 3 2 5" xfId="8760" xr:uid="{BD820E7B-ABF1-4452-9B1F-526C83FF5370}"/>
    <cellStyle name="Normal 26 2 2 2 3 2 6" xfId="10650" xr:uid="{5FC8E0C1-8EEE-4FF4-991A-CB41919FADCE}"/>
    <cellStyle name="Normal 26 2 2 2 3 2 7" xfId="12540" xr:uid="{DDCEB03C-D6DD-4626-829B-0D2E3F0F38BD}"/>
    <cellStyle name="Normal 26 2 2 2 3 2 8" xfId="14430" xr:uid="{E2FD02C5-8A40-4CF6-BC1A-4F8341D4A8B0}"/>
    <cellStyle name="Normal 26 2 2 2 3 2 9" xfId="16320" xr:uid="{EE5626D0-A91D-404D-A203-DC04CA99A3EC}"/>
    <cellStyle name="Normal 26 2 2 2 3 20" xfId="32700" xr:uid="{E139301E-4BC8-4DA6-8308-CAAAB421E6DE}"/>
    <cellStyle name="Normal 26 2 2 2 3 21" xfId="34590" xr:uid="{2A71AF55-A21C-4ECB-9375-480E7591CEA1}"/>
    <cellStyle name="Normal 26 2 2 2 3 22" xfId="36480" xr:uid="{6CF74E21-0615-43D1-B84F-96F1FD8E9AFF}"/>
    <cellStyle name="Normal 26 2 2 2 3 23" xfId="38370" xr:uid="{6FC4B2D3-F054-4547-A640-DF76C025DC0C}"/>
    <cellStyle name="Normal 26 2 2 2 3 24" xfId="40261" xr:uid="{655E552F-C02E-4777-95BA-168FFA6A4C38}"/>
    <cellStyle name="Normal 26 2 2 2 3 3" xfId="1830" xr:uid="{FBE29DDD-E3C8-4185-BF49-06F621A8884B}"/>
    <cellStyle name="Normal 26 2 2 2 3 3 10" xfId="18840" xr:uid="{DD5C815C-4AC2-4563-A4E1-28B41AE210EC}"/>
    <cellStyle name="Normal 26 2 2 2 3 3 11" xfId="20730" xr:uid="{695005CE-9167-44D1-B051-2750C4EC8E32}"/>
    <cellStyle name="Normal 26 2 2 2 3 3 12" xfId="22620" xr:uid="{F1D704D6-2526-4793-95CB-4B4585F47AAC}"/>
    <cellStyle name="Normal 26 2 2 2 3 3 13" xfId="24510" xr:uid="{28CE6C60-638B-4393-AFE6-B770B3AEB93E}"/>
    <cellStyle name="Normal 26 2 2 2 3 3 14" xfId="26400" xr:uid="{530D2D83-B99B-40F3-9682-1C58E9CB813F}"/>
    <cellStyle name="Normal 26 2 2 2 3 3 15" xfId="28290" xr:uid="{62AEA8B1-1104-4306-B4B2-32EFE3806433}"/>
    <cellStyle name="Normal 26 2 2 2 3 3 16" xfId="30180" xr:uid="{48C1EB4C-6039-41BE-8304-84D4E6DFDBCB}"/>
    <cellStyle name="Normal 26 2 2 2 3 3 17" xfId="32070" xr:uid="{1AE4E3F9-F5E6-45CE-B26B-F37D1353E8E4}"/>
    <cellStyle name="Normal 26 2 2 2 3 3 18" xfId="33960" xr:uid="{6447D11E-E923-4559-BAD2-AD5C9E6C5CEA}"/>
    <cellStyle name="Normal 26 2 2 2 3 3 19" xfId="35850" xr:uid="{31A6A203-2EC8-4F30-B971-98203CED8582}"/>
    <cellStyle name="Normal 26 2 2 2 3 3 2" xfId="3720" xr:uid="{EC4A85EA-D92D-47BD-B2CB-00037FB659BE}"/>
    <cellStyle name="Normal 26 2 2 2 3 3 20" xfId="37740" xr:uid="{242A2D4C-3B17-44F9-9247-F43F398CFA96}"/>
    <cellStyle name="Normal 26 2 2 2 3 3 21" xfId="39630" xr:uid="{DD5548AA-3EF6-4F27-8B18-BB6D6B2487B3}"/>
    <cellStyle name="Normal 26 2 2 2 3 3 22" xfId="41521" xr:uid="{92295DCC-B75D-4223-BB65-002A36090F9C}"/>
    <cellStyle name="Normal 26 2 2 2 3 3 3" xfId="5610" xr:uid="{B55FC36A-8B4B-4ED6-BFA9-2B781F25AB7B}"/>
    <cellStyle name="Normal 26 2 2 2 3 3 4" xfId="7500" xr:uid="{2BC03C72-C954-45B6-86FC-D3D72882B523}"/>
    <cellStyle name="Normal 26 2 2 2 3 3 5" xfId="9390" xr:uid="{411C4A7B-9011-402F-8DCE-51996B04183C}"/>
    <cellStyle name="Normal 26 2 2 2 3 3 6" xfId="11280" xr:uid="{D5AC0AE9-33A2-4C54-BAC8-4C720489E629}"/>
    <cellStyle name="Normal 26 2 2 2 3 3 7" xfId="13170" xr:uid="{5A13B242-6820-4217-B272-86A00A184035}"/>
    <cellStyle name="Normal 26 2 2 2 3 3 8" xfId="15060" xr:uid="{B37BA116-26AA-4C80-BD34-CBA90CAA6DED}"/>
    <cellStyle name="Normal 26 2 2 2 3 3 9" xfId="16950" xr:uid="{3BD3CC7D-154E-4855-8022-5F4131F21335}"/>
    <cellStyle name="Normal 26 2 2 2 3 4" xfId="2460" xr:uid="{08B7979D-1C4C-4C83-B7A7-7918A0A48FB7}"/>
    <cellStyle name="Normal 26 2 2 2 3 5" xfId="4350" xr:uid="{D40787BA-821A-4DA1-B22F-C8956F2E5F52}"/>
    <cellStyle name="Normal 26 2 2 2 3 6" xfId="6240" xr:uid="{84FC10D5-4092-4CC0-8E5E-45A04CBEBC20}"/>
    <cellStyle name="Normal 26 2 2 2 3 7" xfId="8130" xr:uid="{7EED07BE-45F1-4476-B8D0-D5A50A6B7F47}"/>
    <cellStyle name="Normal 26 2 2 2 3 8" xfId="10020" xr:uid="{C151F1D7-0826-4CE6-B167-0B66006EA493}"/>
    <cellStyle name="Normal 26 2 2 2 3 9" xfId="11910" xr:uid="{D9509BD4-4840-41CB-8149-C28F6FE5B885}"/>
    <cellStyle name="Normal 26 2 2 2 4" xfId="780" xr:uid="{E6447700-AE20-4240-9D1D-37795F957F9A}"/>
    <cellStyle name="Normal 26 2 2 2 4 10" xfId="17790" xr:uid="{6DE36B43-ABA0-4A50-B6C0-E2D6E48A288F}"/>
    <cellStyle name="Normal 26 2 2 2 4 11" xfId="19680" xr:uid="{C7B5F54F-CB9E-45BA-86AC-2D5AEACF1DEB}"/>
    <cellStyle name="Normal 26 2 2 2 4 12" xfId="21570" xr:uid="{A73CF714-FED1-40AA-887D-64720305F304}"/>
    <cellStyle name="Normal 26 2 2 2 4 13" xfId="23460" xr:uid="{5E46B264-8974-4BB9-932A-C041923C54F6}"/>
    <cellStyle name="Normal 26 2 2 2 4 14" xfId="25350" xr:uid="{5ED100EE-F460-4018-BFC6-36FA7E76C791}"/>
    <cellStyle name="Normal 26 2 2 2 4 15" xfId="27240" xr:uid="{EE19999A-3D41-4B94-A7B2-8BB282A28FEA}"/>
    <cellStyle name="Normal 26 2 2 2 4 16" xfId="29130" xr:uid="{F81E1FB5-F987-40BD-AF51-41E2398F9BE1}"/>
    <cellStyle name="Normal 26 2 2 2 4 17" xfId="31020" xr:uid="{354A3FF9-D771-44AB-BA62-D379852CDC91}"/>
    <cellStyle name="Normal 26 2 2 2 4 18" xfId="32910" xr:uid="{D8C3C05C-ADC8-49C5-9594-1B3AB8B26B7D}"/>
    <cellStyle name="Normal 26 2 2 2 4 19" xfId="34800" xr:uid="{2869046C-77A9-45FA-B5B0-0DAA7F849BA0}"/>
    <cellStyle name="Normal 26 2 2 2 4 2" xfId="2670" xr:uid="{8AEC3F0D-3C62-4B25-BDF6-94F09A3CC467}"/>
    <cellStyle name="Normal 26 2 2 2 4 20" xfId="36690" xr:uid="{C51314C1-C6EC-4990-93C7-DC90A6370E2A}"/>
    <cellStyle name="Normal 26 2 2 2 4 21" xfId="38580" xr:uid="{DEA91F23-80EE-4B88-BC54-B2BCDA9B19A2}"/>
    <cellStyle name="Normal 26 2 2 2 4 22" xfId="40471" xr:uid="{319883C8-41B6-49C9-8685-7CD617FD3DD4}"/>
    <cellStyle name="Normal 26 2 2 2 4 3" xfId="4560" xr:uid="{7AFE607C-7FB6-441D-A521-216BCD3386D5}"/>
    <cellStyle name="Normal 26 2 2 2 4 4" xfId="6450" xr:uid="{028A367D-E2D1-49BA-8ADF-300FAC24B3D6}"/>
    <cellStyle name="Normal 26 2 2 2 4 5" xfId="8340" xr:uid="{A275D600-AB0F-4A3C-B51A-958FEAADCF1E}"/>
    <cellStyle name="Normal 26 2 2 2 4 6" xfId="10230" xr:uid="{7D732BF2-84B4-4B07-90BE-7BE74237885D}"/>
    <cellStyle name="Normal 26 2 2 2 4 7" xfId="12120" xr:uid="{1AB937DD-B46F-4146-8713-55DFD014CEDB}"/>
    <cellStyle name="Normal 26 2 2 2 4 8" xfId="14010" xr:uid="{5DD5ACF6-8832-48DB-9F4D-A1E737A32518}"/>
    <cellStyle name="Normal 26 2 2 2 4 9" xfId="15900" xr:uid="{D2E46B70-E90D-49B2-905D-BDA028B06101}"/>
    <cellStyle name="Normal 26 2 2 2 5" xfId="1410" xr:uid="{7F4AC647-5B68-4163-89AE-8BA468C776EA}"/>
    <cellStyle name="Normal 26 2 2 2 5 10" xfId="18420" xr:uid="{28A62FD9-2016-4407-853E-C56C296A1423}"/>
    <cellStyle name="Normal 26 2 2 2 5 11" xfId="20310" xr:uid="{755E1ADB-F8AB-4339-9535-60259B0B6AF9}"/>
    <cellStyle name="Normal 26 2 2 2 5 12" xfId="22200" xr:uid="{0C805843-E67A-43F2-AE57-F578F01F909A}"/>
    <cellStyle name="Normal 26 2 2 2 5 13" xfId="24090" xr:uid="{42C006D3-772A-4FCF-94FC-929DDE3F9070}"/>
    <cellStyle name="Normal 26 2 2 2 5 14" xfId="25980" xr:uid="{F76A9DBB-FD8C-4998-9E53-873D3C90F16E}"/>
    <cellStyle name="Normal 26 2 2 2 5 15" xfId="27870" xr:uid="{23A078BE-CDF7-4E78-821B-BF03D4D58325}"/>
    <cellStyle name="Normal 26 2 2 2 5 16" xfId="29760" xr:uid="{13EE68DC-0901-44D6-AA8C-BED594C39F16}"/>
    <cellStyle name="Normal 26 2 2 2 5 17" xfId="31650" xr:uid="{AF8B8625-0016-485B-AA58-A8F8A5C529F4}"/>
    <cellStyle name="Normal 26 2 2 2 5 18" xfId="33540" xr:uid="{C819005A-98C4-48FD-9141-40582AB366CC}"/>
    <cellStyle name="Normal 26 2 2 2 5 19" xfId="35430" xr:uid="{3BF7416C-D24B-4693-A777-FDABC8A61279}"/>
    <cellStyle name="Normal 26 2 2 2 5 2" xfId="3300" xr:uid="{88DA0054-EE6E-43BE-AC00-09E0617A5395}"/>
    <cellStyle name="Normal 26 2 2 2 5 20" xfId="37320" xr:uid="{FC76E6FE-A4E1-46D3-B83C-F01A2161B147}"/>
    <cellStyle name="Normal 26 2 2 2 5 21" xfId="39210" xr:uid="{E4C791B4-60DD-40E4-854C-60CEC5E00ED0}"/>
    <cellStyle name="Normal 26 2 2 2 5 22" xfId="41101" xr:uid="{56232E54-222D-4321-85E4-700B126C6FD8}"/>
    <cellStyle name="Normal 26 2 2 2 5 3" xfId="5190" xr:uid="{EB48C636-593C-408A-8377-B40AA8ADB692}"/>
    <cellStyle name="Normal 26 2 2 2 5 4" xfId="7080" xr:uid="{FB56AB62-11B5-46E6-9E85-6C628A1179F8}"/>
    <cellStyle name="Normal 26 2 2 2 5 5" xfId="8970" xr:uid="{BBC782D7-E568-46D6-8483-F793828CBD9F}"/>
    <cellStyle name="Normal 26 2 2 2 5 6" xfId="10860" xr:uid="{94C141F0-7BB3-4A68-AE85-491B6D1B3545}"/>
    <cellStyle name="Normal 26 2 2 2 5 7" xfId="12750" xr:uid="{59CAB6F2-98CA-4127-AE7C-1B2460DE3876}"/>
    <cellStyle name="Normal 26 2 2 2 5 8" xfId="14640" xr:uid="{12E02AD2-EBB5-47E4-A1E2-74827B20E7B5}"/>
    <cellStyle name="Normal 26 2 2 2 5 9" xfId="16530" xr:uid="{8AB2CE45-0BA4-433A-8019-895085973419}"/>
    <cellStyle name="Normal 26 2 2 2 6" xfId="2040" xr:uid="{7352FB56-B4A5-4E0C-9E69-B94767646392}"/>
    <cellStyle name="Normal 26 2 2 2 7" xfId="3930" xr:uid="{06B4BD8A-8BF2-4D83-89D8-52B9BEC82BD9}"/>
    <cellStyle name="Normal 26 2 2 2 8" xfId="5820" xr:uid="{1C48DF5E-9225-4470-9724-6DB1F9632893}"/>
    <cellStyle name="Normal 26 2 2 2 9" xfId="7710" xr:uid="{CB116BC5-E81D-45EF-ABC5-3F066313E96B}"/>
    <cellStyle name="Normal 26 2 2 20" xfId="26505" xr:uid="{EB0BEE52-CE67-4939-B9B1-58748E6792CA}"/>
    <cellStyle name="Normal 26 2 2 21" xfId="28395" xr:uid="{1F5DE27C-EC97-470A-8AD1-68C15919BA40}"/>
    <cellStyle name="Normal 26 2 2 22" xfId="30285" xr:uid="{2B3AB439-DED6-4B69-B404-0DB5C4125C6B}"/>
    <cellStyle name="Normal 26 2 2 23" xfId="32175" xr:uid="{2940C941-F7BC-4B89-912C-A1082B6D02EB}"/>
    <cellStyle name="Normal 26 2 2 24" xfId="34065" xr:uid="{D00422A6-09E3-4BB0-866F-7AECC517D985}"/>
    <cellStyle name="Normal 26 2 2 25" xfId="35955" xr:uid="{84BAE558-70D2-4F63-AF20-318F60F56334}"/>
    <cellStyle name="Normal 26 2 2 26" xfId="37845" xr:uid="{B1FC4E65-57DD-42CA-9A09-6CD792920E81}"/>
    <cellStyle name="Normal 26 2 2 27" xfId="39736" xr:uid="{8D3BD609-6D8C-48B7-8BDD-B4819D503664}"/>
    <cellStyle name="Normal 26 2 2 3" xfId="255" xr:uid="{C3E64B2A-C283-4962-BB33-3E2B120980A3}"/>
    <cellStyle name="Normal 26 2 2 3 10" xfId="13485" xr:uid="{877AC526-5456-459C-9808-F9B6A3C3D43F}"/>
    <cellStyle name="Normal 26 2 2 3 11" xfId="15375" xr:uid="{F040772D-066E-45CE-A065-24B8202B0676}"/>
    <cellStyle name="Normal 26 2 2 3 12" xfId="17265" xr:uid="{FAC6A861-1D87-4766-82FE-EE220679826B}"/>
    <cellStyle name="Normal 26 2 2 3 13" xfId="19155" xr:uid="{FF68B6D8-8304-4CE7-A80E-97E0731B1425}"/>
    <cellStyle name="Normal 26 2 2 3 14" xfId="21045" xr:uid="{68A3EF5A-1DD2-4681-966F-359065AA96E2}"/>
    <cellStyle name="Normal 26 2 2 3 15" xfId="22935" xr:uid="{893EAA1A-183D-4359-9F13-3B9A3EC14CB7}"/>
    <cellStyle name="Normal 26 2 2 3 16" xfId="24825" xr:uid="{06784596-836D-4C1E-A910-DC0C20316AB7}"/>
    <cellStyle name="Normal 26 2 2 3 17" xfId="26715" xr:uid="{E3C8CF00-9FC9-4DE5-80C6-82DE15C8C3BF}"/>
    <cellStyle name="Normal 26 2 2 3 18" xfId="28605" xr:uid="{E4E7C264-5A4E-4C6C-8A43-E6510301094E}"/>
    <cellStyle name="Normal 26 2 2 3 19" xfId="30495" xr:uid="{244B54E6-9C3F-40B5-9512-DEDEFAA6243F}"/>
    <cellStyle name="Normal 26 2 2 3 2" xfId="885" xr:uid="{41C972E7-63AA-4CBC-A4D8-E4CE03FFFEB1}"/>
    <cellStyle name="Normal 26 2 2 3 2 10" xfId="17895" xr:uid="{C72EDCFD-45B7-4E3A-B17F-1B34005238AA}"/>
    <cellStyle name="Normal 26 2 2 3 2 11" xfId="19785" xr:uid="{18EA9057-FDE6-4B36-9612-9C151C063269}"/>
    <cellStyle name="Normal 26 2 2 3 2 12" xfId="21675" xr:uid="{4F6F7D39-AF3D-4F29-A6A8-85AC4F046DC0}"/>
    <cellStyle name="Normal 26 2 2 3 2 13" xfId="23565" xr:uid="{707FD51B-80C3-4512-A202-BAC8B6674D92}"/>
    <cellStyle name="Normal 26 2 2 3 2 14" xfId="25455" xr:uid="{D7464725-9EE8-4BE2-AE25-FB5ACFA4791C}"/>
    <cellStyle name="Normal 26 2 2 3 2 15" xfId="27345" xr:uid="{F47B2C43-6ACE-42E5-8838-4A44DD19265E}"/>
    <cellStyle name="Normal 26 2 2 3 2 16" xfId="29235" xr:uid="{BAA30040-2109-448B-9EE3-CC20268B207D}"/>
    <cellStyle name="Normal 26 2 2 3 2 17" xfId="31125" xr:uid="{C1D1FA49-0CCB-4C7B-8173-A7DBCB06FA86}"/>
    <cellStyle name="Normal 26 2 2 3 2 18" xfId="33015" xr:uid="{B83DCAD2-4A80-4475-8FE0-C5903059BFBF}"/>
    <cellStyle name="Normal 26 2 2 3 2 19" xfId="34905" xr:uid="{0600F694-170F-4FBB-87AB-DD45E02DE01C}"/>
    <cellStyle name="Normal 26 2 2 3 2 2" xfId="2775" xr:uid="{A8F852F7-8C31-4753-86EA-303003A96461}"/>
    <cellStyle name="Normal 26 2 2 3 2 20" xfId="36795" xr:uid="{212B754B-4210-452A-9C3F-54BE44410EE3}"/>
    <cellStyle name="Normal 26 2 2 3 2 21" xfId="38685" xr:uid="{F21F9F90-8510-4F5F-BA02-FB1AB61D036A}"/>
    <cellStyle name="Normal 26 2 2 3 2 22" xfId="40576" xr:uid="{ED4B9FAE-36F9-45B4-AE7F-126535F903C3}"/>
    <cellStyle name="Normal 26 2 2 3 2 3" xfId="4665" xr:uid="{8B188733-8F66-4240-9434-8E5BF394AA48}"/>
    <cellStyle name="Normal 26 2 2 3 2 4" xfId="6555" xr:uid="{4754B6D3-278E-48E5-813D-D84C14F8E6D3}"/>
    <cellStyle name="Normal 26 2 2 3 2 5" xfId="8445" xr:uid="{4ACC63A8-BA4B-4951-B249-748879C8766A}"/>
    <cellStyle name="Normal 26 2 2 3 2 6" xfId="10335" xr:uid="{33DA5303-6EDA-43F2-AFCC-6E2D6E5C5474}"/>
    <cellStyle name="Normal 26 2 2 3 2 7" xfId="12225" xr:uid="{791DEB66-48DF-41EE-94B5-9A0F2664A47F}"/>
    <cellStyle name="Normal 26 2 2 3 2 8" xfId="14115" xr:uid="{ADA6B7D1-64CB-429D-9A7D-157FA748E7A5}"/>
    <cellStyle name="Normal 26 2 2 3 2 9" xfId="16005" xr:uid="{BDBB4E87-F1BD-4128-9F07-A9AD84EDE114}"/>
    <cellStyle name="Normal 26 2 2 3 20" xfId="32385" xr:uid="{1096C7CD-9133-44F4-8875-22DD2B166480}"/>
    <cellStyle name="Normal 26 2 2 3 21" xfId="34275" xr:uid="{99FBBDAB-86E9-4A1A-9D3F-1B38E909E772}"/>
    <cellStyle name="Normal 26 2 2 3 22" xfId="36165" xr:uid="{690A0AA0-CCD4-4BE7-A7FB-3D4EA4D3D1C0}"/>
    <cellStyle name="Normal 26 2 2 3 23" xfId="38055" xr:uid="{6391E414-D1E6-41DD-B9CA-63D11193DDED}"/>
    <cellStyle name="Normal 26 2 2 3 24" xfId="39946" xr:uid="{D5959769-D904-407E-9D95-2E8D941C83BF}"/>
    <cellStyle name="Normal 26 2 2 3 3" xfId="1515" xr:uid="{15CF6522-14DD-4AE1-A214-0CD4B27D0163}"/>
    <cellStyle name="Normal 26 2 2 3 3 10" xfId="18525" xr:uid="{EA0F970A-B259-4567-9515-AC7C0B40B831}"/>
    <cellStyle name="Normal 26 2 2 3 3 11" xfId="20415" xr:uid="{0B010C2C-023A-46CF-B11E-5D61100BFCEA}"/>
    <cellStyle name="Normal 26 2 2 3 3 12" xfId="22305" xr:uid="{D21FF354-1136-4861-8D08-DEB940366BAE}"/>
    <cellStyle name="Normal 26 2 2 3 3 13" xfId="24195" xr:uid="{81E48729-D867-40DF-A11C-6A113E4E32ED}"/>
    <cellStyle name="Normal 26 2 2 3 3 14" xfId="26085" xr:uid="{DF46CF78-F7BF-4E1E-B921-73C0BAB8BDA7}"/>
    <cellStyle name="Normal 26 2 2 3 3 15" xfId="27975" xr:uid="{5B51B090-E5C0-4502-966A-2761E673B1F0}"/>
    <cellStyle name="Normal 26 2 2 3 3 16" xfId="29865" xr:uid="{CE33DC5F-74FE-4F63-A725-AD1DBE441412}"/>
    <cellStyle name="Normal 26 2 2 3 3 17" xfId="31755" xr:uid="{1ABDD576-C086-4513-AB85-2E977A5CD149}"/>
    <cellStyle name="Normal 26 2 2 3 3 18" xfId="33645" xr:uid="{F97379C0-AA47-4BD7-8489-1C221F8A4F08}"/>
    <cellStyle name="Normal 26 2 2 3 3 19" xfId="35535" xr:uid="{38D0720C-3D25-474F-A0D3-2A30E79158D8}"/>
    <cellStyle name="Normal 26 2 2 3 3 2" xfId="3405" xr:uid="{41372608-55A2-4EBC-93C7-77E7CE2A4911}"/>
    <cellStyle name="Normal 26 2 2 3 3 20" xfId="37425" xr:uid="{2A8F30CC-3305-4C69-916A-4E6274628610}"/>
    <cellStyle name="Normal 26 2 2 3 3 21" xfId="39315" xr:uid="{D6327B0A-DA7B-43D8-8047-9BCE57C3C31F}"/>
    <cellStyle name="Normal 26 2 2 3 3 22" xfId="41206" xr:uid="{100C40C3-D683-4FD7-B894-A7A9E8A30C5C}"/>
    <cellStyle name="Normal 26 2 2 3 3 3" xfId="5295" xr:uid="{5850A1C1-FC9E-402D-8A3F-8FCC2C8BB2AE}"/>
    <cellStyle name="Normal 26 2 2 3 3 4" xfId="7185" xr:uid="{800DDECA-4094-48C3-A850-CBA12C852C1F}"/>
    <cellStyle name="Normal 26 2 2 3 3 5" xfId="9075" xr:uid="{B9773743-04B0-4DEC-BA04-D2E418C07185}"/>
    <cellStyle name="Normal 26 2 2 3 3 6" xfId="10965" xr:uid="{51A4025C-19C4-4DAA-BC96-1BFCF10A493A}"/>
    <cellStyle name="Normal 26 2 2 3 3 7" xfId="12855" xr:uid="{E7F1C88E-E7E0-4808-BB6A-AF11C357D62E}"/>
    <cellStyle name="Normal 26 2 2 3 3 8" xfId="14745" xr:uid="{19A25B44-8B3C-44C8-8B58-ABE7E18FECD2}"/>
    <cellStyle name="Normal 26 2 2 3 3 9" xfId="16635" xr:uid="{88E1E4BD-B8BC-405B-8AEA-85F456ED1666}"/>
    <cellStyle name="Normal 26 2 2 3 4" xfId="2145" xr:uid="{05F7FD30-647A-4EE3-B07B-CD1E6846F550}"/>
    <cellStyle name="Normal 26 2 2 3 5" xfId="4035" xr:uid="{E26C2E36-D1A3-49AF-827A-6E3462A7E109}"/>
    <cellStyle name="Normal 26 2 2 3 6" xfId="5925" xr:uid="{BAF0A42C-8B39-4798-9909-E89C8FF1DD93}"/>
    <cellStyle name="Normal 26 2 2 3 7" xfId="7815" xr:uid="{ED3D0FC1-54A6-4B40-A679-1CD49DF8F6C3}"/>
    <cellStyle name="Normal 26 2 2 3 8" xfId="9705" xr:uid="{95CB9755-BAFB-4447-81A2-2AEFDCB97532}"/>
    <cellStyle name="Normal 26 2 2 3 9" xfId="11595" xr:uid="{2252BEEA-44F8-424D-B7A6-FF49631A9D5A}"/>
    <cellStyle name="Normal 26 2 2 4" xfId="465" xr:uid="{ABD82266-190D-43B8-980B-5FF728B50779}"/>
    <cellStyle name="Normal 26 2 2 4 10" xfId="13695" xr:uid="{8C1340E7-5B29-4054-BF14-9B16C33E2C78}"/>
    <cellStyle name="Normal 26 2 2 4 11" xfId="15585" xr:uid="{E1B7261C-5DDE-4940-9364-8FC94E1F2E06}"/>
    <cellStyle name="Normal 26 2 2 4 12" xfId="17475" xr:uid="{F874366B-B391-44BB-AF5C-2D7AB057739B}"/>
    <cellStyle name="Normal 26 2 2 4 13" xfId="19365" xr:uid="{6C26F5F5-F3DA-4AA6-A9E9-CD33DDD4C589}"/>
    <cellStyle name="Normal 26 2 2 4 14" xfId="21255" xr:uid="{9EA5686F-BCBD-43FB-86E9-EB2096235ABE}"/>
    <cellStyle name="Normal 26 2 2 4 15" xfId="23145" xr:uid="{5A40B0CF-938A-4D49-83FC-45096040B646}"/>
    <cellStyle name="Normal 26 2 2 4 16" xfId="25035" xr:uid="{55E11ACD-8A9E-4610-A569-7EA374D4FFCA}"/>
    <cellStyle name="Normal 26 2 2 4 17" xfId="26925" xr:uid="{1AF7A748-428F-4DE6-9946-DAE58A88DF78}"/>
    <cellStyle name="Normal 26 2 2 4 18" xfId="28815" xr:uid="{787474F7-9D22-435A-9EB5-A45E2C641BB8}"/>
    <cellStyle name="Normal 26 2 2 4 19" xfId="30705" xr:uid="{28136C2D-0A1A-43B6-B629-C883F79863EB}"/>
    <cellStyle name="Normal 26 2 2 4 2" xfId="1095" xr:uid="{C07CF9EA-4F0F-4C21-B092-AFA8DD8E8354}"/>
    <cellStyle name="Normal 26 2 2 4 2 10" xfId="18105" xr:uid="{1393CA24-674E-45DC-8A8A-E6428DF68F71}"/>
    <cellStyle name="Normal 26 2 2 4 2 11" xfId="19995" xr:uid="{F944594E-9338-439A-B6F0-2951F1E374EB}"/>
    <cellStyle name="Normal 26 2 2 4 2 12" xfId="21885" xr:uid="{9D6754B5-3B1C-476C-A3DC-7F37BB79C1A1}"/>
    <cellStyle name="Normal 26 2 2 4 2 13" xfId="23775" xr:uid="{AEBE6375-C6C1-492C-BEB4-CF1813E135E8}"/>
    <cellStyle name="Normal 26 2 2 4 2 14" xfId="25665" xr:uid="{3AE5E4A1-4E8A-4EA8-BD4C-D89785DE487C}"/>
    <cellStyle name="Normal 26 2 2 4 2 15" xfId="27555" xr:uid="{2285FA33-E859-41C7-AF01-5A5E842E42A7}"/>
    <cellStyle name="Normal 26 2 2 4 2 16" xfId="29445" xr:uid="{C2505DD2-DD6F-4572-A8E4-B0DBC26C6DED}"/>
    <cellStyle name="Normal 26 2 2 4 2 17" xfId="31335" xr:uid="{AA47F0E1-05A2-4FC4-98B5-F3EA82B766C3}"/>
    <cellStyle name="Normal 26 2 2 4 2 18" xfId="33225" xr:uid="{18D05433-7639-4057-91E2-014C5BC75AAE}"/>
    <cellStyle name="Normal 26 2 2 4 2 19" xfId="35115" xr:uid="{9C9DE1CB-EE7D-4C02-AA12-C8DED0680456}"/>
    <cellStyle name="Normal 26 2 2 4 2 2" xfId="2985" xr:uid="{93EE1153-3176-41AA-8C38-408D334A14F4}"/>
    <cellStyle name="Normal 26 2 2 4 2 20" xfId="37005" xr:uid="{411E404F-1F11-4A64-B41A-EBA5E496CD67}"/>
    <cellStyle name="Normal 26 2 2 4 2 21" xfId="38895" xr:uid="{A693750D-2652-4E69-A7AD-A111F61C89E1}"/>
    <cellStyle name="Normal 26 2 2 4 2 22" xfId="40786" xr:uid="{B4AB8174-A177-497C-9F33-563C9965B212}"/>
    <cellStyle name="Normal 26 2 2 4 2 3" xfId="4875" xr:uid="{DA6A7494-48E3-4F61-959C-EE9D3EF3FBA8}"/>
    <cellStyle name="Normal 26 2 2 4 2 4" xfId="6765" xr:uid="{6675BF51-7A55-47CE-B470-65A74B2D2319}"/>
    <cellStyle name="Normal 26 2 2 4 2 5" xfId="8655" xr:uid="{62E137A0-ADAF-460C-818E-DD1564C17F98}"/>
    <cellStyle name="Normal 26 2 2 4 2 6" xfId="10545" xr:uid="{70DD9731-F86B-442C-B772-493541BD78AC}"/>
    <cellStyle name="Normal 26 2 2 4 2 7" xfId="12435" xr:uid="{98926B54-2E19-4F2F-A6CD-2C666663AF4C}"/>
    <cellStyle name="Normal 26 2 2 4 2 8" xfId="14325" xr:uid="{DD37C93C-5888-482F-BAC3-7F7E135067C7}"/>
    <cellStyle name="Normal 26 2 2 4 2 9" xfId="16215" xr:uid="{A843AA19-AE30-4D3A-BD82-4B94F09C1CA4}"/>
    <cellStyle name="Normal 26 2 2 4 20" xfId="32595" xr:uid="{D100D9B9-AAC4-4E93-8F48-C7BF104FC0F5}"/>
    <cellStyle name="Normal 26 2 2 4 21" xfId="34485" xr:uid="{0A449975-C468-43B8-B912-8C44489C2737}"/>
    <cellStyle name="Normal 26 2 2 4 22" xfId="36375" xr:uid="{0EF762CD-75D0-468D-A57D-632C70D8DDA0}"/>
    <cellStyle name="Normal 26 2 2 4 23" xfId="38265" xr:uid="{A7CDD148-90BC-46F7-A49D-BF8AFF975B86}"/>
    <cellStyle name="Normal 26 2 2 4 24" xfId="40156" xr:uid="{39F52F11-D2EF-425D-99BF-548663D96F47}"/>
    <cellStyle name="Normal 26 2 2 4 3" xfId="1725" xr:uid="{F1C30B70-2BDE-450C-8621-56B145005997}"/>
    <cellStyle name="Normal 26 2 2 4 3 10" xfId="18735" xr:uid="{A81807F8-4CAB-430B-9629-99829F9ED136}"/>
    <cellStyle name="Normal 26 2 2 4 3 11" xfId="20625" xr:uid="{5938952A-35A1-4B3F-9A97-69FCA7F1C3AC}"/>
    <cellStyle name="Normal 26 2 2 4 3 12" xfId="22515" xr:uid="{433E6DB2-53FC-4518-B870-3E76C438CBDA}"/>
    <cellStyle name="Normal 26 2 2 4 3 13" xfId="24405" xr:uid="{5EA09EA2-1FB7-4A10-8D21-3647ACD987D6}"/>
    <cellStyle name="Normal 26 2 2 4 3 14" xfId="26295" xr:uid="{6B4D662D-3830-4DDC-8B9F-987A5787A475}"/>
    <cellStyle name="Normal 26 2 2 4 3 15" xfId="28185" xr:uid="{823BB652-95BD-436F-852B-FDAF90467310}"/>
    <cellStyle name="Normal 26 2 2 4 3 16" xfId="30075" xr:uid="{332CF809-A781-4A55-9386-E98C72173AA4}"/>
    <cellStyle name="Normal 26 2 2 4 3 17" xfId="31965" xr:uid="{47E32DB7-D32D-4D69-B932-FF9837D1CCC2}"/>
    <cellStyle name="Normal 26 2 2 4 3 18" xfId="33855" xr:uid="{B0332840-8D54-4DDF-A305-9165E235E986}"/>
    <cellStyle name="Normal 26 2 2 4 3 19" xfId="35745" xr:uid="{6A794B1D-0147-4EF9-AA1E-3EDC372C3D88}"/>
    <cellStyle name="Normal 26 2 2 4 3 2" xfId="3615" xr:uid="{D802C618-00BF-41DB-90B3-8233D46A276C}"/>
    <cellStyle name="Normal 26 2 2 4 3 20" xfId="37635" xr:uid="{6913E9F1-607E-4B0D-A8D4-51A898D6C4EC}"/>
    <cellStyle name="Normal 26 2 2 4 3 21" xfId="39525" xr:uid="{02396AA0-008A-4B99-A5BE-BCCF461C314E}"/>
    <cellStyle name="Normal 26 2 2 4 3 22" xfId="41416" xr:uid="{4446E61D-86F4-4455-81CB-0605B78D1869}"/>
    <cellStyle name="Normal 26 2 2 4 3 3" xfId="5505" xr:uid="{214DCEDE-DAEF-4742-9482-732E4FFDE2E3}"/>
    <cellStyle name="Normal 26 2 2 4 3 4" xfId="7395" xr:uid="{A1285429-CF61-43A0-9118-273E2495A70A}"/>
    <cellStyle name="Normal 26 2 2 4 3 5" xfId="9285" xr:uid="{9FC84B19-4137-4C73-BFDD-38F59A3D08B4}"/>
    <cellStyle name="Normal 26 2 2 4 3 6" xfId="11175" xr:uid="{0C224745-D948-476C-BBC3-52412479DC3F}"/>
    <cellStyle name="Normal 26 2 2 4 3 7" xfId="13065" xr:uid="{473A9BC2-D7B5-44B3-AD81-FD5943EFC7CE}"/>
    <cellStyle name="Normal 26 2 2 4 3 8" xfId="14955" xr:uid="{9279582D-6762-4812-B38F-526B21F8FCD3}"/>
    <cellStyle name="Normal 26 2 2 4 3 9" xfId="16845" xr:uid="{472CB595-9FC9-4619-A9BE-9A63B04DAEEC}"/>
    <cellStyle name="Normal 26 2 2 4 4" xfId="2355" xr:uid="{EF31476C-D788-441E-B9FF-08823F33276F}"/>
    <cellStyle name="Normal 26 2 2 4 5" xfId="4245" xr:uid="{213D8766-A979-4CCE-B669-7791BE96B679}"/>
    <cellStyle name="Normal 26 2 2 4 6" xfId="6135" xr:uid="{8EAA0EF7-6EDA-4116-94D7-35814D73B39E}"/>
    <cellStyle name="Normal 26 2 2 4 7" xfId="8025" xr:uid="{268BEE19-5400-4EF3-80DC-3452E45796DE}"/>
    <cellStyle name="Normal 26 2 2 4 8" xfId="9915" xr:uid="{288B1606-9BDB-4162-AC5E-67EAE15980F1}"/>
    <cellStyle name="Normal 26 2 2 4 9" xfId="11805" xr:uid="{68246DB7-B824-4D0C-865B-566BFFAE001E}"/>
    <cellStyle name="Normal 26 2 2 5" xfId="675" xr:uid="{A656D307-7BB3-4B8D-AC53-8C02ED105832}"/>
    <cellStyle name="Normal 26 2 2 5 10" xfId="17685" xr:uid="{1D5C0055-6506-47D3-A83D-9E25BFD50348}"/>
    <cellStyle name="Normal 26 2 2 5 11" xfId="19575" xr:uid="{2913B64C-0AEF-4F5F-96F6-AA99AFD1E130}"/>
    <cellStyle name="Normal 26 2 2 5 12" xfId="21465" xr:uid="{38BD4829-0DB5-49C1-B0EA-D61672729E22}"/>
    <cellStyle name="Normal 26 2 2 5 13" xfId="23355" xr:uid="{C981A984-6546-470E-8720-BD8508768F74}"/>
    <cellStyle name="Normal 26 2 2 5 14" xfId="25245" xr:uid="{FF734DB6-6DA8-44E3-A5EF-29AF9DFE30E3}"/>
    <cellStyle name="Normal 26 2 2 5 15" xfId="27135" xr:uid="{BE05AEEE-D250-44A0-9676-6745F22BD017}"/>
    <cellStyle name="Normal 26 2 2 5 16" xfId="29025" xr:uid="{B6507C32-A405-470D-937D-163507D32CAB}"/>
    <cellStyle name="Normal 26 2 2 5 17" xfId="30915" xr:uid="{C165A679-A344-4E07-923C-FEB864642A24}"/>
    <cellStyle name="Normal 26 2 2 5 18" xfId="32805" xr:uid="{66CE84D1-EF88-4631-B6F1-C54685CD2475}"/>
    <cellStyle name="Normal 26 2 2 5 19" xfId="34695" xr:uid="{9F3809AC-844F-4A0D-911D-7F90BAD63516}"/>
    <cellStyle name="Normal 26 2 2 5 2" xfId="2565" xr:uid="{170E2ADE-6E7D-42CD-8D35-B934CB40E3A7}"/>
    <cellStyle name="Normal 26 2 2 5 20" xfId="36585" xr:uid="{DEF5AA59-1B84-45B1-B499-438531A4AEB5}"/>
    <cellStyle name="Normal 26 2 2 5 21" xfId="38475" xr:uid="{B89CDE58-9368-4B7C-ADAB-36E8225A9233}"/>
    <cellStyle name="Normal 26 2 2 5 22" xfId="40366" xr:uid="{A00AA8B5-11F4-4995-A9AC-3E09AC10175E}"/>
    <cellStyle name="Normal 26 2 2 5 3" xfId="4455" xr:uid="{29BDE4B4-390E-4156-AA38-821F3AD3F81E}"/>
    <cellStyle name="Normal 26 2 2 5 4" xfId="6345" xr:uid="{35C6D33E-A67F-4D6F-8ED7-E608469F5F68}"/>
    <cellStyle name="Normal 26 2 2 5 5" xfId="8235" xr:uid="{6EA6219D-8EFB-4118-B605-FAFD523A6C39}"/>
    <cellStyle name="Normal 26 2 2 5 6" xfId="10125" xr:uid="{C88E916E-DDFB-452F-A7F5-E0FCB6B4DFAF}"/>
    <cellStyle name="Normal 26 2 2 5 7" xfId="12015" xr:uid="{4B806E42-8065-4F11-922E-B9A90C937D15}"/>
    <cellStyle name="Normal 26 2 2 5 8" xfId="13905" xr:uid="{6EAC254A-A853-4C39-90BC-B33EFD9CCAAF}"/>
    <cellStyle name="Normal 26 2 2 5 9" xfId="15795" xr:uid="{F977E218-1F0E-4101-A4E9-4990D46A2627}"/>
    <cellStyle name="Normal 26 2 2 6" xfId="1305" xr:uid="{6CC534B4-5EF8-437D-ABC1-251AA6192EDC}"/>
    <cellStyle name="Normal 26 2 2 6 10" xfId="18315" xr:uid="{100384FE-F5F7-4E37-904F-B389348113B9}"/>
    <cellStyle name="Normal 26 2 2 6 11" xfId="20205" xr:uid="{A1811E4A-9FBC-44E7-91A7-0CC559BAAFFD}"/>
    <cellStyle name="Normal 26 2 2 6 12" xfId="22095" xr:uid="{DBF38F58-D110-4466-B502-59443DDCE46C}"/>
    <cellStyle name="Normal 26 2 2 6 13" xfId="23985" xr:uid="{87FFDC04-7AE9-4274-911C-4FE0770EA7E8}"/>
    <cellStyle name="Normal 26 2 2 6 14" xfId="25875" xr:uid="{07C3F640-A997-4EE1-9E33-30E83948A8DB}"/>
    <cellStyle name="Normal 26 2 2 6 15" xfId="27765" xr:uid="{D2B57C05-C725-4E58-9250-5D31543CB15B}"/>
    <cellStyle name="Normal 26 2 2 6 16" xfId="29655" xr:uid="{2C202CE6-6E16-4A56-B811-B5977D83F0CE}"/>
    <cellStyle name="Normal 26 2 2 6 17" xfId="31545" xr:uid="{6FB148E0-0353-4F28-BAB2-81CB88BF5520}"/>
    <cellStyle name="Normal 26 2 2 6 18" xfId="33435" xr:uid="{55EB8261-86B1-42F6-9041-7D8C6BCCB6C0}"/>
    <cellStyle name="Normal 26 2 2 6 19" xfId="35325" xr:uid="{96B990FC-597A-4B70-953B-F914A02BE49B}"/>
    <cellStyle name="Normal 26 2 2 6 2" xfId="3195" xr:uid="{C1ACC7E9-C82D-4801-86E2-7861AD27F7F6}"/>
    <cellStyle name="Normal 26 2 2 6 20" xfId="37215" xr:uid="{023F4B12-0347-4AC9-AAE3-3296AE42F2D2}"/>
    <cellStyle name="Normal 26 2 2 6 21" xfId="39105" xr:uid="{F0F375DB-74E7-4FD6-BDDB-D8BB239EC425}"/>
    <cellStyle name="Normal 26 2 2 6 22" xfId="40996" xr:uid="{FC59D5CF-277D-44D0-B3A7-D411AD2667BB}"/>
    <cellStyle name="Normal 26 2 2 6 3" xfId="5085" xr:uid="{73DD7BBB-202F-4068-B6B1-CB8C802917F7}"/>
    <cellStyle name="Normal 26 2 2 6 4" xfId="6975" xr:uid="{7C729BE5-04CA-40C7-B2CD-3899B1D96DC4}"/>
    <cellStyle name="Normal 26 2 2 6 5" xfId="8865" xr:uid="{3F292DA4-0761-4B73-9094-56A1766B0A99}"/>
    <cellStyle name="Normal 26 2 2 6 6" xfId="10755" xr:uid="{EDAE0418-13C9-435F-A4A3-D1070272A807}"/>
    <cellStyle name="Normal 26 2 2 6 7" xfId="12645" xr:uid="{9DDE63AD-09BA-4F42-8A0B-A2D0151D8E88}"/>
    <cellStyle name="Normal 26 2 2 6 8" xfId="14535" xr:uid="{9ED2449C-51D6-4224-8CCA-114928186245}"/>
    <cellStyle name="Normal 26 2 2 6 9" xfId="16425" xr:uid="{287799A8-E258-4214-BF1B-59253E6E3000}"/>
    <cellStyle name="Normal 26 2 2 7" xfId="1935" xr:uid="{4567663F-F028-49B2-865C-3FA939B401C1}"/>
    <cellStyle name="Normal 26 2 2 8" xfId="3825" xr:uid="{D325FCA6-81BC-4DF9-95F5-70CF24086D0E}"/>
    <cellStyle name="Normal 26 2 2 9" xfId="5715" xr:uid="{B87086CE-4F77-4846-8A07-DCD579B73D62}"/>
    <cellStyle name="Normal 26 2 20" xfId="18937" xr:uid="{6916606E-978F-4EF3-8F9F-C5DAA602B617}"/>
    <cellStyle name="Normal 26 2 21" xfId="20827" xr:uid="{95B500C0-5FA6-4C4B-B1DD-0FC1BE9DB3D3}"/>
    <cellStyle name="Normal 26 2 22" xfId="22717" xr:uid="{EBC1C8BC-AF8E-4EC8-BF66-9805822DB48B}"/>
    <cellStyle name="Normal 26 2 23" xfId="24607" xr:uid="{2ACC6F12-C130-4703-91F5-108D0CA1F3E9}"/>
    <cellStyle name="Normal 26 2 24" xfId="26497" xr:uid="{5B245C19-8F6F-45A2-AA62-90FED0ED8528}"/>
    <cellStyle name="Normal 26 2 25" xfId="28387" xr:uid="{2C131F5C-EF6B-44D6-A92D-A19902715D99}"/>
    <cellStyle name="Normal 26 2 26" xfId="30277" xr:uid="{430FF67A-0D2C-4490-9730-1608B5215179}"/>
    <cellStyle name="Normal 26 2 27" xfId="32167" xr:uid="{6A9D6FCC-D049-42A3-BFD9-FFA0496D50C6}"/>
    <cellStyle name="Normal 26 2 28" xfId="34057" xr:uid="{A8673897-914D-4C7B-868D-2B21939B8891}"/>
    <cellStyle name="Normal 26 2 29" xfId="35947" xr:uid="{29730CC9-0360-4CF3-9FD7-B004043B9ED7}"/>
    <cellStyle name="Normal 26 2 3" xfId="32" xr:uid="{13EAA70D-8A52-4B26-BB19-ABC2A608F618}"/>
    <cellStyle name="Normal 26 2 3 10" xfId="7614" xr:uid="{A15E4B9E-EC38-455F-B7DE-989D05B1A3C9}"/>
    <cellStyle name="Normal 26 2 3 11" xfId="9504" xr:uid="{2B98050E-B245-41B9-9E89-50A70E3E805F}"/>
    <cellStyle name="Normal 26 2 3 12" xfId="11394" xr:uid="{1B08568D-1268-4818-BF4E-90B54674E26A}"/>
    <cellStyle name="Normal 26 2 3 13" xfId="13284" xr:uid="{898BBF2B-C0E4-4222-BDC7-C392171F9056}"/>
    <cellStyle name="Normal 26 2 3 14" xfId="15174" xr:uid="{9D638364-CCC6-4420-A0CE-AE828CA2D59C}"/>
    <cellStyle name="Normal 26 2 3 15" xfId="17064" xr:uid="{5AE7ADF0-8689-479F-A51E-6EBF7CAEAA1A}"/>
    <cellStyle name="Normal 26 2 3 16" xfId="18954" xr:uid="{65F74079-E02A-4356-BFD4-293F83E904D3}"/>
    <cellStyle name="Normal 26 2 3 17" xfId="20844" xr:uid="{E6E4BB45-2524-42B7-B327-15C89BD8FC9F}"/>
    <cellStyle name="Normal 26 2 3 18" xfId="22734" xr:uid="{29F25738-F50C-4A57-BBCD-F27C269DFAE2}"/>
    <cellStyle name="Normal 26 2 3 19" xfId="24624" xr:uid="{075F24F2-7227-4C88-8978-B27C4D0405F4}"/>
    <cellStyle name="Normal 26 2 3 2" xfId="159" xr:uid="{A735BE66-3B59-4E32-9384-B26EA811F84D}"/>
    <cellStyle name="Normal 26 2 3 2 10" xfId="9609" xr:uid="{89B6A030-11B8-49D4-9A1E-95B4DB8C9E5A}"/>
    <cellStyle name="Normal 26 2 3 2 11" xfId="11499" xr:uid="{A4E5485E-1C57-4BAA-907D-5139B96257F2}"/>
    <cellStyle name="Normal 26 2 3 2 12" xfId="13389" xr:uid="{29F77F45-E9A5-4824-A919-A11D07606D0A}"/>
    <cellStyle name="Normal 26 2 3 2 13" xfId="15279" xr:uid="{1780079C-AD19-4BFC-ADEE-C0A602316C79}"/>
    <cellStyle name="Normal 26 2 3 2 14" xfId="17169" xr:uid="{C5F4A24A-3206-49AC-9D65-B604121E42C0}"/>
    <cellStyle name="Normal 26 2 3 2 15" xfId="19059" xr:uid="{8C2F2F0F-5D35-4F0C-8648-D11479E325AE}"/>
    <cellStyle name="Normal 26 2 3 2 16" xfId="20949" xr:uid="{72449C00-3CD6-47EA-9252-1E0972863E95}"/>
    <cellStyle name="Normal 26 2 3 2 17" xfId="22839" xr:uid="{EA1AC3B8-4349-4627-B9EC-4AB673968C48}"/>
    <cellStyle name="Normal 26 2 3 2 18" xfId="24729" xr:uid="{37BCCB18-8697-4CC9-88C2-5A0A0E1A85D0}"/>
    <cellStyle name="Normal 26 2 3 2 19" xfId="26619" xr:uid="{DD48749A-46D1-429D-AE0E-609C68CA66B6}"/>
    <cellStyle name="Normal 26 2 3 2 2" xfId="369" xr:uid="{90E9EF4A-56BE-48B2-A46E-531ABC8C50D0}"/>
    <cellStyle name="Normal 26 2 3 2 2 10" xfId="13599" xr:uid="{92592DF7-37D2-4620-840F-B280AA40E478}"/>
    <cellStyle name="Normal 26 2 3 2 2 11" xfId="15489" xr:uid="{7D30BC14-EB13-44B2-9F26-CF19D2CCB66C}"/>
    <cellStyle name="Normal 26 2 3 2 2 12" xfId="17379" xr:uid="{DA0A7BE7-1E05-46A1-8BBD-6EA5E2BD281B}"/>
    <cellStyle name="Normal 26 2 3 2 2 13" xfId="19269" xr:uid="{98E31316-6F99-4337-8652-B45C062717DF}"/>
    <cellStyle name="Normal 26 2 3 2 2 14" xfId="21159" xr:uid="{4D4D07CC-07F1-415A-A97B-06D3D5299E84}"/>
    <cellStyle name="Normal 26 2 3 2 2 15" xfId="23049" xr:uid="{78C7E106-030A-4CE6-BC0E-4F05A5FB6423}"/>
    <cellStyle name="Normal 26 2 3 2 2 16" xfId="24939" xr:uid="{5F4AA6EE-DF0F-4EB1-A453-D68762494E45}"/>
    <cellStyle name="Normal 26 2 3 2 2 17" xfId="26829" xr:uid="{3BBBC9F8-E091-4A12-B91A-A3980E7D40AB}"/>
    <cellStyle name="Normal 26 2 3 2 2 18" xfId="28719" xr:uid="{FB8511D1-675D-452D-B58D-DA1E92406AD6}"/>
    <cellStyle name="Normal 26 2 3 2 2 19" xfId="30609" xr:uid="{F17ED42E-26B9-4030-A348-A70C005C67C9}"/>
    <cellStyle name="Normal 26 2 3 2 2 2" xfId="999" xr:uid="{8E44B964-CFD5-4F04-A738-E4B048B13633}"/>
    <cellStyle name="Normal 26 2 3 2 2 2 10" xfId="18009" xr:uid="{3AC8B11C-D065-42A2-A838-8F9C6CDE2179}"/>
    <cellStyle name="Normal 26 2 3 2 2 2 11" xfId="19899" xr:uid="{BDD89421-44D3-4050-ADBF-9F019093A4AD}"/>
    <cellStyle name="Normal 26 2 3 2 2 2 12" xfId="21789" xr:uid="{57B81089-8377-4312-982F-C4DFABB832CB}"/>
    <cellStyle name="Normal 26 2 3 2 2 2 13" xfId="23679" xr:uid="{450F9B12-C5A2-4711-B0A2-7FC9305601E5}"/>
    <cellStyle name="Normal 26 2 3 2 2 2 14" xfId="25569" xr:uid="{96A1CDCB-C355-451C-809E-95DFCBD13FE0}"/>
    <cellStyle name="Normal 26 2 3 2 2 2 15" xfId="27459" xr:uid="{18D15C09-70BF-402C-B1F8-E019BD0A7587}"/>
    <cellStyle name="Normal 26 2 3 2 2 2 16" xfId="29349" xr:uid="{6A9E90F5-D166-4975-93CF-22BC4219ECAE}"/>
    <cellStyle name="Normal 26 2 3 2 2 2 17" xfId="31239" xr:uid="{EBA5C6B8-2DA2-47B3-A324-87D42014D1A4}"/>
    <cellStyle name="Normal 26 2 3 2 2 2 18" xfId="33129" xr:uid="{5E15A3D9-DF2E-4899-8C95-181D5F3600E8}"/>
    <cellStyle name="Normal 26 2 3 2 2 2 19" xfId="35019" xr:uid="{F9897DBA-ED1B-40A6-A4A1-88876F44F512}"/>
    <cellStyle name="Normal 26 2 3 2 2 2 2" xfId="2889" xr:uid="{39BFE690-0CFF-4AF0-B008-DADF77C76207}"/>
    <cellStyle name="Normal 26 2 3 2 2 2 20" xfId="36909" xr:uid="{2C78E7F2-FDF9-49B9-8CB0-46D9F05155E3}"/>
    <cellStyle name="Normal 26 2 3 2 2 2 21" xfId="38799" xr:uid="{7491094C-A2ED-4730-96DA-0379E853B262}"/>
    <cellStyle name="Normal 26 2 3 2 2 2 22" xfId="40690" xr:uid="{9674B77E-66E1-432F-8C05-415E9C233948}"/>
    <cellStyle name="Normal 26 2 3 2 2 2 3" xfId="4779" xr:uid="{F9156A3E-A681-4F68-BB8D-689000203C92}"/>
    <cellStyle name="Normal 26 2 3 2 2 2 4" xfId="6669" xr:uid="{403E9D37-8BEA-46FD-8172-00DE2A889975}"/>
    <cellStyle name="Normal 26 2 3 2 2 2 5" xfId="8559" xr:uid="{4E1D4BD1-EF6B-42D9-A7CF-56BD81D0DF48}"/>
    <cellStyle name="Normal 26 2 3 2 2 2 6" xfId="10449" xr:uid="{3F3E6940-0389-4BA0-888A-B16748BFB292}"/>
    <cellStyle name="Normal 26 2 3 2 2 2 7" xfId="12339" xr:uid="{00703560-26D2-4D7D-9706-D838686DA0D0}"/>
    <cellStyle name="Normal 26 2 3 2 2 2 8" xfId="14229" xr:uid="{DDEAF2C6-2C7B-40B2-B65A-82D38002B72E}"/>
    <cellStyle name="Normal 26 2 3 2 2 2 9" xfId="16119" xr:uid="{DAAFB99A-1381-4F45-A2D2-C8FD5A5D61F7}"/>
    <cellStyle name="Normal 26 2 3 2 2 20" xfId="32499" xr:uid="{1016C56E-82E3-4287-90DB-EF47F49561D9}"/>
    <cellStyle name="Normal 26 2 3 2 2 21" xfId="34389" xr:uid="{4742B764-E4C4-42DF-8732-C55870811DF5}"/>
    <cellStyle name="Normal 26 2 3 2 2 22" xfId="36279" xr:uid="{D6CAFE21-6129-4D29-9765-3C0E63F25CF6}"/>
    <cellStyle name="Normal 26 2 3 2 2 23" xfId="38169" xr:uid="{03C3735F-78A9-41FE-9DD5-D9B31B059EE7}"/>
    <cellStyle name="Normal 26 2 3 2 2 24" xfId="40060" xr:uid="{02DB6F1A-3F1C-428C-A90E-735E38C201EE}"/>
    <cellStyle name="Normal 26 2 3 2 2 3" xfId="1629" xr:uid="{31D29BD1-26B8-41C2-AF39-724B5BEF4C4B}"/>
    <cellStyle name="Normal 26 2 3 2 2 3 10" xfId="18639" xr:uid="{0A8EB435-9A2D-447C-B007-993CBAE90CA7}"/>
    <cellStyle name="Normal 26 2 3 2 2 3 11" xfId="20529" xr:uid="{477010AE-E796-4C8D-A866-0ED07E0C709D}"/>
    <cellStyle name="Normal 26 2 3 2 2 3 12" xfId="22419" xr:uid="{A788F7E7-A0F9-4F83-AD7C-4A87476BA9D5}"/>
    <cellStyle name="Normal 26 2 3 2 2 3 13" xfId="24309" xr:uid="{1086AEC9-D121-4B72-9CD8-CD6B83A2ACAD}"/>
    <cellStyle name="Normal 26 2 3 2 2 3 14" xfId="26199" xr:uid="{F0267236-E196-4C17-ADD6-E3B442CC9AD2}"/>
    <cellStyle name="Normal 26 2 3 2 2 3 15" xfId="28089" xr:uid="{369869E6-73FF-4E71-9B72-D4E3425AFF23}"/>
    <cellStyle name="Normal 26 2 3 2 2 3 16" xfId="29979" xr:uid="{CC83C8A2-28BD-446C-8AF6-7EA54BE51BEA}"/>
    <cellStyle name="Normal 26 2 3 2 2 3 17" xfId="31869" xr:uid="{772B11B2-ABBF-442B-A2F3-EE42E80DBB0A}"/>
    <cellStyle name="Normal 26 2 3 2 2 3 18" xfId="33759" xr:uid="{A1803B51-61B8-4EAA-8FDF-986A28B71924}"/>
    <cellStyle name="Normal 26 2 3 2 2 3 19" xfId="35649" xr:uid="{418BF9C3-FAD1-4CCD-A2B6-ABAFA8B6B7C4}"/>
    <cellStyle name="Normal 26 2 3 2 2 3 2" xfId="3519" xr:uid="{0C324D73-BC7C-4CBB-B170-65A963DD7F4D}"/>
    <cellStyle name="Normal 26 2 3 2 2 3 20" xfId="37539" xr:uid="{E48DAE15-7613-4705-B418-AA9FDEF67F20}"/>
    <cellStyle name="Normal 26 2 3 2 2 3 21" xfId="39429" xr:uid="{0D1B47E6-7571-4A94-964C-2BFB39347D76}"/>
    <cellStyle name="Normal 26 2 3 2 2 3 22" xfId="41320" xr:uid="{53DFDFCD-04D1-4B18-AB75-F23BFB31AF98}"/>
    <cellStyle name="Normal 26 2 3 2 2 3 3" xfId="5409" xr:uid="{00516162-6356-48E1-A26E-DA9B85B75B68}"/>
    <cellStyle name="Normal 26 2 3 2 2 3 4" xfId="7299" xr:uid="{49A90F01-9660-447D-B216-1B17F0DD523B}"/>
    <cellStyle name="Normal 26 2 3 2 2 3 5" xfId="9189" xr:uid="{C1E7E596-31DF-4013-993A-6A7254E97556}"/>
    <cellStyle name="Normal 26 2 3 2 2 3 6" xfId="11079" xr:uid="{F8F18247-3093-4794-B319-CFA4932C2B4E}"/>
    <cellStyle name="Normal 26 2 3 2 2 3 7" xfId="12969" xr:uid="{1A8D9929-1B48-4640-9910-80F02EE61F0D}"/>
    <cellStyle name="Normal 26 2 3 2 2 3 8" xfId="14859" xr:uid="{5C4B429A-5722-4C34-B280-7FDEB87E244E}"/>
    <cellStyle name="Normal 26 2 3 2 2 3 9" xfId="16749" xr:uid="{6CD243F5-B896-4A36-9EFC-FE1AC2A1C3BC}"/>
    <cellStyle name="Normal 26 2 3 2 2 4" xfId="2259" xr:uid="{9CB2BDC6-EFF5-459D-8ECF-DD195658B68F}"/>
    <cellStyle name="Normal 26 2 3 2 2 5" xfId="4149" xr:uid="{3FEB3A72-0C7E-4BA4-95E5-88D3CD2E1058}"/>
    <cellStyle name="Normal 26 2 3 2 2 6" xfId="6039" xr:uid="{94E2EC0D-EC23-407C-83E9-0B7B47BEB4B9}"/>
    <cellStyle name="Normal 26 2 3 2 2 7" xfId="7929" xr:uid="{0FEEA1E6-331B-4A17-A8A6-3647168C18BB}"/>
    <cellStyle name="Normal 26 2 3 2 2 8" xfId="9819" xr:uid="{BC986007-62F8-4952-8879-B78FBAFD8939}"/>
    <cellStyle name="Normal 26 2 3 2 2 9" xfId="11709" xr:uid="{AE4C96B8-9B79-4FDC-8D66-B82CC26B93B2}"/>
    <cellStyle name="Normal 26 2 3 2 20" xfId="28509" xr:uid="{F3D46E72-149D-41A7-90A2-323B3901F69C}"/>
    <cellStyle name="Normal 26 2 3 2 21" xfId="30399" xr:uid="{4A60644B-5715-41A4-B77A-C026DE755161}"/>
    <cellStyle name="Normal 26 2 3 2 22" xfId="32289" xr:uid="{3F3760C4-1659-4B08-936B-5462B349D414}"/>
    <cellStyle name="Normal 26 2 3 2 23" xfId="34179" xr:uid="{F33E4B24-BE73-45ED-B477-4B98A84343D4}"/>
    <cellStyle name="Normal 26 2 3 2 24" xfId="36069" xr:uid="{1538196A-24BC-48FB-9036-07875E6C2911}"/>
    <cellStyle name="Normal 26 2 3 2 25" xfId="37959" xr:uid="{EB1BE455-BE65-4AC8-B8BA-3EAFB7706DF1}"/>
    <cellStyle name="Normal 26 2 3 2 26" xfId="39850" xr:uid="{02554817-E582-4AA4-B80A-243D9881713A}"/>
    <cellStyle name="Normal 26 2 3 2 3" xfId="579" xr:uid="{54C81161-7F6C-4D4B-81D7-90820504F141}"/>
    <cellStyle name="Normal 26 2 3 2 3 10" xfId="13809" xr:uid="{3BA4EE12-E995-442E-8123-326CBD67FD71}"/>
    <cellStyle name="Normal 26 2 3 2 3 11" xfId="15699" xr:uid="{CB8658B7-B6E1-441E-8A90-A1710E65FE92}"/>
    <cellStyle name="Normal 26 2 3 2 3 12" xfId="17589" xr:uid="{84BF3D90-B135-49F7-A98B-F5553084E2C6}"/>
    <cellStyle name="Normal 26 2 3 2 3 13" xfId="19479" xr:uid="{0C07C826-527B-4051-B922-6496A4B54188}"/>
    <cellStyle name="Normal 26 2 3 2 3 14" xfId="21369" xr:uid="{2BFC70F9-8A2F-4544-A0C9-9A72B4F55A3E}"/>
    <cellStyle name="Normal 26 2 3 2 3 15" xfId="23259" xr:uid="{08EAFD09-B167-4432-8456-7BCA6247F0B1}"/>
    <cellStyle name="Normal 26 2 3 2 3 16" xfId="25149" xr:uid="{822640E3-A9BE-4383-A98B-366B5078766D}"/>
    <cellStyle name="Normal 26 2 3 2 3 17" xfId="27039" xr:uid="{445D3A1D-2B08-4314-BA19-854103B31164}"/>
    <cellStyle name="Normal 26 2 3 2 3 18" xfId="28929" xr:uid="{85E69195-03BE-4E55-9E44-D717A422B3B3}"/>
    <cellStyle name="Normal 26 2 3 2 3 19" xfId="30819" xr:uid="{CCD3E8A1-FA43-40A8-B39D-2E91C36201B5}"/>
    <cellStyle name="Normal 26 2 3 2 3 2" xfId="1209" xr:uid="{1D39CF68-9351-4196-BDCF-D4B3CFC064B3}"/>
    <cellStyle name="Normal 26 2 3 2 3 2 10" xfId="18219" xr:uid="{DFFF52FD-2F4B-46A5-A710-6B78E61BB39B}"/>
    <cellStyle name="Normal 26 2 3 2 3 2 11" xfId="20109" xr:uid="{9A47B65D-7C0C-4384-A81C-01689A09CF12}"/>
    <cellStyle name="Normal 26 2 3 2 3 2 12" xfId="21999" xr:uid="{5C916FFF-0D3C-4B02-BCDB-5228C6AA9D27}"/>
    <cellStyle name="Normal 26 2 3 2 3 2 13" xfId="23889" xr:uid="{29421360-425D-4594-AD07-9D788606EC5C}"/>
    <cellStyle name="Normal 26 2 3 2 3 2 14" xfId="25779" xr:uid="{26D3C479-F2B2-471D-82E4-A50F6250F75C}"/>
    <cellStyle name="Normal 26 2 3 2 3 2 15" xfId="27669" xr:uid="{72154340-BA8C-4D8F-924A-4C5FCC4FBC96}"/>
    <cellStyle name="Normal 26 2 3 2 3 2 16" xfId="29559" xr:uid="{62AC18F8-D673-4953-9AA2-E81B81114852}"/>
    <cellStyle name="Normal 26 2 3 2 3 2 17" xfId="31449" xr:uid="{B612777A-0C0C-481D-A19C-9DFF790D2133}"/>
    <cellStyle name="Normal 26 2 3 2 3 2 18" xfId="33339" xr:uid="{210A9E75-9DA4-4618-9C35-89DFBDCA4F33}"/>
    <cellStyle name="Normal 26 2 3 2 3 2 19" xfId="35229" xr:uid="{0F7FEEF4-2292-4DEA-A37B-6B37A7CF2B22}"/>
    <cellStyle name="Normal 26 2 3 2 3 2 2" xfId="3099" xr:uid="{83DECBDD-AA9D-453C-9C37-464DD9EFEA71}"/>
    <cellStyle name="Normal 26 2 3 2 3 2 20" xfId="37119" xr:uid="{86E815D2-5DAA-45D3-B49F-48CA3F35F27A}"/>
    <cellStyle name="Normal 26 2 3 2 3 2 21" xfId="39009" xr:uid="{0FA8A30E-0E48-452E-A114-6D9C1AFBA7B1}"/>
    <cellStyle name="Normal 26 2 3 2 3 2 22" xfId="40900" xr:uid="{CBA1D789-CBDF-424C-8166-B283BAE5C42A}"/>
    <cellStyle name="Normal 26 2 3 2 3 2 3" xfId="4989" xr:uid="{D6303CC1-03B9-484A-89F3-9A41157E620D}"/>
    <cellStyle name="Normal 26 2 3 2 3 2 4" xfId="6879" xr:uid="{0C190556-C5EA-4A68-A31F-CAEDC55DA1DB}"/>
    <cellStyle name="Normal 26 2 3 2 3 2 5" xfId="8769" xr:uid="{C7CD71C1-2FDC-4F8E-B5A6-E900BE4BBEEB}"/>
    <cellStyle name="Normal 26 2 3 2 3 2 6" xfId="10659" xr:uid="{E2B26612-8783-4D61-91B1-5333D83B7F2B}"/>
    <cellStyle name="Normal 26 2 3 2 3 2 7" xfId="12549" xr:uid="{F9397FD4-B1A5-4153-9B1D-2B7AE0511FFE}"/>
    <cellStyle name="Normal 26 2 3 2 3 2 8" xfId="14439" xr:uid="{3F8F00B8-922D-43E7-9D7D-0864BBA30EED}"/>
    <cellStyle name="Normal 26 2 3 2 3 2 9" xfId="16329" xr:uid="{9022C662-0DBD-42DA-963F-FA503F1BB4C3}"/>
    <cellStyle name="Normal 26 2 3 2 3 20" xfId="32709" xr:uid="{BDBEE210-A00F-474C-851D-B619E019592C}"/>
    <cellStyle name="Normal 26 2 3 2 3 21" xfId="34599" xr:uid="{0BD187C9-0EEC-45C0-84FE-3437D4C6E7F0}"/>
    <cellStyle name="Normal 26 2 3 2 3 22" xfId="36489" xr:uid="{284BE564-2A2C-49DC-B904-C6E0DD631455}"/>
    <cellStyle name="Normal 26 2 3 2 3 23" xfId="38379" xr:uid="{113CD190-227B-4F42-8E31-8C18FF3AEFC8}"/>
    <cellStyle name="Normal 26 2 3 2 3 24" xfId="40270" xr:uid="{5BF416E4-3355-4474-ADFA-200E68FA2334}"/>
    <cellStyle name="Normal 26 2 3 2 3 3" xfId="1839" xr:uid="{47FCD100-36E2-41DB-A4E7-0D83AC8AFE8E}"/>
    <cellStyle name="Normal 26 2 3 2 3 3 10" xfId="18849" xr:uid="{55CD3C0E-358B-45D3-A4B9-274B03DA90DD}"/>
    <cellStyle name="Normal 26 2 3 2 3 3 11" xfId="20739" xr:uid="{788D08AF-165C-4ADC-9BCE-5C8168649312}"/>
    <cellStyle name="Normal 26 2 3 2 3 3 12" xfId="22629" xr:uid="{75EE1323-0285-47FD-A4CC-85E717A0F4EE}"/>
    <cellStyle name="Normal 26 2 3 2 3 3 13" xfId="24519" xr:uid="{E2DBDF0C-6206-46D3-B197-49FB1943C94B}"/>
    <cellStyle name="Normal 26 2 3 2 3 3 14" xfId="26409" xr:uid="{8A29D355-A024-4E72-83B3-EAFC1E264EE3}"/>
    <cellStyle name="Normal 26 2 3 2 3 3 15" xfId="28299" xr:uid="{09C6E272-10A4-4A9E-8D84-1E391DA76060}"/>
    <cellStyle name="Normal 26 2 3 2 3 3 16" xfId="30189" xr:uid="{DEC0FC2A-5BF4-4F72-8F37-893746CB393F}"/>
    <cellStyle name="Normal 26 2 3 2 3 3 17" xfId="32079" xr:uid="{F256B9C1-B5FB-4276-A5E5-50554E717FD0}"/>
    <cellStyle name="Normal 26 2 3 2 3 3 18" xfId="33969" xr:uid="{CCFC4D63-A65F-4F8C-B6E9-0D046C94FB5D}"/>
    <cellStyle name="Normal 26 2 3 2 3 3 19" xfId="35859" xr:uid="{19248F93-C799-4A25-A5B0-34D9F9FDF14D}"/>
    <cellStyle name="Normal 26 2 3 2 3 3 2" xfId="3729" xr:uid="{9B92855D-2098-4B0E-BF74-DD9E8E8179FF}"/>
    <cellStyle name="Normal 26 2 3 2 3 3 20" xfId="37749" xr:uid="{992367CE-DD1A-4E79-8C5A-2D8E0CB4F712}"/>
    <cellStyle name="Normal 26 2 3 2 3 3 21" xfId="39639" xr:uid="{06F77ECE-7261-4F20-9E8D-2E6D7F5F6E4C}"/>
    <cellStyle name="Normal 26 2 3 2 3 3 22" xfId="41530" xr:uid="{3082C966-5D62-443E-86A4-120F6F547C66}"/>
    <cellStyle name="Normal 26 2 3 2 3 3 3" xfId="5619" xr:uid="{5F64D883-D5BF-4A08-83E4-2654914C6EB3}"/>
    <cellStyle name="Normal 26 2 3 2 3 3 4" xfId="7509" xr:uid="{79C9DBEC-791C-4B77-936F-E759E7F80EEA}"/>
    <cellStyle name="Normal 26 2 3 2 3 3 5" xfId="9399" xr:uid="{14939521-1A9D-4A83-81B2-FEDA6FB437CC}"/>
    <cellStyle name="Normal 26 2 3 2 3 3 6" xfId="11289" xr:uid="{6F784C4F-1655-4B26-A044-F79622FB62F9}"/>
    <cellStyle name="Normal 26 2 3 2 3 3 7" xfId="13179" xr:uid="{839A42D8-8711-4588-8E7A-E3E7011A86EB}"/>
    <cellStyle name="Normal 26 2 3 2 3 3 8" xfId="15069" xr:uid="{54B09281-CE5A-4B73-9C31-377FDFAB3EAF}"/>
    <cellStyle name="Normal 26 2 3 2 3 3 9" xfId="16959" xr:uid="{A7555697-8F1F-44D7-AA53-6313AB2DE2C0}"/>
    <cellStyle name="Normal 26 2 3 2 3 4" xfId="2469" xr:uid="{BB01C67E-291C-427A-9C75-8FA3BB882334}"/>
    <cellStyle name="Normal 26 2 3 2 3 5" xfId="4359" xr:uid="{8A3DB157-4DEE-48A6-AD05-6A5FE9379148}"/>
    <cellStyle name="Normal 26 2 3 2 3 6" xfId="6249" xr:uid="{2BE2924E-E6AE-4EEC-90C0-33D5E0F48D9F}"/>
    <cellStyle name="Normal 26 2 3 2 3 7" xfId="8139" xr:uid="{7122B08B-6D80-4EAB-8BAB-F560AFF49EAC}"/>
    <cellStyle name="Normal 26 2 3 2 3 8" xfId="10029" xr:uid="{E037458A-E156-4F19-9345-E8A71298C305}"/>
    <cellStyle name="Normal 26 2 3 2 3 9" xfId="11919" xr:uid="{590AE0F7-C85C-4134-9BCD-7B37917E02B1}"/>
    <cellStyle name="Normal 26 2 3 2 4" xfId="789" xr:uid="{64897675-D3BC-40CA-95F7-047480849B8D}"/>
    <cellStyle name="Normal 26 2 3 2 4 10" xfId="17799" xr:uid="{11B35FA4-3036-4996-BFE0-BBF276C5C5A3}"/>
    <cellStyle name="Normal 26 2 3 2 4 11" xfId="19689" xr:uid="{BE4322EF-9FAA-4B7D-830C-0F8C6DAE7241}"/>
    <cellStyle name="Normal 26 2 3 2 4 12" xfId="21579" xr:uid="{552504E9-782A-40C8-B5CB-1E37CE68DDD9}"/>
    <cellStyle name="Normal 26 2 3 2 4 13" xfId="23469" xr:uid="{DFB63CC3-ECD7-4BA3-A02A-05EEE83272A5}"/>
    <cellStyle name="Normal 26 2 3 2 4 14" xfId="25359" xr:uid="{9CC7BE10-17A2-4313-BD99-18B33391DE8F}"/>
    <cellStyle name="Normal 26 2 3 2 4 15" xfId="27249" xr:uid="{58389FC0-047C-4203-97D7-350EE0008F48}"/>
    <cellStyle name="Normal 26 2 3 2 4 16" xfId="29139" xr:uid="{4F1B001D-D775-4A55-9082-4404742192C2}"/>
    <cellStyle name="Normal 26 2 3 2 4 17" xfId="31029" xr:uid="{23E76892-0798-4A35-B51E-1F0E441EBE7F}"/>
    <cellStyle name="Normal 26 2 3 2 4 18" xfId="32919" xr:uid="{080462BE-43EB-461B-B8F6-C1C2F71CAF48}"/>
    <cellStyle name="Normal 26 2 3 2 4 19" xfId="34809" xr:uid="{BD3BD007-F1D7-404E-8AFC-CD725A7B0465}"/>
    <cellStyle name="Normal 26 2 3 2 4 2" xfId="2679" xr:uid="{376B270E-6427-45C4-B03A-7EE276CFE3C3}"/>
    <cellStyle name="Normal 26 2 3 2 4 20" xfId="36699" xr:uid="{51C38AAB-CA69-4AF4-9B0D-F0FC46C1A158}"/>
    <cellStyle name="Normal 26 2 3 2 4 21" xfId="38589" xr:uid="{EDD3CF0B-AB24-47B4-95EC-0A8615A664C6}"/>
    <cellStyle name="Normal 26 2 3 2 4 22" xfId="40480" xr:uid="{65DD5880-5174-469B-A2C5-688B7E02DED5}"/>
    <cellStyle name="Normal 26 2 3 2 4 3" xfId="4569" xr:uid="{985902D8-C802-497D-B8B7-A0914E875016}"/>
    <cellStyle name="Normal 26 2 3 2 4 4" xfId="6459" xr:uid="{61A9E6AC-07EF-43E3-A549-15CCF096B29C}"/>
    <cellStyle name="Normal 26 2 3 2 4 5" xfId="8349" xr:uid="{C9941E81-7B56-4F45-962C-79EA70F61C8F}"/>
    <cellStyle name="Normal 26 2 3 2 4 6" xfId="10239" xr:uid="{B9E6DFA6-5A54-49BB-8C9F-CC002047C67D}"/>
    <cellStyle name="Normal 26 2 3 2 4 7" xfId="12129" xr:uid="{D4AD11FE-3920-4C0C-AFBB-C24FD95EE8CA}"/>
    <cellStyle name="Normal 26 2 3 2 4 8" xfId="14019" xr:uid="{B4619E13-EB91-4330-BD4C-C020F8456EDB}"/>
    <cellStyle name="Normal 26 2 3 2 4 9" xfId="15909" xr:uid="{01837C0D-F41B-4AFE-B7AE-D71187B14C67}"/>
    <cellStyle name="Normal 26 2 3 2 5" xfId="1419" xr:uid="{B135BFAB-8B5D-4D66-A305-E3F4C24759F8}"/>
    <cellStyle name="Normal 26 2 3 2 5 10" xfId="18429" xr:uid="{003CA4E4-C5BF-41C2-A2BC-15A51FFAB963}"/>
    <cellStyle name="Normal 26 2 3 2 5 11" xfId="20319" xr:uid="{0A9E6DB6-4549-4013-931D-4E460BB304DB}"/>
    <cellStyle name="Normal 26 2 3 2 5 12" xfId="22209" xr:uid="{985613B5-3CB1-4AA0-B775-970E391ABDA7}"/>
    <cellStyle name="Normal 26 2 3 2 5 13" xfId="24099" xr:uid="{80C40A07-CBE8-403D-BE2D-DAF1D07F8FAC}"/>
    <cellStyle name="Normal 26 2 3 2 5 14" xfId="25989" xr:uid="{39123D6A-03B2-440A-8346-37508CC87AAD}"/>
    <cellStyle name="Normal 26 2 3 2 5 15" xfId="27879" xr:uid="{BA294A6C-C71A-473F-A4E9-766AC8E5FA35}"/>
    <cellStyle name="Normal 26 2 3 2 5 16" xfId="29769" xr:uid="{91A6DD3A-7E3D-4266-BB35-81C0C21C4A3D}"/>
    <cellStyle name="Normal 26 2 3 2 5 17" xfId="31659" xr:uid="{1225469F-6C26-444F-ABFE-99EE380B86C8}"/>
    <cellStyle name="Normal 26 2 3 2 5 18" xfId="33549" xr:uid="{AAF712FC-7258-418E-B324-1110D8C0612A}"/>
    <cellStyle name="Normal 26 2 3 2 5 19" xfId="35439" xr:uid="{98DFE36B-80DA-419C-A0EA-6CD8BF876E42}"/>
    <cellStyle name="Normal 26 2 3 2 5 2" xfId="3309" xr:uid="{75443D65-4C56-4788-9A3C-04860B623CDB}"/>
    <cellStyle name="Normal 26 2 3 2 5 20" xfId="37329" xr:uid="{640E2420-C416-480F-A47C-E189568C15C9}"/>
    <cellStyle name="Normal 26 2 3 2 5 21" xfId="39219" xr:uid="{759E03E9-D45E-4EAF-967C-B776E439C7F3}"/>
    <cellStyle name="Normal 26 2 3 2 5 22" xfId="41110" xr:uid="{7B3C96C6-DE95-4D6A-8595-387F4DC2492F}"/>
    <cellStyle name="Normal 26 2 3 2 5 3" xfId="5199" xr:uid="{C0D17B2B-02F0-4931-87C2-CD6D32622659}"/>
    <cellStyle name="Normal 26 2 3 2 5 4" xfId="7089" xr:uid="{1BE73AAD-19AF-4A1C-9E5C-584EE8194BDD}"/>
    <cellStyle name="Normal 26 2 3 2 5 5" xfId="8979" xr:uid="{02635847-D49E-4304-B127-D1098D3043D0}"/>
    <cellStyle name="Normal 26 2 3 2 5 6" xfId="10869" xr:uid="{64D9C884-029F-4BF5-BA7E-F58BB2F097CF}"/>
    <cellStyle name="Normal 26 2 3 2 5 7" xfId="12759" xr:uid="{0720FB62-A202-4335-B437-3755C42EF3EE}"/>
    <cellStyle name="Normal 26 2 3 2 5 8" xfId="14649" xr:uid="{70EE5647-2910-45A0-A60A-75163ABEA24D}"/>
    <cellStyle name="Normal 26 2 3 2 5 9" xfId="16539" xr:uid="{171655EB-BD62-4A4D-A38A-D5D3109C3C58}"/>
    <cellStyle name="Normal 26 2 3 2 6" xfId="2049" xr:uid="{696022B7-E53A-41DD-B3B0-A69BBC48C5CE}"/>
    <cellStyle name="Normal 26 2 3 2 7" xfId="3939" xr:uid="{DDC99AB8-A9ED-483F-B010-B2204508D944}"/>
    <cellStyle name="Normal 26 2 3 2 8" xfId="5829" xr:uid="{8DB9EF14-6100-4230-9026-01729F696D35}"/>
    <cellStyle name="Normal 26 2 3 2 9" xfId="7719" xr:uid="{EC0D839F-964C-46D8-AD3B-9F012B0C96DB}"/>
    <cellStyle name="Normal 26 2 3 20" xfId="26514" xr:uid="{43068526-FB9B-440B-9821-C0B6095B7ACD}"/>
    <cellStyle name="Normal 26 2 3 21" xfId="28404" xr:uid="{5999F4AA-E295-4C12-B64E-692A2643E0AE}"/>
    <cellStyle name="Normal 26 2 3 22" xfId="30294" xr:uid="{CD39209E-AB4C-4079-A140-EBC76644B7BC}"/>
    <cellStyle name="Normal 26 2 3 23" xfId="32184" xr:uid="{EC564340-D625-4641-AC19-C1FA5F852D83}"/>
    <cellStyle name="Normal 26 2 3 24" xfId="34074" xr:uid="{C1C4A3FF-8265-40A2-9805-B112F8538B09}"/>
    <cellStyle name="Normal 26 2 3 25" xfId="35964" xr:uid="{A4936109-5D43-4916-8FC9-AC421714C0DD}"/>
    <cellStyle name="Normal 26 2 3 26" xfId="37854" xr:uid="{A8AAC4DA-7AA4-4656-B83D-0643712DD8A5}"/>
    <cellStyle name="Normal 26 2 3 27" xfId="39745" xr:uid="{B23ADD27-C237-4B60-AA6D-F2EC94BDB2DD}"/>
    <cellStyle name="Normal 26 2 3 3" xfId="264" xr:uid="{7A93581C-A6CA-4A77-9230-DD6B777E8A78}"/>
    <cellStyle name="Normal 26 2 3 3 10" xfId="13494" xr:uid="{0CB3DF5A-50BC-432D-B44C-0EB4115C23FD}"/>
    <cellStyle name="Normal 26 2 3 3 11" xfId="15384" xr:uid="{A9A52CCA-12DA-491B-ACE4-34AEF0321691}"/>
    <cellStyle name="Normal 26 2 3 3 12" xfId="17274" xr:uid="{9919FB33-AE1B-4299-831D-C12039092251}"/>
    <cellStyle name="Normal 26 2 3 3 13" xfId="19164" xr:uid="{6573F7FC-3005-4568-8DFB-A265B6EF1C4A}"/>
    <cellStyle name="Normal 26 2 3 3 14" xfId="21054" xr:uid="{E369A0AA-15F4-40CC-961A-4AE0F92BB257}"/>
    <cellStyle name="Normal 26 2 3 3 15" xfId="22944" xr:uid="{7015E7F7-4472-419F-91F7-7FB45F71DC3C}"/>
    <cellStyle name="Normal 26 2 3 3 16" xfId="24834" xr:uid="{6A2383ED-782D-42B6-8C24-03A0DC8E710C}"/>
    <cellStyle name="Normal 26 2 3 3 17" xfId="26724" xr:uid="{D9557273-FF5F-4AF0-AC56-241FFED42F16}"/>
    <cellStyle name="Normal 26 2 3 3 18" xfId="28614" xr:uid="{4F98435D-15E7-42A2-8E0A-B3F018F6E947}"/>
    <cellStyle name="Normal 26 2 3 3 19" xfId="30504" xr:uid="{11026634-A190-468C-B2D7-67DE7AC29FE3}"/>
    <cellStyle name="Normal 26 2 3 3 2" xfId="894" xr:uid="{60D969D0-C159-454B-8A40-450DD88BFEF5}"/>
    <cellStyle name="Normal 26 2 3 3 2 10" xfId="17904" xr:uid="{076C8D1E-3511-4E60-AD95-4F77382C0A17}"/>
    <cellStyle name="Normal 26 2 3 3 2 11" xfId="19794" xr:uid="{6624C11D-7DEE-4240-B94C-7230C7036E1E}"/>
    <cellStyle name="Normal 26 2 3 3 2 12" xfId="21684" xr:uid="{E0DCC626-3507-4E8A-A278-4AF4678BBF1E}"/>
    <cellStyle name="Normal 26 2 3 3 2 13" xfId="23574" xr:uid="{9265FBD3-9211-4D43-A1E0-5BE474ECD0C8}"/>
    <cellStyle name="Normal 26 2 3 3 2 14" xfId="25464" xr:uid="{F74F5403-72CB-48B4-A874-49035D46DC34}"/>
    <cellStyle name="Normal 26 2 3 3 2 15" xfId="27354" xr:uid="{311227FE-63D8-45F2-B310-7C8FB90C42F8}"/>
    <cellStyle name="Normal 26 2 3 3 2 16" xfId="29244" xr:uid="{3943908B-541A-46EB-8017-D2D191AA5A6D}"/>
    <cellStyle name="Normal 26 2 3 3 2 17" xfId="31134" xr:uid="{D3A3FFC5-0E6C-4788-8F35-CE68903D1D85}"/>
    <cellStyle name="Normal 26 2 3 3 2 18" xfId="33024" xr:uid="{8F284208-26E2-4F75-A00A-7E3BE93BF102}"/>
    <cellStyle name="Normal 26 2 3 3 2 19" xfId="34914" xr:uid="{6AB139F0-9A46-4A2D-A25C-D2DAD04C9D79}"/>
    <cellStyle name="Normal 26 2 3 3 2 2" xfId="2784" xr:uid="{B6B725F3-5E4C-4476-9B7E-E72B154F35F1}"/>
    <cellStyle name="Normal 26 2 3 3 2 20" xfId="36804" xr:uid="{3DD69E01-1BA4-4CE4-9674-4BD830525835}"/>
    <cellStyle name="Normal 26 2 3 3 2 21" xfId="38694" xr:uid="{BB4A92C9-608D-4FCB-BAAE-B74245CC5764}"/>
    <cellStyle name="Normal 26 2 3 3 2 22" xfId="40585" xr:uid="{900E87E9-91A1-4C22-AE04-66D3F9D65DD8}"/>
    <cellStyle name="Normal 26 2 3 3 2 3" xfId="4674" xr:uid="{CC85A9A4-ED6D-4500-B38D-C79D78CF812C}"/>
    <cellStyle name="Normal 26 2 3 3 2 4" xfId="6564" xr:uid="{11AD12DF-E5FD-497C-91DE-85B5ED407384}"/>
    <cellStyle name="Normal 26 2 3 3 2 5" xfId="8454" xr:uid="{32A9AE1B-DB11-46EF-8EC5-3D37316656A7}"/>
    <cellStyle name="Normal 26 2 3 3 2 6" xfId="10344" xr:uid="{B7325B9A-7E52-456E-9FC9-CAEF4B5FA6F1}"/>
    <cellStyle name="Normal 26 2 3 3 2 7" xfId="12234" xr:uid="{F5FB6240-A793-4BBB-A8A3-2451D02205BE}"/>
    <cellStyle name="Normal 26 2 3 3 2 8" xfId="14124" xr:uid="{7DB3C049-BFE1-4C57-982D-A4F1484DF68D}"/>
    <cellStyle name="Normal 26 2 3 3 2 9" xfId="16014" xr:uid="{94044722-D12C-4EC0-BD74-5999207CF182}"/>
    <cellStyle name="Normal 26 2 3 3 20" xfId="32394" xr:uid="{C2E09444-7074-41B4-A7F7-72084A684E43}"/>
    <cellStyle name="Normal 26 2 3 3 21" xfId="34284" xr:uid="{067A039A-916D-4F18-9A7B-3865527B0FCF}"/>
    <cellStyle name="Normal 26 2 3 3 22" xfId="36174" xr:uid="{36A82723-F2C9-44A2-AA36-138FB0DCC35F}"/>
    <cellStyle name="Normal 26 2 3 3 23" xfId="38064" xr:uid="{02E8AF7D-B6E3-4782-9D18-B80D1E6EBA66}"/>
    <cellStyle name="Normal 26 2 3 3 24" xfId="39955" xr:uid="{3372F123-B060-45F7-A051-54307D58D5D6}"/>
    <cellStyle name="Normal 26 2 3 3 3" xfId="1524" xr:uid="{67614619-9A21-4E06-B0BF-AFB28340A43D}"/>
    <cellStyle name="Normal 26 2 3 3 3 10" xfId="18534" xr:uid="{45C2886E-D1D1-458D-9C97-60C847C7D40D}"/>
    <cellStyle name="Normal 26 2 3 3 3 11" xfId="20424" xr:uid="{962F70E8-FE88-4808-8C33-C970945E0E35}"/>
    <cellStyle name="Normal 26 2 3 3 3 12" xfId="22314" xr:uid="{138B1D87-8D4E-4A71-ACF8-1A09B394E1DF}"/>
    <cellStyle name="Normal 26 2 3 3 3 13" xfId="24204" xr:uid="{5352A6C1-2304-4494-8C62-F09BF946C72A}"/>
    <cellStyle name="Normal 26 2 3 3 3 14" xfId="26094" xr:uid="{D006211D-14CA-4DB9-978B-025C692D5D2C}"/>
    <cellStyle name="Normal 26 2 3 3 3 15" xfId="27984" xr:uid="{6C4231D0-2626-401B-B1DF-87008F34B1C5}"/>
    <cellStyle name="Normal 26 2 3 3 3 16" xfId="29874" xr:uid="{E1869839-E11D-4298-A6C6-252565765A0E}"/>
    <cellStyle name="Normal 26 2 3 3 3 17" xfId="31764" xr:uid="{5B56047A-ED0C-4279-868E-57F5C1EA27BF}"/>
    <cellStyle name="Normal 26 2 3 3 3 18" xfId="33654" xr:uid="{C82F6D56-1F33-4FE0-AB41-FD7C7829DC81}"/>
    <cellStyle name="Normal 26 2 3 3 3 19" xfId="35544" xr:uid="{FC22C47C-9FD7-4B54-A56B-073831F7017B}"/>
    <cellStyle name="Normal 26 2 3 3 3 2" xfId="3414" xr:uid="{ABF40D2C-BC12-4CB1-B101-C84D42E0A2B4}"/>
    <cellStyle name="Normal 26 2 3 3 3 20" xfId="37434" xr:uid="{C15ABA08-6882-4BF1-AC7A-F10D80AA05C3}"/>
    <cellStyle name="Normal 26 2 3 3 3 21" xfId="39324" xr:uid="{871F9B87-54D3-4486-95D8-A0F0DFB26329}"/>
    <cellStyle name="Normal 26 2 3 3 3 22" xfId="41215" xr:uid="{907776FD-450E-44CE-B130-DCC08BDB859D}"/>
    <cellStyle name="Normal 26 2 3 3 3 3" xfId="5304" xr:uid="{A31C1535-89BB-4756-8747-E876FBA69E24}"/>
    <cellStyle name="Normal 26 2 3 3 3 4" xfId="7194" xr:uid="{DE330ACC-098F-4441-A437-2F42175BFAB2}"/>
    <cellStyle name="Normal 26 2 3 3 3 5" xfId="9084" xr:uid="{90028990-4C13-43DC-9B46-51BD2FAAC2EA}"/>
    <cellStyle name="Normal 26 2 3 3 3 6" xfId="10974" xr:uid="{3EC5DB37-81E7-4B23-8C16-197BFEBE034D}"/>
    <cellStyle name="Normal 26 2 3 3 3 7" xfId="12864" xr:uid="{8B13E053-C9CA-40A9-A644-7B74CBE46D9C}"/>
    <cellStyle name="Normal 26 2 3 3 3 8" xfId="14754" xr:uid="{860155D5-0DAB-4A90-82A6-1BC520C22F16}"/>
    <cellStyle name="Normal 26 2 3 3 3 9" xfId="16644" xr:uid="{B71863D4-BE65-4DF9-9A7C-0B6C01A4A1D0}"/>
    <cellStyle name="Normal 26 2 3 3 4" xfId="2154" xr:uid="{1C7C2B8F-4217-4CA2-AD8C-408F6F3E95E7}"/>
    <cellStyle name="Normal 26 2 3 3 5" xfId="4044" xr:uid="{24AD38C4-4A1F-42A7-BE6C-9B097DD8A81A}"/>
    <cellStyle name="Normal 26 2 3 3 6" xfId="5934" xr:uid="{8819A8C6-492E-4F67-8D97-631CF5AB11B2}"/>
    <cellStyle name="Normal 26 2 3 3 7" xfId="7824" xr:uid="{BB42BB11-ECA3-4343-A386-825505C0A633}"/>
    <cellStyle name="Normal 26 2 3 3 8" xfId="9714" xr:uid="{6C65CB7E-EF1E-40C0-96ED-527938A23149}"/>
    <cellStyle name="Normal 26 2 3 3 9" xfId="11604" xr:uid="{170EA8E1-BD5B-411B-966A-DB3F58B34DD9}"/>
    <cellStyle name="Normal 26 2 3 4" xfId="474" xr:uid="{5DBE4586-17B7-4033-AF6A-6405F5C220FD}"/>
    <cellStyle name="Normal 26 2 3 4 10" xfId="13704" xr:uid="{3BD7D7CF-C313-42FC-9BAE-95B3849D6D70}"/>
    <cellStyle name="Normal 26 2 3 4 11" xfId="15594" xr:uid="{026F7234-CFC0-443C-8691-E0F73F5D1DCA}"/>
    <cellStyle name="Normal 26 2 3 4 12" xfId="17484" xr:uid="{A0CD2819-EF02-46B6-9EA8-FF96E1EA43EB}"/>
    <cellStyle name="Normal 26 2 3 4 13" xfId="19374" xr:uid="{2AC82B5B-1D17-4B86-9CA7-EC6DDBC4A12C}"/>
    <cellStyle name="Normal 26 2 3 4 14" xfId="21264" xr:uid="{C20A47DF-7401-426E-9E50-1848264B8812}"/>
    <cellStyle name="Normal 26 2 3 4 15" xfId="23154" xr:uid="{3AA908FC-CEE6-4EBD-B556-5D742E152501}"/>
    <cellStyle name="Normal 26 2 3 4 16" xfId="25044" xr:uid="{9B1AC7EC-BAF8-42B5-B6E6-13E17810404E}"/>
    <cellStyle name="Normal 26 2 3 4 17" xfId="26934" xr:uid="{A2A46E2B-96A2-46A3-BDF4-12F29F023E48}"/>
    <cellStyle name="Normal 26 2 3 4 18" xfId="28824" xr:uid="{6F623ABB-D56E-4DDB-9C8F-66DCBBDFA8A1}"/>
    <cellStyle name="Normal 26 2 3 4 19" xfId="30714" xr:uid="{17EB53D4-14FD-4A1B-9D1D-2A949AD409A9}"/>
    <cellStyle name="Normal 26 2 3 4 2" xfId="1104" xr:uid="{10C53ADC-099F-454F-83B9-7C81B49B68B2}"/>
    <cellStyle name="Normal 26 2 3 4 2 10" xfId="18114" xr:uid="{E5B6096B-6962-4002-B668-2EE527FE0778}"/>
    <cellStyle name="Normal 26 2 3 4 2 11" xfId="20004" xr:uid="{89910D3C-6D99-4B33-86B4-18064133F694}"/>
    <cellStyle name="Normal 26 2 3 4 2 12" xfId="21894" xr:uid="{26B432CF-A8C1-44FD-9D52-E4149611DABC}"/>
    <cellStyle name="Normal 26 2 3 4 2 13" xfId="23784" xr:uid="{9352AB18-E744-4619-9882-FD8FC222993C}"/>
    <cellStyle name="Normal 26 2 3 4 2 14" xfId="25674" xr:uid="{A03445B3-CB04-46B7-B9A6-B26D7B26D25F}"/>
    <cellStyle name="Normal 26 2 3 4 2 15" xfId="27564" xr:uid="{D28C2E0C-1EFE-4A05-88DE-356F7963F721}"/>
    <cellStyle name="Normal 26 2 3 4 2 16" xfId="29454" xr:uid="{99D5A261-6A30-4266-95EE-BA2885D49C33}"/>
    <cellStyle name="Normal 26 2 3 4 2 17" xfId="31344" xr:uid="{70F7DA03-958C-4C51-816C-02A6FB31523F}"/>
    <cellStyle name="Normal 26 2 3 4 2 18" xfId="33234" xr:uid="{59E88E44-E3B0-4F3A-A3F5-CAFC6EBFC3CC}"/>
    <cellStyle name="Normal 26 2 3 4 2 19" xfId="35124" xr:uid="{6217928F-B7DD-4053-9ED4-F7DF05AF9485}"/>
    <cellStyle name="Normal 26 2 3 4 2 2" xfId="2994" xr:uid="{1245A3D2-AA0B-45E4-AD84-A8EF2CD6BC54}"/>
    <cellStyle name="Normal 26 2 3 4 2 20" xfId="37014" xr:uid="{ADDE68C6-1CBD-4BE7-BA68-61CDF6198334}"/>
    <cellStyle name="Normal 26 2 3 4 2 21" xfId="38904" xr:uid="{E19D4AB7-04D5-4CC2-AF9D-07917DB86043}"/>
    <cellStyle name="Normal 26 2 3 4 2 22" xfId="40795" xr:uid="{1FD50F0E-DBF3-40B4-8B5F-BC2C10DDA287}"/>
    <cellStyle name="Normal 26 2 3 4 2 3" xfId="4884" xr:uid="{A70C0B8E-DA94-4E0E-832B-082482E9558F}"/>
    <cellStyle name="Normal 26 2 3 4 2 4" xfId="6774" xr:uid="{4D6D022C-CA8D-48B4-B152-5947272BECAE}"/>
    <cellStyle name="Normal 26 2 3 4 2 5" xfId="8664" xr:uid="{133CA9F0-1BEF-42FE-B29A-F04AB3204D92}"/>
    <cellStyle name="Normal 26 2 3 4 2 6" xfId="10554" xr:uid="{503C573D-F713-41E7-9336-3B513AF3DC9C}"/>
    <cellStyle name="Normal 26 2 3 4 2 7" xfId="12444" xr:uid="{FCB2B472-B191-46BB-84A0-1A8AAA26C34C}"/>
    <cellStyle name="Normal 26 2 3 4 2 8" xfId="14334" xr:uid="{B9980B24-7276-46B3-A7DC-87B8AB5EE923}"/>
    <cellStyle name="Normal 26 2 3 4 2 9" xfId="16224" xr:uid="{11A6E973-2901-4460-AEFE-F0548F1689A2}"/>
    <cellStyle name="Normal 26 2 3 4 20" xfId="32604" xr:uid="{2BC8F651-A847-4158-BACD-6933BE55F42E}"/>
    <cellStyle name="Normal 26 2 3 4 21" xfId="34494" xr:uid="{D39134EE-41AE-47B8-9F85-2627EDFE3688}"/>
    <cellStyle name="Normal 26 2 3 4 22" xfId="36384" xr:uid="{6EDDA8E3-4655-4BCA-AF15-CFD234D949E4}"/>
    <cellStyle name="Normal 26 2 3 4 23" xfId="38274" xr:uid="{218B4E98-6776-4ACB-995B-B227DC534E2B}"/>
    <cellStyle name="Normal 26 2 3 4 24" xfId="40165" xr:uid="{52FEDEB7-A939-45A5-89A2-0C4127DCCC09}"/>
    <cellStyle name="Normal 26 2 3 4 3" xfId="1734" xr:uid="{E598882D-4380-4BEC-A994-EA5E458D2188}"/>
    <cellStyle name="Normal 26 2 3 4 3 10" xfId="18744" xr:uid="{8BE77C2B-9F7E-4A04-B46B-165F8D5D3EDA}"/>
    <cellStyle name="Normal 26 2 3 4 3 11" xfId="20634" xr:uid="{45610575-9523-46BC-8C3B-6B5FF401F72A}"/>
    <cellStyle name="Normal 26 2 3 4 3 12" xfId="22524" xr:uid="{E6CC2FEC-7852-436A-928E-4A43444CEC4C}"/>
    <cellStyle name="Normal 26 2 3 4 3 13" xfId="24414" xr:uid="{13A70B2D-B020-4FA4-A887-EF5005016FBD}"/>
    <cellStyle name="Normal 26 2 3 4 3 14" xfId="26304" xr:uid="{623358B1-2A57-4F70-8950-7F4CC49BF1C9}"/>
    <cellStyle name="Normal 26 2 3 4 3 15" xfId="28194" xr:uid="{4FA4D7FA-DE11-4808-9B44-AB9891181F4F}"/>
    <cellStyle name="Normal 26 2 3 4 3 16" xfId="30084" xr:uid="{AE720118-1105-4A0B-809A-310C270F4CB8}"/>
    <cellStyle name="Normal 26 2 3 4 3 17" xfId="31974" xr:uid="{33FFAD6A-0EF5-46FC-A22D-2B61277914A7}"/>
    <cellStyle name="Normal 26 2 3 4 3 18" xfId="33864" xr:uid="{31C916D2-69A9-4C92-8A58-36B7A2000B43}"/>
    <cellStyle name="Normal 26 2 3 4 3 19" xfId="35754" xr:uid="{107573B8-790D-49D3-87CB-A6C83912064F}"/>
    <cellStyle name="Normal 26 2 3 4 3 2" xfId="3624" xr:uid="{BFF13F36-6933-4AEA-98CE-C5A58E89AB23}"/>
    <cellStyle name="Normal 26 2 3 4 3 20" xfId="37644" xr:uid="{F28B7CEB-68F5-454F-98B8-99CC59337C2B}"/>
    <cellStyle name="Normal 26 2 3 4 3 21" xfId="39534" xr:uid="{E923CD30-2B49-4549-B350-42D909A658D1}"/>
    <cellStyle name="Normal 26 2 3 4 3 22" xfId="41425" xr:uid="{E7833945-8716-4E61-B2E5-5E535FC2F64B}"/>
    <cellStyle name="Normal 26 2 3 4 3 3" xfId="5514" xr:uid="{21658DAA-1316-48BF-881F-C92B221E577A}"/>
    <cellStyle name="Normal 26 2 3 4 3 4" xfId="7404" xr:uid="{F5644B49-FCC3-4D9C-929D-5E7DE21037F6}"/>
    <cellStyle name="Normal 26 2 3 4 3 5" xfId="9294" xr:uid="{59D78B55-84D1-4B4E-A13D-C64E14732F4D}"/>
    <cellStyle name="Normal 26 2 3 4 3 6" xfId="11184" xr:uid="{17A8B65F-7B8A-4FC8-8509-87D76A91F363}"/>
    <cellStyle name="Normal 26 2 3 4 3 7" xfId="13074" xr:uid="{AF48CF3C-F276-4971-925C-91DBF4BA1BB9}"/>
    <cellStyle name="Normal 26 2 3 4 3 8" xfId="14964" xr:uid="{4F85B154-D91B-47C8-9ADD-79C360FB1F2B}"/>
    <cellStyle name="Normal 26 2 3 4 3 9" xfId="16854" xr:uid="{C4DFA82C-5C13-4058-92B9-8BBCDB4884C8}"/>
    <cellStyle name="Normal 26 2 3 4 4" xfId="2364" xr:uid="{27B1B967-2808-4F87-9E73-7F0AA65B2284}"/>
    <cellStyle name="Normal 26 2 3 4 5" xfId="4254" xr:uid="{A0A37BFC-9C7D-4819-A02C-83606CD9BF04}"/>
    <cellStyle name="Normal 26 2 3 4 6" xfId="6144" xr:uid="{733FC3DA-2F89-4786-A28C-597CF8B5A3D6}"/>
    <cellStyle name="Normal 26 2 3 4 7" xfId="8034" xr:uid="{784246D9-8D17-46DF-8A85-74EA1D32E06D}"/>
    <cellStyle name="Normal 26 2 3 4 8" xfId="9924" xr:uid="{7C5E99F8-441E-424B-84B6-ACCD49644B95}"/>
    <cellStyle name="Normal 26 2 3 4 9" xfId="11814" xr:uid="{1DC967CF-26A6-4CC8-AF27-9B9643744474}"/>
    <cellStyle name="Normal 26 2 3 5" xfId="684" xr:uid="{500328C5-44AE-4CD0-A2E8-3561B316734A}"/>
    <cellStyle name="Normal 26 2 3 5 10" xfId="17694" xr:uid="{54384DEA-E2D6-426A-B9F3-19293649EBFB}"/>
    <cellStyle name="Normal 26 2 3 5 11" xfId="19584" xr:uid="{6F31B305-02D9-4E53-B152-7BC3A70B5206}"/>
    <cellStyle name="Normal 26 2 3 5 12" xfId="21474" xr:uid="{776380F1-C6C7-4299-8B54-27937A001BD0}"/>
    <cellStyle name="Normal 26 2 3 5 13" xfId="23364" xr:uid="{78178CBA-F9A7-493A-8DA4-89A6E52642BE}"/>
    <cellStyle name="Normal 26 2 3 5 14" xfId="25254" xr:uid="{8961D5FB-FABF-49CD-BB6B-5DC67556DB2E}"/>
    <cellStyle name="Normal 26 2 3 5 15" xfId="27144" xr:uid="{E9E5C3E5-7B1E-48D3-BB10-52E71133757A}"/>
    <cellStyle name="Normal 26 2 3 5 16" xfId="29034" xr:uid="{EE99ECC9-D3F6-47EF-B03C-52CB710510B3}"/>
    <cellStyle name="Normal 26 2 3 5 17" xfId="30924" xr:uid="{FECE2474-BF95-49F5-9A68-9E77342C094C}"/>
    <cellStyle name="Normal 26 2 3 5 18" xfId="32814" xr:uid="{4F67B3A0-46AF-47F5-8E78-1DC05F31C25E}"/>
    <cellStyle name="Normal 26 2 3 5 19" xfId="34704" xr:uid="{9D880C75-A194-45A4-A324-CA45F44FA4B7}"/>
    <cellStyle name="Normal 26 2 3 5 2" xfId="2574" xr:uid="{2864F21C-BE8B-44BC-A3B2-6D2D7AF97663}"/>
    <cellStyle name="Normal 26 2 3 5 20" xfId="36594" xr:uid="{3F7E74A0-1DD8-4967-A247-4EF1F575B6F2}"/>
    <cellStyle name="Normal 26 2 3 5 21" xfId="38484" xr:uid="{D5393508-3AB7-4EC6-BA6F-193F4A306C47}"/>
    <cellStyle name="Normal 26 2 3 5 22" xfId="40375" xr:uid="{E4CCCF16-7E91-4AD6-8332-7F7B2E7072D3}"/>
    <cellStyle name="Normal 26 2 3 5 3" xfId="4464" xr:uid="{D210F222-6494-4226-A515-61C956D48205}"/>
    <cellStyle name="Normal 26 2 3 5 4" xfId="6354" xr:uid="{F5155424-494D-4BA1-AB68-66B9C04274B8}"/>
    <cellStyle name="Normal 26 2 3 5 5" xfId="8244" xr:uid="{147423C9-26DF-4AC0-8DA5-35D72BBE8B54}"/>
    <cellStyle name="Normal 26 2 3 5 6" xfId="10134" xr:uid="{8A8F3B31-B14E-4259-A0EB-1E06EDE37506}"/>
    <cellStyle name="Normal 26 2 3 5 7" xfId="12024" xr:uid="{1DB9C704-9F84-484A-95BF-CAA8CBAFFC7C}"/>
    <cellStyle name="Normal 26 2 3 5 8" xfId="13914" xr:uid="{FCFC602E-9DE8-4AA2-8654-6C73CC28C3ED}"/>
    <cellStyle name="Normal 26 2 3 5 9" xfId="15804" xr:uid="{6209953B-2632-4342-8809-8D280F26F508}"/>
    <cellStyle name="Normal 26 2 3 6" xfId="1314" xr:uid="{C81D4233-9CFD-4FFA-B793-8C6637E4DE36}"/>
    <cellStyle name="Normal 26 2 3 6 10" xfId="18324" xr:uid="{20218A95-7EE2-4380-BE17-0CA2AC59B997}"/>
    <cellStyle name="Normal 26 2 3 6 11" xfId="20214" xr:uid="{96132CFD-4A2D-4E65-B933-C66FF5D3BBFE}"/>
    <cellStyle name="Normal 26 2 3 6 12" xfId="22104" xr:uid="{9494411C-1FAD-493C-9E5A-65DDAF3BDBA6}"/>
    <cellStyle name="Normal 26 2 3 6 13" xfId="23994" xr:uid="{4B0839AA-7573-4221-A1BA-E682305651FA}"/>
    <cellStyle name="Normal 26 2 3 6 14" xfId="25884" xr:uid="{E506E106-9D6D-4F34-A1E6-C65378EAC515}"/>
    <cellStyle name="Normal 26 2 3 6 15" xfId="27774" xr:uid="{21E0F26E-4787-4D44-AE49-B15B6512FFCB}"/>
    <cellStyle name="Normal 26 2 3 6 16" xfId="29664" xr:uid="{326C41FF-3DC8-4C94-B46C-5A9CD73CB99F}"/>
    <cellStyle name="Normal 26 2 3 6 17" xfId="31554" xr:uid="{7A7ECDE4-61AD-4696-9FBD-98FD54C5C141}"/>
    <cellStyle name="Normal 26 2 3 6 18" xfId="33444" xr:uid="{613507A8-569C-42A2-871F-ECE5A47D4AB3}"/>
    <cellStyle name="Normal 26 2 3 6 19" xfId="35334" xr:uid="{8C3AF72E-FCA3-4D21-86C2-3A7D37F824C1}"/>
    <cellStyle name="Normal 26 2 3 6 2" xfId="3204" xr:uid="{7F084591-96E4-467D-92D4-B9B79A8F23C3}"/>
    <cellStyle name="Normal 26 2 3 6 20" xfId="37224" xr:uid="{F93BD40C-92A5-4702-BFB3-0860DA300F92}"/>
    <cellStyle name="Normal 26 2 3 6 21" xfId="39114" xr:uid="{2F534F09-1F69-42EC-8501-02702D649A6C}"/>
    <cellStyle name="Normal 26 2 3 6 22" xfId="41005" xr:uid="{5ADF4A85-AA7A-48A7-925F-CA4E10A17F3B}"/>
    <cellStyle name="Normal 26 2 3 6 3" xfId="5094" xr:uid="{9FEEC297-34BB-4212-B657-BD75D43AB856}"/>
    <cellStyle name="Normal 26 2 3 6 4" xfId="6984" xr:uid="{531C82FA-F83A-415D-A134-7CF5BD1E59CE}"/>
    <cellStyle name="Normal 26 2 3 6 5" xfId="8874" xr:uid="{3EE25561-77F5-4F6C-BD94-2E2B833557E6}"/>
    <cellStyle name="Normal 26 2 3 6 6" xfId="10764" xr:uid="{4555B2A3-342C-4562-90D8-1C79F403A5FD}"/>
    <cellStyle name="Normal 26 2 3 6 7" xfId="12654" xr:uid="{8F83BAD9-E95F-49EA-BE34-EF18EEF0DC43}"/>
    <cellStyle name="Normal 26 2 3 6 8" xfId="14544" xr:uid="{6EEC1503-27D7-43CD-AD71-D0D440A4C494}"/>
    <cellStyle name="Normal 26 2 3 6 9" xfId="16434" xr:uid="{0216BAD6-092F-4CCA-97F2-0687B470C1CF}"/>
    <cellStyle name="Normal 26 2 3 7" xfId="1944" xr:uid="{368C2BDF-3613-435F-A52A-7FD6E1221D72}"/>
    <cellStyle name="Normal 26 2 3 8" xfId="3834" xr:uid="{B788615D-1A16-48B2-B173-932C0B8ECF88}"/>
    <cellStyle name="Normal 26 2 3 9" xfId="5724" xr:uid="{29DC4440-C9E4-4098-96C4-7995949C0086}"/>
    <cellStyle name="Normal 26 2 30" xfId="37837" xr:uid="{7927240D-A8DE-45DE-80A8-4EED4338A43E}"/>
    <cellStyle name="Normal 26 2 31" xfId="39728" xr:uid="{29ECA680-EA05-4853-8241-56CB84E7E433}"/>
    <cellStyle name="Normal 26 2 4" xfId="41" xr:uid="{23D61B0B-CDB6-4BE8-8B5F-86C35D427CCD}"/>
    <cellStyle name="Normal 26 2 4 10" xfId="7623" xr:uid="{767C6D7E-69D4-40BB-8FB0-A785EB7475D4}"/>
    <cellStyle name="Normal 26 2 4 11" xfId="9513" xr:uid="{3FDA6F8D-A7AD-4A64-B757-FEDDEF59BB69}"/>
    <cellStyle name="Normal 26 2 4 12" xfId="11403" xr:uid="{883C9055-19CB-409A-8C99-5E27DB898454}"/>
    <cellStyle name="Normal 26 2 4 13" xfId="13293" xr:uid="{86424920-F725-44A1-9F65-4F41DE8FA79C}"/>
    <cellStyle name="Normal 26 2 4 14" xfId="15183" xr:uid="{F09BE6DC-9A31-470F-80B1-999A1681E7A5}"/>
    <cellStyle name="Normal 26 2 4 15" xfId="17073" xr:uid="{64268F88-BF96-441A-AC09-4BD00A959DB2}"/>
    <cellStyle name="Normal 26 2 4 16" xfId="18963" xr:uid="{563AD7AE-9367-4E89-8F74-0188F1273500}"/>
    <cellStyle name="Normal 26 2 4 17" xfId="20853" xr:uid="{37CFE430-6467-44FB-BF82-59FD710471D9}"/>
    <cellStyle name="Normal 26 2 4 18" xfId="22743" xr:uid="{3562E893-2C3E-4F2E-8064-C52D88F4B674}"/>
    <cellStyle name="Normal 26 2 4 19" xfId="24633" xr:uid="{52D589C6-47E9-4DC0-BFFD-164230AD60F7}"/>
    <cellStyle name="Normal 26 2 4 2" xfId="168" xr:uid="{D654CC48-3314-4CCE-A356-9A50B17C644E}"/>
    <cellStyle name="Normal 26 2 4 2 10" xfId="9618" xr:uid="{054437BE-A4FC-447D-A0A1-44196F0860BE}"/>
    <cellStyle name="Normal 26 2 4 2 11" xfId="11508" xr:uid="{335189E6-07FB-40C4-8628-86E18B6DDD8A}"/>
    <cellStyle name="Normal 26 2 4 2 12" xfId="13398" xr:uid="{BBE9E208-DA23-46BE-8753-9104D3EE2B9A}"/>
    <cellStyle name="Normal 26 2 4 2 13" xfId="15288" xr:uid="{5B601C38-AA6F-4A81-B2D6-2FD9F809ACA5}"/>
    <cellStyle name="Normal 26 2 4 2 14" xfId="17178" xr:uid="{46588F66-820C-4826-A26D-7721DA397D04}"/>
    <cellStyle name="Normal 26 2 4 2 15" xfId="19068" xr:uid="{609386AD-C155-4F41-A499-4D21B1A53E08}"/>
    <cellStyle name="Normal 26 2 4 2 16" xfId="20958" xr:uid="{5C403AE6-7B17-48EE-9973-038B28D0C863}"/>
    <cellStyle name="Normal 26 2 4 2 17" xfId="22848" xr:uid="{1A1DE9DD-64F9-430E-99BA-83AFE00ADD57}"/>
    <cellStyle name="Normal 26 2 4 2 18" xfId="24738" xr:uid="{5D0DF945-FC2C-4AC0-978E-7708A986FC9F}"/>
    <cellStyle name="Normal 26 2 4 2 19" xfId="26628" xr:uid="{F4C83030-D0A1-40AB-A033-4F5C90C1505F}"/>
    <cellStyle name="Normal 26 2 4 2 2" xfId="378" xr:uid="{23502626-7729-4F15-BEE5-C25109C05CC7}"/>
    <cellStyle name="Normal 26 2 4 2 2 10" xfId="13608" xr:uid="{F1377E28-696F-4F9A-AB51-F446351446C7}"/>
    <cellStyle name="Normal 26 2 4 2 2 11" xfId="15498" xr:uid="{1CD0B4AB-FBB3-460D-839B-9D1820F61BCB}"/>
    <cellStyle name="Normal 26 2 4 2 2 12" xfId="17388" xr:uid="{3E187AEC-B323-4F55-B58A-ABAAD4252994}"/>
    <cellStyle name="Normal 26 2 4 2 2 13" xfId="19278" xr:uid="{176D53B3-A259-4DF1-A77B-55E23B1F30BF}"/>
    <cellStyle name="Normal 26 2 4 2 2 14" xfId="21168" xr:uid="{AEB299FB-11F0-4596-B888-20785559CB0F}"/>
    <cellStyle name="Normal 26 2 4 2 2 15" xfId="23058" xr:uid="{C2B71EE1-8973-4BA7-AD65-07B025AFA858}"/>
    <cellStyle name="Normal 26 2 4 2 2 16" xfId="24948" xr:uid="{3532C4F5-4320-4FEB-B601-A517D74EDCE3}"/>
    <cellStyle name="Normal 26 2 4 2 2 17" xfId="26838" xr:uid="{D4448E61-E40C-42C5-88F9-63BF6EC15414}"/>
    <cellStyle name="Normal 26 2 4 2 2 18" xfId="28728" xr:uid="{C9BA05C8-FB31-4620-8544-52D6310BA00C}"/>
    <cellStyle name="Normal 26 2 4 2 2 19" xfId="30618" xr:uid="{156B1323-013F-4F17-8403-602A27D43C58}"/>
    <cellStyle name="Normal 26 2 4 2 2 2" xfId="1008" xr:uid="{107314D2-2A44-4CEC-BBE4-35FDCF13D36E}"/>
    <cellStyle name="Normal 26 2 4 2 2 2 10" xfId="18018" xr:uid="{92B3516B-D38D-4706-920B-54B2189C583F}"/>
    <cellStyle name="Normal 26 2 4 2 2 2 11" xfId="19908" xr:uid="{2DCD3486-EF65-4C43-B611-63708A701266}"/>
    <cellStyle name="Normal 26 2 4 2 2 2 12" xfId="21798" xr:uid="{6B940FCD-DAA7-419D-8062-0609B649425E}"/>
    <cellStyle name="Normal 26 2 4 2 2 2 13" xfId="23688" xr:uid="{2CDA34CA-6DCF-4987-8FF4-468DC8C7CCB3}"/>
    <cellStyle name="Normal 26 2 4 2 2 2 14" xfId="25578" xr:uid="{389B4F3A-8E67-46FA-BCE8-5D892D747F41}"/>
    <cellStyle name="Normal 26 2 4 2 2 2 15" xfId="27468" xr:uid="{F36DDB13-4730-454C-8C48-330F084259D7}"/>
    <cellStyle name="Normal 26 2 4 2 2 2 16" xfId="29358" xr:uid="{803D2F2C-C7B0-4E5E-8D99-8549A70349AB}"/>
    <cellStyle name="Normal 26 2 4 2 2 2 17" xfId="31248" xr:uid="{4C4848F1-1F19-40BA-A184-1DC65BCB13C4}"/>
    <cellStyle name="Normal 26 2 4 2 2 2 18" xfId="33138" xr:uid="{CEF40E5F-36C3-4B6B-9110-EBD5DA387B9B}"/>
    <cellStyle name="Normal 26 2 4 2 2 2 19" xfId="35028" xr:uid="{F960ADA1-2F9F-43EE-885E-FF9C0A56B510}"/>
    <cellStyle name="Normal 26 2 4 2 2 2 2" xfId="2898" xr:uid="{F3E61777-39C6-4ED0-92A4-F6E2D87FA0E2}"/>
    <cellStyle name="Normal 26 2 4 2 2 2 20" xfId="36918" xr:uid="{7091E96A-B5A5-4CA7-B691-1E88655E9EEC}"/>
    <cellStyle name="Normal 26 2 4 2 2 2 21" xfId="38808" xr:uid="{64AF0900-FBEF-4035-A839-D7E33314D76A}"/>
    <cellStyle name="Normal 26 2 4 2 2 2 22" xfId="40699" xr:uid="{D49B5289-7BDC-4F13-BE83-EC6EEA1E784F}"/>
    <cellStyle name="Normal 26 2 4 2 2 2 3" xfId="4788" xr:uid="{ECAE738D-AD6D-424F-B9E7-218E70A8B5F1}"/>
    <cellStyle name="Normal 26 2 4 2 2 2 4" xfId="6678" xr:uid="{FBF3D03D-20EB-4B79-98D6-8E60506E785A}"/>
    <cellStyle name="Normal 26 2 4 2 2 2 5" xfId="8568" xr:uid="{2E966156-F95A-4BC1-B3A6-3E33738C78C8}"/>
    <cellStyle name="Normal 26 2 4 2 2 2 6" xfId="10458" xr:uid="{02529E7F-54B8-4726-B9C9-B2B2A07A36CF}"/>
    <cellStyle name="Normal 26 2 4 2 2 2 7" xfId="12348" xr:uid="{138E8B16-E5B1-44C8-8A41-2704F97C1FB6}"/>
    <cellStyle name="Normal 26 2 4 2 2 2 8" xfId="14238" xr:uid="{212EDF9F-28B5-46E2-9150-CB2BF72273DB}"/>
    <cellStyle name="Normal 26 2 4 2 2 2 9" xfId="16128" xr:uid="{30E99EB1-FDC6-4516-A384-CD59B84ADB11}"/>
    <cellStyle name="Normal 26 2 4 2 2 20" xfId="32508" xr:uid="{C45F46F5-2298-42C2-BD5F-700DB16EFE0A}"/>
    <cellStyle name="Normal 26 2 4 2 2 21" xfId="34398" xr:uid="{E6F02DF0-B6D0-49D9-AB6B-FA341E74AE14}"/>
    <cellStyle name="Normal 26 2 4 2 2 22" xfId="36288" xr:uid="{4E1FC750-D5C1-4E3C-B797-6FA69588975D}"/>
    <cellStyle name="Normal 26 2 4 2 2 23" xfId="38178" xr:uid="{D12F2E10-82ED-4978-846A-C70960035AAC}"/>
    <cellStyle name="Normal 26 2 4 2 2 24" xfId="40069" xr:uid="{8E67364B-16EC-4BFD-81D0-0B237D2A56A2}"/>
    <cellStyle name="Normal 26 2 4 2 2 3" xfId="1638" xr:uid="{EDF161B4-85FA-45D3-B3C0-8C76FD18E3D0}"/>
    <cellStyle name="Normal 26 2 4 2 2 3 10" xfId="18648" xr:uid="{CCC7F8D6-FB00-404E-9493-EC72641CA321}"/>
    <cellStyle name="Normal 26 2 4 2 2 3 11" xfId="20538" xr:uid="{A5799433-6C04-48CD-A84F-412E645BFBE0}"/>
    <cellStyle name="Normal 26 2 4 2 2 3 12" xfId="22428" xr:uid="{DBB6D576-56D1-436E-91EC-2C0E252004A8}"/>
    <cellStyle name="Normal 26 2 4 2 2 3 13" xfId="24318" xr:uid="{891DF3D4-24BA-4E79-A276-492A39384DAE}"/>
    <cellStyle name="Normal 26 2 4 2 2 3 14" xfId="26208" xr:uid="{85EAB4ED-81A8-4198-8C9C-CC4CCAC88624}"/>
    <cellStyle name="Normal 26 2 4 2 2 3 15" xfId="28098" xr:uid="{1F7A0224-0901-464C-A724-751BC1AE3F58}"/>
    <cellStyle name="Normal 26 2 4 2 2 3 16" xfId="29988" xr:uid="{6B2A6EDA-B06C-4C0E-AEDE-A214E4F91B28}"/>
    <cellStyle name="Normal 26 2 4 2 2 3 17" xfId="31878" xr:uid="{221727AA-00EA-4388-8435-D1CE0BBA74A9}"/>
    <cellStyle name="Normal 26 2 4 2 2 3 18" xfId="33768" xr:uid="{7B5286CF-5454-49F7-9374-4BF3A220BBD8}"/>
    <cellStyle name="Normal 26 2 4 2 2 3 19" xfId="35658" xr:uid="{CE6554B8-3E7D-43C2-9F47-9181A5F6A893}"/>
    <cellStyle name="Normal 26 2 4 2 2 3 2" xfId="3528" xr:uid="{A763243B-AA7B-4446-B7C4-20BC052A6AD9}"/>
    <cellStyle name="Normal 26 2 4 2 2 3 20" xfId="37548" xr:uid="{FA566967-2C02-46CB-B612-ED61A52558EB}"/>
    <cellStyle name="Normal 26 2 4 2 2 3 21" xfId="39438" xr:uid="{17B91360-AA5C-4825-8FCD-41936C4F2812}"/>
    <cellStyle name="Normal 26 2 4 2 2 3 22" xfId="41329" xr:uid="{18641434-38D8-477A-A982-BB180E79125A}"/>
    <cellStyle name="Normal 26 2 4 2 2 3 3" xfId="5418" xr:uid="{0FEE1357-E121-45F0-A92A-918B39EB7921}"/>
    <cellStyle name="Normal 26 2 4 2 2 3 4" xfId="7308" xr:uid="{F8B3182F-C8D4-43DF-9EDF-8FCF75F70B08}"/>
    <cellStyle name="Normal 26 2 4 2 2 3 5" xfId="9198" xr:uid="{C827B44D-6E83-4468-8FD6-8A6048AE9EDA}"/>
    <cellStyle name="Normal 26 2 4 2 2 3 6" xfId="11088" xr:uid="{F6F2AB1E-8F50-4D41-A15D-BD09BFF2E738}"/>
    <cellStyle name="Normal 26 2 4 2 2 3 7" xfId="12978" xr:uid="{5317CD31-0E7C-4E53-8392-9B271E3DCAA9}"/>
    <cellStyle name="Normal 26 2 4 2 2 3 8" xfId="14868" xr:uid="{A063DA32-8BCF-4E1C-9978-F2A54E745F35}"/>
    <cellStyle name="Normal 26 2 4 2 2 3 9" xfId="16758" xr:uid="{58F7CDC1-3BCB-4AF5-838C-803B6B70F316}"/>
    <cellStyle name="Normal 26 2 4 2 2 4" xfId="2268" xr:uid="{F1C1B17F-BD78-48CD-A19A-353A09930AE6}"/>
    <cellStyle name="Normal 26 2 4 2 2 5" xfId="4158" xr:uid="{587AFE4E-4F27-4A9E-8FD0-F2DD5BDB964B}"/>
    <cellStyle name="Normal 26 2 4 2 2 6" xfId="6048" xr:uid="{2433B919-C49A-4528-AE60-0338E16BCA3C}"/>
    <cellStyle name="Normal 26 2 4 2 2 7" xfId="7938" xr:uid="{DFC88712-4758-4AC5-BC71-C4201789551B}"/>
    <cellStyle name="Normal 26 2 4 2 2 8" xfId="9828" xr:uid="{B69A64AB-02A7-4EB9-9036-FF008410BAE8}"/>
    <cellStyle name="Normal 26 2 4 2 2 9" xfId="11718" xr:uid="{0CCAF60A-0485-4D69-8441-0936A24F2162}"/>
    <cellStyle name="Normal 26 2 4 2 20" xfId="28518" xr:uid="{2F9F06EE-2D92-48FA-A634-D8A0B0179B90}"/>
    <cellStyle name="Normal 26 2 4 2 21" xfId="30408" xr:uid="{6DD9EBBB-DA51-49A7-BD80-19A8951160FD}"/>
    <cellStyle name="Normal 26 2 4 2 22" xfId="32298" xr:uid="{1124533D-D16C-44BB-B6FC-D8F6F0E28819}"/>
    <cellStyle name="Normal 26 2 4 2 23" xfId="34188" xr:uid="{35535E50-5F39-4098-AACC-9B162890EA28}"/>
    <cellStyle name="Normal 26 2 4 2 24" xfId="36078" xr:uid="{9AC46EFE-DA13-40B7-87FF-CB530B22B9EE}"/>
    <cellStyle name="Normal 26 2 4 2 25" xfId="37968" xr:uid="{EE38CDE2-2045-4F68-9F84-9FFB73336514}"/>
    <cellStyle name="Normal 26 2 4 2 26" xfId="39859" xr:uid="{84091960-4A94-428E-AA36-CD7E31EE654A}"/>
    <cellStyle name="Normal 26 2 4 2 3" xfId="588" xr:uid="{63FE4D56-AE57-46CB-B4BB-7F2D8A1846F8}"/>
    <cellStyle name="Normal 26 2 4 2 3 10" xfId="13818" xr:uid="{0C7AFCF2-9A1A-4CE5-8DE6-661F443341D9}"/>
    <cellStyle name="Normal 26 2 4 2 3 11" xfId="15708" xr:uid="{47B1FCFF-13C1-4423-9864-B28569F7237C}"/>
    <cellStyle name="Normal 26 2 4 2 3 12" xfId="17598" xr:uid="{6A623E47-ACB1-4F6C-9275-0E18010D203D}"/>
    <cellStyle name="Normal 26 2 4 2 3 13" xfId="19488" xr:uid="{00E9B5E4-B0B6-43DD-80E7-9E862B11807E}"/>
    <cellStyle name="Normal 26 2 4 2 3 14" xfId="21378" xr:uid="{D4927858-6FE5-4703-9B8B-702A5069A95C}"/>
    <cellStyle name="Normal 26 2 4 2 3 15" xfId="23268" xr:uid="{916A4DE4-0403-4DB5-B2F9-1DFA3943458E}"/>
    <cellStyle name="Normal 26 2 4 2 3 16" xfId="25158" xr:uid="{B2B66555-E7B9-4647-B00A-DEEA94791935}"/>
    <cellStyle name="Normal 26 2 4 2 3 17" xfId="27048" xr:uid="{7EE8AE2E-AFAD-45E3-A5EE-0A076373685A}"/>
    <cellStyle name="Normal 26 2 4 2 3 18" xfId="28938" xr:uid="{6738F8FF-314E-41DF-9C8A-13B745297591}"/>
    <cellStyle name="Normal 26 2 4 2 3 19" xfId="30828" xr:uid="{46330B20-405C-49EF-B7B4-5801CCF5E947}"/>
    <cellStyle name="Normal 26 2 4 2 3 2" xfId="1218" xr:uid="{BD1AA61F-7756-4BFF-BB9B-00764400A636}"/>
    <cellStyle name="Normal 26 2 4 2 3 2 10" xfId="18228" xr:uid="{5E8AFEC3-4AC5-431D-BCF8-DFC5EDE3E04F}"/>
    <cellStyle name="Normal 26 2 4 2 3 2 11" xfId="20118" xr:uid="{209CB35C-5626-48FF-9C91-94D8A537784F}"/>
    <cellStyle name="Normal 26 2 4 2 3 2 12" xfId="22008" xr:uid="{5D41EB75-086E-414F-829F-EAAFB494EE27}"/>
    <cellStyle name="Normal 26 2 4 2 3 2 13" xfId="23898" xr:uid="{21E28B47-0354-46D0-8BC1-A3B801A023C9}"/>
    <cellStyle name="Normal 26 2 4 2 3 2 14" xfId="25788" xr:uid="{B07351FE-AEBF-46C6-9799-90EC4690144D}"/>
    <cellStyle name="Normal 26 2 4 2 3 2 15" xfId="27678" xr:uid="{9BC153BB-EAE9-49CD-835F-8ABC4CCFE40B}"/>
    <cellStyle name="Normal 26 2 4 2 3 2 16" xfId="29568" xr:uid="{44568254-A3EC-4C13-846B-E660A9C17F07}"/>
    <cellStyle name="Normal 26 2 4 2 3 2 17" xfId="31458" xr:uid="{B80BB51A-4776-4BF0-910A-64471D3D5DBE}"/>
    <cellStyle name="Normal 26 2 4 2 3 2 18" xfId="33348" xr:uid="{B43F0B0F-F6D9-42BE-8DD2-EB339F3AB126}"/>
    <cellStyle name="Normal 26 2 4 2 3 2 19" xfId="35238" xr:uid="{80CA9CAB-E002-477B-A93A-11E84BC1B1A9}"/>
    <cellStyle name="Normal 26 2 4 2 3 2 2" xfId="3108" xr:uid="{A4AEC88A-6351-43E8-AA17-24C3A9E6577D}"/>
    <cellStyle name="Normal 26 2 4 2 3 2 20" xfId="37128" xr:uid="{F3AF747F-8A01-440E-836E-0CD33095DBCD}"/>
    <cellStyle name="Normal 26 2 4 2 3 2 21" xfId="39018" xr:uid="{8EF1BC05-C5CB-47EB-95A2-7FD4A074E9B1}"/>
    <cellStyle name="Normal 26 2 4 2 3 2 22" xfId="40909" xr:uid="{48285944-219C-41D8-ABF0-44ED4B69BB00}"/>
    <cellStyle name="Normal 26 2 4 2 3 2 3" xfId="4998" xr:uid="{46D8CE63-362D-4796-AB81-11973FD98A77}"/>
    <cellStyle name="Normal 26 2 4 2 3 2 4" xfId="6888" xr:uid="{BE2F2794-C4E1-4B15-B73B-5A745F88144F}"/>
    <cellStyle name="Normal 26 2 4 2 3 2 5" xfId="8778" xr:uid="{4C188E19-A2E3-4BAD-BC6F-7541DF4DA6D0}"/>
    <cellStyle name="Normal 26 2 4 2 3 2 6" xfId="10668" xr:uid="{C23A1903-D0CD-4779-A79E-26FE723276F5}"/>
    <cellStyle name="Normal 26 2 4 2 3 2 7" xfId="12558" xr:uid="{CF07C6BF-4B59-4BD9-A40D-F5F67F9A3FE8}"/>
    <cellStyle name="Normal 26 2 4 2 3 2 8" xfId="14448" xr:uid="{B02A0CDB-2EF1-45E3-A756-9B0074DEFBEF}"/>
    <cellStyle name="Normal 26 2 4 2 3 2 9" xfId="16338" xr:uid="{5DB74134-E51C-4695-95D6-4489E3164068}"/>
    <cellStyle name="Normal 26 2 4 2 3 20" xfId="32718" xr:uid="{423F0557-0EC1-4C09-8B5F-1710472E17A7}"/>
    <cellStyle name="Normal 26 2 4 2 3 21" xfId="34608" xr:uid="{370678BA-3D56-4950-B960-294C1237364E}"/>
    <cellStyle name="Normal 26 2 4 2 3 22" xfId="36498" xr:uid="{789F1AAA-C3EB-415F-A862-A9CC9081D6C7}"/>
    <cellStyle name="Normal 26 2 4 2 3 23" xfId="38388" xr:uid="{240D38D9-DD22-41CB-93A3-040DD36408FF}"/>
    <cellStyle name="Normal 26 2 4 2 3 24" xfId="40279" xr:uid="{D7C85B70-8590-44A5-A258-D4B66A3AE414}"/>
    <cellStyle name="Normal 26 2 4 2 3 3" xfId="1848" xr:uid="{57F5076F-4114-4289-9865-A9D96D354B4E}"/>
    <cellStyle name="Normal 26 2 4 2 3 3 10" xfId="18858" xr:uid="{05145F10-0EEC-4CE0-97B5-BF68A20CB082}"/>
    <cellStyle name="Normal 26 2 4 2 3 3 11" xfId="20748" xr:uid="{48F1BE6E-B5A1-4C02-B19B-265BAD12C959}"/>
    <cellStyle name="Normal 26 2 4 2 3 3 12" xfId="22638" xr:uid="{2E9E1E35-AFF7-474A-9FAC-B03DDD8D1EF2}"/>
    <cellStyle name="Normal 26 2 4 2 3 3 13" xfId="24528" xr:uid="{152B9303-D82F-459E-AD31-882F2ED81164}"/>
    <cellStyle name="Normal 26 2 4 2 3 3 14" xfId="26418" xr:uid="{90A9B302-516E-45A3-927B-44B4E2C00C28}"/>
    <cellStyle name="Normal 26 2 4 2 3 3 15" xfId="28308" xr:uid="{3686D4F3-9B5B-49C7-96DE-08E3B957C7AC}"/>
    <cellStyle name="Normal 26 2 4 2 3 3 16" xfId="30198" xr:uid="{EC1BE1E6-4E21-430C-945E-DCBCC8C30B0F}"/>
    <cellStyle name="Normal 26 2 4 2 3 3 17" xfId="32088" xr:uid="{04436684-86CB-4C12-8E17-9AC1F658CB35}"/>
    <cellStyle name="Normal 26 2 4 2 3 3 18" xfId="33978" xr:uid="{B7A4E8FD-F8A5-40F2-BEC1-607349A2B221}"/>
    <cellStyle name="Normal 26 2 4 2 3 3 19" xfId="35868" xr:uid="{3E7A57CB-2F7E-4204-B5E8-51A497C34DDC}"/>
    <cellStyle name="Normal 26 2 4 2 3 3 2" xfId="3738" xr:uid="{537ABED8-7C0A-4FE3-AE86-883956891EA5}"/>
    <cellStyle name="Normal 26 2 4 2 3 3 20" xfId="37758" xr:uid="{0CF631A7-BDBD-42FF-BA25-96AC061C545B}"/>
    <cellStyle name="Normal 26 2 4 2 3 3 21" xfId="39648" xr:uid="{72923C90-FDC4-4574-B220-BC5666A70C4C}"/>
    <cellStyle name="Normal 26 2 4 2 3 3 22" xfId="41539" xr:uid="{DA8A4051-9C75-45FC-85E5-F10CF8F81514}"/>
    <cellStyle name="Normal 26 2 4 2 3 3 3" xfId="5628" xr:uid="{055FB7A8-A380-4051-A510-922E5202DD8E}"/>
    <cellStyle name="Normal 26 2 4 2 3 3 4" xfId="7518" xr:uid="{64990B45-2988-47FF-95ED-2BA9D0DBCEA6}"/>
    <cellStyle name="Normal 26 2 4 2 3 3 5" xfId="9408" xr:uid="{FCC411EC-7244-4D14-9368-723A94DE6BFF}"/>
    <cellStyle name="Normal 26 2 4 2 3 3 6" xfId="11298" xr:uid="{8E866248-AA53-41C3-B5AC-E5F6B49FCA68}"/>
    <cellStyle name="Normal 26 2 4 2 3 3 7" xfId="13188" xr:uid="{C2F96DA7-1C20-40BB-BCEA-930B3D968D67}"/>
    <cellStyle name="Normal 26 2 4 2 3 3 8" xfId="15078" xr:uid="{4A286AFC-64D7-4B8E-B866-28EEA627B414}"/>
    <cellStyle name="Normal 26 2 4 2 3 3 9" xfId="16968" xr:uid="{34B8FE6A-27B1-43CF-A2F6-FAAD57C9106F}"/>
    <cellStyle name="Normal 26 2 4 2 3 4" xfId="2478" xr:uid="{832DC42D-3BA8-4FBE-B1EF-1EFBE76959A7}"/>
    <cellStyle name="Normal 26 2 4 2 3 5" xfId="4368" xr:uid="{0C545B19-571C-43D5-81BA-DDBEF11F2824}"/>
    <cellStyle name="Normal 26 2 4 2 3 6" xfId="6258" xr:uid="{94720270-0F02-4C58-AD19-4FA7F8BB49CB}"/>
    <cellStyle name="Normal 26 2 4 2 3 7" xfId="8148" xr:uid="{D3EDA20B-8C60-4681-8425-16939EEA6374}"/>
    <cellStyle name="Normal 26 2 4 2 3 8" xfId="10038" xr:uid="{3F49DC52-C232-4BAB-BCBD-99E7791F6FC3}"/>
    <cellStyle name="Normal 26 2 4 2 3 9" xfId="11928" xr:uid="{E4790EA0-F7B6-41C6-90E0-8658912CB2A9}"/>
    <cellStyle name="Normal 26 2 4 2 4" xfId="798" xr:uid="{5063A908-298E-49B5-9CA1-1504D4C0933F}"/>
    <cellStyle name="Normal 26 2 4 2 4 10" xfId="17808" xr:uid="{2D421825-FD1C-4BAA-ADF6-1EB99F4EFF68}"/>
    <cellStyle name="Normal 26 2 4 2 4 11" xfId="19698" xr:uid="{46D9F95A-FF1A-49A0-837A-8659F88CA82B}"/>
    <cellStyle name="Normal 26 2 4 2 4 12" xfId="21588" xr:uid="{61DE48F1-8595-402E-8A3F-CE0167363BA8}"/>
    <cellStyle name="Normal 26 2 4 2 4 13" xfId="23478" xr:uid="{D43476E5-3E82-45E5-903E-C238DA0E85E5}"/>
    <cellStyle name="Normal 26 2 4 2 4 14" xfId="25368" xr:uid="{0DC0E49E-24F1-40AE-9F27-730827D1266C}"/>
    <cellStyle name="Normal 26 2 4 2 4 15" xfId="27258" xr:uid="{C9715365-A227-4CA4-BD88-13701426F837}"/>
    <cellStyle name="Normal 26 2 4 2 4 16" xfId="29148" xr:uid="{CC58F3F9-003D-427C-A853-708AE27AC711}"/>
    <cellStyle name="Normal 26 2 4 2 4 17" xfId="31038" xr:uid="{045F4CB3-33C2-4415-A57D-BCAF0035373B}"/>
    <cellStyle name="Normal 26 2 4 2 4 18" xfId="32928" xr:uid="{CA9227D3-B73C-4977-A4F5-F655E71E6EE6}"/>
    <cellStyle name="Normal 26 2 4 2 4 19" xfId="34818" xr:uid="{31A5AC57-460A-414F-A171-AF080A69E02C}"/>
    <cellStyle name="Normal 26 2 4 2 4 2" xfId="2688" xr:uid="{699BF89A-7ACF-4BE1-A466-B41008D41040}"/>
    <cellStyle name="Normal 26 2 4 2 4 20" xfId="36708" xr:uid="{14FAA8F4-39F8-4502-BADE-04C073A9FEB5}"/>
    <cellStyle name="Normal 26 2 4 2 4 21" xfId="38598" xr:uid="{8A6BA228-9050-4843-AABE-E6858943C432}"/>
    <cellStyle name="Normal 26 2 4 2 4 22" xfId="40489" xr:uid="{9C70E63B-2D80-46A5-91F6-0939DE53641C}"/>
    <cellStyle name="Normal 26 2 4 2 4 3" xfId="4578" xr:uid="{A8423A0B-507B-40D4-97E6-1345DB319C0E}"/>
    <cellStyle name="Normal 26 2 4 2 4 4" xfId="6468" xr:uid="{64953CFF-21D2-4E54-807A-A2553E420D9E}"/>
    <cellStyle name="Normal 26 2 4 2 4 5" xfId="8358" xr:uid="{CC2C70D7-A8F8-4965-AEE2-7335CD5843DE}"/>
    <cellStyle name="Normal 26 2 4 2 4 6" xfId="10248" xr:uid="{5E3FAA9D-980B-4335-8265-9855642AB418}"/>
    <cellStyle name="Normal 26 2 4 2 4 7" xfId="12138" xr:uid="{577F4C60-AD93-43E3-A09E-28F26EA2A779}"/>
    <cellStyle name="Normal 26 2 4 2 4 8" xfId="14028" xr:uid="{3DE30773-65C4-4E56-B6B0-5FDCA20F9609}"/>
    <cellStyle name="Normal 26 2 4 2 4 9" xfId="15918" xr:uid="{3CD8EC60-1E79-43F7-A18B-7888DF6742D8}"/>
    <cellStyle name="Normal 26 2 4 2 5" xfId="1428" xr:uid="{CD421AE4-DAE3-4297-99AC-26F482870E35}"/>
    <cellStyle name="Normal 26 2 4 2 5 10" xfId="18438" xr:uid="{11B66912-D919-4D7E-9A87-22FCC4000A40}"/>
    <cellStyle name="Normal 26 2 4 2 5 11" xfId="20328" xr:uid="{C13D70D8-706A-43AA-8209-B90C3DE8AAD2}"/>
    <cellStyle name="Normal 26 2 4 2 5 12" xfId="22218" xr:uid="{D58C842A-EDB6-4D4A-9C8B-04980C3CF374}"/>
    <cellStyle name="Normal 26 2 4 2 5 13" xfId="24108" xr:uid="{6A97D16F-E08A-41DD-93F8-059B8E462AEE}"/>
    <cellStyle name="Normal 26 2 4 2 5 14" xfId="25998" xr:uid="{E0E219C5-573D-4B0C-98AE-6FAF553446A5}"/>
    <cellStyle name="Normal 26 2 4 2 5 15" xfId="27888" xr:uid="{EA107C5C-4819-43ED-AF5E-AB57D92CA6E1}"/>
    <cellStyle name="Normal 26 2 4 2 5 16" xfId="29778" xr:uid="{66E8C45C-43E2-4DDE-B368-1AEE6CED2442}"/>
    <cellStyle name="Normal 26 2 4 2 5 17" xfId="31668" xr:uid="{0AD2F71C-3CB1-4054-830C-997239E91CF2}"/>
    <cellStyle name="Normal 26 2 4 2 5 18" xfId="33558" xr:uid="{5608DAD7-CDC2-42D2-9675-053EAABF5A74}"/>
    <cellStyle name="Normal 26 2 4 2 5 19" xfId="35448" xr:uid="{112349AF-0926-4A47-AACC-5D86DE239457}"/>
    <cellStyle name="Normal 26 2 4 2 5 2" xfId="3318" xr:uid="{CFB6A3D1-EE33-4B41-A936-3AAA1FF746B3}"/>
    <cellStyle name="Normal 26 2 4 2 5 20" xfId="37338" xr:uid="{164E65F2-D0A3-4B55-A210-7C814E356775}"/>
    <cellStyle name="Normal 26 2 4 2 5 21" xfId="39228" xr:uid="{5355BE49-8480-4566-8E5B-03E886C65A00}"/>
    <cellStyle name="Normal 26 2 4 2 5 22" xfId="41119" xr:uid="{D15653FB-7BA2-4B99-8B80-6290432A3A96}"/>
    <cellStyle name="Normal 26 2 4 2 5 3" xfId="5208" xr:uid="{5E5ABE42-D5D3-46B8-BEE2-91616C8E633E}"/>
    <cellStyle name="Normal 26 2 4 2 5 4" xfId="7098" xr:uid="{01765389-02B5-46D3-B484-455D0BB23B69}"/>
    <cellStyle name="Normal 26 2 4 2 5 5" xfId="8988" xr:uid="{AE96CB78-2B0B-4A8C-9E75-79AE09007B8D}"/>
    <cellStyle name="Normal 26 2 4 2 5 6" xfId="10878" xr:uid="{84E30D93-D590-4432-8F03-09F79EF03028}"/>
    <cellStyle name="Normal 26 2 4 2 5 7" xfId="12768" xr:uid="{6A076468-7EB8-4E67-A8FC-FFA6D655ED6C}"/>
    <cellStyle name="Normal 26 2 4 2 5 8" xfId="14658" xr:uid="{98B8D3BF-32BA-4B87-93F5-DFECEA5D8026}"/>
    <cellStyle name="Normal 26 2 4 2 5 9" xfId="16548" xr:uid="{3ABC1B51-D315-4837-B244-EE962ABF1C6D}"/>
    <cellStyle name="Normal 26 2 4 2 6" xfId="2058" xr:uid="{3B033601-FC97-4199-AB1F-C78D9F6573ED}"/>
    <cellStyle name="Normal 26 2 4 2 7" xfId="3948" xr:uid="{45E2C132-B65C-40E8-8E47-A2BE4C3D96ED}"/>
    <cellStyle name="Normal 26 2 4 2 8" xfId="5838" xr:uid="{035665C6-7FB9-4741-9B1B-56D48C35CE77}"/>
    <cellStyle name="Normal 26 2 4 2 9" xfId="7728" xr:uid="{B93FDB65-A1BC-45E9-85AE-52C3DACDF354}"/>
    <cellStyle name="Normal 26 2 4 20" xfId="26523" xr:uid="{EE814439-8D4B-4ACC-9B83-3296A7EBFFC9}"/>
    <cellStyle name="Normal 26 2 4 21" xfId="28413" xr:uid="{46065024-0093-408D-9438-F0271F1E318A}"/>
    <cellStyle name="Normal 26 2 4 22" xfId="30303" xr:uid="{D7CC2AA1-58AF-41C7-B95E-632C63A7BA6F}"/>
    <cellStyle name="Normal 26 2 4 23" xfId="32193" xr:uid="{87C62101-050F-4A4E-80EC-D78856A3B87B}"/>
    <cellStyle name="Normal 26 2 4 24" xfId="34083" xr:uid="{4DC49FF8-69C9-4E37-BB3D-EC535E59028C}"/>
    <cellStyle name="Normal 26 2 4 25" xfId="35973" xr:uid="{6129CA51-B1C0-408A-8651-260E9073348F}"/>
    <cellStyle name="Normal 26 2 4 26" xfId="37863" xr:uid="{61F3561E-A937-454D-B4C5-0478DDA6CCAF}"/>
    <cellStyle name="Normal 26 2 4 27" xfId="39754" xr:uid="{8E5DFC0A-460A-4646-A895-FC036894C413}"/>
    <cellStyle name="Normal 26 2 4 3" xfId="273" xr:uid="{C0DBFAFB-559D-457B-ABFD-800A730DC25B}"/>
    <cellStyle name="Normal 26 2 4 3 10" xfId="13503" xr:uid="{AF847083-0C1D-4272-B52D-31193E24A9F1}"/>
    <cellStyle name="Normal 26 2 4 3 11" xfId="15393" xr:uid="{53B9B273-67DE-41D4-AF67-649F22615468}"/>
    <cellStyle name="Normal 26 2 4 3 12" xfId="17283" xr:uid="{AA32D1A6-6FE1-4B4A-BD29-940ADC78BD27}"/>
    <cellStyle name="Normal 26 2 4 3 13" xfId="19173" xr:uid="{DDCCDD07-2AEE-4C37-A557-7AD25431C2A6}"/>
    <cellStyle name="Normal 26 2 4 3 14" xfId="21063" xr:uid="{E9D11B6C-A745-4EB8-803B-478996E6328A}"/>
    <cellStyle name="Normal 26 2 4 3 15" xfId="22953" xr:uid="{95CB7E2D-98F5-4B18-BE77-11BC01049FD3}"/>
    <cellStyle name="Normal 26 2 4 3 16" xfId="24843" xr:uid="{114D7BF0-F4F0-42DC-BEEF-67F34DE53AA6}"/>
    <cellStyle name="Normal 26 2 4 3 17" xfId="26733" xr:uid="{E928103D-4C86-4CA7-A61A-C9154CCBC7C3}"/>
    <cellStyle name="Normal 26 2 4 3 18" xfId="28623" xr:uid="{6E462EE7-A222-4ED2-A2E7-D49BFF54A633}"/>
    <cellStyle name="Normal 26 2 4 3 19" xfId="30513" xr:uid="{1C887616-DD75-4D7C-9D4D-5200FED55FB4}"/>
    <cellStyle name="Normal 26 2 4 3 2" xfId="903" xr:uid="{1431FA30-66F7-4E46-A048-E6A085D19F38}"/>
    <cellStyle name="Normal 26 2 4 3 2 10" xfId="17913" xr:uid="{22119302-5206-4B7B-B8AF-A7E3219BA953}"/>
    <cellStyle name="Normal 26 2 4 3 2 11" xfId="19803" xr:uid="{C3910E8E-7852-4681-9D75-1CB620C00FF8}"/>
    <cellStyle name="Normal 26 2 4 3 2 12" xfId="21693" xr:uid="{8A6ED7AC-334B-4634-81BE-007C81E07CEC}"/>
    <cellStyle name="Normal 26 2 4 3 2 13" xfId="23583" xr:uid="{7D05E175-EB5B-43A5-8F91-239879A22156}"/>
    <cellStyle name="Normal 26 2 4 3 2 14" xfId="25473" xr:uid="{502D12C8-E8EF-46D0-B8D5-1D7E083FE09E}"/>
    <cellStyle name="Normal 26 2 4 3 2 15" xfId="27363" xr:uid="{F089D90A-5C0C-4D4A-A002-7662740984AA}"/>
    <cellStyle name="Normal 26 2 4 3 2 16" xfId="29253" xr:uid="{1094F6BF-17C9-4BFB-BC97-15C6BA86514D}"/>
    <cellStyle name="Normal 26 2 4 3 2 17" xfId="31143" xr:uid="{80D0A60E-41AB-497C-A3B0-6E3422DD6D17}"/>
    <cellStyle name="Normal 26 2 4 3 2 18" xfId="33033" xr:uid="{A614ACD4-26A6-44A9-9CAB-881811FCA92B}"/>
    <cellStyle name="Normal 26 2 4 3 2 19" xfId="34923" xr:uid="{204C5697-958E-4A12-8144-1B792C55F6FA}"/>
    <cellStyle name="Normal 26 2 4 3 2 2" xfId="2793" xr:uid="{AC6E3909-A25D-42CD-B7AF-FBB2CFB79384}"/>
    <cellStyle name="Normal 26 2 4 3 2 20" xfId="36813" xr:uid="{0C800935-EFFD-45F5-A445-613776187EFC}"/>
    <cellStyle name="Normal 26 2 4 3 2 21" xfId="38703" xr:uid="{801D5F6C-4547-46AE-961F-E993E5BF797D}"/>
    <cellStyle name="Normal 26 2 4 3 2 22" xfId="40594" xr:uid="{D6D4FDF4-B657-4F5A-B415-4F722BAC09BF}"/>
    <cellStyle name="Normal 26 2 4 3 2 3" xfId="4683" xr:uid="{A3A8562E-CC18-44A1-BA94-2B4E614DACCD}"/>
    <cellStyle name="Normal 26 2 4 3 2 4" xfId="6573" xr:uid="{7114A9A6-10A5-4C95-9E02-5724CCF91A31}"/>
    <cellStyle name="Normal 26 2 4 3 2 5" xfId="8463" xr:uid="{42D1B6F8-936D-43F6-B2D3-E9E5F00472CC}"/>
    <cellStyle name="Normal 26 2 4 3 2 6" xfId="10353" xr:uid="{D0C56757-6699-48DF-A38C-5374F92C1A17}"/>
    <cellStyle name="Normal 26 2 4 3 2 7" xfId="12243" xr:uid="{15D3CCA2-97CF-4A04-8F48-17F5733D903C}"/>
    <cellStyle name="Normal 26 2 4 3 2 8" xfId="14133" xr:uid="{5956BEE1-4A3E-46F9-9B01-B8AED5229867}"/>
    <cellStyle name="Normal 26 2 4 3 2 9" xfId="16023" xr:uid="{C0F391B7-9A00-4C02-B07E-6559296A7244}"/>
    <cellStyle name="Normal 26 2 4 3 20" xfId="32403" xr:uid="{104AF272-145B-496F-9A92-92EAE2FEC91B}"/>
    <cellStyle name="Normal 26 2 4 3 21" xfId="34293" xr:uid="{F158623E-DF14-4086-8A94-F46DD22FA20C}"/>
    <cellStyle name="Normal 26 2 4 3 22" xfId="36183" xr:uid="{ECD88D09-6094-47F5-8A17-6594BC72205B}"/>
    <cellStyle name="Normal 26 2 4 3 23" xfId="38073" xr:uid="{DEC7713B-157C-4149-97F2-5A4B5AFEB948}"/>
    <cellStyle name="Normal 26 2 4 3 24" xfId="39964" xr:uid="{65CA0082-EEFD-438D-B4BE-E7F695A97B17}"/>
    <cellStyle name="Normal 26 2 4 3 3" xfId="1533" xr:uid="{E84749E7-A788-424B-A6BA-96AF54C2C56E}"/>
    <cellStyle name="Normal 26 2 4 3 3 10" xfId="18543" xr:uid="{F259716D-50A8-412A-8BDA-FCC27609AF99}"/>
    <cellStyle name="Normal 26 2 4 3 3 11" xfId="20433" xr:uid="{BF2196DC-23D3-415D-B8CF-331995C1B526}"/>
    <cellStyle name="Normal 26 2 4 3 3 12" xfId="22323" xr:uid="{FA888836-2DEA-4C8F-B68B-0CCD0F2E1FC5}"/>
    <cellStyle name="Normal 26 2 4 3 3 13" xfId="24213" xr:uid="{AD418767-F73E-4913-A24C-4E1B963A11C5}"/>
    <cellStyle name="Normal 26 2 4 3 3 14" xfId="26103" xr:uid="{57B6C9BB-C1CF-4B42-9E21-F34F9DCFFA6C}"/>
    <cellStyle name="Normal 26 2 4 3 3 15" xfId="27993" xr:uid="{D9C1D6C8-FBCC-4340-98B4-7FC0DE6A3708}"/>
    <cellStyle name="Normal 26 2 4 3 3 16" xfId="29883" xr:uid="{E2E8D8BE-31CD-469D-A48B-E5E3CE6337E1}"/>
    <cellStyle name="Normal 26 2 4 3 3 17" xfId="31773" xr:uid="{BBE18A2F-7604-4F5F-9353-202192FBC861}"/>
    <cellStyle name="Normal 26 2 4 3 3 18" xfId="33663" xr:uid="{A34BD7F0-E465-45C0-B8F4-F457F7AC5540}"/>
    <cellStyle name="Normal 26 2 4 3 3 19" xfId="35553" xr:uid="{E337F352-91A9-4B9E-9814-5470F3B14DA6}"/>
    <cellStyle name="Normal 26 2 4 3 3 2" xfId="3423" xr:uid="{1AC0EA6A-C410-47C4-A012-F60A0BE3F097}"/>
    <cellStyle name="Normal 26 2 4 3 3 20" xfId="37443" xr:uid="{BBF3D1F1-4FD8-48F1-AACA-6FF2027C88B8}"/>
    <cellStyle name="Normal 26 2 4 3 3 21" xfId="39333" xr:uid="{EBF9E3D7-B5FF-4390-8752-4B0A66D09820}"/>
    <cellStyle name="Normal 26 2 4 3 3 22" xfId="41224" xr:uid="{3C5A3A83-19D4-47E0-9584-597D7DBC7343}"/>
    <cellStyle name="Normal 26 2 4 3 3 3" xfId="5313" xr:uid="{259BC0E6-590D-4486-80E8-91606AEC638C}"/>
    <cellStyle name="Normal 26 2 4 3 3 4" xfId="7203" xr:uid="{3C2349C5-B950-43F2-B4B9-DCDFE9BB2E9E}"/>
    <cellStyle name="Normal 26 2 4 3 3 5" xfId="9093" xr:uid="{4E89D905-CD78-486E-8140-AD9174B184D7}"/>
    <cellStyle name="Normal 26 2 4 3 3 6" xfId="10983" xr:uid="{732626F3-C800-4D8D-904E-87D64712660E}"/>
    <cellStyle name="Normal 26 2 4 3 3 7" xfId="12873" xr:uid="{297D81E3-AA2C-432C-B340-445A6931D98B}"/>
    <cellStyle name="Normal 26 2 4 3 3 8" xfId="14763" xr:uid="{62E56238-DDC6-430B-B379-8AC545B47033}"/>
    <cellStyle name="Normal 26 2 4 3 3 9" xfId="16653" xr:uid="{3E153BDD-67DC-4FC2-B6D6-0E7E85A89B6F}"/>
    <cellStyle name="Normal 26 2 4 3 4" xfId="2163" xr:uid="{460839F8-9CB4-4F6A-9A27-7C016C5F408C}"/>
    <cellStyle name="Normal 26 2 4 3 5" xfId="4053" xr:uid="{F6407339-CC5C-472D-9011-C058F4398079}"/>
    <cellStyle name="Normal 26 2 4 3 6" xfId="5943" xr:uid="{08135CD4-5B58-4FA4-A5B7-27B906C880E1}"/>
    <cellStyle name="Normal 26 2 4 3 7" xfId="7833" xr:uid="{359A3C40-F7C5-4242-9B6E-5F0B73FED856}"/>
    <cellStyle name="Normal 26 2 4 3 8" xfId="9723" xr:uid="{A7857603-F89C-4A3C-9594-D90747A8BEC8}"/>
    <cellStyle name="Normal 26 2 4 3 9" xfId="11613" xr:uid="{7BB4F7D4-C43B-4A7C-9293-53EFC09B1344}"/>
    <cellStyle name="Normal 26 2 4 4" xfId="483" xr:uid="{E734D7BD-5A33-4CB9-BEE0-2DDBB9B4BE83}"/>
    <cellStyle name="Normal 26 2 4 4 10" xfId="13713" xr:uid="{151E7F4B-C965-4A71-85AC-D648131EC1E7}"/>
    <cellStyle name="Normal 26 2 4 4 11" xfId="15603" xr:uid="{5B798A31-80F2-4209-9B8C-7BCDA4924C32}"/>
    <cellStyle name="Normal 26 2 4 4 12" xfId="17493" xr:uid="{55BD54D7-5DA4-445C-A919-A0B0A2C1A361}"/>
    <cellStyle name="Normal 26 2 4 4 13" xfId="19383" xr:uid="{E6405F75-2450-41C0-8170-522F75973228}"/>
    <cellStyle name="Normal 26 2 4 4 14" xfId="21273" xr:uid="{0A5FC3CC-4DE1-42A8-8C2D-4F793EC6E11D}"/>
    <cellStyle name="Normal 26 2 4 4 15" xfId="23163" xr:uid="{162B1461-2605-4A34-9D2F-071DEF52FA9A}"/>
    <cellStyle name="Normal 26 2 4 4 16" xfId="25053" xr:uid="{DA20CC20-FED7-4F07-857D-397AA366D795}"/>
    <cellStyle name="Normal 26 2 4 4 17" xfId="26943" xr:uid="{8E8C8924-BB24-4B6F-A337-79C6662C22F6}"/>
    <cellStyle name="Normal 26 2 4 4 18" xfId="28833" xr:uid="{E6EEFA09-7855-4CC4-B0F3-1C686A3C3410}"/>
    <cellStyle name="Normal 26 2 4 4 19" xfId="30723" xr:uid="{D0EE9C70-855E-474B-8782-95E72C99E5FE}"/>
    <cellStyle name="Normal 26 2 4 4 2" xfId="1113" xr:uid="{C2F560BA-C509-426F-A3CE-6B9A8840226A}"/>
    <cellStyle name="Normal 26 2 4 4 2 10" xfId="18123" xr:uid="{A9CEE3D8-45B3-45F0-AE42-7C4C571BAED4}"/>
    <cellStyle name="Normal 26 2 4 4 2 11" xfId="20013" xr:uid="{53023A67-FB9D-4F83-A398-60B6F7C915A0}"/>
    <cellStyle name="Normal 26 2 4 4 2 12" xfId="21903" xr:uid="{7B74C9AC-27FE-4C73-B9C2-343C69851812}"/>
    <cellStyle name="Normal 26 2 4 4 2 13" xfId="23793" xr:uid="{25158F30-B598-46ED-9B83-9E2EE37C9486}"/>
    <cellStyle name="Normal 26 2 4 4 2 14" xfId="25683" xr:uid="{90780AFE-8BD2-4091-A1FA-6D4A41AC71F6}"/>
    <cellStyle name="Normal 26 2 4 4 2 15" xfId="27573" xr:uid="{990893B6-15AE-4EB9-B6F3-6489FF1E8BD0}"/>
    <cellStyle name="Normal 26 2 4 4 2 16" xfId="29463" xr:uid="{BD29A340-1730-45E2-A48F-243455A658C3}"/>
    <cellStyle name="Normal 26 2 4 4 2 17" xfId="31353" xr:uid="{78AF4856-35A5-41B0-A0F7-571E1B6B8706}"/>
    <cellStyle name="Normal 26 2 4 4 2 18" xfId="33243" xr:uid="{401A6DD6-8C1D-47D1-A473-973F217F261C}"/>
    <cellStyle name="Normal 26 2 4 4 2 19" xfId="35133" xr:uid="{39A0037F-0B6C-4FD8-956D-C7A1EBD3A12A}"/>
    <cellStyle name="Normal 26 2 4 4 2 2" xfId="3003" xr:uid="{CF5A5D79-7668-4D2E-9415-F808907C1095}"/>
    <cellStyle name="Normal 26 2 4 4 2 20" xfId="37023" xr:uid="{20BAC25C-D6D5-47E3-A9FC-0C04F3935D16}"/>
    <cellStyle name="Normal 26 2 4 4 2 21" xfId="38913" xr:uid="{1C5AA6D5-B16E-44BA-9CEF-3950145371FB}"/>
    <cellStyle name="Normal 26 2 4 4 2 22" xfId="40804" xr:uid="{BB456DEA-0D18-47D7-BE16-2CF04798CE94}"/>
    <cellStyle name="Normal 26 2 4 4 2 3" xfId="4893" xr:uid="{8F7CAFC8-A9FA-425E-BA68-5732D7F7B7C1}"/>
    <cellStyle name="Normal 26 2 4 4 2 4" xfId="6783" xr:uid="{8A627353-B788-4A10-A60C-0EE103FF551C}"/>
    <cellStyle name="Normal 26 2 4 4 2 5" xfId="8673" xr:uid="{6FD7F17C-79A8-4972-9F2D-31363ABC2702}"/>
    <cellStyle name="Normal 26 2 4 4 2 6" xfId="10563" xr:uid="{B66E5941-6A8C-4BAC-9681-9E32D24B5550}"/>
    <cellStyle name="Normal 26 2 4 4 2 7" xfId="12453" xr:uid="{B875A178-4790-4D8A-B2D7-5A87F4AEEC64}"/>
    <cellStyle name="Normal 26 2 4 4 2 8" xfId="14343" xr:uid="{301BFE87-58C4-44B6-946D-31EA27D826E9}"/>
    <cellStyle name="Normal 26 2 4 4 2 9" xfId="16233" xr:uid="{3169949C-CE8C-4F66-8920-223E13F7BEEB}"/>
    <cellStyle name="Normal 26 2 4 4 20" xfId="32613" xr:uid="{09619402-B962-4412-A9E5-265FCBF12759}"/>
    <cellStyle name="Normal 26 2 4 4 21" xfId="34503" xr:uid="{4BAD2C05-E8F4-4FAE-AECD-5D81C4DCEBFB}"/>
    <cellStyle name="Normal 26 2 4 4 22" xfId="36393" xr:uid="{56D945AF-0051-4EB5-A723-C9BF2D3BA90A}"/>
    <cellStyle name="Normal 26 2 4 4 23" xfId="38283" xr:uid="{792B7778-26EE-4251-BC38-91871B3BBF55}"/>
    <cellStyle name="Normal 26 2 4 4 24" xfId="40174" xr:uid="{E7223F28-5190-43B4-A60F-EE29984CBAF6}"/>
    <cellStyle name="Normal 26 2 4 4 3" xfId="1743" xr:uid="{2BD61E2B-ADE0-4664-B4D2-04EBAD09DC43}"/>
    <cellStyle name="Normal 26 2 4 4 3 10" xfId="18753" xr:uid="{BA18148E-D79F-44FC-B68D-AE44E04CA9E5}"/>
    <cellStyle name="Normal 26 2 4 4 3 11" xfId="20643" xr:uid="{6E07C7C6-EC93-4782-881F-799A3FFA91D9}"/>
    <cellStyle name="Normal 26 2 4 4 3 12" xfId="22533" xr:uid="{C6EA73A4-5B41-49CE-956A-247B8D231CF9}"/>
    <cellStyle name="Normal 26 2 4 4 3 13" xfId="24423" xr:uid="{104DA413-5363-4C64-8DEF-98FFD0817739}"/>
    <cellStyle name="Normal 26 2 4 4 3 14" xfId="26313" xr:uid="{7F2EF7D1-7673-4CAA-A1F7-8CE37368D824}"/>
    <cellStyle name="Normal 26 2 4 4 3 15" xfId="28203" xr:uid="{97164D87-BBDA-4246-956C-48EE9DCEAE4E}"/>
    <cellStyle name="Normal 26 2 4 4 3 16" xfId="30093" xr:uid="{4D6E4E86-F785-4A2D-B73B-EA78FC0730C7}"/>
    <cellStyle name="Normal 26 2 4 4 3 17" xfId="31983" xr:uid="{4D307635-B7DF-4E32-932A-3A98B75D250F}"/>
    <cellStyle name="Normal 26 2 4 4 3 18" xfId="33873" xr:uid="{AE3A64BD-DF82-4152-A6CC-BC33A7229396}"/>
    <cellStyle name="Normal 26 2 4 4 3 19" xfId="35763" xr:uid="{38E03E71-3843-4AD4-BBBC-8B7E1FAC2DA4}"/>
    <cellStyle name="Normal 26 2 4 4 3 2" xfId="3633" xr:uid="{6E069194-F997-496B-8538-3BE361247287}"/>
    <cellStyle name="Normal 26 2 4 4 3 20" xfId="37653" xr:uid="{FE1EE307-F876-478B-85DC-AEA55252F8D9}"/>
    <cellStyle name="Normal 26 2 4 4 3 21" xfId="39543" xr:uid="{9A9A0A59-1A89-41F3-B971-2DD4F541AD01}"/>
    <cellStyle name="Normal 26 2 4 4 3 22" xfId="41434" xr:uid="{3D682729-46E0-436C-8E06-2A6E0BEA4771}"/>
    <cellStyle name="Normal 26 2 4 4 3 3" xfId="5523" xr:uid="{AA1BC18D-8868-438D-892B-28FFD9F74CB5}"/>
    <cellStyle name="Normal 26 2 4 4 3 4" xfId="7413" xr:uid="{6A2E9549-7AFE-4083-A2D4-52ECC3A328BD}"/>
    <cellStyle name="Normal 26 2 4 4 3 5" xfId="9303" xr:uid="{58059FFD-7F63-4587-9813-4EB08255F550}"/>
    <cellStyle name="Normal 26 2 4 4 3 6" xfId="11193" xr:uid="{765E463D-2EC8-41B0-AC72-64CC18D86308}"/>
    <cellStyle name="Normal 26 2 4 4 3 7" xfId="13083" xr:uid="{BBF803C4-E739-4FF3-A0BF-B3E0096C38F7}"/>
    <cellStyle name="Normal 26 2 4 4 3 8" xfId="14973" xr:uid="{85914587-3189-4204-9C09-724246E0E95A}"/>
    <cellStyle name="Normal 26 2 4 4 3 9" xfId="16863" xr:uid="{C66933F6-801C-42AD-9EE9-8EEF635719C6}"/>
    <cellStyle name="Normal 26 2 4 4 4" xfId="2373" xr:uid="{DCFE5F64-682B-4010-A81F-443A44D0C98D}"/>
    <cellStyle name="Normal 26 2 4 4 5" xfId="4263" xr:uid="{1EA24726-0EE7-45AD-9DC7-F38D8EDC7239}"/>
    <cellStyle name="Normal 26 2 4 4 6" xfId="6153" xr:uid="{51764F03-31AD-41AE-8E10-D4F8BBE29D6B}"/>
    <cellStyle name="Normal 26 2 4 4 7" xfId="8043" xr:uid="{8217A192-4084-456E-8A50-64D9736FA92E}"/>
    <cellStyle name="Normal 26 2 4 4 8" xfId="9933" xr:uid="{ADA5766F-FE23-4528-A78F-F1B3F3429DBD}"/>
    <cellStyle name="Normal 26 2 4 4 9" xfId="11823" xr:uid="{01C3F9D6-3EB5-4905-8B3A-4302865E5AD3}"/>
    <cellStyle name="Normal 26 2 4 5" xfId="693" xr:uid="{68FAA739-51B4-4455-9D4E-B674C62CBF8E}"/>
    <cellStyle name="Normal 26 2 4 5 10" xfId="17703" xr:uid="{53C4294A-1947-4382-BE73-722AB6088A18}"/>
    <cellStyle name="Normal 26 2 4 5 11" xfId="19593" xr:uid="{308CF949-FE3F-44B8-8D7D-72AE3F9C174B}"/>
    <cellStyle name="Normal 26 2 4 5 12" xfId="21483" xr:uid="{9BCF47AF-CABA-47AE-AB9D-8F03CEC9F124}"/>
    <cellStyle name="Normal 26 2 4 5 13" xfId="23373" xr:uid="{EE00CB9D-3FF9-4844-AA9A-92D8E4DD3D74}"/>
    <cellStyle name="Normal 26 2 4 5 14" xfId="25263" xr:uid="{0E2F9375-FBC4-4CB3-AFE1-7092821F101F}"/>
    <cellStyle name="Normal 26 2 4 5 15" xfId="27153" xr:uid="{EA3E4447-F3AA-4E6F-BE29-A4C3A9EE6270}"/>
    <cellStyle name="Normal 26 2 4 5 16" xfId="29043" xr:uid="{783F2C71-2F38-470F-AA82-A99E33D71046}"/>
    <cellStyle name="Normal 26 2 4 5 17" xfId="30933" xr:uid="{067B43CA-505E-45BF-830D-F239804A7EE7}"/>
    <cellStyle name="Normal 26 2 4 5 18" xfId="32823" xr:uid="{25F0691F-1239-4FF9-92DB-487ACFA71908}"/>
    <cellStyle name="Normal 26 2 4 5 19" xfId="34713" xr:uid="{EB4A2FF4-2DBE-4C29-A1BF-09F4F0A7F898}"/>
    <cellStyle name="Normal 26 2 4 5 2" xfId="2583" xr:uid="{C044EA46-6E63-4CFD-85F7-8ACF01C35D92}"/>
    <cellStyle name="Normal 26 2 4 5 20" xfId="36603" xr:uid="{BB05F92B-AFF2-4CD6-A8C6-4A748DC08A10}"/>
    <cellStyle name="Normal 26 2 4 5 21" xfId="38493" xr:uid="{2B5385EE-A7BD-4218-836F-3574DE2E139C}"/>
    <cellStyle name="Normal 26 2 4 5 22" xfId="40384" xr:uid="{ECCBBB6D-F7F1-4B83-83C1-D07129AEF62C}"/>
    <cellStyle name="Normal 26 2 4 5 3" xfId="4473" xr:uid="{A3EFBD14-740B-40FA-A886-737EE4C2FF22}"/>
    <cellStyle name="Normal 26 2 4 5 4" xfId="6363" xr:uid="{74FE10FD-0E55-4C6E-A79F-5DA79B2593C0}"/>
    <cellStyle name="Normal 26 2 4 5 5" xfId="8253" xr:uid="{904C67C2-005E-409C-8F9D-642B2515E2CB}"/>
    <cellStyle name="Normal 26 2 4 5 6" xfId="10143" xr:uid="{0FF948EB-655E-4CA0-B0FD-501733096A7A}"/>
    <cellStyle name="Normal 26 2 4 5 7" xfId="12033" xr:uid="{C370A9B1-8D7D-40F9-8763-7EC88C39B27D}"/>
    <cellStyle name="Normal 26 2 4 5 8" xfId="13923" xr:uid="{864EBC60-885C-4352-946D-82934DC7EA04}"/>
    <cellStyle name="Normal 26 2 4 5 9" xfId="15813" xr:uid="{0DE4C260-7035-48C3-8B73-C0761EC0A10A}"/>
    <cellStyle name="Normal 26 2 4 6" xfId="1323" xr:uid="{3A98B566-3407-4DF2-A72A-BA0F8392A656}"/>
    <cellStyle name="Normal 26 2 4 6 10" xfId="18333" xr:uid="{0B1EBDA6-9C81-4FDB-A375-FE5AED5A28EA}"/>
    <cellStyle name="Normal 26 2 4 6 11" xfId="20223" xr:uid="{20E30295-9053-440A-801A-4A41F96220A3}"/>
    <cellStyle name="Normal 26 2 4 6 12" xfId="22113" xr:uid="{78BC4BAA-D76C-4139-AA4A-01601F28A646}"/>
    <cellStyle name="Normal 26 2 4 6 13" xfId="24003" xr:uid="{74387911-8C7B-41ED-ABD4-FE1375CEAA79}"/>
    <cellStyle name="Normal 26 2 4 6 14" xfId="25893" xr:uid="{9A77EAFD-F4B1-4EF6-A50D-6443F0881461}"/>
    <cellStyle name="Normal 26 2 4 6 15" xfId="27783" xr:uid="{72B575F7-DE3D-411D-917D-72D9B8486047}"/>
    <cellStyle name="Normal 26 2 4 6 16" xfId="29673" xr:uid="{5C011665-87B4-45E9-AF08-6315121D5AFE}"/>
    <cellStyle name="Normal 26 2 4 6 17" xfId="31563" xr:uid="{323693D0-1319-4534-BEB2-AF6D60A5E66E}"/>
    <cellStyle name="Normal 26 2 4 6 18" xfId="33453" xr:uid="{B3A45616-C519-4751-AC5E-92AD07ECF27B}"/>
    <cellStyle name="Normal 26 2 4 6 19" xfId="35343" xr:uid="{E031E584-6066-4B88-B1EF-9BCDDD7BFB1C}"/>
    <cellStyle name="Normal 26 2 4 6 2" xfId="3213" xr:uid="{ABD46064-BC0B-41A5-A4D5-DF30513C4B5F}"/>
    <cellStyle name="Normal 26 2 4 6 20" xfId="37233" xr:uid="{9A45D60C-39EC-40C1-8B6E-FD41B49C17FC}"/>
    <cellStyle name="Normal 26 2 4 6 21" xfId="39123" xr:uid="{8D514BC0-F25E-42EE-A024-3A0395A694CF}"/>
    <cellStyle name="Normal 26 2 4 6 22" xfId="41014" xr:uid="{C48AA5A1-41BC-4981-BC80-07FECC18BDA1}"/>
    <cellStyle name="Normal 26 2 4 6 3" xfId="5103" xr:uid="{9C6888F5-A135-440C-9803-BCE701F545E1}"/>
    <cellStyle name="Normal 26 2 4 6 4" xfId="6993" xr:uid="{FBA650C4-DFE5-4C15-82C0-DAFABFD38084}"/>
    <cellStyle name="Normal 26 2 4 6 5" xfId="8883" xr:uid="{418C8F62-5566-4829-8BF3-9F254F3246B9}"/>
    <cellStyle name="Normal 26 2 4 6 6" xfId="10773" xr:uid="{86E57D9E-AA6A-41CE-BC06-EE24FD0CDAE0}"/>
    <cellStyle name="Normal 26 2 4 6 7" xfId="12663" xr:uid="{0F8ADAAD-58F7-475D-A33C-CB6A62FF02DF}"/>
    <cellStyle name="Normal 26 2 4 6 8" xfId="14553" xr:uid="{E249EBF7-860E-4A9E-8AEB-0E51E92090C8}"/>
    <cellStyle name="Normal 26 2 4 6 9" xfId="16443" xr:uid="{D7B0B968-6B0E-4CE6-8A0E-BCC4B4C00994}"/>
    <cellStyle name="Normal 26 2 4 7" xfId="1953" xr:uid="{76199C1C-16FE-47AA-99EB-A0244DE67E10}"/>
    <cellStyle name="Normal 26 2 4 8" xfId="3843" xr:uid="{BCCEB2F4-1077-491F-A965-ABB878460894}"/>
    <cellStyle name="Normal 26 2 4 9" xfId="5733" xr:uid="{802A310B-67E7-4613-928E-35DC6397B75A}"/>
    <cellStyle name="Normal 26 2 5" xfId="50" xr:uid="{2321DC2A-4995-49B9-B0BE-AA3CFB4C2045}"/>
    <cellStyle name="Normal 26 2 5 10" xfId="7632" xr:uid="{D321587C-4964-4E57-868B-953A33AC8B9D}"/>
    <cellStyle name="Normal 26 2 5 11" xfId="9522" xr:uid="{DE5C965D-A00F-46EE-82EB-C3F609C86B48}"/>
    <cellStyle name="Normal 26 2 5 12" xfId="11412" xr:uid="{5C820032-EA46-4CBC-B3B2-D0DCF8DDFACB}"/>
    <cellStyle name="Normal 26 2 5 13" xfId="13302" xr:uid="{07F448A7-66E3-4272-AEB1-E098AF067055}"/>
    <cellStyle name="Normal 26 2 5 14" xfId="15192" xr:uid="{D1413877-9E6E-4728-A794-51CB409B0B82}"/>
    <cellStyle name="Normal 26 2 5 15" xfId="17082" xr:uid="{AC8AC7F7-ED2E-4DD0-B24A-8F25DF24B20B}"/>
    <cellStyle name="Normal 26 2 5 16" xfId="18972" xr:uid="{4543CA49-546B-4266-A2F1-317F33E4D682}"/>
    <cellStyle name="Normal 26 2 5 17" xfId="20862" xr:uid="{41504157-6906-445C-A4FC-329E8C4BA0B6}"/>
    <cellStyle name="Normal 26 2 5 18" xfId="22752" xr:uid="{F44FFCC9-2BF3-47FD-B796-CE0F82464447}"/>
    <cellStyle name="Normal 26 2 5 19" xfId="24642" xr:uid="{5633BEBF-654D-4512-B593-4F89FEE86DDF}"/>
    <cellStyle name="Normal 26 2 5 2" xfId="177" xr:uid="{B758518A-5F14-4890-AEA0-C80281EE1846}"/>
    <cellStyle name="Normal 26 2 5 2 10" xfId="9627" xr:uid="{0407057E-80DD-48D6-A785-5ADE5F5AB86A}"/>
    <cellStyle name="Normal 26 2 5 2 11" xfId="11517" xr:uid="{C00C2EB7-55D8-4800-86E0-2B36F168F2FB}"/>
    <cellStyle name="Normal 26 2 5 2 12" xfId="13407" xr:uid="{812E7ED0-62DD-4D8E-AD4D-F7D934D6188E}"/>
    <cellStyle name="Normal 26 2 5 2 13" xfId="15297" xr:uid="{E54E3F5C-61A1-460C-BBB7-746798C780D8}"/>
    <cellStyle name="Normal 26 2 5 2 14" xfId="17187" xr:uid="{692A2E4C-C598-4C2F-95A0-51139FC4B57D}"/>
    <cellStyle name="Normal 26 2 5 2 15" xfId="19077" xr:uid="{98B642DF-9478-4E93-9936-B95400CECF90}"/>
    <cellStyle name="Normal 26 2 5 2 16" xfId="20967" xr:uid="{7DD03448-8138-4613-B47C-0DF9A6BC6D23}"/>
    <cellStyle name="Normal 26 2 5 2 17" xfId="22857" xr:uid="{8AB0F09A-8E84-4A6F-B1BB-0EE7FF8DCFB3}"/>
    <cellStyle name="Normal 26 2 5 2 18" xfId="24747" xr:uid="{E5ECE3FC-7414-4AFA-B945-2770AE803852}"/>
    <cellStyle name="Normal 26 2 5 2 19" xfId="26637" xr:uid="{95240B7D-3604-422C-B248-40BFE52D5D60}"/>
    <cellStyle name="Normal 26 2 5 2 2" xfId="387" xr:uid="{2479B39D-04A7-4751-92F2-93BA92BAA97F}"/>
    <cellStyle name="Normal 26 2 5 2 2 10" xfId="13617" xr:uid="{399C7FC9-343F-4741-BF49-C87A2D7C79FE}"/>
    <cellStyle name="Normal 26 2 5 2 2 11" xfId="15507" xr:uid="{2BBFB925-95E8-449B-AD8C-81E55B42A18B}"/>
    <cellStyle name="Normal 26 2 5 2 2 12" xfId="17397" xr:uid="{94C45463-824A-4C56-9E34-6BCF4C3704A5}"/>
    <cellStyle name="Normal 26 2 5 2 2 13" xfId="19287" xr:uid="{8A70763A-6F31-4991-A986-FD2F40BA545B}"/>
    <cellStyle name="Normal 26 2 5 2 2 14" xfId="21177" xr:uid="{A7E0BB4E-88F2-4228-A1AF-3E09B908C5B3}"/>
    <cellStyle name="Normal 26 2 5 2 2 15" xfId="23067" xr:uid="{C4D7E884-8C7A-4302-90EE-26ACCB66A81C}"/>
    <cellStyle name="Normal 26 2 5 2 2 16" xfId="24957" xr:uid="{F7219C3E-A215-4815-BC7A-28B75D438AD5}"/>
    <cellStyle name="Normal 26 2 5 2 2 17" xfId="26847" xr:uid="{24668BD7-F41F-4BE1-A11D-07D0C9096DF0}"/>
    <cellStyle name="Normal 26 2 5 2 2 18" xfId="28737" xr:uid="{CEEE1F4D-E2CB-4629-884E-E266109D9A5B}"/>
    <cellStyle name="Normal 26 2 5 2 2 19" xfId="30627" xr:uid="{7C711E70-2635-40D8-9919-27506B02A0DB}"/>
    <cellStyle name="Normal 26 2 5 2 2 2" xfId="1017" xr:uid="{8B740480-3CE6-40EB-9EF8-8F86771F9F1C}"/>
    <cellStyle name="Normal 26 2 5 2 2 2 10" xfId="18027" xr:uid="{35FE93C5-07D2-40C0-BA13-6B718EF92C85}"/>
    <cellStyle name="Normal 26 2 5 2 2 2 11" xfId="19917" xr:uid="{F90C1759-F638-4DB6-BBF0-5069F7D5E424}"/>
    <cellStyle name="Normal 26 2 5 2 2 2 12" xfId="21807" xr:uid="{D9A47AD9-96D8-462D-8946-E10D95547563}"/>
    <cellStyle name="Normal 26 2 5 2 2 2 13" xfId="23697" xr:uid="{1B051F72-6DB3-47F1-BFF5-6BB5F6580EE2}"/>
    <cellStyle name="Normal 26 2 5 2 2 2 14" xfId="25587" xr:uid="{00E17696-BA14-4884-B105-5DA6F0465F1E}"/>
    <cellStyle name="Normal 26 2 5 2 2 2 15" xfId="27477" xr:uid="{109D791E-F069-4C97-BA60-24058F7AD81F}"/>
    <cellStyle name="Normal 26 2 5 2 2 2 16" xfId="29367" xr:uid="{D065E247-BB54-4815-AEC9-67FB1B310351}"/>
    <cellStyle name="Normal 26 2 5 2 2 2 17" xfId="31257" xr:uid="{BA859587-65A8-42C1-9999-30432C103786}"/>
    <cellStyle name="Normal 26 2 5 2 2 2 18" xfId="33147" xr:uid="{2EEB3740-0AF7-4CAD-AA6F-15274B6EE2D4}"/>
    <cellStyle name="Normal 26 2 5 2 2 2 19" xfId="35037" xr:uid="{4D80EFCD-369C-4E3C-A185-44891570708F}"/>
    <cellStyle name="Normal 26 2 5 2 2 2 2" xfId="2907" xr:uid="{B008DB01-142F-41B3-AB57-B91CE4672370}"/>
    <cellStyle name="Normal 26 2 5 2 2 2 20" xfId="36927" xr:uid="{A743F985-8EE8-46D6-A671-8A31AEAF78C2}"/>
    <cellStyle name="Normal 26 2 5 2 2 2 21" xfId="38817" xr:uid="{FEBD0D2B-2272-4751-92C9-D6A7FC700F6B}"/>
    <cellStyle name="Normal 26 2 5 2 2 2 22" xfId="40708" xr:uid="{E6E31CFC-A512-40AE-A343-ABA38BA49DE2}"/>
    <cellStyle name="Normal 26 2 5 2 2 2 3" xfId="4797" xr:uid="{0EA97C1B-08DE-4450-9118-8DD8E394F862}"/>
    <cellStyle name="Normal 26 2 5 2 2 2 4" xfId="6687" xr:uid="{B64A3A40-B598-4B9E-9F37-DC51954620B8}"/>
    <cellStyle name="Normal 26 2 5 2 2 2 5" xfId="8577" xr:uid="{5059CD1D-209B-4BD5-AF96-91AFA20DC0DB}"/>
    <cellStyle name="Normal 26 2 5 2 2 2 6" xfId="10467" xr:uid="{74121334-229E-4413-9F2C-4655ED92FE6A}"/>
    <cellStyle name="Normal 26 2 5 2 2 2 7" xfId="12357" xr:uid="{508C822E-1007-4FE7-834F-1B87F00C6A71}"/>
    <cellStyle name="Normal 26 2 5 2 2 2 8" xfId="14247" xr:uid="{F10CEB7D-940D-4E13-8E89-4FC549354E9D}"/>
    <cellStyle name="Normal 26 2 5 2 2 2 9" xfId="16137" xr:uid="{BDDE6CD7-E0C5-4683-BC3F-A575AC25DA25}"/>
    <cellStyle name="Normal 26 2 5 2 2 20" xfId="32517" xr:uid="{9B241E5E-0ED4-41D5-A4E7-CA5E92B8BC9E}"/>
    <cellStyle name="Normal 26 2 5 2 2 21" xfId="34407" xr:uid="{9048CA72-6405-4631-8BBB-87F01C6853FF}"/>
    <cellStyle name="Normal 26 2 5 2 2 22" xfId="36297" xr:uid="{153173A8-7E02-4DCA-99B3-ADA229987663}"/>
    <cellStyle name="Normal 26 2 5 2 2 23" xfId="38187" xr:uid="{000DC919-F819-42F1-8F3B-5F994E398B47}"/>
    <cellStyle name="Normal 26 2 5 2 2 24" xfId="40078" xr:uid="{5877A0CB-D6A0-447F-8108-38479909B928}"/>
    <cellStyle name="Normal 26 2 5 2 2 3" xfId="1647" xr:uid="{54EBF8B4-6080-419F-A552-0DB10E671724}"/>
    <cellStyle name="Normal 26 2 5 2 2 3 10" xfId="18657" xr:uid="{815D914B-BAA3-4FD8-ACAA-9A2DA552E8DE}"/>
    <cellStyle name="Normal 26 2 5 2 2 3 11" xfId="20547" xr:uid="{13BDB494-025A-4930-A6C7-CE85458876AD}"/>
    <cellStyle name="Normal 26 2 5 2 2 3 12" xfId="22437" xr:uid="{12A3C504-1653-4137-A0E0-E4EFC61009CA}"/>
    <cellStyle name="Normal 26 2 5 2 2 3 13" xfId="24327" xr:uid="{4D4E8BFA-6094-41A2-84B9-87CBE7C8FE63}"/>
    <cellStyle name="Normal 26 2 5 2 2 3 14" xfId="26217" xr:uid="{733619D2-2A18-4F48-BAC9-088404485092}"/>
    <cellStyle name="Normal 26 2 5 2 2 3 15" xfId="28107" xr:uid="{E644E696-4E3B-4434-9FD3-DD654B4136E4}"/>
    <cellStyle name="Normal 26 2 5 2 2 3 16" xfId="29997" xr:uid="{A6DF1F1A-00E6-48F3-B7FA-1ED92D796B35}"/>
    <cellStyle name="Normal 26 2 5 2 2 3 17" xfId="31887" xr:uid="{C2BEAD89-9C2C-4CF9-8F83-AA45D5CB0DBF}"/>
    <cellStyle name="Normal 26 2 5 2 2 3 18" xfId="33777" xr:uid="{B22130A6-7EA9-441A-B277-5A1EF570DE22}"/>
    <cellStyle name="Normal 26 2 5 2 2 3 19" xfId="35667" xr:uid="{782E78C5-494C-4BB3-9814-E7C7F86B06BF}"/>
    <cellStyle name="Normal 26 2 5 2 2 3 2" xfId="3537" xr:uid="{244606C7-BAE1-4026-A01B-B4195C568078}"/>
    <cellStyle name="Normal 26 2 5 2 2 3 20" xfId="37557" xr:uid="{9437DF07-3D51-4371-B16F-70DEFA8A7A40}"/>
    <cellStyle name="Normal 26 2 5 2 2 3 21" xfId="39447" xr:uid="{66B9A2D0-61A3-409D-B14F-E8105F0578BD}"/>
    <cellStyle name="Normal 26 2 5 2 2 3 22" xfId="41338" xr:uid="{C8390C17-4642-4D87-A683-EF8BE8A7F47C}"/>
    <cellStyle name="Normal 26 2 5 2 2 3 3" xfId="5427" xr:uid="{CED9D718-74B2-4677-A894-1A98C09CA73E}"/>
    <cellStyle name="Normal 26 2 5 2 2 3 4" xfId="7317" xr:uid="{29B5F5D7-409E-493D-ADAB-F17957C0DAAC}"/>
    <cellStyle name="Normal 26 2 5 2 2 3 5" xfId="9207" xr:uid="{C06FBB5F-92E5-47F2-BB19-B61F0E602CB8}"/>
    <cellStyle name="Normal 26 2 5 2 2 3 6" xfId="11097" xr:uid="{C28A25E3-1AB7-4283-8618-F73C66D6061C}"/>
    <cellStyle name="Normal 26 2 5 2 2 3 7" xfId="12987" xr:uid="{13E44F13-2D50-497E-9538-9B1CC3BB4429}"/>
    <cellStyle name="Normal 26 2 5 2 2 3 8" xfId="14877" xr:uid="{06378363-316F-445E-8978-679BBD2C69BE}"/>
    <cellStyle name="Normal 26 2 5 2 2 3 9" xfId="16767" xr:uid="{20E5F2B3-55E8-4BBE-8620-9532732F454D}"/>
    <cellStyle name="Normal 26 2 5 2 2 4" xfId="2277" xr:uid="{3ABEAC1D-2660-4A82-9A36-4FED06D64987}"/>
    <cellStyle name="Normal 26 2 5 2 2 5" xfId="4167" xr:uid="{EADD66E5-D859-4147-8598-5F68F798B564}"/>
    <cellStyle name="Normal 26 2 5 2 2 6" xfId="6057" xr:uid="{DA522724-B3F2-4057-9D79-1F2BD4146A77}"/>
    <cellStyle name="Normal 26 2 5 2 2 7" xfId="7947" xr:uid="{4326AB2B-4B83-43CD-BC20-0D1E538CC845}"/>
    <cellStyle name="Normal 26 2 5 2 2 8" xfId="9837" xr:uid="{7022BFEA-834A-47D0-9CD8-5C71371F8CFC}"/>
    <cellStyle name="Normal 26 2 5 2 2 9" xfId="11727" xr:uid="{498AA5B9-5862-4DB6-BFA5-02C52896E40C}"/>
    <cellStyle name="Normal 26 2 5 2 20" xfId="28527" xr:uid="{BCFB2850-FE67-40A0-A050-C81A56924786}"/>
    <cellStyle name="Normal 26 2 5 2 21" xfId="30417" xr:uid="{CB9BB3B8-8C09-46BA-B72D-F0B0376982E4}"/>
    <cellStyle name="Normal 26 2 5 2 22" xfId="32307" xr:uid="{2B0CF922-58C6-42B9-B21A-2DE52ECCEB76}"/>
    <cellStyle name="Normal 26 2 5 2 23" xfId="34197" xr:uid="{C59B84C2-2936-4D06-9E5C-5D71BD4D0C2B}"/>
    <cellStyle name="Normal 26 2 5 2 24" xfId="36087" xr:uid="{58CE6F78-2791-4639-B447-A4B8175BB336}"/>
    <cellStyle name="Normal 26 2 5 2 25" xfId="37977" xr:uid="{2139CF4C-CB5B-4296-AEA7-549EDA2B4796}"/>
    <cellStyle name="Normal 26 2 5 2 26" xfId="39868" xr:uid="{7DCE8F5D-D002-4D5C-8EDD-F021E5C3E12D}"/>
    <cellStyle name="Normal 26 2 5 2 3" xfId="597" xr:uid="{5C2B8F11-DCC5-4BF4-AA8D-1B4EC7BA76D9}"/>
    <cellStyle name="Normal 26 2 5 2 3 10" xfId="13827" xr:uid="{50070081-09F3-4990-8DD3-0C20725D2DD0}"/>
    <cellStyle name="Normal 26 2 5 2 3 11" xfId="15717" xr:uid="{C7084487-63CE-408A-A274-A80F06BAB399}"/>
    <cellStyle name="Normal 26 2 5 2 3 12" xfId="17607" xr:uid="{C13F4B1B-ECB8-4FC6-9E85-840FA7CAC77B}"/>
    <cellStyle name="Normal 26 2 5 2 3 13" xfId="19497" xr:uid="{DC516E20-FDAD-41E2-AD1B-A295653C84A5}"/>
    <cellStyle name="Normal 26 2 5 2 3 14" xfId="21387" xr:uid="{7382F101-4EF5-4C9B-8962-8069F6CF66B7}"/>
    <cellStyle name="Normal 26 2 5 2 3 15" xfId="23277" xr:uid="{3C87E61A-2F3B-4326-93E0-670CCD736FCD}"/>
    <cellStyle name="Normal 26 2 5 2 3 16" xfId="25167" xr:uid="{ED6E0349-E654-4721-B801-F6472FDC8C48}"/>
    <cellStyle name="Normal 26 2 5 2 3 17" xfId="27057" xr:uid="{FA066DCC-E172-4F95-9CA4-F99745F90C77}"/>
    <cellStyle name="Normal 26 2 5 2 3 18" xfId="28947" xr:uid="{345E7046-CD68-4DB0-ABFD-29CBDAC53471}"/>
    <cellStyle name="Normal 26 2 5 2 3 19" xfId="30837" xr:uid="{524AB513-473F-475C-A6FF-B2CF22050383}"/>
    <cellStyle name="Normal 26 2 5 2 3 2" xfId="1227" xr:uid="{6B520833-3359-45E8-965C-2C4D2480220C}"/>
    <cellStyle name="Normal 26 2 5 2 3 2 10" xfId="18237" xr:uid="{B9E6513E-D3EC-493F-9D5B-3A4889FDDE11}"/>
    <cellStyle name="Normal 26 2 5 2 3 2 11" xfId="20127" xr:uid="{D73A7FFA-9CE7-4BA4-AED1-C87675972B00}"/>
    <cellStyle name="Normal 26 2 5 2 3 2 12" xfId="22017" xr:uid="{E1323869-938D-46ED-BF32-56B6AB76C14A}"/>
    <cellStyle name="Normal 26 2 5 2 3 2 13" xfId="23907" xr:uid="{22C78F2E-B84F-45EF-91FB-27B73344F368}"/>
    <cellStyle name="Normal 26 2 5 2 3 2 14" xfId="25797" xr:uid="{4AF3EF20-F24C-4460-8414-653A6EA3680D}"/>
    <cellStyle name="Normal 26 2 5 2 3 2 15" xfId="27687" xr:uid="{883AE28A-3523-489C-80B1-4C6C82A491E5}"/>
    <cellStyle name="Normal 26 2 5 2 3 2 16" xfId="29577" xr:uid="{A2A4AC2C-11DB-400F-A79D-9A8B8B4E72E9}"/>
    <cellStyle name="Normal 26 2 5 2 3 2 17" xfId="31467" xr:uid="{EA2D6279-0858-48BA-AE6D-9D75BB7A9DEF}"/>
    <cellStyle name="Normal 26 2 5 2 3 2 18" xfId="33357" xr:uid="{562A86D0-787A-4567-BC4F-BE6207528F1E}"/>
    <cellStyle name="Normal 26 2 5 2 3 2 19" xfId="35247" xr:uid="{EB8E4F41-1D62-4EAB-A03D-A9E1EBA5A2A0}"/>
    <cellStyle name="Normal 26 2 5 2 3 2 2" xfId="3117" xr:uid="{B43F89BF-1612-4545-9D60-D2E5ADACCD11}"/>
    <cellStyle name="Normal 26 2 5 2 3 2 20" xfId="37137" xr:uid="{22C720EC-25C5-4F82-8A84-7A8115F5563C}"/>
    <cellStyle name="Normal 26 2 5 2 3 2 21" xfId="39027" xr:uid="{A7A1889A-92D2-4A05-847A-E58BEE19E38E}"/>
    <cellStyle name="Normal 26 2 5 2 3 2 22" xfId="40918" xr:uid="{AD2687D5-5B9D-4130-86C1-9CCBD8830C52}"/>
    <cellStyle name="Normal 26 2 5 2 3 2 3" xfId="5007" xr:uid="{ED61E98C-CC33-44C3-B84A-0667B2B99FA2}"/>
    <cellStyle name="Normal 26 2 5 2 3 2 4" xfId="6897" xr:uid="{CDFEFC34-297E-4649-AC44-FD5FDBA710F4}"/>
    <cellStyle name="Normal 26 2 5 2 3 2 5" xfId="8787" xr:uid="{1116177A-1DC9-41CF-B3BA-6E0202DFDEFC}"/>
    <cellStyle name="Normal 26 2 5 2 3 2 6" xfId="10677" xr:uid="{86811582-17EE-420B-89FA-066F5BAE05C4}"/>
    <cellStyle name="Normal 26 2 5 2 3 2 7" xfId="12567" xr:uid="{935BCBF3-1EBB-4A12-8CA7-333723FEE113}"/>
    <cellStyle name="Normal 26 2 5 2 3 2 8" xfId="14457" xr:uid="{252E0C35-9E46-4EB6-9332-AE7EDA0D514D}"/>
    <cellStyle name="Normal 26 2 5 2 3 2 9" xfId="16347" xr:uid="{B0B5B73A-1EEF-474C-947E-83C6F43A2D71}"/>
    <cellStyle name="Normal 26 2 5 2 3 20" xfId="32727" xr:uid="{74881FFD-5AB5-4071-86FC-8F7AC79C8181}"/>
    <cellStyle name="Normal 26 2 5 2 3 21" xfId="34617" xr:uid="{0CBF3E9A-B180-4801-9DFB-61930057ECA2}"/>
    <cellStyle name="Normal 26 2 5 2 3 22" xfId="36507" xr:uid="{22C38E50-93DC-4868-B83E-F8AE85285D0F}"/>
    <cellStyle name="Normal 26 2 5 2 3 23" xfId="38397" xr:uid="{A8046415-D9D0-453F-AE1A-FFD671FF6365}"/>
    <cellStyle name="Normal 26 2 5 2 3 24" xfId="40288" xr:uid="{66F506C0-0515-41CB-BB86-BC704D0719B3}"/>
    <cellStyle name="Normal 26 2 5 2 3 3" xfId="1857" xr:uid="{33955972-1703-428E-B1B1-E4C4E7D1DC06}"/>
    <cellStyle name="Normal 26 2 5 2 3 3 10" xfId="18867" xr:uid="{5193D174-06A8-4625-B3C5-D996029293AB}"/>
    <cellStyle name="Normal 26 2 5 2 3 3 11" xfId="20757" xr:uid="{A283F8BE-21DE-462C-BD98-938D4F6AC4A9}"/>
    <cellStyle name="Normal 26 2 5 2 3 3 12" xfId="22647" xr:uid="{89DE5DC1-6570-4DC2-99EE-7EA35104037A}"/>
    <cellStyle name="Normal 26 2 5 2 3 3 13" xfId="24537" xr:uid="{AF1FA742-334E-46BA-96D7-ACFD42AC161F}"/>
    <cellStyle name="Normal 26 2 5 2 3 3 14" xfId="26427" xr:uid="{E0D606AD-316B-498F-88E7-3E7F56891728}"/>
    <cellStyle name="Normal 26 2 5 2 3 3 15" xfId="28317" xr:uid="{7758AC7D-AAE8-4A3B-8F1B-334811B3FD64}"/>
    <cellStyle name="Normal 26 2 5 2 3 3 16" xfId="30207" xr:uid="{6200216C-417A-4CC9-AD24-11ECCB25662B}"/>
    <cellStyle name="Normal 26 2 5 2 3 3 17" xfId="32097" xr:uid="{2CE68352-3E3F-4CBB-81A2-BECB4EAC1D65}"/>
    <cellStyle name="Normal 26 2 5 2 3 3 18" xfId="33987" xr:uid="{D83810C8-1E81-4D97-8A8B-8416565C032D}"/>
    <cellStyle name="Normal 26 2 5 2 3 3 19" xfId="35877" xr:uid="{3ED9262E-0568-44DF-83DF-1151AC45FB44}"/>
    <cellStyle name="Normal 26 2 5 2 3 3 2" xfId="3747" xr:uid="{C4FE87CB-1624-4FEE-993F-996D0D552DB1}"/>
    <cellStyle name="Normal 26 2 5 2 3 3 20" xfId="37767" xr:uid="{BBF3FFED-24C2-448D-AF92-741300B5481B}"/>
    <cellStyle name="Normal 26 2 5 2 3 3 21" xfId="39657" xr:uid="{10FBCA1A-6AE3-48EB-A127-C47E7A96320B}"/>
    <cellStyle name="Normal 26 2 5 2 3 3 22" xfId="41548" xr:uid="{DC20C1AD-58A9-4CA0-A3BA-AE389667C855}"/>
    <cellStyle name="Normal 26 2 5 2 3 3 3" xfId="5637" xr:uid="{BE3C547C-04A3-4C48-B5B4-67FE2D081D4C}"/>
    <cellStyle name="Normal 26 2 5 2 3 3 4" xfId="7527" xr:uid="{4E70C4D9-F392-4147-AE89-E4580820254D}"/>
    <cellStyle name="Normal 26 2 5 2 3 3 5" xfId="9417" xr:uid="{0B567D5A-9D14-431A-BF17-A987107FC012}"/>
    <cellStyle name="Normal 26 2 5 2 3 3 6" xfId="11307" xr:uid="{05E9244C-0100-43C9-9B00-5CE4240EBE4F}"/>
    <cellStyle name="Normal 26 2 5 2 3 3 7" xfId="13197" xr:uid="{17EB2B2B-A3F3-49C0-923A-268A6EAF8C4C}"/>
    <cellStyle name="Normal 26 2 5 2 3 3 8" xfId="15087" xr:uid="{F8682ED6-CF2A-4B35-9660-CF4E77716151}"/>
    <cellStyle name="Normal 26 2 5 2 3 3 9" xfId="16977" xr:uid="{55DECC1E-4786-441D-94B7-7508BC3E264E}"/>
    <cellStyle name="Normal 26 2 5 2 3 4" xfId="2487" xr:uid="{D38B8EF0-D798-4395-AC81-4E898EA40B35}"/>
    <cellStyle name="Normal 26 2 5 2 3 5" xfId="4377" xr:uid="{5ED769E2-A5C6-48F7-A590-A843BA35DB0C}"/>
    <cellStyle name="Normal 26 2 5 2 3 6" xfId="6267" xr:uid="{E4B995D6-0AD4-4078-9FC0-1C68F5098A40}"/>
    <cellStyle name="Normal 26 2 5 2 3 7" xfId="8157" xr:uid="{9BF3E705-2C5E-4D05-A8BD-A465161A626A}"/>
    <cellStyle name="Normal 26 2 5 2 3 8" xfId="10047" xr:uid="{7C36202D-F112-44C6-A625-99F611FFDAF4}"/>
    <cellStyle name="Normal 26 2 5 2 3 9" xfId="11937" xr:uid="{F448F09B-4AA1-4B51-92DE-C2C4945E3F81}"/>
    <cellStyle name="Normal 26 2 5 2 4" xfId="807" xr:uid="{6F167C35-7C43-4826-A067-B54A6B2E5D46}"/>
    <cellStyle name="Normal 26 2 5 2 4 10" xfId="17817" xr:uid="{38F4D6DA-C778-4C65-9340-DD021B86F57E}"/>
    <cellStyle name="Normal 26 2 5 2 4 11" xfId="19707" xr:uid="{4458A793-4B36-45F4-9839-B61079F43F8F}"/>
    <cellStyle name="Normal 26 2 5 2 4 12" xfId="21597" xr:uid="{FA5DBB60-FAB1-4968-ABC5-36F0D105F05C}"/>
    <cellStyle name="Normal 26 2 5 2 4 13" xfId="23487" xr:uid="{853BF7A4-A3F9-48B0-A36F-D8AC912B2F0E}"/>
    <cellStyle name="Normal 26 2 5 2 4 14" xfId="25377" xr:uid="{5ECD99EF-6FC0-4EB8-8F6C-49A9CA106B2D}"/>
    <cellStyle name="Normal 26 2 5 2 4 15" xfId="27267" xr:uid="{ECC6FE75-EA47-4F43-85E1-4890A015CCBB}"/>
    <cellStyle name="Normal 26 2 5 2 4 16" xfId="29157" xr:uid="{F5B1DCF5-6E84-41C3-8041-954E4F28FA4B}"/>
    <cellStyle name="Normal 26 2 5 2 4 17" xfId="31047" xr:uid="{5CD7ACEF-A652-49B8-A0D0-1127A3DB427F}"/>
    <cellStyle name="Normal 26 2 5 2 4 18" xfId="32937" xr:uid="{C95AC5D1-B3DD-4E5E-891B-59326E270F30}"/>
    <cellStyle name="Normal 26 2 5 2 4 19" xfId="34827" xr:uid="{9929A9E6-A0A1-4A65-A729-D282BD375C3A}"/>
    <cellStyle name="Normal 26 2 5 2 4 2" xfId="2697" xr:uid="{C94860AF-2685-493B-86CE-8175FBA758F4}"/>
    <cellStyle name="Normal 26 2 5 2 4 20" xfId="36717" xr:uid="{5215AEAE-1432-470E-AE1A-7336091FACF9}"/>
    <cellStyle name="Normal 26 2 5 2 4 21" xfId="38607" xr:uid="{B0328298-2D9E-4C4D-8C8D-CC9502208AA6}"/>
    <cellStyle name="Normal 26 2 5 2 4 22" xfId="40498" xr:uid="{1F927B0C-ED16-4CA3-A6D8-5669767C4764}"/>
    <cellStyle name="Normal 26 2 5 2 4 3" xfId="4587" xr:uid="{FAFEC13F-0C3B-4ED0-A839-783D8B115B4D}"/>
    <cellStyle name="Normal 26 2 5 2 4 4" xfId="6477" xr:uid="{754B2AA2-F162-4D18-9C8E-13ED133AC608}"/>
    <cellStyle name="Normal 26 2 5 2 4 5" xfId="8367" xr:uid="{8395A803-CF84-4636-97A0-E1AF3597B855}"/>
    <cellStyle name="Normal 26 2 5 2 4 6" xfId="10257" xr:uid="{E47B86E3-6C44-43C4-BE16-72C0A6A70C54}"/>
    <cellStyle name="Normal 26 2 5 2 4 7" xfId="12147" xr:uid="{5E9767F9-4CFD-47BD-BBBC-032914A3D666}"/>
    <cellStyle name="Normal 26 2 5 2 4 8" xfId="14037" xr:uid="{85E1D6FC-E99A-4EC9-BA94-6B9554009DC2}"/>
    <cellStyle name="Normal 26 2 5 2 4 9" xfId="15927" xr:uid="{9EBBA7B1-36ED-42A2-BF7E-E7D89771A1A4}"/>
    <cellStyle name="Normal 26 2 5 2 5" xfId="1437" xr:uid="{4C33591B-E97A-451C-92E5-D8E2D2D236C2}"/>
    <cellStyle name="Normal 26 2 5 2 5 10" xfId="18447" xr:uid="{437B714F-BD96-4518-99CE-F0C7064CFCC9}"/>
    <cellStyle name="Normal 26 2 5 2 5 11" xfId="20337" xr:uid="{EF1471CE-CA8D-478A-9D3B-42FADD11A0AB}"/>
    <cellStyle name="Normal 26 2 5 2 5 12" xfId="22227" xr:uid="{79FA3639-ACA4-4770-948A-DAC9BBC09828}"/>
    <cellStyle name="Normal 26 2 5 2 5 13" xfId="24117" xr:uid="{C371A9E6-90AB-4853-BEC7-D81EF903BBEC}"/>
    <cellStyle name="Normal 26 2 5 2 5 14" xfId="26007" xr:uid="{B32A92B3-A290-48DD-9EA0-D0E6F40B6C7E}"/>
    <cellStyle name="Normal 26 2 5 2 5 15" xfId="27897" xr:uid="{1BACA3A3-E448-4A17-9631-CCEE11C5DBBE}"/>
    <cellStyle name="Normal 26 2 5 2 5 16" xfId="29787" xr:uid="{2A136773-0D58-4516-8307-180806234A2D}"/>
    <cellStyle name="Normal 26 2 5 2 5 17" xfId="31677" xr:uid="{7D307850-4571-429B-9269-AE91DA565C76}"/>
    <cellStyle name="Normal 26 2 5 2 5 18" xfId="33567" xr:uid="{DFA1FAA3-0DD9-4ADD-ADFD-5A809273DF7B}"/>
    <cellStyle name="Normal 26 2 5 2 5 19" xfId="35457" xr:uid="{AD59CED6-C2D2-47B8-B19C-12110C1B2B36}"/>
    <cellStyle name="Normal 26 2 5 2 5 2" xfId="3327" xr:uid="{751B3FE4-CE87-4AB0-B611-BBDA4F794D87}"/>
    <cellStyle name="Normal 26 2 5 2 5 20" xfId="37347" xr:uid="{8D7F3ED8-0431-4E3C-8DC6-1FC8BABB720E}"/>
    <cellStyle name="Normal 26 2 5 2 5 21" xfId="39237" xr:uid="{5664F206-E829-44C5-AF80-B3A591B8E348}"/>
    <cellStyle name="Normal 26 2 5 2 5 22" xfId="41128" xr:uid="{B5C6F76D-05D0-4A0B-A32E-2D5FDD735B96}"/>
    <cellStyle name="Normal 26 2 5 2 5 3" xfId="5217" xr:uid="{47ADB4EA-A797-442B-8EE9-E0574CFB7096}"/>
    <cellStyle name="Normal 26 2 5 2 5 4" xfId="7107" xr:uid="{B38A6108-0B01-49CE-AD3D-F5745AEBADD1}"/>
    <cellStyle name="Normal 26 2 5 2 5 5" xfId="8997" xr:uid="{4DA910C6-6318-4DA9-85D6-244AD7FA824D}"/>
    <cellStyle name="Normal 26 2 5 2 5 6" xfId="10887" xr:uid="{6AFCA1B5-6D5C-4E40-AEF6-BC528074195C}"/>
    <cellStyle name="Normal 26 2 5 2 5 7" xfId="12777" xr:uid="{FC01580A-1D83-4764-8083-A0FABE8EFAAD}"/>
    <cellStyle name="Normal 26 2 5 2 5 8" xfId="14667" xr:uid="{CA1354E7-40D6-4AFE-82C6-B86613D0E97E}"/>
    <cellStyle name="Normal 26 2 5 2 5 9" xfId="16557" xr:uid="{F5FF2697-705B-463C-9A1D-6C30597DF8AD}"/>
    <cellStyle name="Normal 26 2 5 2 6" xfId="2067" xr:uid="{DBDBA225-16E9-48E9-A1FB-6CFD58A3F303}"/>
    <cellStyle name="Normal 26 2 5 2 7" xfId="3957" xr:uid="{3643C210-86E8-41E5-8717-92FCF4DAF1DE}"/>
    <cellStyle name="Normal 26 2 5 2 8" xfId="5847" xr:uid="{760FCE86-6032-4FEF-9179-4AAA80AB23E0}"/>
    <cellStyle name="Normal 26 2 5 2 9" xfId="7737" xr:uid="{038BE40C-DEA9-4734-9CA1-83C84D064EE1}"/>
    <cellStyle name="Normal 26 2 5 20" xfId="26532" xr:uid="{8886DC29-B30D-4208-8C1F-9CD5140205A5}"/>
    <cellStyle name="Normal 26 2 5 21" xfId="28422" xr:uid="{D116D42B-3C7D-44F0-B9B7-099DF4784463}"/>
    <cellStyle name="Normal 26 2 5 22" xfId="30312" xr:uid="{E8BB1A41-AA89-4E21-A884-C7D7898409D5}"/>
    <cellStyle name="Normal 26 2 5 23" xfId="32202" xr:uid="{52E4CE1E-141C-42EE-92F5-BEDCEC641190}"/>
    <cellStyle name="Normal 26 2 5 24" xfId="34092" xr:uid="{D36CCB1C-0875-4B72-B868-61C50B77903F}"/>
    <cellStyle name="Normal 26 2 5 25" xfId="35982" xr:uid="{30949C54-2DC6-40B0-87FA-FC48EBF2AFB2}"/>
    <cellStyle name="Normal 26 2 5 26" xfId="37872" xr:uid="{D8F770F9-18D6-4C90-80D7-956E485AB365}"/>
    <cellStyle name="Normal 26 2 5 27" xfId="39763" xr:uid="{5B887A18-E7B8-43A6-9A65-C418DCE6331C}"/>
    <cellStyle name="Normal 26 2 5 3" xfId="282" xr:uid="{AE1AE7B0-E9AE-431E-8277-8FEFDAD1F8E1}"/>
    <cellStyle name="Normal 26 2 5 3 10" xfId="13512" xr:uid="{CF798E97-C132-4F84-AD70-394807CE4101}"/>
    <cellStyle name="Normal 26 2 5 3 11" xfId="15402" xr:uid="{E4E16D47-D262-46D9-AF24-45A65D3D264D}"/>
    <cellStyle name="Normal 26 2 5 3 12" xfId="17292" xr:uid="{6318C4E6-48C4-4E2E-8B58-CAE6D081A653}"/>
    <cellStyle name="Normal 26 2 5 3 13" xfId="19182" xr:uid="{BBE033E2-0761-4238-9D03-47A0F4E5468D}"/>
    <cellStyle name="Normal 26 2 5 3 14" xfId="21072" xr:uid="{48B97A08-72AE-4DC8-9FE0-70106D91FFB8}"/>
    <cellStyle name="Normal 26 2 5 3 15" xfId="22962" xr:uid="{AA8EE3CC-AB5D-4F5D-8AAC-93EC71CA1D15}"/>
    <cellStyle name="Normal 26 2 5 3 16" xfId="24852" xr:uid="{F206223F-5349-40E6-9CF2-90622834463A}"/>
    <cellStyle name="Normal 26 2 5 3 17" xfId="26742" xr:uid="{B8CADED6-9489-4400-8CF7-ADA8FDAF261B}"/>
    <cellStyle name="Normal 26 2 5 3 18" xfId="28632" xr:uid="{C005E2B4-5C43-493C-BAE9-BD4A8ABD03A7}"/>
    <cellStyle name="Normal 26 2 5 3 19" xfId="30522" xr:uid="{47E4E080-0B47-4F6F-A4BB-2761DC9394C3}"/>
    <cellStyle name="Normal 26 2 5 3 2" xfId="912" xr:uid="{48F605E7-EED7-4EE1-A8E5-F945B1B35516}"/>
    <cellStyle name="Normal 26 2 5 3 2 10" xfId="17922" xr:uid="{3C3208BB-C8AA-417F-8B79-6F150BE57C2A}"/>
    <cellStyle name="Normal 26 2 5 3 2 11" xfId="19812" xr:uid="{75FD9576-FD38-4EE9-BCF4-033ADEEE565F}"/>
    <cellStyle name="Normal 26 2 5 3 2 12" xfId="21702" xr:uid="{1A9B3E82-DF89-4914-8204-CB4699952CE2}"/>
    <cellStyle name="Normal 26 2 5 3 2 13" xfId="23592" xr:uid="{AFFC9D6D-E1A8-4865-83CD-1743F97BA316}"/>
    <cellStyle name="Normal 26 2 5 3 2 14" xfId="25482" xr:uid="{A3BCBFEE-F0D2-4AC0-94B0-49E7BC24272F}"/>
    <cellStyle name="Normal 26 2 5 3 2 15" xfId="27372" xr:uid="{B5B129E1-F3DE-4D50-A1DB-D6407E07D6DE}"/>
    <cellStyle name="Normal 26 2 5 3 2 16" xfId="29262" xr:uid="{C827CB76-0507-4E54-8EA1-09C2459FB770}"/>
    <cellStyle name="Normal 26 2 5 3 2 17" xfId="31152" xr:uid="{9F8F3BE9-DF8E-4564-A985-1714E5586A66}"/>
    <cellStyle name="Normal 26 2 5 3 2 18" xfId="33042" xr:uid="{935FA50A-2CFA-4ACC-AB45-741E903DE6E0}"/>
    <cellStyle name="Normal 26 2 5 3 2 19" xfId="34932" xr:uid="{047555A8-0604-427A-8F20-8112BD8FA306}"/>
    <cellStyle name="Normal 26 2 5 3 2 2" xfId="2802" xr:uid="{5A192B82-F884-4E89-BB5B-8045BBF84143}"/>
    <cellStyle name="Normal 26 2 5 3 2 20" xfId="36822" xr:uid="{A873A49C-8C20-4DE9-BDA2-EA11A55CC068}"/>
    <cellStyle name="Normal 26 2 5 3 2 21" xfId="38712" xr:uid="{FD1393D4-F508-4475-9191-9A324CE0CF42}"/>
    <cellStyle name="Normal 26 2 5 3 2 22" xfId="40603" xr:uid="{9130C2DA-D9F2-4CD8-9BA7-B70B46CAA61D}"/>
    <cellStyle name="Normal 26 2 5 3 2 3" xfId="4692" xr:uid="{61505F1E-091B-4F0D-AD24-B309BD757EA1}"/>
    <cellStyle name="Normal 26 2 5 3 2 4" xfId="6582" xr:uid="{2D6EF64C-63CC-4DE2-81B1-CBCF6A526490}"/>
    <cellStyle name="Normal 26 2 5 3 2 5" xfId="8472" xr:uid="{69DDD196-642F-4C93-8900-DCEB091C1AE1}"/>
    <cellStyle name="Normal 26 2 5 3 2 6" xfId="10362" xr:uid="{8E6FE723-AE3E-443A-84FA-719BAA86E60D}"/>
    <cellStyle name="Normal 26 2 5 3 2 7" xfId="12252" xr:uid="{313F537E-0394-4FA7-AF6A-7BB6167F3296}"/>
    <cellStyle name="Normal 26 2 5 3 2 8" xfId="14142" xr:uid="{E37AE948-8E25-4CC3-ACD0-50404D536259}"/>
    <cellStyle name="Normal 26 2 5 3 2 9" xfId="16032" xr:uid="{CED1FC08-3966-432B-91AD-BD333614D81F}"/>
    <cellStyle name="Normal 26 2 5 3 20" xfId="32412" xr:uid="{2265D2BE-6867-4F3C-BDBD-04F681E473C1}"/>
    <cellStyle name="Normal 26 2 5 3 21" xfId="34302" xr:uid="{7013A0A3-8A76-4057-B172-9488D37E81FF}"/>
    <cellStyle name="Normal 26 2 5 3 22" xfId="36192" xr:uid="{8B486B5A-6F23-44C2-8CD6-99DE1D05040A}"/>
    <cellStyle name="Normal 26 2 5 3 23" xfId="38082" xr:uid="{E6547C67-804D-4545-9847-331AFB5C877B}"/>
    <cellStyle name="Normal 26 2 5 3 24" xfId="39973" xr:uid="{3452924A-E534-4AAF-91B2-9FCF7136346F}"/>
    <cellStyle name="Normal 26 2 5 3 3" xfId="1542" xr:uid="{EC7F0472-7794-45B1-A47B-2469BAB73694}"/>
    <cellStyle name="Normal 26 2 5 3 3 10" xfId="18552" xr:uid="{828A1AAD-D74D-4B19-9541-69FF9F9196A6}"/>
    <cellStyle name="Normal 26 2 5 3 3 11" xfId="20442" xr:uid="{A85B0D29-1DFE-4849-A39E-4498222C2E7C}"/>
    <cellStyle name="Normal 26 2 5 3 3 12" xfId="22332" xr:uid="{AD94BC39-8324-4D8A-B0A8-7E0384CCD2AE}"/>
    <cellStyle name="Normal 26 2 5 3 3 13" xfId="24222" xr:uid="{3443D9D4-3B2D-4CEF-971D-465225584D78}"/>
    <cellStyle name="Normal 26 2 5 3 3 14" xfId="26112" xr:uid="{C05A590B-C510-41D7-8CD0-108878A062FD}"/>
    <cellStyle name="Normal 26 2 5 3 3 15" xfId="28002" xr:uid="{38D32E2F-BAB3-478C-97B1-8B8BC37E189C}"/>
    <cellStyle name="Normal 26 2 5 3 3 16" xfId="29892" xr:uid="{D709F2DA-8B4F-4F11-9C35-83E07BB16EA8}"/>
    <cellStyle name="Normal 26 2 5 3 3 17" xfId="31782" xr:uid="{944DCCF4-17F2-46BB-9D25-DF259E129B34}"/>
    <cellStyle name="Normal 26 2 5 3 3 18" xfId="33672" xr:uid="{D371DE21-3187-4C29-B173-54849B171B20}"/>
    <cellStyle name="Normal 26 2 5 3 3 19" xfId="35562" xr:uid="{7BC53BC8-80FC-4C3B-96D6-F0FAB79F22E2}"/>
    <cellStyle name="Normal 26 2 5 3 3 2" xfId="3432" xr:uid="{5AABD29C-22AE-42F6-ACBF-1C2352421DE0}"/>
    <cellStyle name="Normal 26 2 5 3 3 20" xfId="37452" xr:uid="{701DB97D-AEDE-401D-8DAF-8AF3619C5ED1}"/>
    <cellStyle name="Normal 26 2 5 3 3 21" xfId="39342" xr:uid="{D2E6F03F-24F3-4D16-AB01-DF9CAE2C7767}"/>
    <cellStyle name="Normal 26 2 5 3 3 22" xfId="41233" xr:uid="{84C78C66-3A46-434E-990C-1B01AE43D506}"/>
    <cellStyle name="Normal 26 2 5 3 3 3" xfId="5322" xr:uid="{6677A4B6-2AEE-4CD5-812F-1FD430AA50D7}"/>
    <cellStyle name="Normal 26 2 5 3 3 4" xfId="7212" xr:uid="{6E17A0B1-064F-4A00-90FD-AC71FE638AA3}"/>
    <cellStyle name="Normal 26 2 5 3 3 5" xfId="9102" xr:uid="{B1EC369A-BF20-4CFA-BAEF-9A73BE7A24CE}"/>
    <cellStyle name="Normal 26 2 5 3 3 6" xfId="10992" xr:uid="{37CBAE36-E390-4AEE-91F5-6E6D169C8F08}"/>
    <cellStyle name="Normal 26 2 5 3 3 7" xfId="12882" xr:uid="{9337EFCB-E6D5-48C5-AEEA-7D377A20AE76}"/>
    <cellStyle name="Normal 26 2 5 3 3 8" xfId="14772" xr:uid="{63B21BF4-3963-4F09-B6B5-B2C542BD972C}"/>
    <cellStyle name="Normal 26 2 5 3 3 9" xfId="16662" xr:uid="{4AB65CE9-C173-468B-B623-ADA10E3FF735}"/>
    <cellStyle name="Normal 26 2 5 3 4" xfId="2172" xr:uid="{E50317FB-5B48-441A-8C21-5B4959FF8D68}"/>
    <cellStyle name="Normal 26 2 5 3 5" xfId="4062" xr:uid="{ACC4B3F2-EC5A-40DC-8E31-54091314F996}"/>
    <cellStyle name="Normal 26 2 5 3 6" xfId="5952" xr:uid="{EC370C73-A557-4224-B05E-898AC54AA718}"/>
    <cellStyle name="Normal 26 2 5 3 7" xfId="7842" xr:uid="{83A56067-C717-4BA7-84A6-5067987976A8}"/>
    <cellStyle name="Normal 26 2 5 3 8" xfId="9732" xr:uid="{C9E0B266-270A-439B-83F8-76F0FD772254}"/>
    <cellStyle name="Normal 26 2 5 3 9" xfId="11622" xr:uid="{8F7A4DE5-5F3C-44E0-9F66-69A1AC4B7A6F}"/>
    <cellStyle name="Normal 26 2 5 4" xfId="492" xr:uid="{DCDA1D4B-A03F-4986-8773-A045E194F43F}"/>
    <cellStyle name="Normal 26 2 5 4 10" xfId="13722" xr:uid="{EF5F8474-BD7D-435F-A2A1-B9CCD492CA2D}"/>
    <cellStyle name="Normal 26 2 5 4 11" xfId="15612" xr:uid="{028976D7-FEC5-4581-A391-8A50462781DB}"/>
    <cellStyle name="Normal 26 2 5 4 12" xfId="17502" xr:uid="{92F6458A-7D0C-483A-B161-FB2921774D07}"/>
    <cellStyle name="Normal 26 2 5 4 13" xfId="19392" xr:uid="{B1267918-72E0-4055-ACF3-4734B83255D0}"/>
    <cellStyle name="Normal 26 2 5 4 14" xfId="21282" xr:uid="{EAAA7CDB-F108-47DB-BCD4-659EE42EDC18}"/>
    <cellStyle name="Normal 26 2 5 4 15" xfId="23172" xr:uid="{92BC4C17-4DE8-44CB-BF0F-7EE580D7BF4B}"/>
    <cellStyle name="Normal 26 2 5 4 16" xfId="25062" xr:uid="{60086743-FD4A-4C46-BA47-DF4C2BB6A47E}"/>
    <cellStyle name="Normal 26 2 5 4 17" xfId="26952" xr:uid="{04A9FD05-2C7D-4CBB-804C-9E6A71110FD1}"/>
    <cellStyle name="Normal 26 2 5 4 18" xfId="28842" xr:uid="{AEC7C425-E177-4D10-AF09-3BE669CF4398}"/>
    <cellStyle name="Normal 26 2 5 4 19" xfId="30732" xr:uid="{4160B8F6-8D6F-4731-9F1E-83C721F1A675}"/>
    <cellStyle name="Normal 26 2 5 4 2" xfId="1122" xr:uid="{79F16113-9068-40B8-B640-1C0B1FA4D469}"/>
    <cellStyle name="Normal 26 2 5 4 2 10" xfId="18132" xr:uid="{2F3821F4-94F7-49CA-BC9B-D45AF5F5C6B6}"/>
    <cellStyle name="Normal 26 2 5 4 2 11" xfId="20022" xr:uid="{11A706DD-9270-4661-8DE2-BDD28E10BD4E}"/>
    <cellStyle name="Normal 26 2 5 4 2 12" xfId="21912" xr:uid="{BB651B0D-9A35-48A7-8636-715EA037E67D}"/>
    <cellStyle name="Normal 26 2 5 4 2 13" xfId="23802" xr:uid="{037B99A8-D50A-450D-91C1-74CA931BE0C5}"/>
    <cellStyle name="Normal 26 2 5 4 2 14" xfId="25692" xr:uid="{4FCB7376-FCCE-4D8B-AA5F-2BD81D0973D5}"/>
    <cellStyle name="Normal 26 2 5 4 2 15" xfId="27582" xr:uid="{4BFDCC99-EC4B-4526-9AC6-A8E1909132AD}"/>
    <cellStyle name="Normal 26 2 5 4 2 16" xfId="29472" xr:uid="{3626EE11-8190-4333-B3FC-3A55CF21E2A8}"/>
    <cellStyle name="Normal 26 2 5 4 2 17" xfId="31362" xr:uid="{AFB1C62D-36BC-4909-A6B2-32FDE03D6B71}"/>
    <cellStyle name="Normal 26 2 5 4 2 18" xfId="33252" xr:uid="{994E563E-CA2C-4333-8531-908720521F09}"/>
    <cellStyle name="Normal 26 2 5 4 2 19" xfId="35142" xr:uid="{EA7BC799-D848-4640-9E82-801C5205C379}"/>
    <cellStyle name="Normal 26 2 5 4 2 2" xfId="3012" xr:uid="{AC265A07-DFE7-4FA8-9193-D83C374FCE72}"/>
    <cellStyle name="Normal 26 2 5 4 2 20" xfId="37032" xr:uid="{4A0D6078-5DA7-4AE8-90D7-8665D2704B04}"/>
    <cellStyle name="Normal 26 2 5 4 2 21" xfId="38922" xr:uid="{537F4BA4-0BEF-440A-9015-8293F7E9159A}"/>
    <cellStyle name="Normal 26 2 5 4 2 22" xfId="40813" xr:uid="{D2190BEF-B700-4BDF-B046-ED7DDAF5393B}"/>
    <cellStyle name="Normal 26 2 5 4 2 3" xfId="4902" xr:uid="{3620E3F8-26ED-4EF4-AAFD-018A2CF95943}"/>
    <cellStyle name="Normal 26 2 5 4 2 4" xfId="6792" xr:uid="{4FA889F6-52BB-4A37-A5A0-39DD9A89A01C}"/>
    <cellStyle name="Normal 26 2 5 4 2 5" xfId="8682" xr:uid="{66EF1477-7AAC-4A48-8D91-BE574C9E4A74}"/>
    <cellStyle name="Normal 26 2 5 4 2 6" xfId="10572" xr:uid="{89E69801-3A1F-4929-BBBE-96443EFC8D68}"/>
    <cellStyle name="Normal 26 2 5 4 2 7" xfId="12462" xr:uid="{86E79724-7470-44E1-A856-4E556D811872}"/>
    <cellStyle name="Normal 26 2 5 4 2 8" xfId="14352" xr:uid="{903F8AF7-2282-4A72-B6CA-59654D57501E}"/>
    <cellStyle name="Normal 26 2 5 4 2 9" xfId="16242" xr:uid="{7F532E80-B0B8-4D98-A1B4-6F255688778D}"/>
    <cellStyle name="Normal 26 2 5 4 20" xfId="32622" xr:uid="{2892FF1E-1D98-4A76-8C6A-826664A8568A}"/>
    <cellStyle name="Normal 26 2 5 4 21" xfId="34512" xr:uid="{D7D0A48B-BF2F-4B6D-B932-8FF1381B870C}"/>
    <cellStyle name="Normal 26 2 5 4 22" xfId="36402" xr:uid="{1B61B743-DF14-41DA-9F4A-654CFB09E585}"/>
    <cellStyle name="Normal 26 2 5 4 23" xfId="38292" xr:uid="{FD724E8E-7B40-4A60-B868-19631EA8F7AB}"/>
    <cellStyle name="Normal 26 2 5 4 24" xfId="40183" xr:uid="{45EAC525-068F-494B-9C4F-DC99057FE868}"/>
    <cellStyle name="Normal 26 2 5 4 3" xfId="1752" xr:uid="{2068B452-7F9B-44AC-BF9C-5AF3410377FC}"/>
    <cellStyle name="Normal 26 2 5 4 3 10" xfId="18762" xr:uid="{77E945A6-9A83-475D-B00B-F2DF19789574}"/>
    <cellStyle name="Normal 26 2 5 4 3 11" xfId="20652" xr:uid="{E93AB61D-46FD-4F15-9D3C-9697FC8D16EC}"/>
    <cellStyle name="Normal 26 2 5 4 3 12" xfId="22542" xr:uid="{F1EC7A38-5346-473A-BF54-803FB9D954E8}"/>
    <cellStyle name="Normal 26 2 5 4 3 13" xfId="24432" xr:uid="{8F506EF1-5AAB-4DEA-83A7-557E13568E0F}"/>
    <cellStyle name="Normal 26 2 5 4 3 14" xfId="26322" xr:uid="{222AC299-9979-4F93-AE57-8DA4F9E54933}"/>
    <cellStyle name="Normal 26 2 5 4 3 15" xfId="28212" xr:uid="{179EA3BB-76E6-48BF-A0E8-F72FB7F1F65B}"/>
    <cellStyle name="Normal 26 2 5 4 3 16" xfId="30102" xr:uid="{2EB8A212-0C3A-4EF2-8DC4-A6C2F1369BDE}"/>
    <cellStyle name="Normal 26 2 5 4 3 17" xfId="31992" xr:uid="{BB10BDFF-6CCB-4D57-B9F7-7959937F21DD}"/>
    <cellStyle name="Normal 26 2 5 4 3 18" xfId="33882" xr:uid="{58B11D92-955D-4689-B8EA-12418AD02929}"/>
    <cellStyle name="Normal 26 2 5 4 3 19" xfId="35772" xr:uid="{F963DE08-5E1B-4875-92C8-1FF46A77AA89}"/>
    <cellStyle name="Normal 26 2 5 4 3 2" xfId="3642" xr:uid="{D73334AB-07FC-4438-8B68-E01FA455EFAB}"/>
    <cellStyle name="Normal 26 2 5 4 3 20" xfId="37662" xr:uid="{8A67C642-CCB8-4505-BAC8-1ECBB19F06BB}"/>
    <cellStyle name="Normal 26 2 5 4 3 21" xfId="39552" xr:uid="{FA5FE6E3-07D3-49FD-B900-2D0E1456403F}"/>
    <cellStyle name="Normal 26 2 5 4 3 22" xfId="41443" xr:uid="{F7D4F982-983B-4CCA-A780-8F8836D6EF29}"/>
    <cellStyle name="Normal 26 2 5 4 3 3" xfId="5532" xr:uid="{BA52AA00-A261-45A4-B594-D947ED918812}"/>
    <cellStyle name="Normal 26 2 5 4 3 4" xfId="7422" xr:uid="{93D91059-071B-4A48-A141-63958D66EEBB}"/>
    <cellStyle name="Normal 26 2 5 4 3 5" xfId="9312" xr:uid="{58C04AA0-7217-4153-ADA1-F08AA5B39A82}"/>
    <cellStyle name="Normal 26 2 5 4 3 6" xfId="11202" xr:uid="{531C9204-6C53-46FC-A96E-877E1C58CC79}"/>
    <cellStyle name="Normal 26 2 5 4 3 7" xfId="13092" xr:uid="{9A68BE41-3D67-41E6-99EA-407B0C047DE3}"/>
    <cellStyle name="Normal 26 2 5 4 3 8" xfId="14982" xr:uid="{6D58EAA2-B7AB-450C-A246-6CB0C616E9A4}"/>
    <cellStyle name="Normal 26 2 5 4 3 9" xfId="16872" xr:uid="{0A491A64-3C36-4711-B646-1DC406816B54}"/>
    <cellStyle name="Normal 26 2 5 4 4" xfId="2382" xr:uid="{A24E4120-7DF4-44A7-A920-C80679E46780}"/>
    <cellStyle name="Normal 26 2 5 4 5" xfId="4272" xr:uid="{36D468EC-0E55-4185-B9BC-71BA40BFE87F}"/>
    <cellStyle name="Normal 26 2 5 4 6" xfId="6162" xr:uid="{AC7A84C9-E6B2-43BC-BFAE-26B3F734A45A}"/>
    <cellStyle name="Normal 26 2 5 4 7" xfId="8052" xr:uid="{FB10B901-224F-40CC-81AB-60DB584634AC}"/>
    <cellStyle name="Normal 26 2 5 4 8" xfId="9942" xr:uid="{45736C76-457E-4865-8807-4DB9F1DEDD53}"/>
    <cellStyle name="Normal 26 2 5 4 9" xfId="11832" xr:uid="{F6A768AD-2F60-4AE8-864C-5F6AAD787C9A}"/>
    <cellStyle name="Normal 26 2 5 5" xfId="702" xr:uid="{00A6E309-DC7E-4BFA-A9DB-DDE7666FE40C}"/>
    <cellStyle name="Normal 26 2 5 5 10" xfId="17712" xr:uid="{A58696A1-1EFA-4C0E-8D91-92C19B68B73E}"/>
    <cellStyle name="Normal 26 2 5 5 11" xfId="19602" xr:uid="{ECADB0D8-DB3C-4D76-A48F-21B604FDAD23}"/>
    <cellStyle name="Normal 26 2 5 5 12" xfId="21492" xr:uid="{0DB7178B-2ACE-42E9-B09F-CF33465CC64B}"/>
    <cellStyle name="Normal 26 2 5 5 13" xfId="23382" xr:uid="{523F16B7-4ED4-45E5-A4B9-74ACBEF9DF4E}"/>
    <cellStyle name="Normal 26 2 5 5 14" xfId="25272" xr:uid="{99C5D073-AB7F-4B34-8664-9C61EC85A376}"/>
    <cellStyle name="Normal 26 2 5 5 15" xfId="27162" xr:uid="{08DCA699-6EC1-48B2-9D6F-92DF05284773}"/>
    <cellStyle name="Normal 26 2 5 5 16" xfId="29052" xr:uid="{2460E65E-91B8-49F5-A835-158F96637F7E}"/>
    <cellStyle name="Normal 26 2 5 5 17" xfId="30942" xr:uid="{C5483C9E-2909-4E30-B89B-E4E5D6028F19}"/>
    <cellStyle name="Normal 26 2 5 5 18" xfId="32832" xr:uid="{B5752B1D-DB82-4553-A2F9-79451346E183}"/>
    <cellStyle name="Normal 26 2 5 5 19" xfId="34722" xr:uid="{09A2E3B7-33C1-43EF-8977-7B47665128BD}"/>
    <cellStyle name="Normal 26 2 5 5 2" xfId="2592" xr:uid="{23B2C057-165E-4D62-8348-ABD3469F02CD}"/>
    <cellStyle name="Normal 26 2 5 5 20" xfId="36612" xr:uid="{67585C9F-8472-4D2F-B63E-6D797244B129}"/>
    <cellStyle name="Normal 26 2 5 5 21" xfId="38502" xr:uid="{0BAA0E35-043C-4B05-B776-68CE56AEF973}"/>
    <cellStyle name="Normal 26 2 5 5 22" xfId="40393" xr:uid="{22DF8CD8-C217-44D7-9109-D01A609E8C7E}"/>
    <cellStyle name="Normal 26 2 5 5 3" xfId="4482" xr:uid="{6111BAC0-D0A6-440B-B68B-32B4C8F7D419}"/>
    <cellStyle name="Normal 26 2 5 5 4" xfId="6372" xr:uid="{66F91625-79DD-4FDC-9C53-1223E94A67A2}"/>
    <cellStyle name="Normal 26 2 5 5 5" xfId="8262" xr:uid="{DE7652BC-5DB3-454B-890C-C3571920F420}"/>
    <cellStyle name="Normal 26 2 5 5 6" xfId="10152" xr:uid="{AE1F4F69-773D-4590-BD03-DA7ECEC1A1B2}"/>
    <cellStyle name="Normal 26 2 5 5 7" xfId="12042" xr:uid="{66CB4785-E127-41A4-B29D-01A4754196BB}"/>
    <cellStyle name="Normal 26 2 5 5 8" xfId="13932" xr:uid="{FDAC258A-948D-4CCB-94CA-2479342B64B3}"/>
    <cellStyle name="Normal 26 2 5 5 9" xfId="15822" xr:uid="{B8082866-C2E8-4432-8490-9D1E351AA69D}"/>
    <cellStyle name="Normal 26 2 5 6" xfId="1332" xr:uid="{AEBA2244-E190-4EF2-AEAE-93A38E22B284}"/>
    <cellStyle name="Normal 26 2 5 6 10" xfId="18342" xr:uid="{8F86C74C-24CB-4808-B259-F80C8B2F132D}"/>
    <cellStyle name="Normal 26 2 5 6 11" xfId="20232" xr:uid="{9C474D0E-5C89-440E-935E-AF9632F04B3A}"/>
    <cellStyle name="Normal 26 2 5 6 12" xfId="22122" xr:uid="{0A221A33-FEDE-4C1A-8BD8-7F559155F71A}"/>
    <cellStyle name="Normal 26 2 5 6 13" xfId="24012" xr:uid="{A12F5E48-B3F7-4B75-B323-428B41A06043}"/>
    <cellStyle name="Normal 26 2 5 6 14" xfId="25902" xr:uid="{5CEA993C-D6AB-43DB-A0BA-0559CE14045E}"/>
    <cellStyle name="Normal 26 2 5 6 15" xfId="27792" xr:uid="{A24FABCD-49BE-4DED-97CE-1299B4C3A44E}"/>
    <cellStyle name="Normal 26 2 5 6 16" xfId="29682" xr:uid="{84F155A7-C7C4-4897-9F57-5876D2A10C51}"/>
    <cellStyle name="Normal 26 2 5 6 17" xfId="31572" xr:uid="{2B5904CC-B2FE-431E-9805-183535AB4DFD}"/>
    <cellStyle name="Normal 26 2 5 6 18" xfId="33462" xr:uid="{D48140FB-F52A-431A-99BE-06C28DC005B7}"/>
    <cellStyle name="Normal 26 2 5 6 19" xfId="35352" xr:uid="{E05753CE-AE6E-4B3A-B1C8-8C91393D0825}"/>
    <cellStyle name="Normal 26 2 5 6 2" xfId="3222" xr:uid="{5B149318-5A29-4467-9B76-A4FA42BF269A}"/>
    <cellStyle name="Normal 26 2 5 6 20" xfId="37242" xr:uid="{029F5EA4-A2C0-4F7E-B7A6-831820974AFA}"/>
    <cellStyle name="Normal 26 2 5 6 21" xfId="39132" xr:uid="{A4AC5703-33FC-42D6-89F2-203C2B74B376}"/>
    <cellStyle name="Normal 26 2 5 6 22" xfId="41023" xr:uid="{28DC59B6-0821-4ECD-B692-A46F8B94BC43}"/>
    <cellStyle name="Normal 26 2 5 6 3" xfId="5112" xr:uid="{C6A1AD45-9208-4CBA-8CAC-5277EB9FE63A}"/>
    <cellStyle name="Normal 26 2 5 6 4" xfId="7002" xr:uid="{AB3075B5-971A-4792-9D7F-B318C8E44E39}"/>
    <cellStyle name="Normal 26 2 5 6 5" xfId="8892" xr:uid="{98B401F0-55AD-45F0-A857-876D604EDFF6}"/>
    <cellStyle name="Normal 26 2 5 6 6" xfId="10782" xr:uid="{FAAD6F6C-6E7A-415D-8275-6D1D8011EE2F}"/>
    <cellStyle name="Normal 26 2 5 6 7" xfId="12672" xr:uid="{275BE49C-E6E5-4F17-A5AF-6B735697B9DD}"/>
    <cellStyle name="Normal 26 2 5 6 8" xfId="14562" xr:uid="{0C1F2A6A-5A97-45EA-AE57-D0D66FC6E5F9}"/>
    <cellStyle name="Normal 26 2 5 6 9" xfId="16452" xr:uid="{FDAA7D90-DB2A-4C7A-A532-D3A20171E82D}"/>
    <cellStyle name="Normal 26 2 5 7" xfId="1962" xr:uid="{FEE2038C-12FE-4CFB-813E-D8245F12B8DC}"/>
    <cellStyle name="Normal 26 2 5 8" xfId="3852" xr:uid="{238A90C7-16CB-427B-88E7-1FED9E0ACB5B}"/>
    <cellStyle name="Normal 26 2 5 9" xfId="5742" xr:uid="{9892FFBD-9743-4F40-AD04-561947E0A7E5}"/>
    <cellStyle name="Normal 26 2 6" xfId="142" xr:uid="{E24A469E-F7DC-4EDA-BE7C-FC96DF12F823}"/>
    <cellStyle name="Normal 26 2 6 10" xfId="9592" xr:uid="{8CB36293-BAF6-4D34-8109-70B7BEBC39DA}"/>
    <cellStyle name="Normal 26 2 6 11" xfId="11482" xr:uid="{E33919A5-DA32-424C-9918-9E17F3D86FA1}"/>
    <cellStyle name="Normal 26 2 6 12" xfId="13372" xr:uid="{D419407F-7DF6-4925-814C-18D785D7599E}"/>
    <cellStyle name="Normal 26 2 6 13" xfId="15262" xr:uid="{42B0FCB4-AC19-40CB-9896-41115B7640CA}"/>
    <cellStyle name="Normal 26 2 6 14" xfId="17152" xr:uid="{9720E4A3-A843-4628-A8CC-64D60A20A46C}"/>
    <cellStyle name="Normal 26 2 6 15" xfId="19042" xr:uid="{D854C7B8-B890-4448-8CBE-A9992AE2D4CE}"/>
    <cellStyle name="Normal 26 2 6 16" xfId="20932" xr:uid="{5B03A15F-D2D8-46B2-A499-564B5D7D7F13}"/>
    <cellStyle name="Normal 26 2 6 17" xfId="22822" xr:uid="{441B05FF-9AC1-4BAC-A2E5-A2D8ABCCBD66}"/>
    <cellStyle name="Normal 26 2 6 18" xfId="24712" xr:uid="{3E429823-6988-4550-AC0F-3976D3666041}"/>
    <cellStyle name="Normal 26 2 6 19" xfId="26602" xr:uid="{565B35F9-341B-4E65-8F4E-9CBC03ACF938}"/>
    <cellStyle name="Normal 26 2 6 2" xfId="352" xr:uid="{2684748D-1638-4E8D-8B52-0F80A9BD7118}"/>
    <cellStyle name="Normal 26 2 6 2 10" xfId="13582" xr:uid="{215AA58B-1A30-43ED-A8B4-C02DC02D20F9}"/>
    <cellStyle name="Normal 26 2 6 2 11" xfId="15472" xr:uid="{678F964A-0481-4DBC-9B78-4CAE2C4F2CB2}"/>
    <cellStyle name="Normal 26 2 6 2 12" xfId="17362" xr:uid="{0815799F-908D-43F6-B285-7317B92FFCEB}"/>
    <cellStyle name="Normal 26 2 6 2 13" xfId="19252" xr:uid="{BF4CB558-6370-4D20-A49D-4853A6E9AD41}"/>
    <cellStyle name="Normal 26 2 6 2 14" xfId="21142" xr:uid="{E500838E-8C86-468D-88B3-0A3069B04BE5}"/>
    <cellStyle name="Normal 26 2 6 2 15" xfId="23032" xr:uid="{4DBF80B2-34E7-408E-955C-A29F6599C935}"/>
    <cellStyle name="Normal 26 2 6 2 16" xfId="24922" xr:uid="{21AE9BFE-84C9-4081-AEF2-22322B8DDB71}"/>
    <cellStyle name="Normal 26 2 6 2 17" xfId="26812" xr:uid="{114F50BF-2D9B-4A1C-9AF9-ECD32ECACA84}"/>
    <cellStyle name="Normal 26 2 6 2 18" xfId="28702" xr:uid="{B94A0991-24A6-4B72-9548-CEB557A212F4}"/>
    <cellStyle name="Normal 26 2 6 2 19" xfId="30592" xr:uid="{ABE79732-D6AF-4E49-8908-EC1E181E4736}"/>
    <cellStyle name="Normal 26 2 6 2 2" xfId="982" xr:uid="{6B2BA1AB-517F-46B2-B0EC-4FCCA71130A2}"/>
    <cellStyle name="Normal 26 2 6 2 2 10" xfId="17992" xr:uid="{53A73C91-E469-4593-9DF7-CB512C4F067E}"/>
    <cellStyle name="Normal 26 2 6 2 2 11" xfId="19882" xr:uid="{748E87DC-5843-4BFB-89A4-54A75D755865}"/>
    <cellStyle name="Normal 26 2 6 2 2 12" xfId="21772" xr:uid="{4874D557-65CC-47D4-9FA3-73EDAF4269D2}"/>
    <cellStyle name="Normal 26 2 6 2 2 13" xfId="23662" xr:uid="{C7AC639E-77FC-41D4-9A11-078F043E3D9F}"/>
    <cellStyle name="Normal 26 2 6 2 2 14" xfId="25552" xr:uid="{3AF2FD95-A5CF-4C57-93B4-9AA1957720AA}"/>
    <cellStyle name="Normal 26 2 6 2 2 15" xfId="27442" xr:uid="{74FE55EB-3977-4050-84B3-4C16939E4B7E}"/>
    <cellStyle name="Normal 26 2 6 2 2 16" xfId="29332" xr:uid="{0AF116B4-25A4-409C-997D-C372D70F1D79}"/>
    <cellStyle name="Normal 26 2 6 2 2 17" xfId="31222" xr:uid="{7C96F412-24AE-4EAB-8C5A-42760FD90A2A}"/>
    <cellStyle name="Normal 26 2 6 2 2 18" xfId="33112" xr:uid="{78229F7D-CD5E-442D-A145-F2581EA8EA0B}"/>
    <cellStyle name="Normal 26 2 6 2 2 19" xfId="35002" xr:uid="{393A2311-733D-495E-940D-4251545E5882}"/>
    <cellStyle name="Normal 26 2 6 2 2 2" xfId="2872" xr:uid="{3C182591-C513-425A-8ACF-E3AACB02D98C}"/>
    <cellStyle name="Normal 26 2 6 2 2 20" xfId="36892" xr:uid="{47A6D913-0E46-46CB-9F4A-B5E1783CBC2B}"/>
    <cellStyle name="Normal 26 2 6 2 2 21" xfId="38782" xr:uid="{480E545F-9176-4851-87D8-FED10AE52BC5}"/>
    <cellStyle name="Normal 26 2 6 2 2 22" xfId="40673" xr:uid="{A46529AF-350E-4180-9D64-433A180A0EF2}"/>
    <cellStyle name="Normal 26 2 6 2 2 3" xfId="4762" xr:uid="{05E0B3E6-7D33-445B-9DE4-13326FD2FEEE}"/>
    <cellStyle name="Normal 26 2 6 2 2 4" xfId="6652" xr:uid="{B3F754AB-1D41-4639-88E5-9343CF0ABC13}"/>
    <cellStyle name="Normal 26 2 6 2 2 5" xfId="8542" xr:uid="{28C85B8C-FDF0-46CE-90C0-F41E591E23AD}"/>
    <cellStyle name="Normal 26 2 6 2 2 6" xfId="10432" xr:uid="{7201C6F3-DBE0-4116-9127-5C22A39784FD}"/>
    <cellStyle name="Normal 26 2 6 2 2 7" xfId="12322" xr:uid="{B0C0ADA7-2FBB-45D4-8395-2C8CEA49BD7D}"/>
    <cellStyle name="Normal 26 2 6 2 2 8" xfId="14212" xr:uid="{DB958022-5190-4D58-8C58-B0C4B54DA5A6}"/>
    <cellStyle name="Normal 26 2 6 2 2 9" xfId="16102" xr:uid="{80AC2774-04F6-4408-B633-70D56AE83BB9}"/>
    <cellStyle name="Normal 26 2 6 2 20" xfId="32482" xr:uid="{D2EA6C4A-BA39-4DE9-B366-63D7A447DDA4}"/>
    <cellStyle name="Normal 26 2 6 2 21" xfId="34372" xr:uid="{5EB7C211-7B1A-48D2-9549-8C97F6334604}"/>
    <cellStyle name="Normal 26 2 6 2 22" xfId="36262" xr:uid="{93B8E4D8-1465-4EAC-B479-F2F1E8890019}"/>
    <cellStyle name="Normal 26 2 6 2 23" xfId="38152" xr:uid="{85E1154C-BDF1-44E8-AC10-382C14EFB448}"/>
    <cellStyle name="Normal 26 2 6 2 24" xfId="40043" xr:uid="{42FDD425-418B-44A0-B202-B7FBCBBB2B6A}"/>
    <cellStyle name="Normal 26 2 6 2 3" xfId="1612" xr:uid="{57BEEB91-A516-4093-B267-484213BDC219}"/>
    <cellStyle name="Normal 26 2 6 2 3 10" xfId="18622" xr:uid="{B0A75C69-1091-4A80-9E88-2326328EFA60}"/>
    <cellStyle name="Normal 26 2 6 2 3 11" xfId="20512" xr:uid="{22DFF729-6957-4791-A713-5746D5B75FB5}"/>
    <cellStyle name="Normal 26 2 6 2 3 12" xfId="22402" xr:uid="{82F92C6B-38EB-4C36-AC29-CC1D3A0CD6F4}"/>
    <cellStyle name="Normal 26 2 6 2 3 13" xfId="24292" xr:uid="{03A353FF-3B21-45BB-937F-E15B3175A613}"/>
    <cellStyle name="Normal 26 2 6 2 3 14" xfId="26182" xr:uid="{D5BAE940-462C-4B4E-85C6-E1AE84250509}"/>
    <cellStyle name="Normal 26 2 6 2 3 15" xfId="28072" xr:uid="{C18957B9-5A5C-4DE5-8E66-BBF1E3AACC0A}"/>
    <cellStyle name="Normal 26 2 6 2 3 16" xfId="29962" xr:uid="{67FAECE0-E8FA-44D7-BFD8-55FFBCBC969C}"/>
    <cellStyle name="Normal 26 2 6 2 3 17" xfId="31852" xr:uid="{17B12E15-B3C6-41E5-946A-6548B8071D7D}"/>
    <cellStyle name="Normal 26 2 6 2 3 18" xfId="33742" xr:uid="{CDF35E34-721C-4762-A5EF-C901E7C80280}"/>
    <cellStyle name="Normal 26 2 6 2 3 19" xfId="35632" xr:uid="{6031EBB1-666D-487A-BFB7-769BFF194D4C}"/>
    <cellStyle name="Normal 26 2 6 2 3 2" xfId="3502" xr:uid="{19A6DA1B-BD7D-4F6C-8C0A-E8A159503B52}"/>
    <cellStyle name="Normal 26 2 6 2 3 20" xfId="37522" xr:uid="{E38792BA-6FD9-4AAE-9457-C05CD3E37113}"/>
    <cellStyle name="Normal 26 2 6 2 3 21" xfId="39412" xr:uid="{BEAF0DB4-CBD8-45C5-943D-B63F18C5EDE9}"/>
    <cellStyle name="Normal 26 2 6 2 3 22" xfId="41303" xr:uid="{E218FD0D-F46C-48DD-B431-6B3D996F52DD}"/>
    <cellStyle name="Normal 26 2 6 2 3 3" xfId="5392" xr:uid="{19F7BE1C-07F4-4C4B-AAED-C68343CCDBF9}"/>
    <cellStyle name="Normal 26 2 6 2 3 4" xfId="7282" xr:uid="{3AE853DC-6CE7-4AE3-A85B-F97C04D4D289}"/>
    <cellStyle name="Normal 26 2 6 2 3 5" xfId="9172" xr:uid="{1DCAD063-4276-4140-BD0F-D1B8BC8AF601}"/>
    <cellStyle name="Normal 26 2 6 2 3 6" xfId="11062" xr:uid="{B2965B5A-E266-4111-B6B1-D2EF08C14EC7}"/>
    <cellStyle name="Normal 26 2 6 2 3 7" xfId="12952" xr:uid="{33404B4C-5397-40DE-96FA-969C4C1D3AAE}"/>
    <cellStyle name="Normal 26 2 6 2 3 8" xfId="14842" xr:uid="{1029ECBE-9429-4AF3-98B3-11CCBF7A8B64}"/>
    <cellStyle name="Normal 26 2 6 2 3 9" xfId="16732" xr:uid="{8843E478-9614-442C-9154-FE975D4050E1}"/>
    <cellStyle name="Normal 26 2 6 2 4" xfId="2242" xr:uid="{8D5112B3-C78B-497F-838C-F6BA58B9A1A5}"/>
    <cellStyle name="Normal 26 2 6 2 5" xfId="4132" xr:uid="{657CD341-0D47-427A-BD33-45CFD0D1E44B}"/>
    <cellStyle name="Normal 26 2 6 2 6" xfId="6022" xr:uid="{1FD274C4-B8D6-499F-957F-FE3BF6BF033A}"/>
    <cellStyle name="Normal 26 2 6 2 7" xfId="7912" xr:uid="{004DC355-734F-4CF4-BCB3-6D025BB623C2}"/>
    <cellStyle name="Normal 26 2 6 2 8" xfId="9802" xr:uid="{4FF4E59D-899A-4C9A-8A12-5F2D67CF784F}"/>
    <cellStyle name="Normal 26 2 6 2 9" xfId="11692" xr:uid="{37C8FF62-332F-4126-A825-F65D58E876D4}"/>
    <cellStyle name="Normal 26 2 6 20" xfId="28492" xr:uid="{57CF7ECB-02E0-45C3-B15D-26368818EBD9}"/>
    <cellStyle name="Normal 26 2 6 21" xfId="30382" xr:uid="{5F44113F-20DE-4A56-AFB1-23AAC2B21A2B}"/>
    <cellStyle name="Normal 26 2 6 22" xfId="32272" xr:uid="{199C03A2-1B6A-449D-8383-31579A37A623}"/>
    <cellStyle name="Normal 26 2 6 23" xfId="34162" xr:uid="{497FB5B8-3540-4BDD-B587-074748646F5B}"/>
    <cellStyle name="Normal 26 2 6 24" xfId="36052" xr:uid="{87DEA833-2E38-477F-9EA8-D903F76493D9}"/>
    <cellStyle name="Normal 26 2 6 25" xfId="37942" xr:uid="{21BD280A-58D7-4B54-AC85-9AB47DAE3494}"/>
    <cellStyle name="Normal 26 2 6 26" xfId="39833" xr:uid="{FD044519-1FF8-43D0-B287-6357E92135AA}"/>
    <cellStyle name="Normal 26 2 6 3" xfId="562" xr:uid="{827C5AB6-C211-4E91-BE29-679B43DCEA3C}"/>
    <cellStyle name="Normal 26 2 6 3 10" xfId="13792" xr:uid="{72F673ED-45EB-4E06-8AA9-9B15403D7BE1}"/>
    <cellStyle name="Normal 26 2 6 3 11" xfId="15682" xr:uid="{AE262088-C8EE-4870-AA3F-1EC999005499}"/>
    <cellStyle name="Normal 26 2 6 3 12" xfId="17572" xr:uid="{C19144D0-DE08-40CA-A17C-303844B2A579}"/>
    <cellStyle name="Normal 26 2 6 3 13" xfId="19462" xr:uid="{41FFA92B-9339-4DCE-833B-96480BBEF700}"/>
    <cellStyle name="Normal 26 2 6 3 14" xfId="21352" xr:uid="{D1A661BA-5CD8-4F26-8D05-F172A0C94224}"/>
    <cellStyle name="Normal 26 2 6 3 15" xfId="23242" xr:uid="{E69086DB-FDBC-4972-8C52-268345FE67EF}"/>
    <cellStyle name="Normal 26 2 6 3 16" xfId="25132" xr:uid="{01F2AD65-7B96-4186-AEF3-1C4D215E0078}"/>
    <cellStyle name="Normal 26 2 6 3 17" xfId="27022" xr:uid="{804BCCA4-C084-4EF0-A2EC-171431EED6D4}"/>
    <cellStyle name="Normal 26 2 6 3 18" xfId="28912" xr:uid="{C23295E6-9CA7-466D-9933-6A7A96181CD8}"/>
    <cellStyle name="Normal 26 2 6 3 19" xfId="30802" xr:uid="{9DC2F699-64D0-437D-B646-9F1CE6E74F04}"/>
    <cellStyle name="Normal 26 2 6 3 2" xfId="1192" xr:uid="{94354730-EB91-44EC-B053-3ED515FE322F}"/>
    <cellStyle name="Normal 26 2 6 3 2 10" xfId="18202" xr:uid="{505BB281-6E2D-4B9F-959D-C7AABBD1CD08}"/>
    <cellStyle name="Normal 26 2 6 3 2 11" xfId="20092" xr:uid="{B6D4AA8A-A1CF-4F91-A547-EB5D872289E1}"/>
    <cellStyle name="Normal 26 2 6 3 2 12" xfId="21982" xr:uid="{714EA635-3F71-4D0A-8B92-2BEE2D796F97}"/>
    <cellStyle name="Normal 26 2 6 3 2 13" xfId="23872" xr:uid="{CD3F1DDE-C2D6-44EB-909F-394C756FC665}"/>
    <cellStyle name="Normal 26 2 6 3 2 14" xfId="25762" xr:uid="{EB466CA7-2C3C-499E-81DF-3393FC97726B}"/>
    <cellStyle name="Normal 26 2 6 3 2 15" xfId="27652" xr:uid="{ECACA9FA-FA2B-4784-B85B-10896F79ED41}"/>
    <cellStyle name="Normal 26 2 6 3 2 16" xfId="29542" xr:uid="{FD16D5B0-ECAE-4087-BA91-B8782F84B063}"/>
    <cellStyle name="Normal 26 2 6 3 2 17" xfId="31432" xr:uid="{F85406F6-5EAC-44D8-9B7D-EC77559D4256}"/>
    <cellStyle name="Normal 26 2 6 3 2 18" xfId="33322" xr:uid="{0E2AA0A4-0B26-4425-9596-E5852C16711B}"/>
    <cellStyle name="Normal 26 2 6 3 2 19" xfId="35212" xr:uid="{5A5EF60E-5657-454C-9CB8-27BAF68DDD24}"/>
    <cellStyle name="Normal 26 2 6 3 2 2" xfId="3082" xr:uid="{DCA625E5-C36D-4014-B49C-DAE5307D3E1E}"/>
    <cellStyle name="Normal 26 2 6 3 2 20" xfId="37102" xr:uid="{E43F0094-2202-4D19-BC5A-5FCE1C7A65F3}"/>
    <cellStyle name="Normal 26 2 6 3 2 21" xfId="38992" xr:uid="{CC9D9693-2BC3-4008-8CE8-67742603D199}"/>
    <cellStyle name="Normal 26 2 6 3 2 22" xfId="40883" xr:uid="{C92CB3E5-BAC2-433A-8967-7ED605535B8B}"/>
    <cellStyle name="Normal 26 2 6 3 2 3" xfId="4972" xr:uid="{E1398AE4-9B02-4512-AFF8-15943B8D2F9C}"/>
    <cellStyle name="Normal 26 2 6 3 2 4" xfId="6862" xr:uid="{970F80EA-74D2-4F9F-AB63-77CEF484A6B6}"/>
    <cellStyle name="Normal 26 2 6 3 2 5" xfId="8752" xr:uid="{5C5FB302-63F0-48FE-BCA7-4AFEA0D6C9BC}"/>
    <cellStyle name="Normal 26 2 6 3 2 6" xfId="10642" xr:uid="{61B3A1AC-D714-4E39-AC13-5488263F7F34}"/>
    <cellStyle name="Normal 26 2 6 3 2 7" xfId="12532" xr:uid="{43E517F4-9AD3-41B9-B187-D7C51DB4B84F}"/>
    <cellStyle name="Normal 26 2 6 3 2 8" xfId="14422" xr:uid="{F98B8BFC-A0C7-4819-BA5D-6DEA314B190D}"/>
    <cellStyle name="Normal 26 2 6 3 2 9" xfId="16312" xr:uid="{EE47B60D-8D6D-42C3-86A2-BEBADA5AE68B}"/>
    <cellStyle name="Normal 26 2 6 3 20" xfId="32692" xr:uid="{FF736ADF-EE8E-4EEB-A072-BB9440EAD2D0}"/>
    <cellStyle name="Normal 26 2 6 3 21" xfId="34582" xr:uid="{9689D294-0E38-4E2D-9ACF-9CF15A605E61}"/>
    <cellStyle name="Normal 26 2 6 3 22" xfId="36472" xr:uid="{A828636C-415D-479B-9570-FFAB0A74511B}"/>
    <cellStyle name="Normal 26 2 6 3 23" xfId="38362" xr:uid="{73DAD46F-1A81-45B0-9BF6-D226399B9F24}"/>
    <cellStyle name="Normal 26 2 6 3 24" xfId="40253" xr:uid="{CE372A02-35EE-4EF7-9B79-D6BBF66979FD}"/>
    <cellStyle name="Normal 26 2 6 3 3" xfId="1822" xr:uid="{12E72698-6901-470B-AC90-82FB7F2D9B6C}"/>
    <cellStyle name="Normal 26 2 6 3 3 10" xfId="18832" xr:uid="{550B6803-E6E7-4D6D-8B91-E16DAE28CD2C}"/>
    <cellStyle name="Normal 26 2 6 3 3 11" xfId="20722" xr:uid="{CE3A1693-D713-4DFA-97EE-2858C42058C5}"/>
    <cellStyle name="Normal 26 2 6 3 3 12" xfId="22612" xr:uid="{1B9D15FA-1EA0-44E6-A730-335D97B4C3E7}"/>
    <cellStyle name="Normal 26 2 6 3 3 13" xfId="24502" xr:uid="{1F6EDBAE-8EF2-40B4-BB8D-2B9C98E84C97}"/>
    <cellStyle name="Normal 26 2 6 3 3 14" xfId="26392" xr:uid="{320C3B8E-7DFE-489F-8F5C-E65E2C60E9AE}"/>
    <cellStyle name="Normal 26 2 6 3 3 15" xfId="28282" xr:uid="{CADDF33E-7C15-40F5-8379-DF7C43A879E0}"/>
    <cellStyle name="Normal 26 2 6 3 3 16" xfId="30172" xr:uid="{211C32B0-9985-4126-9ADF-FC1B67A92ADC}"/>
    <cellStyle name="Normal 26 2 6 3 3 17" xfId="32062" xr:uid="{8AA64EFF-4121-4BD5-A146-63179B12CF8A}"/>
    <cellStyle name="Normal 26 2 6 3 3 18" xfId="33952" xr:uid="{20BBF779-3AA0-4301-A113-E48DC4838F71}"/>
    <cellStyle name="Normal 26 2 6 3 3 19" xfId="35842" xr:uid="{0347D521-3138-4C02-8DDE-12DEEC536475}"/>
    <cellStyle name="Normal 26 2 6 3 3 2" xfId="3712" xr:uid="{7DA51D51-3DCD-4552-B98E-2A904A981BC4}"/>
    <cellStyle name="Normal 26 2 6 3 3 20" xfId="37732" xr:uid="{5359A82F-25DD-437A-9BEE-9D9AFABD190E}"/>
    <cellStyle name="Normal 26 2 6 3 3 21" xfId="39622" xr:uid="{21953762-ED80-4FEA-A49E-620A87B590F8}"/>
    <cellStyle name="Normal 26 2 6 3 3 22" xfId="41513" xr:uid="{488C7E53-E1A3-402D-B179-5EBA5EAEA214}"/>
    <cellStyle name="Normal 26 2 6 3 3 3" xfId="5602" xr:uid="{BB36C1D6-C937-4C7E-B6D6-6FD1FB21BE4E}"/>
    <cellStyle name="Normal 26 2 6 3 3 4" xfId="7492" xr:uid="{94CD6274-8F6A-4B39-8227-B20C5578C7C9}"/>
    <cellStyle name="Normal 26 2 6 3 3 5" xfId="9382" xr:uid="{4AA686CA-AA25-4869-8036-FA42ED04A873}"/>
    <cellStyle name="Normal 26 2 6 3 3 6" xfId="11272" xr:uid="{C15B76BD-A737-4AE7-A2F0-10A3777608DF}"/>
    <cellStyle name="Normal 26 2 6 3 3 7" xfId="13162" xr:uid="{0C1B16AB-AFC4-4F1A-BC31-FE8157525531}"/>
    <cellStyle name="Normal 26 2 6 3 3 8" xfId="15052" xr:uid="{27BD367F-1870-40BF-AF50-3E2B346600F1}"/>
    <cellStyle name="Normal 26 2 6 3 3 9" xfId="16942" xr:uid="{4BE529F2-84C3-46C8-A672-4FD5859EC4A0}"/>
    <cellStyle name="Normal 26 2 6 3 4" xfId="2452" xr:uid="{35363DA2-08C3-4E60-88D1-1CA52A51C3F4}"/>
    <cellStyle name="Normal 26 2 6 3 5" xfId="4342" xr:uid="{7D446DB7-3C55-4BDE-AABE-4C457DC63811}"/>
    <cellStyle name="Normal 26 2 6 3 6" xfId="6232" xr:uid="{59DB3FD9-4DC5-4A69-A813-958CBB41DCC6}"/>
    <cellStyle name="Normal 26 2 6 3 7" xfId="8122" xr:uid="{9321995C-9041-4E83-8D71-D178E68797F0}"/>
    <cellStyle name="Normal 26 2 6 3 8" xfId="10012" xr:uid="{DB3480DA-EF72-4E00-A21C-0D44C6390FF6}"/>
    <cellStyle name="Normal 26 2 6 3 9" xfId="11902" xr:uid="{6953B4C4-231B-4BF7-97D0-5682EC28C06E}"/>
    <cellStyle name="Normal 26 2 6 4" xfId="772" xr:uid="{022C3FB8-78EF-461A-9863-02B790546B53}"/>
    <cellStyle name="Normal 26 2 6 4 10" xfId="17782" xr:uid="{A0A70AE9-A716-42BE-B083-DB137CCB5433}"/>
    <cellStyle name="Normal 26 2 6 4 11" xfId="19672" xr:uid="{9B3EA130-2EA2-4600-8E4B-AA9AC3EF8FC4}"/>
    <cellStyle name="Normal 26 2 6 4 12" xfId="21562" xr:uid="{174B4901-F86E-416F-A639-72796126941E}"/>
    <cellStyle name="Normal 26 2 6 4 13" xfId="23452" xr:uid="{394E558C-4D98-4512-A0F5-ADDEC6518BCD}"/>
    <cellStyle name="Normal 26 2 6 4 14" xfId="25342" xr:uid="{3149955E-5A68-4ABA-B2F4-CB6DED4F5621}"/>
    <cellStyle name="Normal 26 2 6 4 15" xfId="27232" xr:uid="{FA80E858-1777-4B6A-9EF0-A83E126BA4E8}"/>
    <cellStyle name="Normal 26 2 6 4 16" xfId="29122" xr:uid="{28D0A5CB-06C8-420C-BAD3-C8D8C171081B}"/>
    <cellStyle name="Normal 26 2 6 4 17" xfId="31012" xr:uid="{F06BD9A8-D29D-4330-86B8-C941F3438D62}"/>
    <cellStyle name="Normal 26 2 6 4 18" xfId="32902" xr:uid="{19C32669-DA36-4111-BD57-19B3D9995F84}"/>
    <cellStyle name="Normal 26 2 6 4 19" xfId="34792" xr:uid="{5217A247-4DC3-411E-A409-10FCC6091090}"/>
    <cellStyle name="Normal 26 2 6 4 2" xfId="2662" xr:uid="{6C37B174-7A79-47ED-A40B-92A9B5F066B8}"/>
    <cellStyle name="Normal 26 2 6 4 20" xfId="36682" xr:uid="{734FB55F-8FFD-40D2-92BA-10FF3CE9B822}"/>
    <cellStyle name="Normal 26 2 6 4 21" xfId="38572" xr:uid="{38DA83C0-EBC0-4B67-B986-3E4993B4576E}"/>
    <cellStyle name="Normal 26 2 6 4 22" xfId="40463" xr:uid="{E214080F-8136-4962-BE09-9776159E7423}"/>
    <cellStyle name="Normal 26 2 6 4 3" xfId="4552" xr:uid="{778F6C8E-FD90-4ACD-A6FF-B4A671394835}"/>
    <cellStyle name="Normal 26 2 6 4 4" xfId="6442" xr:uid="{3847E83D-7115-4027-8342-BEF525ADA1E3}"/>
    <cellStyle name="Normal 26 2 6 4 5" xfId="8332" xr:uid="{6A98876B-2961-454A-9D69-F9114E50A006}"/>
    <cellStyle name="Normal 26 2 6 4 6" xfId="10222" xr:uid="{70EBA0F5-D359-417E-B859-927A58D2F874}"/>
    <cellStyle name="Normal 26 2 6 4 7" xfId="12112" xr:uid="{2F9D6E4A-E471-4D72-AB58-72CD78EB077B}"/>
    <cellStyle name="Normal 26 2 6 4 8" xfId="14002" xr:uid="{2DC28193-E644-4C91-AC42-C45B6C0B9F8A}"/>
    <cellStyle name="Normal 26 2 6 4 9" xfId="15892" xr:uid="{9A9BB4EE-3EF4-45AB-A794-5E6D118F126B}"/>
    <cellStyle name="Normal 26 2 6 5" xfId="1402" xr:uid="{2C95D1FC-C86E-4F5C-AF75-E1CC9E75F5C4}"/>
    <cellStyle name="Normal 26 2 6 5 10" xfId="18412" xr:uid="{3D0DEBCC-1835-4B4B-A7C0-B484C6F5445F}"/>
    <cellStyle name="Normal 26 2 6 5 11" xfId="20302" xr:uid="{54D683A0-74F9-4A5F-8A1A-B9B6A1296A8D}"/>
    <cellStyle name="Normal 26 2 6 5 12" xfId="22192" xr:uid="{8E1E1CCE-3F85-4160-900F-B199DEE26F98}"/>
    <cellStyle name="Normal 26 2 6 5 13" xfId="24082" xr:uid="{C039C2D0-EB38-4196-8E3F-13345569C9E1}"/>
    <cellStyle name="Normal 26 2 6 5 14" xfId="25972" xr:uid="{867D4F58-9CD9-4BD1-9FE1-EE334D0CDCB6}"/>
    <cellStyle name="Normal 26 2 6 5 15" xfId="27862" xr:uid="{0DF2841C-9C31-4AE1-98D5-33E6E393FE22}"/>
    <cellStyle name="Normal 26 2 6 5 16" xfId="29752" xr:uid="{3BE6CD9A-E4EC-4C5E-A452-070605928FB2}"/>
    <cellStyle name="Normal 26 2 6 5 17" xfId="31642" xr:uid="{B0F9092F-2109-4A8F-821D-7B3858C52DB1}"/>
    <cellStyle name="Normal 26 2 6 5 18" xfId="33532" xr:uid="{785C6764-1F2C-4EF3-9E80-385EFD33DF6B}"/>
    <cellStyle name="Normal 26 2 6 5 19" xfId="35422" xr:uid="{8D82045B-3D01-4FFC-9C47-439A0DC8C1FE}"/>
    <cellStyle name="Normal 26 2 6 5 2" xfId="3292" xr:uid="{4E9BB050-3C80-406C-B056-4647FAA707A3}"/>
    <cellStyle name="Normal 26 2 6 5 20" xfId="37312" xr:uid="{B9A737B6-50AC-4B42-B3E1-F4FC8A385F68}"/>
    <cellStyle name="Normal 26 2 6 5 21" xfId="39202" xr:uid="{732BC4F1-3308-4A7A-9E43-839AB2E903CE}"/>
    <cellStyle name="Normal 26 2 6 5 22" xfId="41093" xr:uid="{3D84C494-AB3D-40C5-828C-F1924F09480F}"/>
    <cellStyle name="Normal 26 2 6 5 3" xfId="5182" xr:uid="{26A5262C-ED9D-4560-A962-88B00D9E3F8B}"/>
    <cellStyle name="Normal 26 2 6 5 4" xfId="7072" xr:uid="{5B12F610-59FF-40B2-8FEE-0B19BE5C8949}"/>
    <cellStyle name="Normal 26 2 6 5 5" xfId="8962" xr:uid="{709748CF-D18B-4030-BFD0-74FAEFECC60A}"/>
    <cellStyle name="Normal 26 2 6 5 6" xfId="10852" xr:uid="{AEC47685-5C92-445E-9062-1757B145D461}"/>
    <cellStyle name="Normal 26 2 6 5 7" xfId="12742" xr:uid="{05637F40-77B4-4744-BEA7-0329F993BE4D}"/>
    <cellStyle name="Normal 26 2 6 5 8" xfId="14632" xr:uid="{9FE63300-1D3F-44E7-B832-7179AC083545}"/>
    <cellStyle name="Normal 26 2 6 5 9" xfId="16522" xr:uid="{17BF51A1-6AE8-4CDC-AC81-FE98F9119965}"/>
    <cellStyle name="Normal 26 2 6 6" xfId="2032" xr:uid="{987CC897-FE6C-4D10-BB48-549BF260D7A5}"/>
    <cellStyle name="Normal 26 2 6 7" xfId="3922" xr:uid="{E0751844-8668-4A65-BB57-C8E49D5007FF}"/>
    <cellStyle name="Normal 26 2 6 8" xfId="5812" xr:uid="{9B59942F-1D0B-4696-B588-EAC5CA56B2FC}"/>
    <cellStyle name="Normal 26 2 6 9" xfId="7702" xr:uid="{FA016698-BD77-4D67-A1AC-4D427C0125FD}"/>
    <cellStyle name="Normal 26 2 7" xfId="247" xr:uid="{2172A5F5-AACC-49A0-88E4-1CAFDA4C600B}"/>
    <cellStyle name="Normal 26 2 7 10" xfId="13477" xr:uid="{84A71262-0FD8-4AEB-8695-CCC5F53EF1FF}"/>
    <cellStyle name="Normal 26 2 7 11" xfId="15367" xr:uid="{83D32B4A-B11B-4C2D-8D07-CA27625E15C1}"/>
    <cellStyle name="Normal 26 2 7 12" xfId="17257" xr:uid="{DF073FAA-CD52-4B72-B524-EF2A614126A6}"/>
    <cellStyle name="Normal 26 2 7 13" xfId="19147" xr:uid="{99B30411-6F59-48EE-ABE8-751ACDB859B2}"/>
    <cellStyle name="Normal 26 2 7 14" xfId="21037" xr:uid="{2551ABAC-E96C-4012-A143-FF7E7A4CD880}"/>
    <cellStyle name="Normal 26 2 7 15" xfId="22927" xr:uid="{1CBA4422-C874-4B3E-B46A-963DF738C265}"/>
    <cellStyle name="Normal 26 2 7 16" xfId="24817" xr:uid="{6899F3EE-229C-41F7-87F8-CF2394ACF3B2}"/>
    <cellStyle name="Normal 26 2 7 17" xfId="26707" xr:uid="{5E7DB8C9-FA94-4D1B-9512-FB7ED9746584}"/>
    <cellStyle name="Normal 26 2 7 18" xfId="28597" xr:uid="{5904E8CE-D2FE-4535-A7E3-C0D4806B321D}"/>
    <cellStyle name="Normal 26 2 7 19" xfId="30487" xr:uid="{578F5B2D-A109-4C7B-9DCF-A468EF4F193A}"/>
    <cellStyle name="Normal 26 2 7 2" xfId="877" xr:uid="{57BE6061-41E4-442E-A0DB-C8E6677302D0}"/>
    <cellStyle name="Normal 26 2 7 2 10" xfId="17887" xr:uid="{C5C56C30-8EEE-47E5-8D88-2C545B0B8994}"/>
    <cellStyle name="Normal 26 2 7 2 11" xfId="19777" xr:uid="{86E0FA09-FFE4-4247-BD4A-A77E3259531A}"/>
    <cellStyle name="Normal 26 2 7 2 12" xfId="21667" xr:uid="{7BABDE80-CDAD-4C18-8D6D-D6B8F1ED15CE}"/>
    <cellStyle name="Normal 26 2 7 2 13" xfId="23557" xr:uid="{96CAF12D-D34F-4504-9CDC-A67E3210B759}"/>
    <cellStyle name="Normal 26 2 7 2 14" xfId="25447" xr:uid="{402AC267-5A7C-41F9-A556-7CC62EAA1F05}"/>
    <cellStyle name="Normal 26 2 7 2 15" xfId="27337" xr:uid="{4B2967FF-0BCD-4672-B4F6-8D5EDE7FE5C4}"/>
    <cellStyle name="Normal 26 2 7 2 16" xfId="29227" xr:uid="{37BA4622-F3BA-43F3-8779-371302CF3D82}"/>
    <cellStyle name="Normal 26 2 7 2 17" xfId="31117" xr:uid="{7AF6C89A-4F8B-4CBE-8553-C85C8AEAC896}"/>
    <cellStyle name="Normal 26 2 7 2 18" xfId="33007" xr:uid="{D54C8AE4-AF8A-4691-8BF3-B3E34C595073}"/>
    <cellStyle name="Normal 26 2 7 2 19" xfId="34897" xr:uid="{EC303CE0-A7B9-429D-9B38-D1ACB22FEA7A}"/>
    <cellStyle name="Normal 26 2 7 2 2" xfId="2767" xr:uid="{87397A92-2AB9-4115-9BE7-1DE5B558C207}"/>
    <cellStyle name="Normal 26 2 7 2 20" xfId="36787" xr:uid="{56DC9E72-9F66-4F88-8F7C-0499B70AFE6C}"/>
    <cellStyle name="Normal 26 2 7 2 21" xfId="38677" xr:uid="{091EE7C5-5397-412E-8FBE-0F82F122ABCE}"/>
    <cellStyle name="Normal 26 2 7 2 22" xfId="40568" xr:uid="{101DAB2C-1DDA-434A-894D-7474E0056B07}"/>
    <cellStyle name="Normal 26 2 7 2 3" xfId="4657" xr:uid="{25817353-223C-4B7A-BA25-FB360F0D01D0}"/>
    <cellStyle name="Normal 26 2 7 2 4" xfId="6547" xr:uid="{D04D46A8-0749-4265-A089-2A038A0770EF}"/>
    <cellStyle name="Normal 26 2 7 2 5" xfId="8437" xr:uid="{AA09FBC8-4A40-4B70-94CB-0627FE71CBBB}"/>
    <cellStyle name="Normal 26 2 7 2 6" xfId="10327" xr:uid="{21ECEECA-C26E-4148-B2B7-ACD6939AFE1C}"/>
    <cellStyle name="Normal 26 2 7 2 7" xfId="12217" xr:uid="{780DBEFF-0C5A-4983-A163-05B663656A1B}"/>
    <cellStyle name="Normal 26 2 7 2 8" xfId="14107" xr:uid="{119A1930-6CE3-4B8D-80C7-CB8B1E70734C}"/>
    <cellStyle name="Normal 26 2 7 2 9" xfId="15997" xr:uid="{1439FD09-A0A5-42E5-B28A-5FC20364AC71}"/>
    <cellStyle name="Normal 26 2 7 20" xfId="32377" xr:uid="{20645274-DE20-4C4F-A80E-33516EF88786}"/>
    <cellStyle name="Normal 26 2 7 21" xfId="34267" xr:uid="{F35993FA-731D-4042-9B71-AFFF8AEC19FC}"/>
    <cellStyle name="Normal 26 2 7 22" xfId="36157" xr:uid="{B3680085-5EBB-4DCE-80A7-9344678C0528}"/>
    <cellStyle name="Normal 26 2 7 23" xfId="38047" xr:uid="{E406CC4E-E868-4B9A-9C7C-964F795A9ED5}"/>
    <cellStyle name="Normal 26 2 7 24" xfId="39938" xr:uid="{6CB19FBE-C257-4ED9-9882-A7815FFD5D82}"/>
    <cellStyle name="Normal 26 2 7 3" xfId="1507" xr:uid="{4A2D8AE4-2FFB-4D55-A55D-F04AEB1938DC}"/>
    <cellStyle name="Normal 26 2 7 3 10" xfId="18517" xr:uid="{E23C61DD-3CAB-41B4-B752-B024F7F1567D}"/>
    <cellStyle name="Normal 26 2 7 3 11" xfId="20407" xr:uid="{8ECA328E-67B6-4E66-982B-AC21DEEB01D1}"/>
    <cellStyle name="Normal 26 2 7 3 12" xfId="22297" xr:uid="{6E39072D-DEA1-4432-861A-9AE37CCEDFCD}"/>
    <cellStyle name="Normal 26 2 7 3 13" xfId="24187" xr:uid="{BC69B669-E672-4B4D-9F12-2B2BA1FB0936}"/>
    <cellStyle name="Normal 26 2 7 3 14" xfId="26077" xr:uid="{1F4A0AA1-5C7D-46F0-B97C-FC0FBE16122A}"/>
    <cellStyle name="Normal 26 2 7 3 15" xfId="27967" xr:uid="{AD9968E5-85F4-4903-97F0-2E43B80769B1}"/>
    <cellStyle name="Normal 26 2 7 3 16" xfId="29857" xr:uid="{ED3E9ACE-40D7-48B6-A7D7-815F71D68CDB}"/>
    <cellStyle name="Normal 26 2 7 3 17" xfId="31747" xr:uid="{34F1E943-C050-4712-861B-E9250C784200}"/>
    <cellStyle name="Normal 26 2 7 3 18" xfId="33637" xr:uid="{D272610F-0CE3-4FA6-BD6B-6E5041A977A1}"/>
    <cellStyle name="Normal 26 2 7 3 19" xfId="35527" xr:uid="{13096E1A-3393-4A36-B548-3ADE0D60F642}"/>
    <cellStyle name="Normal 26 2 7 3 2" xfId="3397" xr:uid="{F847DFB0-35BD-4A56-8F36-1D79A810E99D}"/>
    <cellStyle name="Normal 26 2 7 3 20" xfId="37417" xr:uid="{B3783AC2-B0BD-4BA9-91A1-7DFAB43667D9}"/>
    <cellStyle name="Normal 26 2 7 3 21" xfId="39307" xr:uid="{EB306059-E84F-43C3-A50F-39D7AB561CBC}"/>
    <cellStyle name="Normal 26 2 7 3 22" xfId="41198" xr:uid="{C9652B41-D609-43E3-A21D-33CAFDE66CD9}"/>
    <cellStyle name="Normal 26 2 7 3 3" xfId="5287" xr:uid="{391DD1AB-0D55-4F3C-BAB7-95DD46C5EC84}"/>
    <cellStyle name="Normal 26 2 7 3 4" xfId="7177" xr:uid="{7F6639C7-24F5-4F48-A12B-5E95D7B268E3}"/>
    <cellStyle name="Normal 26 2 7 3 5" xfId="9067" xr:uid="{A1ABAB49-FBEA-4431-92C9-51BE4183C2D4}"/>
    <cellStyle name="Normal 26 2 7 3 6" xfId="10957" xr:uid="{8A607F73-25C2-4D12-8A10-1527502715DA}"/>
    <cellStyle name="Normal 26 2 7 3 7" xfId="12847" xr:uid="{C358DF78-6E57-446D-9434-90A579EF0972}"/>
    <cellStyle name="Normal 26 2 7 3 8" xfId="14737" xr:uid="{22078537-57F4-4C76-98EA-3FD9396C498A}"/>
    <cellStyle name="Normal 26 2 7 3 9" xfId="16627" xr:uid="{F962CE49-829B-4308-9858-C8BD9A7F0937}"/>
    <cellStyle name="Normal 26 2 7 4" xfId="2137" xr:uid="{309AB55E-CD30-4CE0-81D4-D6C8A7384203}"/>
    <cellStyle name="Normal 26 2 7 5" xfId="4027" xr:uid="{B7ABFF74-C30E-492F-93B5-EBAA85E976A3}"/>
    <cellStyle name="Normal 26 2 7 6" xfId="5917" xr:uid="{D03A3E92-3FEB-47BC-8255-5EBD806CE78A}"/>
    <cellStyle name="Normal 26 2 7 7" xfId="7807" xr:uid="{3C336D43-ACC7-4D1B-B61F-A446B5DBBDC6}"/>
    <cellStyle name="Normal 26 2 7 8" xfId="9697" xr:uid="{761691E9-FA54-4374-81DB-CECB9EFB4A51}"/>
    <cellStyle name="Normal 26 2 7 9" xfId="11587" xr:uid="{ACE114B3-D4D0-4DD8-9CA0-3C231448DCB6}"/>
    <cellStyle name="Normal 26 2 8" xfId="457" xr:uid="{69C430AF-E6C5-4374-8E6E-2740B209A37B}"/>
    <cellStyle name="Normal 26 2 8 10" xfId="13687" xr:uid="{A7F5B87F-D01B-457C-A1B5-00CE2E283493}"/>
    <cellStyle name="Normal 26 2 8 11" xfId="15577" xr:uid="{BA332041-CA80-4FC2-883D-C5A204B6C340}"/>
    <cellStyle name="Normal 26 2 8 12" xfId="17467" xr:uid="{A23DA223-FF48-4F1B-8530-627DD4776F1E}"/>
    <cellStyle name="Normal 26 2 8 13" xfId="19357" xr:uid="{3ACB2104-AAA2-4B27-98A9-8AF278EC2134}"/>
    <cellStyle name="Normal 26 2 8 14" xfId="21247" xr:uid="{465BE865-F374-42DD-9684-2BB34038D2B9}"/>
    <cellStyle name="Normal 26 2 8 15" xfId="23137" xr:uid="{8A371044-036A-4296-BB2C-C83F5C73AF97}"/>
    <cellStyle name="Normal 26 2 8 16" xfId="25027" xr:uid="{5D2AB5C6-1D61-44E8-8486-31F5DFACA2CA}"/>
    <cellStyle name="Normal 26 2 8 17" xfId="26917" xr:uid="{731435B7-A667-4E29-B43A-7E661B09513B}"/>
    <cellStyle name="Normal 26 2 8 18" xfId="28807" xr:uid="{12C0BAB0-FABA-42E8-A1B7-B7A11116529F}"/>
    <cellStyle name="Normal 26 2 8 19" xfId="30697" xr:uid="{7690D34B-EBAB-4831-A638-EB5C0E614F52}"/>
    <cellStyle name="Normal 26 2 8 2" xfId="1087" xr:uid="{94FCE89E-5F9E-4773-A7B2-9A78F7FE07F8}"/>
    <cellStyle name="Normal 26 2 8 2 10" xfId="18097" xr:uid="{549986FA-8BB0-4DD7-AB69-AA00D65D5242}"/>
    <cellStyle name="Normal 26 2 8 2 11" xfId="19987" xr:uid="{EF935D6E-F472-419F-9735-F0B124D19F7D}"/>
    <cellStyle name="Normal 26 2 8 2 12" xfId="21877" xr:uid="{77B0435C-2E5C-46F4-A8F8-AD7C90C9CE88}"/>
    <cellStyle name="Normal 26 2 8 2 13" xfId="23767" xr:uid="{266CF0FA-E071-4C1D-AD10-C32AC5DBA9C2}"/>
    <cellStyle name="Normal 26 2 8 2 14" xfId="25657" xr:uid="{7532CEFF-A2B7-43BE-BAD7-82DA34F13303}"/>
    <cellStyle name="Normal 26 2 8 2 15" xfId="27547" xr:uid="{DD13924C-976E-4442-9B96-9ECA27BB9925}"/>
    <cellStyle name="Normal 26 2 8 2 16" xfId="29437" xr:uid="{D0FB2FC8-49E1-4A95-BE63-B3ACA12A75F0}"/>
    <cellStyle name="Normal 26 2 8 2 17" xfId="31327" xr:uid="{E4E61C1B-4064-4D7E-B85C-A3D3CA3A9437}"/>
    <cellStyle name="Normal 26 2 8 2 18" xfId="33217" xr:uid="{98E7BCAD-2806-4AE3-A5E8-4B157CF3C2A1}"/>
    <cellStyle name="Normal 26 2 8 2 19" xfId="35107" xr:uid="{CB61B390-0BC4-466D-BDBA-336F4FD05E6C}"/>
    <cellStyle name="Normal 26 2 8 2 2" xfId="2977" xr:uid="{C00F9FC9-29F0-4F97-AB8C-751CA3210C34}"/>
    <cellStyle name="Normal 26 2 8 2 20" xfId="36997" xr:uid="{E0C54421-1456-4EB4-8B01-12EEE876E7E0}"/>
    <cellStyle name="Normal 26 2 8 2 21" xfId="38887" xr:uid="{575C8D06-4EE6-4471-B816-8276D94F2480}"/>
    <cellStyle name="Normal 26 2 8 2 22" xfId="40778" xr:uid="{60EDB01E-37B1-4319-A54C-40ACAC0BE29F}"/>
    <cellStyle name="Normal 26 2 8 2 3" xfId="4867" xr:uid="{9ADD3322-5299-4B9F-8894-0136BF4C55ED}"/>
    <cellStyle name="Normal 26 2 8 2 4" xfId="6757" xr:uid="{EBA7F59C-ADA6-4E8D-8F90-1B81D2B0C5B9}"/>
    <cellStyle name="Normal 26 2 8 2 5" xfId="8647" xr:uid="{1A1D7618-CA48-4C5D-B3F3-A6287888BC80}"/>
    <cellStyle name="Normal 26 2 8 2 6" xfId="10537" xr:uid="{2F8554DA-BC57-4A83-9F58-0E3FD9A88B73}"/>
    <cellStyle name="Normal 26 2 8 2 7" xfId="12427" xr:uid="{29C7FCAE-10DF-4034-9075-74111046FAC8}"/>
    <cellStyle name="Normal 26 2 8 2 8" xfId="14317" xr:uid="{B9CCB9EC-EA5B-4B6B-8E94-7339578FC996}"/>
    <cellStyle name="Normal 26 2 8 2 9" xfId="16207" xr:uid="{AF18A200-08C3-4E32-AC36-C6456903F310}"/>
    <cellStyle name="Normal 26 2 8 20" xfId="32587" xr:uid="{BB48506F-F9BD-4B07-9CB2-B29D9B5D28E1}"/>
    <cellStyle name="Normal 26 2 8 21" xfId="34477" xr:uid="{8B14EEDA-216B-4ADF-A397-26170842F72B}"/>
    <cellStyle name="Normal 26 2 8 22" xfId="36367" xr:uid="{33A7C9A7-FBE5-4C14-9F38-A2E4920E49B0}"/>
    <cellStyle name="Normal 26 2 8 23" xfId="38257" xr:uid="{2573F5DE-C511-4168-A537-6B48E8C5AC7A}"/>
    <cellStyle name="Normal 26 2 8 24" xfId="40148" xr:uid="{9D5B4015-E7B9-4456-9970-A9B7B616C4EC}"/>
    <cellStyle name="Normal 26 2 8 3" xfId="1717" xr:uid="{93CB9EF0-AC69-4ACB-AFBB-CC7AA3D63D0D}"/>
    <cellStyle name="Normal 26 2 8 3 10" xfId="18727" xr:uid="{20B00599-3324-45D8-ADC9-21CBA5511162}"/>
    <cellStyle name="Normal 26 2 8 3 11" xfId="20617" xr:uid="{F5D22DD9-2897-4586-B7E0-C3B3742C710B}"/>
    <cellStyle name="Normal 26 2 8 3 12" xfId="22507" xr:uid="{C00CE850-FB5C-46C9-880F-4AA18CBA9AAD}"/>
    <cellStyle name="Normal 26 2 8 3 13" xfId="24397" xr:uid="{E90DF111-637B-4A63-88B8-32E740905ED9}"/>
    <cellStyle name="Normal 26 2 8 3 14" xfId="26287" xr:uid="{5E0D3E6B-F3DC-46FE-87B7-7DBB26E373D8}"/>
    <cellStyle name="Normal 26 2 8 3 15" xfId="28177" xr:uid="{0B70EAE9-E21C-40AF-BB99-31BEE51875E0}"/>
    <cellStyle name="Normal 26 2 8 3 16" xfId="30067" xr:uid="{7AFE4952-0028-43B9-A607-EE96A45D4502}"/>
    <cellStyle name="Normal 26 2 8 3 17" xfId="31957" xr:uid="{3F01A51E-441D-4924-8F40-503B82636FDE}"/>
    <cellStyle name="Normal 26 2 8 3 18" xfId="33847" xr:uid="{5ECE172E-E37D-48C1-BB6E-ADC943DC40BA}"/>
    <cellStyle name="Normal 26 2 8 3 19" xfId="35737" xr:uid="{9F24C98C-733F-4DC7-985C-29225B1B4968}"/>
    <cellStyle name="Normal 26 2 8 3 2" xfId="3607" xr:uid="{2B428C7D-C0A2-4C03-A18F-7E5555618261}"/>
    <cellStyle name="Normal 26 2 8 3 20" xfId="37627" xr:uid="{9271846F-FF1F-47AD-80B4-1F4D1AC6117F}"/>
    <cellStyle name="Normal 26 2 8 3 21" xfId="39517" xr:uid="{60B85946-54B1-4EE3-8B51-CDDE3272ACA1}"/>
    <cellStyle name="Normal 26 2 8 3 22" xfId="41408" xr:uid="{C893D003-E4F7-4FE3-83EB-280DAB24E191}"/>
    <cellStyle name="Normal 26 2 8 3 3" xfId="5497" xr:uid="{79A4F1E8-7FB8-4125-8D31-5D5FD027CBF7}"/>
    <cellStyle name="Normal 26 2 8 3 4" xfId="7387" xr:uid="{840C659E-D98D-4B5B-9721-DAF2927A08CD}"/>
    <cellStyle name="Normal 26 2 8 3 5" xfId="9277" xr:uid="{57E94B48-F459-4FD7-ACE6-FCFD8CEC40FD}"/>
    <cellStyle name="Normal 26 2 8 3 6" xfId="11167" xr:uid="{177FCDB1-A00F-4E20-877E-03C919456C06}"/>
    <cellStyle name="Normal 26 2 8 3 7" xfId="13057" xr:uid="{0717E919-906E-4EFF-A474-C8B27BE37D0C}"/>
    <cellStyle name="Normal 26 2 8 3 8" xfId="14947" xr:uid="{B5F0332A-279D-406C-95A9-D939401C3E23}"/>
    <cellStyle name="Normal 26 2 8 3 9" xfId="16837" xr:uid="{3ECBD9BB-19AB-41A8-B7FD-5D0E69DD2EDB}"/>
    <cellStyle name="Normal 26 2 8 4" xfId="2347" xr:uid="{E7573674-4DE1-4069-A370-B913A2AC0CAE}"/>
    <cellStyle name="Normal 26 2 8 5" xfId="4237" xr:uid="{B63839E0-75AB-4073-991E-05B4CC653368}"/>
    <cellStyle name="Normal 26 2 8 6" xfId="6127" xr:uid="{4AE4A1D1-5AF7-43B0-BF80-9F1A6881630F}"/>
    <cellStyle name="Normal 26 2 8 7" xfId="8017" xr:uid="{31432FFC-5EBA-4428-B465-E618A8CA9C72}"/>
    <cellStyle name="Normal 26 2 8 8" xfId="9907" xr:uid="{415CD15D-36B2-4493-8607-457CE402FFDD}"/>
    <cellStyle name="Normal 26 2 8 9" xfId="11797" xr:uid="{69C6A3D4-04EB-49CE-BF04-92AD4AFC0A3E}"/>
    <cellStyle name="Normal 26 2 9" xfId="667" xr:uid="{ECF8A8B8-BF3F-4567-A034-CE0BF5E420BE}"/>
    <cellStyle name="Normal 26 2 9 10" xfId="17677" xr:uid="{A09C4F2A-6213-4487-9309-4F0DC3B1AB5A}"/>
    <cellStyle name="Normal 26 2 9 11" xfId="19567" xr:uid="{9AE72E2F-B84F-4B4B-A782-22CC442B7FD1}"/>
    <cellStyle name="Normal 26 2 9 12" xfId="21457" xr:uid="{5E0F8AC4-B481-420C-9AEF-6E555D7083AF}"/>
    <cellStyle name="Normal 26 2 9 13" xfId="23347" xr:uid="{EBB73259-8AE9-4060-82AA-81468C5F19CA}"/>
    <cellStyle name="Normal 26 2 9 14" xfId="25237" xr:uid="{5A2796D8-77B7-4F9F-BA93-FEC125F62719}"/>
    <cellStyle name="Normal 26 2 9 15" xfId="27127" xr:uid="{5C5EE3D6-B00E-4066-B648-34E03938D7AE}"/>
    <cellStyle name="Normal 26 2 9 16" xfId="29017" xr:uid="{12F232C6-A104-4157-8E38-A0F15CEB4057}"/>
    <cellStyle name="Normal 26 2 9 17" xfId="30907" xr:uid="{A0F9B1DD-B28D-4825-8A19-3CF398D537B1}"/>
    <cellStyle name="Normal 26 2 9 18" xfId="32797" xr:uid="{91BD9FF8-73C8-49B5-8CD5-9C6522B8A1F6}"/>
    <cellStyle name="Normal 26 2 9 19" xfId="34687" xr:uid="{EA070A34-DF9F-484C-9C1A-F3022AD3D682}"/>
    <cellStyle name="Normal 26 2 9 2" xfId="2557" xr:uid="{2E224D01-744A-4345-82B7-147C4B3D995E}"/>
    <cellStyle name="Normal 26 2 9 20" xfId="36577" xr:uid="{1CFD84E4-2CBD-4219-8479-B3028E92EF70}"/>
    <cellStyle name="Normal 26 2 9 21" xfId="38467" xr:uid="{8B27B7A5-2099-4B18-A894-9E28CE50AE5C}"/>
    <cellStyle name="Normal 26 2 9 22" xfId="40358" xr:uid="{C0F41133-740F-44C6-AF46-A363EEB28BDF}"/>
    <cellStyle name="Normal 26 2 9 3" xfId="4447" xr:uid="{6CED1735-5FF9-4F20-9872-19DFE8565F2A}"/>
    <cellStyle name="Normal 26 2 9 4" xfId="6337" xr:uid="{790C1E15-54C6-487A-9E96-1F84652CAD2E}"/>
    <cellStyle name="Normal 26 2 9 5" xfId="8227" xr:uid="{BA74CE29-CBF6-41B9-B1AE-F263DF490378}"/>
    <cellStyle name="Normal 26 2 9 6" xfId="10117" xr:uid="{094E2916-052B-4539-9F4F-562BABA9344A}"/>
    <cellStyle name="Normal 26 2 9 7" xfId="12007" xr:uid="{0E3E741F-82EF-4189-B85F-FBEEA830EBE2}"/>
    <cellStyle name="Normal 26 2 9 8" xfId="13897" xr:uid="{9857E934-6364-44A2-AF5E-D19F5BA4C5D4}"/>
    <cellStyle name="Normal 26 2 9 9" xfId="15787" xr:uid="{140B81C1-693F-4AEE-A0D8-2C3AAA5FDC79}"/>
    <cellStyle name="Normal 26 20" xfId="17046" xr:uid="{3C17A0F2-2D93-4ABE-A769-227BCF8C41D2}"/>
    <cellStyle name="Normal 26 21" xfId="18936" xr:uid="{EAA9C92C-9ADC-4D02-9B28-BF2568364E10}"/>
    <cellStyle name="Normal 26 22" xfId="20826" xr:uid="{314563CF-266E-4956-91BF-DF5923D49CC6}"/>
    <cellStyle name="Normal 26 23" xfId="22716" xr:uid="{DC9A7B6A-87AE-48A4-A58E-E65B21F115DF}"/>
    <cellStyle name="Normal 26 24" xfId="24606" xr:uid="{ACFD57DC-C5B2-48FE-AAF1-2F0905F62776}"/>
    <cellStyle name="Normal 26 25" xfId="26496" xr:uid="{257546B6-20BE-40E2-B1BA-32B04A2AD21D}"/>
    <cellStyle name="Normal 26 26" xfId="28386" xr:uid="{0CFD6560-47FC-45BC-9182-BAE3411AE039}"/>
    <cellStyle name="Normal 26 27" xfId="30276" xr:uid="{CAE19510-E718-474A-B032-A6CAAA46A969}"/>
    <cellStyle name="Normal 26 28" xfId="32166" xr:uid="{574F8657-C181-46E9-9E4C-BC2BDF68D20C}"/>
    <cellStyle name="Normal 26 29" xfId="34056" xr:uid="{8D5E6E97-05DA-4834-A6E8-0CDA71FCFB5B}"/>
    <cellStyle name="Normal 26 3" xfId="19" xr:uid="{48E6DAB5-0F12-4F73-B013-54D1BC9A55A0}"/>
    <cellStyle name="Normal 26 3 10" xfId="7601" xr:uid="{51E33B54-1B52-4AF7-8A7F-ED9A504002DB}"/>
    <cellStyle name="Normal 26 3 11" xfId="9491" xr:uid="{400C7632-B644-42D0-B73A-50968B1113B4}"/>
    <cellStyle name="Normal 26 3 12" xfId="11381" xr:uid="{61FE2A4E-225F-413F-A547-1946731D40F5}"/>
    <cellStyle name="Normal 26 3 13" xfId="13271" xr:uid="{DE3E5836-7E66-4A70-8CB4-CCB5FEEF995F}"/>
    <cellStyle name="Normal 26 3 14" xfId="15161" xr:uid="{50ABDA52-D0ED-45B9-A957-96F7E3B152DA}"/>
    <cellStyle name="Normal 26 3 15" xfId="17051" xr:uid="{E3CD1000-42FD-48A7-90AC-845620144390}"/>
    <cellStyle name="Normal 26 3 16" xfId="18941" xr:uid="{4F07BE56-7227-4E4C-A9E0-82862DBA140F}"/>
    <cellStyle name="Normal 26 3 17" xfId="20831" xr:uid="{260FA1B9-AC70-49DF-9428-24C2574AD6A1}"/>
    <cellStyle name="Normal 26 3 18" xfId="22721" xr:uid="{0B9BA80E-E45E-49FA-8507-11E6307E9EA0}"/>
    <cellStyle name="Normal 26 3 19" xfId="24611" xr:uid="{26BDA3E1-6D9C-45CF-B589-EBB3BC5E5B2C}"/>
    <cellStyle name="Normal 26 3 2" xfId="146" xr:uid="{8549723B-2AE9-4E6C-A141-C7DB7C607EED}"/>
    <cellStyle name="Normal 26 3 2 10" xfId="9596" xr:uid="{A005A896-DDE9-4E43-B239-63A957CA8752}"/>
    <cellStyle name="Normal 26 3 2 11" xfId="11486" xr:uid="{83E4DF55-20E6-47FE-88EA-1B5FDCC62C5F}"/>
    <cellStyle name="Normal 26 3 2 12" xfId="13376" xr:uid="{B11A2AAD-25BE-4798-ACA3-9AC015872BD4}"/>
    <cellStyle name="Normal 26 3 2 13" xfId="15266" xr:uid="{A36ECDAF-2432-4C28-94C7-A9A973BA40A7}"/>
    <cellStyle name="Normal 26 3 2 14" xfId="17156" xr:uid="{737AD515-DAF1-4999-8949-46FB2AB5FC07}"/>
    <cellStyle name="Normal 26 3 2 15" xfId="19046" xr:uid="{4C70332A-5A0C-4D46-8A68-11DE0156333B}"/>
    <cellStyle name="Normal 26 3 2 16" xfId="20936" xr:uid="{0ECA4A03-A4AB-4668-B083-A621300B0FF1}"/>
    <cellStyle name="Normal 26 3 2 17" xfId="22826" xr:uid="{D06BB6AA-BF6A-4386-88BF-B887BB5DEC4F}"/>
    <cellStyle name="Normal 26 3 2 18" xfId="24716" xr:uid="{CBC5CD10-5AF5-450F-BB2C-B8368CF3E212}"/>
    <cellStyle name="Normal 26 3 2 19" xfId="26606" xr:uid="{1D75AC4C-C74E-466C-81AD-370BCE0B5FA4}"/>
    <cellStyle name="Normal 26 3 2 2" xfId="356" xr:uid="{741BE159-27A5-4AE7-B4C7-00C88FD35F88}"/>
    <cellStyle name="Normal 26 3 2 2 10" xfId="13586" xr:uid="{42E34166-2E6B-4836-BC8A-8547D67B2227}"/>
    <cellStyle name="Normal 26 3 2 2 11" xfId="15476" xr:uid="{4192853D-1774-4B76-BA70-F100A6211F1D}"/>
    <cellStyle name="Normal 26 3 2 2 12" xfId="17366" xr:uid="{0BC5409D-B381-4D23-BF21-14880A11126B}"/>
    <cellStyle name="Normal 26 3 2 2 13" xfId="19256" xr:uid="{E2BA7BA7-6D8B-4F55-BCA5-A4A0615C1CC0}"/>
    <cellStyle name="Normal 26 3 2 2 14" xfId="21146" xr:uid="{548A5512-0E5A-483D-BD17-198EA16A181C}"/>
    <cellStyle name="Normal 26 3 2 2 15" xfId="23036" xr:uid="{4B2DB256-49D0-4344-A6D6-E1B2EAA44C3C}"/>
    <cellStyle name="Normal 26 3 2 2 16" xfId="24926" xr:uid="{44206E5E-1B2B-4677-A6B9-4999C9D946F3}"/>
    <cellStyle name="Normal 26 3 2 2 17" xfId="26816" xr:uid="{1C2BDA3F-CDAB-4FF0-9E9D-45CB13D46892}"/>
    <cellStyle name="Normal 26 3 2 2 18" xfId="28706" xr:uid="{9693FB14-4529-4945-BAB8-D413AEBFE90A}"/>
    <cellStyle name="Normal 26 3 2 2 19" xfId="30596" xr:uid="{16E65A7A-A393-446A-A933-9682361B7054}"/>
    <cellStyle name="Normal 26 3 2 2 2" xfId="986" xr:uid="{D7BBF77D-8FD1-461B-A7CD-1AE67862BD5F}"/>
    <cellStyle name="Normal 26 3 2 2 2 10" xfId="17996" xr:uid="{EDB5D3E2-9994-4BFF-846F-0D3600B10EF6}"/>
    <cellStyle name="Normal 26 3 2 2 2 11" xfId="19886" xr:uid="{8A43AFBC-97E1-4C4E-9C9C-9B9666FFD2DB}"/>
    <cellStyle name="Normal 26 3 2 2 2 12" xfId="21776" xr:uid="{E5145C92-0E83-43B0-8C4E-FF849387B1FA}"/>
    <cellStyle name="Normal 26 3 2 2 2 13" xfId="23666" xr:uid="{69BB601F-F6FF-410A-A777-BD103E8CE0E1}"/>
    <cellStyle name="Normal 26 3 2 2 2 14" xfId="25556" xr:uid="{D7426934-17CF-45AE-81A6-492A957403DD}"/>
    <cellStyle name="Normal 26 3 2 2 2 15" xfId="27446" xr:uid="{17575736-6E44-4654-AB5F-4C5A3B287EBF}"/>
    <cellStyle name="Normal 26 3 2 2 2 16" xfId="29336" xr:uid="{CD411244-1274-4AA0-9B3B-9A50218DA4BC}"/>
    <cellStyle name="Normal 26 3 2 2 2 17" xfId="31226" xr:uid="{6504755E-E11C-44E1-B4AA-7CDA1376EC8F}"/>
    <cellStyle name="Normal 26 3 2 2 2 18" xfId="33116" xr:uid="{91385FC3-26F8-4D8E-86D9-0B06723A36D3}"/>
    <cellStyle name="Normal 26 3 2 2 2 19" xfId="35006" xr:uid="{EBB76970-A52F-4500-81F4-11D0BF6D6248}"/>
    <cellStyle name="Normal 26 3 2 2 2 2" xfId="2876" xr:uid="{51F0100F-9FD4-4BCC-A916-DB1691F7587C}"/>
    <cellStyle name="Normal 26 3 2 2 2 20" xfId="36896" xr:uid="{D8632CA8-1F83-40E9-BB07-E7471E76A33D}"/>
    <cellStyle name="Normal 26 3 2 2 2 21" xfId="38786" xr:uid="{C59229EE-F78D-4708-8B53-154FEF56E086}"/>
    <cellStyle name="Normal 26 3 2 2 2 22" xfId="40677" xr:uid="{5B2A7189-ED22-4128-B6FE-ACE7EB9B0B2C}"/>
    <cellStyle name="Normal 26 3 2 2 2 3" xfId="4766" xr:uid="{D4EDE230-4E3C-4A5E-B8FA-8EA7AA0815D3}"/>
    <cellStyle name="Normal 26 3 2 2 2 4" xfId="6656" xr:uid="{F88F8D7F-A124-4380-9939-4A6B0B8C10E1}"/>
    <cellStyle name="Normal 26 3 2 2 2 5" xfId="8546" xr:uid="{0FBA05AC-EDE1-4B22-ADBD-81437C81BD0D}"/>
    <cellStyle name="Normal 26 3 2 2 2 6" xfId="10436" xr:uid="{26D79CBB-968E-42A3-9A1D-0E1B2C0114D6}"/>
    <cellStyle name="Normal 26 3 2 2 2 7" xfId="12326" xr:uid="{E77B433A-2E9A-4FDA-B7FA-F379C259F8CE}"/>
    <cellStyle name="Normal 26 3 2 2 2 8" xfId="14216" xr:uid="{A79E6BD5-8438-4AFC-BEC9-1B272C700FAB}"/>
    <cellStyle name="Normal 26 3 2 2 2 9" xfId="16106" xr:uid="{586AFFAD-9E59-437A-9FE4-E51B17B15B3C}"/>
    <cellStyle name="Normal 26 3 2 2 20" xfId="32486" xr:uid="{A70B0EA3-111C-475C-B48B-B7005D63366E}"/>
    <cellStyle name="Normal 26 3 2 2 21" xfId="34376" xr:uid="{F2BFFD95-2B6F-4739-9AA0-AA90E654544A}"/>
    <cellStyle name="Normal 26 3 2 2 22" xfId="36266" xr:uid="{CD57F868-4938-4E8C-8C3F-3C70A7DD2CED}"/>
    <cellStyle name="Normal 26 3 2 2 23" xfId="38156" xr:uid="{F06CEA37-7D05-4F9E-8BB6-EFD86CB2026F}"/>
    <cellStyle name="Normal 26 3 2 2 24" xfId="40047" xr:uid="{5D2E06AC-74CE-42AC-A1B9-4110796F5A52}"/>
    <cellStyle name="Normal 26 3 2 2 3" xfId="1616" xr:uid="{7577516D-DC5C-4DDC-96D7-AC8BD9B09614}"/>
    <cellStyle name="Normal 26 3 2 2 3 10" xfId="18626" xr:uid="{1FA19736-ABEF-42B4-8290-5323814FF761}"/>
    <cellStyle name="Normal 26 3 2 2 3 11" xfId="20516" xr:uid="{93907E9E-FD08-4E2C-8B6F-E2A21C6EE11A}"/>
    <cellStyle name="Normal 26 3 2 2 3 12" xfId="22406" xr:uid="{1DF07388-87E3-4B79-B56A-81FF40526891}"/>
    <cellStyle name="Normal 26 3 2 2 3 13" xfId="24296" xr:uid="{3CBAC49F-7A45-480E-810A-996DA70BC6A0}"/>
    <cellStyle name="Normal 26 3 2 2 3 14" xfId="26186" xr:uid="{1527925B-893C-483E-B56E-B840D0FF01B8}"/>
    <cellStyle name="Normal 26 3 2 2 3 15" xfId="28076" xr:uid="{E33D975F-4803-4F11-828D-9ADA2A590380}"/>
    <cellStyle name="Normal 26 3 2 2 3 16" xfId="29966" xr:uid="{88B70B50-2444-4D05-A703-88A9D33D34BA}"/>
    <cellStyle name="Normal 26 3 2 2 3 17" xfId="31856" xr:uid="{2FD61368-5B8D-4997-A13A-576B68EBDDE1}"/>
    <cellStyle name="Normal 26 3 2 2 3 18" xfId="33746" xr:uid="{0908A230-9B28-4C89-8716-E93ECA408D21}"/>
    <cellStyle name="Normal 26 3 2 2 3 19" xfId="35636" xr:uid="{9EACC1AA-359B-4A68-81AD-EB130ECBA472}"/>
    <cellStyle name="Normal 26 3 2 2 3 2" xfId="3506" xr:uid="{00E4D98C-13CE-49E4-8720-96F932F69B77}"/>
    <cellStyle name="Normal 26 3 2 2 3 20" xfId="37526" xr:uid="{2103AB30-7B58-46B8-A769-012634857659}"/>
    <cellStyle name="Normal 26 3 2 2 3 21" xfId="39416" xr:uid="{21DDE15B-8066-4ED1-8021-1D114FD5C417}"/>
    <cellStyle name="Normal 26 3 2 2 3 22" xfId="41307" xr:uid="{02800D91-EC7C-49F4-86C4-C6613FF87176}"/>
    <cellStyle name="Normal 26 3 2 2 3 3" xfId="5396" xr:uid="{4F0AB1B8-E403-4809-B7DA-DACB8419C4AD}"/>
    <cellStyle name="Normal 26 3 2 2 3 4" xfId="7286" xr:uid="{D02A28AB-28BC-4FBA-B6BD-5E48FE195A9A}"/>
    <cellStyle name="Normal 26 3 2 2 3 5" xfId="9176" xr:uid="{46379D33-A01E-4D9C-82D6-B7E52C9B92A3}"/>
    <cellStyle name="Normal 26 3 2 2 3 6" xfId="11066" xr:uid="{08F0B8AA-58C6-473C-ADE4-91D7CE3D09BD}"/>
    <cellStyle name="Normal 26 3 2 2 3 7" xfId="12956" xr:uid="{ACE67A56-9881-4878-A9FC-BC1065EAA413}"/>
    <cellStyle name="Normal 26 3 2 2 3 8" xfId="14846" xr:uid="{B8F3CABD-4892-4106-9B66-AA816F0D32D0}"/>
    <cellStyle name="Normal 26 3 2 2 3 9" xfId="16736" xr:uid="{FA99E161-284F-4B2E-A375-6E609C8632B7}"/>
    <cellStyle name="Normal 26 3 2 2 4" xfId="2246" xr:uid="{6F95A351-F351-4E66-87E7-B0CDA6C3722C}"/>
    <cellStyle name="Normal 26 3 2 2 5" xfId="4136" xr:uid="{C76E9A69-8D89-4AA7-A1E0-32C68706E4E3}"/>
    <cellStyle name="Normal 26 3 2 2 6" xfId="6026" xr:uid="{27309AC8-F4A1-40D5-AD8F-0718D8BF0605}"/>
    <cellStyle name="Normal 26 3 2 2 7" xfId="7916" xr:uid="{16329F3C-13FB-47AA-B3F2-00CCF03837FC}"/>
    <cellStyle name="Normal 26 3 2 2 8" xfId="9806" xr:uid="{B084DF7F-6396-431E-BEFC-4574EE4C7B2E}"/>
    <cellStyle name="Normal 26 3 2 2 9" xfId="11696" xr:uid="{281783A3-2ECB-4E63-BD56-A963B779E082}"/>
    <cellStyle name="Normal 26 3 2 20" xfId="28496" xr:uid="{A06F22C3-6E92-4731-95D0-789FDE00FCBF}"/>
    <cellStyle name="Normal 26 3 2 21" xfId="30386" xr:uid="{0ED29217-00D6-4FCF-AAEB-C31A97D38A60}"/>
    <cellStyle name="Normal 26 3 2 22" xfId="32276" xr:uid="{DD44F5DF-A74C-410F-B183-06B15AF6CBDF}"/>
    <cellStyle name="Normal 26 3 2 23" xfId="34166" xr:uid="{67ECBEED-C74D-4006-B9EC-19624DEB35A4}"/>
    <cellStyle name="Normal 26 3 2 24" xfId="36056" xr:uid="{3588A3A8-9428-4F15-974C-25E0A4EA3DAC}"/>
    <cellStyle name="Normal 26 3 2 25" xfId="37946" xr:uid="{CE57993C-B0FE-4B12-93C5-31FB8E3604C2}"/>
    <cellStyle name="Normal 26 3 2 26" xfId="39837" xr:uid="{45E5E584-8E90-40DF-B6AD-5068F9E52EC5}"/>
    <cellStyle name="Normal 26 3 2 3" xfId="566" xr:uid="{881F9194-510E-410E-B247-09248DC38CA9}"/>
    <cellStyle name="Normal 26 3 2 3 10" xfId="13796" xr:uid="{7BD3E49B-61C0-47B3-BA37-CA0E03E85C27}"/>
    <cellStyle name="Normal 26 3 2 3 11" xfId="15686" xr:uid="{555FE65C-3E1B-4616-8CB5-7DF38C66AE8C}"/>
    <cellStyle name="Normal 26 3 2 3 12" xfId="17576" xr:uid="{D12C9060-87D0-4252-B279-873174F3A2C4}"/>
    <cellStyle name="Normal 26 3 2 3 13" xfId="19466" xr:uid="{71D3E1A7-CD56-4BC7-AD1D-841E809E6C03}"/>
    <cellStyle name="Normal 26 3 2 3 14" xfId="21356" xr:uid="{188FE4E0-0BF0-4CDF-AA08-E2977DE0B3B6}"/>
    <cellStyle name="Normal 26 3 2 3 15" xfId="23246" xr:uid="{6C58BB35-425A-42BA-B8ED-23F215E31ADA}"/>
    <cellStyle name="Normal 26 3 2 3 16" xfId="25136" xr:uid="{4426C7BB-AE42-4580-B105-41021A3D7E95}"/>
    <cellStyle name="Normal 26 3 2 3 17" xfId="27026" xr:uid="{00A0238C-6C3E-4047-95C6-1FB79F501592}"/>
    <cellStyle name="Normal 26 3 2 3 18" xfId="28916" xr:uid="{AC92D3EE-BA5C-4F0E-B7BB-E5ADEE2185C2}"/>
    <cellStyle name="Normal 26 3 2 3 19" xfId="30806" xr:uid="{8EE05854-3510-46D1-B475-9309AA39BBF3}"/>
    <cellStyle name="Normal 26 3 2 3 2" xfId="1196" xr:uid="{D91934AB-B7B8-4CB3-BC94-4BE0BD90F13D}"/>
    <cellStyle name="Normal 26 3 2 3 2 10" xfId="18206" xr:uid="{C3482B9C-DC29-4427-AFA0-4AD5A42FFDEB}"/>
    <cellStyle name="Normal 26 3 2 3 2 11" xfId="20096" xr:uid="{02F84CE0-6963-480F-A07F-1589002A19A2}"/>
    <cellStyle name="Normal 26 3 2 3 2 12" xfId="21986" xr:uid="{45B8B356-550D-4D96-8351-106964552A9A}"/>
    <cellStyle name="Normal 26 3 2 3 2 13" xfId="23876" xr:uid="{82FCADAD-B894-463C-8017-9EA9D866876D}"/>
    <cellStyle name="Normal 26 3 2 3 2 14" xfId="25766" xr:uid="{FAAF539E-8F5B-48E9-98C0-1C99F74FAEC4}"/>
    <cellStyle name="Normal 26 3 2 3 2 15" xfId="27656" xr:uid="{4C633DA0-4E64-4B5B-BA2B-B7FDE7EDFBE6}"/>
    <cellStyle name="Normal 26 3 2 3 2 16" xfId="29546" xr:uid="{2AFAD0FC-8685-4678-BEB0-806AA8D591C1}"/>
    <cellStyle name="Normal 26 3 2 3 2 17" xfId="31436" xr:uid="{03607341-F8FA-494A-A27D-D3A0717BC348}"/>
    <cellStyle name="Normal 26 3 2 3 2 18" xfId="33326" xr:uid="{41B5C8F3-F4D2-47F7-9D7D-260216DC009D}"/>
    <cellStyle name="Normal 26 3 2 3 2 19" xfId="35216" xr:uid="{8EDDBDD8-0623-4A51-811B-34315810CB44}"/>
    <cellStyle name="Normal 26 3 2 3 2 2" xfId="3086" xr:uid="{1FD313E9-EB64-41FD-8E44-B93996A73842}"/>
    <cellStyle name="Normal 26 3 2 3 2 20" xfId="37106" xr:uid="{DCB65AC0-8614-4CAB-A50C-89F77C35571D}"/>
    <cellStyle name="Normal 26 3 2 3 2 21" xfId="38996" xr:uid="{97DA4601-91A8-48E5-B26B-633052D0E725}"/>
    <cellStyle name="Normal 26 3 2 3 2 22" xfId="40887" xr:uid="{9E194C19-078F-4B7F-97BB-3236C710D9FD}"/>
    <cellStyle name="Normal 26 3 2 3 2 3" xfId="4976" xr:uid="{A448E2DF-0DD9-4DE5-A87A-EAB7F02C9D98}"/>
    <cellStyle name="Normal 26 3 2 3 2 4" xfId="6866" xr:uid="{B1507268-50F8-42E8-A02D-8B5A6E0E15BB}"/>
    <cellStyle name="Normal 26 3 2 3 2 5" xfId="8756" xr:uid="{122B8783-BF84-4F67-ABD6-0211D761A39B}"/>
    <cellStyle name="Normal 26 3 2 3 2 6" xfId="10646" xr:uid="{D0BFF205-295D-4EC3-A44A-3CA4323CB05A}"/>
    <cellStyle name="Normal 26 3 2 3 2 7" xfId="12536" xr:uid="{7CCCCFC2-6485-4936-A015-45D35D5B33B2}"/>
    <cellStyle name="Normal 26 3 2 3 2 8" xfId="14426" xr:uid="{9F063B94-F1BC-453B-BB10-375DEB0653F6}"/>
    <cellStyle name="Normal 26 3 2 3 2 9" xfId="16316" xr:uid="{72C3470E-D65E-402D-A595-027D92699321}"/>
    <cellStyle name="Normal 26 3 2 3 20" xfId="32696" xr:uid="{E2D2977B-1E13-42FB-B9CF-D348E25D22E9}"/>
    <cellStyle name="Normal 26 3 2 3 21" xfId="34586" xr:uid="{73CAEF3E-D5E3-46B0-981F-EB94ADB5DE5C}"/>
    <cellStyle name="Normal 26 3 2 3 22" xfId="36476" xr:uid="{7D37CD93-0E3D-48DF-95F9-9AAAD7BDC97B}"/>
    <cellStyle name="Normal 26 3 2 3 23" xfId="38366" xr:uid="{21DE6C9E-1ECA-4FD3-B52B-2D886DDAF94E}"/>
    <cellStyle name="Normal 26 3 2 3 24" xfId="40257" xr:uid="{E56AB42B-5BC4-4CAF-A4EE-189715F54A1F}"/>
    <cellStyle name="Normal 26 3 2 3 3" xfId="1826" xr:uid="{9D9981A0-46DD-409A-BC39-5E32A9266057}"/>
    <cellStyle name="Normal 26 3 2 3 3 10" xfId="18836" xr:uid="{F0FFEAF5-5CD6-4F65-9625-813AF247478B}"/>
    <cellStyle name="Normal 26 3 2 3 3 11" xfId="20726" xr:uid="{C8B14E1C-968C-46E3-ABD4-F95B3A55B8C3}"/>
    <cellStyle name="Normal 26 3 2 3 3 12" xfId="22616" xr:uid="{7B8AB016-D092-44B0-8936-EF3186F81CA9}"/>
    <cellStyle name="Normal 26 3 2 3 3 13" xfId="24506" xr:uid="{977DBFCA-F2E5-4265-A36D-7293BB4304EF}"/>
    <cellStyle name="Normal 26 3 2 3 3 14" xfId="26396" xr:uid="{0F83EE43-4C6F-4034-8CF1-F649F56ACC76}"/>
    <cellStyle name="Normal 26 3 2 3 3 15" xfId="28286" xr:uid="{DFFF606E-C174-4439-AF1E-DF44CD1ED4E1}"/>
    <cellStyle name="Normal 26 3 2 3 3 16" xfId="30176" xr:uid="{288BE397-874F-48E2-8E76-53162651BB5A}"/>
    <cellStyle name="Normal 26 3 2 3 3 17" xfId="32066" xr:uid="{2520F172-7F7A-4D70-AFC9-06E549750A62}"/>
    <cellStyle name="Normal 26 3 2 3 3 18" xfId="33956" xr:uid="{B5F61987-DE7B-45E5-96DA-AD492F8A6B5C}"/>
    <cellStyle name="Normal 26 3 2 3 3 19" xfId="35846" xr:uid="{CC4EA388-D7EB-4593-8E44-65C3336959AC}"/>
    <cellStyle name="Normal 26 3 2 3 3 2" xfId="3716" xr:uid="{F9396690-0DD2-4797-AD42-1F94F9C8B75A}"/>
    <cellStyle name="Normal 26 3 2 3 3 20" xfId="37736" xr:uid="{3B73B5BD-F4DE-4B6B-A073-CF70E151655B}"/>
    <cellStyle name="Normal 26 3 2 3 3 21" xfId="39626" xr:uid="{C4C00B6B-2249-48CD-AF7B-EA0469C19E85}"/>
    <cellStyle name="Normal 26 3 2 3 3 22" xfId="41517" xr:uid="{9EAD9DE7-BA49-4303-9748-80C402B3CB00}"/>
    <cellStyle name="Normal 26 3 2 3 3 3" xfId="5606" xr:uid="{00A4C757-999B-46BD-AA55-FAE39A0154E8}"/>
    <cellStyle name="Normal 26 3 2 3 3 4" xfId="7496" xr:uid="{53011907-0BE0-459A-A54C-586A92A40305}"/>
    <cellStyle name="Normal 26 3 2 3 3 5" xfId="9386" xr:uid="{031751A8-1855-4985-B284-08647F7B2784}"/>
    <cellStyle name="Normal 26 3 2 3 3 6" xfId="11276" xr:uid="{5A62B6EB-BBE2-46C0-B671-7F0DC1D5D870}"/>
    <cellStyle name="Normal 26 3 2 3 3 7" xfId="13166" xr:uid="{D89AC38D-C575-42FE-BDFB-2C18AF9C7F87}"/>
    <cellStyle name="Normal 26 3 2 3 3 8" xfId="15056" xr:uid="{D46C41EC-67AB-4BAD-8FCC-A8BDDF88D606}"/>
    <cellStyle name="Normal 26 3 2 3 3 9" xfId="16946" xr:uid="{DE380D83-28E1-42B5-8079-84F4F99965D0}"/>
    <cellStyle name="Normal 26 3 2 3 4" xfId="2456" xr:uid="{28A6DAE7-C1F7-4038-8B25-B92641C63695}"/>
    <cellStyle name="Normal 26 3 2 3 5" xfId="4346" xr:uid="{24A20BD4-C1A3-495D-BF8D-A771F2F9BFF2}"/>
    <cellStyle name="Normal 26 3 2 3 6" xfId="6236" xr:uid="{AB6E6080-A173-404B-B36E-0DACBB530788}"/>
    <cellStyle name="Normal 26 3 2 3 7" xfId="8126" xr:uid="{F42A0D42-269D-4212-B135-D2FABB0CE648}"/>
    <cellStyle name="Normal 26 3 2 3 8" xfId="10016" xr:uid="{30AB5945-90F8-4652-A433-8655C98B29E7}"/>
    <cellStyle name="Normal 26 3 2 3 9" xfId="11906" xr:uid="{51F52CED-82C8-4B78-A930-6C583686D716}"/>
    <cellStyle name="Normal 26 3 2 4" xfId="776" xr:uid="{E1D545EC-E997-441A-84F5-159A92E996FC}"/>
    <cellStyle name="Normal 26 3 2 4 10" xfId="17786" xr:uid="{7E09912B-8D99-42E4-B435-C42DEDCFC6DF}"/>
    <cellStyle name="Normal 26 3 2 4 11" xfId="19676" xr:uid="{8DB377B9-7D97-4A87-9E39-E6519CC21DBF}"/>
    <cellStyle name="Normal 26 3 2 4 12" xfId="21566" xr:uid="{B5CF26B7-A8BA-4DC3-9969-5DEE62136033}"/>
    <cellStyle name="Normal 26 3 2 4 13" xfId="23456" xr:uid="{1329B96C-B78F-46A9-8E3B-0BBD304B1D29}"/>
    <cellStyle name="Normal 26 3 2 4 14" xfId="25346" xr:uid="{C6536A94-5397-408C-8B40-226A795EC4A0}"/>
    <cellStyle name="Normal 26 3 2 4 15" xfId="27236" xr:uid="{AB462448-0EC7-4F20-90C2-B923BE6AAA97}"/>
    <cellStyle name="Normal 26 3 2 4 16" xfId="29126" xr:uid="{ED7D8E6D-F655-4BBA-ADA6-B7969A501C80}"/>
    <cellStyle name="Normal 26 3 2 4 17" xfId="31016" xr:uid="{4F87DC9A-2D16-451B-A83D-E2F483B68595}"/>
    <cellStyle name="Normal 26 3 2 4 18" xfId="32906" xr:uid="{638B92F2-F50A-4C5F-91D7-EDFE77EBB785}"/>
    <cellStyle name="Normal 26 3 2 4 19" xfId="34796" xr:uid="{C78B9DAF-F428-449A-A56A-EC9C0837A971}"/>
    <cellStyle name="Normal 26 3 2 4 2" xfId="2666" xr:uid="{B4B73FCB-BC2C-4495-915E-58275AA53FD7}"/>
    <cellStyle name="Normal 26 3 2 4 20" xfId="36686" xr:uid="{4B134807-DA40-4934-872B-3271A61C76FB}"/>
    <cellStyle name="Normal 26 3 2 4 21" xfId="38576" xr:uid="{F42C2A3D-7CCB-4718-BAB1-A027E33A6BD1}"/>
    <cellStyle name="Normal 26 3 2 4 22" xfId="40467" xr:uid="{CC6ACE67-C9DD-4D28-BF54-99E48897ECDE}"/>
    <cellStyle name="Normal 26 3 2 4 3" xfId="4556" xr:uid="{0EA20353-1849-4579-A8A0-543C817F6C6C}"/>
    <cellStyle name="Normal 26 3 2 4 4" xfId="6446" xr:uid="{4D25CC71-1B61-4988-8788-86E0D91E8D9A}"/>
    <cellStyle name="Normal 26 3 2 4 5" xfId="8336" xr:uid="{81D4EF0B-92C4-456D-B0A7-4DC550636C32}"/>
    <cellStyle name="Normal 26 3 2 4 6" xfId="10226" xr:uid="{254CBEFE-B764-4DFA-B33F-FF8588B867F1}"/>
    <cellStyle name="Normal 26 3 2 4 7" xfId="12116" xr:uid="{9FE5BE94-A691-4B69-8D2D-3642162D1EEB}"/>
    <cellStyle name="Normal 26 3 2 4 8" xfId="14006" xr:uid="{430C47ED-68B5-4936-9B6C-3AD154790375}"/>
    <cellStyle name="Normal 26 3 2 4 9" xfId="15896" xr:uid="{FA326621-071A-4718-857A-3154367B5277}"/>
    <cellStyle name="Normal 26 3 2 5" xfId="1406" xr:uid="{A7692A44-E4D2-4E6E-AC5E-D54A8E292453}"/>
    <cellStyle name="Normal 26 3 2 5 10" xfId="18416" xr:uid="{8024F7D3-DDD9-4D5C-84C5-0738972867AC}"/>
    <cellStyle name="Normal 26 3 2 5 11" xfId="20306" xr:uid="{EC753264-7273-4FF3-8FE4-D25ABEE89D86}"/>
    <cellStyle name="Normal 26 3 2 5 12" xfId="22196" xr:uid="{991FCA0E-6CC8-40C5-A3B8-07E404C67BB8}"/>
    <cellStyle name="Normal 26 3 2 5 13" xfId="24086" xr:uid="{8108C806-1F72-4FB5-AB58-085A7096F514}"/>
    <cellStyle name="Normal 26 3 2 5 14" xfId="25976" xr:uid="{454CC0BB-2070-4C15-AFF0-484C39271795}"/>
    <cellStyle name="Normal 26 3 2 5 15" xfId="27866" xr:uid="{3F636298-BF27-4FC9-88B8-4354DB694B46}"/>
    <cellStyle name="Normal 26 3 2 5 16" xfId="29756" xr:uid="{FEC31FAF-6A28-43A0-979C-5AC678E62E9C}"/>
    <cellStyle name="Normal 26 3 2 5 17" xfId="31646" xr:uid="{EFF6CA0F-6C50-4ACE-96C2-9A2032F976A9}"/>
    <cellStyle name="Normal 26 3 2 5 18" xfId="33536" xr:uid="{2BC463CF-9740-4292-AD68-63C706BF84BF}"/>
    <cellStyle name="Normal 26 3 2 5 19" xfId="35426" xr:uid="{49F7C4E9-630F-447E-AC74-20AEE3BEAD1A}"/>
    <cellStyle name="Normal 26 3 2 5 2" xfId="3296" xr:uid="{433EF420-A916-4B38-B544-99303CE44FA2}"/>
    <cellStyle name="Normal 26 3 2 5 20" xfId="37316" xr:uid="{7DB07BD5-22D1-40B3-8C53-247B2DA3B236}"/>
    <cellStyle name="Normal 26 3 2 5 21" xfId="39206" xr:uid="{7B6FE6AF-D395-4F58-8DFE-3366BE24BE99}"/>
    <cellStyle name="Normal 26 3 2 5 22" xfId="41097" xr:uid="{669025BC-4964-420A-AD4E-92CF889737D4}"/>
    <cellStyle name="Normal 26 3 2 5 3" xfId="5186" xr:uid="{77B756FC-13C5-4932-BF58-3F96C7824A87}"/>
    <cellStyle name="Normal 26 3 2 5 4" xfId="7076" xr:uid="{E4271CB0-BE76-4B63-84F4-3E551E7D21BA}"/>
    <cellStyle name="Normal 26 3 2 5 5" xfId="8966" xr:uid="{901D78D6-B674-46E8-8B77-69DC2C0BC199}"/>
    <cellStyle name="Normal 26 3 2 5 6" xfId="10856" xr:uid="{24DC8C08-10FD-427A-9FF0-F9146FDA475F}"/>
    <cellStyle name="Normal 26 3 2 5 7" xfId="12746" xr:uid="{30BE9698-9D6A-40DB-BA1F-020B126685BD}"/>
    <cellStyle name="Normal 26 3 2 5 8" xfId="14636" xr:uid="{CD7F47B9-6453-4ECF-925E-D6ADB18654B0}"/>
    <cellStyle name="Normal 26 3 2 5 9" xfId="16526" xr:uid="{F84949D7-1F9B-4349-86CD-F6E96DAEEC3A}"/>
    <cellStyle name="Normal 26 3 2 6" xfId="2036" xr:uid="{0C1A930A-7B37-4302-AE3B-597448EE0F62}"/>
    <cellStyle name="Normal 26 3 2 7" xfId="3926" xr:uid="{0339D765-7326-48BF-BBD2-92912A0545F8}"/>
    <cellStyle name="Normal 26 3 2 8" xfId="5816" xr:uid="{574FEB95-3EC4-4503-A50D-0357FC97D027}"/>
    <cellStyle name="Normal 26 3 2 9" xfId="7706" xr:uid="{B722CE9A-FCEE-4561-9A27-986D61186C4A}"/>
    <cellStyle name="Normal 26 3 20" xfId="26501" xr:uid="{42FB3791-8DAD-4AD3-9A82-4746F0F36BCE}"/>
    <cellStyle name="Normal 26 3 21" xfId="28391" xr:uid="{C71FE951-7FB4-4FD2-B73C-75752B5A864B}"/>
    <cellStyle name="Normal 26 3 22" xfId="30281" xr:uid="{CE56DC0F-41C6-4A82-B987-E2AF4E8EE362}"/>
    <cellStyle name="Normal 26 3 23" xfId="32171" xr:uid="{9B2560F6-C6A7-4F93-9218-4E939E85BF1D}"/>
    <cellStyle name="Normal 26 3 24" xfId="34061" xr:uid="{103B4463-B9E7-46D0-A16A-53891EB1A19A}"/>
    <cellStyle name="Normal 26 3 25" xfId="35951" xr:uid="{12EC15E5-94E6-4355-BEAF-1D997ABD6338}"/>
    <cellStyle name="Normal 26 3 26" xfId="37841" xr:uid="{0F4D0827-454D-4D23-B81B-7B0DE1606FD6}"/>
    <cellStyle name="Normal 26 3 27" xfId="39732" xr:uid="{FB5E3303-09EC-423C-8A4D-E0BA7ED8CAAD}"/>
    <cellStyle name="Normal 26 3 3" xfId="251" xr:uid="{619B3A97-3F0D-4C8C-BE4C-3237EF9ACE2A}"/>
    <cellStyle name="Normal 26 3 3 10" xfId="13481" xr:uid="{D4C3E003-12EC-4302-B4EE-33C71A2BEB6E}"/>
    <cellStyle name="Normal 26 3 3 11" xfId="15371" xr:uid="{9A3F2B3D-C8BE-493B-BA06-F615178597FB}"/>
    <cellStyle name="Normal 26 3 3 12" xfId="17261" xr:uid="{8018C713-5E4E-4027-B76D-7AFE2E2565A3}"/>
    <cellStyle name="Normal 26 3 3 13" xfId="19151" xr:uid="{BFD4C750-0816-42E4-A461-D14A1EE51D5F}"/>
    <cellStyle name="Normal 26 3 3 14" xfId="21041" xr:uid="{CA86378D-2DDC-4560-8F16-B939CA1E074A}"/>
    <cellStyle name="Normal 26 3 3 15" xfId="22931" xr:uid="{3FA027F6-9C87-4AEB-AFB5-9A72BD66139A}"/>
    <cellStyle name="Normal 26 3 3 16" xfId="24821" xr:uid="{1912DD75-0C40-45A0-B944-475569D537EE}"/>
    <cellStyle name="Normal 26 3 3 17" xfId="26711" xr:uid="{668CA191-04E2-4FDC-BBB6-237468A9FD08}"/>
    <cellStyle name="Normal 26 3 3 18" xfId="28601" xr:uid="{B067C815-E047-4331-85E7-2B72075F7218}"/>
    <cellStyle name="Normal 26 3 3 19" xfId="30491" xr:uid="{59DAFFC8-979B-4F3D-8C44-73C041CBD641}"/>
    <cellStyle name="Normal 26 3 3 2" xfId="881" xr:uid="{CDA3D0ED-D0B0-4D17-9BE1-5E81DA0F9F9A}"/>
    <cellStyle name="Normal 26 3 3 2 10" xfId="17891" xr:uid="{E6E4485C-F4E1-4633-B5EE-73786DCD42D4}"/>
    <cellStyle name="Normal 26 3 3 2 11" xfId="19781" xr:uid="{A80612C0-B9EC-4299-8876-18EC2CBC7259}"/>
    <cellStyle name="Normal 26 3 3 2 12" xfId="21671" xr:uid="{F069BDA4-91CD-4205-9229-E5BDC94C2D87}"/>
    <cellStyle name="Normal 26 3 3 2 13" xfId="23561" xr:uid="{F9E61452-5030-47EE-82CD-A24569CE16DF}"/>
    <cellStyle name="Normal 26 3 3 2 14" xfId="25451" xr:uid="{05230A6F-55DE-41F5-98C4-04C57F44B05F}"/>
    <cellStyle name="Normal 26 3 3 2 15" xfId="27341" xr:uid="{318239F8-6BFF-46C1-890F-AD1EBA25091F}"/>
    <cellStyle name="Normal 26 3 3 2 16" xfId="29231" xr:uid="{4A6062EB-927B-4AB2-8329-7CA0C5898F90}"/>
    <cellStyle name="Normal 26 3 3 2 17" xfId="31121" xr:uid="{0E98614F-B577-4924-9D46-01CF0C8C14BC}"/>
    <cellStyle name="Normal 26 3 3 2 18" xfId="33011" xr:uid="{6B277CCE-4805-4F81-9D10-224095EDAE1D}"/>
    <cellStyle name="Normal 26 3 3 2 19" xfId="34901" xr:uid="{28492034-7033-464D-9CB7-E9B3D0377B6C}"/>
    <cellStyle name="Normal 26 3 3 2 2" xfId="2771" xr:uid="{0D1764FE-2089-48EA-865E-453D7A870FEC}"/>
    <cellStyle name="Normal 26 3 3 2 20" xfId="36791" xr:uid="{F27E9BCE-AD64-4175-BB9E-732E2594E370}"/>
    <cellStyle name="Normal 26 3 3 2 21" xfId="38681" xr:uid="{C61506B6-D5EC-4D16-A025-1D33AEFE8D6B}"/>
    <cellStyle name="Normal 26 3 3 2 22" xfId="40572" xr:uid="{0F6A2C22-FB01-4F1F-919C-73F4CE340190}"/>
    <cellStyle name="Normal 26 3 3 2 3" xfId="4661" xr:uid="{9EC4AAFE-B809-40CE-A925-4793DDB63B8D}"/>
    <cellStyle name="Normal 26 3 3 2 4" xfId="6551" xr:uid="{9AB29DF5-82E3-454A-8C2F-025446B25791}"/>
    <cellStyle name="Normal 26 3 3 2 5" xfId="8441" xr:uid="{62E0FCF3-D696-40AF-8F73-D374B0954FAE}"/>
    <cellStyle name="Normal 26 3 3 2 6" xfId="10331" xr:uid="{3B5A0447-0FF4-4F84-ACB7-AB3D55B8F709}"/>
    <cellStyle name="Normal 26 3 3 2 7" xfId="12221" xr:uid="{BD1C9779-A064-41E4-A5FD-A72C1E2857D3}"/>
    <cellStyle name="Normal 26 3 3 2 8" xfId="14111" xr:uid="{6022C03C-9516-4109-9982-D76B7BAB3990}"/>
    <cellStyle name="Normal 26 3 3 2 9" xfId="16001" xr:uid="{C61499F0-B4A0-462F-B9CB-59C6139A2642}"/>
    <cellStyle name="Normal 26 3 3 20" xfId="32381" xr:uid="{30917349-D73C-4227-BA39-12503876D7CD}"/>
    <cellStyle name="Normal 26 3 3 21" xfId="34271" xr:uid="{9BA9EAB7-737B-47BA-BCDA-2A6BFB53F833}"/>
    <cellStyle name="Normal 26 3 3 22" xfId="36161" xr:uid="{2411C35F-9B8D-4D26-BCED-00C258D6E2C6}"/>
    <cellStyle name="Normal 26 3 3 23" xfId="38051" xr:uid="{8290B5F1-00B4-4DF9-8CA7-D8E82B0C9749}"/>
    <cellStyle name="Normal 26 3 3 24" xfId="39942" xr:uid="{D13F0CBB-7528-436A-9CEF-7A58A444521B}"/>
    <cellStyle name="Normal 26 3 3 3" xfId="1511" xr:uid="{228D1E0B-50D1-4585-8F68-BD1D742E2E75}"/>
    <cellStyle name="Normal 26 3 3 3 10" xfId="18521" xr:uid="{F292B92C-F4B0-474E-A6C2-14F0963295DE}"/>
    <cellStyle name="Normal 26 3 3 3 11" xfId="20411" xr:uid="{28B94BAD-43FC-446F-8DA3-3CCBDC22EDA3}"/>
    <cellStyle name="Normal 26 3 3 3 12" xfId="22301" xr:uid="{DD4AEDF4-E0BD-4A4F-A5A0-BB9FAD7D9D12}"/>
    <cellStyle name="Normal 26 3 3 3 13" xfId="24191" xr:uid="{E64D3719-CA8C-47F5-92EB-CC3E38BC81A5}"/>
    <cellStyle name="Normal 26 3 3 3 14" xfId="26081" xr:uid="{F43B29FB-7BA0-4E90-9771-F2B7FB1B05E7}"/>
    <cellStyle name="Normal 26 3 3 3 15" xfId="27971" xr:uid="{F463C81E-47C2-425E-9E7C-822D86407941}"/>
    <cellStyle name="Normal 26 3 3 3 16" xfId="29861" xr:uid="{9D7E93C2-6CB2-4146-A514-1CC9CF56C6D2}"/>
    <cellStyle name="Normal 26 3 3 3 17" xfId="31751" xr:uid="{48A07172-E062-4BE5-B0B3-C581E454DC77}"/>
    <cellStyle name="Normal 26 3 3 3 18" xfId="33641" xr:uid="{667E5528-9D2A-4F4A-8BF3-C75245240218}"/>
    <cellStyle name="Normal 26 3 3 3 19" xfId="35531" xr:uid="{AEF9B98E-8703-453E-8399-AC68AAB41D37}"/>
    <cellStyle name="Normal 26 3 3 3 2" xfId="3401" xr:uid="{F61DE8F3-9439-42D3-B12D-7F64245FCEE6}"/>
    <cellStyle name="Normal 26 3 3 3 20" xfId="37421" xr:uid="{6B6BB8A1-863E-4694-918D-715E3E618150}"/>
    <cellStyle name="Normal 26 3 3 3 21" xfId="39311" xr:uid="{AFC8C0DD-1AE7-47DE-A8D7-45A369ADF3A6}"/>
    <cellStyle name="Normal 26 3 3 3 22" xfId="41202" xr:uid="{0F6485CE-567A-42BA-9A41-184CC6EA7B25}"/>
    <cellStyle name="Normal 26 3 3 3 3" xfId="5291" xr:uid="{F660F4EA-91B5-408F-8A02-E973EED57842}"/>
    <cellStyle name="Normal 26 3 3 3 4" xfId="7181" xr:uid="{F9685510-AC72-4A8F-8C2C-AA7AF559DED0}"/>
    <cellStyle name="Normal 26 3 3 3 5" xfId="9071" xr:uid="{F871F23A-E9A0-44A7-9C4A-724F801604EB}"/>
    <cellStyle name="Normal 26 3 3 3 6" xfId="10961" xr:uid="{F945107B-D34D-4075-BE05-2D2EDD4DFF99}"/>
    <cellStyle name="Normal 26 3 3 3 7" xfId="12851" xr:uid="{8B1B2BD1-CCEB-4EFD-A7F3-54A6BD8AB5BC}"/>
    <cellStyle name="Normal 26 3 3 3 8" xfId="14741" xr:uid="{97C8621F-06CF-4BAC-AF43-071D59C161EC}"/>
    <cellStyle name="Normal 26 3 3 3 9" xfId="16631" xr:uid="{D34A7E54-B185-4697-83FE-12BFB72B950F}"/>
    <cellStyle name="Normal 26 3 3 4" xfId="2141" xr:uid="{EBFA1119-D2E0-46BF-A7C1-FFE5D3E90AA4}"/>
    <cellStyle name="Normal 26 3 3 5" xfId="4031" xr:uid="{D0D38776-5070-4910-B133-0AACB76AF649}"/>
    <cellStyle name="Normal 26 3 3 6" xfId="5921" xr:uid="{EEE7AAD6-E93F-460C-B485-2B01A4D24B70}"/>
    <cellStyle name="Normal 26 3 3 7" xfId="7811" xr:uid="{0B559BF8-A499-4A55-A804-F04C968CDB79}"/>
    <cellStyle name="Normal 26 3 3 8" xfId="9701" xr:uid="{2BC9B57E-E41A-48CA-8D4F-7F7713F9C9A7}"/>
    <cellStyle name="Normal 26 3 3 9" xfId="11591" xr:uid="{A9CEB7C1-FF3B-4152-86A3-80B73AB57489}"/>
    <cellStyle name="Normal 26 3 4" xfId="461" xr:uid="{EE2D56FC-8C76-4781-96BE-5C6211B17B7A}"/>
    <cellStyle name="Normal 26 3 4 10" xfId="13691" xr:uid="{90859A16-B641-4E29-852A-79ADC0DD00D5}"/>
    <cellStyle name="Normal 26 3 4 11" xfId="15581" xr:uid="{54612EC8-996B-4ED5-918D-D3DC02BBE8E1}"/>
    <cellStyle name="Normal 26 3 4 12" xfId="17471" xr:uid="{33E19F94-F529-42FD-A8F4-3DD832DA041B}"/>
    <cellStyle name="Normal 26 3 4 13" xfId="19361" xr:uid="{80043C67-5DD1-444C-8518-CD9B223D69BB}"/>
    <cellStyle name="Normal 26 3 4 14" xfId="21251" xr:uid="{4DC1CF6B-1E75-4AF6-AE99-52ADFE64E41D}"/>
    <cellStyle name="Normal 26 3 4 15" xfId="23141" xr:uid="{EE0D1E55-2F02-49E8-BA01-8C3069382475}"/>
    <cellStyle name="Normal 26 3 4 16" xfId="25031" xr:uid="{79CFFA1E-7053-4836-BEC9-FAD3FF7ADEF9}"/>
    <cellStyle name="Normal 26 3 4 17" xfId="26921" xr:uid="{FBBB85F8-E4F4-4A0F-B72F-32428ECB1E5A}"/>
    <cellStyle name="Normal 26 3 4 18" xfId="28811" xr:uid="{2FF285B8-4419-4FC6-B83B-CCD2783287E7}"/>
    <cellStyle name="Normal 26 3 4 19" xfId="30701" xr:uid="{47CD7EE0-6AB4-47D7-A444-B7DB061C55C6}"/>
    <cellStyle name="Normal 26 3 4 2" xfId="1091" xr:uid="{7B81777C-DD62-45E2-A645-68DE305D5AD1}"/>
    <cellStyle name="Normal 26 3 4 2 10" xfId="18101" xr:uid="{4386667B-6F63-4E9A-BCCF-2F5D52508FCE}"/>
    <cellStyle name="Normal 26 3 4 2 11" xfId="19991" xr:uid="{D21B650B-497E-4001-9DB1-E20B62E63CAC}"/>
    <cellStyle name="Normal 26 3 4 2 12" xfId="21881" xr:uid="{599BA515-F794-42D5-A609-0AF1911304C0}"/>
    <cellStyle name="Normal 26 3 4 2 13" xfId="23771" xr:uid="{89AE7135-109C-448D-9F72-CA1D2A3EE7D7}"/>
    <cellStyle name="Normal 26 3 4 2 14" xfId="25661" xr:uid="{AD26DE4B-135A-48EF-AF7E-FF3144F1BFAA}"/>
    <cellStyle name="Normal 26 3 4 2 15" xfId="27551" xr:uid="{3508EC19-A8C3-4E03-8CD0-1BA5DE5C6B30}"/>
    <cellStyle name="Normal 26 3 4 2 16" xfId="29441" xr:uid="{2030E156-FFB6-4E5C-AADD-187633007CD8}"/>
    <cellStyle name="Normal 26 3 4 2 17" xfId="31331" xr:uid="{C3319248-D494-4A7A-9F05-D496D7F2280D}"/>
    <cellStyle name="Normal 26 3 4 2 18" xfId="33221" xr:uid="{6FD2E442-00E7-423F-9684-1091BAE82488}"/>
    <cellStyle name="Normal 26 3 4 2 19" xfId="35111" xr:uid="{0351CB2B-C541-4AB5-A00D-9B21A844FA3D}"/>
    <cellStyle name="Normal 26 3 4 2 2" xfId="2981" xr:uid="{B40B3B36-6439-4B93-BA32-0172CC06ECA7}"/>
    <cellStyle name="Normal 26 3 4 2 20" xfId="37001" xr:uid="{C47DE483-E2FB-4AB6-B083-0F93F55E5405}"/>
    <cellStyle name="Normal 26 3 4 2 21" xfId="38891" xr:uid="{9E712E46-DFA1-465E-8F39-5E187A53A878}"/>
    <cellStyle name="Normal 26 3 4 2 22" xfId="40782" xr:uid="{3E7304CA-66F7-4E8E-AB7D-E3368FA76E7C}"/>
    <cellStyle name="Normal 26 3 4 2 3" xfId="4871" xr:uid="{10B9CA3A-304A-4879-9E75-AE01BD329A08}"/>
    <cellStyle name="Normal 26 3 4 2 4" xfId="6761" xr:uid="{731C4B10-5ECC-4EC5-B148-53D49AF1A6A9}"/>
    <cellStyle name="Normal 26 3 4 2 5" xfId="8651" xr:uid="{20878C3D-30DC-48E2-AEAD-940484198AFF}"/>
    <cellStyle name="Normal 26 3 4 2 6" xfId="10541" xr:uid="{CC8DC58F-CC96-4C65-A13F-8FE0DDD8396E}"/>
    <cellStyle name="Normal 26 3 4 2 7" xfId="12431" xr:uid="{D0468856-D03B-40D5-B32B-CBEF9E7EBD40}"/>
    <cellStyle name="Normal 26 3 4 2 8" xfId="14321" xr:uid="{87B70DB6-0D1A-411B-950B-B3A52A5FAF8A}"/>
    <cellStyle name="Normal 26 3 4 2 9" xfId="16211" xr:uid="{2D0F0FA0-E02F-4F55-8D55-742BAF8F8E41}"/>
    <cellStyle name="Normal 26 3 4 20" xfId="32591" xr:uid="{B48250A2-FBE1-4258-A1AE-6CC1291DB7D9}"/>
    <cellStyle name="Normal 26 3 4 21" xfId="34481" xr:uid="{7883A898-5348-42A0-9177-38617C3DC1CC}"/>
    <cellStyle name="Normal 26 3 4 22" xfId="36371" xr:uid="{FD552C1C-B6D7-4114-9979-FAA2DF5552E9}"/>
    <cellStyle name="Normal 26 3 4 23" xfId="38261" xr:uid="{4159CF1C-C31C-402F-86EF-1DD7157271D8}"/>
    <cellStyle name="Normal 26 3 4 24" xfId="40152" xr:uid="{D84333A5-7DFF-424E-A7B6-9C9081D5924A}"/>
    <cellStyle name="Normal 26 3 4 3" xfId="1721" xr:uid="{5234CB24-A6D0-4F69-B06A-D0168A7161AC}"/>
    <cellStyle name="Normal 26 3 4 3 10" xfId="18731" xr:uid="{C48616B0-9676-46B1-A6D5-C18E97F8B3B9}"/>
    <cellStyle name="Normal 26 3 4 3 11" xfId="20621" xr:uid="{7A1B815F-BD3E-4334-85E4-EFA6FAB56D6B}"/>
    <cellStyle name="Normal 26 3 4 3 12" xfId="22511" xr:uid="{D49E7C88-F19B-489B-94F9-C36426B2D357}"/>
    <cellStyle name="Normal 26 3 4 3 13" xfId="24401" xr:uid="{7B65A8D4-29F0-4C60-BCFA-B55BB79D9961}"/>
    <cellStyle name="Normal 26 3 4 3 14" xfId="26291" xr:uid="{2C89E031-A783-4AC3-B15A-9810FD9A0711}"/>
    <cellStyle name="Normal 26 3 4 3 15" xfId="28181" xr:uid="{A806ED18-9DD5-45A6-A87F-FABC7E888001}"/>
    <cellStyle name="Normal 26 3 4 3 16" xfId="30071" xr:uid="{9E0D65D0-7F70-4E80-8ABA-AB01DA475B67}"/>
    <cellStyle name="Normal 26 3 4 3 17" xfId="31961" xr:uid="{D58B6CAF-E894-4AC7-BB03-410F3D078A36}"/>
    <cellStyle name="Normal 26 3 4 3 18" xfId="33851" xr:uid="{99790A29-064F-4750-97BB-CB3C144DB505}"/>
    <cellStyle name="Normal 26 3 4 3 19" xfId="35741" xr:uid="{5A5423C2-AFF1-41DE-A872-4CB599EC98BA}"/>
    <cellStyle name="Normal 26 3 4 3 2" xfId="3611" xr:uid="{E35C37AC-4C36-4E83-A50E-375E78E180D0}"/>
    <cellStyle name="Normal 26 3 4 3 20" xfId="37631" xr:uid="{338D664B-80FF-4C36-BFAB-6BF580B1B866}"/>
    <cellStyle name="Normal 26 3 4 3 21" xfId="39521" xr:uid="{7A1F3377-63EA-484D-9FD9-D02C0B52556F}"/>
    <cellStyle name="Normal 26 3 4 3 22" xfId="41412" xr:uid="{2FFFB28C-82C2-4901-BDCB-A5E7433FCE57}"/>
    <cellStyle name="Normal 26 3 4 3 3" xfId="5501" xr:uid="{BD32C0E1-7437-4074-B852-560F598D707C}"/>
    <cellStyle name="Normal 26 3 4 3 4" xfId="7391" xr:uid="{601CA26F-E8F4-4C6D-ADBC-747E8B0AEB05}"/>
    <cellStyle name="Normal 26 3 4 3 5" xfId="9281" xr:uid="{CE766092-132F-46CB-A9E2-EA0A9E40C436}"/>
    <cellStyle name="Normal 26 3 4 3 6" xfId="11171" xr:uid="{F4661DEE-F09C-4F76-8550-EE78908BA56F}"/>
    <cellStyle name="Normal 26 3 4 3 7" xfId="13061" xr:uid="{0B0D2F04-941B-42D0-91B3-D91A7169F768}"/>
    <cellStyle name="Normal 26 3 4 3 8" xfId="14951" xr:uid="{D591D29D-16E2-4D93-8E0F-BE539B26B9CB}"/>
    <cellStyle name="Normal 26 3 4 3 9" xfId="16841" xr:uid="{DA15051C-819D-461D-B965-FECBB7D90494}"/>
    <cellStyle name="Normal 26 3 4 4" xfId="2351" xr:uid="{44D82D2A-2E75-4BC4-9C04-A5A994F26B95}"/>
    <cellStyle name="Normal 26 3 4 5" xfId="4241" xr:uid="{9F3083A8-CD8B-43AF-AD6A-6EC56E77239B}"/>
    <cellStyle name="Normal 26 3 4 6" xfId="6131" xr:uid="{0C1DD8E4-5866-4640-80D5-8D7A1EFB0CC9}"/>
    <cellStyle name="Normal 26 3 4 7" xfId="8021" xr:uid="{41D1C944-3EE0-4F8F-8582-028FB2DE31DA}"/>
    <cellStyle name="Normal 26 3 4 8" xfId="9911" xr:uid="{D4158343-A6E9-46BB-905D-C14CE8F01AE0}"/>
    <cellStyle name="Normal 26 3 4 9" xfId="11801" xr:uid="{7FEF1119-278E-4E93-8D8B-1D48FEDFC0ED}"/>
    <cellStyle name="Normal 26 3 5" xfId="671" xr:uid="{B723A946-0AA6-4EC4-8BF4-5A99FCB07DBF}"/>
    <cellStyle name="Normal 26 3 5 10" xfId="17681" xr:uid="{523869C2-24D6-4218-8C59-388BAAA8FE06}"/>
    <cellStyle name="Normal 26 3 5 11" xfId="19571" xr:uid="{A5C2C216-D675-4685-B1E7-38F3927BB2C0}"/>
    <cellStyle name="Normal 26 3 5 12" xfId="21461" xr:uid="{63D77F09-6972-4816-A92D-D1AC15FB2088}"/>
    <cellStyle name="Normal 26 3 5 13" xfId="23351" xr:uid="{8D80ABD0-ADB0-4226-9A8E-8FFED8DA02D7}"/>
    <cellStyle name="Normal 26 3 5 14" xfId="25241" xr:uid="{C16E5176-6D0B-419E-9B5F-F13EF6F7EFE6}"/>
    <cellStyle name="Normal 26 3 5 15" xfId="27131" xr:uid="{86D30738-98EE-4928-A169-3ECF68F88A91}"/>
    <cellStyle name="Normal 26 3 5 16" xfId="29021" xr:uid="{C23C59B8-0A37-4EDC-8B95-2A5E1760655C}"/>
    <cellStyle name="Normal 26 3 5 17" xfId="30911" xr:uid="{3789F0C0-1DC8-47C1-B9FC-D7543AF6DF4D}"/>
    <cellStyle name="Normal 26 3 5 18" xfId="32801" xr:uid="{157F03E7-6DC5-4B71-9D39-8F9F0711F7AA}"/>
    <cellStyle name="Normal 26 3 5 19" xfId="34691" xr:uid="{F51E72E9-4F2A-4D71-97A5-8376A09FB5B9}"/>
    <cellStyle name="Normal 26 3 5 2" xfId="2561" xr:uid="{00128754-BA9C-4140-8C6B-446F28056D2B}"/>
    <cellStyle name="Normal 26 3 5 20" xfId="36581" xr:uid="{A9DD5C0F-7F94-4856-89D8-94E4C905D96D}"/>
    <cellStyle name="Normal 26 3 5 21" xfId="38471" xr:uid="{954DD494-C4A2-4962-9C45-695D41534EC2}"/>
    <cellStyle name="Normal 26 3 5 22" xfId="40362" xr:uid="{0FD4AC5B-45CA-4DFF-81DC-27B8134D1CC0}"/>
    <cellStyle name="Normal 26 3 5 3" xfId="4451" xr:uid="{E5595E8C-7A8D-4243-9CAB-FD2EC7B228E1}"/>
    <cellStyle name="Normal 26 3 5 4" xfId="6341" xr:uid="{CF2F71D3-772D-445C-9F3D-35837AEB2C14}"/>
    <cellStyle name="Normal 26 3 5 5" xfId="8231" xr:uid="{1B3ACE45-C27A-4166-9113-B9D7F555702D}"/>
    <cellStyle name="Normal 26 3 5 6" xfId="10121" xr:uid="{AC0F6BBF-D228-44A6-843C-D1FA577B5BB8}"/>
    <cellStyle name="Normal 26 3 5 7" xfId="12011" xr:uid="{C3A23D27-8D46-4C3A-B113-E7BD3F6F94FE}"/>
    <cellStyle name="Normal 26 3 5 8" xfId="13901" xr:uid="{CCA01E1C-9BA8-4C56-9885-E6F805F6176E}"/>
    <cellStyle name="Normal 26 3 5 9" xfId="15791" xr:uid="{A9402660-1CAC-473E-A989-FD50130E99B9}"/>
    <cellStyle name="Normal 26 3 6" xfId="1301" xr:uid="{562F9000-47BD-42F5-BD35-B7CDBFB668E3}"/>
    <cellStyle name="Normal 26 3 6 10" xfId="18311" xr:uid="{574CF08E-8006-4BF2-80B8-43B2298F3007}"/>
    <cellStyle name="Normal 26 3 6 11" xfId="20201" xr:uid="{CA9EC663-60D4-47C6-B7A3-C6AC0DCFE6D1}"/>
    <cellStyle name="Normal 26 3 6 12" xfId="22091" xr:uid="{9BD099F9-CD30-45A8-9F39-1223F49B58D7}"/>
    <cellStyle name="Normal 26 3 6 13" xfId="23981" xr:uid="{63BB3CBB-940D-49E2-81EF-B985D0C7F506}"/>
    <cellStyle name="Normal 26 3 6 14" xfId="25871" xr:uid="{5A694331-8D98-4C85-AB9A-E52C04E700C6}"/>
    <cellStyle name="Normal 26 3 6 15" xfId="27761" xr:uid="{6A67006C-966A-462D-AE5D-E4C04C59C57A}"/>
    <cellStyle name="Normal 26 3 6 16" xfId="29651" xr:uid="{D386A2C4-BD66-46E9-A99D-6D17DF4C3E7C}"/>
    <cellStyle name="Normal 26 3 6 17" xfId="31541" xr:uid="{508DF89B-1A15-4C04-83A8-3AFAF8DC7323}"/>
    <cellStyle name="Normal 26 3 6 18" xfId="33431" xr:uid="{74533624-38A7-4B52-9D2E-FA0A16019154}"/>
    <cellStyle name="Normal 26 3 6 19" xfId="35321" xr:uid="{234002AD-0F7E-4007-82E9-38B4508D9A53}"/>
    <cellStyle name="Normal 26 3 6 2" xfId="3191" xr:uid="{AF071C02-869D-4A99-AE12-FB4DA699AE7C}"/>
    <cellStyle name="Normal 26 3 6 20" xfId="37211" xr:uid="{44463145-5D1D-43B6-8E75-A933E11591F9}"/>
    <cellStyle name="Normal 26 3 6 21" xfId="39101" xr:uid="{2B368CE8-873A-4F34-A7A4-AE10802BACC9}"/>
    <cellStyle name="Normal 26 3 6 22" xfId="40992" xr:uid="{D0603933-71D3-4910-99A3-CB618C1F56EA}"/>
    <cellStyle name="Normal 26 3 6 3" xfId="5081" xr:uid="{B2D1595F-89A4-4C80-9448-F982E950E9BC}"/>
    <cellStyle name="Normal 26 3 6 4" xfId="6971" xr:uid="{C755E80D-82CE-447D-8841-88FCD48BE0FE}"/>
    <cellStyle name="Normal 26 3 6 5" xfId="8861" xr:uid="{94C94227-EB6E-4FB4-A1D9-1BC1277FB00A}"/>
    <cellStyle name="Normal 26 3 6 6" xfId="10751" xr:uid="{AEAF6BBD-E56C-4601-A14E-9CBA4C5FD828}"/>
    <cellStyle name="Normal 26 3 6 7" xfId="12641" xr:uid="{4EF52387-B4F4-48D7-96DE-CD0E98CD7114}"/>
    <cellStyle name="Normal 26 3 6 8" xfId="14531" xr:uid="{F0FA7461-24E8-4748-87B2-1B711B3F1691}"/>
    <cellStyle name="Normal 26 3 6 9" xfId="16421" xr:uid="{C9570EA0-0234-446E-8B15-5E2C7E188353}"/>
    <cellStyle name="Normal 26 3 7" xfId="1931" xr:uid="{D3F856A6-FB6A-49E6-927B-C2A5BE8AFFA8}"/>
    <cellStyle name="Normal 26 3 8" xfId="3821" xr:uid="{AD7C19C1-06C8-4085-96DA-82D54CE3B390}"/>
    <cellStyle name="Normal 26 3 9" xfId="5711" xr:uid="{452FDD6A-635D-49D2-AF11-89E376DA3B57}"/>
    <cellStyle name="Normal 26 30" xfId="35946" xr:uid="{1CA2E021-BC12-4AC1-9BA8-033DA6A229DA}"/>
    <cellStyle name="Normal 26 31" xfId="37836" xr:uid="{CBA8E7FB-0E80-460A-89D5-2FA160A18CBB}"/>
    <cellStyle name="Normal 26 32" xfId="39727" xr:uid="{8EA0ADAC-0645-4F53-B172-F4B9D48170B7}"/>
    <cellStyle name="Normal 26 4" xfId="28" xr:uid="{9E5ECB58-0239-4C0B-9B83-E024EA66EB02}"/>
    <cellStyle name="Normal 26 4 10" xfId="7610" xr:uid="{5326A3D3-B16F-4ADF-9F08-43E49FBD2F17}"/>
    <cellStyle name="Normal 26 4 11" xfId="9500" xr:uid="{51B1A9E5-99A7-4D6A-8546-54CB50500DAD}"/>
    <cellStyle name="Normal 26 4 12" xfId="11390" xr:uid="{C00F0916-A3ED-4AA0-BCD6-B4A05BA167D6}"/>
    <cellStyle name="Normal 26 4 13" xfId="13280" xr:uid="{E1B3911D-CBC8-489E-B787-334F525C994B}"/>
    <cellStyle name="Normal 26 4 14" xfId="15170" xr:uid="{5D18D74F-4CA3-439E-919E-EE139CC52B33}"/>
    <cellStyle name="Normal 26 4 15" xfId="17060" xr:uid="{DA22C3F2-88D6-44AA-B9C6-0A30A17EC483}"/>
    <cellStyle name="Normal 26 4 16" xfId="18950" xr:uid="{CF6C4F0C-C623-4CA9-BEB0-2337153D8A51}"/>
    <cellStyle name="Normal 26 4 17" xfId="20840" xr:uid="{62E73948-B8A1-4598-9379-33974A27C06F}"/>
    <cellStyle name="Normal 26 4 18" xfId="22730" xr:uid="{E21848DC-8A24-4D7D-AB64-21C743C9A609}"/>
    <cellStyle name="Normal 26 4 19" xfId="24620" xr:uid="{0819F88C-8D82-4F94-AFB7-17EFCA897BBE}"/>
    <cellStyle name="Normal 26 4 2" xfId="155" xr:uid="{8E5EA8E2-50BC-49FA-B2B5-773834B7A07B}"/>
    <cellStyle name="Normal 26 4 2 10" xfId="9605" xr:uid="{2A50F180-F838-4B72-ABFA-06E98940092C}"/>
    <cellStyle name="Normal 26 4 2 11" xfId="11495" xr:uid="{C1904CEB-9C7F-47B5-8012-E5CE7C8625EF}"/>
    <cellStyle name="Normal 26 4 2 12" xfId="13385" xr:uid="{627E7C5D-507C-49FF-8DCD-EAA16E38C453}"/>
    <cellStyle name="Normal 26 4 2 13" xfId="15275" xr:uid="{EBA06791-49E5-476E-9F52-368F1CD63131}"/>
    <cellStyle name="Normal 26 4 2 14" xfId="17165" xr:uid="{30BFCAA9-4CAF-4F62-8365-1410E9252584}"/>
    <cellStyle name="Normal 26 4 2 15" xfId="19055" xr:uid="{89D8DD41-0B31-4E7B-A2FE-F114D7646D0D}"/>
    <cellStyle name="Normal 26 4 2 16" xfId="20945" xr:uid="{DCF441A6-FC20-4811-AAFE-37C9F0A5EB86}"/>
    <cellStyle name="Normal 26 4 2 17" xfId="22835" xr:uid="{15B906CA-77F5-4824-AE1C-76FFB444E1FB}"/>
    <cellStyle name="Normal 26 4 2 18" xfId="24725" xr:uid="{42240B13-011C-41C2-BA3F-E161FCA931DB}"/>
    <cellStyle name="Normal 26 4 2 19" xfId="26615" xr:uid="{B7075BA7-DF9E-4758-977E-B6131F14CE7D}"/>
    <cellStyle name="Normal 26 4 2 2" xfId="365" xr:uid="{2799B614-45D8-445A-900B-2C8B6BB2A415}"/>
    <cellStyle name="Normal 26 4 2 2 10" xfId="13595" xr:uid="{CBCB129D-2B0B-4F4A-A1C8-EA4353E1140B}"/>
    <cellStyle name="Normal 26 4 2 2 11" xfId="15485" xr:uid="{D261E8A8-A115-4E6B-ABE1-7B4710CECC82}"/>
    <cellStyle name="Normal 26 4 2 2 12" xfId="17375" xr:uid="{FEDD5500-90FF-4B55-B466-4F9AF58655D0}"/>
    <cellStyle name="Normal 26 4 2 2 13" xfId="19265" xr:uid="{CC6D22CE-B73A-4E29-9449-4C0A49D6941F}"/>
    <cellStyle name="Normal 26 4 2 2 14" xfId="21155" xr:uid="{98045E84-3558-4B34-9D27-4F38BA175757}"/>
    <cellStyle name="Normal 26 4 2 2 15" xfId="23045" xr:uid="{1AD57353-634F-40CD-B0F9-9FF4BF58EEE9}"/>
    <cellStyle name="Normal 26 4 2 2 16" xfId="24935" xr:uid="{E7630521-E30B-447D-9BBA-F56472A010A7}"/>
    <cellStyle name="Normal 26 4 2 2 17" xfId="26825" xr:uid="{7AE45A79-6165-44A8-958E-DB82E1BF121D}"/>
    <cellStyle name="Normal 26 4 2 2 18" xfId="28715" xr:uid="{06DA8D1C-C9F3-417D-ACED-FA648776E767}"/>
    <cellStyle name="Normal 26 4 2 2 19" xfId="30605" xr:uid="{E569673E-9CF0-4387-B15E-1EB2CD28157A}"/>
    <cellStyle name="Normal 26 4 2 2 2" xfId="995" xr:uid="{AF45FFCF-86C7-43DE-B8FB-0EAC0FC7E23B}"/>
    <cellStyle name="Normal 26 4 2 2 2 10" xfId="18005" xr:uid="{773F30F9-19CE-41AB-88B0-DE087837F939}"/>
    <cellStyle name="Normal 26 4 2 2 2 11" xfId="19895" xr:uid="{DFE37635-18BB-4057-8FFD-05A5A369A1EF}"/>
    <cellStyle name="Normal 26 4 2 2 2 12" xfId="21785" xr:uid="{52ECFB5D-87EA-422D-A54B-001439755779}"/>
    <cellStyle name="Normal 26 4 2 2 2 13" xfId="23675" xr:uid="{C7272AF0-DF97-4158-B848-506AEF38E9FE}"/>
    <cellStyle name="Normal 26 4 2 2 2 14" xfId="25565" xr:uid="{28047BB2-5E18-48AB-9219-44591FACBC04}"/>
    <cellStyle name="Normal 26 4 2 2 2 15" xfId="27455" xr:uid="{E88982ED-4029-43BF-9E77-71C13AA03A68}"/>
    <cellStyle name="Normal 26 4 2 2 2 16" xfId="29345" xr:uid="{77E3B989-DC07-4F42-9E06-4D8D8D446896}"/>
    <cellStyle name="Normal 26 4 2 2 2 17" xfId="31235" xr:uid="{DE5CB488-F57C-496F-99D8-343F530BCD17}"/>
    <cellStyle name="Normal 26 4 2 2 2 18" xfId="33125" xr:uid="{8A4D1610-A2A3-4A99-8A34-4C096458AC7E}"/>
    <cellStyle name="Normal 26 4 2 2 2 19" xfId="35015" xr:uid="{A8607264-F6C5-4D65-9C21-476C029D4F11}"/>
    <cellStyle name="Normal 26 4 2 2 2 2" xfId="2885" xr:uid="{73A75CC5-3596-432F-B8D5-1BCC6959D3F1}"/>
    <cellStyle name="Normal 26 4 2 2 2 20" xfId="36905" xr:uid="{E0017218-E975-4F8C-87FD-E0977CB255B6}"/>
    <cellStyle name="Normal 26 4 2 2 2 21" xfId="38795" xr:uid="{933DD364-06AD-492A-9A51-72D467E80937}"/>
    <cellStyle name="Normal 26 4 2 2 2 22" xfId="40686" xr:uid="{2F9CB28B-E8E1-4F7F-8844-B5464AC9651E}"/>
    <cellStyle name="Normal 26 4 2 2 2 3" xfId="4775" xr:uid="{157B3542-976C-4370-AC08-8FEFE3616A2D}"/>
    <cellStyle name="Normal 26 4 2 2 2 4" xfId="6665" xr:uid="{95EEE325-2D71-49C7-99A4-547CE94B4A41}"/>
    <cellStyle name="Normal 26 4 2 2 2 5" xfId="8555" xr:uid="{CC315227-E1E4-4D1A-9AE1-519E3807B8B6}"/>
    <cellStyle name="Normal 26 4 2 2 2 6" xfId="10445" xr:uid="{792CCE0F-B2DB-46EF-8739-96C63FB60A62}"/>
    <cellStyle name="Normal 26 4 2 2 2 7" xfId="12335" xr:uid="{363025CC-9E87-4F7B-BF94-B4511392BAA0}"/>
    <cellStyle name="Normal 26 4 2 2 2 8" xfId="14225" xr:uid="{B69001FD-E8ED-4D2F-A7E5-00F4A816A064}"/>
    <cellStyle name="Normal 26 4 2 2 2 9" xfId="16115" xr:uid="{B56B7A6B-D515-4BF0-92E1-27D853CEDDCF}"/>
    <cellStyle name="Normal 26 4 2 2 20" xfId="32495" xr:uid="{634FCC26-06EA-4C71-908C-0C5D8CFD7D31}"/>
    <cellStyle name="Normal 26 4 2 2 21" xfId="34385" xr:uid="{389C016E-BBF3-4945-8EC0-624A2FFCE4C0}"/>
    <cellStyle name="Normal 26 4 2 2 22" xfId="36275" xr:uid="{1AD3165E-981D-470B-BC19-16E2DD36CA12}"/>
    <cellStyle name="Normal 26 4 2 2 23" xfId="38165" xr:uid="{F52E2029-B2A0-4C61-986F-4E8FDB2FFAE5}"/>
    <cellStyle name="Normal 26 4 2 2 24" xfId="40056" xr:uid="{7B3800B4-CEFF-4755-9F79-3D8087E7F1D1}"/>
    <cellStyle name="Normal 26 4 2 2 3" xfId="1625" xr:uid="{77A4BF2B-BE6C-4A8F-B425-0963036070E8}"/>
    <cellStyle name="Normal 26 4 2 2 3 10" xfId="18635" xr:uid="{804F5456-1148-437F-8501-693922B67D22}"/>
    <cellStyle name="Normal 26 4 2 2 3 11" xfId="20525" xr:uid="{108AE3DC-0826-40DD-8CE6-13D146A82ED1}"/>
    <cellStyle name="Normal 26 4 2 2 3 12" xfId="22415" xr:uid="{1640E905-D242-4EA7-B38D-415656D6D475}"/>
    <cellStyle name="Normal 26 4 2 2 3 13" xfId="24305" xr:uid="{05D47854-A8E2-48F3-B5BC-3F6F00F811CF}"/>
    <cellStyle name="Normal 26 4 2 2 3 14" xfId="26195" xr:uid="{B2CE74FE-6F42-48CB-871A-22382AADB018}"/>
    <cellStyle name="Normal 26 4 2 2 3 15" xfId="28085" xr:uid="{762B8358-FBFC-495C-99CA-8E931A43EEC0}"/>
    <cellStyle name="Normal 26 4 2 2 3 16" xfId="29975" xr:uid="{4B509289-EDF8-4706-B6F7-8332EDDC7AD9}"/>
    <cellStyle name="Normal 26 4 2 2 3 17" xfId="31865" xr:uid="{50D80AC4-A46A-45C0-A4E3-A91806693F67}"/>
    <cellStyle name="Normal 26 4 2 2 3 18" xfId="33755" xr:uid="{6B76256A-2745-4E3B-B9A8-A7492BF930B6}"/>
    <cellStyle name="Normal 26 4 2 2 3 19" xfId="35645" xr:uid="{EE0DB51D-31BC-49E3-8CDD-79C8A262CB18}"/>
    <cellStyle name="Normal 26 4 2 2 3 2" xfId="3515" xr:uid="{A0EC0612-8771-4237-B4CF-18CBCA310BAA}"/>
    <cellStyle name="Normal 26 4 2 2 3 20" xfId="37535" xr:uid="{CD2B630B-951F-441F-B055-68157D836EF2}"/>
    <cellStyle name="Normal 26 4 2 2 3 21" xfId="39425" xr:uid="{EBAC9189-92C0-4FC0-9A9C-09FE2718C1BE}"/>
    <cellStyle name="Normal 26 4 2 2 3 22" xfId="41316" xr:uid="{B61F46EE-3178-43B9-9BFD-727262D8BEBA}"/>
    <cellStyle name="Normal 26 4 2 2 3 3" xfId="5405" xr:uid="{B5A876E4-F3F3-4C2C-BAF6-72C0CF9DCD23}"/>
    <cellStyle name="Normal 26 4 2 2 3 4" xfId="7295" xr:uid="{AF7A4279-6C9C-4DC6-AAFD-9152B73FB465}"/>
    <cellStyle name="Normal 26 4 2 2 3 5" xfId="9185" xr:uid="{E9A718D0-46C1-483D-880D-AF5B892BBC83}"/>
    <cellStyle name="Normal 26 4 2 2 3 6" xfId="11075" xr:uid="{9BE21C1A-39A7-4FD6-8B03-75DA697888A6}"/>
    <cellStyle name="Normal 26 4 2 2 3 7" xfId="12965" xr:uid="{353C2453-D6F5-4FD5-A8CD-EAABB6C7F5E9}"/>
    <cellStyle name="Normal 26 4 2 2 3 8" xfId="14855" xr:uid="{BFE95414-3910-457E-93B8-A11A7DF6C520}"/>
    <cellStyle name="Normal 26 4 2 2 3 9" xfId="16745" xr:uid="{90583D79-ADEB-44AA-95F0-E94B2CFFC4D5}"/>
    <cellStyle name="Normal 26 4 2 2 4" xfId="2255" xr:uid="{20B413E4-B11D-47A6-A1F0-D8D79F9AEA41}"/>
    <cellStyle name="Normal 26 4 2 2 5" xfId="4145" xr:uid="{42A8F76C-4F85-4ADC-B4A2-429BF9537223}"/>
    <cellStyle name="Normal 26 4 2 2 6" xfId="6035" xr:uid="{AF2E7968-BF9E-4340-89A7-DB9A05FF0328}"/>
    <cellStyle name="Normal 26 4 2 2 7" xfId="7925" xr:uid="{B9C07F34-A74B-4B83-B8C1-4837DF20DCA1}"/>
    <cellStyle name="Normal 26 4 2 2 8" xfId="9815" xr:uid="{DFA60263-F110-4F68-9A69-ABCF2D71CFD4}"/>
    <cellStyle name="Normal 26 4 2 2 9" xfId="11705" xr:uid="{DBCACC4A-D2B4-4AA9-85E2-91D1B27ABFD3}"/>
    <cellStyle name="Normal 26 4 2 20" xfId="28505" xr:uid="{D4C7C341-4A1D-4594-849C-5F2ADF5AC19E}"/>
    <cellStyle name="Normal 26 4 2 21" xfId="30395" xr:uid="{6FE56F6B-2122-460D-ACE7-8851C5245D2F}"/>
    <cellStyle name="Normal 26 4 2 22" xfId="32285" xr:uid="{92DFB996-E72C-40AE-9989-BCDB0C3D3809}"/>
    <cellStyle name="Normal 26 4 2 23" xfId="34175" xr:uid="{40184110-705F-47DA-A5E6-2A88627A680A}"/>
    <cellStyle name="Normal 26 4 2 24" xfId="36065" xr:uid="{DBCBEB8E-8F1F-484F-91F6-CE523F7EE54F}"/>
    <cellStyle name="Normal 26 4 2 25" xfId="37955" xr:uid="{6BBE55BC-7AB7-494C-B25F-32E33CAAD242}"/>
    <cellStyle name="Normal 26 4 2 26" xfId="39846" xr:uid="{C151CB40-DBF5-491D-84BB-3FB8925F6594}"/>
    <cellStyle name="Normal 26 4 2 3" xfId="575" xr:uid="{92E95AA0-A07D-4C5F-A21E-6411CA3F75A5}"/>
    <cellStyle name="Normal 26 4 2 3 10" xfId="13805" xr:uid="{E7E69EB9-66BB-4FBB-B2E1-1C3E1F0ACEB5}"/>
    <cellStyle name="Normal 26 4 2 3 11" xfId="15695" xr:uid="{67F9A2A2-2BD9-4E0C-8484-BF4EC1C3B264}"/>
    <cellStyle name="Normal 26 4 2 3 12" xfId="17585" xr:uid="{7FB2627D-9D57-4C3C-A460-2054EF7BF83E}"/>
    <cellStyle name="Normal 26 4 2 3 13" xfId="19475" xr:uid="{834833F9-9B0D-4AD5-A3BD-03FB14DB4669}"/>
    <cellStyle name="Normal 26 4 2 3 14" xfId="21365" xr:uid="{79FC7DA1-CBAC-46E5-B040-EF37B794AC77}"/>
    <cellStyle name="Normal 26 4 2 3 15" xfId="23255" xr:uid="{E65E7B8E-A9FE-435F-B723-1152BA057611}"/>
    <cellStyle name="Normal 26 4 2 3 16" xfId="25145" xr:uid="{A62D0B8F-64D3-497F-A542-73E63307E773}"/>
    <cellStyle name="Normal 26 4 2 3 17" xfId="27035" xr:uid="{891C93F2-4F31-4D9F-95CD-71AC80FE154A}"/>
    <cellStyle name="Normal 26 4 2 3 18" xfId="28925" xr:uid="{3F2D7489-28BF-419E-B94F-E64F3403F227}"/>
    <cellStyle name="Normal 26 4 2 3 19" xfId="30815" xr:uid="{0564A78F-8589-4495-A9B6-56C2925E3D1C}"/>
    <cellStyle name="Normal 26 4 2 3 2" xfId="1205" xr:uid="{BA102DE0-72CE-4035-87E0-47FE0588301D}"/>
    <cellStyle name="Normal 26 4 2 3 2 10" xfId="18215" xr:uid="{E47B3900-8FB5-43CD-81D9-54F4F07AEC2A}"/>
    <cellStyle name="Normal 26 4 2 3 2 11" xfId="20105" xr:uid="{124724F0-66E5-411F-8649-C5C25513C19F}"/>
    <cellStyle name="Normal 26 4 2 3 2 12" xfId="21995" xr:uid="{42153D37-0CC4-4FD7-AACE-6CE4DC049AD3}"/>
    <cellStyle name="Normal 26 4 2 3 2 13" xfId="23885" xr:uid="{DAFD76EE-05F9-435E-845D-023093AB7598}"/>
    <cellStyle name="Normal 26 4 2 3 2 14" xfId="25775" xr:uid="{AA02E959-56B3-4E4B-A587-BD2EA35CDB3B}"/>
    <cellStyle name="Normal 26 4 2 3 2 15" xfId="27665" xr:uid="{AC78A7A9-AE82-4DF3-838D-2646B9DB2338}"/>
    <cellStyle name="Normal 26 4 2 3 2 16" xfId="29555" xr:uid="{D92CC84D-4743-4FE9-8F19-CCA03661FA16}"/>
    <cellStyle name="Normal 26 4 2 3 2 17" xfId="31445" xr:uid="{64C54C4A-4A15-49AC-AB43-C10E9ED64CF9}"/>
    <cellStyle name="Normal 26 4 2 3 2 18" xfId="33335" xr:uid="{CC8B9C4E-D138-4217-8018-69FF2B3A2A6C}"/>
    <cellStyle name="Normal 26 4 2 3 2 19" xfId="35225" xr:uid="{CBC6541C-E394-4A5E-B145-90FA771130EA}"/>
    <cellStyle name="Normal 26 4 2 3 2 2" xfId="3095" xr:uid="{B2A9E7A3-0D68-4CE0-9614-B10F2CA45821}"/>
    <cellStyle name="Normal 26 4 2 3 2 20" xfId="37115" xr:uid="{D8CB6625-0423-4DDC-8F26-357E6F5ABE39}"/>
    <cellStyle name="Normal 26 4 2 3 2 21" xfId="39005" xr:uid="{7D121A26-B873-4D28-8F06-0366EC7D1449}"/>
    <cellStyle name="Normal 26 4 2 3 2 22" xfId="40896" xr:uid="{ADF86942-5C8C-499C-917B-F4E9879BEEC3}"/>
    <cellStyle name="Normal 26 4 2 3 2 3" xfId="4985" xr:uid="{FDBDA717-674F-4D12-BCBD-58E4E05E2A52}"/>
    <cellStyle name="Normal 26 4 2 3 2 4" xfId="6875" xr:uid="{BD30B819-E026-4D55-8F43-6C0600C242F0}"/>
    <cellStyle name="Normal 26 4 2 3 2 5" xfId="8765" xr:uid="{B80C61AC-0930-4DB5-9402-154064EC99C9}"/>
    <cellStyle name="Normal 26 4 2 3 2 6" xfId="10655" xr:uid="{7DACE5B8-262D-4011-A538-C2F52377E346}"/>
    <cellStyle name="Normal 26 4 2 3 2 7" xfId="12545" xr:uid="{E2760637-16ED-4813-B582-CBF286AB3D05}"/>
    <cellStyle name="Normal 26 4 2 3 2 8" xfId="14435" xr:uid="{516FDD47-FC86-4BAF-8962-453270C58887}"/>
    <cellStyle name="Normal 26 4 2 3 2 9" xfId="16325" xr:uid="{48B2AE21-4CE3-42F5-9A51-2B4A72D96D47}"/>
    <cellStyle name="Normal 26 4 2 3 20" xfId="32705" xr:uid="{4FCEF353-7324-4BB0-B445-EFC0B0703AFD}"/>
    <cellStyle name="Normal 26 4 2 3 21" xfId="34595" xr:uid="{910745D0-56A2-4B90-8B44-4001D3AB57F1}"/>
    <cellStyle name="Normal 26 4 2 3 22" xfId="36485" xr:uid="{903B9A7A-E5E5-48C2-8DE3-6AEAC7EAD44D}"/>
    <cellStyle name="Normal 26 4 2 3 23" xfId="38375" xr:uid="{D96ECC6B-4DB4-4CC3-9E21-7FDF01829FBE}"/>
    <cellStyle name="Normal 26 4 2 3 24" xfId="40266" xr:uid="{396AB3DB-1E1B-42FB-A678-3AA9ED042A13}"/>
    <cellStyle name="Normal 26 4 2 3 3" xfId="1835" xr:uid="{56B344FE-6648-4533-B4DD-38CB4F90EF0B}"/>
    <cellStyle name="Normal 26 4 2 3 3 10" xfId="18845" xr:uid="{C8B7ED24-1B1D-454F-8516-B5B179C7D6F5}"/>
    <cellStyle name="Normal 26 4 2 3 3 11" xfId="20735" xr:uid="{38831474-BF0D-4487-A45C-CB9C235D815E}"/>
    <cellStyle name="Normal 26 4 2 3 3 12" xfId="22625" xr:uid="{D33524C7-7799-4521-95EB-2C4C59F0E0C9}"/>
    <cellStyle name="Normal 26 4 2 3 3 13" xfId="24515" xr:uid="{2AEBB3B8-FC9B-41C0-8890-9D7F8E746E42}"/>
    <cellStyle name="Normal 26 4 2 3 3 14" xfId="26405" xr:uid="{50D28A2C-B283-45D9-8711-86BCBEA35F6D}"/>
    <cellStyle name="Normal 26 4 2 3 3 15" xfId="28295" xr:uid="{7E2B5C34-7731-4E9E-A793-1DE6511F55F3}"/>
    <cellStyle name="Normal 26 4 2 3 3 16" xfId="30185" xr:uid="{C1A075A6-E0F2-4AB4-A683-877A5CE28FB6}"/>
    <cellStyle name="Normal 26 4 2 3 3 17" xfId="32075" xr:uid="{42A62669-7867-4B17-8465-23703EFEAF7C}"/>
    <cellStyle name="Normal 26 4 2 3 3 18" xfId="33965" xr:uid="{E7AF8B18-0D77-4F9D-A753-FD9C9C207115}"/>
    <cellStyle name="Normal 26 4 2 3 3 19" xfId="35855" xr:uid="{4C2A9458-2640-4EF4-B8A3-DBB5380AD1B3}"/>
    <cellStyle name="Normal 26 4 2 3 3 2" xfId="3725" xr:uid="{55DA39D5-E265-4015-A7DF-61A2BF827D87}"/>
    <cellStyle name="Normal 26 4 2 3 3 20" xfId="37745" xr:uid="{79AAC87E-E186-4776-BDDC-4AB2486FED1C}"/>
    <cellStyle name="Normal 26 4 2 3 3 21" xfId="39635" xr:uid="{DC7953FC-3845-42C7-83B7-B145044B0B3B}"/>
    <cellStyle name="Normal 26 4 2 3 3 22" xfId="41526" xr:uid="{E1744712-64D7-42C8-B514-529696164253}"/>
    <cellStyle name="Normal 26 4 2 3 3 3" xfId="5615" xr:uid="{D97C7550-0E1C-486D-B91D-86349736D5B1}"/>
    <cellStyle name="Normal 26 4 2 3 3 4" xfId="7505" xr:uid="{D39C8AF3-02B4-4FF5-80C3-F423828DF398}"/>
    <cellStyle name="Normal 26 4 2 3 3 5" xfId="9395" xr:uid="{F1B04EA7-C214-4E03-9493-41B09CC33574}"/>
    <cellStyle name="Normal 26 4 2 3 3 6" xfId="11285" xr:uid="{EADF8FE5-0735-45B8-A176-4C7F77CE05E6}"/>
    <cellStyle name="Normal 26 4 2 3 3 7" xfId="13175" xr:uid="{BEB7C6F5-47A8-4DA3-84BF-E70DD036FCDF}"/>
    <cellStyle name="Normal 26 4 2 3 3 8" xfId="15065" xr:uid="{7CD58EB8-90EB-48EF-86CD-70D4FD11A59D}"/>
    <cellStyle name="Normal 26 4 2 3 3 9" xfId="16955" xr:uid="{859348F1-9268-4F79-9E08-CE38E2461844}"/>
    <cellStyle name="Normal 26 4 2 3 4" xfId="2465" xr:uid="{1709B48B-68D7-46D4-9177-FAC4372A31AC}"/>
    <cellStyle name="Normal 26 4 2 3 5" xfId="4355" xr:uid="{2F2FDCB8-D6A3-4A9C-8383-CB7E947A1EDA}"/>
    <cellStyle name="Normal 26 4 2 3 6" xfId="6245" xr:uid="{D3567A69-36DC-47E0-B09A-1858F7B58E63}"/>
    <cellStyle name="Normal 26 4 2 3 7" xfId="8135" xr:uid="{80655AD1-DD88-4CDE-AF74-80EE2FFD05EF}"/>
    <cellStyle name="Normal 26 4 2 3 8" xfId="10025" xr:uid="{C6D043BC-20CB-43EC-AEC8-2D0F7B795351}"/>
    <cellStyle name="Normal 26 4 2 3 9" xfId="11915" xr:uid="{CA9674A4-79C4-4393-BEDD-B2CB95EA4A1F}"/>
    <cellStyle name="Normal 26 4 2 4" xfId="785" xr:uid="{D1041FC4-EE46-48F1-9EAB-65CC067F616C}"/>
    <cellStyle name="Normal 26 4 2 4 10" xfId="17795" xr:uid="{CD7D7938-D9A3-4D51-B479-AC3B664DB35A}"/>
    <cellStyle name="Normal 26 4 2 4 11" xfId="19685" xr:uid="{4ACB313D-DDA2-4F45-9C91-DD1EC1DD3EFE}"/>
    <cellStyle name="Normal 26 4 2 4 12" xfId="21575" xr:uid="{63B4E0B1-56A7-461A-8509-513E5D1E1B0A}"/>
    <cellStyle name="Normal 26 4 2 4 13" xfId="23465" xr:uid="{21BE8CE7-717E-4C7B-8FBB-94052B757B70}"/>
    <cellStyle name="Normal 26 4 2 4 14" xfId="25355" xr:uid="{F2321509-2835-447F-BBE5-82430C896DB0}"/>
    <cellStyle name="Normal 26 4 2 4 15" xfId="27245" xr:uid="{AADC2FF4-21DF-4B3A-B64F-E52FCC13548E}"/>
    <cellStyle name="Normal 26 4 2 4 16" xfId="29135" xr:uid="{C4C9A5BF-4A30-476A-B250-FD00867B9DC8}"/>
    <cellStyle name="Normal 26 4 2 4 17" xfId="31025" xr:uid="{E7103C0F-4EB6-42C4-952B-18E4C07893EB}"/>
    <cellStyle name="Normal 26 4 2 4 18" xfId="32915" xr:uid="{CF8961F4-B24F-4067-A2D1-C231695C414C}"/>
    <cellStyle name="Normal 26 4 2 4 19" xfId="34805" xr:uid="{B2E76772-3C36-4976-AB2D-66A7DF466F98}"/>
    <cellStyle name="Normal 26 4 2 4 2" xfId="2675" xr:uid="{FB15A1D2-4B09-4E77-BB09-176925328A57}"/>
    <cellStyle name="Normal 26 4 2 4 20" xfId="36695" xr:uid="{9C1BF3BC-F48A-44BE-938D-7939555A2022}"/>
    <cellStyle name="Normal 26 4 2 4 21" xfId="38585" xr:uid="{8D95EF9D-D5AF-4B78-B4DD-50B788C5D759}"/>
    <cellStyle name="Normal 26 4 2 4 22" xfId="40476" xr:uid="{2D63E7AF-6E96-44D8-961A-42F0840AD4AF}"/>
    <cellStyle name="Normal 26 4 2 4 3" xfId="4565" xr:uid="{B18F56C1-BF2B-480C-9D23-2D2718622EE9}"/>
    <cellStyle name="Normal 26 4 2 4 4" xfId="6455" xr:uid="{8DC26AD5-8CC7-4630-950F-046122D1B11F}"/>
    <cellStyle name="Normal 26 4 2 4 5" xfId="8345" xr:uid="{186C442C-C2F7-4B96-9FC1-40CD1E7EDCEC}"/>
    <cellStyle name="Normal 26 4 2 4 6" xfId="10235" xr:uid="{05B730DC-3FCC-40A9-9AEE-4916D81BB67F}"/>
    <cellStyle name="Normal 26 4 2 4 7" xfId="12125" xr:uid="{867A237F-9E09-4F8C-BFD5-7789ECB703E8}"/>
    <cellStyle name="Normal 26 4 2 4 8" xfId="14015" xr:uid="{BFDA7761-A76D-42EF-B209-22402B980A87}"/>
    <cellStyle name="Normal 26 4 2 4 9" xfId="15905" xr:uid="{161FBCB3-394B-4976-B154-8C03DFE55123}"/>
    <cellStyle name="Normal 26 4 2 5" xfId="1415" xr:uid="{D8942E81-DD06-4A90-AB17-7A50FC52891D}"/>
    <cellStyle name="Normal 26 4 2 5 10" xfId="18425" xr:uid="{8719FBF5-7858-4D13-87B0-F4E1D175AB74}"/>
    <cellStyle name="Normal 26 4 2 5 11" xfId="20315" xr:uid="{B3341995-8F50-45DE-802E-B0C0C7D59B19}"/>
    <cellStyle name="Normal 26 4 2 5 12" xfId="22205" xr:uid="{5490DBC1-1EC5-4839-A3B7-EA840D8F8221}"/>
    <cellStyle name="Normal 26 4 2 5 13" xfId="24095" xr:uid="{91BA4AFC-0F4C-4039-88FD-44492CB166B1}"/>
    <cellStyle name="Normal 26 4 2 5 14" xfId="25985" xr:uid="{5FCB8DBF-36C1-4B6E-AD41-4E11B941072C}"/>
    <cellStyle name="Normal 26 4 2 5 15" xfId="27875" xr:uid="{CFC03F82-49AB-4C15-B145-36D3A9246BE1}"/>
    <cellStyle name="Normal 26 4 2 5 16" xfId="29765" xr:uid="{5EE6B147-7F01-426A-94D8-E601A86E8983}"/>
    <cellStyle name="Normal 26 4 2 5 17" xfId="31655" xr:uid="{A2C812BB-C4D9-4875-BAF2-2AE5598CE34D}"/>
    <cellStyle name="Normal 26 4 2 5 18" xfId="33545" xr:uid="{FD1AC63E-A3A8-4D1F-9DB9-95955656763D}"/>
    <cellStyle name="Normal 26 4 2 5 19" xfId="35435" xr:uid="{1E14B839-F0DB-4AF5-ADC4-5FD72304750B}"/>
    <cellStyle name="Normal 26 4 2 5 2" xfId="3305" xr:uid="{CF849E30-AD3E-40DF-BFC0-C6ED000887AF}"/>
    <cellStyle name="Normal 26 4 2 5 20" xfId="37325" xr:uid="{067049C2-8CB4-4710-8CCA-8C53789DE65D}"/>
    <cellStyle name="Normal 26 4 2 5 21" xfId="39215" xr:uid="{248E64C6-1543-4444-8C9C-36B49F9B2F46}"/>
    <cellStyle name="Normal 26 4 2 5 22" xfId="41106" xr:uid="{EA81B618-B8E9-48FD-AEAF-130C34F5B3DF}"/>
    <cellStyle name="Normal 26 4 2 5 3" xfId="5195" xr:uid="{13F16552-0FDE-4F93-A702-622E45E8A15C}"/>
    <cellStyle name="Normal 26 4 2 5 4" xfId="7085" xr:uid="{055CAAED-8E4E-4238-8A4E-42E7686CAD8F}"/>
    <cellStyle name="Normal 26 4 2 5 5" xfId="8975" xr:uid="{3C265A9E-3AF3-43A1-8CA4-42A7B8A77337}"/>
    <cellStyle name="Normal 26 4 2 5 6" xfId="10865" xr:uid="{2D725BC4-B561-40A7-AD5D-1F0E35607C2F}"/>
    <cellStyle name="Normal 26 4 2 5 7" xfId="12755" xr:uid="{8E32ECDA-C4F2-45EE-B7C1-FEF542DF4E57}"/>
    <cellStyle name="Normal 26 4 2 5 8" xfId="14645" xr:uid="{A7F0C0CB-2A42-44C2-86F7-4DC4C12B008F}"/>
    <cellStyle name="Normal 26 4 2 5 9" xfId="16535" xr:uid="{0BB89BF6-811C-4BB5-92A5-651DA134499E}"/>
    <cellStyle name="Normal 26 4 2 6" xfId="2045" xr:uid="{C3C747DE-6482-45D2-9A88-CE66C3DB4C2E}"/>
    <cellStyle name="Normal 26 4 2 7" xfId="3935" xr:uid="{264C5E3B-13F3-41BF-BC33-0ED717283B1B}"/>
    <cellStyle name="Normal 26 4 2 8" xfId="5825" xr:uid="{34533E9C-9B27-4DB9-8664-E5DF5B6EF856}"/>
    <cellStyle name="Normal 26 4 2 9" xfId="7715" xr:uid="{04326629-80F8-44DF-ADD6-6F38E9B948C9}"/>
    <cellStyle name="Normal 26 4 20" xfId="26510" xr:uid="{B8EA4813-DE63-4806-B5BB-C6095290E9AE}"/>
    <cellStyle name="Normal 26 4 21" xfId="28400" xr:uid="{31805487-24E3-4DE5-A9F1-70F847F0A440}"/>
    <cellStyle name="Normal 26 4 22" xfId="30290" xr:uid="{A2084E4C-C4A4-467A-B80E-8F6B8F289B8B}"/>
    <cellStyle name="Normal 26 4 23" xfId="32180" xr:uid="{A935FABE-4EB3-41B5-B2FA-974B4B3E3E9B}"/>
    <cellStyle name="Normal 26 4 24" xfId="34070" xr:uid="{72845E9C-E61E-4D02-AD23-824DF42CCF1A}"/>
    <cellStyle name="Normal 26 4 25" xfId="35960" xr:uid="{2756CC63-9E04-4570-96BE-A410A357BF06}"/>
    <cellStyle name="Normal 26 4 26" xfId="37850" xr:uid="{F7D7350E-9FEF-4C7C-8ACC-EBD1FAB4304D}"/>
    <cellStyle name="Normal 26 4 27" xfId="39741" xr:uid="{AE94612C-DC66-479E-9B86-90681D47104C}"/>
    <cellStyle name="Normal 26 4 3" xfId="260" xr:uid="{9CBEB475-FA14-4885-801B-7D02AD992FB0}"/>
    <cellStyle name="Normal 26 4 3 10" xfId="13490" xr:uid="{66B7F8EE-A9B1-4148-98B2-55CA4657C64A}"/>
    <cellStyle name="Normal 26 4 3 11" xfId="15380" xr:uid="{F5F01CA8-5FCC-4F76-9D43-D258A76AD20A}"/>
    <cellStyle name="Normal 26 4 3 12" xfId="17270" xr:uid="{68366C31-4583-4902-8D56-5A0A9CD62312}"/>
    <cellStyle name="Normal 26 4 3 13" xfId="19160" xr:uid="{A2A2362D-2597-4670-B9E9-B6D49EB576B8}"/>
    <cellStyle name="Normal 26 4 3 14" xfId="21050" xr:uid="{062E3D67-7CBA-424C-9073-69DB15EEE0CE}"/>
    <cellStyle name="Normal 26 4 3 15" xfId="22940" xr:uid="{33F78A8F-E7D3-4E58-AA91-90A59CA9B556}"/>
    <cellStyle name="Normal 26 4 3 16" xfId="24830" xr:uid="{31D069AA-C6D9-4D33-AE0A-0D2CBA8EC824}"/>
    <cellStyle name="Normal 26 4 3 17" xfId="26720" xr:uid="{744BE1B5-D2DF-4F78-9EDD-00279C77710B}"/>
    <cellStyle name="Normal 26 4 3 18" xfId="28610" xr:uid="{FF280D77-0037-4F41-96A2-259CF2C7C5CD}"/>
    <cellStyle name="Normal 26 4 3 19" xfId="30500" xr:uid="{91AECFF2-8B99-45A4-8A7B-35998DE2BA0D}"/>
    <cellStyle name="Normal 26 4 3 2" xfId="890" xr:uid="{0EB2C98F-89E6-4632-8DB3-A70D4315CC36}"/>
    <cellStyle name="Normal 26 4 3 2 10" xfId="17900" xr:uid="{AA9F5BC2-4E00-468F-AC03-07A963A1FE18}"/>
    <cellStyle name="Normal 26 4 3 2 11" xfId="19790" xr:uid="{DA97D5A3-770B-4BB8-BEBC-6D54E420A34B}"/>
    <cellStyle name="Normal 26 4 3 2 12" xfId="21680" xr:uid="{C56F1F20-A54F-428E-B18B-6DC1494E02D5}"/>
    <cellStyle name="Normal 26 4 3 2 13" xfId="23570" xr:uid="{6016B1EE-2233-4E39-A3D1-125714F7F5BA}"/>
    <cellStyle name="Normal 26 4 3 2 14" xfId="25460" xr:uid="{DF9CC839-1967-402D-8CF2-331052796A80}"/>
    <cellStyle name="Normal 26 4 3 2 15" xfId="27350" xr:uid="{35768FA1-9A7D-4186-8756-6A0B6C1087B9}"/>
    <cellStyle name="Normal 26 4 3 2 16" xfId="29240" xr:uid="{A4B256AC-FC1E-49D0-AAC8-2E0D296DA928}"/>
    <cellStyle name="Normal 26 4 3 2 17" xfId="31130" xr:uid="{88E26C91-7B65-477E-9EF4-6731EF474106}"/>
    <cellStyle name="Normal 26 4 3 2 18" xfId="33020" xr:uid="{A1A894BD-D23E-453E-85FD-928A6D93971E}"/>
    <cellStyle name="Normal 26 4 3 2 19" xfId="34910" xr:uid="{58CCF748-1E9B-4041-ADC9-0ECABB797AFF}"/>
    <cellStyle name="Normal 26 4 3 2 2" xfId="2780" xr:uid="{D68BAFFA-35B5-43E2-970E-C1E964519FE7}"/>
    <cellStyle name="Normal 26 4 3 2 20" xfId="36800" xr:uid="{46D39310-6580-4027-91F0-431AEF21B59B}"/>
    <cellStyle name="Normal 26 4 3 2 21" xfId="38690" xr:uid="{CFD430B0-A886-404D-B108-BD4177236430}"/>
    <cellStyle name="Normal 26 4 3 2 22" xfId="40581" xr:uid="{9BC2C627-800A-441B-86A0-D0B6E03646F5}"/>
    <cellStyle name="Normal 26 4 3 2 3" xfId="4670" xr:uid="{FC43427D-5DB5-4735-A6A6-B91CA62D8D2C}"/>
    <cellStyle name="Normal 26 4 3 2 4" xfId="6560" xr:uid="{4D799B4B-7F6D-4894-BF12-B4BDF00AD388}"/>
    <cellStyle name="Normal 26 4 3 2 5" xfId="8450" xr:uid="{FB0A3EDD-FB82-4221-B76A-6B77A15DA4B5}"/>
    <cellStyle name="Normal 26 4 3 2 6" xfId="10340" xr:uid="{0AC65A49-2F53-4A1C-A240-2AD0B3C38C8E}"/>
    <cellStyle name="Normal 26 4 3 2 7" xfId="12230" xr:uid="{A99C7A10-1A4C-4BB6-98FE-3B4F0B93D407}"/>
    <cellStyle name="Normal 26 4 3 2 8" xfId="14120" xr:uid="{0861287A-18F3-479A-A43D-0E7372035A4C}"/>
    <cellStyle name="Normal 26 4 3 2 9" xfId="16010" xr:uid="{727D7491-8189-4B67-8546-99D96C602F2D}"/>
    <cellStyle name="Normal 26 4 3 20" xfId="32390" xr:uid="{1DD0115D-E5FB-402D-8F43-5930852E91B8}"/>
    <cellStyle name="Normal 26 4 3 21" xfId="34280" xr:uid="{9DBFB2DD-BFC8-4792-9596-3DA57D0EA551}"/>
    <cellStyle name="Normal 26 4 3 22" xfId="36170" xr:uid="{BFF436EF-4709-4A16-9901-F6B3504688BD}"/>
    <cellStyle name="Normal 26 4 3 23" xfId="38060" xr:uid="{A696CF51-A0DF-4EA8-BE11-7ABF463325E7}"/>
    <cellStyle name="Normal 26 4 3 24" xfId="39951" xr:uid="{365C7EF0-C90F-478F-8970-7C8ED3468CD9}"/>
    <cellStyle name="Normal 26 4 3 3" xfId="1520" xr:uid="{916D0F72-CEDF-480E-8711-0D90DB9F883B}"/>
    <cellStyle name="Normal 26 4 3 3 10" xfId="18530" xr:uid="{CC802E99-2C3B-4B30-B74A-DB0D5AC3F38A}"/>
    <cellStyle name="Normal 26 4 3 3 11" xfId="20420" xr:uid="{4E2CC9E0-FD35-46FD-A7D3-EE3D6E3D5F3D}"/>
    <cellStyle name="Normal 26 4 3 3 12" xfId="22310" xr:uid="{92FB23C7-700A-4E22-A7B3-3F290E27D683}"/>
    <cellStyle name="Normal 26 4 3 3 13" xfId="24200" xr:uid="{EB041C09-85DC-41F1-B6DF-E65ED07AB65C}"/>
    <cellStyle name="Normal 26 4 3 3 14" xfId="26090" xr:uid="{EB6D8047-024F-45D6-8B1E-498AE198DCFF}"/>
    <cellStyle name="Normal 26 4 3 3 15" xfId="27980" xr:uid="{2781CB8E-6563-4892-92C8-4A541312BFD2}"/>
    <cellStyle name="Normal 26 4 3 3 16" xfId="29870" xr:uid="{035B7F29-10A3-40CC-86AA-D46FB5738513}"/>
    <cellStyle name="Normal 26 4 3 3 17" xfId="31760" xr:uid="{81F30E47-C44B-4574-A459-D84489BCFB24}"/>
    <cellStyle name="Normal 26 4 3 3 18" xfId="33650" xr:uid="{9E5733AF-B4BE-4ED8-83F2-839DD0AD4DE2}"/>
    <cellStyle name="Normal 26 4 3 3 19" xfId="35540" xr:uid="{DA27983F-58DA-46D8-8D9A-AFE3B2AEB950}"/>
    <cellStyle name="Normal 26 4 3 3 2" xfId="3410" xr:uid="{050B17DD-1268-4EA4-A904-80E696487F6D}"/>
    <cellStyle name="Normal 26 4 3 3 20" xfId="37430" xr:uid="{47335521-05C9-4C44-BA69-BFD695412442}"/>
    <cellStyle name="Normal 26 4 3 3 21" xfId="39320" xr:uid="{C4B5B2B4-3575-465F-8303-830336DEF91C}"/>
    <cellStyle name="Normal 26 4 3 3 22" xfId="41211" xr:uid="{F8D1E972-EC88-4416-81E9-917EF3CC9B80}"/>
    <cellStyle name="Normal 26 4 3 3 3" xfId="5300" xr:uid="{A94E0F79-F868-47A3-AAFB-0FE31E598DA4}"/>
    <cellStyle name="Normal 26 4 3 3 4" xfId="7190" xr:uid="{A7CCA8C7-8C84-4F06-A5F7-ED9A551A6C98}"/>
    <cellStyle name="Normal 26 4 3 3 5" xfId="9080" xr:uid="{B0A9BC19-E65A-440C-9E15-8ABBAF9B2471}"/>
    <cellStyle name="Normal 26 4 3 3 6" xfId="10970" xr:uid="{72B6BF42-007E-42FD-AD69-BF4E1EE8A0EF}"/>
    <cellStyle name="Normal 26 4 3 3 7" xfId="12860" xr:uid="{CD41D3B1-5D38-4A70-85EB-66CAB1B2347C}"/>
    <cellStyle name="Normal 26 4 3 3 8" xfId="14750" xr:uid="{4C73E5F5-4420-47CA-8E9D-76ECB7800D6F}"/>
    <cellStyle name="Normal 26 4 3 3 9" xfId="16640" xr:uid="{7EA096D4-386C-454B-8257-0BA520341A08}"/>
    <cellStyle name="Normal 26 4 3 4" xfId="2150" xr:uid="{9057C82C-D7F3-474C-B34E-C5864B58DE8F}"/>
    <cellStyle name="Normal 26 4 3 5" xfId="4040" xr:uid="{D69937B4-823C-4F29-96B3-961159A700C9}"/>
    <cellStyle name="Normal 26 4 3 6" xfId="5930" xr:uid="{A3DFBEB3-51B1-4668-99B4-43D59D691D4E}"/>
    <cellStyle name="Normal 26 4 3 7" xfId="7820" xr:uid="{B1A2E836-9518-4654-8DEA-FE34CB457CE1}"/>
    <cellStyle name="Normal 26 4 3 8" xfId="9710" xr:uid="{3EFFF6C3-3355-49F1-944B-4DFA87FEECA5}"/>
    <cellStyle name="Normal 26 4 3 9" xfId="11600" xr:uid="{C34E496D-7055-4CA5-B9E5-170B22CA3A61}"/>
    <cellStyle name="Normal 26 4 4" xfId="470" xr:uid="{FAB84D33-64EB-4BAD-88DF-967CBC76BF1C}"/>
    <cellStyle name="Normal 26 4 4 10" xfId="13700" xr:uid="{7E0ADB87-095A-4B58-AC2F-6D8D43600A45}"/>
    <cellStyle name="Normal 26 4 4 11" xfId="15590" xr:uid="{4A9B3D14-347A-4855-89F7-9917CF36D549}"/>
    <cellStyle name="Normal 26 4 4 12" xfId="17480" xr:uid="{0C38B329-9F3D-47E1-8EEF-86E7AD490BBF}"/>
    <cellStyle name="Normal 26 4 4 13" xfId="19370" xr:uid="{3633C7FE-0837-4100-BEDF-3212C73AB4C7}"/>
    <cellStyle name="Normal 26 4 4 14" xfId="21260" xr:uid="{6241502C-519E-4E69-8C91-D154075F02C6}"/>
    <cellStyle name="Normal 26 4 4 15" xfId="23150" xr:uid="{5894E6BD-97A5-4FB6-A329-F287D05841C7}"/>
    <cellStyle name="Normal 26 4 4 16" xfId="25040" xr:uid="{8331D49F-71AC-46C5-ACD4-3FEC6F5BCFB8}"/>
    <cellStyle name="Normal 26 4 4 17" xfId="26930" xr:uid="{294B4B2A-5AC7-4753-A0A2-698F4A35DED1}"/>
    <cellStyle name="Normal 26 4 4 18" xfId="28820" xr:uid="{014F1A5B-85B7-47A4-B9E6-8AF1179BB789}"/>
    <cellStyle name="Normal 26 4 4 19" xfId="30710" xr:uid="{3363565A-BA69-479E-9CBD-52BF53328352}"/>
    <cellStyle name="Normal 26 4 4 2" xfId="1100" xr:uid="{F7D8277B-7508-48AC-9704-94A1358D24E2}"/>
    <cellStyle name="Normal 26 4 4 2 10" xfId="18110" xr:uid="{45AD0E86-A5C3-4F38-BA0D-2B722BCA43A9}"/>
    <cellStyle name="Normal 26 4 4 2 11" xfId="20000" xr:uid="{9310772B-E508-4E6E-8BF3-A1E2BCBBD6AE}"/>
    <cellStyle name="Normal 26 4 4 2 12" xfId="21890" xr:uid="{6AC8AC4D-BBD2-4B0F-A29C-CC1D110B3364}"/>
    <cellStyle name="Normal 26 4 4 2 13" xfId="23780" xr:uid="{59F3BF19-B768-4D3C-9262-5D494CE30270}"/>
    <cellStyle name="Normal 26 4 4 2 14" xfId="25670" xr:uid="{80AD3D02-EC4F-4723-A0FA-ACC75D11C0FD}"/>
    <cellStyle name="Normal 26 4 4 2 15" xfId="27560" xr:uid="{4090D39A-5622-425C-9B0C-2D38CB891377}"/>
    <cellStyle name="Normal 26 4 4 2 16" xfId="29450" xr:uid="{B9BAD168-F9E1-47A3-B503-4A932DD7D54C}"/>
    <cellStyle name="Normal 26 4 4 2 17" xfId="31340" xr:uid="{1FA039FE-4239-45CE-8078-2710D589D95B}"/>
    <cellStyle name="Normal 26 4 4 2 18" xfId="33230" xr:uid="{02E1CE2B-694A-48F7-82B2-44345C237201}"/>
    <cellStyle name="Normal 26 4 4 2 19" xfId="35120" xr:uid="{19E587D7-6690-43A2-8017-44BB471824DD}"/>
    <cellStyle name="Normal 26 4 4 2 2" xfId="2990" xr:uid="{09477941-3D35-4EA6-8232-1A467A76B9D6}"/>
    <cellStyle name="Normal 26 4 4 2 20" xfId="37010" xr:uid="{9CFD286E-0049-448C-8419-84895920E9B8}"/>
    <cellStyle name="Normal 26 4 4 2 21" xfId="38900" xr:uid="{D4AF3E4F-32D0-4A85-B0C2-CEC6F73B4A2F}"/>
    <cellStyle name="Normal 26 4 4 2 22" xfId="40791" xr:uid="{2B8F195C-5E84-4964-A1F2-6A3133DE5EDA}"/>
    <cellStyle name="Normal 26 4 4 2 3" xfId="4880" xr:uid="{1CF82B39-E7D8-4E16-9232-E6D0B5689A30}"/>
    <cellStyle name="Normal 26 4 4 2 4" xfId="6770" xr:uid="{C11E6D72-C707-4F0B-A835-27D68F014BFC}"/>
    <cellStyle name="Normal 26 4 4 2 5" xfId="8660" xr:uid="{716C266A-80F7-44AE-8180-BDE169AE74FF}"/>
    <cellStyle name="Normal 26 4 4 2 6" xfId="10550" xr:uid="{00C64413-1C70-4D2C-9A1E-60E535042BCC}"/>
    <cellStyle name="Normal 26 4 4 2 7" xfId="12440" xr:uid="{39038273-83D7-4F23-9C9E-0B615D5205CB}"/>
    <cellStyle name="Normal 26 4 4 2 8" xfId="14330" xr:uid="{4294CC29-0EE4-4FA1-8C40-1057FABC5AA1}"/>
    <cellStyle name="Normal 26 4 4 2 9" xfId="16220" xr:uid="{984C81AE-6E31-477E-9ABD-4582D3863D91}"/>
    <cellStyle name="Normal 26 4 4 20" xfId="32600" xr:uid="{23B00EAB-6B83-49B8-ABA5-BADEEE5E8AFD}"/>
    <cellStyle name="Normal 26 4 4 21" xfId="34490" xr:uid="{2D7744D4-AB63-47F0-A28C-A60C6AB803A3}"/>
    <cellStyle name="Normal 26 4 4 22" xfId="36380" xr:uid="{295F81A5-169D-4653-8D8F-001AA62106CE}"/>
    <cellStyle name="Normal 26 4 4 23" xfId="38270" xr:uid="{29F646FC-CDA3-4A82-8726-C26409D66621}"/>
    <cellStyle name="Normal 26 4 4 24" xfId="40161" xr:uid="{8639500F-B4E4-43F7-9F57-E79B3623231A}"/>
    <cellStyle name="Normal 26 4 4 3" xfId="1730" xr:uid="{2787854C-6EC1-40CD-9DAB-908FF4A35AA8}"/>
    <cellStyle name="Normal 26 4 4 3 10" xfId="18740" xr:uid="{9072BD79-0152-46AE-99FF-9D5BB99B6EF8}"/>
    <cellStyle name="Normal 26 4 4 3 11" xfId="20630" xr:uid="{76C36A44-4BD1-443A-ADF7-4FBFEDD41F6E}"/>
    <cellStyle name="Normal 26 4 4 3 12" xfId="22520" xr:uid="{76555754-BC09-4EA7-BCEA-A22DAC895F96}"/>
    <cellStyle name="Normal 26 4 4 3 13" xfId="24410" xr:uid="{DD46BD7F-951B-4544-AB25-461AD64AA8AB}"/>
    <cellStyle name="Normal 26 4 4 3 14" xfId="26300" xr:uid="{04C8EB7D-2783-4D83-9183-FD99A7341CF2}"/>
    <cellStyle name="Normal 26 4 4 3 15" xfId="28190" xr:uid="{BE0DD6F7-340B-414E-96C9-EBD5673B6574}"/>
    <cellStyle name="Normal 26 4 4 3 16" xfId="30080" xr:uid="{3E4DDA1F-3752-4F80-9794-4E1732550976}"/>
    <cellStyle name="Normal 26 4 4 3 17" xfId="31970" xr:uid="{4F00D23B-6FB2-4AF3-B018-30712C3C4A6A}"/>
    <cellStyle name="Normal 26 4 4 3 18" xfId="33860" xr:uid="{B7CC9951-E8E8-415D-9BBE-98EC31192600}"/>
    <cellStyle name="Normal 26 4 4 3 19" xfId="35750" xr:uid="{BC40152A-AA18-42E9-8628-2AA31CDC2979}"/>
    <cellStyle name="Normal 26 4 4 3 2" xfId="3620" xr:uid="{9EBC5FA1-8771-4069-80BE-D81DABDC495F}"/>
    <cellStyle name="Normal 26 4 4 3 20" xfId="37640" xr:uid="{CDE0DFEC-C522-4B9C-9FD8-A690F413376C}"/>
    <cellStyle name="Normal 26 4 4 3 21" xfId="39530" xr:uid="{9DCFCA0B-8B5D-4C46-956A-36DB3844E979}"/>
    <cellStyle name="Normal 26 4 4 3 22" xfId="41421" xr:uid="{105805B3-E5BB-48DC-BE87-78402FEDDAD9}"/>
    <cellStyle name="Normal 26 4 4 3 3" xfId="5510" xr:uid="{C6F98170-0751-400D-B769-C5F18C07ED5D}"/>
    <cellStyle name="Normal 26 4 4 3 4" xfId="7400" xr:uid="{3F207D70-DF24-4E44-AF3E-4CCBD73DF2E8}"/>
    <cellStyle name="Normal 26 4 4 3 5" xfId="9290" xr:uid="{D3A928FB-F31A-4067-AEA2-267A1EFABE51}"/>
    <cellStyle name="Normal 26 4 4 3 6" xfId="11180" xr:uid="{C324351C-B10E-433A-8C4A-DBC6C90C7244}"/>
    <cellStyle name="Normal 26 4 4 3 7" xfId="13070" xr:uid="{0252FA59-5628-41F0-98F6-3DE7162F03DC}"/>
    <cellStyle name="Normal 26 4 4 3 8" xfId="14960" xr:uid="{9915393F-8A06-41B3-BF9C-BE3005166AB3}"/>
    <cellStyle name="Normal 26 4 4 3 9" xfId="16850" xr:uid="{D64E6F7E-975B-4A73-B54B-09C8DD213E98}"/>
    <cellStyle name="Normal 26 4 4 4" xfId="2360" xr:uid="{59B201C3-CB5E-47B5-BFC1-2F0A25626980}"/>
    <cellStyle name="Normal 26 4 4 5" xfId="4250" xr:uid="{1550A332-B91C-48A6-9485-A88082C609F3}"/>
    <cellStyle name="Normal 26 4 4 6" xfId="6140" xr:uid="{CA164F09-2219-4D43-A808-6C04D3542A76}"/>
    <cellStyle name="Normal 26 4 4 7" xfId="8030" xr:uid="{52944E90-2034-452F-AA9C-C66EC4230CDD}"/>
    <cellStyle name="Normal 26 4 4 8" xfId="9920" xr:uid="{B3ED92CA-C396-4C20-80DB-2BB36A171326}"/>
    <cellStyle name="Normal 26 4 4 9" xfId="11810" xr:uid="{216F264F-455F-4539-9AF2-20C8987900CE}"/>
    <cellStyle name="Normal 26 4 5" xfId="680" xr:uid="{9A00AE2D-32EE-463D-931D-C8EDAF10E83C}"/>
    <cellStyle name="Normal 26 4 5 10" xfId="17690" xr:uid="{1019CC49-FDB8-44F8-BB6D-3EAD78CB789F}"/>
    <cellStyle name="Normal 26 4 5 11" xfId="19580" xr:uid="{162A0DCD-8FB2-4D9E-B1FA-B0E816ECD293}"/>
    <cellStyle name="Normal 26 4 5 12" xfId="21470" xr:uid="{5AB50E91-4876-444B-9AF6-3C9B0B09B496}"/>
    <cellStyle name="Normal 26 4 5 13" xfId="23360" xr:uid="{79BC9AE9-7BD2-4667-8907-AEE6803327D2}"/>
    <cellStyle name="Normal 26 4 5 14" xfId="25250" xr:uid="{79E2CAAD-35E2-481B-BC09-8DBB6A39AB3E}"/>
    <cellStyle name="Normal 26 4 5 15" xfId="27140" xr:uid="{97FE56CE-FB99-4B8E-A6EB-03478F9100BC}"/>
    <cellStyle name="Normal 26 4 5 16" xfId="29030" xr:uid="{6A52C034-0D7C-420A-9A56-9F752DC9B373}"/>
    <cellStyle name="Normal 26 4 5 17" xfId="30920" xr:uid="{C746502D-4C90-4C10-9A85-2C307625D9F8}"/>
    <cellStyle name="Normal 26 4 5 18" xfId="32810" xr:uid="{9B574F7D-E421-4E7C-9F82-2F0558F9B38C}"/>
    <cellStyle name="Normal 26 4 5 19" xfId="34700" xr:uid="{B6273FB2-A6E2-4C43-84BD-E6DAC7AF545E}"/>
    <cellStyle name="Normal 26 4 5 2" xfId="2570" xr:uid="{4FFC03BF-F93E-4926-A8EF-23BB8D330510}"/>
    <cellStyle name="Normal 26 4 5 20" xfId="36590" xr:uid="{03781EC2-A93E-420D-B648-D72AB87C9C78}"/>
    <cellStyle name="Normal 26 4 5 21" xfId="38480" xr:uid="{12D06608-456A-4826-BFEF-6685DE0D298C}"/>
    <cellStyle name="Normal 26 4 5 22" xfId="40371" xr:uid="{B9EDD9D3-7AEA-41B9-815B-421DDB7E0915}"/>
    <cellStyle name="Normal 26 4 5 3" xfId="4460" xr:uid="{BF3D58A0-94C8-46F2-BC24-C44842F20514}"/>
    <cellStyle name="Normal 26 4 5 4" xfId="6350" xr:uid="{A584055B-0EDB-4BB0-A46C-28483CFAFD18}"/>
    <cellStyle name="Normal 26 4 5 5" xfId="8240" xr:uid="{90D91706-D05F-4E23-8C16-3B87D8709B60}"/>
    <cellStyle name="Normal 26 4 5 6" xfId="10130" xr:uid="{43C71F08-B626-46A3-BE17-A5268EEE6D31}"/>
    <cellStyle name="Normal 26 4 5 7" xfId="12020" xr:uid="{F1981F18-A541-44C2-A87B-AB3684498879}"/>
    <cellStyle name="Normal 26 4 5 8" xfId="13910" xr:uid="{34B34599-9700-4C26-AD82-C5E417C504DD}"/>
    <cellStyle name="Normal 26 4 5 9" xfId="15800" xr:uid="{260CD165-8881-4F21-B122-2339F930B635}"/>
    <cellStyle name="Normal 26 4 6" xfId="1310" xr:uid="{670D785A-E034-4EFE-B73D-4B209D16A804}"/>
    <cellStyle name="Normal 26 4 6 10" xfId="18320" xr:uid="{C7D5C7DB-26C5-4AB0-8EEB-22ABC186E860}"/>
    <cellStyle name="Normal 26 4 6 11" xfId="20210" xr:uid="{08CC3B9B-8572-4BB3-A213-57F728074D2A}"/>
    <cellStyle name="Normal 26 4 6 12" xfId="22100" xr:uid="{9CF84454-5709-4446-892F-95D265FD6C7E}"/>
    <cellStyle name="Normal 26 4 6 13" xfId="23990" xr:uid="{D71093E8-61C3-4704-B075-0E532F3060AD}"/>
    <cellStyle name="Normal 26 4 6 14" xfId="25880" xr:uid="{701AB81C-1151-478C-B822-58FC042BA80A}"/>
    <cellStyle name="Normal 26 4 6 15" xfId="27770" xr:uid="{0A1123B3-DD48-4054-946D-AB98C072C723}"/>
    <cellStyle name="Normal 26 4 6 16" xfId="29660" xr:uid="{D05D16C1-3004-4E72-8117-094F08B8BEB8}"/>
    <cellStyle name="Normal 26 4 6 17" xfId="31550" xr:uid="{D540244D-66FD-4C7D-9CF0-908000FBC4B3}"/>
    <cellStyle name="Normal 26 4 6 18" xfId="33440" xr:uid="{595AF6C1-C5ED-40AD-A7AA-674A90C1FD91}"/>
    <cellStyle name="Normal 26 4 6 19" xfId="35330" xr:uid="{B69F35AA-0986-4279-9FA5-7C565ED06247}"/>
    <cellStyle name="Normal 26 4 6 2" xfId="3200" xr:uid="{FDC3C34F-A72D-4901-BAD2-668EF15EEDFB}"/>
    <cellStyle name="Normal 26 4 6 20" xfId="37220" xr:uid="{E09A5F4A-A4AF-4897-BC75-36AE495F77C1}"/>
    <cellStyle name="Normal 26 4 6 21" xfId="39110" xr:uid="{56F78E8D-A82C-42F2-B910-DDC3485F70B7}"/>
    <cellStyle name="Normal 26 4 6 22" xfId="41001" xr:uid="{29BE9172-9629-4011-A520-1B6471C753C6}"/>
    <cellStyle name="Normal 26 4 6 3" xfId="5090" xr:uid="{B5557A9F-ACAF-40AF-AC41-E3AB2DCD980A}"/>
    <cellStyle name="Normal 26 4 6 4" xfId="6980" xr:uid="{4ACFC92E-DD29-40CB-99AE-0EDC071BAE11}"/>
    <cellStyle name="Normal 26 4 6 5" xfId="8870" xr:uid="{1C59A245-8105-4554-8208-1F7870E34898}"/>
    <cellStyle name="Normal 26 4 6 6" xfId="10760" xr:uid="{7AEED5D5-D4D3-48A2-B3A8-AB7A199BCD27}"/>
    <cellStyle name="Normal 26 4 6 7" xfId="12650" xr:uid="{1E974498-46C1-468D-AB55-204663F16A8D}"/>
    <cellStyle name="Normal 26 4 6 8" xfId="14540" xr:uid="{FE09B25A-6066-4D48-8C92-1CAE386E4391}"/>
    <cellStyle name="Normal 26 4 6 9" xfId="16430" xr:uid="{45871670-3ABD-425B-B497-999B28DC4F03}"/>
    <cellStyle name="Normal 26 4 7" xfId="1940" xr:uid="{23049A2B-6BEF-4DDC-A1F7-7A9F12703EE7}"/>
    <cellStyle name="Normal 26 4 8" xfId="3830" xr:uid="{C32F5AE3-34E3-49D3-B4A1-EC1E72024116}"/>
    <cellStyle name="Normal 26 4 9" xfId="5720" xr:uid="{B0DAF497-7616-4A7E-995D-04D0D76F4C87}"/>
    <cellStyle name="Normal 26 41" xfId="41618" xr:uid="{50CD380D-E259-4623-AB5F-191CFDA2497C}"/>
    <cellStyle name="Normal 26 5" xfId="37" xr:uid="{1A7D245D-DBB4-4E8D-9F72-176A7AF056EE}"/>
    <cellStyle name="Normal 26 5 10" xfId="7619" xr:uid="{914EDE37-FBEB-45D4-935B-93A25A383093}"/>
    <cellStyle name="Normal 26 5 11" xfId="9509" xr:uid="{509EDD77-07A7-4E15-8273-F83F92956DCD}"/>
    <cellStyle name="Normal 26 5 12" xfId="11399" xr:uid="{991BDC80-3BD3-433D-88B7-AF3D8FFBA3DC}"/>
    <cellStyle name="Normal 26 5 13" xfId="13289" xr:uid="{F101CC31-C893-4ED1-87C9-3E2A0D892571}"/>
    <cellStyle name="Normal 26 5 14" xfId="15179" xr:uid="{27319B6F-4FC7-45C0-B92E-9700642A514B}"/>
    <cellStyle name="Normal 26 5 15" xfId="17069" xr:uid="{144D466F-F339-4E63-BBF2-9CA8F0A6C4C6}"/>
    <cellStyle name="Normal 26 5 16" xfId="18959" xr:uid="{1A39C8C4-DB4E-41BF-9C0A-387997D8A8D9}"/>
    <cellStyle name="Normal 26 5 17" xfId="20849" xr:uid="{18C36E38-EEE4-4B38-B99D-1BD58CCB59A4}"/>
    <cellStyle name="Normal 26 5 18" xfId="22739" xr:uid="{BF4B7777-E40C-44FE-9C05-73B65356CEB2}"/>
    <cellStyle name="Normal 26 5 19" xfId="24629" xr:uid="{C50A6889-979E-426D-ADA4-047565F8B853}"/>
    <cellStyle name="Normal 26 5 2" xfId="164" xr:uid="{549D4064-059C-4D01-986B-A55E3B573154}"/>
    <cellStyle name="Normal 26 5 2 10" xfId="9614" xr:uid="{4CE07C7E-55C5-4DF3-A797-B703EFE380EE}"/>
    <cellStyle name="Normal 26 5 2 11" xfId="11504" xr:uid="{44DE15BB-3E91-42D0-819C-08B5FCBE8E5F}"/>
    <cellStyle name="Normal 26 5 2 12" xfId="13394" xr:uid="{FB2799C0-730C-4975-A7B7-668B3996A00D}"/>
    <cellStyle name="Normal 26 5 2 13" xfId="15284" xr:uid="{8B73F7FC-CB05-48BB-9DEB-EBDCBE76CEBE}"/>
    <cellStyle name="Normal 26 5 2 14" xfId="17174" xr:uid="{D8D0ED78-FE66-4BC5-A1DF-F1744027D123}"/>
    <cellStyle name="Normal 26 5 2 15" xfId="19064" xr:uid="{4BCF3540-8944-45B3-8D7C-CA53B6EE8282}"/>
    <cellStyle name="Normal 26 5 2 16" xfId="20954" xr:uid="{9F25568B-14E4-414E-9F0B-86C0B3CBC23C}"/>
    <cellStyle name="Normal 26 5 2 17" xfId="22844" xr:uid="{F0CBEEB4-18E5-49A2-9A2F-181BB39FBEC7}"/>
    <cellStyle name="Normal 26 5 2 18" xfId="24734" xr:uid="{FB681DC2-7555-4639-BC1A-EFBE3BC1C2A6}"/>
    <cellStyle name="Normal 26 5 2 19" xfId="26624" xr:uid="{AA0CA437-1A8B-4856-A5E8-C7BEE3989F83}"/>
    <cellStyle name="Normal 26 5 2 2" xfId="374" xr:uid="{FC5B4464-93BB-4F38-B0EC-CF31D090F0B3}"/>
    <cellStyle name="Normal 26 5 2 2 10" xfId="13604" xr:uid="{8900CDBE-9A7E-4811-ABE5-AF16EB2A5B71}"/>
    <cellStyle name="Normal 26 5 2 2 11" xfId="15494" xr:uid="{40BA2DBE-D75D-4784-B76D-58F0A6ECAC25}"/>
    <cellStyle name="Normal 26 5 2 2 12" xfId="17384" xr:uid="{B9BAE1E1-D721-4A96-A4DE-68DEA518CFBF}"/>
    <cellStyle name="Normal 26 5 2 2 13" xfId="19274" xr:uid="{B050AA37-04D1-4F90-8747-AE44E4911530}"/>
    <cellStyle name="Normal 26 5 2 2 14" xfId="21164" xr:uid="{CF4529AA-58F8-4A88-8E32-3559745EA9BF}"/>
    <cellStyle name="Normal 26 5 2 2 15" xfId="23054" xr:uid="{DE20AF1E-193B-43D8-A70A-2E1414F38F4D}"/>
    <cellStyle name="Normal 26 5 2 2 16" xfId="24944" xr:uid="{186C37B2-CC73-4410-A933-CD66507E1F6D}"/>
    <cellStyle name="Normal 26 5 2 2 17" xfId="26834" xr:uid="{69E290CE-929C-4C94-B8FD-7AC690F22070}"/>
    <cellStyle name="Normal 26 5 2 2 18" xfId="28724" xr:uid="{57ABD1E5-209A-48AB-ACFB-F25037CCB96E}"/>
    <cellStyle name="Normal 26 5 2 2 19" xfId="30614" xr:uid="{7020C673-63F4-4E0C-826E-DE9C104C30E7}"/>
    <cellStyle name="Normal 26 5 2 2 2" xfId="1004" xr:uid="{4DC5279D-28F4-4153-8173-B90F8996452F}"/>
    <cellStyle name="Normal 26 5 2 2 2 10" xfId="18014" xr:uid="{7C012156-D3C2-4980-88AF-12171319CB5F}"/>
    <cellStyle name="Normal 26 5 2 2 2 11" xfId="19904" xr:uid="{B40A74CF-8279-4D99-9597-45FBA533C7A4}"/>
    <cellStyle name="Normal 26 5 2 2 2 12" xfId="21794" xr:uid="{EC12A601-33A0-4795-9FAA-4C589621CB69}"/>
    <cellStyle name="Normal 26 5 2 2 2 13" xfId="23684" xr:uid="{6191248C-05FA-435C-8CAB-D8E84E861352}"/>
    <cellStyle name="Normal 26 5 2 2 2 14" xfId="25574" xr:uid="{0DCA7697-E770-4267-BEB5-26AD98AB75FB}"/>
    <cellStyle name="Normal 26 5 2 2 2 15" xfId="27464" xr:uid="{D279D4E4-9737-48C6-9F1E-AA54D1A1FC9D}"/>
    <cellStyle name="Normal 26 5 2 2 2 16" xfId="29354" xr:uid="{90ABC22E-ED62-4D88-BC5C-3A225E11552D}"/>
    <cellStyle name="Normal 26 5 2 2 2 17" xfId="31244" xr:uid="{5C580B45-7051-4567-B59E-805261361D3C}"/>
    <cellStyle name="Normal 26 5 2 2 2 18" xfId="33134" xr:uid="{2AC28547-2DED-4C35-B56A-464D0DDD749A}"/>
    <cellStyle name="Normal 26 5 2 2 2 19" xfId="35024" xr:uid="{112C4249-F022-4D5E-9E47-D570977C1195}"/>
    <cellStyle name="Normal 26 5 2 2 2 2" xfId="2894" xr:uid="{28EFE366-8B4C-4F0E-8C36-FA4B5045BAE9}"/>
    <cellStyle name="Normal 26 5 2 2 2 20" xfId="36914" xr:uid="{180C0F5A-4D02-4A9C-B858-4770A9C3CB74}"/>
    <cellStyle name="Normal 26 5 2 2 2 21" xfId="38804" xr:uid="{3480D922-FC6B-4736-8746-19F4F5CCE352}"/>
    <cellStyle name="Normal 26 5 2 2 2 22" xfId="40695" xr:uid="{FA4C1AE8-C442-4A65-BCD7-BC6B3F042943}"/>
    <cellStyle name="Normal 26 5 2 2 2 3" xfId="4784" xr:uid="{C4572974-76C5-4BD7-8F02-02369159820C}"/>
    <cellStyle name="Normal 26 5 2 2 2 4" xfId="6674" xr:uid="{0D1EF1D7-42D4-4875-AD32-670BA9C30EC2}"/>
    <cellStyle name="Normal 26 5 2 2 2 5" xfId="8564" xr:uid="{D3583A73-F33C-40C9-A38D-D7926529917C}"/>
    <cellStyle name="Normal 26 5 2 2 2 6" xfId="10454" xr:uid="{6E97E0E3-91F8-45AD-8F9E-5AAAD1AD221A}"/>
    <cellStyle name="Normal 26 5 2 2 2 7" xfId="12344" xr:uid="{88BD559C-1192-43B1-8053-F3E826538D85}"/>
    <cellStyle name="Normal 26 5 2 2 2 8" xfId="14234" xr:uid="{CE6005B1-CFD6-42EB-B8AB-7C71373D1197}"/>
    <cellStyle name="Normal 26 5 2 2 2 9" xfId="16124" xr:uid="{CA9FA541-DE0E-4739-ACB7-3B8DB31D389D}"/>
    <cellStyle name="Normal 26 5 2 2 20" xfId="32504" xr:uid="{10CE098B-6A5C-4BE1-B8E7-DAFEDF30E5B1}"/>
    <cellStyle name="Normal 26 5 2 2 21" xfId="34394" xr:uid="{F124CB96-9C92-4AC6-BA29-5E24B14641AC}"/>
    <cellStyle name="Normal 26 5 2 2 22" xfId="36284" xr:uid="{DF8CC8FF-155A-433E-91C7-01273787EC0E}"/>
    <cellStyle name="Normal 26 5 2 2 23" xfId="38174" xr:uid="{DD3BF916-F2AF-4822-A085-5938245761F1}"/>
    <cellStyle name="Normal 26 5 2 2 24" xfId="40065" xr:uid="{A6A56DC7-CC02-469E-86B9-D0EA0E74B5C9}"/>
    <cellStyle name="Normal 26 5 2 2 3" xfId="1634" xr:uid="{06273B2C-C9F8-4868-AA4C-89251CEA0EB7}"/>
    <cellStyle name="Normal 26 5 2 2 3 10" xfId="18644" xr:uid="{7E5F0DA1-8D55-48F7-9AFB-10B656DDD454}"/>
    <cellStyle name="Normal 26 5 2 2 3 11" xfId="20534" xr:uid="{0CD7DB4C-A839-463C-B45F-CB3B0E260F6F}"/>
    <cellStyle name="Normal 26 5 2 2 3 12" xfId="22424" xr:uid="{F58F683E-E965-4BE9-AFEF-D56C097D62EA}"/>
    <cellStyle name="Normal 26 5 2 2 3 13" xfId="24314" xr:uid="{8A43373A-E471-451A-9FF6-FBF1341124F7}"/>
    <cellStyle name="Normal 26 5 2 2 3 14" xfId="26204" xr:uid="{6EF58D77-59AA-48DB-904A-12F9483CC36E}"/>
    <cellStyle name="Normal 26 5 2 2 3 15" xfId="28094" xr:uid="{DC263845-3851-49C8-B972-EB31135428F9}"/>
    <cellStyle name="Normal 26 5 2 2 3 16" xfId="29984" xr:uid="{12D23411-EDCF-4682-AD47-D5FBA80F6949}"/>
    <cellStyle name="Normal 26 5 2 2 3 17" xfId="31874" xr:uid="{142F316C-FC54-4504-B4BA-14410610479C}"/>
    <cellStyle name="Normal 26 5 2 2 3 18" xfId="33764" xr:uid="{C97FB882-D388-4C3B-8698-0BCDBB9C5109}"/>
    <cellStyle name="Normal 26 5 2 2 3 19" xfId="35654" xr:uid="{0F395A23-A8F6-40BD-B8C2-DFD61CBF6DD4}"/>
    <cellStyle name="Normal 26 5 2 2 3 2" xfId="3524" xr:uid="{BFC6D261-7C1E-4582-BED8-3A31215D617A}"/>
    <cellStyle name="Normal 26 5 2 2 3 20" xfId="37544" xr:uid="{CF07B1B7-4214-4F33-A591-74CDB95BAEC2}"/>
    <cellStyle name="Normal 26 5 2 2 3 21" xfId="39434" xr:uid="{A5F413F1-3F6A-4EBE-9849-27F92BCB01C3}"/>
    <cellStyle name="Normal 26 5 2 2 3 22" xfId="41325" xr:uid="{ACCA1E17-FE2B-44CA-8F8E-0BB984DD8ADA}"/>
    <cellStyle name="Normal 26 5 2 2 3 3" xfId="5414" xr:uid="{2B7019DE-F11E-4A04-BD5B-199B75C771A0}"/>
    <cellStyle name="Normal 26 5 2 2 3 4" xfId="7304" xr:uid="{E11F4218-49E0-482F-960D-6D3DB58DE862}"/>
    <cellStyle name="Normal 26 5 2 2 3 5" xfId="9194" xr:uid="{F068BDB7-9230-4746-AB39-7A72BADCF3AE}"/>
    <cellStyle name="Normal 26 5 2 2 3 6" xfId="11084" xr:uid="{933AEE64-74FC-4886-B936-3F30E1D337E9}"/>
    <cellStyle name="Normal 26 5 2 2 3 7" xfId="12974" xr:uid="{04B3D729-3E03-4773-8648-77836A190244}"/>
    <cellStyle name="Normal 26 5 2 2 3 8" xfId="14864" xr:uid="{6E8B2224-A577-44A1-B650-A3F828590304}"/>
    <cellStyle name="Normal 26 5 2 2 3 9" xfId="16754" xr:uid="{CCFE624A-7D9C-476F-A176-2AA535170FF3}"/>
    <cellStyle name="Normal 26 5 2 2 4" xfId="2264" xr:uid="{3FC967BC-6D6A-4FDA-BA68-818AC4E49856}"/>
    <cellStyle name="Normal 26 5 2 2 5" xfId="4154" xr:uid="{4AB70F1F-DB25-421E-A972-F78EAC01E0CD}"/>
    <cellStyle name="Normal 26 5 2 2 6" xfId="6044" xr:uid="{DCDD19F9-97D0-4276-BA87-603B288C603F}"/>
    <cellStyle name="Normal 26 5 2 2 7" xfId="7934" xr:uid="{09AD58B0-1240-48B4-AAE6-5DBECD87F12F}"/>
    <cellStyle name="Normal 26 5 2 2 8" xfId="9824" xr:uid="{B3256F2E-8956-48D4-B8B2-4904F8F57631}"/>
    <cellStyle name="Normal 26 5 2 2 9" xfId="11714" xr:uid="{AAE92260-54E2-432F-9D95-09379B97857E}"/>
    <cellStyle name="Normal 26 5 2 20" xfId="28514" xr:uid="{8BE86423-FD98-403D-8C5A-A71F3AB38536}"/>
    <cellStyle name="Normal 26 5 2 21" xfId="30404" xr:uid="{7A201E24-FE70-436E-A442-39EC4BDB4BFD}"/>
    <cellStyle name="Normal 26 5 2 22" xfId="32294" xr:uid="{079D1EFA-4170-48F8-AFFB-B963449C91DF}"/>
    <cellStyle name="Normal 26 5 2 23" xfId="34184" xr:uid="{54F8CCF4-2B92-4898-8DBF-6D0A07DD0FE3}"/>
    <cellStyle name="Normal 26 5 2 24" xfId="36074" xr:uid="{6E0D3EE8-ECCD-4549-850C-4ECDECE58BC7}"/>
    <cellStyle name="Normal 26 5 2 25" xfId="37964" xr:uid="{C574DF80-FBAC-4ADA-8D5D-448472D10967}"/>
    <cellStyle name="Normal 26 5 2 26" xfId="39855" xr:uid="{168D22A5-D8A1-4FC8-B5DC-074151363A8F}"/>
    <cellStyle name="Normal 26 5 2 3" xfId="584" xr:uid="{A297292D-1BEC-4397-A46B-CB76B8080583}"/>
    <cellStyle name="Normal 26 5 2 3 10" xfId="13814" xr:uid="{14BEACF2-3079-433C-9027-5EE831B67EF5}"/>
    <cellStyle name="Normal 26 5 2 3 11" xfId="15704" xr:uid="{5FE84945-8312-421D-8947-3ABDE517E906}"/>
    <cellStyle name="Normal 26 5 2 3 12" xfId="17594" xr:uid="{4067A155-656D-4A4B-A0BC-8375B7A6778F}"/>
    <cellStyle name="Normal 26 5 2 3 13" xfId="19484" xr:uid="{66D67A93-9B37-49AA-8950-87B42DDE2BD9}"/>
    <cellStyle name="Normal 26 5 2 3 14" xfId="21374" xr:uid="{A85B4198-1A1B-492B-A4B9-40E5F5BEEDF6}"/>
    <cellStyle name="Normal 26 5 2 3 15" xfId="23264" xr:uid="{29ED33D3-E0E6-4BA2-9ADA-36FFB3650D0C}"/>
    <cellStyle name="Normal 26 5 2 3 16" xfId="25154" xr:uid="{D59A425B-6876-451C-9D7A-A4BCEF499568}"/>
    <cellStyle name="Normal 26 5 2 3 17" xfId="27044" xr:uid="{143195D6-4039-495D-B186-1B83BA7376F7}"/>
    <cellStyle name="Normal 26 5 2 3 18" xfId="28934" xr:uid="{20A0BE67-AB27-416E-83A3-3F4AA8719A57}"/>
    <cellStyle name="Normal 26 5 2 3 19" xfId="30824" xr:uid="{6A2137F9-28DE-4024-95B2-D357995295CC}"/>
    <cellStyle name="Normal 26 5 2 3 2" xfId="1214" xr:uid="{5620E9F6-F286-42E7-901C-5BF6F8C8709E}"/>
    <cellStyle name="Normal 26 5 2 3 2 10" xfId="18224" xr:uid="{156A7C7C-3F75-4B09-BA5C-9207C743BEA7}"/>
    <cellStyle name="Normal 26 5 2 3 2 11" xfId="20114" xr:uid="{CB3D8162-A01C-40A4-AF1D-51E94DE7DAA4}"/>
    <cellStyle name="Normal 26 5 2 3 2 12" xfId="22004" xr:uid="{44F4462E-B606-453D-AEA6-8F9FDC19EE74}"/>
    <cellStyle name="Normal 26 5 2 3 2 13" xfId="23894" xr:uid="{4EDBCB6F-B1EE-4539-9413-0C524D95A9D1}"/>
    <cellStyle name="Normal 26 5 2 3 2 14" xfId="25784" xr:uid="{635EE266-6215-4DCF-98C8-F5436A804919}"/>
    <cellStyle name="Normal 26 5 2 3 2 15" xfId="27674" xr:uid="{275327D6-9815-46B6-914A-515077095309}"/>
    <cellStyle name="Normal 26 5 2 3 2 16" xfId="29564" xr:uid="{6531046D-AF48-4090-9A34-364A4122BC1E}"/>
    <cellStyle name="Normal 26 5 2 3 2 17" xfId="31454" xr:uid="{CDB54F06-1A75-4B69-9134-D095F88A55B1}"/>
    <cellStyle name="Normal 26 5 2 3 2 18" xfId="33344" xr:uid="{4D8A4168-7271-4A25-9424-E331E5078F80}"/>
    <cellStyle name="Normal 26 5 2 3 2 19" xfId="35234" xr:uid="{D4BE0B83-AC82-4706-946C-2022CD7CB4D2}"/>
    <cellStyle name="Normal 26 5 2 3 2 2" xfId="3104" xr:uid="{6BF4B156-0AE5-4277-A728-A555D3933B1E}"/>
    <cellStyle name="Normal 26 5 2 3 2 20" xfId="37124" xr:uid="{145C7BC7-08B9-4DF0-AC66-E0F8F873664B}"/>
    <cellStyle name="Normal 26 5 2 3 2 21" xfId="39014" xr:uid="{9F0183DC-41F4-4CED-B0CA-8A2614C98801}"/>
    <cellStyle name="Normal 26 5 2 3 2 22" xfId="40905" xr:uid="{F18DA0E6-8531-4CF5-A748-DE9C2FB9DB6A}"/>
    <cellStyle name="Normal 26 5 2 3 2 3" xfId="4994" xr:uid="{B621FD38-92E6-41C3-BEAE-F21C7B3FA340}"/>
    <cellStyle name="Normal 26 5 2 3 2 4" xfId="6884" xr:uid="{0D404470-729C-4B69-8EE9-467283692870}"/>
    <cellStyle name="Normal 26 5 2 3 2 5" xfId="8774" xr:uid="{742C1081-4524-4723-879C-2977F21AD7F5}"/>
    <cellStyle name="Normal 26 5 2 3 2 6" xfId="10664" xr:uid="{960243D2-A6F3-49B7-AD69-125E0A05443F}"/>
    <cellStyle name="Normal 26 5 2 3 2 7" xfId="12554" xr:uid="{2D46FF49-847D-4854-AB37-09AC35E99FDB}"/>
    <cellStyle name="Normal 26 5 2 3 2 8" xfId="14444" xr:uid="{5DC702C6-D5F9-4398-8682-FC7867D9E2B9}"/>
    <cellStyle name="Normal 26 5 2 3 2 9" xfId="16334" xr:uid="{64DAE574-A866-46A4-89C3-D58621C5DC46}"/>
    <cellStyle name="Normal 26 5 2 3 20" xfId="32714" xr:uid="{B3C4A3C3-D472-44A2-A860-CA471DF5B941}"/>
    <cellStyle name="Normal 26 5 2 3 21" xfId="34604" xr:uid="{B2A4418B-AB21-4056-91CD-AEB7638E584F}"/>
    <cellStyle name="Normal 26 5 2 3 22" xfId="36494" xr:uid="{F32D2D96-3D59-4AAB-AC44-BC432462B71E}"/>
    <cellStyle name="Normal 26 5 2 3 23" xfId="38384" xr:uid="{100E6671-9497-4DE3-BE14-C35EDC04CAC3}"/>
    <cellStyle name="Normal 26 5 2 3 24" xfId="40275" xr:uid="{8A1AF299-BFFB-4F4B-86E3-0C2289B6CCDC}"/>
    <cellStyle name="Normal 26 5 2 3 3" xfId="1844" xr:uid="{39589317-C2F2-4D7F-8086-457DCE33BA41}"/>
    <cellStyle name="Normal 26 5 2 3 3 10" xfId="18854" xr:uid="{519FCA17-F727-4022-85B2-66770F3A6473}"/>
    <cellStyle name="Normal 26 5 2 3 3 11" xfId="20744" xr:uid="{5A019DF4-4EE6-473B-955E-1CE71CC4E566}"/>
    <cellStyle name="Normal 26 5 2 3 3 12" xfId="22634" xr:uid="{831E9948-949C-4B59-A5F1-51E630E1ED9C}"/>
    <cellStyle name="Normal 26 5 2 3 3 13" xfId="24524" xr:uid="{74706AD5-9F8F-4E9C-B553-787E1B476298}"/>
    <cellStyle name="Normal 26 5 2 3 3 14" xfId="26414" xr:uid="{AEFA0EC8-FB5D-4216-948F-EF0731821160}"/>
    <cellStyle name="Normal 26 5 2 3 3 15" xfId="28304" xr:uid="{1CFF773B-F71C-43BD-BF74-246C9F9B51DC}"/>
    <cellStyle name="Normal 26 5 2 3 3 16" xfId="30194" xr:uid="{14F6D027-0C68-4E24-A0A2-B8C51FB1C0B0}"/>
    <cellStyle name="Normal 26 5 2 3 3 17" xfId="32084" xr:uid="{E4294CFC-A574-416D-8FBB-4811C4286858}"/>
    <cellStyle name="Normal 26 5 2 3 3 18" xfId="33974" xr:uid="{5449266F-05D4-408B-80CD-DF66B3482FFC}"/>
    <cellStyle name="Normal 26 5 2 3 3 19" xfId="35864" xr:uid="{67DDE7FC-4CEB-4433-B872-72AD8BF5A876}"/>
    <cellStyle name="Normal 26 5 2 3 3 2" xfId="3734" xr:uid="{DC802855-5B2A-41D1-8BF4-233A43535BE9}"/>
    <cellStyle name="Normal 26 5 2 3 3 20" xfId="37754" xr:uid="{81C1F2E7-EF56-43D5-A675-30261AAEFBEE}"/>
    <cellStyle name="Normal 26 5 2 3 3 21" xfId="39644" xr:uid="{D22A3DE7-A912-4168-B32D-91745CD6AF53}"/>
    <cellStyle name="Normal 26 5 2 3 3 22" xfId="41535" xr:uid="{B46B7D6D-388B-4C05-87A4-85D47497FC37}"/>
    <cellStyle name="Normal 26 5 2 3 3 3" xfId="5624" xr:uid="{72957BC7-7868-4A29-B515-6FFC19CF7217}"/>
    <cellStyle name="Normal 26 5 2 3 3 4" xfId="7514" xr:uid="{FE23961D-D202-4574-B3CB-5531CC8BB9CE}"/>
    <cellStyle name="Normal 26 5 2 3 3 5" xfId="9404" xr:uid="{6FE8028C-60A5-4D87-8CCC-21D73D1D5B0C}"/>
    <cellStyle name="Normal 26 5 2 3 3 6" xfId="11294" xr:uid="{FAA43BCF-DBA1-4DE3-A03C-88E249055EF9}"/>
    <cellStyle name="Normal 26 5 2 3 3 7" xfId="13184" xr:uid="{9BF8BAEB-81D8-4390-B320-C0B5C1FF5E29}"/>
    <cellStyle name="Normal 26 5 2 3 3 8" xfId="15074" xr:uid="{17E49173-5755-4642-9D27-FCDFD911CD36}"/>
    <cellStyle name="Normal 26 5 2 3 3 9" xfId="16964" xr:uid="{1A884AF8-F678-4CA8-8B85-A393A0A5758D}"/>
    <cellStyle name="Normal 26 5 2 3 4" xfId="2474" xr:uid="{C6991C70-AEDE-4D5A-AE7D-FD81B9555FCE}"/>
    <cellStyle name="Normal 26 5 2 3 5" xfId="4364" xr:uid="{1EC621DA-40BC-49B9-840D-6705BA056D92}"/>
    <cellStyle name="Normal 26 5 2 3 6" xfId="6254" xr:uid="{5CBF0848-6481-48F2-92F2-A588030304F9}"/>
    <cellStyle name="Normal 26 5 2 3 7" xfId="8144" xr:uid="{6646FA35-EFB4-48EB-A4CC-FC2BDE6E04E9}"/>
    <cellStyle name="Normal 26 5 2 3 8" xfId="10034" xr:uid="{6DDF519B-BC33-4E2C-9609-3914B15BB7EF}"/>
    <cellStyle name="Normal 26 5 2 3 9" xfId="11924" xr:uid="{0C063327-07AE-40A8-BC5F-44F8D8732EE7}"/>
    <cellStyle name="Normal 26 5 2 4" xfId="794" xr:uid="{BE2A7CE8-7B5A-4102-81BE-F98CA03F47EC}"/>
    <cellStyle name="Normal 26 5 2 4 10" xfId="17804" xr:uid="{30581026-7FA5-4D32-AFCE-9A9B5CC985E8}"/>
    <cellStyle name="Normal 26 5 2 4 11" xfId="19694" xr:uid="{FE5A394D-4699-4BBD-9E18-3004ADCDCA6A}"/>
    <cellStyle name="Normal 26 5 2 4 12" xfId="21584" xr:uid="{896D8AB1-CDDB-43B3-AA11-E14048A1B6E2}"/>
    <cellStyle name="Normal 26 5 2 4 13" xfId="23474" xr:uid="{7093C07D-2874-412D-A696-93CC8215AD86}"/>
    <cellStyle name="Normal 26 5 2 4 14" xfId="25364" xr:uid="{85311FD9-4174-4E72-B16F-708E37C56A79}"/>
    <cellStyle name="Normal 26 5 2 4 15" xfId="27254" xr:uid="{D2C976D3-B68B-4287-9ED7-5B26340A0787}"/>
    <cellStyle name="Normal 26 5 2 4 16" xfId="29144" xr:uid="{25CE56C6-2A51-4FCD-B9A4-36CFCE6034CA}"/>
    <cellStyle name="Normal 26 5 2 4 17" xfId="31034" xr:uid="{96057150-733A-4373-BCA2-070125ABCE11}"/>
    <cellStyle name="Normal 26 5 2 4 18" xfId="32924" xr:uid="{4CABCA33-8A1F-43F0-AA1A-6C701F2C7404}"/>
    <cellStyle name="Normal 26 5 2 4 19" xfId="34814" xr:uid="{E1EE3846-E37A-4F54-9046-C6AEF2EAE620}"/>
    <cellStyle name="Normal 26 5 2 4 2" xfId="2684" xr:uid="{F7271FB1-D132-415B-A9DA-A9F026BE4140}"/>
    <cellStyle name="Normal 26 5 2 4 20" xfId="36704" xr:uid="{CCD8837F-BC34-4B87-B0E8-87F81047BE1C}"/>
    <cellStyle name="Normal 26 5 2 4 21" xfId="38594" xr:uid="{E0C93362-433E-49C8-998C-DC4300B93E76}"/>
    <cellStyle name="Normal 26 5 2 4 22" xfId="40485" xr:uid="{DA814467-1544-4E12-9750-565C2373AE46}"/>
    <cellStyle name="Normal 26 5 2 4 3" xfId="4574" xr:uid="{1E0C94D1-2847-41EE-8855-3504B8DE4E81}"/>
    <cellStyle name="Normal 26 5 2 4 4" xfId="6464" xr:uid="{54CED38D-795F-41E2-A31C-08752D2A3A4D}"/>
    <cellStyle name="Normal 26 5 2 4 5" xfId="8354" xr:uid="{3E00E99C-DF9D-4613-940A-15372361F4B0}"/>
    <cellStyle name="Normal 26 5 2 4 6" xfId="10244" xr:uid="{40F8B6E5-A0BF-44AE-B1E7-9A7F326CCC37}"/>
    <cellStyle name="Normal 26 5 2 4 7" xfId="12134" xr:uid="{CC3AA6A6-8554-4D00-B325-8804D4123162}"/>
    <cellStyle name="Normal 26 5 2 4 8" xfId="14024" xr:uid="{A16B985F-502E-489E-9AF9-362EC72ED104}"/>
    <cellStyle name="Normal 26 5 2 4 9" xfId="15914" xr:uid="{56DFCD19-87A6-4194-8439-617D7BE1B593}"/>
    <cellStyle name="Normal 26 5 2 5" xfId="1424" xr:uid="{4A15458E-4CB0-4B58-A476-36812B13F366}"/>
    <cellStyle name="Normal 26 5 2 5 10" xfId="18434" xr:uid="{60330169-FCEF-4AA7-BF41-2CF2D9D53AC2}"/>
    <cellStyle name="Normal 26 5 2 5 11" xfId="20324" xr:uid="{3CBF43AA-1B43-488C-9943-FFA2518071C9}"/>
    <cellStyle name="Normal 26 5 2 5 12" xfId="22214" xr:uid="{E031F36A-FC4B-4CED-8A87-4800B0D7E3A5}"/>
    <cellStyle name="Normal 26 5 2 5 13" xfId="24104" xr:uid="{DA5720A6-E4AF-4F5D-9221-97EFB0235AD7}"/>
    <cellStyle name="Normal 26 5 2 5 14" xfId="25994" xr:uid="{3FE75652-E0DF-4CB1-A466-A8A64C3560F7}"/>
    <cellStyle name="Normal 26 5 2 5 15" xfId="27884" xr:uid="{5C61A4B6-66B2-4829-BBBA-72B02A6D8756}"/>
    <cellStyle name="Normal 26 5 2 5 16" xfId="29774" xr:uid="{D4F6BE06-F16E-4F6C-ACC2-3163A3A71632}"/>
    <cellStyle name="Normal 26 5 2 5 17" xfId="31664" xr:uid="{54678FD8-77D2-432F-AE4E-27A0683FEDCA}"/>
    <cellStyle name="Normal 26 5 2 5 18" xfId="33554" xr:uid="{AEDE4B07-1AF5-4C91-A936-7D19B75E6C6C}"/>
    <cellStyle name="Normal 26 5 2 5 19" xfId="35444" xr:uid="{C9D74C16-7046-4338-B497-EDB8A97E8380}"/>
    <cellStyle name="Normal 26 5 2 5 2" xfId="3314" xr:uid="{C1B59261-B5DB-40A8-8665-63BA14F9FFF7}"/>
    <cellStyle name="Normal 26 5 2 5 20" xfId="37334" xr:uid="{C4345D44-5D26-4936-84FE-A672B7E6E4C8}"/>
    <cellStyle name="Normal 26 5 2 5 21" xfId="39224" xr:uid="{8B530010-3FDF-4815-A891-D82B4C02C470}"/>
    <cellStyle name="Normal 26 5 2 5 22" xfId="41115" xr:uid="{368F8251-0861-4C55-B8BA-FE0627536617}"/>
    <cellStyle name="Normal 26 5 2 5 3" xfId="5204" xr:uid="{A8703E5A-48FA-42BB-994F-6A8D60E4E804}"/>
    <cellStyle name="Normal 26 5 2 5 4" xfId="7094" xr:uid="{AB1009BC-DE62-4CB6-9953-8410691AFB9D}"/>
    <cellStyle name="Normal 26 5 2 5 5" xfId="8984" xr:uid="{3C79EFB8-DA27-4017-BFC0-B778572267E3}"/>
    <cellStyle name="Normal 26 5 2 5 6" xfId="10874" xr:uid="{3D6F5017-76FA-4574-9667-1A42ACD9A960}"/>
    <cellStyle name="Normal 26 5 2 5 7" xfId="12764" xr:uid="{96835FE7-6DF3-473B-A95B-1DDD7807A1F7}"/>
    <cellStyle name="Normal 26 5 2 5 8" xfId="14654" xr:uid="{2EC75552-22AE-4A91-852E-7BCB609EBF3C}"/>
    <cellStyle name="Normal 26 5 2 5 9" xfId="16544" xr:uid="{7749DD02-13CD-4245-AF51-B5C7B8C1E3FE}"/>
    <cellStyle name="Normal 26 5 2 6" xfId="2054" xr:uid="{8CE5AF8F-1984-4C5B-A282-7535DE25386F}"/>
    <cellStyle name="Normal 26 5 2 7" xfId="3944" xr:uid="{DC7E2324-8B3C-4D53-8DAD-E053AB7BEAD4}"/>
    <cellStyle name="Normal 26 5 2 8" xfId="5834" xr:uid="{2894607A-2EE5-4CCF-B103-9C4AB323F8BE}"/>
    <cellStyle name="Normal 26 5 2 9" xfId="7724" xr:uid="{120E09BD-E47B-4C51-B0B8-7B70F5023F0B}"/>
    <cellStyle name="Normal 26 5 20" xfId="26519" xr:uid="{FDB9A23A-5B5A-4D75-9F5E-49FA1D42BDF6}"/>
    <cellStyle name="Normal 26 5 21" xfId="28409" xr:uid="{580F4851-AD71-4D91-BDD0-5CFED1B4F679}"/>
    <cellStyle name="Normal 26 5 22" xfId="30299" xr:uid="{A86AEAD1-6C54-454B-94DC-EFE5517677F1}"/>
    <cellStyle name="Normal 26 5 23" xfId="32189" xr:uid="{126B8232-ED82-4E4F-B43C-4CD4C113B2AF}"/>
    <cellStyle name="Normal 26 5 24" xfId="34079" xr:uid="{913AFDB5-2777-40F3-AA06-1E17C48B0878}"/>
    <cellStyle name="Normal 26 5 25" xfId="35969" xr:uid="{07D2AD9D-9378-4A5E-BF74-B561F600975D}"/>
    <cellStyle name="Normal 26 5 26" xfId="37859" xr:uid="{12D70E52-21E2-4A6F-95A7-04CAA80AC345}"/>
    <cellStyle name="Normal 26 5 27" xfId="39750" xr:uid="{EE4ACB78-7D89-4EEE-9F48-095E248E8FE2}"/>
    <cellStyle name="Normal 26 5 3" xfId="269" xr:uid="{5DE6F545-9167-4EF3-AC8C-FE6F85600923}"/>
    <cellStyle name="Normal 26 5 3 10" xfId="13499" xr:uid="{8DAB044F-874C-4984-B299-29459B96F889}"/>
    <cellStyle name="Normal 26 5 3 11" xfId="15389" xr:uid="{0D74B4DC-4F4D-404B-8FE9-38C51F5C069F}"/>
    <cellStyle name="Normal 26 5 3 12" xfId="17279" xr:uid="{CEE03112-8EEC-4318-86F6-3CFEEF109AA6}"/>
    <cellStyle name="Normal 26 5 3 13" xfId="19169" xr:uid="{96255972-A920-4C6D-8348-445D7B244CB3}"/>
    <cellStyle name="Normal 26 5 3 14" xfId="21059" xr:uid="{26DB579F-3B37-4B5C-9F53-39E35C7888F0}"/>
    <cellStyle name="Normal 26 5 3 15" xfId="22949" xr:uid="{CC106DB0-B248-49F3-978A-F982BB5CD299}"/>
    <cellStyle name="Normal 26 5 3 16" xfId="24839" xr:uid="{5C0D1C00-C64C-43AF-87B8-F97DAB1EC80F}"/>
    <cellStyle name="Normal 26 5 3 17" xfId="26729" xr:uid="{25881C19-A00E-4709-B04D-519D5C9139B8}"/>
    <cellStyle name="Normal 26 5 3 18" xfId="28619" xr:uid="{D81493CE-655B-41F7-9105-BFEFBA1303CD}"/>
    <cellStyle name="Normal 26 5 3 19" xfId="30509" xr:uid="{FE76B25F-2BDD-45CB-8FB3-CCA20FE53F50}"/>
    <cellStyle name="Normal 26 5 3 2" xfId="899" xr:uid="{7A2F30C8-0902-42B5-BE19-5DAF168D8111}"/>
    <cellStyle name="Normal 26 5 3 2 10" xfId="17909" xr:uid="{8991D978-4A8A-44B3-B231-83FB509C1F2F}"/>
    <cellStyle name="Normal 26 5 3 2 11" xfId="19799" xr:uid="{3CE51CA8-BFBE-441F-8BEA-60DE4EFD43F3}"/>
    <cellStyle name="Normal 26 5 3 2 12" xfId="21689" xr:uid="{E83996C4-1016-4668-8374-2A121C768D28}"/>
    <cellStyle name="Normal 26 5 3 2 13" xfId="23579" xr:uid="{8AFD812A-6401-441C-A4C0-562595F1CA14}"/>
    <cellStyle name="Normal 26 5 3 2 14" xfId="25469" xr:uid="{0A2B3BE3-F415-4567-9367-3AB0AE19A635}"/>
    <cellStyle name="Normal 26 5 3 2 15" xfId="27359" xr:uid="{2C459288-3C1A-4576-B0C8-FE9AFCB7339B}"/>
    <cellStyle name="Normal 26 5 3 2 16" xfId="29249" xr:uid="{B06BAFFD-1081-4C05-A082-5D58574C9586}"/>
    <cellStyle name="Normal 26 5 3 2 17" xfId="31139" xr:uid="{23327E32-7195-4228-885D-ADBB18DDB0C0}"/>
    <cellStyle name="Normal 26 5 3 2 18" xfId="33029" xr:uid="{81B5D5EA-C60C-4B7C-BA02-B1538D8514DD}"/>
    <cellStyle name="Normal 26 5 3 2 19" xfId="34919" xr:uid="{371EA79A-7FBD-4F4C-9AC0-6C12F758F160}"/>
    <cellStyle name="Normal 26 5 3 2 2" xfId="2789" xr:uid="{FE28CD1C-DE21-42C7-A112-B076F3273A0D}"/>
    <cellStyle name="Normal 26 5 3 2 20" xfId="36809" xr:uid="{A22C7A6D-572E-4E18-A5BD-97A63EED259D}"/>
    <cellStyle name="Normal 26 5 3 2 21" xfId="38699" xr:uid="{23D7D17D-E211-4D4F-BD0C-6C102AF1EB0E}"/>
    <cellStyle name="Normal 26 5 3 2 22" xfId="40590" xr:uid="{569755D2-FA60-45B2-BE89-61DD8AECD2CE}"/>
    <cellStyle name="Normal 26 5 3 2 3" xfId="4679" xr:uid="{4FE1E473-14A5-477E-808B-216E50ABB715}"/>
    <cellStyle name="Normal 26 5 3 2 4" xfId="6569" xr:uid="{6701EBA0-8B44-44B0-B8A8-05C88528EB71}"/>
    <cellStyle name="Normal 26 5 3 2 5" xfId="8459" xr:uid="{A176F73E-125E-4CAF-ADA6-D9F2ADCF8615}"/>
    <cellStyle name="Normal 26 5 3 2 6" xfId="10349" xr:uid="{E2C9B403-340D-4D7F-9BB4-6709E65F8800}"/>
    <cellStyle name="Normal 26 5 3 2 7" xfId="12239" xr:uid="{DCB4BB50-3153-40B8-927F-181C6FDD1CB2}"/>
    <cellStyle name="Normal 26 5 3 2 8" xfId="14129" xr:uid="{631B37C1-4D4C-48D9-B940-8A2E6207F88F}"/>
    <cellStyle name="Normal 26 5 3 2 9" xfId="16019" xr:uid="{7BA2CBB0-DECF-41BB-A7BB-26A9D4CEA1BB}"/>
    <cellStyle name="Normal 26 5 3 20" xfId="32399" xr:uid="{C6FFC086-D11F-44CF-851A-F6D36BDDBC37}"/>
    <cellStyle name="Normal 26 5 3 21" xfId="34289" xr:uid="{B34CB6B1-C544-4B39-B5BB-E31CAED2D9D8}"/>
    <cellStyle name="Normal 26 5 3 22" xfId="36179" xr:uid="{E3DF60CE-BFF4-4733-8D33-0DD9F28EC2F2}"/>
    <cellStyle name="Normal 26 5 3 23" xfId="38069" xr:uid="{CC4F5BF6-42CD-40CF-BCE8-4D064F687EF8}"/>
    <cellStyle name="Normal 26 5 3 24" xfId="39960" xr:uid="{FE2DB973-8BDF-4A0F-8C13-6629A93BC2ED}"/>
    <cellStyle name="Normal 26 5 3 3" xfId="1529" xr:uid="{D04DF148-7CEE-42A9-96E9-CD49E7D6CEC2}"/>
    <cellStyle name="Normal 26 5 3 3 10" xfId="18539" xr:uid="{02DE34F2-8ECC-40DC-9B36-44ED7F6CB59C}"/>
    <cellStyle name="Normal 26 5 3 3 11" xfId="20429" xr:uid="{6E51AD9B-5C67-4C2B-903E-2063B6F47AA6}"/>
    <cellStyle name="Normal 26 5 3 3 12" xfId="22319" xr:uid="{78FF9253-2E4E-4DFE-B026-48901A69DF0C}"/>
    <cellStyle name="Normal 26 5 3 3 13" xfId="24209" xr:uid="{7D71745F-1514-449D-871C-AEE0FD25478A}"/>
    <cellStyle name="Normal 26 5 3 3 14" xfId="26099" xr:uid="{0EB35E4D-A8FA-430F-863A-30A564CC1EE5}"/>
    <cellStyle name="Normal 26 5 3 3 15" xfId="27989" xr:uid="{E25FC393-0E9B-4766-9DB9-C3DA277BCB59}"/>
    <cellStyle name="Normal 26 5 3 3 16" xfId="29879" xr:uid="{92F8AE7F-8002-482C-AEDB-264FD3C78D07}"/>
    <cellStyle name="Normal 26 5 3 3 17" xfId="31769" xr:uid="{CA848BCA-49F6-4181-9486-B0EBA9FB5C9D}"/>
    <cellStyle name="Normal 26 5 3 3 18" xfId="33659" xr:uid="{4AFB876C-E640-4D54-8A03-DA6396A06700}"/>
    <cellStyle name="Normal 26 5 3 3 19" xfId="35549" xr:uid="{0FDE32DF-A1A6-4DE9-9577-834FAB77655A}"/>
    <cellStyle name="Normal 26 5 3 3 2" xfId="3419" xr:uid="{1506241E-5706-43CA-9153-56EF8DA77320}"/>
    <cellStyle name="Normal 26 5 3 3 20" xfId="37439" xr:uid="{48EF4458-EA4C-4EFA-9D6C-E63672CC9806}"/>
    <cellStyle name="Normal 26 5 3 3 21" xfId="39329" xr:uid="{E1556AB8-2614-4B41-81E8-51AE607CA662}"/>
    <cellStyle name="Normal 26 5 3 3 22" xfId="41220" xr:uid="{A53D32AC-0890-4A73-9243-799B412E4087}"/>
    <cellStyle name="Normal 26 5 3 3 3" xfId="5309" xr:uid="{6077A0B0-533C-4DB3-8B81-FA3D9745AA7A}"/>
    <cellStyle name="Normal 26 5 3 3 4" xfId="7199" xr:uid="{072364A8-C70C-43FB-BA48-B1462127B1DF}"/>
    <cellStyle name="Normal 26 5 3 3 5" xfId="9089" xr:uid="{F7199FFB-7C7C-46F1-AC62-25F53947ABD3}"/>
    <cellStyle name="Normal 26 5 3 3 6" xfId="10979" xr:uid="{0F68F404-E18C-4033-AF93-380B80188081}"/>
    <cellStyle name="Normal 26 5 3 3 7" xfId="12869" xr:uid="{258A40B6-E838-41D2-B1A3-67C9C31FC209}"/>
    <cellStyle name="Normal 26 5 3 3 8" xfId="14759" xr:uid="{658455F0-E860-4F32-AA2F-2CED5A0088D3}"/>
    <cellStyle name="Normal 26 5 3 3 9" xfId="16649" xr:uid="{810D256F-5232-4FC7-A03D-1B4A33FA73F7}"/>
    <cellStyle name="Normal 26 5 3 4" xfId="2159" xr:uid="{B6BCE020-8DAC-4716-A476-F1F7C2D72675}"/>
    <cellStyle name="Normal 26 5 3 5" xfId="4049" xr:uid="{D0C5565D-CEFC-48A5-978F-BE9096E6AF41}"/>
    <cellStyle name="Normal 26 5 3 6" xfId="5939" xr:uid="{11304FB0-8502-418D-A28C-7ADB50BB8BE1}"/>
    <cellStyle name="Normal 26 5 3 7" xfId="7829" xr:uid="{A0565C6A-CA43-4323-A7E0-8B1871FFD58D}"/>
    <cellStyle name="Normal 26 5 3 8" xfId="9719" xr:uid="{BBE33CAB-41AD-4AB7-8419-64594E957A77}"/>
    <cellStyle name="Normal 26 5 3 9" xfId="11609" xr:uid="{2FCEDC8B-85DC-437B-A38D-452AC409B9D7}"/>
    <cellStyle name="Normal 26 5 4" xfId="479" xr:uid="{277F5F59-9D56-415C-A48E-594C09964B63}"/>
    <cellStyle name="Normal 26 5 4 10" xfId="13709" xr:uid="{9D96C72F-DB78-412C-9E00-31A2260DE9FF}"/>
    <cellStyle name="Normal 26 5 4 11" xfId="15599" xr:uid="{55ECD42C-FB87-4316-B6E4-9B5CF173833A}"/>
    <cellStyle name="Normal 26 5 4 12" xfId="17489" xr:uid="{C328D219-B6A6-4817-AAA3-B40FF86EC11A}"/>
    <cellStyle name="Normal 26 5 4 13" xfId="19379" xr:uid="{2E191ABA-5345-40E6-9AB2-4A6C9EB99605}"/>
    <cellStyle name="Normal 26 5 4 14" xfId="21269" xr:uid="{11166235-2A71-40AD-BDDD-1ED723519CBF}"/>
    <cellStyle name="Normal 26 5 4 15" xfId="23159" xr:uid="{77FF3C81-CB62-43A6-97F2-2C93DBE95DD3}"/>
    <cellStyle name="Normal 26 5 4 16" xfId="25049" xr:uid="{8B105F9C-D600-44EF-9EAF-58793A94D44E}"/>
    <cellStyle name="Normal 26 5 4 17" xfId="26939" xr:uid="{55DDA12F-D3D5-46BC-BEE9-A09B631887A7}"/>
    <cellStyle name="Normal 26 5 4 18" xfId="28829" xr:uid="{095EE747-A2F8-4767-A49B-1E8E402B4F64}"/>
    <cellStyle name="Normal 26 5 4 19" xfId="30719" xr:uid="{FC48BDCB-C233-405F-9DAA-BCC1EEBBAD15}"/>
    <cellStyle name="Normal 26 5 4 2" xfId="1109" xr:uid="{C609C62E-A2AA-46BE-8F09-663DF1A3211D}"/>
    <cellStyle name="Normal 26 5 4 2 10" xfId="18119" xr:uid="{92220D1D-DA01-48A1-9AE6-0AE711D1B114}"/>
    <cellStyle name="Normal 26 5 4 2 11" xfId="20009" xr:uid="{AF932DAC-F8E6-4D16-AB53-09F5B17382EE}"/>
    <cellStyle name="Normal 26 5 4 2 12" xfId="21899" xr:uid="{8AC587FE-455E-4521-A49B-8718C04503BA}"/>
    <cellStyle name="Normal 26 5 4 2 13" xfId="23789" xr:uid="{C0D7FCE3-3539-4ED4-82AE-ACBEAF1CCEB2}"/>
    <cellStyle name="Normal 26 5 4 2 14" xfId="25679" xr:uid="{3CF1FF4D-2934-4B70-BE83-1AC63FB7E894}"/>
    <cellStyle name="Normal 26 5 4 2 15" xfId="27569" xr:uid="{54531B44-D1E8-4802-ADD0-87019FD34CAB}"/>
    <cellStyle name="Normal 26 5 4 2 16" xfId="29459" xr:uid="{419AAF5A-6351-4C7D-A803-3DD46D0ED037}"/>
    <cellStyle name="Normal 26 5 4 2 17" xfId="31349" xr:uid="{7B1765AA-DCA1-4646-AFDB-7E6475185137}"/>
    <cellStyle name="Normal 26 5 4 2 18" xfId="33239" xr:uid="{604C0F7B-C1A8-4265-8804-D1E678A81E00}"/>
    <cellStyle name="Normal 26 5 4 2 19" xfId="35129" xr:uid="{8562E494-86D2-4C52-9DE4-BF67695E633E}"/>
    <cellStyle name="Normal 26 5 4 2 2" xfId="2999" xr:uid="{3FF1BE6F-3447-4AC5-92F7-FC8E21F9CE11}"/>
    <cellStyle name="Normal 26 5 4 2 20" xfId="37019" xr:uid="{7BB3E70F-05D9-4DFE-973A-27B2D4621C40}"/>
    <cellStyle name="Normal 26 5 4 2 21" xfId="38909" xr:uid="{A8416940-CF69-4119-920B-473F3CAA9AA1}"/>
    <cellStyle name="Normal 26 5 4 2 22" xfId="40800" xr:uid="{38A5E9D0-1994-4F1A-A1F0-651399E362C6}"/>
    <cellStyle name="Normal 26 5 4 2 3" xfId="4889" xr:uid="{8B03A7E5-8379-4BA7-B1B1-6CEAF4C16817}"/>
    <cellStyle name="Normal 26 5 4 2 4" xfId="6779" xr:uid="{7A5BD4DB-5806-4D30-BE3C-EC33AAA080F6}"/>
    <cellStyle name="Normal 26 5 4 2 5" xfId="8669" xr:uid="{2D4A371C-9CFD-44FF-ADCF-5B688AFE9D98}"/>
    <cellStyle name="Normal 26 5 4 2 6" xfId="10559" xr:uid="{30036C34-9DEF-472E-9003-E35056D13945}"/>
    <cellStyle name="Normal 26 5 4 2 7" xfId="12449" xr:uid="{266AE057-F403-4AD1-800A-3ECCA7EDAEF1}"/>
    <cellStyle name="Normal 26 5 4 2 8" xfId="14339" xr:uid="{BEA16189-89A0-4A45-AC13-6A1435174C00}"/>
    <cellStyle name="Normal 26 5 4 2 9" xfId="16229" xr:uid="{44422912-3734-4D45-889F-4CFF1D4EEE7F}"/>
    <cellStyle name="Normal 26 5 4 20" xfId="32609" xr:uid="{96616E2D-80B9-4E02-B2F9-36EF3425400F}"/>
    <cellStyle name="Normal 26 5 4 21" xfId="34499" xr:uid="{EA958F6F-1511-4574-A3B7-4A06516F94A9}"/>
    <cellStyle name="Normal 26 5 4 22" xfId="36389" xr:uid="{C4834CBD-5B99-4140-AC14-B78DDF57FA78}"/>
    <cellStyle name="Normal 26 5 4 23" xfId="38279" xr:uid="{38DDFF8E-678D-4D87-86D6-1B5477BBF73D}"/>
    <cellStyle name="Normal 26 5 4 24" xfId="40170" xr:uid="{A93CA84D-79D0-41EB-8BDF-445C74D79DD6}"/>
    <cellStyle name="Normal 26 5 4 3" xfId="1739" xr:uid="{044E312F-2AE0-43C6-9012-B33615AFEDC9}"/>
    <cellStyle name="Normal 26 5 4 3 10" xfId="18749" xr:uid="{6E47F1B1-7CCA-4B99-9918-812644E32EFE}"/>
    <cellStyle name="Normal 26 5 4 3 11" xfId="20639" xr:uid="{AAAAFB27-F07A-4F55-B63F-306C6B46C926}"/>
    <cellStyle name="Normal 26 5 4 3 12" xfId="22529" xr:uid="{2C33FC53-67EC-4D0E-97C3-6C721EF7A3B1}"/>
    <cellStyle name="Normal 26 5 4 3 13" xfId="24419" xr:uid="{2AF2E55F-E829-4AC6-AAFE-ED106C07BB2C}"/>
    <cellStyle name="Normal 26 5 4 3 14" xfId="26309" xr:uid="{A62F20E9-1CAB-4BB9-AA40-C5866AD8C17A}"/>
    <cellStyle name="Normal 26 5 4 3 15" xfId="28199" xr:uid="{71BC6DEE-FE3F-420D-A3F7-0580485ED717}"/>
    <cellStyle name="Normal 26 5 4 3 16" xfId="30089" xr:uid="{719DA4D6-C61A-4C39-BF44-E018A304B914}"/>
    <cellStyle name="Normal 26 5 4 3 17" xfId="31979" xr:uid="{57832CB9-9DD5-4C8E-B5E3-E6F86524E6F4}"/>
    <cellStyle name="Normal 26 5 4 3 18" xfId="33869" xr:uid="{10699B3A-1AD3-4103-B5AC-FDB162E5D532}"/>
    <cellStyle name="Normal 26 5 4 3 19" xfId="35759" xr:uid="{0F3190FC-F2A0-4294-9753-A84DB4111B2B}"/>
    <cellStyle name="Normal 26 5 4 3 2" xfId="3629" xr:uid="{A7E089E9-285D-48C1-9C71-47072AD6B16C}"/>
    <cellStyle name="Normal 26 5 4 3 20" xfId="37649" xr:uid="{1E3F8409-BBF6-402B-899A-67D1BBEC8883}"/>
    <cellStyle name="Normal 26 5 4 3 21" xfId="39539" xr:uid="{D4F7DA36-53FC-48A9-980D-23E82DA4597B}"/>
    <cellStyle name="Normal 26 5 4 3 22" xfId="41430" xr:uid="{23E17B02-51BC-44C5-BA75-545CC19A7F43}"/>
    <cellStyle name="Normal 26 5 4 3 3" xfId="5519" xr:uid="{1F4039B0-7AC5-4679-92AE-8CC3558C8927}"/>
    <cellStyle name="Normal 26 5 4 3 4" xfId="7409" xr:uid="{3C8360C6-6F2D-43B8-A331-CE19AFEE9048}"/>
    <cellStyle name="Normal 26 5 4 3 5" xfId="9299" xr:uid="{470064A4-2CE2-4CA0-8187-D50B3B31E2FD}"/>
    <cellStyle name="Normal 26 5 4 3 6" xfId="11189" xr:uid="{9E36A4A5-80FA-4737-8D3B-E3428D61A918}"/>
    <cellStyle name="Normal 26 5 4 3 7" xfId="13079" xr:uid="{2EB33CF2-240C-42E9-BD6C-1F7254AFA7E4}"/>
    <cellStyle name="Normal 26 5 4 3 8" xfId="14969" xr:uid="{C13EFAE7-B8AD-44AF-82DF-C1C249BBD7E0}"/>
    <cellStyle name="Normal 26 5 4 3 9" xfId="16859" xr:uid="{6E9A3165-2F87-4DAC-A89C-9D9BFF1ACFA5}"/>
    <cellStyle name="Normal 26 5 4 4" xfId="2369" xr:uid="{79F5C13C-AEFC-449C-8A96-475CFE67E001}"/>
    <cellStyle name="Normal 26 5 4 5" xfId="4259" xr:uid="{5980FF5E-658F-4AA7-92A5-01C6EEAD230D}"/>
    <cellStyle name="Normal 26 5 4 6" xfId="6149" xr:uid="{96CA8EC3-089C-464E-A511-E876D0BA2B13}"/>
    <cellStyle name="Normal 26 5 4 7" xfId="8039" xr:uid="{4A308C96-51C8-4114-B26E-022BC1C027D1}"/>
    <cellStyle name="Normal 26 5 4 8" xfId="9929" xr:uid="{A8858F09-CDB8-4BF2-B3FD-6EC3DEF88B46}"/>
    <cellStyle name="Normal 26 5 4 9" xfId="11819" xr:uid="{74D59B33-0485-4BFC-A0DF-0716A9EECC65}"/>
    <cellStyle name="Normal 26 5 5" xfId="689" xr:uid="{49E67DEE-4078-4C04-A552-2BA9A7AF2957}"/>
    <cellStyle name="Normal 26 5 5 10" xfId="17699" xr:uid="{95F07422-3F56-4388-97DE-72D8EBA854EB}"/>
    <cellStyle name="Normal 26 5 5 11" xfId="19589" xr:uid="{CDE41307-F295-46B6-9B17-48A6B4621D26}"/>
    <cellStyle name="Normal 26 5 5 12" xfId="21479" xr:uid="{FFDC6E44-9815-4A53-96CE-16DEE03B8DC6}"/>
    <cellStyle name="Normal 26 5 5 13" xfId="23369" xr:uid="{4AF9A27E-2CEF-40AB-B65C-08E738658293}"/>
    <cellStyle name="Normal 26 5 5 14" xfId="25259" xr:uid="{0F987069-4B5D-4B37-A7B0-B0912FABCA90}"/>
    <cellStyle name="Normal 26 5 5 15" xfId="27149" xr:uid="{9EA50A71-50E6-4E60-83F4-1D19E9C732E7}"/>
    <cellStyle name="Normal 26 5 5 16" xfId="29039" xr:uid="{024A2289-93C1-4F40-BA1D-031EB3D35059}"/>
    <cellStyle name="Normal 26 5 5 17" xfId="30929" xr:uid="{8105D3FF-B8DD-44EA-B1E1-48B7E6F3C613}"/>
    <cellStyle name="Normal 26 5 5 18" xfId="32819" xr:uid="{0D59D957-EC1F-412F-AA70-7579F3FA93E3}"/>
    <cellStyle name="Normal 26 5 5 19" xfId="34709" xr:uid="{48A40B9D-4F5A-4055-9841-37108F0A5B10}"/>
    <cellStyle name="Normal 26 5 5 2" xfId="2579" xr:uid="{6716FCD1-6BB1-45EE-8AC8-1B40F739E9A7}"/>
    <cellStyle name="Normal 26 5 5 20" xfId="36599" xr:uid="{407EE07B-08D1-408D-98AC-E9AF7CA5AA14}"/>
    <cellStyle name="Normal 26 5 5 21" xfId="38489" xr:uid="{F4C80B3E-4F1E-4644-9267-8A95EA9225E0}"/>
    <cellStyle name="Normal 26 5 5 22" xfId="40380" xr:uid="{179FFB89-3AC1-4412-A8F2-E0A086D78A75}"/>
    <cellStyle name="Normal 26 5 5 3" xfId="4469" xr:uid="{9B1E889C-8FE6-4641-AF8D-404DD0DABA22}"/>
    <cellStyle name="Normal 26 5 5 4" xfId="6359" xr:uid="{21377BC0-5D88-4441-91FE-D3C1D411D985}"/>
    <cellStyle name="Normal 26 5 5 5" xfId="8249" xr:uid="{F85F8D9D-49FE-4E4E-9A63-C681F8798EDF}"/>
    <cellStyle name="Normal 26 5 5 6" xfId="10139" xr:uid="{EADFDB6E-612D-492B-9497-9F63BF23A694}"/>
    <cellStyle name="Normal 26 5 5 7" xfId="12029" xr:uid="{BEF03360-1722-49FF-8E60-57E947B967C9}"/>
    <cellStyle name="Normal 26 5 5 8" xfId="13919" xr:uid="{A7C60055-7394-43A3-8600-A1580E140DE3}"/>
    <cellStyle name="Normal 26 5 5 9" xfId="15809" xr:uid="{8D37E448-B0AC-471C-B7F0-B83EFBDA73B4}"/>
    <cellStyle name="Normal 26 5 6" xfId="1319" xr:uid="{96506368-6816-4C7C-8B3B-BF105F72B5AE}"/>
    <cellStyle name="Normal 26 5 6 10" xfId="18329" xr:uid="{744E1E63-D900-41E1-B041-D592118E73F0}"/>
    <cellStyle name="Normal 26 5 6 11" xfId="20219" xr:uid="{B95F666E-087F-4141-BE16-FDFA22EFECFF}"/>
    <cellStyle name="Normal 26 5 6 12" xfId="22109" xr:uid="{C161CEF6-AD28-4DBA-B21F-26D520924E2B}"/>
    <cellStyle name="Normal 26 5 6 13" xfId="23999" xr:uid="{78D02AE5-73B1-4D33-8313-56805C0E0D0E}"/>
    <cellStyle name="Normal 26 5 6 14" xfId="25889" xr:uid="{FE549F97-A6B9-472E-9910-F8DE30C96AFC}"/>
    <cellStyle name="Normal 26 5 6 15" xfId="27779" xr:uid="{82CD3DAC-8AB9-4597-A166-AD0A6AF2EEA5}"/>
    <cellStyle name="Normal 26 5 6 16" xfId="29669" xr:uid="{7A618AE3-8927-4C32-AC28-338304732C53}"/>
    <cellStyle name="Normal 26 5 6 17" xfId="31559" xr:uid="{A3056B4A-9818-46E5-97AE-BD6C8AD2F0F8}"/>
    <cellStyle name="Normal 26 5 6 18" xfId="33449" xr:uid="{7C0F2A71-372A-475C-8504-928A1A49436F}"/>
    <cellStyle name="Normal 26 5 6 19" xfId="35339" xr:uid="{58520840-0359-4710-8BF8-4B9DF56A5931}"/>
    <cellStyle name="Normal 26 5 6 2" xfId="3209" xr:uid="{3CB9974F-7A22-4E62-8D58-54970BB55DA8}"/>
    <cellStyle name="Normal 26 5 6 20" xfId="37229" xr:uid="{3428513D-4208-4E14-BA82-40531C118C9C}"/>
    <cellStyle name="Normal 26 5 6 21" xfId="39119" xr:uid="{BDE3E43F-F6F9-46B0-8BB5-0A2F14E92A41}"/>
    <cellStyle name="Normal 26 5 6 22" xfId="41010" xr:uid="{E287229B-B38C-4D7B-9DE2-32ADBC98E33F}"/>
    <cellStyle name="Normal 26 5 6 3" xfId="5099" xr:uid="{7D1A037A-A844-412F-940C-B32535227311}"/>
    <cellStyle name="Normal 26 5 6 4" xfId="6989" xr:uid="{C55BE7B8-9E04-4685-B22E-17029A78AAAE}"/>
    <cellStyle name="Normal 26 5 6 5" xfId="8879" xr:uid="{8DC71E4C-FBEE-4A1A-9638-BB000B0793E5}"/>
    <cellStyle name="Normal 26 5 6 6" xfId="10769" xr:uid="{6322CEF3-388E-4A2E-A623-6829BD6F0D55}"/>
    <cellStyle name="Normal 26 5 6 7" xfId="12659" xr:uid="{07C6FB1F-91FB-444C-BF76-48FE740798F5}"/>
    <cellStyle name="Normal 26 5 6 8" xfId="14549" xr:uid="{C9F6B474-709A-4605-BB7A-F2280E860066}"/>
    <cellStyle name="Normal 26 5 6 9" xfId="16439" xr:uid="{9EBE8A67-5DBE-468F-B003-BBE746F012A1}"/>
    <cellStyle name="Normal 26 5 7" xfId="1949" xr:uid="{5FC64AA1-7B72-4D0E-8177-E281F698FB38}"/>
    <cellStyle name="Normal 26 5 8" xfId="3839" xr:uid="{2166C3D1-DAFF-4B23-87F0-C4977018F28A}"/>
    <cellStyle name="Normal 26 5 9" xfId="5729" xr:uid="{EF878215-1BE0-4A71-AC6C-67ADA81C6727}"/>
    <cellStyle name="Normal 26 6" xfId="46" xr:uid="{56B93C16-F948-4DEC-A5AD-4807BDCC95EB}"/>
    <cellStyle name="Normal 26 6 10" xfId="7628" xr:uid="{282E6A28-20AB-4EB9-8FA7-022CCA564CE3}"/>
    <cellStyle name="Normal 26 6 11" xfId="9518" xr:uid="{A60E327B-1F55-42D6-8771-E0F84D70271A}"/>
    <cellStyle name="Normal 26 6 12" xfId="11408" xr:uid="{BB16FA44-5974-459E-94BB-3EB5AED056F5}"/>
    <cellStyle name="Normal 26 6 13" xfId="13298" xr:uid="{E6428D5B-4B2B-49C4-BF72-BAE9AB26B7FD}"/>
    <cellStyle name="Normal 26 6 14" xfId="15188" xr:uid="{41AC1142-A7D3-4A3D-9F02-DBFB5DF08D16}"/>
    <cellStyle name="Normal 26 6 15" xfId="17078" xr:uid="{6831B6C9-D152-4AA6-B945-1294A9DE08FD}"/>
    <cellStyle name="Normal 26 6 16" xfId="18968" xr:uid="{92644E0B-8C2C-41F9-A0B9-58A55B4D0071}"/>
    <cellStyle name="Normal 26 6 17" xfId="20858" xr:uid="{E4AEFB1C-0C46-4CD0-97FD-087DA512CFA9}"/>
    <cellStyle name="Normal 26 6 18" xfId="22748" xr:uid="{05524A20-8C72-4333-B24B-D8CF797D5BFD}"/>
    <cellStyle name="Normal 26 6 19" xfId="24638" xr:uid="{CF374B9E-E8BF-4D19-B3C8-F5FED9E978E0}"/>
    <cellStyle name="Normal 26 6 2" xfId="173" xr:uid="{A8E318D0-2A1B-47C8-A49C-401C64A215DF}"/>
    <cellStyle name="Normal 26 6 2 10" xfId="9623" xr:uid="{3D064A6A-45E8-4DCC-8152-4EAD7D84DF4A}"/>
    <cellStyle name="Normal 26 6 2 11" xfId="11513" xr:uid="{15B44793-4D69-4966-847C-A32C2CD6DFC2}"/>
    <cellStyle name="Normal 26 6 2 12" xfId="13403" xr:uid="{A1CF2ACC-369D-48C5-9DBE-7CE6E30B6006}"/>
    <cellStyle name="Normal 26 6 2 13" xfId="15293" xr:uid="{040FCF70-AEB5-4DE7-B605-F1074D9AB59D}"/>
    <cellStyle name="Normal 26 6 2 14" xfId="17183" xr:uid="{782F9E93-5068-44C1-8715-9EF3E1CF598D}"/>
    <cellStyle name="Normal 26 6 2 15" xfId="19073" xr:uid="{479286A3-DA68-41B1-9DB2-AFBF57897D53}"/>
    <cellStyle name="Normal 26 6 2 16" xfId="20963" xr:uid="{AA062177-CFC0-4E71-B287-70A9C3768761}"/>
    <cellStyle name="Normal 26 6 2 17" xfId="22853" xr:uid="{806822C8-53E0-40C2-8272-77376A29148E}"/>
    <cellStyle name="Normal 26 6 2 18" xfId="24743" xr:uid="{8DFC20A5-C73C-4152-8FB7-767654BE2587}"/>
    <cellStyle name="Normal 26 6 2 19" xfId="26633" xr:uid="{FB2E7ABC-9FE7-469E-963A-E7A25B230464}"/>
    <cellStyle name="Normal 26 6 2 2" xfId="383" xr:uid="{09C8574F-D3C4-4CA3-AEC6-A1B3EB940B70}"/>
    <cellStyle name="Normal 26 6 2 2 10" xfId="13613" xr:uid="{9C6BCF8C-06AF-4ED0-9E82-FF8E329DD71D}"/>
    <cellStyle name="Normal 26 6 2 2 11" xfId="15503" xr:uid="{03305E4D-AE81-4A96-B1F5-0C1BB445FD1A}"/>
    <cellStyle name="Normal 26 6 2 2 12" xfId="17393" xr:uid="{A97C7526-6E42-4CB5-898A-B38A06BA34C7}"/>
    <cellStyle name="Normal 26 6 2 2 13" xfId="19283" xr:uid="{85F7772E-4D36-4E14-A757-82F3738B62AF}"/>
    <cellStyle name="Normal 26 6 2 2 14" xfId="21173" xr:uid="{81E50889-793B-493A-8D75-80105CD02F61}"/>
    <cellStyle name="Normal 26 6 2 2 15" xfId="23063" xr:uid="{ABD830BC-01F8-4DA9-8896-322BF9FDE654}"/>
    <cellStyle name="Normal 26 6 2 2 16" xfId="24953" xr:uid="{36F1EB32-C6C3-47E8-9471-97C671A01817}"/>
    <cellStyle name="Normal 26 6 2 2 17" xfId="26843" xr:uid="{4F29000C-8C4E-48B0-BEC3-B87478C5B679}"/>
    <cellStyle name="Normal 26 6 2 2 18" xfId="28733" xr:uid="{330ED8B1-6F83-4CA7-A5E0-988442F2D418}"/>
    <cellStyle name="Normal 26 6 2 2 19" xfId="30623" xr:uid="{56203FA8-3D8E-4B5B-9DB4-768E05E691CF}"/>
    <cellStyle name="Normal 26 6 2 2 2" xfId="1013" xr:uid="{361B3227-5CF6-42EB-A5C9-8012BAEBC291}"/>
    <cellStyle name="Normal 26 6 2 2 2 10" xfId="18023" xr:uid="{EFEA4EB5-2A69-4838-AB57-BC95CFDCD75A}"/>
    <cellStyle name="Normal 26 6 2 2 2 11" xfId="19913" xr:uid="{C322E8FC-8459-492E-8C27-18CB324A0875}"/>
    <cellStyle name="Normal 26 6 2 2 2 12" xfId="21803" xr:uid="{31AEEEB3-222E-40EC-AD9B-94012B16F008}"/>
    <cellStyle name="Normal 26 6 2 2 2 13" xfId="23693" xr:uid="{A2A4F1DD-2747-4241-8E87-7D2E77E81312}"/>
    <cellStyle name="Normal 26 6 2 2 2 14" xfId="25583" xr:uid="{7429664B-A8E4-4163-8265-FFD0C59880DB}"/>
    <cellStyle name="Normal 26 6 2 2 2 15" xfId="27473" xr:uid="{65119323-CDF4-4A6F-B26B-4991EB9D6B7B}"/>
    <cellStyle name="Normal 26 6 2 2 2 16" xfId="29363" xr:uid="{BF1E4422-B04F-4DA3-8DF9-B8DB9C710D1B}"/>
    <cellStyle name="Normal 26 6 2 2 2 17" xfId="31253" xr:uid="{238C1A95-1967-416A-8B64-684F8FDC1E82}"/>
    <cellStyle name="Normal 26 6 2 2 2 18" xfId="33143" xr:uid="{86C7D5E1-4074-40A4-9C68-3EE8574624AE}"/>
    <cellStyle name="Normal 26 6 2 2 2 19" xfId="35033" xr:uid="{C035D999-E88C-4E7D-84A8-B956CD695FDE}"/>
    <cellStyle name="Normal 26 6 2 2 2 2" xfId="2903" xr:uid="{49E49CB6-72B7-4F9F-AD6E-86F4AFC1D1C5}"/>
    <cellStyle name="Normal 26 6 2 2 2 20" xfId="36923" xr:uid="{FC80C7A2-688F-4E42-B487-E9172AAC2F29}"/>
    <cellStyle name="Normal 26 6 2 2 2 21" xfId="38813" xr:uid="{B236E4AC-40A0-414E-B46D-28E70EDF1226}"/>
    <cellStyle name="Normal 26 6 2 2 2 22" xfId="40704" xr:uid="{5BF9E22B-0EB1-4290-B73D-C33A6E1D7234}"/>
    <cellStyle name="Normal 26 6 2 2 2 3" xfId="4793" xr:uid="{F7790798-C2D6-436B-A964-853C8B1F116A}"/>
    <cellStyle name="Normal 26 6 2 2 2 4" xfId="6683" xr:uid="{2AFB04D8-9447-4A8C-A3AE-9CBAF5A5CE44}"/>
    <cellStyle name="Normal 26 6 2 2 2 5" xfId="8573" xr:uid="{78901B7F-3FCC-4940-81B8-3D6547685DB9}"/>
    <cellStyle name="Normal 26 6 2 2 2 6" xfId="10463" xr:uid="{0159F212-5CCE-408F-B7EE-4DA9FB23B4E1}"/>
    <cellStyle name="Normal 26 6 2 2 2 7" xfId="12353" xr:uid="{BD8975B8-202D-46AB-9099-13F91B413455}"/>
    <cellStyle name="Normal 26 6 2 2 2 8" xfId="14243" xr:uid="{19668432-D07C-4388-A5BE-35D0F0968012}"/>
    <cellStyle name="Normal 26 6 2 2 2 9" xfId="16133" xr:uid="{3553F82C-4A37-4F57-B7EC-1B5D99CB847D}"/>
    <cellStyle name="Normal 26 6 2 2 20" xfId="32513" xr:uid="{7866F36B-D8DB-495B-8B1D-1C528344A777}"/>
    <cellStyle name="Normal 26 6 2 2 21" xfId="34403" xr:uid="{C8DAEB04-DA7C-4038-8D8A-9D0E08410420}"/>
    <cellStyle name="Normal 26 6 2 2 22" xfId="36293" xr:uid="{D11587AE-8CA0-4A9B-8251-EA6B6E4A5A69}"/>
    <cellStyle name="Normal 26 6 2 2 23" xfId="38183" xr:uid="{DE65F273-79B9-4D77-AD13-C8776E916F54}"/>
    <cellStyle name="Normal 26 6 2 2 24" xfId="40074" xr:uid="{6C7F32AB-9374-4783-AA23-1672804BBD1A}"/>
    <cellStyle name="Normal 26 6 2 2 3" xfId="1643" xr:uid="{15D42475-6169-413E-B3A9-9736B7E591D1}"/>
    <cellStyle name="Normal 26 6 2 2 3 10" xfId="18653" xr:uid="{3E9229CF-9E2C-498F-A875-67A46FFBA684}"/>
    <cellStyle name="Normal 26 6 2 2 3 11" xfId="20543" xr:uid="{DA4DAE0C-D8E4-404F-B9B7-78FEC5DECB81}"/>
    <cellStyle name="Normal 26 6 2 2 3 12" xfId="22433" xr:uid="{F37D925D-C4CD-4922-935C-42246C922DBF}"/>
    <cellStyle name="Normal 26 6 2 2 3 13" xfId="24323" xr:uid="{2BD7C031-7967-4CDF-BD1E-D1A0B06170D8}"/>
    <cellStyle name="Normal 26 6 2 2 3 14" xfId="26213" xr:uid="{A3CDB316-EE0C-490A-9D01-07AE369164A5}"/>
    <cellStyle name="Normal 26 6 2 2 3 15" xfId="28103" xr:uid="{36B74953-2407-4BA0-AE15-4AC030740824}"/>
    <cellStyle name="Normal 26 6 2 2 3 16" xfId="29993" xr:uid="{16092800-EC2D-4904-9024-7A3830D8D908}"/>
    <cellStyle name="Normal 26 6 2 2 3 17" xfId="31883" xr:uid="{24E945D5-B68E-4EB2-B914-B3AEFD0C0690}"/>
    <cellStyle name="Normal 26 6 2 2 3 18" xfId="33773" xr:uid="{6409E9BF-A221-4957-B854-77D3C46B17FC}"/>
    <cellStyle name="Normal 26 6 2 2 3 19" xfId="35663" xr:uid="{17D4F375-0261-4BF9-A351-0E8759FFA488}"/>
    <cellStyle name="Normal 26 6 2 2 3 2" xfId="3533" xr:uid="{50A3911B-8AFA-4A59-B47C-A0F10D7A07C7}"/>
    <cellStyle name="Normal 26 6 2 2 3 20" xfId="37553" xr:uid="{819EDDBC-9DDF-4E53-BF2A-5CDA2A1D8868}"/>
    <cellStyle name="Normal 26 6 2 2 3 21" xfId="39443" xr:uid="{F0FE4A94-85EA-4290-8935-D0C7880E442A}"/>
    <cellStyle name="Normal 26 6 2 2 3 22" xfId="41334" xr:uid="{59C64767-5461-4941-8603-F03C0F9E6759}"/>
    <cellStyle name="Normal 26 6 2 2 3 3" xfId="5423" xr:uid="{D7D31BE0-E9A9-4CFC-8DEA-9DA7C53D6531}"/>
    <cellStyle name="Normal 26 6 2 2 3 4" xfId="7313" xr:uid="{6E26C537-F0F9-4601-9C5E-6136F8A8CFAA}"/>
    <cellStyle name="Normal 26 6 2 2 3 5" xfId="9203" xr:uid="{7724A597-9DA9-4CF3-AEC2-55D60EAAAFF3}"/>
    <cellStyle name="Normal 26 6 2 2 3 6" xfId="11093" xr:uid="{DDB1EF79-FA48-42D0-BD45-BE7922958EEB}"/>
    <cellStyle name="Normal 26 6 2 2 3 7" xfId="12983" xr:uid="{FA43FCD1-EAFF-4922-B0FD-4A6CD3565A3A}"/>
    <cellStyle name="Normal 26 6 2 2 3 8" xfId="14873" xr:uid="{A149B77E-CA89-42D2-9B39-141AF9F5820F}"/>
    <cellStyle name="Normal 26 6 2 2 3 9" xfId="16763" xr:uid="{3751088F-A302-4CC1-9CAE-AB94869FDC16}"/>
    <cellStyle name="Normal 26 6 2 2 4" xfId="2273" xr:uid="{72D56A19-FB78-4365-A4E5-EA689E0E1039}"/>
    <cellStyle name="Normal 26 6 2 2 5" xfId="4163" xr:uid="{729D6CCC-02EC-4459-A1FA-7A0BC3FADDBC}"/>
    <cellStyle name="Normal 26 6 2 2 6" xfId="6053" xr:uid="{359E2823-7849-45C7-83D2-C34B578AD5B2}"/>
    <cellStyle name="Normal 26 6 2 2 7" xfId="7943" xr:uid="{B60CC910-776E-4612-859F-B7F495C0A6CD}"/>
    <cellStyle name="Normal 26 6 2 2 8" xfId="9833" xr:uid="{D3E102B8-C02B-4A0B-8C7D-0731F63B1FC0}"/>
    <cellStyle name="Normal 26 6 2 2 9" xfId="11723" xr:uid="{D89925E5-761E-49BD-A5B0-FA064E972F0A}"/>
    <cellStyle name="Normal 26 6 2 20" xfId="28523" xr:uid="{887E95FC-DDFC-421A-AD36-317EF0A1DE96}"/>
    <cellStyle name="Normal 26 6 2 21" xfId="30413" xr:uid="{7EF79F0F-1337-4FD4-9C8A-79179F224F62}"/>
    <cellStyle name="Normal 26 6 2 22" xfId="32303" xr:uid="{6950139D-A2B5-4412-A94B-0AEB1526EBB6}"/>
    <cellStyle name="Normal 26 6 2 23" xfId="34193" xr:uid="{82DDE741-FC4A-4DD6-860D-B83B977F7DB5}"/>
    <cellStyle name="Normal 26 6 2 24" xfId="36083" xr:uid="{3552EF83-EFD2-4029-9446-3D41C64FFF62}"/>
    <cellStyle name="Normal 26 6 2 25" xfId="37973" xr:uid="{5D8A8032-474A-463F-A63E-63332168A8D2}"/>
    <cellStyle name="Normal 26 6 2 26" xfId="39864" xr:uid="{51089116-B1D6-4A0A-846F-37EEA24E2627}"/>
    <cellStyle name="Normal 26 6 2 3" xfId="593" xr:uid="{96B3DECC-5E99-4331-85CA-FB97997C4FEB}"/>
    <cellStyle name="Normal 26 6 2 3 10" xfId="13823" xr:uid="{5D988875-95CD-4754-B787-B6090E642174}"/>
    <cellStyle name="Normal 26 6 2 3 11" xfId="15713" xr:uid="{906D70FF-B436-4B98-BFF6-01833B4BE190}"/>
    <cellStyle name="Normal 26 6 2 3 12" xfId="17603" xr:uid="{C63F258A-B642-41FF-8854-59DA961C1BBF}"/>
    <cellStyle name="Normal 26 6 2 3 13" xfId="19493" xr:uid="{93662ECE-ACDA-41B3-8FAC-C06A76226BCC}"/>
    <cellStyle name="Normal 26 6 2 3 14" xfId="21383" xr:uid="{40B9E1B3-BBBE-4114-B26D-E42949357488}"/>
    <cellStyle name="Normal 26 6 2 3 15" xfId="23273" xr:uid="{64FE0F9A-7687-4D28-AF7B-12F565980204}"/>
    <cellStyle name="Normal 26 6 2 3 16" xfId="25163" xr:uid="{7204D49D-4232-44CC-AD2B-AB94754DF6DA}"/>
    <cellStyle name="Normal 26 6 2 3 17" xfId="27053" xr:uid="{58C4A93E-363F-4BE7-9A2E-F6E020D91EBB}"/>
    <cellStyle name="Normal 26 6 2 3 18" xfId="28943" xr:uid="{53D034C7-82B0-4B50-8222-45DD06E5D192}"/>
    <cellStyle name="Normal 26 6 2 3 19" xfId="30833" xr:uid="{870057AD-B49C-4D9B-8045-24D65F03FF56}"/>
    <cellStyle name="Normal 26 6 2 3 2" xfId="1223" xr:uid="{B9AE7B80-3363-4825-A069-DAFD567CC5DC}"/>
    <cellStyle name="Normal 26 6 2 3 2 10" xfId="18233" xr:uid="{6C4E3661-372A-4285-A55B-033BA607E01D}"/>
    <cellStyle name="Normal 26 6 2 3 2 11" xfId="20123" xr:uid="{99C945AA-1A2D-4802-9909-E1DBD139FCD0}"/>
    <cellStyle name="Normal 26 6 2 3 2 12" xfId="22013" xr:uid="{40321257-C6E5-4A21-A64A-C36975148173}"/>
    <cellStyle name="Normal 26 6 2 3 2 13" xfId="23903" xr:uid="{3EBC6732-0C75-4787-8397-EEFB506773A7}"/>
    <cellStyle name="Normal 26 6 2 3 2 14" xfId="25793" xr:uid="{2400ECC8-25FE-46AC-B25B-8B0B5F858707}"/>
    <cellStyle name="Normal 26 6 2 3 2 15" xfId="27683" xr:uid="{E05B7980-0E8E-441D-8F9A-C8EC9C92F08E}"/>
    <cellStyle name="Normal 26 6 2 3 2 16" xfId="29573" xr:uid="{51935C15-1832-4983-B683-79EC2409C07D}"/>
    <cellStyle name="Normal 26 6 2 3 2 17" xfId="31463" xr:uid="{1F9F6429-5425-4B36-8340-30E935FEECA3}"/>
    <cellStyle name="Normal 26 6 2 3 2 18" xfId="33353" xr:uid="{DDE2220D-1092-40A3-83C6-51A181DF14FC}"/>
    <cellStyle name="Normal 26 6 2 3 2 19" xfId="35243" xr:uid="{E0B77A33-E785-4B77-ADD4-DD01322D5AFF}"/>
    <cellStyle name="Normal 26 6 2 3 2 2" xfId="3113" xr:uid="{280A86A3-6CDD-4398-9881-EACA99315EB4}"/>
    <cellStyle name="Normal 26 6 2 3 2 20" xfId="37133" xr:uid="{8D08362D-3536-4ACF-B1CE-720D05ECDF2C}"/>
    <cellStyle name="Normal 26 6 2 3 2 21" xfId="39023" xr:uid="{97D38CEB-0E54-40D4-9097-3AFC0AB62819}"/>
    <cellStyle name="Normal 26 6 2 3 2 22" xfId="40914" xr:uid="{2B76DA73-85C0-4FEA-962F-6CAAF65CC1AF}"/>
    <cellStyle name="Normal 26 6 2 3 2 3" xfId="5003" xr:uid="{F0CB0C28-5B23-415D-9BA6-43F0B15B4FCA}"/>
    <cellStyle name="Normal 26 6 2 3 2 4" xfId="6893" xr:uid="{13EE3120-F83A-4766-AB0A-0718676F2029}"/>
    <cellStyle name="Normal 26 6 2 3 2 5" xfId="8783" xr:uid="{0D5FC5A1-3F81-46F8-B500-9AC7FB45947E}"/>
    <cellStyle name="Normal 26 6 2 3 2 6" xfId="10673" xr:uid="{B83372E0-A762-4586-8AD6-2229796FA49C}"/>
    <cellStyle name="Normal 26 6 2 3 2 7" xfId="12563" xr:uid="{8DBA30A3-F167-47E5-91BC-E5E55DC0594A}"/>
    <cellStyle name="Normal 26 6 2 3 2 8" xfId="14453" xr:uid="{623B96D4-D9B2-4B33-B986-A12B66E9C7A7}"/>
    <cellStyle name="Normal 26 6 2 3 2 9" xfId="16343" xr:uid="{8003656E-4F83-4C6C-874D-F5F8F39ED5B7}"/>
    <cellStyle name="Normal 26 6 2 3 20" xfId="32723" xr:uid="{31C3278C-6829-4F80-B34D-9DA9FEA948DB}"/>
    <cellStyle name="Normal 26 6 2 3 21" xfId="34613" xr:uid="{70C408B2-B81D-4E76-8D43-3CEDCB3FF071}"/>
    <cellStyle name="Normal 26 6 2 3 22" xfId="36503" xr:uid="{CFAD5FA4-9D1B-4261-A593-18BA4412849F}"/>
    <cellStyle name="Normal 26 6 2 3 23" xfId="38393" xr:uid="{94D3AD0B-D308-4319-8CAD-0EAD6228F66F}"/>
    <cellStyle name="Normal 26 6 2 3 24" xfId="40284" xr:uid="{CF766FFE-54CB-4F91-AAEB-2ADAC3190D74}"/>
    <cellStyle name="Normal 26 6 2 3 3" xfId="1853" xr:uid="{7AC7744B-7C83-423A-864D-BE03CB334349}"/>
    <cellStyle name="Normal 26 6 2 3 3 10" xfId="18863" xr:uid="{3FB7B74B-C08A-4914-A3A9-3AAA83C30446}"/>
    <cellStyle name="Normal 26 6 2 3 3 11" xfId="20753" xr:uid="{886936C2-3065-41E3-A7EA-563560D68648}"/>
    <cellStyle name="Normal 26 6 2 3 3 12" xfId="22643" xr:uid="{1D93AD4F-0A05-4453-8006-1DF809F85FC7}"/>
    <cellStyle name="Normal 26 6 2 3 3 13" xfId="24533" xr:uid="{D90277FA-3BC6-4E07-B480-0D4B5F0A6DD8}"/>
    <cellStyle name="Normal 26 6 2 3 3 14" xfId="26423" xr:uid="{C75FA902-D00A-4D08-AE44-895EF516AB8A}"/>
    <cellStyle name="Normal 26 6 2 3 3 15" xfId="28313" xr:uid="{A2C68608-C427-4CB0-8CDA-2B5AEDA058D5}"/>
    <cellStyle name="Normal 26 6 2 3 3 16" xfId="30203" xr:uid="{28E9CD0D-848B-44F8-BDAE-E17D79584ACB}"/>
    <cellStyle name="Normal 26 6 2 3 3 17" xfId="32093" xr:uid="{76DAC177-6F51-4DCA-B101-0834CC4AC899}"/>
    <cellStyle name="Normal 26 6 2 3 3 18" xfId="33983" xr:uid="{B199CD9E-9DA9-414F-AF6B-ACF2EF386116}"/>
    <cellStyle name="Normal 26 6 2 3 3 19" xfId="35873" xr:uid="{EA275B1D-5025-4C86-B6C9-1716809C0DE5}"/>
    <cellStyle name="Normal 26 6 2 3 3 2" xfId="3743" xr:uid="{ECE55106-8B24-41EE-8265-D58283073064}"/>
    <cellStyle name="Normal 26 6 2 3 3 20" xfId="37763" xr:uid="{8A861265-6477-4E8A-B25F-A03827F4EB76}"/>
    <cellStyle name="Normal 26 6 2 3 3 21" xfId="39653" xr:uid="{3529BBBC-6AAF-4766-B236-89545EB2D301}"/>
    <cellStyle name="Normal 26 6 2 3 3 22" xfId="41544" xr:uid="{58B0704D-2C21-4B14-86C0-FB7585862340}"/>
    <cellStyle name="Normal 26 6 2 3 3 3" xfId="5633" xr:uid="{F2309F7C-276C-4A61-98CF-FA76D8C8EB70}"/>
    <cellStyle name="Normal 26 6 2 3 3 4" xfId="7523" xr:uid="{A3266F06-EE8D-479D-BE6A-A3B1F396D3EF}"/>
    <cellStyle name="Normal 26 6 2 3 3 5" xfId="9413" xr:uid="{6D90930B-AFC4-4E86-9AF3-A42A79D8232C}"/>
    <cellStyle name="Normal 26 6 2 3 3 6" xfId="11303" xr:uid="{07F0A000-D15E-43E4-84CC-A45214F38819}"/>
    <cellStyle name="Normal 26 6 2 3 3 7" xfId="13193" xr:uid="{FDC2BACC-F518-4A93-ADEB-ADAF5B94594D}"/>
    <cellStyle name="Normal 26 6 2 3 3 8" xfId="15083" xr:uid="{49C61444-3AB7-4EB7-B059-4F316CF0ED89}"/>
    <cellStyle name="Normal 26 6 2 3 3 9" xfId="16973" xr:uid="{73F1B3BB-CDED-4123-9B6A-F682FCD044CD}"/>
    <cellStyle name="Normal 26 6 2 3 4" xfId="2483" xr:uid="{A977595E-9AB3-4493-9F1D-50D7352A6D02}"/>
    <cellStyle name="Normal 26 6 2 3 5" xfId="4373" xr:uid="{D666FA73-9521-4D1C-A458-6818C93E5506}"/>
    <cellStyle name="Normal 26 6 2 3 6" xfId="6263" xr:uid="{0FF11B5A-3472-4793-87DE-4079822AC795}"/>
    <cellStyle name="Normal 26 6 2 3 7" xfId="8153" xr:uid="{AAF3E62A-52E1-4244-9002-98FD7A290064}"/>
    <cellStyle name="Normal 26 6 2 3 8" xfId="10043" xr:uid="{EA4813BB-2D87-44B0-9A76-72572E778315}"/>
    <cellStyle name="Normal 26 6 2 3 9" xfId="11933" xr:uid="{9109C13B-7C5E-4DB1-A3DA-8FD071F924F3}"/>
    <cellStyle name="Normal 26 6 2 4" xfId="803" xr:uid="{EA844183-8D38-46B5-984E-8F5B15E3D6F2}"/>
    <cellStyle name="Normal 26 6 2 4 10" xfId="17813" xr:uid="{A28F5026-D5C0-4F69-A58F-92DF7E652D12}"/>
    <cellStyle name="Normal 26 6 2 4 11" xfId="19703" xr:uid="{C5A516A0-7D8A-4FC3-A74D-5B5B1BC41F27}"/>
    <cellStyle name="Normal 26 6 2 4 12" xfId="21593" xr:uid="{2E56BBD7-DCBB-41A8-9CB9-0926612DBB5D}"/>
    <cellStyle name="Normal 26 6 2 4 13" xfId="23483" xr:uid="{9033F138-D7FF-455E-B84C-F137048ACFF4}"/>
    <cellStyle name="Normal 26 6 2 4 14" xfId="25373" xr:uid="{E300BBFA-1547-4ACA-B37A-A99F0FDAB1EC}"/>
    <cellStyle name="Normal 26 6 2 4 15" xfId="27263" xr:uid="{A37C389A-782D-463F-8392-4B8B01FDEAD7}"/>
    <cellStyle name="Normal 26 6 2 4 16" xfId="29153" xr:uid="{50662FED-19EE-4F72-9E1C-51450740150E}"/>
    <cellStyle name="Normal 26 6 2 4 17" xfId="31043" xr:uid="{330DCC5F-B0CE-4132-AB8E-0B3850331FC6}"/>
    <cellStyle name="Normal 26 6 2 4 18" xfId="32933" xr:uid="{E23D892E-04F5-420D-8B91-CFA93A0D2098}"/>
    <cellStyle name="Normal 26 6 2 4 19" xfId="34823" xr:uid="{AB6CC562-EC97-46F1-8C1D-444A946AAB71}"/>
    <cellStyle name="Normal 26 6 2 4 2" xfId="2693" xr:uid="{69CEC8D1-9188-4590-A77B-590B421E2843}"/>
    <cellStyle name="Normal 26 6 2 4 20" xfId="36713" xr:uid="{3DCF337C-9771-4F30-8E79-03B6EF785FE7}"/>
    <cellStyle name="Normal 26 6 2 4 21" xfId="38603" xr:uid="{D84A0BF6-A3F4-4FC1-9878-F5FE1497FB37}"/>
    <cellStyle name="Normal 26 6 2 4 22" xfId="40494" xr:uid="{1F68F885-3624-468B-95EE-445BBAA5F214}"/>
    <cellStyle name="Normal 26 6 2 4 3" xfId="4583" xr:uid="{533908C7-619C-4FF9-9EEA-C1DD2DB7634F}"/>
    <cellStyle name="Normal 26 6 2 4 4" xfId="6473" xr:uid="{6CE3F1B0-BC2B-485A-A837-C25EE76040F7}"/>
    <cellStyle name="Normal 26 6 2 4 5" xfId="8363" xr:uid="{806E177C-D66D-473C-A5D1-16ACCFB4F488}"/>
    <cellStyle name="Normal 26 6 2 4 6" xfId="10253" xr:uid="{E15BCFDC-8603-465B-AEF0-AC41CE1DCD0F}"/>
    <cellStyle name="Normal 26 6 2 4 7" xfId="12143" xr:uid="{223CF5D1-B30A-4FD8-AA1D-12AD5727A2C2}"/>
    <cellStyle name="Normal 26 6 2 4 8" xfId="14033" xr:uid="{0DE7731A-26CE-4601-A408-DA9EEF3939CE}"/>
    <cellStyle name="Normal 26 6 2 4 9" xfId="15923" xr:uid="{DD20AFE7-6C77-4B87-B3B8-04BF5560E703}"/>
    <cellStyle name="Normal 26 6 2 5" xfId="1433" xr:uid="{EE85FA3C-25D0-4FC6-96B9-9AC43C2098FA}"/>
    <cellStyle name="Normal 26 6 2 5 10" xfId="18443" xr:uid="{7E0A7833-42FB-490D-8CC5-6267E2FDAF57}"/>
    <cellStyle name="Normal 26 6 2 5 11" xfId="20333" xr:uid="{ABFEAB8D-A70E-4CD6-AC0E-A3BC69A490C7}"/>
    <cellStyle name="Normal 26 6 2 5 12" xfId="22223" xr:uid="{767AAF58-74E4-4F00-9F85-00275863376C}"/>
    <cellStyle name="Normal 26 6 2 5 13" xfId="24113" xr:uid="{663CF1B8-30B6-40FD-87C4-04BD21308A90}"/>
    <cellStyle name="Normal 26 6 2 5 14" xfId="26003" xr:uid="{E2675CA3-914D-43FC-86E9-DE0BCB70B810}"/>
    <cellStyle name="Normal 26 6 2 5 15" xfId="27893" xr:uid="{37AB7153-92ED-497A-8BEB-6CFEFBEDEB8E}"/>
    <cellStyle name="Normal 26 6 2 5 16" xfId="29783" xr:uid="{D24BE7CB-3E1A-4A14-93C6-500F5B652F31}"/>
    <cellStyle name="Normal 26 6 2 5 17" xfId="31673" xr:uid="{6E7ED6B7-4CD5-4DEC-9411-D09DA4E18198}"/>
    <cellStyle name="Normal 26 6 2 5 18" xfId="33563" xr:uid="{AA5213E0-943D-4F3F-9028-6C96AE8523CF}"/>
    <cellStyle name="Normal 26 6 2 5 19" xfId="35453" xr:uid="{ACB38981-EEB4-4460-8B94-F1B1FBA32F2E}"/>
    <cellStyle name="Normal 26 6 2 5 2" xfId="3323" xr:uid="{B058E382-8B0F-438F-9FD3-8BA81A574792}"/>
    <cellStyle name="Normal 26 6 2 5 20" xfId="37343" xr:uid="{012BF2C8-4ED1-44E8-B26F-AE1F72B239DB}"/>
    <cellStyle name="Normal 26 6 2 5 21" xfId="39233" xr:uid="{0074190C-7A86-4AF5-B0BA-338EE60201C3}"/>
    <cellStyle name="Normal 26 6 2 5 22" xfId="41124" xr:uid="{25B54633-9B53-4C88-B6F3-3D28C8B7E3B4}"/>
    <cellStyle name="Normal 26 6 2 5 3" xfId="5213" xr:uid="{7630C130-D266-4761-85C5-EED28448D063}"/>
    <cellStyle name="Normal 26 6 2 5 4" xfId="7103" xr:uid="{C4BFC047-96C7-4BB9-BDD2-A81B7AE01C41}"/>
    <cellStyle name="Normal 26 6 2 5 5" xfId="8993" xr:uid="{51F8E258-9D64-41E5-A841-4D8999EA0F87}"/>
    <cellStyle name="Normal 26 6 2 5 6" xfId="10883" xr:uid="{8F9018C4-7701-482B-8049-0F81FB17170B}"/>
    <cellStyle name="Normal 26 6 2 5 7" xfId="12773" xr:uid="{4BF5C685-0FF7-49B2-98DB-F7E151BCADF3}"/>
    <cellStyle name="Normal 26 6 2 5 8" xfId="14663" xr:uid="{DD091C78-453A-4F10-8385-ABE76EB47386}"/>
    <cellStyle name="Normal 26 6 2 5 9" xfId="16553" xr:uid="{2C52E4F1-52B7-4A7A-8DF6-EC52305EA5E1}"/>
    <cellStyle name="Normal 26 6 2 6" xfId="2063" xr:uid="{CCC95286-5D5D-4CC5-9D5B-ACECDF5EE894}"/>
    <cellStyle name="Normal 26 6 2 7" xfId="3953" xr:uid="{453E66A0-A670-4203-BD16-D52AA6D5BB9F}"/>
    <cellStyle name="Normal 26 6 2 8" xfId="5843" xr:uid="{0019D172-B036-4F91-B2C6-8192C8173627}"/>
    <cellStyle name="Normal 26 6 2 9" xfId="7733" xr:uid="{853AC36B-B509-4563-8E7A-DEF693BBB55A}"/>
    <cellStyle name="Normal 26 6 20" xfId="26528" xr:uid="{57B9C2D9-6795-4AE2-BCA3-0048FB167FC8}"/>
    <cellStyle name="Normal 26 6 21" xfId="28418" xr:uid="{577AB429-BBE7-4D8E-96D9-FC6E90B2B2F5}"/>
    <cellStyle name="Normal 26 6 22" xfId="30308" xr:uid="{F697DC77-2610-44CD-963F-75CF6EB7560A}"/>
    <cellStyle name="Normal 26 6 23" xfId="32198" xr:uid="{259DB119-C6B2-4D21-8DE4-602E9718080F}"/>
    <cellStyle name="Normal 26 6 24" xfId="34088" xr:uid="{99814C91-E689-45FE-AAB7-720E1233F40A}"/>
    <cellStyle name="Normal 26 6 25" xfId="35978" xr:uid="{45ABBC78-6B5A-4514-BFA5-C005FFD0DC58}"/>
    <cellStyle name="Normal 26 6 26" xfId="37868" xr:uid="{850A6F38-7196-477C-B452-E7CED5F0F626}"/>
    <cellStyle name="Normal 26 6 27" xfId="39759" xr:uid="{C4856A37-AF7B-4F5C-BAA1-97C2B5DACFE2}"/>
    <cellStyle name="Normal 26 6 3" xfId="278" xr:uid="{2DF91234-1E49-4C55-AEAF-E1D6FBD9680B}"/>
    <cellStyle name="Normal 26 6 3 10" xfId="13508" xr:uid="{77A0B347-6C89-4251-A879-E66D20E1F192}"/>
    <cellStyle name="Normal 26 6 3 11" xfId="15398" xr:uid="{B0849C95-3BE5-4E11-B2B3-B53B93CFA3BF}"/>
    <cellStyle name="Normal 26 6 3 12" xfId="17288" xr:uid="{CC254927-B4B7-4FA5-A65F-395ADF87485C}"/>
    <cellStyle name="Normal 26 6 3 13" xfId="19178" xr:uid="{1968ACCA-C48E-405D-82BA-AE37D7C24432}"/>
    <cellStyle name="Normal 26 6 3 14" xfId="21068" xr:uid="{82543ECE-2D43-46DF-927F-52A97CEF44B8}"/>
    <cellStyle name="Normal 26 6 3 15" xfId="22958" xr:uid="{2CFF7519-CA9E-4635-9CE1-91C293275419}"/>
    <cellStyle name="Normal 26 6 3 16" xfId="24848" xr:uid="{F58DFB65-61B0-4B08-B7E9-CD719EBC3A08}"/>
    <cellStyle name="Normal 26 6 3 17" xfId="26738" xr:uid="{590E2678-B670-453D-8582-6ACB4F142A7E}"/>
    <cellStyle name="Normal 26 6 3 18" xfId="28628" xr:uid="{8F743E2F-4852-446A-BEE1-0B703211F3B3}"/>
    <cellStyle name="Normal 26 6 3 19" xfId="30518" xr:uid="{3D5973AA-CE85-4EA0-AB73-D61764DA6A02}"/>
    <cellStyle name="Normal 26 6 3 2" xfId="908" xr:uid="{8F55D36D-F196-4EAE-B789-575F0C2A5412}"/>
    <cellStyle name="Normal 26 6 3 2 10" xfId="17918" xr:uid="{4F900571-0E49-4A51-B553-2147EDCAD44A}"/>
    <cellStyle name="Normal 26 6 3 2 11" xfId="19808" xr:uid="{B84D5536-A08B-434F-8D7E-E54FDC1BDBFC}"/>
    <cellStyle name="Normal 26 6 3 2 12" xfId="21698" xr:uid="{69A7B297-1C1E-4B83-917D-3A9E2C90F138}"/>
    <cellStyle name="Normal 26 6 3 2 13" xfId="23588" xr:uid="{5596124E-844D-4616-A387-C2E87955B278}"/>
    <cellStyle name="Normal 26 6 3 2 14" xfId="25478" xr:uid="{6CBA227A-C757-4B8C-8DF6-04B2D7C365A5}"/>
    <cellStyle name="Normal 26 6 3 2 15" xfId="27368" xr:uid="{39A466D5-3903-4C44-822E-5422EDDF78F1}"/>
    <cellStyle name="Normal 26 6 3 2 16" xfId="29258" xr:uid="{340E51E9-A9D8-4F9F-9CEC-F5FD0513C9A2}"/>
    <cellStyle name="Normal 26 6 3 2 17" xfId="31148" xr:uid="{145A02AF-BA00-4ECD-9EBE-D66278B4E65A}"/>
    <cellStyle name="Normal 26 6 3 2 18" xfId="33038" xr:uid="{D3719B9E-2136-422E-9FC3-66C0E4D7C3A7}"/>
    <cellStyle name="Normal 26 6 3 2 19" xfId="34928" xr:uid="{C5487F49-92DC-4320-8467-3EB5D7A7C6EB}"/>
    <cellStyle name="Normal 26 6 3 2 2" xfId="2798" xr:uid="{B1878921-EE06-449E-B5E8-6C8AE2ECC5DC}"/>
    <cellStyle name="Normal 26 6 3 2 20" xfId="36818" xr:uid="{4982409E-3993-44B7-AE50-43B2A6636628}"/>
    <cellStyle name="Normal 26 6 3 2 21" xfId="38708" xr:uid="{89E28AE6-63C9-4D6D-BD54-5E0FEAA38448}"/>
    <cellStyle name="Normal 26 6 3 2 22" xfId="40599" xr:uid="{F91CF8D2-DE06-4BF1-B892-30F14593871D}"/>
    <cellStyle name="Normal 26 6 3 2 3" xfId="4688" xr:uid="{BBA82C61-5427-41DA-8242-5A33A7CC81E1}"/>
    <cellStyle name="Normal 26 6 3 2 4" xfId="6578" xr:uid="{98B8F4D4-6272-45C2-8D85-E0F6B722E134}"/>
    <cellStyle name="Normal 26 6 3 2 5" xfId="8468" xr:uid="{C664207B-EFFD-4050-ADBC-B36844D8E844}"/>
    <cellStyle name="Normal 26 6 3 2 6" xfId="10358" xr:uid="{09C898B1-DFB5-4102-ACAE-28FE50F60BBB}"/>
    <cellStyle name="Normal 26 6 3 2 7" xfId="12248" xr:uid="{05ABE2D3-1192-454E-844C-5A186A147F24}"/>
    <cellStyle name="Normal 26 6 3 2 8" xfId="14138" xr:uid="{0BD172D9-1C10-41EA-86C6-5820A4EB55D0}"/>
    <cellStyle name="Normal 26 6 3 2 9" xfId="16028" xr:uid="{2DABC4A2-60D3-4710-83B9-1B6B7E8933BD}"/>
    <cellStyle name="Normal 26 6 3 20" xfId="32408" xr:uid="{D16A72CD-6798-4E0E-A061-E17579F38F83}"/>
    <cellStyle name="Normal 26 6 3 21" xfId="34298" xr:uid="{7545E803-F3E2-4ECB-808D-F497CD0DBDC9}"/>
    <cellStyle name="Normal 26 6 3 22" xfId="36188" xr:uid="{4BE6C6AE-2561-419E-838B-CB46E9A65391}"/>
    <cellStyle name="Normal 26 6 3 23" xfId="38078" xr:uid="{DB007F65-4F7F-4C84-A39E-BC9F69D6B73E}"/>
    <cellStyle name="Normal 26 6 3 24" xfId="39969" xr:uid="{C67BA02C-2D40-494B-8623-6E5E04EB202F}"/>
    <cellStyle name="Normal 26 6 3 3" xfId="1538" xr:uid="{845AEB73-88BF-465D-852F-2C10BD736627}"/>
    <cellStyle name="Normal 26 6 3 3 10" xfId="18548" xr:uid="{4F3EE47A-34CA-4669-8D2D-029D9E31927D}"/>
    <cellStyle name="Normal 26 6 3 3 11" xfId="20438" xr:uid="{A4748810-3084-4F89-9D58-000B109AD01E}"/>
    <cellStyle name="Normal 26 6 3 3 12" xfId="22328" xr:uid="{CD7DDDA5-3FB1-4D54-87FC-716020FD7C30}"/>
    <cellStyle name="Normal 26 6 3 3 13" xfId="24218" xr:uid="{FF0B323A-9563-471C-AD59-6A26050439CD}"/>
    <cellStyle name="Normal 26 6 3 3 14" xfId="26108" xr:uid="{652242E7-E69F-4C05-95D8-A0CD0B638D02}"/>
    <cellStyle name="Normal 26 6 3 3 15" xfId="27998" xr:uid="{8A3C1321-1BFF-4A44-B02C-879B411EFE1C}"/>
    <cellStyle name="Normal 26 6 3 3 16" xfId="29888" xr:uid="{83551506-61BE-40C6-B2D3-F5080C39A555}"/>
    <cellStyle name="Normal 26 6 3 3 17" xfId="31778" xr:uid="{3AE832EB-45EF-41E0-A24C-3B52B019DBA2}"/>
    <cellStyle name="Normal 26 6 3 3 18" xfId="33668" xr:uid="{299D1273-CFB2-44D1-BE91-DC38BD725E5A}"/>
    <cellStyle name="Normal 26 6 3 3 19" xfId="35558" xr:uid="{F6147DAC-1412-4663-B63D-26035B5C5D06}"/>
    <cellStyle name="Normal 26 6 3 3 2" xfId="3428" xr:uid="{E2DB940C-5A6A-40AE-9910-35266429A0F1}"/>
    <cellStyle name="Normal 26 6 3 3 20" xfId="37448" xr:uid="{46DF7D69-3AB6-415A-BF8A-F09000276E60}"/>
    <cellStyle name="Normal 26 6 3 3 21" xfId="39338" xr:uid="{10A63E32-61A2-42BA-BAE3-46FB2A30B79E}"/>
    <cellStyle name="Normal 26 6 3 3 22" xfId="41229" xr:uid="{5B0FC4CE-3D59-4014-AE9D-E1ED655F8CAA}"/>
    <cellStyle name="Normal 26 6 3 3 3" xfId="5318" xr:uid="{1F5E3D95-8792-425B-9EE2-20836FF60F01}"/>
    <cellStyle name="Normal 26 6 3 3 4" xfId="7208" xr:uid="{B9F7747E-6F52-4327-A535-0011BC2654AB}"/>
    <cellStyle name="Normal 26 6 3 3 5" xfId="9098" xr:uid="{8C8CF9FB-7652-4FB1-9B02-066D5A5A111F}"/>
    <cellStyle name="Normal 26 6 3 3 6" xfId="10988" xr:uid="{E0744209-B106-4B45-914D-E5D7BA7E0695}"/>
    <cellStyle name="Normal 26 6 3 3 7" xfId="12878" xr:uid="{E9E32E6C-801A-41EE-9B38-B941FC4ED1D4}"/>
    <cellStyle name="Normal 26 6 3 3 8" xfId="14768" xr:uid="{92FB89D8-8474-44F3-BC50-EC798F218D2E}"/>
    <cellStyle name="Normal 26 6 3 3 9" xfId="16658" xr:uid="{DDAD9CB7-CE32-4AD9-9D27-617370BCE328}"/>
    <cellStyle name="Normal 26 6 3 4" xfId="2168" xr:uid="{01D77B5D-0B2E-4625-8F6E-1758CA6C993B}"/>
    <cellStyle name="Normal 26 6 3 5" xfId="4058" xr:uid="{EDC8EBC7-E332-400D-B60C-B5449CFF5448}"/>
    <cellStyle name="Normal 26 6 3 6" xfId="5948" xr:uid="{7869E327-1472-4D99-A704-8B27358EA8E1}"/>
    <cellStyle name="Normal 26 6 3 7" xfId="7838" xr:uid="{489FFE9A-3EA4-4295-BAE9-D45C69A7BB45}"/>
    <cellStyle name="Normal 26 6 3 8" xfId="9728" xr:uid="{875F7DC2-185A-41D1-B9E7-1AEF292845B6}"/>
    <cellStyle name="Normal 26 6 3 9" xfId="11618" xr:uid="{2D715EAD-A154-4330-A3A9-B1A1EEAAC038}"/>
    <cellStyle name="Normal 26 6 4" xfId="488" xr:uid="{8F6E8B71-9673-4608-963C-401A4896D14B}"/>
    <cellStyle name="Normal 26 6 4 10" xfId="13718" xr:uid="{B456AF30-97C1-4C76-B4A9-A8592F461154}"/>
    <cellStyle name="Normal 26 6 4 11" xfId="15608" xr:uid="{B6A25840-676A-43CA-92E2-F51038CBD258}"/>
    <cellStyle name="Normal 26 6 4 12" xfId="17498" xr:uid="{AC7DA140-79A4-4DD2-9FA2-3F88F26936FF}"/>
    <cellStyle name="Normal 26 6 4 13" xfId="19388" xr:uid="{D1EE75A1-C05B-4F29-BE64-24A5620AA236}"/>
    <cellStyle name="Normal 26 6 4 14" xfId="21278" xr:uid="{CDC8A65E-B94F-48B5-84F2-8CBC4037889E}"/>
    <cellStyle name="Normal 26 6 4 15" xfId="23168" xr:uid="{CA0AC3B0-28EC-4B4B-82BA-1243E00EA462}"/>
    <cellStyle name="Normal 26 6 4 16" xfId="25058" xr:uid="{FC5C4075-908C-491D-AE30-850D43851F98}"/>
    <cellStyle name="Normal 26 6 4 17" xfId="26948" xr:uid="{CECA0F04-BA39-4CCC-9C09-A07864DFD791}"/>
    <cellStyle name="Normal 26 6 4 18" xfId="28838" xr:uid="{0AD64DDC-5D3A-409B-9C7B-D5B30C4A44D0}"/>
    <cellStyle name="Normal 26 6 4 19" xfId="30728" xr:uid="{E428F269-5D7B-42C6-82A3-9CF9F9184E35}"/>
    <cellStyle name="Normal 26 6 4 2" xfId="1118" xr:uid="{0B0E73FB-ECF7-4671-A483-D151D5F0AF9D}"/>
    <cellStyle name="Normal 26 6 4 2 10" xfId="18128" xr:uid="{7656CE1A-D7F1-4197-A8B5-75E82270A33F}"/>
    <cellStyle name="Normal 26 6 4 2 11" xfId="20018" xr:uid="{743C5B6C-F74A-4505-931A-5B0DB39401EB}"/>
    <cellStyle name="Normal 26 6 4 2 12" xfId="21908" xr:uid="{77D74B33-D39E-40BC-B9F2-AC8A734788BE}"/>
    <cellStyle name="Normal 26 6 4 2 13" xfId="23798" xr:uid="{5669C530-69D4-40F1-86A9-1729BF1DD8CF}"/>
    <cellStyle name="Normal 26 6 4 2 14" xfId="25688" xr:uid="{8938CA0D-72CA-471D-9FD4-7B14F84F3194}"/>
    <cellStyle name="Normal 26 6 4 2 15" xfId="27578" xr:uid="{66EAD206-3CEE-443C-B9CD-0F03050DD1A0}"/>
    <cellStyle name="Normal 26 6 4 2 16" xfId="29468" xr:uid="{CE1DFF31-ADB7-4562-ADD9-3DEF16F25CBA}"/>
    <cellStyle name="Normal 26 6 4 2 17" xfId="31358" xr:uid="{A5E943A2-694C-47A1-A984-BB8AC5FE0AB6}"/>
    <cellStyle name="Normal 26 6 4 2 18" xfId="33248" xr:uid="{A33819FD-8986-48B8-BB87-CB872408B342}"/>
    <cellStyle name="Normal 26 6 4 2 19" xfId="35138" xr:uid="{B78AF172-5CB8-4FB7-9E48-4800D3949EE5}"/>
    <cellStyle name="Normal 26 6 4 2 2" xfId="3008" xr:uid="{650845E9-F862-4A9E-905B-402CFF028EEC}"/>
    <cellStyle name="Normal 26 6 4 2 20" xfId="37028" xr:uid="{BCD9EA8E-27F2-47EA-96E2-F07F3E8C95FB}"/>
    <cellStyle name="Normal 26 6 4 2 21" xfId="38918" xr:uid="{85511B33-78BD-45CC-A3A3-5617056A919B}"/>
    <cellStyle name="Normal 26 6 4 2 22" xfId="40809" xr:uid="{69D2614A-C8C8-4EC6-83E1-10659D1B5214}"/>
    <cellStyle name="Normal 26 6 4 2 3" xfId="4898" xr:uid="{790A4FF5-1160-4D97-B6A0-A01E2C745E7D}"/>
    <cellStyle name="Normal 26 6 4 2 4" xfId="6788" xr:uid="{814DFD7D-9600-4110-A784-8150BAF0D388}"/>
    <cellStyle name="Normal 26 6 4 2 5" xfId="8678" xr:uid="{CB3B675B-1886-4BB7-A8C2-60430896C630}"/>
    <cellStyle name="Normal 26 6 4 2 6" xfId="10568" xr:uid="{646CF0F8-6C46-47AA-A172-7619D9FCB783}"/>
    <cellStyle name="Normal 26 6 4 2 7" xfId="12458" xr:uid="{34447B2D-890B-4F26-A008-1B506BE78A18}"/>
    <cellStyle name="Normal 26 6 4 2 8" xfId="14348" xr:uid="{94976ACA-B496-462D-8FFC-D3B7FA139D41}"/>
    <cellStyle name="Normal 26 6 4 2 9" xfId="16238" xr:uid="{AAB55177-73D9-4AC4-9AA0-F927C23B0980}"/>
    <cellStyle name="Normal 26 6 4 20" xfId="32618" xr:uid="{9741B3A2-8DA7-4113-9DEA-907301BA17B0}"/>
    <cellStyle name="Normal 26 6 4 21" xfId="34508" xr:uid="{DEC62081-B49E-4139-AD55-09FC8ECC2986}"/>
    <cellStyle name="Normal 26 6 4 22" xfId="36398" xr:uid="{1F51C959-3F80-4A65-AA04-9EA0E8F22AD0}"/>
    <cellStyle name="Normal 26 6 4 23" xfId="38288" xr:uid="{E37A8ECD-87ED-4313-A71F-D90845CEBCFA}"/>
    <cellStyle name="Normal 26 6 4 24" xfId="40179" xr:uid="{FBD30E42-CD88-4A59-9D93-80E883D38541}"/>
    <cellStyle name="Normal 26 6 4 3" xfId="1748" xr:uid="{62208B4D-C97F-48E5-8E35-4576DCADC683}"/>
    <cellStyle name="Normal 26 6 4 3 10" xfId="18758" xr:uid="{0168DA2F-DA35-48E5-BBF3-EC4931F4B495}"/>
    <cellStyle name="Normal 26 6 4 3 11" xfId="20648" xr:uid="{47EEF6BB-41ED-441A-B263-B2D34323D2F7}"/>
    <cellStyle name="Normal 26 6 4 3 12" xfId="22538" xr:uid="{50C1DEB1-29C9-469B-A69E-D9CBE1531FC9}"/>
    <cellStyle name="Normal 26 6 4 3 13" xfId="24428" xr:uid="{7DE27F2A-7FDC-4A85-B6D2-035F4C52A20B}"/>
    <cellStyle name="Normal 26 6 4 3 14" xfId="26318" xr:uid="{A17E0750-0A73-4A78-81A2-A05C00E42EB0}"/>
    <cellStyle name="Normal 26 6 4 3 15" xfId="28208" xr:uid="{4AEED469-AE7D-45DC-8131-58CEF20DF660}"/>
    <cellStyle name="Normal 26 6 4 3 16" xfId="30098" xr:uid="{F2CCEBF2-D7C9-49E7-9967-704A46D5F9EF}"/>
    <cellStyle name="Normal 26 6 4 3 17" xfId="31988" xr:uid="{BCFA24C5-6E3D-4031-9EB6-6D014FE08F0E}"/>
    <cellStyle name="Normal 26 6 4 3 18" xfId="33878" xr:uid="{BD62A3B6-9F0F-466B-80C3-AA834EDC65AE}"/>
    <cellStyle name="Normal 26 6 4 3 19" xfId="35768" xr:uid="{DB7B11BA-1725-4A45-BC0D-B3A5201B626F}"/>
    <cellStyle name="Normal 26 6 4 3 2" xfId="3638" xr:uid="{074D1C54-69D8-4B3B-A525-CA3BDBE3A80C}"/>
    <cellStyle name="Normal 26 6 4 3 20" xfId="37658" xr:uid="{7D9D088B-F056-402F-B2E4-45361191956E}"/>
    <cellStyle name="Normal 26 6 4 3 21" xfId="39548" xr:uid="{A016A108-6BA3-40E5-923B-8C496CD45911}"/>
    <cellStyle name="Normal 26 6 4 3 22" xfId="41439" xr:uid="{0D24CF01-8A10-421A-8147-089468BFEE1D}"/>
    <cellStyle name="Normal 26 6 4 3 3" xfId="5528" xr:uid="{8294304C-2982-4891-B789-3B78E5124353}"/>
    <cellStyle name="Normal 26 6 4 3 4" xfId="7418" xr:uid="{F10119DF-2594-4B16-8A01-895668D17D6D}"/>
    <cellStyle name="Normal 26 6 4 3 5" xfId="9308" xr:uid="{57A04AC4-699E-4902-86D9-AF234CB00A76}"/>
    <cellStyle name="Normal 26 6 4 3 6" xfId="11198" xr:uid="{7336895B-86B6-410A-9339-BA8108A6DF49}"/>
    <cellStyle name="Normal 26 6 4 3 7" xfId="13088" xr:uid="{5D3E9D16-090C-4540-8721-EE04D9FFF57A}"/>
    <cellStyle name="Normal 26 6 4 3 8" xfId="14978" xr:uid="{973A0A50-38B6-430F-BEE7-02845E60CE90}"/>
    <cellStyle name="Normal 26 6 4 3 9" xfId="16868" xr:uid="{CD3EFFE7-A09B-45BB-9977-2642E20BFF70}"/>
    <cellStyle name="Normal 26 6 4 4" xfId="2378" xr:uid="{B1103A0A-79A2-4853-BAA4-89E814D0B2BC}"/>
    <cellStyle name="Normal 26 6 4 5" xfId="4268" xr:uid="{377497C9-23FB-4716-A446-336E3FD76B54}"/>
    <cellStyle name="Normal 26 6 4 6" xfId="6158" xr:uid="{7D5AE888-3D05-4A8C-895F-575D520E0D3E}"/>
    <cellStyle name="Normal 26 6 4 7" xfId="8048" xr:uid="{6505F3BF-B5AE-4E82-B9FA-534D0EC18624}"/>
    <cellStyle name="Normal 26 6 4 8" xfId="9938" xr:uid="{E50F4069-8AA9-426B-BB7C-DDFF82681DBE}"/>
    <cellStyle name="Normal 26 6 4 9" xfId="11828" xr:uid="{66764376-7CA8-486D-9DCC-B21FC1ED7373}"/>
    <cellStyle name="Normal 26 6 5" xfId="698" xr:uid="{9D3DA8F8-E20D-44FA-80F0-DED7FD7DB3B3}"/>
    <cellStyle name="Normal 26 6 5 10" xfId="17708" xr:uid="{C9760B83-C2E6-43F8-A6F5-893CE845D520}"/>
    <cellStyle name="Normal 26 6 5 11" xfId="19598" xr:uid="{B1B0F9FC-3BA2-44F0-84F6-C78ED9EBB1D7}"/>
    <cellStyle name="Normal 26 6 5 12" xfId="21488" xr:uid="{8B658F94-3E46-45D6-9BE0-F695B6372507}"/>
    <cellStyle name="Normal 26 6 5 13" xfId="23378" xr:uid="{9B149690-764F-44D0-B5C6-E30413F3DB2F}"/>
    <cellStyle name="Normal 26 6 5 14" xfId="25268" xr:uid="{0AC0B519-2CAA-40DE-9B17-17E02B50E519}"/>
    <cellStyle name="Normal 26 6 5 15" xfId="27158" xr:uid="{16B06A6D-3B90-4E6D-93FF-91C75736EFA5}"/>
    <cellStyle name="Normal 26 6 5 16" xfId="29048" xr:uid="{0E7F14FA-1014-41E8-86B7-9B2D11BC2706}"/>
    <cellStyle name="Normal 26 6 5 17" xfId="30938" xr:uid="{50ACE13B-CA04-4DAD-9EB3-76208FF56E45}"/>
    <cellStyle name="Normal 26 6 5 18" xfId="32828" xr:uid="{6D52D74E-E97B-4E7E-9F15-44A20D4E545B}"/>
    <cellStyle name="Normal 26 6 5 19" xfId="34718" xr:uid="{BAA135FB-4FA2-42C3-A273-91012222609E}"/>
    <cellStyle name="Normal 26 6 5 2" xfId="2588" xr:uid="{B9B6C6F7-2F12-4923-9127-84F222784949}"/>
    <cellStyle name="Normal 26 6 5 20" xfId="36608" xr:uid="{47B61D1E-20B3-463B-90CD-905374BF8FB1}"/>
    <cellStyle name="Normal 26 6 5 21" xfId="38498" xr:uid="{41D3DA66-1332-4EE8-A604-86BA98202EC9}"/>
    <cellStyle name="Normal 26 6 5 22" xfId="40389" xr:uid="{AED60390-83E2-46CD-AD83-25629F2D93B2}"/>
    <cellStyle name="Normal 26 6 5 3" xfId="4478" xr:uid="{1802C475-6F9A-4307-B216-6F5D512FAD83}"/>
    <cellStyle name="Normal 26 6 5 4" xfId="6368" xr:uid="{81248546-DA60-4AB9-8A7E-A7AD87D64D2D}"/>
    <cellStyle name="Normal 26 6 5 5" xfId="8258" xr:uid="{5BA6067C-F735-4F23-BE95-85C18DD8BE0F}"/>
    <cellStyle name="Normal 26 6 5 6" xfId="10148" xr:uid="{4D86728C-77E0-4DA4-AE87-6EEA6C032134}"/>
    <cellStyle name="Normal 26 6 5 7" xfId="12038" xr:uid="{BB323705-D040-46A0-86F4-315CE59EC192}"/>
    <cellStyle name="Normal 26 6 5 8" xfId="13928" xr:uid="{1CF6D0D3-8A4A-40AF-9B4D-FEE06F4CB342}"/>
    <cellStyle name="Normal 26 6 5 9" xfId="15818" xr:uid="{62EDBF31-FEBD-4722-87D3-8093B90C938A}"/>
    <cellStyle name="Normal 26 6 6" xfId="1328" xr:uid="{3906E8C0-C09A-4D7F-A8DA-7BE95A9F705D}"/>
    <cellStyle name="Normal 26 6 6 10" xfId="18338" xr:uid="{E1F6A889-6207-4DE8-8279-9745D87CBC65}"/>
    <cellStyle name="Normal 26 6 6 11" xfId="20228" xr:uid="{382C2E94-647B-4226-8F13-353CB78D9159}"/>
    <cellStyle name="Normal 26 6 6 12" xfId="22118" xr:uid="{B0C8DCDB-CC62-49D4-ACA5-0E3493639A05}"/>
    <cellStyle name="Normal 26 6 6 13" xfId="24008" xr:uid="{BC62E1FD-4446-4D1E-A02F-84026244FBB2}"/>
    <cellStyle name="Normal 26 6 6 14" xfId="25898" xr:uid="{552F7FE1-9048-42FA-BE07-EC3D187B2E73}"/>
    <cellStyle name="Normal 26 6 6 15" xfId="27788" xr:uid="{AC313970-40B6-4838-9EAB-C8D7CEEF17DD}"/>
    <cellStyle name="Normal 26 6 6 16" xfId="29678" xr:uid="{088F71B2-90A1-4D43-8B68-4116017659C6}"/>
    <cellStyle name="Normal 26 6 6 17" xfId="31568" xr:uid="{463A5EEF-E2A4-4C93-B724-EAC2D4583795}"/>
    <cellStyle name="Normal 26 6 6 18" xfId="33458" xr:uid="{11E5C1B9-2987-4B57-B2E9-DFFA9BCD1850}"/>
    <cellStyle name="Normal 26 6 6 19" xfId="35348" xr:uid="{D6C60119-3C84-4AFC-9DD3-623C795452AF}"/>
    <cellStyle name="Normal 26 6 6 2" xfId="3218" xr:uid="{8A2260D1-C554-48FD-8C54-C433B66ECC9A}"/>
    <cellStyle name="Normal 26 6 6 20" xfId="37238" xr:uid="{763A867D-1890-40C3-B262-7CDB1898BD5D}"/>
    <cellStyle name="Normal 26 6 6 21" xfId="39128" xr:uid="{576C85FC-F0AF-4209-873D-EC454D33EA54}"/>
    <cellStyle name="Normal 26 6 6 22" xfId="41019" xr:uid="{0F96DE92-36D1-4E5E-ACEC-72817E2A4CFA}"/>
    <cellStyle name="Normal 26 6 6 3" xfId="5108" xr:uid="{18D3C972-F4CE-4348-A0A3-23922B54D19B}"/>
    <cellStyle name="Normal 26 6 6 4" xfId="6998" xr:uid="{93D8C46A-2DF5-4CE4-812A-A1A217711872}"/>
    <cellStyle name="Normal 26 6 6 5" xfId="8888" xr:uid="{E0BD2E3E-9331-4277-AC45-CAEF6F58D473}"/>
    <cellStyle name="Normal 26 6 6 6" xfId="10778" xr:uid="{09857D6D-8B3E-4EEF-9EB5-59024A58A9CE}"/>
    <cellStyle name="Normal 26 6 6 7" xfId="12668" xr:uid="{344DF00E-12C3-4752-965D-5B087C7D4C3E}"/>
    <cellStyle name="Normal 26 6 6 8" xfId="14558" xr:uid="{21E4EE2E-17B2-4FB4-846D-9FDA230818BE}"/>
    <cellStyle name="Normal 26 6 6 9" xfId="16448" xr:uid="{FD6D7DA1-DA04-4E41-B469-65F2DCBFDB3B}"/>
    <cellStyle name="Normal 26 6 7" xfId="1958" xr:uid="{B13E1627-3F80-46F2-828D-708625E81FBD}"/>
    <cellStyle name="Normal 26 6 8" xfId="3848" xr:uid="{2458E2D2-779E-4A47-A0AB-8EE2F66308B0}"/>
    <cellStyle name="Normal 26 6 9" xfId="5738" xr:uid="{8FD03BE3-255F-4DC2-990A-2A17B6AAC4A9}"/>
    <cellStyle name="Normal 26 7" xfId="141" xr:uid="{D53EBDEF-D6E1-494D-8DA6-E155EF00CF3E}"/>
    <cellStyle name="Normal 26 7 10" xfId="9591" xr:uid="{561C8ABE-F969-4F1D-A26F-B84B30F961B7}"/>
    <cellStyle name="Normal 26 7 11" xfId="11481" xr:uid="{8C2AD33F-CCA0-4B2D-B6C6-397B7D8D97E4}"/>
    <cellStyle name="Normal 26 7 12" xfId="13371" xr:uid="{2D1066F3-9082-44DA-BAC4-1FF44B810753}"/>
    <cellStyle name="Normal 26 7 13" xfId="15261" xr:uid="{54F9F8E7-F06A-4843-9721-A3AA933DFFAC}"/>
    <cellStyle name="Normal 26 7 14" xfId="17151" xr:uid="{2EC9B09B-E599-49D6-96A5-F7DEE9E2C24B}"/>
    <cellStyle name="Normal 26 7 15" xfId="19041" xr:uid="{50C043D5-D3AA-422C-AC83-7742A310A9E9}"/>
    <cellStyle name="Normal 26 7 16" xfId="20931" xr:uid="{321D5F52-DA1D-447E-92C0-0A356F194080}"/>
    <cellStyle name="Normal 26 7 17" xfId="22821" xr:uid="{FC22BEEC-AA79-4C40-A534-BFDFE0076D21}"/>
    <cellStyle name="Normal 26 7 18" xfId="24711" xr:uid="{9DAA7EDC-CD5C-4948-A9B4-238CBAFD32DD}"/>
    <cellStyle name="Normal 26 7 19" xfId="26601" xr:uid="{D1DE0FD7-DD45-40C3-BA55-4DED4DE87B86}"/>
    <cellStyle name="Normal 26 7 2" xfId="351" xr:uid="{A94DEF93-00C7-45B8-B425-9CCAA29E7E72}"/>
    <cellStyle name="Normal 26 7 2 10" xfId="13581" xr:uid="{7990258D-B49D-4451-9997-98343399B5CE}"/>
    <cellStyle name="Normal 26 7 2 11" xfId="15471" xr:uid="{C542E232-860B-4360-AFF4-50B3B029160C}"/>
    <cellStyle name="Normal 26 7 2 12" xfId="17361" xr:uid="{00EE5EC7-906E-4CD0-9CB3-E601BC57CBBA}"/>
    <cellStyle name="Normal 26 7 2 13" xfId="19251" xr:uid="{6CA0E11F-2EFB-4680-B0AF-FBBB165FF31D}"/>
    <cellStyle name="Normal 26 7 2 14" xfId="21141" xr:uid="{760EFACC-9959-4E5B-97A8-132B01AFE558}"/>
    <cellStyle name="Normal 26 7 2 15" xfId="23031" xr:uid="{48BE335D-2ED8-4AAD-93E0-5CB12C28B144}"/>
    <cellStyle name="Normal 26 7 2 16" xfId="24921" xr:uid="{E96D51ED-96FB-424C-829F-B88A72552FCA}"/>
    <cellStyle name="Normal 26 7 2 17" xfId="26811" xr:uid="{04BB078F-A3D0-48BF-B103-6E558B999B5B}"/>
    <cellStyle name="Normal 26 7 2 18" xfId="28701" xr:uid="{91EBA592-A044-41EA-BFC1-41579F4F46EC}"/>
    <cellStyle name="Normal 26 7 2 19" xfId="30591" xr:uid="{383A0385-808F-450E-9061-69FF8B2FC54B}"/>
    <cellStyle name="Normal 26 7 2 2" xfId="981" xr:uid="{D8B1B374-7B98-4544-850E-2B707A3837AA}"/>
    <cellStyle name="Normal 26 7 2 2 10" xfId="17991" xr:uid="{E3DB40AA-7143-4D1F-A1D3-29B515092DBD}"/>
    <cellStyle name="Normal 26 7 2 2 11" xfId="19881" xr:uid="{0549D110-7240-4688-9DF1-7DFC837FD9B9}"/>
    <cellStyle name="Normal 26 7 2 2 12" xfId="21771" xr:uid="{88AB0EE0-23F2-4D6D-BA0A-5CABB115DDC2}"/>
    <cellStyle name="Normal 26 7 2 2 13" xfId="23661" xr:uid="{3E377359-D6C2-4BBF-A0BF-6B1013240D43}"/>
    <cellStyle name="Normal 26 7 2 2 14" xfId="25551" xr:uid="{CE2765BB-35E2-4425-8D86-FD134D730E77}"/>
    <cellStyle name="Normal 26 7 2 2 15" xfId="27441" xr:uid="{C4C0C378-57AE-47B2-A018-0B9ADA1D2807}"/>
    <cellStyle name="Normal 26 7 2 2 16" xfId="29331" xr:uid="{EC7F50C6-5ED7-4A64-BF49-E5039DBEE892}"/>
    <cellStyle name="Normal 26 7 2 2 17" xfId="31221" xr:uid="{29784906-C278-471D-9133-03CC90B55D2D}"/>
    <cellStyle name="Normal 26 7 2 2 18" xfId="33111" xr:uid="{D208019F-0101-4B56-B4EA-015B1C3CC829}"/>
    <cellStyle name="Normal 26 7 2 2 19" xfId="35001" xr:uid="{B47DDA0D-12EC-40EE-9C15-7B0711BF9911}"/>
    <cellStyle name="Normal 26 7 2 2 2" xfId="2871" xr:uid="{D5A96AD8-CF91-4A8E-8D71-BE8455D3EF3A}"/>
    <cellStyle name="Normal 26 7 2 2 20" xfId="36891" xr:uid="{CFAE9191-C7CA-4160-8A35-C92C4692E535}"/>
    <cellStyle name="Normal 26 7 2 2 21" xfId="38781" xr:uid="{ADD89731-ABAA-4F26-9E3B-BBE9F08E85AF}"/>
    <cellStyle name="Normal 26 7 2 2 22" xfId="40672" xr:uid="{3E6DA55D-1E6D-4C13-96AA-D689280D954E}"/>
    <cellStyle name="Normal 26 7 2 2 3" xfId="4761" xr:uid="{9DBC5EEF-E0A6-4DFF-9136-0DD503620C5D}"/>
    <cellStyle name="Normal 26 7 2 2 4" xfId="6651" xr:uid="{B17CB31F-BC94-4F9B-AE04-20A29E7D0DB6}"/>
    <cellStyle name="Normal 26 7 2 2 5" xfId="8541" xr:uid="{5D38978E-2A59-4C42-8B7B-63506F5C8B65}"/>
    <cellStyle name="Normal 26 7 2 2 6" xfId="10431" xr:uid="{CBA7D488-CE50-4B7B-9224-B1A47AE5D398}"/>
    <cellStyle name="Normal 26 7 2 2 7" xfId="12321" xr:uid="{D780A833-7252-4CA6-B427-E853390D18C6}"/>
    <cellStyle name="Normal 26 7 2 2 8" xfId="14211" xr:uid="{F8B9AFE3-C42C-407A-AF1A-9DE9EB20B541}"/>
    <cellStyle name="Normal 26 7 2 2 9" xfId="16101" xr:uid="{79B26B8F-F1EE-4D2A-B6BC-A5ED9FA1A73B}"/>
    <cellStyle name="Normal 26 7 2 20" xfId="32481" xr:uid="{C23140BC-75E7-413E-84A8-BE0D89CCA5E1}"/>
    <cellStyle name="Normal 26 7 2 21" xfId="34371" xr:uid="{A07E6758-327D-45F5-9AEC-ACB447ECD139}"/>
    <cellStyle name="Normal 26 7 2 22" xfId="36261" xr:uid="{1DE0BFE4-0FD3-4B09-9398-01A5151F0CD1}"/>
    <cellStyle name="Normal 26 7 2 23" xfId="38151" xr:uid="{22DE017B-8E2C-43E3-ADE7-E9E672F9BC8D}"/>
    <cellStyle name="Normal 26 7 2 24" xfId="40042" xr:uid="{9FE7571A-ED11-4BBA-82CC-3E89C23F0C40}"/>
    <cellStyle name="Normal 26 7 2 3" xfId="1611" xr:uid="{7A30D78B-AB28-47ED-823E-EBD54C5A2820}"/>
    <cellStyle name="Normal 26 7 2 3 10" xfId="18621" xr:uid="{780D369C-496F-4857-A619-19D758F1537C}"/>
    <cellStyle name="Normal 26 7 2 3 11" xfId="20511" xr:uid="{0734A0AC-AA67-49DC-90C7-327D25FC7834}"/>
    <cellStyle name="Normal 26 7 2 3 12" xfId="22401" xr:uid="{4E41B9BA-C11A-4C0B-B62D-A9E79381C2DD}"/>
    <cellStyle name="Normal 26 7 2 3 13" xfId="24291" xr:uid="{6A9712EE-04A8-4207-A6A2-2A186D7326DB}"/>
    <cellStyle name="Normal 26 7 2 3 14" xfId="26181" xr:uid="{347CC671-EDD0-4A36-A58E-4DB2F2F5D8DC}"/>
    <cellStyle name="Normal 26 7 2 3 15" xfId="28071" xr:uid="{E9D5DB22-4949-418B-939D-51C602C9235A}"/>
    <cellStyle name="Normal 26 7 2 3 16" xfId="29961" xr:uid="{52FC9927-3F53-4666-AAD8-D5DFAD03C9B4}"/>
    <cellStyle name="Normal 26 7 2 3 17" xfId="31851" xr:uid="{D6FECAF5-99FC-47C2-9F56-A6A7134B85C8}"/>
    <cellStyle name="Normal 26 7 2 3 18" xfId="33741" xr:uid="{E914714F-DFF4-486B-808D-21E412825C73}"/>
    <cellStyle name="Normal 26 7 2 3 19" xfId="35631" xr:uid="{EF9BDF68-013B-4B1D-83D0-19917BCBDAD5}"/>
    <cellStyle name="Normal 26 7 2 3 2" xfId="3501" xr:uid="{CE18E28D-51C9-47B4-9D09-9AD1AE3F048B}"/>
    <cellStyle name="Normal 26 7 2 3 20" xfId="37521" xr:uid="{E7766FCC-3380-4C7A-A1FC-6A4C19535506}"/>
    <cellStyle name="Normal 26 7 2 3 21" xfId="39411" xr:uid="{31B14346-8BE3-4A93-9E81-BA21ADF62B92}"/>
    <cellStyle name="Normal 26 7 2 3 22" xfId="41302" xr:uid="{A608728B-BC86-45BB-BECB-B541688AEE58}"/>
    <cellStyle name="Normal 26 7 2 3 3" xfId="5391" xr:uid="{B485B51C-DA52-49F9-8376-BF65350B1818}"/>
    <cellStyle name="Normal 26 7 2 3 4" xfId="7281" xr:uid="{961BAB30-2454-4FED-8399-A632414A6EC6}"/>
    <cellStyle name="Normal 26 7 2 3 5" xfId="9171" xr:uid="{98FF5DDE-A711-435A-A1EA-F18A059D3BD5}"/>
    <cellStyle name="Normal 26 7 2 3 6" xfId="11061" xr:uid="{8EF71328-68C4-41EF-BE3A-23E85845E7C2}"/>
    <cellStyle name="Normal 26 7 2 3 7" xfId="12951" xr:uid="{DD173744-D4B8-4005-A023-A36E3CBC93DB}"/>
    <cellStyle name="Normal 26 7 2 3 8" xfId="14841" xr:uid="{BA123F95-E4BF-44D0-8C41-BABC153E49AC}"/>
    <cellStyle name="Normal 26 7 2 3 9" xfId="16731" xr:uid="{9C34EA3D-7C8B-42A1-8EC3-A69463953DDD}"/>
    <cellStyle name="Normal 26 7 2 4" xfId="2241" xr:uid="{6848CC5D-B156-476A-8D60-8C90A2ACEAF5}"/>
    <cellStyle name="Normal 26 7 2 5" xfId="4131" xr:uid="{03DC3365-B593-4701-ABB1-90760CB1951E}"/>
    <cellStyle name="Normal 26 7 2 6" xfId="6021" xr:uid="{514EB4D3-12B6-4247-B712-B76C2659D619}"/>
    <cellStyle name="Normal 26 7 2 7" xfId="7911" xr:uid="{F379D791-9B32-43E4-A969-AC276D032C91}"/>
    <cellStyle name="Normal 26 7 2 8" xfId="9801" xr:uid="{500D6CAA-825E-49FD-9A41-431A8D0CFCF4}"/>
    <cellStyle name="Normal 26 7 2 9" xfId="11691" xr:uid="{46569126-869A-4567-BD0F-F9328D2502A5}"/>
    <cellStyle name="Normal 26 7 20" xfId="28491" xr:uid="{3CC03B38-5DC6-4176-B753-179DFFBADC84}"/>
    <cellStyle name="Normal 26 7 21" xfId="30381" xr:uid="{9283266C-10A9-48CD-9020-1644C75AE77D}"/>
    <cellStyle name="Normal 26 7 22" xfId="32271" xr:uid="{97250F16-840A-410A-9C0F-C6905E59345C}"/>
    <cellStyle name="Normal 26 7 23" xfId="34161" xr:uid="{C8E2829B-E97C-4969-97E8-F3F0AA6F0F42}"/>
    <cellStyle name="Normal 26 7 24" xfId="36051" xr:uid="{DF7EEA29-58F4-414F-A546-4A01A474FB0A}"/>
    <cellStyle name="Normal 26 7 25" xfId="37941" xr:uid="{7A745B6D-5E3C-463D-8D0F-F61521BDC9AE}"/>
    <cellStyle name="Normal 26 7 26" xfId="39832" xr:uid="{CFEB63DF-836C-42A7-A6B3-999A29FF3F61}"/>
    <cellStyle name="Normal 26 7 3" xfId="561" xr:uid="{1EA14311-3C19-4E35-8449-EDBA161C5055}"/>
    <cellStyle name="Normal 26 7 3 10" xfId="13791" xr:uid="{44CFFA4F-E8AC-48D4-A844-27056673E53F}"/>
    <cellStyle name="Normal 26 7 3 11" xfId="15681" xr:uid="{9FE5595A-3842-47D3-93F7-EA249B6C5735}"/>
    <cellStyle name="Normal 26 7 3 12" xfId="17571" xr:uid="{08A59356-2F45-4996-A90E-635D0CC3EC3E}"/>
    <cellStyle name="Normal 26 7 3 13" xfId="19461" xr:uid="{A64E5545-A4DF-4ADD-BC2D-836F4734DDE3}"/>
    <cellStyle name="Normal 26 7 3 14" xfId="21351" xr:uid="{748EF9B2-9C6E-45CB-BCA4-CABE17C48A9E}"/>
    <cellStyle name="Normal 26 7 3 15" xfId="23241" xr:uid="{D1D12B13-3B61-4580-9BED-9C9589273BFC}"/>
    <cellStyle name="Normal 26 7 3 16" xfId="25131" xr:uid="{8EF352EE-C5D9-4606-B5B4-D8170F693BBE}"/>
    <cellStyle name="Normal 26 7 3 17" xfId="27021" xr:uid="{27192BE0-B16A-4DEF-BC40-DD55A3E9344B}"/>
    <cellStyle name="Normal 26 7 3 18" xfId="28911" xr:uid="{061BA6CA-4969-4E38-B626-01792FB2C64F}"/>
    <cellStyle name="Normal 26 7 3 19" xfId="30801" xr:uid="{09838077-0C8D-4179-A98F-BCAF8EAF5ADF}"/>
    <cellStyle name="Normal 26 7 3 2" xfId="1191" xr:uid="{935B7171-5E39-45E3-85EC-F9672FAFE93C}"/>
    <cellStyle name="Normal 26 7 3 2 10" xfId="18201" xr:uid="{A65717E3-20A7-4FE0-9EAE-53A0C706FB82}"/>
    <cellStyle name="Normal 26 7 3 2 11" xfId="20091" xr:uid="{639667AB-891F-4677-A8D6-33C8C067B4AB}"/>
    <cellStyle name="Normal 26 7 3 2 12" xfId="21981" xr:uid="{42463E50-5E60-4338-9196-8D9C2A564EA5}"/>
    <cellStyle name="Normal 26 7 3 2 13" xfId="23871" xr:uid="{E4958253-E233-42E6-95E3-46777B4B426E}"/>
    <cellStyle name="Normal 26 7 3 2 14" xfId="25761" xr:uid="{16AB7D1F-B066-4241-8822-2B563AD29FA9}"/>
    <cellStyle name="Normal 26 7 3 2 15" xfId="27651" xr:uid="{F97E9B92-F948-4825-861F-C0F57E4954D2}"/>
    <cellStyle name="Normal 26 7 3 2 16" xfId="29541" xr:uid="{28DF41FC-BCFC-4F01-963F-20207FE027F5}"/>
    <cellStyle name="Normal 26 7 3 2 17" xfId="31431" xr:uid="{9375200A-6BE6-4B56-9AA4-A348052BA9A8}"/>
    <cellStyle name="Normal 26 7 3 2 18" xfId="33321" xr:uid="{F5C4A594-E131-4D1B-9918-0A41E2DA3688}"/>
    <cellStyle name="Normal 26 7 3 2 19" xfId="35211" xr:uid="{4D8C5492-B947-4022-A13E-3F3BF259C3F2}"/>
    <cellStyle name="Normal 26 7 3 2 2" xfId="3081" xr:uid="{007D6F3F-7D7F-4717-BAC7-0559525D68EA}"/>
    <cellStyle name="Normal 26 7 3 2 20" xfId="37101" xr:uid="{B334F1DE-FE42-484D-862D-3D7782F87AC3}"/>
    <cellStyle name="Normal 26 7 3 2 21" xfId="38991" xr:uid="{652ED2D4-97FD-4738-B869-335F0539D641}"/>
    <cellStyle name="Normal 26 7 3 2 22" xfId="40882" xr:uid="{ED184257-5A3D-420A-A2A6-119FEAE44D6A}"/>
    <cellStyle name="Normal 26 7 3 2 3" xfId="4971" xr:uid="{EF5BDEE2-78F6-4DAA-9848-F188C6D9ED74}"/>
    <cellStyle name="Normal 26 7 3 2 4" xfId="6861" xr:uid="{A68B80DB-2354-4156-902C-8A364D875D7B}"/>
    <cellStyle name="Normal 26 7 3 2 5" xfId="8751" xr:uid="{50E42FB9-656E-44F2-BD3B-26CB0A1A8C15}"/>
    <cellStyle name="Normal 26 7 3 2 6" xfId="10641" xr:uid="{95B14178-2A84-42DA-8F98-E6755C620F9A}"/>
    <cellStyle name="Normal 26 7 3 2 7" xfId="12531" xr:uid="{D074E7BA-6680-48B7-A917-51ECFFE4DB85}"/>
    <cellStyle name="Normal 26 7 3 2 8" xfId="14421" xr:uid="{459FDD4D-F9BC-40B1-B88A-ABFABC5F9F9C}"/>
    <cellStyle name="Normal 26 7 3 2 9" xfId="16311" xr:uid="{BAC56FD1-4B65-43AB-872D-54590F39CCB8}"/>
    <cellStyle name="Normal 26 7 3 20" xfId="32691" xr:uid="{4C05F786-8713-4C85-B433-5FB82D6BEA14}"/>
    <cellStyle name="Normal 26 7 3 21" xfId="34581" xr:uid="{CC9AEC8A-4BF1-428F-BF89-86E48509EAD1}"/>
    <cellStyle name="Normal 26 7 3 22" xfId="36471" xr:uid="{14CE4C83-800E-4A59-820E-3143D47A9F96}"/>
    <cellStyle name="Normal 26 7 3 23" xfId="38361" xr:uid="{A94C7E3B-1F6B-4485-943B-C33629FA0886}"/>
    <cellStyle name="Normal 26 7 3 24" xfId="40252" xr:uid="{7F558AA5-9B10-4DD0-9443-CFC0695CCA8B}"/>
    <cellStyle name="Normal 26 7 3 3" xfId="1821" xr:uid="{1BEE0D2E-807F-474E-AD9A-86C0590FC7E8}"/>
    <cellStyle name="Normal 26 7 3 3 10" xfId="18831" xr:uid="{105EA4F6-6C16-402D-8506-A4B7865D645B}"/>
    <cellStyle name="Normal 26 7 3 3 11" xfId="20721" xr:uid="{23755DD5-E692-4B57-8869-C7152DD9748B}"/>
    <cellStyle name="Normal 26 7 3 3 12" xfId="22611" xr:uid="{A64FFF9E-245B-4839-A90E-B94B9B6B3C41}"/>
    <cellStyle name="Normal 26 7 3 3 13" xfId="24501" xr:uid="{3CAA66F9-A5A3-4D1C-9C8B-9202A8E70079}"/>
    <cellStyle name="Normal 26 7 3 3 14" xfId="26391" xr:uid="{72751DF4-C126-42A2-B0FF-BD82808AD656}"/>
    <cellStyle name="Normal 26 7 3 3 15" xfId="28281" xr:uid="{362CE46F-F844-4C7D-A487-E1E9ADCCC2E0}"/>
    <cellStyle name="Normal 26 7 3 3 16" xfId="30171" xr:uid="{8326A4E9-DEBB-4B43-BBAA-963A7B930110}"/>
    <cellStyle name="Normal 26 7 3 3 17" xfId="32061" xr:uid="{57AC511F-F9F0-409B-8D55-8DFDFF25B791}"/>
    <cellStyle name="Normal 26 7 3 3 18" xfId="33951" xr:uid="{49006485-966C-4372-A0FF-399ADCB8AAC2}"/>
    <cellStyle name="Normal 26 7 3 3 19" xfId="35841" xr:uid="{FF1EBFF2-0F76-4E20-AF65-762E4C584EB7}"/>
    <cellStyle name="Normal 26 7 3 3 2" xfId="3711" xr:uid="{32A257CD-33BA-4D1B-B9D2-BF9D75FD4F37}"/>
    <cellStyle name="Normal 26 7 3 3 20" xfId="37731" xr:uid="{C3EB2417-E316-44E1-BE15-6F187F02EA5D}"/>
    <cellStyle name="Normal 26 7 3 3 21" xfId="39621" xr:uid="{D8D467B3-4C89-431D-B8BD-092CC6094424}"/>
    <cellStyle name="Normal 26 7 3 3 22" xfId="41512" xr:uid="{EE6197A4-570C-4368-9BAD-38D53A11CA18}"/>
    <cellStyle name="Normal 26 7 3 3 3" xfId="5601" xr:uid="{BDD50878-DC5A-4AD0-9B43-4BCB7E9CB1DE}"/>
    <cellStyle name="Normal 26 7 3 3 4" xfId="7491" xr:uid="{A7689656-58DA-4817-BD61-E1DC18515608}"/>
    <cellStyle name="Normal 26 7 3 3 5" xfId="9381" xr:uid="{E259FC36-923C-492B-8BDA-FF853D6ECE40}"/>
    <cellStyle name="Normal 26 7 3 3 6" xfId="11271" xr:uid="{BD8A0ADA-618C-49A8-9418-41EB896EC862}"/>
    <cellStyle name="Normal 26 7 3 3 7" xfId="13161" xr:uid="{FAA20908-D9E4-4ED7-9321-4920EE4BBCF4}"/>
    <cellStyle name="Normal 26 7 3 3 8" xfId="15051" xr:uid="{87B8B425-FCE8-48D0-8462-F5E8E137AA3B}"/>
    <cellStyle name="Normal 26 7 3 3 9" xfId="16941" xr:uid="{DA721393-5C25-4D90-B545-0D3B02CB4269}"/>
    <cellStyle name="Normal 26 7 3 4" xfId="2451" xr:uid="{1838D9FD-C0D7-4C26-97F9-9E592FC82BAC}"/>
    <cellStyle name="Normal 26 7 3 5" xfId="4341" xr:uid="{D2BF15D6-7565-40C3-9944-770F1CAF9C4D}"/>
    <cellStyle name="Normal 26 7 3 6" xfId="6231" xr:uid="{31DE35EA-CED8-4D7C-8FE5-F3E650410D46}"/>
    <cellStyle name="Normal 26 7 3 7" xfId="8121" xr:uid="{90C742BA-9F80-4DF2-AAEF-088A08CFF105}"/>
    <cellStyle name="Normal 26 7 3 8" xfId="10011" xr:uid="{D58D5AA8-A92A-4C15-AD83-6D8F151305B6}"/>
    <cellStyle name="Normal 26 7 3 9" xfId="11901" xr:uid="{4AFD88BE-B288-4FBC-9EFD-5001883723B3}"/>
    <cellStyle name="Normal 26 7 4" xfId="771" xr:uid="{27BE2515-6EAD-445D-A08F-502E7F960BF6}"/>
    <cellStyle name="Normal 26 7 4 10" xfId="17781" xr:uid="{68A665D6-C00F-43AC-801D-37C959970173}"/>
    <cellStyle name="Normal 26 7 4 11" xfId="19671" xr:uid="{FAA8EEF3-73E2-4DB5-8F55-34928255B690}"/>
    <cellStyle name="Normal 26 7 4 12" xfId="21561" xr:uid="{0B631685-A0DA-42ED-AAED-8EDB95EC76E0}"/>
    <cellStyle name="Normal 26 7 4 13" xfId="23451" xr:uid="{36D23427-6BCC-44AC-8E35-096A51BEC50A}"/>
    <cellStyle name="Normal 26 7 4 14" xfId="25341" xr:uid="{59377A47-65A4-406E-A3CE-031813F969FC}"/>
    <cellStyle name="Normal 26 7 4 15" xfId="27231" xr:uid="{E1D9AF7A-9AE1-47B4-A374-188A7A7C285F}"/>
    <cellStyle name="Normal 26 7 4 16" xfId="29121" xr:uid="{747430E5-D2C6-4DA2-9079-7489D1076FCF}"/>
    <cellStyle name="Normal 26 7 4 17" xfId="31011" xr:uid="{6DABA9DC-12C7-4D86-AF66-36ABE5C9730B}"/>
    <cellStyle name="Normal 26 7 4 18" xfId="32901" xr:uid="{30BC4D6D-AF36-4023-A873-AD5BDC4A0A5C}"/>
    <cellStyle name="Normal 26 7 4 19" xfId="34791" xr:uid="{0E3E87EB-0062-4E80-AC48-AD8A6265698D}"/>
    <cellStyle name="Normal 26 7 4 2" xfId="2661" xr:uid="{50B532FA-8372-472D-9E2B-F1D6C77BE2EC}"/>
    <cellStyle name="Normal 26 7 4 20" xfId="36681" xr:uid="{BBC478D3-3B3D-48A1-90E4-200D4FF6F67F}"/>
    <cellStyle name="Normal 26 7 4 21" xfId="38571" xr:uid="{7596E949-8A7F-4920-B183-E079EFFA774B}"/>
    <cellStyle name="Normal 26 7 4 22" xfId="40462" xr:uid="{BB4475CE-095B-4FB1-B3C5-94F0B89D717F}"/>
    <cellStyle name="Normal 26 7 4 3" xfId="4551" xr:uid="{DAEBA565-AFFE-47D7-ACD0-11A1D4BD6FE4}"/>
    <cellStyle name="Normal 26 7 4 4" xfId="6441" xr:uid="{A75503D1-D105-4794-9C66-A2C9F3A07072}"/>
    <cellStyle name="Normal 26 7 4 5" xfId="8331" xr:uid="{82EE030C-69C8-4929-8649-1CFFDCCF2E4E}"/>
    <cellStyle name="Normal 26 7 4 6" xfId="10221" xr:uid="{417CF2D2-AE49-485F-A97C-CA666CD48AE5}"/>
    <cellStyle name="Normal 26 7 4 7" xfId="12111" xr:uid="{63E6B483-9195-406B-99F5-8C1607BB7602}"/>
    <cellStyle name="Normal 26 7 4 8" xfId="14001" xr:uid="{87A7C20F-1F18-4D6D-818A-7DA9D03277BC}"/>
    <cellStyle name="Normal 26 7 4 9" xfId="15891" xr:uid="{F59FF021-C6C6-4724-91B1-7BCD4C58422B}"/>
    <cellStyle name="Normal 26 7 5" xfId="1401" xr:uid="{4E39633E-7798-4932-BCBC-DC8CB8E3D21F}"/>
    <cellStyle name="Normal 26 7 5 10" xfId="18411" xr:uid="{7EF53AD2-A8F4-4923-B207-BE1F40DD7BBC}"/>
    <cellStyle name="Normal 26 7 5 11" xfId="20301" xr:uid="{E413A1A7-5300-474B-BFA2-0B037B5EF8A1}"/>
    <cellStyle name="Normal 26 7 5 12" xfId="22191" xr:uid="{E3A5515B-6B7D-448B-8742-E236CDFB6229}"/>
    <cellStyle name="Normal 26 7 5 13" xfId="24081" xr:uid="{AFBB0EF2-DB23-4EF4-A25B-98AC84FD8B5D}"/>
    <cellStyle name="Normal 26 7 5 14" xfId="25971" xr:uid="{1EA79CB7-258F-40CE-A69D-E71182387E41}"/>
    <cellStyle name="Normal 26 7 5 15" xfId="27861" xr:uid="{0CC4E098-B6FB-4DB3-ADD5-976D75F7D65B}"/>
    <cellStyle name="Normal 26 7 5 16" xfId="29751" xr:uid="{F5CB0210-D212-47DA-83E5-C28399E7262D}"/>
    <cellStyle name="Normal 26 7 5 17" xfId="31641" xr:uid="{E5EE9043-D9A0-44BA-8C4E-6AA196A525A4}"/>
    <cellStyle name="Normal 26 7 5 18" xfId="33531" xr:uid="{D2E82A8F-4A9D-4057-886C-22E435D3C74A}"/>
    <cellStyle name="Normal 26 7 5 19" xfId="35421" xr:uid="{19312D0D-08DB-4881-92DE-69DC4419B27F}"/>
    <cellStyle name="Normal 26 7 5 2" xfId="3291" xr:uid="{4D7B8F08-BBCD-4D90-B591-5EC919CE9914}"/>
    <cellStyle name="Normal 26 7 5 20" xfId="37311" xr:uid="{C8F31872-335A-4525-8FC4-98C3BF7A9CA6}"/>
    <cellStyle name="Normal 26 7 5 21" xfId="39201" xr:uid="{7D91ED82-605E-41F5-9035-E767338CEBAB}"/>
    <cellStyle name="Normal 26 7 5 22" xfId="41092" xr:uid="{8015FDE1-4CA2-4E3F-9044-D7453F20E8BD}"/>
    <cellStyle name="Normal 26 7 5 3" xfId="5181" xr:uid="{4AA22137-91BB-416A-9947-9FBF7911DD15}"/>
    <cellStyle name="Normal 26 7 5 4" xfId="7071" xr:uid="{7CE30F11-267A-4F64-9683-FADDA326F7C0}"/>
    <cellStyle name="Normal 26 7 5 5" xfId="8961" xr:uid="{DE856872-9055-4374-9779-8D8358E9BDEE}"/>
    <cellStyle name="Normal 26 7 5 6" xfId="10851" xr:uid="{6721C096-44A5-4664-A0CE-3851B09E0AD9}"/>
    <cellStyle name="Normal 26 7 5 7" xfId="12741" xr:uid="{FAEC09EB-26C9-4303-97AC-97B77861B3A3}"/>
    <cellStyle name="Normal 26 7 5 8" xfId="14631" xr:uid="{A0FCBE50-0E08-47FC-B6C4-5BE4DA114E12}"/>
    <cellStyle name="Normal 26 7 5 9" xfId="16521" xr:uid="{B6D66C4C-579E-4BD3-B2FD-69160C906FD1}"/>
    <cellStyle name="Normal 26 7 6" xfId="2031" xr:uid="{47BB2BFC-0CC3-442C-B2AD-F9BBC62B9A29}"/>
    <cellStyle name="Normal 26 7 7" xfId="3921" xr:uid="{82CC93D4-1F87-4C6D-B2C4-3B812313C427}"/>
    <cellStyle name="Normal 26 7 8" xfId="5811" xr:uid="{2905D439-C494-410B-9964-E3603DE7A88E}"/>
    <cellStyle name="Normal 26 7 9" xfId="7701" xr:uid="{EE308F3C-C5FC-4FDD-AEDA-8DA5EAA2AA76}"/>
    <cellStyle name="Normal 26 8" xfId="246" xr:uid="{8BE13FFB-77B6-4ACE-A2F6-4CE472B83CC7}"/>
    <cellStyle name="Normal 26 8 10" xfId="13476" xr:uid="{BF5C60C5-30E5-4064-BE33-15354C522C89}"/>
    <cellStyle name="Normal 26 8 11" xfId="15366" xr:uid="{6D693ECC-B625-4595-99C1-FEB639C730BB}"/>
    <cellStyle name="Normal 26 8 12" xfId="17256" xr:uid="{A0D2C0C5-E51F-49F6-A439-906110AF69B8}"/>
    <cellStyle name="Normal 26 8 13" xfId="19146" xr:uid="{0BDDF65D-B0F9-4812-BF77-65F6732343A9}"/>
    <cellStyle name="Normal 26 8 14" xfId="21036" xr:uid="{0B6B9025-9226-4E8C-9DA1-895E595819C8}"/>
    <cellStyle name="Normal 26 8 15" xfId="22926" xr:uid="{0C9930B5-1CF6-4751-B597-646E59F0F3A8}"/>
    <cellStyle name="Normal 26 8 16" xfId="24816" xr:uid="{62AEE30B-BEBC-4F06-A0BD-50D46C3D9842}"/>
    <cellStyle name="Normal 26 8 17" xfId="26706" xr:uid="{9006A091-E272-44F6-BE53-90F4D22B2FAC}"/>
    <cellStyle name="Normal 26 8 18" xfId="28596" xr:uid="{ACCA790C-AA1F-421E-90FF-B5EAE9F1645A}"/>
    <cellStyle name="Normal 26 8 19" xfId="30486" xr:uid="{21ACB792-E385-42CB-92AC-F28B06F1544D}"/>
    <cellStyle name="Normal 26 8 2" xfId="876" xr:uid="{17268872-488D-405F-A9EA-D314090A3FC0}"/>
    <cellStyle name="Normal 26 8 2 10" xfId="17886" xr:uid="{26892856-B112-4D96-801C-8CF84F2A4DB6}"/>
    <cellStyle name="Normal 26 8 2 11" xfId="19776" xr:uid="{2BA74BBF-1960-4244-8C79-7044742DA4AE}"/>
    <cellStyle name="Normal 26 8 2 12" xfId="21666" xr:uid="{B60C9C73-CC48-4040-8F36-D3B0D66C6E08}"/>
    <cellStyle name="Normal 26 8 2 13" xfId="23556" xr:uid="{214A0B57-7C25-4585-9C74-431B831CA7FC}"/>
    <cellStyle name="Normal 26 8 2 14" xfId="25446" xr:uid="{025A0E10-7E6E-4CDE-8353-530CA8EADC66}"/>
    <cellStyle name="Normal 26 8 2 15" xfId="27336" xr:uid="{5CFC0872-8AC0-490B-9985-DFC967F9A179}"/>
    <cellStyle name="Normal 26 8 2 16" xfId="29226" xr:uid="{E48BE2E6-5658-4ECB-BA29-638CDF089EA6}"/>
    <cellStyle name="Normal 26 8 2 17" xfId="31116" xr:uid="{45B5D593-6340-4F48-BC32-6D89F0BE32C6}"/>
    <cellStyle name="Normal 26 8 2 18" xfId="33006" xr:uid="{0A0B3173-2FE5-44E2-BA86-AC0FD6B66649}"/>
    <cellStyle name="Normal 26 8 2 19" xfId="34896" xr:uid="{F98B6023-AE5A-4A16-90C5-CE5E6912F878}"/>
    <cellStyle name="Normal 26 8 2 2" xfId="2766" xr:uid="{D8840D14-A3F7-4222-854C-CC6F41E36C8A}"/>
    <cellStyle name="Normal 26 8 2 20" xfId="36786" xr:uid="{A454BF38-9432-489A-AFD4-8354E9993AC6}"/>
    <cellStyle name="Normal 26 8 2 21" xfId="38676" xr:uid="{699539C5-47B8-4023-B0D0-ACC4F86B90FF}"/>
    <cellStyle name="Normal 26 8 2 22" xfId="40567" xr:uid="{C7FA3EA1-278E-48B4-956A-61B6BB2873AA}"/>
    <cellStyle name="Normal 26 8 2 3" xfId="4656" xr:uid="{5A14C5DD-16B3-443E-8FC3-E047B83736FB}"/>
    <cellStyle name="Normal 26 8 2 4" xfId="6546" xr:uid="{5CD59D0B-6824-42CA-95D8-A2A714AD233D}"/>
    <cellStyle name="Normal 26 8 2 5" xfId="8436" xr:uid="{0F822778-65B2-4E0B-A842-8A7C7F48EBD5}"/>
    <cellStyle name="Normal 26 8 2 6" xfId="10326" xr:uid="{6CCDF0F4-E175-485E-B9E0-32C1060437B5}"/>
    <cellStyle name="Normal 26 8 2 7" xfId="12216" xr:uid="{90E60196-BD14-43EB-93B2-38468EDB45D8}"/>
    <cellStyle name="Normal 26 8 2 8" xfId="14106" xr:uid="{3AF681ED-02A0-424E-BB3A-E333F8775F71}"/>
    <cellStyle name="Normal 26 8 2 9" xfId="15996" xr:uid="{5B672B97-4901-4889-932D-544C7758AB32}"/>
    <cellStyle name="Normal 26 8 20" xfId="32376" xr:uid="{1BE15A20-FEA9-48B1-B94C-A4D02444158D}"/>
    <cellStyle name="Normal 26 8 21" xfId="34266" xr:uid="{34628FB1-3859-4EC8-A2F3-DF0AE08A424B}"/>
    <cellStyle name="Normal 26 8 22" xfId="36156" xr:uid="{CBC65490-B8B8-41CE-9550-4CC2466E6354}"/>
    <cellStyle name="Normal 26 8 23" xfId="38046" xr:uid="{0E857E56-91C9-4B01-969E-B1878CBC8EF8}"/>
    <cellStyle name="Normal 26 8 24" xfId="39937" xr:uid="{072CE13B-5492-4F36-99BF-0EEF28C62D9C}"/>
    <cellStyle name="Normal 26 8 3" xfId="1506" xr:uid="{5AD0115D-0B43-44FB-9824-CBCEBC87D670}"/>
    <cellStyle name="Normal 26 8 3 10" xfId="18516" xr:uid="{B21F0B3E-9DCC-4D0C-81CD-0945D24D3F2D}"/>
    <cellStyle name="Normal 26 8 3 11" xfId="20406" xr:uid="{B343952A-DD01-49B0-9CD4-738B83A66CC7}"/>
    <cellStyle name="Normal 26 8 3 12" xfId="22296" xr:uid="{CB574C1A-0F73-4E30-BCAD-E90B83DF5B5D}"/>
    <cellStyle name="Normal 26 8 3 13" xfId="24186" xr:uid="{6D7D12C9-900A-438C-ABB7-F2C62D7236FA}"/>
    <cellStyle name="Normal 26 8 3 14" xfId="26076" xr:uid="{4A4128F6-CF11-4669-B687-1998AE43975D}"/>
    <cellStyle name="Normal 26 8 3 15" xfId="27966" xr:uid="{F2426E69-3DE3-4A4F-8571-F09838DCC569}"/>
    <cellStyle name="Normal 26 8 3 16" xfId="29856" xr:uid="{1794A35C-C733-402B-A61F-2453BF9031C6}"/>
    <cellStyle name="Normal 26 8 3 17" xfId="31746" xr:uid="{325F8458-54AE-48B5-8B59-CA19187B7B68}"/>
    <cellStyle name="Normal 26 8 3 18" xfId="33636" xr:uid="{9AD1EEA6-4631-495C-BC2B-815800236001}"/>
    <cellStyle name="Normal 26 8 3 19" xfId="35526" xr:uid="{EA4F2B51-9F0A-4183-A398-C7833AAEC5E3}"/>
    <cellStyle name="Normal 26 8 3 2" xfId="3396" xr:uid="{0E8C239A-785A-410E-A95B-3243FAAD4EB0}"/>
    <cellStyle name="Normal 26 8 3 20" xfId="37416" xr:uid="{FDD19C56-F784-49CF-8084-4E8B537EB92D}"/>
    <cellStyle name="Normal 26 8 3 21" xfId="39306" xr:uid="{DBBCBFA9-9721-4735-8D0C-7414FA3AB23C}"/>
    <cellStyle name="Normal 26 8 3 22" xfId="41197" xr:uid="{CBB38971-CF27-4F3A-BB3C-64D7A6220CD2}"/>
    <cellStyle name="Normal 26 8 3 3" xfId="5286" xr:uid="{5983B789-18DB-4C0B-9E16-44A36FDCF8A4}"/>
    <cellStyle name="Normal 26 8 3 4" xfId="7176" xr:uid="{DFE2CED7-C913-473C-976F-457F4C780134}"/>
    <cellStyle name="Normal 26 8 3 5" xfId="9066" xr:uid="{7EA3F6BB-6812-45F7-B137-38A590054A85}"/>
    <cellStyle name="Normal 26 8 3 6" xfId="10956" xr:uid="{2D52BC0B-33C2-4DDC-B596-8619F84A8EDB}"/>
    <cellStyle name="Normal 26 8 3 7" xfId="12846" xr:uid="{B63F9257-663A-4F43-BFB2-AF7329C64169}"/>
    <cellStyle name="Normal 26 8 3 8" xfId="14736" xr:uid="{F7D4F405-C6F9-44CD-BEFF-28800273BC79}"/>
    <cellStyle name="Normal 26 8 3 9" xfId="16626" xr:uid="{F0454115-E1F6-4C62-8823-902CEC249F5E}"/>
    <cellStyle name="Normal 26 8 4" xfId="2136" xr:uid="{DBCD643F-406D-4200-87F8-B807C3C72ADA}"/>
    <cellStyle name="Normal 26 8 5" xfId="4026" xr:uid="{83DFFD3B-585E-48F5-9341-35B27A170558}"/>
    <cellStyle name="Normal 26 8 6" xfId="5916" xr:uid="{5A7B6BFD-13DE-4D81-A7D3-97EB7373348D}"/>
    <cellStyle name="Normal 26 8 7" xfId="7806" xr:uid="{A5F8193F-EAD8-4438-8F6E-0FA90A34D3DD}"/>
    <cellStyle name="Normal 26 8 8" xfId="9696" xr:uid="{B2DF6179-77F5-42CE-A7D2-F4DC2E0DB768}"/>
    <cellStyle name="Normal 26 8 9" xfId="11586" xr:uid="{24AD2928-8765-458A-BD9F-E64B055FC355}"/>
    <cellStyle name="Normal 26 9" xfId="456" xr:uid="{EDA5D7B5-DAFF-4C85-A6C6-CD9344F44EC6}"/>
    <cellStyle name="Normal 26 9 10" xfId="13686" xr:uid="{C236080F-C215-4F00-A19A-8690021DE2CE}"/>
    <cellStyle name="Normal 26 9 11" xfId="15576" xr:uid="{4458BB58-C60D-4EF6-A9D9-488A73E5BDE0}"/>
    <cellStyle name="Normal 26 9 12" xfId="17466" xr:uid="{A982E1F5-4175-428C-8D65-BC48B7E39292}"/>
    <cellStyle name="Normal 26 9 13" xfId="19356" xr:uid="{EBE9BB13-B1A7-4F2E-A062-5850180A8EC7}"/>
    <cellStyle name="Normal 26 9 14" xfId="21246" xr:uid="{90796CD7-1270-46E0-AC42-B055317D335F}"/>
    <cellStyle name="Normal 26 9 15" xfId="23136" xr:uid="{324BE8D9-60C4-43B1-8D30-79F1B8AE64EC}"/>
    <cellStyle name="Normal 26 9 16" xfId="25026" xr:uid="{938F0F0A-63A6-414B-AAE7-B7D2B066F843}"/>
    <cellStyle name="Normal 26 9 17" xfId="26916" xr:uid="{F8F10E73-EFB6-4902-B48D-A455B1DD5CB0}"/>
    <cellStyle name="Normal 26 9 18" xfId="28806" xr:uid="{E0505C17-9ACA-40AE-91BD-F87B1255D871}"/>
    <cellStyle name="Normal 26 9 19" xfId="30696" xr:uid="{459754A6-74E5-4399-A148-6C302ED37D40}"/>
    <cellStyle name="Normal 26 9 2" xfId="1086" xr:uid="{07FC4D45-F2DF-47EC-AB02-3C68822E30C3}"/>
    <cellStyle name="Normal 26 9 2 10" xfId="18096" xr:uid="{55D1E745-5A65-4943-93A4-D4D17EFA12CE}"/>
    <cellStyle name="Normal 26 9 2 11" xfId="19986" xr:uid="{2B050322-0D8F-4129-9747-5C3644627ACC}"/>
    <cellStyle name="Normal 26 9 2 12" xfId="21876" xr:uid="{98A4ED43-8005-43EA-A08B-0C7CD9D4566B}"/>
    <cellStyle name="Normal 26 9 2 13" xfId="23766" xr:uid="{46B10439-E194-495C-9AEE-05D0C7D84D24}"/>
    <cellStyle name="Normal 26 9 2 14" xfId="25656" xr:uid="{9E24700D-971F-448A-AC40-8A4664D49D22}"/>
    <cellStyle name="Normal 26 9 2 15" xfId="27546" xr:uid="{6D12F69F-4AF4-4080-8206-C57337318A3F}"/>
    <cellStyle name="Normal 26 9 2 16" xfId="29436" xr:uid="{E747A181-2922-4377-9444-D4B725EBE93C}"/>
    <cellStyle name="Normal 26 9 2 17" xfId="31326" xr:uid="{C5A4134F-365C-4819-AA8A-ECB514CED7A0}"/>
    <cellStyle name="Normal 26 9 2 18" xfId="33216" xr:uid="{62964B2C-6975-4F87-B031-DBA644B0050B}"/>
    <cellStyle name="Normal 26 9 2 19" xfId="35106" xr:uid="{BA689D82-E829-4204-A646-E17C21FFCF49}"/>
    <cellStyle name="Normal 26 9 2 2" xfId="2976" xr:uid="{B4267FEA-7613-4593-A8AB-40F176A37392}"/>
    <cellStyle name="Normal 26 9 2 20" xfId="36996" xr:uid="{CE08FDD2-8399-44EF-A37C-095389C0D611}"/>
    <cellStyle name="Normal 26 9 2 21" xfId="38886" xr:uid="{DD7BF95D-822F-4F45-8A7C-EC21BCC47CE9}"/>
    <cellStyle name="Normal 26 9 2 22" xfId="40777" xr:uid="{6815327D-09BA-4E5F-81C4-E9BD22C27B33}"/>
    <cellStyle name="Normal 26 9 2 3" xfId="4866" xr:uid="{16864B28-E233-4AFC-83FC-760DC1DB311E}"/>
    <cellStyle name="Normal 26 9 2 4" xfId="6756" xr:uid="{EE218F4C-2BBB-41B3-8F23-74974AB0A07F}"/>
    <cellStyle name="Normal 26 9 2 5" xfId="8646" xr:uid="{4091F32B-40D5-4CA3-856F-87600336C18B}"/>
    <cellStyle name="Normal 26 9 2 6" xfId="10536" xr:uid="{24A0A16B-4CEA-4515-8990-2346F5AE2442}"/>
    <cellStyle name="Normal 26 9 2 7" xfId="12426" xr:uid="{BF034B00-1230-4161-833A-4EF542A1DB5B}"/>
    <cellStyle name="Normal 26 9 2 8" xfId="14316" xr:uid="{5E5E5B59-167A-4C05-8764-7BAF4B4A3642}"/>
    <cellStyle name="Normal 26 9 2 9" xfId="16206" xr:uid="{D7D31BE6-CDED-4E02-9B83-B6D7D5F71D4C}"/>
    <cellStyle name="Normal 26 9 20" xfId="32586" xr:uid="{AFFAF7D5-649A-4438-8D1D-2AD6F39C505F}"/>
    <cellStyle name="Normal 26 9 21" xfId="34476" xr:uid="{CE361998-8F09-4957-B845-F5AF2B496BD7}"/>
    <cellStyle name="Normal 26 9 22" xfId="36366" xr:uid="{012AF39A-E1E3-4038-8D74-AFA57484E5F0}"/>
    <cellStyle name="Normal 26 9 23" xfId="38256" xr:uid="{9C79D0C4-5FAA-46EE-A2B8-6A601C945284}"/>
    <cellStyle name="Normal 26 9 24" xfId="40147" xr:uid="{5F6C4DC3-B407-4F8D-A3EA-4FC2276A7381}"/>
    <cellStyle name="Normal 26 9 3" xfId="1716" xr:uid="{5394E0E3-B2F0-4961-906E-F73D3A34C514}"/>
    <cellStyle name="Normal 26 9 3 10" xfId="18726" xr:uid="{93869BBE-D70B-4CEE-8A99-891E9E4EFECC}"/>
    <cellStyle name="Normal 26 9 3 11" xfId="20616" xr:uid="{5AA6BFE4-47D8-419E-81E6-426051DDC69B}"/>
    <cellStyle name="Normal 26 9 3 12" xfId="22506" xr:uid="{5BE160D0-74CA-4DA8-85C6-219BA445E7E4}"/>
    <cellStyle name="Normal 26 9 3 13" xfId="24396" xr:uid="{957B4484-C5B9-4316-8575-210860F34E0E}"/>
    <cellStyle name="Normal 26 9 3 14" xfId="26286" xr:uid="{BF8809EA-F860-4FFD-AE59-13F2E44938B5}"/>
    <cellStyle name="Normal 26 9 3 15" xfId="28176" xr:uid="{0C0F0E06-D5D8-49C8-9052-00602AE3D66F}"/>
    <cellStyle name="Normal 26 9 3 16" xfId="30066" xr:uid="{E6AA4588-B055-4674-B073-651C6ECFE723}"/>
    <cellStyle name="Normal 26 9 3 17" xfId="31956" xr:uid="{81841E7C-B8BA-4140-92F2-133C568EA1C6}"/>
    <cellStyle name="Normal 26 9 3 18" xfId="33846" xr:uid="{070DF392-E32B-4DEE-A059-4043CE222392}"/>
    <cellStyle name="Normal 26 9 3 19" xfId="35736" xr:uid="{BE1DBA50-DE03-4537-A7D8-F81BAB76B400}"/>
    <cellStyle name="Normal 26 9 3 2" xfId="3606" xr:uid="{137A285A-46AB-4405-9433-EE67EBF533A6}"/>
    <cellStyle name="Normal 26 9 3 20" xfId="37626" xr:uid="{9EC8A5C2-D1C1-4334-8C6D-9792CA711143}"/>
    <cellStyle name="Normal 26 9 3 21" xfId="39516" xr:uid="{8C5A32E7-B585-4D2C-BE1F-B0F4928C67F8}"/>
    <cellStyle name="Normal 26 9 3 22" xfId="41407" xr:uid="{B539649E-5ED3-4455-B5F7-87F59E265614}"/>
    <cellStyle name="Normal 26 9 3 3" xfId="5496" xr:uid="{2AC45DC7-0533-4374-A35E-2F28F5435391}"/>
    <cellStyle name="Normal 26 9 3 4" xfId="7386" xr:uid="{92CFAC7F-EF83-44A6-9404-F531458C6FD1}"/>
    <cellStyle name="Normal 26 9 3 5" xfId="9276" xr:uid="{DCBABB86-43DD-477B-B596-4FF239B387F7}"/>
    <cellStyle name="Normal 26 9 3 6" xfId="11166" xr:uid="{289CD2A4-F6D3-4C1D-9CED-5A5FA923D94E}"/>
    <cellStyle name="Normal 26 9 3 7" xfId="13056" xr:uid="{4F0D777B-FD4E-4038-AFF1-753137096EEF}"/>
    <cellStyle name="Normal 26 9 3 8" xfId="14946" xr:uid="{B263A2DB-D8D3-4E51-AA05-39F36B8FFC10}"/>
    <cellStyle name="Normal 26 9 3 9" xfId="16836" xr:uid="{CE938056-F43C-4A9A-A4D6-C58A138AF31B}"/>
    <cellStyle name="Normal 26 9 4" xfId="2346" xr:uid="{3CACC31B-B782-4A0A-BF0F-7491999739D1}"/>
    <cellStyle name="Normal 26 9 5" xfId="4236" xr:uid="{4E45551C-E84A-4554-9BF6-B9E5AE0D82B7}"/>
    <cellStyle name="Normal 26 9 6" xfId="6126" xr:uid="{207E02C3-DCE6-475F-86CE-052932780E43}"/>
    <cellStyle name="Normal 26 9 7" xfId="8016" xr:uid="{2FCDBE19-CCFD-42EE-8BB8-20B9295ECBAC}"/>
    <cellStyle name="Normal 26 9 8" xfId="9906" xr:uid="{5961E652-DF85-4C5F-883B-1263A5075361}"/>
    <cellStyle name="Normal 26 9 9" xfId="11796" xr:uid="{C1691B51-D0EE-4A1E-BADC-71C3A2E34BAC}"/>
    <cellStyle name="Normal 27" xfId="10" xr:uid="{00000000-0005-0000-0000-000037000000}"/>
    <cellStyle name="Normal 27 2" xfId="17" xr:uid="{0637FBCB-8B16-441D-8BCA-0CC8FC62BF0D}"/>
    <cellStyle name="Normal 3" xfId="11" xr:uid="{00000000-0005-0000-0000-000038000000}"/>
    <cellStyle name="Normal 38" xfId="12" xr:uid="{00000000-0005-0000-0000-000039000000}"/>
    <cellStyle name="Normal 38 10" xfId="7598" xr:uid="{20162367-1E79-46E9-A770-F8C6E2DB7FC9}"/>
    <cellStyle name="Normal 38 11" xfId="9488" xr:uid="{E8A8D9F7-8580-4684-B5DC-6CF35BACE7B5}"/>
    <cellStyle name="Normal 38 12" xfId="11378" xr:uid="{CFEB1054-2946-4869-80FD-7D0B2BCB1138}"/>
    <cellStyle name="Normal 38 13" xfId="13268" xr:uid="{D114B404-8F84-40E6-9EAF-F13A2E6950A5}"/>
    <cellStyle name="Normal 38 14" xfId="15158" xr:uid="{84FAB0B4-1103-432D-8CAC-2EAD10E243DE}"/>
    <cellStyle name="Normal 38 15" xfId="17048" xr:uid="{E3301A2D-B74C-4C5B-B717-4191FB4999DC}"/>
    <cellStyle name="Normal 38 16" xfId="18938" xr:uid="{65D7113F-0397-432C-B4A0-2B696EC9CC0C}"/>
    <cellStyle name="Normal 38 17" xfId="20828" xr:uid="{D246A4EC-0A6D-417B-BFB3-1692EC5A0554}"/>
    <cellStyle name="Normal 38 18" xfId="22718" xr:uid="{49807A72-9958-4DDF-A388-34F97D5768A5}"/>
    <cellStyle name="Normal 38 19" xfId="24608" xr:uid="{0D40E016-0E7C-45E7-9840-919ACC49E8F9}"/>
    <cellStyle name="Normal 38 2" xfId="143" xr:uid="{CC8A03F2-C4EF-45DF-BB38-EB9C8044A3FE}"/>
    <cellStyle name="Normal 38 2 10" xfId="9593" xr:uid="{CB641829-D1A9-4ABA-801D-4DC289397376}"/>
    <cellStyle name="Normal 38 2 11" xfId="11483" xr:uid="{89CA2B29-D89C-4AE0-ABAA-5FB4D12A76B1}"/>
    <cellStyle name="Normal 38 2 12" xfId="13373" xr:uid="{87E0C390-9051-4CAE-8CF8-DC276B7D213E}"/>
    <cellStyle name="Normal 38 2 13" xfId="15263" xr:uid="{F84369FD-7356-42CA-A70B-C54022EFE2B5}"/>
    <cellStyle name="Normal 38 2 14" xfId="17153" xr:uid="{D61EE61E-E12F-48E0-B5C5-E9B6CF53F927}"/>
    <cellStyle name="Normal 38 2 15" xfId="19043" xr:uid="{E0A40959-D050-44B8-B79A-DF1E8922778F}"/>
    <cellStyle name="Normal 38 2 16" xfId="20933" xr:uid="{80CBCC2C-E2E4-4DBA-999B-1582816DC8CD}"/>
    <cellStyle name="Normal 38 2 17" xfId="22823" xr:uid="{99570789-C105-4CAC-A120-8B455E39FBB5}"/>
    <cellStyle name="Normal 38 2 18" xfId="24713" xr:uid="{AD4D3366-0660-4772-BE4A-6B2002877A35}"/>
    <cellStyle name="Normal 38 2 19" xfId="26603" xr:uid="{C0213A59-8937-4AF5-9B44-5D06058F09A6}"/>
    <cellStyle name="Normal 38 2 2" xfId="353" xr:uid="{EA3C3CBC-64B0-4BD8-A989-29DB51360947}"/>
    <cellStyle name="Normal 38 2 2 10" xfId="13583" xr:uid="{918F2FCB-E37C-45E0-B6DC-994261A39922}"/>
    <cellStyle name="Normal 38 2 2 11" xfId="15473" xr:uid="{768B77FB-F54A-4168-B78E-0A8140E8C212}"/>
    <cellStyle name="Normal 38 2 2 12" xfId="17363" xr:uid="{1242AEC2-4BBD-4466-894C-FDC06D25C04A}"/>
    <cellStyle name="Normal 38 2 2 13" xfId="19253" xr:uid="{AEC98807-92E1-46A6-B1E6-2284B1728369}"/>
    <cellStyle name="Normal 38 2 2 14" xfId="21143" xr:uid="{660D8A8A-495A-4EB6-AE2C-42161309639F}"/>
    <cellStyle name="Normal 38 2 2 15" xfId="23033" xr:uid="{C44287B6-989A-43A8-B2A3-914EA7BD036B}"/>
    <cellStyle name="Normal 38 2 2 16" xfId="24923" xr:uid="{01234D73-A983-4CF6-BADE-38BEC7289BE9}"/>
    <cellStyle name="Normal 38 2 2 17" xfId="26813" xr:uid="{EF17F080-9E7D-49FC-9DF5-2D55E754D6B1}"/>
    <cellStyle name="Normal 38 2 2 18" xfId="28703" xr:uid="{07AD68BB-E155-4A4A-A517-B51133300A91}"/>
    <cellStyle name="Normal 38 2 2 19" xfId="30593" xr:uid="{31350135-09E3-4E22-A0A2-271C150AE6F7}"/>
    <cellStyle name="Normal 38 2 2 2" xfId="983" xr:uid="{386C2233-C3CF-4DB6-99B8-736175F10D99}"/>
    <cellStyle name="Normal 38 2 2 2 10" xfId="17993" xr:uid="{A2D7FFAA-A6A2-4226-A1D7-C81FCACD075C}"/>
    <cellStyle name="Normal 38 2 2 2 11" xfId="19883" xr:uid="{710CF320-B64B-42C1-892E-5FB3F0ED2088}"/>
    <cellStyle name="Normal 38 2 2 2 12" xfId="21773" xr:uid="{D4551F9D-BF48-4CBA-9E5A-9F747507C533}"/>
    <cellStyle name="Normal 38 2 2 2 13" xfId="23663" xr:uid="{B16C8520-08D7-4471-8BF1-9B08959DFE6A}"/>
    <cellStyle name="Normal 38 2 2 2 14" xfId="25553" xr:uid="{F0FDDA6C-DF66-4F85-8DBB-20A97130287B}"/>
    <cellStyle name="Normal 38 2 2 2 15" xfId="27443" xr:uid="{3DB045FB-DCDB-4924-BB0A-636953361F72}"/>
    <cellStyle name="Normal 38 2 2 2 16" xfId="29333" xr:uid="{0E7ACCB9-663C-4BF8-AB3F-DBA390538577}"/>
    <cellStyle name="Normal 38 2 2 2 17" xfId="31223" xr:uid="{7BBE7AD0-2C3D-4D95-800A-BAE556146799}"/>
    <cellStyle name="Normal 38 2 2 2 18" xfId="33113" xr:uid="{723C8BD8-7049-4E73-B019-B84C2DFD3E8F}"/>
    <cellStyle name="Normal 38 2 2 2 19" xfId="35003" xr:uid="{44B7AA22-4F54-4025-8087-2086CE6E0B95}"/>
    <cellStyle name="Normal 38 2 2 2 2" xfId="2873" xr:uid="{65484CDE-2ED4-4281-A94F-52B237F8CECF}"/>
    <cellStyle name="Normal 38 2 2 2 20" xfId="36893" xr:uid="{964721F8-C372-4491-BD40-3E8C864A07FD}"/>
    <cellStyle name="Normal 38 2 2 2 21" xfId="38783" xr:uid="{F304BB94-4885-4EA6-8908-85C52FCC6B2A}"/>
    <cellStyle name="Normal 38 2 2 2 22" xfId="40674" xr:uid="{B92646C9-94A0-45D0-9825-79B1CCC881D0}"/>
    <cellStyle name="Normal 38 2 2 2 3" xfId="4763" xr:uid="{01C6DB12-8EB2-483C-942A-EAD10C5B3E6B}"/>
    <cellStyle name="Normal 38 2 2 2 4" xfId="6653" xr:uid="{42450DBD-B418-40D7-9D71-DF12599FDC38}"/>
    <cellStyle name="Normal 38 2 2 2 5" xfId="8543" xr:uid="{AD6CCE95-5315-4426-9042-0609F53DB55E}"/>
    <cellStyle name="Normal 38 2 2 2 6" xfId="10433" xr:uid="{E952E547-D8AC-4FB8-A3DE-A5CED95DC2AA}"/>
    <cellStyle name="Normal 38 2 2 2 7" xfId="12323" xr:uid="{68E5B31C-7B13-419E-A0B4-2B905ECA10F8}"/>
    <cellStyle name="Normal 38 2 2 2 8" xfId="14213" xr:uid="{06D740B8-DD21-4844-AD78-0833377BCE34}"/>
    <cellStyle name="Normal 38 2 2 2 9" xfId="16103" xr:uid="{7C0F0EFA-9A73-40F3-8A6D-5E3ED51132E2}"/>
    <cellStyle name="Normal 38 2 2 20" xfId="32483" xr:uid="{F959F548-1DB8-40FC-B76B-52B34303FC16}"/>
    <cellStyle name="Normal 38 2 2 21" xfId="34373" xr:uid="{D261573A-8009-4886-812D-7C1A1683B5A5}"/>
    <cellStyle name="Normal 38 2 2 22" xfId="36263" xr:uid="{E07A50F3-1B01-424B-91C7-861F5E7DDF96}"/>
    <cellStyle name="Normal 38 2 2 23" xfId="38153" xr:uid="{828B055B-8BD4-4C68-87CA-0082E3B8B2DA}"/>
    <cellStyle name="Normal 38 2 2 24" xfId="40044" xr:uid="{B2B01BC0-C164-4AD5-A65B-79D2EF818BEA}"/>
    <cellStyle name="Normal 38 2 2 3" xfId="1613" xr:uid="{D3092D83-612B-4D06-813B-79A4A35CDBA5}"/>
    <cellStyle name="Normal 38 2 2 3 10" xfId="18623" xr:uid="{DC5A9A2A-C62D-4213-B8E0-8F96187D9AA3}"/>
    <cellStyle name="Normal 38 2 2 3 11" xfId="20513" xr:uid="{3578E5F1-39C9-42B8-AF92-4D0AF50631AE}"/>
    <cellStyle name="Normal 38 2 2 3 12" xfId="22403" xr:uid="{AB9EADF4-35F2-428D-ACDD-33589EB589F1}"/>
    <cellStyle name="Normal 38 2 2 3 13" xfId="24293" xr:uid="{BCF73808-919F-487C-890D-46463812A9C6}"/>
    <cellStyle name="Normal 38 2 2 3 14" xfId="26183" xr:uid="{8F41A5E5-FD75-4CE8-8F42-90339E70A7FF}"/>
    <cellStyle name="Normal 38 2 2 3 15" xfId="28073" xr:uid="{3AEDDD25-E9F6-4ABE-A435-D810346FCD94}"/>
    <cellStyle name="Normal 38 2 2 3 16" xfId="29963" xr:uid="{D725538E-A23F-45D0-B111-33562C552448}"/>
    <cellStyle name="Normal 38 2 2 3 17" xfId="31853" xr:uid="{9AF1A7DD-0A71-4A08-9C65-0CB3C1B4714C}"/>
    <cellStyle name="Normal 38 2 2 3 18" xfId="33743" xr:uid="{B6AE970B-32EB-4DD1-98CE-E0DB2E710B52}"/>
    <cellStyle name="Normal 38 2 2 3 19" xfId="35633" xr:uid="{87D673F6-2D93-4B23-A73F-306F5252449D}"/>
    <cellStyle name="Normal 38 2 2 3 2" xfId="3503" xr:uid="{B2F90867-1AA4-4073-901C-498F8EF27992}"/>
    <cellStyle name="Normal 38 2 2 3 20" xfId="37523" xr:uid="{2C5F3984-113B-44CC-9BB1-9B4669900DDD}"/>
    <cellStyle name="Normal 38 2 2 3 21" xfId="39413" xr:uid="{A007B34D-87FF-4625-A7B7-952AA9403004}"/>
    <cellStyle name="Normal 38 2 2 3 22" xfId="41304" xr:uid="{3DE11224-9250-4239-AEAA-D0CE1F0D2C1F}"/>
    <cellStyle name="Normal 38 2 2 3 3" xfId="5393" xr:uid="{1F6BA2FF-1CBF-440C-967B-9F332988529B}"/>
    <cellStyle name="Normal 38 2 2 3 4" xfId="7283" xr:uid="{1639CC9F-7C54-4C8B-B78A-B2EF5B938B8A}"/>
    <cellStyle name="Normal 38 2 2 3 5" xfId="9173" xr:uid="{F7DCF4D6-F509-42FD-ABF6-EF788EA339D7}"/>
    <cellStyle name="Normal 38 2 2 3 6" xfId="11063" xr:uid="{140999FB-BB15-4CD9-9DE9-D425C5B5C2A2}"/>
    <cellStyle name="Normal 38 2 2 3 7" xfId="12953" xr:uid="{3B478CF8-891C-4FDF-986D-D0642F1E726F}"/>
    <cellStyle name="Normal 38 2 2 3 8" xfId="14843" xr:uid="{A093EC7D-3D09-465A-8C03-9405FFD0739C}"/>
    <cellStyle name="Normal 38 2 2 3 9" xfId="16733" xr:uid="{ED2698DD-C626-459B-9D54-511F310C35D4}"/>
    <cellStyle name="Normal 38 2 2 4" xfId="2243" xr:uid="{DE687BFE-F206-44E1-982F-C2595F141C14}"/>
    <cellStyle name="Normal 38 2 2 5" xfId="4133" xr:uid="{A044AB7A-09EF-42F2-B65B-56B77F62DA39}"/>
    <cellStyle name="Normal 38 2 2 6" xfId="6023" xr:uid="{A5245677-191A-4AAB-9186-5E09635FF50E}"/>
    <cellStyle name="Normal 38 2 2 7" xfId="7913" xr:uid="{5975E582-8E8A-4DAA-96CE-C6BD5CFDEAB2}"/>
    <cellStyle name="Normal 38 2 2 8" xfId="9803" xr:uid="{F37FB41B-20A4-41CF-9F4C-A76470D2044D}"/>
    <cellStyle name="Normal 38 2 2 9" xfId="11693" xr:uid="{CED6773D-3195-4E49-A76D-C0F6299C2DE5}"/>
    <cellStyle name="Normal 38 2 20" xfId="28493" xr:uid="{9CCD1DA1-BDCB-4366-944B-95B5AB7CBB73}"/>
    <cellStyle name="Normal 38 2 21" xfId="30383" xr:uid="{14BDC0B0-FC5D-45D3-81EB-0F76DC071FF4}"/>
    <cellStyle name="Normal 38 2 22" xfId="32273" xr:uid="{5F998ECC-D623-4C0B-BA9F-D322E42F1833}"/>
    <cellStyle name="Normal 38 2 23" xfId="34163" xr:uid="{D6EA12A6-B40C-4D4E-9E09-30D2221ACF8F}"/>
    <cellStyle name="Normal 38 2 24" xfId="36053" xr:uid="{7E18C5D8-355D-425C-AAB5-6A00875020D8}"/>
    <cellStyle name="Normal 38 2 25" xfId="37943" xr:uid="{984511FA-17EA-4B8B-A195-0E98F2CC5A48}"/>
    <cellStyle name="Normal 38 2 26" xfId="39834" xr:uid="{BBEF12E8-D635-44C0-B433-12E5EC612241}"/>
    <cellStyle name="Normal 38 2 3" xfId="563" xr:uid="{5308C495-1F2E-45DD-AD78-C2B1BE93B851}"/>
    <cellStyle name="Normal 38 2 3 10" xfId="13793" xr:uid="{B886A43A-D707-456D-83EA-075E00408EDC}"/>
    <cellStyle name="Normal 38 2 3 11" xfId="15683" xr:uid="{37BBD552-C2CE-4DD6-8576-9E37C5020555}"/>
    <cellStyle name="Normal 38 2 3 12" xfId="17573" xr:uid="{13B1FB7B-BFD4-4895-9AE3-1F21CFAB7DFA}"/>
    <cellStyle name="Normal 38 2 3 13" xfId="19463" xr:uid="{FC8058B1-52D0-4E4F-AD92-919A32CDDBF7}"/>
    <cellStyle name="Normal 38 2 3 14" xfId="21353" xr:uid="{9E5F65C1-D4AE-4D91-9201-47F52B9ED479}"/>
    <cellStyle name="Normal 38 2 3 15" xfId="23243" xr:uid="{7A9AF2D6-1029-4EDA-9C02-7FE27072E049}"/>
    <cellStyle name="Normal 38 2 3 16" xfId="25133" xr:uid="{D1E96FCB-DAA1-4828-BDEA-76C24F8997E7}"/>
    <cellStyle name="Normal 38 2 3 17" xfId="27023" xr:uid="{7F6F3D77-0648-4619-B04C-4BFA50BB9414}"/>
    <cellStyle name="Normal 38 2 3 18" xfId="28913" xr:uid="{C8194FB1-2286-4F1F-B2D9-EC6249A65F90}"/>
    <cellStyle name="Normal 38 2 3 19" xfId="30803" xr:uid="{BF2E43E2-91FC-4C92-AA0C-75A76F115A26}"/>
    <cellStyle name="Normal 38 2 3 2" xfId="1193" xr:uid="{92C989F7-B769-4C78-B949-086CFAD2A4DD}"/>
    <cellStyle name="Normal 38 2 3 2 10" xfId="18203" xr:uid="{E0D22B90-2B86-4E4E-A599-E2C00272F379}"/>
    <cellStyle name="Normal 38 2 3 2 11" xfId="20093" xr:uid="{38BB665D-E008-41D2-8A82-462FFF2EFE4B}"/>
    <cellStyle name="Normal 38 2 3 2 12" xfId="21983" xr:uid="{3B56DA3A-8999-4180-ADC0-EDF11780CF24}"/>
    <cellStyle name="Normal 38 2 3 2 13" xfId="23873" xr:uid="{79839979-52A3-4E66-B0ED-A9E37CB0D874}"/>
    <cellStyle name="Normal 38 2 3 2 14" xfId="25763" xr:uid="{6C1779D8-5343-4000-89AE-21DBB9C4DB53}"/>
    <cellStyle name="Normal 38 2 3 2 15" xfId="27653" xr:uid="{8EFC1F38-2143-4B2C-885F-842B76CA25C3}"/>
    <cellStyle name="Normal 38 2 3 2 16" xfId="29543" xr:uid="{B38ED845-412B-47AB-B035-069652BAD846}"/>
    <cellStyle name="Normal 38 2 3 2 17" xfId="31433" xr:uid="{74A9F4F6-9844-4D83-893F-AE720F3CFBE8}"/>
    <cellStyle name="Normal 38 2 3 2 18" xfId="33323" xr:uid="{92B556E7-7175-4CAB-9312-5745C33719C0}"/>
    <cellStyle name="Normal 38 2 3 2 19" xfId="35213" xr:uid="{DC3FA847-4F4C-4237-9665-5471EEA0C7E6}"/>
    <cellStyle name="Normal 38 2 3 2 2" xfId="3083" xr:uid="{25521BF8-F92A-4080-AA7F-A0FCA0CC3D3B}"/>
    <cellStyle name="Normal 38 2 3 2 20" xfId="37103" xr:uid="{00822CDB-5050-448D-9D27-72EED4DF974E}"/>
    <cellStyle name="Normal 38 2 3 2 21" xfId="38993" xr:uid="{49427CCD-D993-45C1-8D0D-9053824DD2A0}"/>
    <cellStyle name="Normal 38 2 3 2 22" xfId="40884" xr:uid="{B8E9B120-8531-457D-8838-59D723915597}"/>
    <cellStyle name="Normal 38 2 3 2 3" xfId="4973" xr:uid="{86634181-1F37-470F-996C-F31354B47813}"/>
    <cellStyle name="Normal 38 2 3 2 4" xfId="6863" xr:uid="{9742C333-0BC3-4F6B-BC8D-4E54AFEF91BD}"/>
    <cellStyle name="Normal 38 2 3 2 5" xfId="8753" xr:uid="{3AF09170-EF93-4F0A-AF12-B34834587611}"/>
    <cellStyle name="Normal 38 2 3 2 6" xfId="10643" xr:uid="{232E5E42-5E88-4F5E-92C7-5A7B633EDE8E}"/>
    <cellStyle name="Normal 38 2 3 2 7" xfId="12533" xr:uid="{875C2AA0-6C84-4F89-8A2D-16C7862E3A11}"/>
    <cellStyle name="Normal 38 2 3 2 8" xfId="14423" xr:uid="{1B7737A5-A243-434B-BDE5-B435C072B10D}"/>
    <cellStyle name="Normal 38 2 3 2 9" xfId="16313" xr:uid="{E7F05989-CA7A-4754-B7EC-74E5B7CC8EF7}"/>
    <cellStyle name="Normal 38 2 3 20" xfId="32693" xr:uid="{55B4D428-15CF-455F-9E35-E3C6C5E94CC9}"/>
    <cellStyle name="Normal 38 2 3 21" xfId="34583" xr:uid="{E82032E4-34C6-4EF2-B076-DA8415DB482C}"/>
    <cellStyle name="Normal 38 2 3 22" xfId="36473" xr:uid="{9400CBA4-FF0A-49E7-B4E7-69E99ED482CF}"/>
    <cellStyle name="Normal 38 2 3 23" xfId="38363" xr:uid="{FF04820F-EAD0-415C-B0C7-D3A70C0EEDCC}"/>
    <cellStyle name="Normal 38 2 3 24" xfId="40254" xr:uid="{C04EAABC-A51D-47AD-A9B2-74DE2C2165ED}"/>
    <cellStyle name="Normal 38 2 3 3" xfId="1823" xr:uid="{0BD354AB-DD58-4831-B9AE-DD37FDDA6502}"/>
    <cellStyle name="Normal 38 2 3 3 10" xfId="18833" xr:uid="{0FD19005-73DC-4596-9CA0-F30F98D89E9C}"/>
    <cellStyle name="Normal 38 2 3 3 11" xfId="20723" xr:uid="{AED78E9D-0346-4A8E-B27E-56DD50742AF9}"/>
    <cellStyle name="Normal 38 2 3 3 12" xfId="22613" xr:uid="{5FA20426-DCF6-4CAA-AA35-1B2E4D2F5440}"/>
    <cellStyle name="Normal 38 2 3 3 13" xfId="24503" xr:uid="{CD7D6CF0-71A3-42DB-8BE1-6BD3D025BE88}"/>
    <cellStyle name="Normal 38 2 3 3 14" xfId="26393" xr:uid="{AE621B36-127B-493C-AD6F-5408E1D7D926}"/>
    <cellStyle name="Normal 38 2 3 3 15" xfId="28283" xr:uid="{6B17114A-F9AB-47F2-BB2C-EC48BB762EDF}"/>
    <cellStyle name="Normal 38 2 3 3 16" xfId="30173" xr:uid="{BD0BB6F6-D8B6-47FF-AC46-C3C85672DA1F}"/>
    <cellStyle name="Normal 38 2 3 3 17" xfId="32063" xr:uid="{B6CEF9F5-0500-4A9C-BB7C-1E97A9207F8B}"/>
    <cellStyle name="Normal 38 2 3 3 18" xfId="33953" xr:uid="{CF4B3097-4848-4222-94DA-F8BDB3E2FF4D}"/>
    <cellStyle name="Normal 38 2 3 3 19" xfId="35843" xr:uid="{90E9AB76-24D6-41B5-9454-60BA3F5ED5A4}"/>
    <cellStyle name="Normal 38 2 3 3 2" xfId="3713" xr:uid="{F039A3AE-2232-48E9-B985-FC743BEF0F2F}"/>
    <cellStyle name="Normal 38 2 3 3 20" xfId="37733" xr:uid="{0A187345-0077-44DF-8209-FBBD3675EB4E}"/>
    <cellStyle name="Normal 38 2 3 3 21" xfId="39623" xr:uid="{68002C8E-7CA0-47C3-A00D-AC3B68BA8FCC}"/>
    <cellStyle name="Normal 38 2 3 3 22" xfId="41514" xr:uid="{5B35BF3A-2211-4D72-860B-7A7F252D00D2}"/>
    <cellStyle name="Normal 38 2 3 3 3" xfId="5603" xr:uid="{0C229939-2420-4AB6-829C-9665BBB18F87}"/>
    <cellStyle name="Normal 38 2 3 3 4" xfId="7493" xr:uid="{4AC965B0-0D1F-4ABC-BDC6-354C2AAE7E09}"/>
    <cellStyle name="Normal 38 2 3 3 5" xfId="9383" xr:uid="{F7C8CF31-A1B4-48AD-965C-304E5FCB5881}"/>
    <cellStyle name="Normal 38 2 3 3 6" xfId="11273" xr:uid="{842DDCDC-BF99-4254-BD67-ED9F5C655A37}"/>
    <cellStyle name="Normal 38 2 3 3 7" xfId="13163" xr:uid="{C25EFFCA-7086-4FBD-9EE2-EFC3C873EB19}"/>
    <cellStyle name="Normal 38 2 3 3 8" xfId="15053" xr:uid="{7FF03A13-7F32-46F6-B054-CFACAA531D48}"/>
    <cellStyle name="Normal 38 2 3 3 9" xfId="16943" xr:uid="{35C84A4D-0520-480D-B689-9AABFF2F22C1}"/>
    <cellStyle name="Normal 38 2 3 4" xfId="2453" xr:uid="{FEF60A67-F036-405E-85E8-3FB2FCC18F5B}"/>
    <cellStyle name="Normal 38 2 3 5" xfId="4343" xr:uid="{7652AA29-53C9-4E22-A882-9BE5B4A29675}"/>
    <cellStyle name="Normal 38 2 3 6" xfId="6233" xr:uid="{4FDA2D60-A24C-4D2A-9234-C7A1606A66CE}"/>
    <cellStyle name="Normal 38 2 3 7" xfId="8123" xr:uid="{DB9CE043-8383-4CDE-9C53-8B8665185680}"/>
    <cellStyle name="Normal 38 2 3 8" xfId="10013" xr:uid="{ACC0908F-4D91-40AF-A387-BF9999D7EBA8}"/>
    <cellStyle name="Normal 38 2 3 9" xfId="11903" xr:uid="{D17AB59A-B090-4C96-B7E7-38DFD82AB789}"/>
    <cellStyle name="Normal 38 2 4" xfId="773" xr:uid="{D3F648DF-C088-4EE6-910E-ADAC130BC7ED}"/>
    <cellStyle name="Normal 38 2 4 10" xfId="17783" xr:uid="{C4219694-9A86-4D1C-9C31-6F7086F9D4DD}"/>
    <cellStyle name="Normal 38 2 4 11" xfId="19673" xr:uid="{059565B1-FB2E-432D-B115-5B313FEAADE2}"/>
    <cellStyle name="Normal 38 2 4 12" xfId="21563" xr:uid="{51FCC5DB-EF75-42F8-9608-F9EE837A677E}"/>
    <cellStyle name="Normal 38 2 4 13" xfId="23453" xr:uid="{6F2A586E-31CF-49D7-B168-7AB73748703D}"/>
    <cellStyle name="Normal 38 2 4 14" xfId="25343" xr:uid="{C65E1CD4-EFDC-4F79-890F-DB52AE3A57AF}"/>
    <cellStyle name="Normal 38 2 4 15" xfId="27233" xr:uid="{9E26A443-AA09-4284-9EE8-9F772C5E7354}"/>
    <cellStyle name="Normal 38 2 4 16" xfId="29123" xr:uid="{83D0C0A5-9D02-4CB3-8C51-12B605F703B4}"/>
    <cellStyle name="Normal 38 2 4 17" xfId="31013" xr:uid="{EB2D9ECD-5D5C-41B8-880D-97A622FEC5AC}"/>
    <cellStyle name="Normal 38 2 4 18" xfId="32903" xr:uid="{09F83C35-1519-43DA-B625-9DE611CD5BF8}"/>
    <cellStyle name="Normal 38 2 4 19" xfId="34793" xr:uid="{BE924753-F366-4B8B-9987-08BA2366BA50}"/>
    <cellStyle name="Normal 38 2 4 2" xfId="2663" xr:uid="{635650BD-E639-450E-871D-D3E4A4BADB31}"/>
    <cellStyle name="Normal 38 2 4 20" xfId="36683" xr:uid="{E8FDB795-E71F-4E22-A526-982FEE098C72}"/>
    <cellStyle name="Normal 38 2 4 21" xfId="38573" xr:uid="{F51AAF1E-06C8-4E12-9581-EFD76C8DAD31}"/>
    <cellStyle name="Normal 38 2 4 22" xfId="40464" xr:uid="{28D47DB9-EF13-4DA5-A8F4-BF38CA35B3B0}"/>
    <cellStyle name="Normal 38 2 4 3" xfId="4553" xr:uid="{22A07F46-D12F-4F4C-BA62-2A15804B59EF}"/>
    <cellStyle name="Normal 38 2 4 4" xfId="6443" xr:uid="{858CA5DC-1819-49AC-BB6C-390B7EFC7C7C}"/>
    <cellStyle name="Normal 38 2 4 5" xfId="8333" xr:uid="{75D3103B-9EE9-4E02-9110-F4D8FF51D260}"/>
    <cellStyle name="Normal 38 2 4 6" xfId="10223" xr:uid="{F243F446-90C3-4AB0-BAD2-F3D46EF52054}"/>
    <cellStyle name="Normal 38 2 4 7" xfId="12113" xr:uid="{1AC977DD-4116-4BCC-9B01-1F9AF56230D7}"/>
    <cellStyle name="Normal 38 2 4 8" xfId="14003" xr:uid="{B4F1B799-0F24-44CA-971A-E60BC89E7D78}"/>
    <cellStyle name="Normal 38 2 4 9" xfId="15893" xr:uid="{02BBE9F7-5D74-4CB0-92C3-74CFDFA1FDEA}"/>
    <cellStyle name="Normal 38 2 5" xfId="1403" xr:uid="{176A2FDD-75C2-4FBA-9D3C-0361D7B03102}"/>
    <cellStyle name="Normal 38 2 5 10" xfId="18413" xr:uid="{9B86C2BD-8362-4352-B96A-FB3EEFA3F1AF}"/>
    <cellStyle name="Normal 38 2 5 11" xfId="20303" xr:uid="{E8D17B8E-CDA2-4CD8-9821-7F7FEC846813}"/>
    <cellStyle name="Normal 38 2 5 12" xfId="22193" xr:uid="{E7E66B99-EE67-42E1-BFA8-67B534359693}"/>
    <cellStyle name="Normal 38 2 5 13" xfId="24083" xr:uid="{CD866188-EBFB-416C-BEF2-03786127F9D6}"/>
    <cellStyle name="Normal 38 2 5 14" xfId="25973" xr:uid="{37C81B05-98F8-4370-9852-67469B80B9E5}"/>
    <cellStyle name="Normal 38 2 5 15" xfId="27863" xr:uid="{263F3820-4CDD-4352-B2C4-ABAB1F259A24}"/>
    <cellStyle name="Normal 38 2 5 16" xfId="29753" xr:uid="{F41D2526-1BB5-4C96-8604-4294E7FC2A88}"/>
    <cellStyle name="Normal 38 2 5 17" xfId="31643" xr:uid="{88B7BFA8-324C-480A-BD11-6CD3279491E0}"/>
    <cellStyle name="Normal 38 2 5 18" xfId="33533" xr:uid="{143B8526-4C5A-463C-A657-2860D966246F}"/>
    <cellStyle name="Normal 38 2 5 19" xfId="35423" xr:uid="{CC819D73-6DAC-40F1-8D00-25A5F9657908}"/>
    <cellStyle name="Normal 38 2 5 2" xfId="3293" xr:uid="{421ABF6B-BD7B-4410-8135-142D14601F55}"/>
    <cellStyle name="Normal 38 2 5 20" xfId="37313" xr:uid="{9AED529A-75CD-4F69-AFF6-296EE5356ADA}"/>
    <cellStyle name="Normal 38 2 5 21" xfId="39203" xr:uid="{DD132BF8-D166-4699-A7BF-E7CD0511E17F}"/>
    <cellStyle name="Normal 38 2 5 22" xfId="41094" xr:uid="{B4D4E256-C4A6-4514-8FD5-813FAF1CCCC4}"/>
    <cellStyle name="Normal 38 2 5 3" xfId="5183" xr:uid="{9A8A6ABA-E148-4A79-8905-816E8BD8C09E}"/>
    <cellStyle name="Normal 38 2 5 4" xfId="7073" xr:uid="{07CA1EF7-1435-4BEB-97DF-3BB7BD2B8D5F}"/>
    <cellStyle name="Normal 38 2 5 5" xfId="8963" xr:uid="{2FF1E102-6C89-4A76-B709-AEAF6783434B}"/>
    <cellStyle name="Normal 38 2 5 6" xfId="10853" xr:uid="{6C736A6F-E649-44CC-A6FE-2A2DFFD89F32}"/>
    <cellStyle name="Normal 38 2 5 7" xfId="12743" xr:uid="{AC184BDE-9BD4-4B34-A1DE-677CBBC3D949}"/>
    <cellStyle name="Normal 38 2 5 8" xfId="14633" xr:uid="{F99ABDC6-CD0C-468B-98A0-CD82B5BE110E}"/>
    <cellStyle name="Normal 38 2 5 9" xfId="16523" xr:uid="{45CE31D8-1EBC-4007-876B-C3AF9863C759}"/>
    <cellStyle name="Normal 38 2 6" xfId="2033" xr:uid="{837E9348-8700-42BD-9057-C47A8905ED25}"/>
    <cellStyle name="Normal 38 2 7" xfId="3923" xr:uid="{A0361C96-0BB3-47D2-BD2D-496B08153AC0}"/>
    <cellStyle name="Normal 38 2 8" xfId="5813" xr:uid="{5E5E907C-514F-481E-8C86-D3B03F11616F}"/>
    <cellStyle name="Normal 38 2 9" xfId="7703" xr:uid="{4168FD0E-2176-4157-B37E-0BAC62ACEA0A}"/>
    <cellStyle name="Normal 38 20" xfId="26498" xr:uid="{DB003D2B-9802-4BC6-95B1-8736C8F9677C}"/>
    <cellStyle name="Normal 38 21" xfId="28388" xr:uid="{CB8CF2AB-C1CB-486F-BFE3-7FC561A90A17}"/>
    <cellStyle name="Normal 38 22" xfId="30278" xr:uid="{EBF2288E-9E8E-4423-8E78-87AA0AF4BE70}"/>
    <cellStyle name="Normal 38 23" xfId="32168" xr:uid="{9099C376-7847-4B9E-9B38-5E607CBC8DCD}"/>
    <cellStyle name="Normal 38 24" xfId="34058" xr:uid="{FF01E896-D818-4F9E-AFDC-82288EA852E0}"/>
    <cellStyle name="Normal 38 25" xfId="35948" xr:uid="{704AEB88-DC95-4F0A-A8A7-336619E1D390}"/>
    <cellStyle name="Normal 38 26" xfId="37838" xr:uid="{A1B4A4CC-09EF-42CD-9369-9A73F7E61792}"/>
    <cellStyle name="Normal 38 27" xfId="39729" xr:uid="{4E73660C-557A-48C9-8BF1-616D8B50FB80}"/>
    <cellStyle name="Normal 38 3" xfId="248" xr:uid="{3DDF7EB1-0291-40AA-BD48-F371ADEE3031}"/>
    <cellStyle name="Normal 38 3 10" xfId="13478" xr:uid="{72FD22B1-7632-42BD-BF22-6C1EA971B6FB}"/>
    <cellStyle name="Normal 38 3 11" xfId="15368" xr:uid="{06B87F0E-916A-48DF-A9D1-2AB5DB511FB4}"/>
    <cellStyle name="Normal 38 3 12" xfId="17258" xr:uid="{3FA958A1-3436-45E3-B302-1C3A1ED21FDA}"/>
    <cellStyle name="Normal 38 3 13" xfId="19148" xr:uid="{FD765FA0-286B-40BF-8B8C-8E8AA49F6766}"/>
    <cellStyle name="Normal 38 3 14" xfId="21038" xr:uid="{C88B7B7E-8328-44B6-B311-3E71FDC53399}"/>
    <cellStyle name="Normal 38 3 15" xfId="22928" xr:uid="{039CAFE1-1BF9-45FF-BD35-5BF9788F8315}"/>
    <cellStyle name="Normal 38 3 16" xfId="24818" xr:uid="{C36D8033-84A2-47BB-BA81-F25EF9CD14E8}"/>
    <cellStyle name="Normal 38 3 17" xfId="26708" xr:uid="{9DC747C6-79C1-4D88-916C-6CBB96DC17BD}"/>
    <cellStyle name="Normal 38 3 18" xfId="28598" xr:uid="{5D10DEE4-1CDE-4051-AA98-D1D6317A42E8}"/>
    <cellStyle name="Normal 38 3 19" xfId="30488" xr:uid="{199A022E-DE1C-4FB8-9BC3-DC030C952F5D}"/>
    <cellStyle name="Normal 38 3 2" xfId="878" xr:uid="{E5BAE014-CECA-4E8A-92A8-6D7AC71E01B9}"/>
    <cellStyle name="Normal 38 3 2 10" xfId="17888" xr:uid="{C1E9A655-B174-46D8-95BF-16730D0293CF}"/>
    <cellStyle name="Normal 38 3 2 11" xfId="19778" xr:uid="{4C685424-333B-4A11-B0B0-44948E50674A}"/>
    <cellStyle name="Normal 38 3 2 12" xfId="21668" xr:uid="{1AED2F60-DD71-45A5-8231-4042C4152C69}"/>
    <cellStyle name="Normal 38 3 2 13" xfId="23558" xr:uid="{3069F346-2FF7-4613-B11C-C4526723F4F8}"/>
    <cellStyle name="Normal 38 3 2 14" xfId="25448" xr:uid="{E55A8332-1A13-4F1C-97A9-7E4083783F96}"/>
    <cellStyle name="Normal 38 3 2 15" xfId="27338" xr:uid="{4CDB5A52-AB25-450B-BD62-48BC789E8D93}"/>
    <cellStyle name="Normal 38 3 2 16" xfId="29228" xr:uid="{CF6C1105-C7A5-4730-852C-724CA9E60E64}"/>
    <cellStyle name="Normal 38 3 2 17" xfId="31118" xr:uid="{6F1EBD9F-720E-4CD9-88FD-46EC323E376D}"/>
    <cellStyle name="Normal 38 3 2 18" xfId="33008" xr:uid="{303A2E19-96C2-47A3-BE2B-1AE0ABBABEA8}"/>
    <cellStyle name="Normal 38 3 2 19" xfId="34898" xr:uid="{E2B42268-643C-4EDF-812A-1B1C32348E4E}"/>
    <cellStyle name="Normal 38 3 2 2" xfId="2768" xr:uid="{954DEE4F-5C26-40A8-9D11-4B5B5EDED683}"/>
    <cellStyle name="Normal 38 3 2 20" xfId="36788" xr:uid="{9D49624B-531F-4CA9-BA37-7618DF033B81}"/>
    <cellStyle name="Normal 38 3 2 21" xfId="38678" xr:uid="{F7169FE0-C4CA-4D12-9E2C-FE19DBB0ED17}"/>
    <cellStyle name="Normal 38 3 2 22" xfId="40569" xr:uid="{E6D8B895-9E66-4E9C-BB03-B1B2E9624BC2}"/>
    <cellStyle name="Normal 38 3 2 3" xfId="4658" xr:uid="{5F453936-7B26-42C3-B87D-C4C595284353}"/>
    <cellStyle name="Normal 38 3 2 4" xfId="6548" xr:uid="{38B64840-5A03-438D-A1B5-4725C351DEC4}"/>
    <cellStyle name="Normal 38 3 2 5" xfId="8438" xr:uid="{5B49674F-7D9E-426C-9A04-E66FF3867806}"/>
    <cellStyle name="Normal 38 3 2 6" xfId="10328" xr:uid="{A53CA558-6A4F-46CC-B6FD-55694439BA01}"/>
    <cellStyle name="Normal 38 3 2 7" xfId="12218" xr:uid="{BC097A54-D895-46BD-A2AA-62A97260BA14}"/>
    <cellStyle name="Normal 38 3 2 8" xfId="14108" xr:uid="{A8B1C70E-37B9-40B9-A603-FA4563CCF8FA}"/>
    <cellStyle name="Normal 38 3 2 9" xfId="15998" xr:uid="{2BF9B0E6-E849-452C-A888-52AEA1947A74}"/>
    <cellStyle name="Normal 38 3 20" xfId="32378" xr:uid="{410B0C3A-093F-4FAE-94C5-BAA6FB160FC6}"/>
    <cellStyle name="Normal 38 3 21" xfId="34268" xr:uid="{EC93D817-FE74-40D6-8338-2F0F72CA383C}"/>
    <cellStyle name="Normal 38 3 22" xfId="36158" xr:uid="{61181EA6-60C7-46A0-ADCA-CB5A72D215BE}"/>
    <cellStyle name="Normal 38 3 23" xfId="38048" xr:uid="{D0843CD2-E487-4BE9-AB2C-5B4AA3ADDF2C}"/>
    <cellStyle name="Normal 38 3 24" xfId="39939" xr:uid="{E478F527-30B7-45E7-B3B6-57A7CEB3D096}"/>
    <cellStyle name="Normal 38 3 3" xfId="1508" xr:uid="{BA5472EE-E2E0-4859-BB69-00E3A0534F00}"/>
    <cellStyle name="Normal 38 3 3 10" xfId="18518" xr:uid="{FDC0A29A-5EF9-46A9-AD99-73ECE559E107}"/>
    <cellStyle name="Normal 38 3 3 11" xfId="20408" xr:uid="{EB48E214-987E-4570-AE10-30DE3448F142}"/>
    <cellStyle name="Normal 38 3 3 12" xfId="22298" xr:uid="{58C31E3D-0D08-44AB-BB24-8E49A8CA0397}"/>
    <cellStyle name="Normal 38 3 3 13" xfId="24188" xr:uid="{18505A15-890C-4931-81D3-50F1F3B8E93A}"/>
    <cellStyle name="Normal 38 3 3 14" xfId="26078" xr:uid="{53A66849-9435-4A9E-BE46-918DCF9A0A96}"/>
    <cellStyle name="Normal 38 3 3 15" xfId="27968" xr:uid="{114A27BD-BBF0-4CF6-B2C0-18B4AFD4DA08}"/>
    <cellStyle name="Normal 38 3 3 16" xfId="29858" xr:uid="{6A4E165D-D3AC-4147-B652-3647A203FD40}"/>
    <cellStyle name="Normal 38 3 3 17" xfId="31748" xr:uid="{DDDD4B44-D117-4E85-A851-15C3C4940B17}"/>
    <cellStyle name="Normal 38 3 3 18" xfId="33638" xr:uid="{97001186-1E7F-4162-9696-7564D88071EE}"/>
    <cellStyle name="Normal 38 3 3 19" xfId="35528" xr:uid="{6B43ABF7-7ED9-4750-B040-9F4A99F287A5}"/>
    <cellStyle name="Normal 38 3 3 2" xfId="3398" xr:uid="{3F7792DB-A89F-4714-AA7D-1E7755301476}"/>
    <cellStyle name="Normal 38 3 3 20" xfId="37418" xr:uid="{2FA450F7-CD2A-4C88-85B7-8FC7B71B47F5}"/>
    <cellStyle name="Normal 38 3 3 21" xfId="39308" xr:uid="{DC188170-338C-4862-8FD3-731FA0FC79AD}"/>
    <cellStyle name="Normal 38 3 3 22" xfId="41199" xr:uid="{F0E8491A-C50C-4CF0-8782-9C7074496473}"/>
    <cellStyle name="Normal 38 3 3 3" xfId="5288" xr:uid="{012AD11A-D18D-4DD1-8676-94F9CD15370C}"/>
    <cellStyle name="Normal 38 3 3 4" xfId="7178" xr:uid="{AD0A33F6-948D-4F92-B783-C283E9E57E27}"/>
    <cellStyle name="Normal 38 3 3 5" xfId="9068" xr:uid="{6ACE398E-DACF-48A1-91E0-427FFA158EC9}"/>
    <cellStyle name="Normal 38 3 3 6" xfId="10958" xr:uid="{FE7E3438-031C-4E62-A21D-C384EA84827B}"/>
    <cellStyle name="Normal 38 3 3 7" xfId="12848" xr:uid="{328733F7-4369-4D52-BAFE-022F4D30947D}"/>
    <cellStyle name="Normal 38 3 3 8" xfId="14738" xr:uid="{034A33D8-C669-408B-9524-C057CC47C796}"/>
    <cellStyle name="Normal 38 3 3 9" xfId="16628" xr:uid="{26D993CB-AA7E-4C8C-B4F0-59107D4143C1}"/>
    <cellStyle name="Normal 38 3 4" xfId="2138" xr:uid="{5D171348-D50E-4AF2-B8CE-3F92DBCD335A}"/>
    <cellStyle name="Normal 38 3 5" xfId="4028" xr:uid="{486838E9-8FD0-4E69-BE7D-7077330E978D}"/>
    <cellStyle name="Normal 38 3 6" xfId="5918" xr:uid="{A48A0ED8-441E-4504-92A1-797F6FC0FB96}"/>
    <cellStyle name="Normal 38 3 7" xfId="7808" xr:uid="{FAA3F302-4FC1-4627-A9A3-B6D0C60B496E}"/>
    <cellStyle name="Normal 38 3 8" xfId="9698" xr:uid="{75A2CFC0-119E-40C9-94FA-A720C8E45054}"/>
    <cellStyle name="Normal 38 3 9" xfId="11588" xr:uid="{4038A97C-A354-4AB3-BE3D-1C45C674E53D}"/>
    <cellStyle name="Normal 38 4" xfId="458" xr:uid="{6E027E57-6A11-44CA-9205-02997524358C}"/>
    <cellStyle name="Normal 38 4 10" xfId="13688" xr:uid="{2BE52CAA-0AD9-4072-A09B-EC2EE8942DD1}"/>
    <cellStyle name="Normal 38 4 11" xfId="15578" xr:uid="{464A34EC-EF2A-4360-A826-C4333C0266DC}"/>
    <cellStyle name="Normal 38 4 12" xfId="17468" xr:uid="{B11A5F61-99CF-41D0-8572-069E7C297299}"/>
    <cellStyle name="Normal 38 4 13" xfId="19358" xr:uid="{C026B028-A641-47DC-8093-FE53322403B3}"/>
    <cellStyle name="Normal 38 4 14" xfId="21248" xr:uid="{5E9A3ABF-7952-4C0D-8CF3-1B70A1005774}"/>
    <cellStyle name="Normal 38 4 15" xfId="23138" xr:uid="{C9638D00-B130-413E-9210-A1FCC5F079CC}"/>
    <cellStyle name="Normal 38 4 16" xfId="25028" xr:uid="{6C5CAA9F-113C-4B33-83FB-93504C5C7DFE}"/>
    <cellStyle name="Normal 38 4 17" xfId="26918" xr:uid="{72FA26D6-9A5F-46A1-B03E-D0D1245E71B0}"/>
    <cellStyle name="Normal 38 4 18" xfId="28808" xr:uid="{EEE40038-2A3F-4AB1-BB77-5B89EE8BEC21}"/>
    <cellStyle name="Normal 38 4 19" xfId="30698" xr:uid="{24C9A302-6AB9-4FD0-9A0C-119C555F6D4E}"/>
    <cellStyle name="Normal 38 4 2" xfId="1088" xr:uid="{EFBAE8BD-07EC-4012-BE63-2956A6288E6E}"/>
    <cellStyle name="Normal 38 4 2 10" xfId="18098" xr:uid="{D31ED9B1-4137-4096-91DD-08301025D5C5}"/>
    <cellStyle name="Normal 38 4 2 11" xfId="19988" xr:uid="{FC0C357A-7EAB-4EE5-92C7-EB2226DC8C34}"/>
    <cellStyle name="Normal 38 4 2 12" xfId="21878" xr:uid="{4B3EF4D7-2F9B-4747-881A-8D2C948309E9}"/>
    <cellStyle name="Normal 38 4 2 13" xfId="23768" xr:uid="{B093AE6A-7B54-481B-A520-E080E151BBAE}"/>
    <cellStyle name="Normal 38 4 2 14" xfId="25658" xr:uid="{9DC1C4BE-DF4B-4A0B-8011-4B50A03A4C41}"/>
    <cellStyle name="Normal 38 4 2 15" xfId="27548" xr:uid="{41B26269-A72C-479E-BE25-65CA4C1A76CC}"/>
    <cellStyle name="Normal 38 4 2 16" xfId="29438" xr:uid="{093643D8-B8C5-4201-9040-CB2D5846483A}"/>
    <cellStyle name="Normal 38 4 2 17" xfId="31328" xr:uid="{EA40B4D3-A47B-4325-AD91-D0582EE2009B}"/>
    <cellStyle name="Normal 38 4 2 18" xfId="33218" xr:uid="{BAF8D49A-6E90-429D-858B-EB3FCC9AF9F2}"/>
    <cellStyle name="Normal 38 4 2 19" xfId="35108" xr:uid="{8E735462-FB14-40C8-BE6E-636A6116253E}"/>
    <cellStyle name="Normal 38 4 2 2" xfId="2978" xr:uid="{58844C46-93D3-4A51-8C02-587E18E73E93}"/>
    <cellStyle name="Normal 38 4 2 20" xfId="36998" xr:uid="{46CD0CAE-AE37-47E2-8121-35E8E89FD658}"/>
    <cellStyle name="Normal 38 4 2 21" xfId="38888" xr:uid="{61BF5E45-C06A-4097-9D20-EF8F8F181740}"/>
    <cellStyle name="Normal 38 4 2 22" xfId="40779" xr:uid="{3F659AE3-9C38-4644-9031-65B51505165D}"/>
    <cellStyle name="Normal 38 4 2 3" xfId="4868" xr:uid="{B35E613A-2BCA-4EDF-B801-365D81ACF83D}"/>
    <cellStyle name="Normal 38 4 2 4" xfId="6758" xr:uid="{1879EC25-DE5E-4FA3-9699-210449B0F4DF}"/>
    <cellStyle name="Normal 38 4 2 5" xfId="8648" xr:uid="{CAB1F730-E110-4031-ACA0-C63210920D96}"/>
    <cellStyle name="Normal 38 4 2 6" xfId="10538" xr:uid="{7945B06A-8F87-4F0B-9D31-77AEDC540616}"/>
    <cellStyle name="Normal 38 4 2 7" xfId="12428" xr:uid="{2875FF41-93F3-4868-A631-8261683AAA34}"/>
    <cellStyle name="Normal 38 4 2 8" xfId="14318" xr:uid="{FBC08C73-BB10-49B2-9B8D-56BC73D2B85F}"/>
    <cellStyle name="Normal 38 4 2 9" xfId="16208" xr:uid="{18058E08-DD91-4884-8D9C-21E569EE5646}"/>
    <cellStyle name="Normal 38 4 20" xfId="32588" xr:uid="{C1020C6E-6436-4CBF-82AB-84E89F1D6A3B}"/>
    <cellStyle name="Normal 38 4 21" xfId="34478" xr:uid="{DD645C32-D90C-4464-9EBE-A7161F53B794}"/>
    <cellStyle name="Normal 38 4 22" xfId="36368" xr:uid="{26450916-9574-43E1-AF5B-9BC20E2F84A7}"/>
    <cellStyle name="Normal 38 4 23" xfId="38258" xr:uid="{ABDDF19C-0802-4173-A7BF-5E4CDBFEDCDF}"/>
    <cellStyle name="Normal 38 4 24" xfId="40149" xr:uid="{B82F7EC1-71D7-4941-A3C3-FC23AA849626}"/>
    <cellStyle name="Normal 38 4 3" xfId="1718" xr:uid="{094FC8DA-47E2-4BD0-A215-DBB7BD775EB4}"/>
    <cellStyle name="Normal 38 4 3 10" xfId="18728" xr:uid="{1DDB5E68-6DEE-4A1A-91E5-C5BC63D4A2FC}"/>
    <cellStyle name="Normal 38 4 3 11" xfId="20618" xr:uid="{72FE59E0-EB81-4511-8340-B8BB3392EFB8}"/>
    <cellStyle name="Normal 38 4 3 12" xfId="22508" xr:uid="{D3B6B607-52A5-4BC5-9BEB-12596E44646F}"/>
    <cellStyle name="Normal 38 4 3 13" xfId="24398" xr:uid="{45250E9E-9342-4BB2-8512-AD62D104A5BB}"/>
    <cellStyle name="Normal 38 4 3 14" xfId="26288" xr:uid="{45B56BC3-914D-4DAA-92DF-572452952A47}"/>
    <cellStyle name="Normal 38 4 3 15" xfId="28178" xr:uid="{0AD0CA16-3F53-46D9-BF77-695B95F70251}"/>
    <cellStyle name="Normal 38 4 3 16" xfId="30068" xr:uid="{8E41C890-93DB-4E6B-9C1C-F6F016264BCA}"/>
    <cellStyle name="Normal 38 4 3 17" xfId="31958" xr:uid="{B0AFAAC3-C96E-4C2D-B94D-27914A106D6C}"/>
    <cellStyle name="Normal 38 4 3 18" xfId="33848" xr:uid="{3477B338-FE81-4ED6-B017-A4D76BCBF1F9}"/>
    <cellStyle name="Normal 38 4 3 19" xfId="35738" xr:uid="{34883BBF-6CC3-4E3D-81DE-12B7F12B5BB8}"/>
    <cellStyle name="Normal 38 4 3 2" xfId="3608" xr:uid="{86E8C11B-3023-4E36-9A71-8129CDAB4929}"/>
    <cellStyle name="Normal 38 4 3 20" xfId="37628" xr:uid="{8AF6E5D0-0965-4418-9A56-F0C641397213}"/>
    <cellStyle name="Normal 38 4 3 21" xfId="39518" xr:uid="{5969723B-8191-48D9-8FCD-7A1F19284B68}"/>
    <cellStyle name="Normal 38 4 3 22" xfId="41409" xr:uid="{177E1997-5A4D-42C2-B528-036F45B7FB64}"/>
    <cellStyle name="Normal 38 4 3 3" xfId="5498" xr:uid="{0D060907-DD7E-4D5A-B1D7-DED028D31977}"/>
    <cellStyle name="Normal 38 4 3 4" xfId="7388" xr:uid="{D770C2F4-BBB1-46A5-BA08-F56288907407}"/>
    <cellStyle name="Normal 38 4 3 5" xfId="9278" xr:uid="{1B02B290-BAA5-40C2-ADA6-16EE097DD724}"/>
    <cellStyle name="Normal 38 4 3 6" xfId="11168" xr:uid="{0A81B77A-C14F-499C-BCD2-2CDB4D1854C7}"/>
    <cellStyle name="Normal 38 4 3 7" xfId="13058" xr:uid="{C58478C3-30BC-46CF-9905-A8FF4198F1E0}"/>
    <cellStyle name="Normal 38 4 3 8" xfId="14948" xr:uid="{00CA6989-85A1-4C89-8115-852EC4DC3DF1}"/>
    <cellStyle name="Normal 38 4 3 9" xfId="16838" xr:uid="{3B19F9CA-DB50-4D39-BDF7-16A69F2CA7F4}"/>
    <cellStyle name="Normal 38 4 4" xfId="2348" xr:uid="{7C922469-3FD4-46C5-9DD8-3437FC5C285E}"/>
    <cellStyle name="Normal 38 4 5" xfId="4238" xr:uid="{0D829A1A-3118-4519-A57A-D83B55502400}"/>
    <cellStyle name="Normal 38 4 6" xfId="6128" xr:uid="{73D2DE09-D4AD-4761-BCE3-81C1C3028ACB}"/>
    <cellStyle name="Normal 38 4 7" xfId="8018" xr:uid="{AE7FF9A9-2F4A-4003-BBDF-48C589D8F8F2}"/>
    <cellStyle name="Normal 38 4 8" xfId="9908" xr:uid="{1B1C3767-E421-4F75-A6E1-A4230C04BBF2}"/>
    <cellStyle name="Normal 38 4 9" xfId="11798" xr:uid="{208F2F8C-25D9-4A67-BB6F-725C6A7862AC}"/>
    <cellStyle name="Normal 38 5" xfId="668" xr:uid="{CA4A48F9-2C4B-4B0F-9263-8EF0F2C76ADF}"/>
    <cellStyle name="Normal 38 5 10" xfId="17678" xr:uid="{61E5355B-F951-43D5-BEDC-C13B72CAE8DA}"/>
    <cellStyle name="Normal 38 5 11" xfId="19568" xr:uid="{29D4DAE0-6F87-414B-AA48-99C1027A4A57}"/>
    <cellStyle name="Normal 38 5 12" xfId="21458" xr:uid="{43CD2EAD-AE6A-47C8-A58E-966D520D5CD3}"/>
    <cellStyle name="Normal 38 5 13" xfId="23348" xr:uid="{E99B23FB-D086-42B4-A4D3-747D7A708A99}"/>
    <cellStyle name="Normal 38 5 14" xfId="25238" xr:uid="{FD2C9643-8D5F-4B5C-A5FE-E4B4E23ADC72}"/>
    <cellStyle name="Normal 38 5 15" xfId="27128" xr:uid="{3600ED2C-D2EE-4002-937A-FC977F40CBEF}"/>
    <cellStyle name="Normal 38 5 16" xfId="29018" xr:uid="{B7EC7B5F-37C7-4A8D-B283-8EB9AB3C6D7D}"/>
    <cellStyle name="Normal 38 5 17" xfId="30908" xr:uid="{B084C4F7-1A0B-4340-A888-440B96987008}"/>
    <cellStyle name="Normal 38 5 18" xfId="32798" xr:uid="{917B231F-426D-43DD-95ED-21852C5927F5}"/>
    <cellStyle name="Normal 38 5 19" xfId="34688" xr:uid="{5EA7B59D-D7D5-4B5C-A518-52F0778FDB81}"/>
    <cellStyle name="Normal 38 5 2" xfId="2558" xr:uid="{417654CA-BBFC-4917-82BD-6127E3D13827}"/>
    <cellStyle name="Normal 38 5 20" xfId="36578" xr:uid="{8A741FE5-B9AB-4B84-97FC-85DE589C33CC}"/>
    <cellStyle name="Normal 38 5 21" xfId="38468" xr:uid="{8DFC6B8E-954C-470B-9697-DED97BD4002E}"/>
    <cellStyle name="Normal 38 5 22" xfId="40359" xr:uid="{B0C597FC-5D1C-4186-A594-901B05CD52AC}"/>
    <cellStyle name="Normal 38 5 3" xfId="4448" xr:uid="{6C1FEB5E-5431-4C4C-91F6-E67214185EBC}"/>
    <cellStyle name="Normal 38 5 4" xfId="6338" xr:uid="{29282228-568A-4916-A7FE-F8570F5E02DF}"/>
    <cellStyle name="Normal 38 5 5" xfId="8228" xr:uid="{2BC30E47-61BA-4D61-9B08-2DB4B7E9C029}"/>
    <cellStyle name="Normal 38 5 6" xfId="10118" xr:uid="{EA714878-CC4E-4F51-987C-0D0B56FF7208}"/>
    <cellStyle name="Normal 38 5 7" xfId="12008" xr:uid="{CC8E274A-5E20-49EC-8301-0B99E8371B53}"/>
    <cellStyle name="Normal 38 5 8" xfId="13898" xr:uid="{183B08F5-CB6C-47AF-9AD0-0AD5322E8818}"/>
    <cellStyle name="Normal 38 5 9" xfId="15788" xr:uid="{4DAA31A7-7401-42B8-8BC2-5C308F28D29A}"/>
    <cellStyle name="Normal 38 6" xfId="1298" xr:uid="{ADE15C1D-A87F-44C9-8A5D-7917FD025E20}"/>
    <cellStyle name="Normal 38 6 10" xfId="18308" xr:uid="{6F9A4B3E-4ACF-4E40-AF40-BD918B3DBB2C}"/>
    <cellStyle name="Normal 38 6 11" xfId="20198" xr:uid="{3814736D-DA51-4A28-B2AB-0164F0A337EE}"/>
    <cellStyle name="Normal 38 6 12" xfId="22088" xr:uid="{2E15E881-2544-485B-91A1-A70DA71543F3}"/>
    <cellStyle name="Normal 38 6 13" xfId="23978" xr:uid="{DC2C5AE9-152A-42BB-9F0D-3914501DBB7F}"/>
    <cellStyle name="Normal 38 6 14" xfId="25868" xr:uid="{ED7CF9E5-34D2-4384-9D62-9C4FF8D0C5CF}"/>
    <cellStyle name="Normal 38 6 15" xfId="27758" xr:uid="{AA9614DF-273D-4D98-9964-B43C8196A3FF}"/>
    <cellStyle name="Normal 38 6 16" xfId="29648" xr:uid="{77FC9255-24C6-45F7-9FE3-8FF24A327F2D}"/>
    <cellStyle name="Normal 38 6 17" xfId="31538" xr:uid="{B8BDD3B2-85C2-4EAF-A70D-08B64549FD7E}"/>
    <cellStyle name="Normal 38 6 18" xfId="33428" xr:uid="{1D57E6C2-1C2C-47F6-A022-3EDC9018A992}"/>
    <cellStyle name="Normal 38 6 19" xfId="35318" xr:uid="{EC365C5D-3C9B-40FC-BAB0-886351F62978}"/>
    <cellStyle name="Normal 38 6 2" xfId="3188" xr:uid="{60D616C5-8DB8-449F-A10A-3A431541D7B0}"/>
    <cellStyle name="Normal 38 6 20" xfId="37208" xr:uid="{9EE64119-6B73-4AC4-B5CE-363C60E5B547}"/>
    <cellStyle name="Normal 38 6 21" xfId="39098" xr:uid="{37765A4F-5AD2-49D1-A835-1D172CCA4FF2}"/>
    <cellStyle name="Normal 38 6 22" xfId="40989" xr:uid="{C78C9989-737B-4727-8F28-C772F72BFEF8}"/>
    <cellStyle name="Normal 38 6 3" xfId="5078" xr:uid="{627B37DE-B24D-4C05-9EC6-C2F9983DFCFC}"/>
    <cellStyle name="Normal 38 6 4" xfId="6968" xr:uid="{B2C7B0C8-56A4-4C57-9122-BD448A9A9194}"/>
    <cellStyle name="Normal 38 6 5" xfId="8858" xr:uid="{40E20EF8-B40A-4CF5-97E6-CDC8F250EE64}"/>
    <cellStyle name="Normal 38 6 6" xfId="10748" xr:uid="{32B3CBDA-6FE6-4D03-901F-5133747C2F67}"/>
    <cellStyle name="Normal 38 6 7" xfId="12638" xr:uid="{1B67EDFD-969E-43A6-9A68-0AA27CC1D128}"/>
    <cellStyle name="Normal 38 6 8" xfId="14528" xr:uid="{1B33246F-25DE-4159-8BB9-64A6C9AD4D65}"/>
    <cellStyle name="Normal 38 6 9" xfId="16418" xr:uid="{32BEB274-1D5D-4AEB-8628-A785AD70581A}"/>
    <cellStyle name="Normal 38 7" xfId="1928" xr:uid="{38008620-5C8B-4514-AC73-B007568109F6}"/>
    <cellStyle name="Normal 38 8" xfId="3818" xr:uid="{26666046-016E-4820-ADD4-C5CA5C1CEF3B}"/>
    <cellStyle name="Normal 38 9" xfId="5708" xr:uid="{2D959192-B532-484B-A45F-4D9D410680AC}"/>
    <cellStyle name="Normal 4" xfId="16" xr:uid="{7007985D-EF6C-40CD-BACB-25770F0DE8AA}"/>
    <cellStyle name="Normal 4 10" xfId="7600" xr:uid="{3A79B8DB-F149-4170-9384-2A4C962A2193}"/>
    <cellStyle name="Normal 4 11" xfId="9490" xr:uid="{2AD31682-9834-4504-987B-020C2591F878}"/>
    <cellStyle name="Normal 4 12" xfId="11380" xr:uid="{2413FBD5-9161-4698-AC3D-0BC9DF58CC34}"/>
    <cellStyle name="Normal 4 13" xfId="13270" xr:uid="{C3DA58D1-A8D2-4DA4-A528-AB564EE20111}"/>
    <cellStyle name="Normal 4 14" xfId="15160" xr:uid="{7E35AB73-99BE-461D-AC5F-FB4B635BF1AE}"/>
    <cellStyle name="Normal 4 15" xfId="17050" xr:uid="{9DFB16ED-7806-4BF7-AD15-0844A77E7BC3}"/>
    <cellStyle name="Normal 4 16" xfId="18940" xr:uid="{A24C2145-2F51-4376-910B-11D953F79E5B}"/>
    <cellStyle name="Normal 4 17" xfId="20830" xr:uid="{8B91C0F7-6DDD-4532-8358-D114C894EBE1}"/>
    <cellStyle name="Normal 4 18" xfId="22720" xr:uid="{6C25E2FD-7525-449F-A852-A19AEA3C5995}"/>
    <cellStyle name="Normal 4 19" xfId="24610" xr:uid="{105B622E-A025-499D-9529-C310AE75B8A8}"/>
    <cellStyle name="Normal 4 2" xfId="145" xr:uid="{4E46C447-5259-4AFE-BEF0-455B35908530}"/>
    <cellStyle name="Normal 4 2 10" xfId="9595" xr:uid="{B5659A20-9903-4110-9957-5D519B9CF0D2}"/>
    <cellStyle name="Normal 4 2 11" xfId="11485" xr:uid="{03D57117-6322-4C29-922A-2A365816572C}"/>
    <cellStyle name="Normal 4 2 12" xfId="13375" xr:uid="{3A8649C4-A740-4A6B-8494-BF975B081696}"/>
    <cellStyle name="Normal 4 2 13" xfId="15265" xr:uid="{DE4636DD-B693-41D6-A3D7-1A15362F56CE}"/>
    <cellStyle name="Normal 4 2 14" xfId="17155" xr:uid="{8B2D2F20-25AD-422A-ACCE-8EF108DF887C}"/>
    <cellStyle name="Normal 4 2 15" xfId="19045" xr:uid="{D66E94B7-1E63-430B-BC2F-E7F1D272BC4D}"/>
    <cellStyle name="Normal 4 2 16" xfId="20935" xr:uid="{B1EBFB02-0FED-4E82-9588-084BD1A1609F}"/>
    <cellStyle name="Normal 4 2 17" xfId="22825" xr:uid="{6C49A3AA-9122-42E0-8BB5-AF0871C04E7A}"/>
    <cellStyle name="Normal 4 2 18" xfId="24715" xr:uid="{58F6C03D-923B-4AB9-B9A5-155892886A41}"/>
    <cellStyle name="Normal 4 2 19" xfId="26605" xr:uid="{1814FAA9-9EDA-4D02-8E6C-F9ABA6A86780}"/>
    <cellStyle name="Normal 4 2 2" xfId="355" xr:uid="{0991D033-88F5-4664-B9A0-0394B866FA5C}"/>
    <cellStyle name="Normal 4 2 2 10" xfId="13585" xr:uid="{84E03F6B-0DFC-4344-88CB-5C2E64F68F4E}"/>
    <cellStyle name="Normal 4 2 2 11" xfId="15475" xr:uid="{3FB16F3B-3B10-4D31-92E9-8C91E11AA8E5}"/>
    <cellStyle name="Normal 4 2 2 12" xfId="17365" xr:uid="{ECE69232-E7DA-4CB8-9DCB-388BD9AD5CC3}"/>
    <cellStyle name="Normal 4 2 2 13" xfId="19255" xr:uid="{E9489B6D-4E5E-402D-92B8-94DBBABF179C}"/>
    <cellStyle name="Normal 4 2 2 14" xfId="21145" xr:uid="{CDA68DB1-CC30-475E-9A9C-1DC7C54CC22E}"/>
    <cellStyle name="Normal 4 2 2 15" xfId="23035" xr:uid="{22EF5F17-3641-4B8F-82D8-B9FAB61DFDA4}"/>
    <cellStyle name="Normal 4 2 2 16" xfId="24925" xr:uid="{3AC44344-4B28-42AC-9764-B7CECC8B2D48}"/>
    <cellStyle name="Normal 4 2 2 17" xfId="26815" xr:uid="{472340DF-22B4-4106-A1E1-ABEBC0808CDA}"/>
    <cellStyle name="Normal 4 2 2 18" xfId="28705" xr:uid="{ECACBA33-6B1D-42FA-8566-0F579B0230D0}"/>
    <cellStyle name="Normal 4 2 2 19" xfId="30595" xr:uid="{2DC61670-7B55-451E-ADAB-4442D766CE99}"/>
    <cellStyle name="Normal 4 2 2 2" xfId="985" xr:uid="{9705F75F-7ADB-483B-B087-660155EE94FF}"/>
    <cellStyle name="Normal 4 2 2 2 10" xfId="17995" xr:uid="{F3DA0C7A-2E2A-4C6C-8B52-E34172C33955}"/>
    <cellStyle name="Normal 4 2 2 2 11" xfId="19885" xr:uid="{3FFD8C28-305A-4AFB-9029-94D10208E3C1}"/>
    <cellStyle name="Normal 4 2 2 2 12" xfId="21775" xr:uid="{C50692FD-5E30-4BDD-9903-A00FBDD481A2}"/>
    <cellStyle name="Normal 4 2 2 2 13" xfId="23665" xr:uid="{56455F9F-6C17-4080-9CF0-4E8795285294}"/>
    <cellStyle name="Normal 4 2 2 2 14" xfId="25555" xr:uid="{29691F31-9D35-42BE-B373-F7FE0B7C3D5C}"/>
    <cellStyle name="Normal 4 2 2 2 15" xfId="27445" xr:uid="{793977B9-9093-4781-9257-2666C6959BFA}"/>
    <cellStyle name="Normal 4 2 2 2 16" xfId="29335" xr:uid="{447D3569-E2BC-4848-82BA-B2E61A26DCCE}"/>
    <cellStyle name="Normal 4 2 2 2 17" xfId="31225" xr:uid="{152C7A82-94B6-4BD3-9F22-1D93434C3604}"/>
    <cellStyle name="Normal 4 2 2 2 18" xfId="33115" xr:uid="{A76B5EA3-EC67-4712-B253-0A901BA0F7EA}"/>
    <cellStyle name="Normal 4 2 2 2 19" xfId="35005" xr:uid="{61B1B5E6-A574-4DD7-9902-A01B26E00299}"/>
    <cellStyle name="Normal 4 2 2 2 2" xfId="2875" xr:uid="{401D6CF2-6934-49EA-9043-2D5902A62931}"/>
    <cellStyle name="Normal 4 2 2 2 20" xfId="36895" xr:uid="{8397FEB3-8285-4DFB-88A3-0808300A4F3B}"/>
    <cellStyle name="Normal 4 2 2 2 21" xfId="38785" xr:uid="{7AD44027-29E7-458F-97BA-3F4A3CAF2714}"/>
    <cellStyle name="Normal 4 2 2 2 22" xfId="40676" xr:uid="{6D0D3B8D-D69A-4BA2-95A3-07830A19F330}"/>
    <cellStyle name="Normal 4 2 2 2 3" xfId="4765" xr:uid="{6C86317E-C8D2-4E76-92B6-5309506FF990}"/>
    <cellStyle name="Normal 4 2 2 2 4" xfId="6655" xr:uid="{4B407A26-8D74-413E-B15D-C84EEDB65E75}"/>
    <cellStyle name="Normal 4 2 2 2 5" xfId="8545" xr:uid="{0B01602E-71F7-4463-8F54-5D17C6D5BEE5}"/>
    <cellStyle name="Normal 4 2 2 2 6" xfId="10435" xr:uid="{5D396B45-30C8-4552-BBB2-42BF7BD24AB6}"/>
    <cellStyle name="Normal 4 2 2 2 7" xfId="12325" xr:uid="{AFBB95D1-1FA9-4EC4-874D-D3E142A92735}"/>
    <cellStyle name="Normal 4 2 2 2 8" xfId="14215" xr:uid="{4D29B470-037D-421E-9009-59F4F82D9735}"/>
    <cellStyle name="Normal 4 2 2 2 9" xfId="16105" xr:uid="{ED781F1E-D6E3-4A1C-BB23-5730B440E861}"/>
    <cellStyle name="Normal 4 2 2 20" xfId="32485" xr:uid="{9D718625-5A9E-40BB-8247-7E6BCB5AE167}"/>
    <cellStyle name="Normal 4 2 2 21" xfId="34375" xr:uid="{4B39C015-C91D-4D5D-9808-589BDF1B59FE}"/>
    <cellStyle name="Normal 4 2 2 22" xfId="36265" xr:uid="{52C4FA42-4268-4618-AC0D-97ADDDD0636B}"/>
    <cellStyle name="Normal 4 2 2 23" xfId="38155" xr:uid="{84C2A1BD-4836-4C01-BCDD-EC4914D883B1}"/>
    <cellStyle name="Normal 4 2 2 24" xfId="40046" xr:uid="{00531171-65B8-4C91-8467-090750B27958}"/>
    <cellStyle name="Normal 4 2 2 3" xfId="1615" xr:uid="{1016C942-01FA-496F-97B0-141B1E0A5127}"/>
    <cellStyle name="Normal 4 2 2 3 10" xfId="18625" xr:uid="{88555E7A-4CBB-4904-B9B5-70CDC72DE0FB}"/>
    <cellStyle name="Normal 4 2 2 3 11" xfId="20515" xr:uid="{A8093CE1-1A42-4275-B767-5126F414B306}"/>
    <cellStyle name="Normal 4 2 2 3 12" xfId="22405" xr:uid="{C77FBBA3-B4AB-47C9-BA14-108D689AA03F}"/>
    <cellStyle name="Normal 4 2 2 3 13" xfId="24295" xr:uid="{6514A361-9F23-48E2-B792-25903D469784}"/>
    <cellStyle name="Normal 4 2 2 3 14" xfId="26185" xr:uid="{F32CC873-9D5F-41D7-A70A-A34A620798B6}"/>
    <cellStyle name="Normal 4 2 2 3 15" xfId="28075" xr:uid="{124756DA-D326-4399-B410-7163F51DEB51}"/>
    <cellStyle name="Normal 4 2 2 3 16" xfId="29965" xr:uid="{1551BFF7-0922-4253-84DD-FBA08D3D5274}"/>
    <cellStyle name="Normal 4 2 2 3 17" xfId="31855" xr:uid="{6C3D5541-4608-4D33-8247-F0906D4144C6}"/>
    <cellStyle name="Normal 4 2 2 3 18" xfId="33745" xr:uid="{26B003D2-6D34-4DEA-A8FA-2756C6139494}"/>
    <cellStyle name="Normal 4 2 2 3 19" xfId="35635" xr:uid="{ABB87078-3A07-463F-8F2A-92EB67DDF59D}"/>
    <cellStyle name="Normal 4 2 2 3 2" xfId="3505" xr:uid="{996C1903-1A87-4CF8-BB9C-D9CAC805F8C5}"/>
    <cellStyle name="Normal 4 2 2 3 20" xfId="37525" xr:uid="{96019529-5658-4D23-856C-6A8A92D0024B}"/>
    <cellStyle name="Normal 4 2 2 3 21" xfId="39415" xr:uid="{8BCD94D4-D2E1-4C03-897D-3417A98AF12C}"/>
    <cellStyle name="Normal 4 2 2 3 22" xfId="41306" xr:uid="{E3367A7D-E719-40F3-8754-F310EE6B238B}"/>
    <cellStyle name="Normal 4 2 2 3 3" xfId="5395" xr:uid="{B440A454-CAAA-44A0-87D1-A7B7E915C258}"/>
    <cellStyle name="Normal 4 2 2 3 4" xfId="7285" xr:uid="{26EA0FFD-355B-438C-91D9-252CB9FEAE53}"/>
    <cellStyle name="Normal 4 2 2 3 5" xfId="9175" xr:uid="{21DF55D3-B7C2-459C-9EB9-1231CE235C3A}"/>
    <cellStyle name="Normal 4 2 2 3 6" xfId="11065" xr:uid="{0E1DC63C-E126-4D73-B1F8-81F7B68E77B9}"/>
    <cellStyle name="Normal 4 2 2 3 7" xfId="12955" xr:uid="{1AB16903-4F46-4670-9348-BAB5951861ED}"/>
    <cellStyle name="Normal 4 2 2 3 8" xfId="14845" xr:uid="{73E95711-5665-46E3-9614-333E187DEDF8}"/>
    <cellStyle name="Normal 4 2 2 3 9" xfId="16735" xr:uid="{8E6BC2EC-AC70-4E6E-9090-5ABADDE183E2}"/>
    <cellStyle name="Normal 4 2 2 4" xfId="2245" xr:uid="{3014178C-115C-4BF1-B751-87DFF9C7D38A}"/>
    <cellStyle name="Normal 4 2 2 5" xfId="4135" xr:uid="{6F2C19ED-29F3-4D79-A71D-CF5BDA7EA7E2}"/>
    <cellStyle name="Normal 4 2 2 6" xfId="6025" xr:uid="{B91A787B-4688-46CD-9072-E3D85BF3F067}"/>
    <cellStyle name="Normal 4 2 2 7" xfId="7915" xr:uid="{3796416E-B9FD-47B2-B775-0E014AA928EC}"/>
    <cellStyle name="Normal 4 2 2 8" xfId="9805" xr:uid="{0D5C12A6-AF16-43C9-801D-0877A652A843}"/>
    <cellStyle name="Normal 4 2 2 9" xfId="11695" xr:uid="{F475FE71-B332-4231-BF7E-6FD5B83E711C}"/>
    <cellStyle name="Normal 4 2 20" xfId="28495" xr:uid="{BEA77480-A9EE-4C1A-A6C5-981D087FACC3}"/>
    <cellStyle name="Normal 4 2 21" xfId="30385" xr:uid="{1974A11E-06B3-4AF0-9E14-1260658AE1BE}"/>
    <cellStyle name="Normal 4 2 22" xfId="32275" xr:uid="{BAED56DE-3226-452C-8E5D-306506467A74}"/>
    <cellStyle name="Normal 4 2 23" xfId="34165" xr:uid="{AC0FC822-86E1-4D3B-8224-8FDC531DD849}"/>
    <cellStyle name="Normal 4 2 24" xfId="36055" xr:uid="{3A8EACED-3643-4BBA-8A3D-DDEAC17D837E}"/>
    <cellStyle name="Normal 4 2 25" xfId="37945" xr:uid="{24DCA088-EA2A-4E55-A769-E4E37B8289CA}"/>
    <cellStyle name="Normal 4 2 26" xfId="39836" xr:uid="{793DE511-760E-453A-9DE2-91C634EFDFFE}"/>
    <cellStyle name="Normal 4 2 3" xfId="565" xr:uid="{23255374-1CF1-48FF-A9DA-9CD36B31519B}"/>
    <cellStyle name="Normal 4 2 3 10" xfId="13795" xr:uid="{37F8FBE4-7A37-40F6-B2A3-8AB22BC8CC25}"/>
    <cellStyle name="Normal 4 2 3 11" xfId="15685" xr:uid="{3F85C24C-DDD8-489E-A0E7-959062DEE40A}"/>
    <cellStyle name="Normal 4 2 3 12" xfId="17575" xr:uid="{5D7F2242-242F-49A4-9227-4CFB1EF91146}"/>
    <cellStyle name="Normal 4 2 3 13" xfId="19465" xr:uid="{2AB7E1F7-276F-4E95-B098-5F55B1574ADD}"/>
    <cellStyle name="Normal 4 2 3 14" xfId="21355" xr:uid="{C51BC427-B4DE-4E92-9B61-F0791CCADAAE}"/>
    <cellStyle name="Normal 4 2 3 15" xfId="23245" xr:uid="{F51120C0-D85F-4A1E-8500-F2F590D56818}"/>
    <cellStyle name="Normal 4 2 3 16" xfId="25135" xr:uid="{1715B79D-98BD-495D-BB4A-D2A9B21092BF}"/>
    <cellStyle name="Normal 4 2 3 17" xfId="27025" xr:uid="{E70D09DF-6744-4740-AC20-8D0F5232A762}"/>
    <cellStyle name="Normal 4 2 3 18" xfId="28915" xr:uid="{C23C63F0-5568-4F32-8D08-2CA1CB53DE60}"/>
    <cellStyle name="Normal 4 2 3 19" xfId="30805" xr:uid="{29507424-E9BA-483F-BE31-8B62409F0D06}"/>
    <cellStyle name="Normal 4 2 3 2" xfId="1195" xr:uid="{5C2E5BD1-BA06-48EF-B758-63C82257778A}"/>
    <cellStyle name="Normal 4 2 3 2 10" xfId="18205" xr:uid="{7A65799C-7F3A-4885-804C-FFB1942DB6B4}"/>
    <cellStyle name="Normal 4 2 3 2 11" xfId="20095" xr:uid="{A1F48309-EFC2-46F9-A33A-5B46B4935CC1}"/>
    <cellStyle name="Normal 4 2 3 2 12" xfId="21985" xr:uid="{59431733-2DE3-47CD-86D8-385D08DF8EB3}"/>
    <cellStyle name="Normal 4 2 3 2 13" xfId="23875" xr:uid="{0F8A8EB1-E8B9-43E8-925B-A7A812AFB930}"/>
    <cellStyle name="Normal 4 2 3 2 14" xfId="25765" xr:uid="{7F6C447F-CB6F-458F-88DB-EBEF027B5B84}"/>
    <cellStyle name="Normal 4 2 3 2 15" xfId="27655" xr:uid="{F73444F7-53FD-4F87-91BA-F83CF47741CC}"/>
    <cellStyle name="Normal 4 2 3 2 16" xfId="29545" xr:uid="{3CF6A2B0-0565-4D19-9C87-E6FF09D6E8C2}"/>
    <cellStyle name="Normal 4 2 3 2 17" xfId="31435" xr:uid="{F484B3DC-02BB-420D-9ACA-F8F4A4D14759}"/>
    <cellStyle name="Normal 4 2 3 2 18" xfId="33325" xr:uid="{DB7D7099-CEEC-4EE7-BA0A-AE105BEB14CA}"/>
    <cellStyle name="Normal 4 2 3 2 19" xfId="35215" xr:uid="{ED5C8398-3FC7-4937-B534-8F9877FCFD38}"/>
    <cellStyle name="Normal 4 2 3 2 2" xfId="3085" xr:uid="{C4F3A710-7BDC-4DB1-91A1-C04B59DD61E5}"/>
    <cellStyle name="Normal 4 2 3 2 20" xfId="37105" xr:uid="{DF347C5F-EB57-4D6A-8CE3-5CC0D5B50729}"/>
    <cellStyle name="Normal 4 2 3 2 21" xfId="38995" xr:uid="{9D6FCD22-EBB6-422E-BE8C-4E0AF8439660}"/>
    <cellStyle name="Normal 4 2 3 2 22" xfId="40886" xr:uid="{D7EFD26F-13F4-402E-A958-F1CE7568FDA1}"/>
    <cellStyle name="Normal 4 2 3 2 3" xfId="4975" xr:uid="{51121798-FA90-4BF7-A869-BCD266197CEA}"/>
    <cellStyle name="Normal 4 2 3 2 4" xfId="6865" xr:uid="{46E5320E-8FB4-4D5B-860E-61069AC1B900}"/>
    <cellStyle name="Normal 4 2 3 2 5" xfId="8755" xr:uid="{BB8ED403-615E-417F-9C03-44384724CE8D}"/>
    <cellStyle name="Normal 4 2 3 2 6" xfId="10645" xr:uid="{828AE317-2422-4851-A939-780EEE8C76F1}"/>
    <cellStyle name="Normal 4 2 3 2 7" xfId="12535" xr:uid="{86FF2866-56A6-4BD2-BAA2-523878470542}"/>
    <cellStyle name="Normal 4 2 3 2 8" xfId="14425" xr:uid="{6193DFE4-3726-4D1A-BA86-3DB177FE6B47}"/>
    <cellStyle name="Normal 4 2 3 2 9" xfId="16315" xr:uid="{8B834943-C034-421E-8F83-976C56EAC19A}"/>
    <cellStyle name="Normal 4 2 3 20" xfId="32695" xr:uid="{87B7CF55-3FD0-45EC-8F65-CC044CD687CB}"/>
    <cellStyle name="Normal 4 2 3 21" xfId="34585" xr:uid="{3BFD4A9A-8A2D-4E8E-A861-C7C63D728344}"/>
    <cellStyle name="Normal 4 2 3 22" xfId="36475" xr:uid="{EB435260-950D-43EB-B0EF-F786F99A3E3D}"/>
    <cellStyle name="Normal 4 2 3 23" xfId="38365" xr:uid="{EA91F3F3-DED1-4B35-B6E8-3500EB217AD7}"/>
    <cellStyle name="Normal 4 2 3 24" xfId="40256" xr:uid="{FFE80714-91C2-4292-8644-8DEF9D94183A}"/>
    <cellStyle name="Normal 4 2 3 3" xfId="1825" xr:uid="{915D1CB5-4AA8-45F6-9ED6-21B63540D75F}"/>
    <cellStyle name="Normal 4 2 3 3 10" xfId="18835" xr:uid="{C26F4640-D27F-44AB-85EC-7BEDF3447A4F}"/>
    <cellStyle name="Normal 4 2 3 3 11" xfId="20725" xr:uid="{702C1AE9-9F00-406B-AF65-DEBF08D4EC29}"/>
    <cellStyle name="Normal 4 2 3 3 12" xfId="22615" xr:uid="{677F0B20-73A2-4807-9B91-8F624323BBD4}"/>
    <cellStyle name="Normal 4 2 3 3 13" xfId="24505" xr:uid="{97AA387D-8358-4E56-B28C-825306213D41}"/>
    <cellStyle name="Normal 4 2 3 3 14" xfId="26395" xr:uid="{112D6A55-B7F1-4CCB-ADF3-E560EBA11C65}"/>
    <cellStyle name="Normal 4 2 3 3 15" xfId="28285" xr:uid="{124E69A5-5233-46DA-A53F-A31E36CFDC3E}"/>
    <cellStyle name="Normal 4 2 3 3 16" xfId="30175" xr:uid="{F61DB7F3-A58A-4BF7-9798-A919597730EA}"/>
    <cellStyle name="Normal 4 2 3 3 17" xfId="32065" xr:uid="{CFAF9F56-9AD0-43B3-B02F-70C671C7074E}"/>
    <cellStyle name="Normal 4 2 3 3 18" xfId="33955" xr:uid="{5E5A410B-734E-4462-AD26-A84C674C2B01}"/>
    <cellStyle name="Normal 4 2 3 3 19" xfId="35845" xr:uid="{667075B2-911F-4BEC-BBED-CD890552021D}"/>
    <cellStyle name="Normal 4 2 3 3 2" xfId="3715" xr:uid="{ED5E6233-5AA7-4B7D-A73C-F59CEF7B540E}"/>
    <cellStyle name="Normal 4 2 3 3 20" xfId="37735" xr:uid="{23541E8F-3260-44D2-91FC-D20A6D3C8925}"/>
    <cellStyle name="Normal 4 2 3 3 21" xfId="39625" xr:uid="{778DE4CE-39B3-4F66-9C9D-A1E11444EC8D}"/>
    <cellStyle name="Normal 4 2 3 3 22" xfId="41516" xr:uid="{7EBD77C9-282E-443B-94B8-D7996660FC30}"/>
    <cellStyle name="Normal 4 2 3 3 3" xfId="5605" xr:uid="{E3983C12-8A2E-441B-9B38-AFCC0D1E2E59}"/>
    <cellStyle name="Normal 4 2 3 3 4" xfId="7495" xr:uid="{D590A7C6-42ED-4544-ABF4-A10992D2C7F3}"/>
    <cellStyle name="Normal 4 2 3 3 5" xfId="9385" xr:uid="{57874351-3217-49A7-B772-D8A5F5CE2DDF}"/>
    <cellStyle name="Normal 4 2 3 3 6" xfId="11275" xr:uid="{8148E2BB-5C55-40BA-B6A3-AA204AB4B424}"/>
    <cellStyle name="Normal 4 2 3 3 7" xfId="13165" xr:uid="{58E4B908-9784-48BD-8A62-5A41116280E9}"/>
    <cellStyle name="Normal 4 2 3 3 8" xfId="15055" xr:uid="{9AF25A58-E839-43D7-9409-ED1E346B72FA}"/>
    <cellStyle name="Normal 4 2 3 3 9" xfId="16945" xr:uid="{CB4E081D-9F3A-4302-911D-B164842AE71E}"/>
    <cellStyle name="Normal 4 2 3 4" xfId="2455" xr:uid="{876B2924-FF01-4129-9281-8D223B22C715}"/>
    <cellStyle name="Normal 4 2 3 5" xfId="4345" xr:uid="{95FADD77-9EF2-4D39-B938-CBB929598A2D}"/>
    <cellStyle name="Normal 4 2 3 6" xfId="6235" xr:uid="{62B6B09C-1B5C-436A-A200-422290E008DB}"/>
    <cellStyle name="Normal 4 2 3 7" xfId="8125" xr:uid="{796E9F2C-F637-4D4D-9C5F-8FE8A6CA3DEE}"/>
    <cellStyle name="Normal 4 2 3 8" xfId="10015" xr:uid="{0CCBBB70-DFB1-4528-ACB9-B59C4A399231}"/>
    <cellStyle name="Normal 4 2 3 9" xfId="11905" xr:uid="{CB93E3E7-338F-41DE-91A8-5B060774CF38}"/>
    <cellStyle name="Normal 4 2 4" xfId="775" xr:uid="{C338522B-B391-420A-A7C8-B6D8BD3D31C6}"/>
    <cellStyle name="Normal 4 2 4 10" xfId="17785" xr:uid="{FD56C17B-C5BC-4FA3-BBEC-A9695723A0D4}"/>
    <cellStyle name="Normal 4 2 4 11" xfId="19675" xr:uid="{F49D49D5-5662-4C2A-843B-8CA3D4074D5F}"/>
    <cellStyle name="Normal 4 2 4 12" xfId="21565" xr:uid="{9547FA94-C942-4926-B357-AEFB761A07B1}"/>
    <cellStyle name="Normal 4 2 4 13" xfId="23455" xr:uid="{9D8B6252-7926-47B5-B6C8-2BECCCC2FD54}"/>
    <cellStyle name="Normal 4 2 4 14" xfId="25345" xr:uid="{D683F6BC-A056-4394-B14C-B73F27EB29DD}"/>
    <cellStyle name="Normal 4 2 4 15" xfId="27235" xr:uid="{911AE1CC-514B-4003-B53F-D993B456D5B3}"/>
    <cellStyle name="Normal 4 2 4 16" xfId="29125" xr:uid="{650CB037-4806-4738-A45B-F65678A7C088}"/>
    <cellStyle name="Normal 4 2 4 17" xfId="31015" xr:uid="{075D1187-DA7D-4209-847D-5A84C07FFDCA}"/>
    <cellStyle name="Normal 4 2 4 18" xfId="32905" xr:uid="{3E15361A-74F7-4D63-ABFF-46660E1D433A}"/>
    <cellStyle name="Normal 4 2 4 19" xfId="34795" xr:uid="{098821FD-022F-4384-B0A4-3A85BEA733C4}"/>
    <cellStyle name="Normal 4 2 4 2" xfId="2665" xr:uid="{E8D312C2-EF8A-4FB9-9773-59E546E7C740}"/>
    <cellStyle name="Normal 4 2 4 20" xfId="36685" xr:uid="{514DB351-BB0A-4E4E-81E6-248D5AEDB014}"/>
    <cellStyle name="Normal 4 2 4 21" xfId="38575" xr:uid="{F23904CF-067D-4577-84D5-63C47A2664D5}"/>
    <cellStyle name="Normal 4 2 4 22" xfId="40466" xr:uid="{41CAE851-B102-4458-B182-20805A73B9F9}"/>
    <cellStyle name="Normal 4 2 4 3" xfId="4555" xr:uid="{170236DC-4F9C-400A-A910-C3028ECC2D6E}"/>
    <cellStyle name="Normal 4 2 4 4" xfId="6445" xr:uid="{0E0779B4-40CA-4269-8931-08DE50F8B57C}"/>
    <cellStyle name="Normal 4 2 4 5" xfId="8335" xr:uid="{DBF69154-5118-4125-A06B-A10D967EF021}"/>
    <cellStyle name="Normal 4 2 4 6" xfId="10225" xr:uid="{37B01697-F238-4600-BC0C-14D11E26BE82}"/>
    <cellStyle name="Normal 4 2 4 7" xfId="12115" xr:uid="{CCA37D81-9305-4BCB-B1C8-16AE74BD717D}"/>
    <cellStyle name="Normal 4 2 4 8" xfId="14005" xr:uid="{122F2538-AE55-4205-BC09-DAA465F3B9FD}"/>
    <cellStyle name="Normal 4 2 4 9" xfId="15895" xr:uid="{F62C0F9B-CEDF-4663-945D-5441314B1D52}"/>
    <cellStyle name="Normal 4 2 5" xfId="1405" xr:uid="{20D6A443-F73C-42DA-AF1A-177DE66102EB}"/>
    <cellStyle name="Normal 4 2 5 10" xfId="18415" xr:uid="{E09B41A3-C209-4573-9282-17B2B6331E43}"/>
    <cellStyle name="Normal 4 2 5 11" xfId="20305" xr:uid="{5AF9CFD8-FEE2-43B5-A885-3EF515DD4E7E}"/>
    <cellStyle name="Normal 4 2 5 12" xfId="22195" xr:uid="{E7928398-A05B-4B2C-8B24-19D3C462BEE3}"/>
    <cellStyle name="Normal 4 2 5 13" xfId="24085" xr:uid="{2A348A45-F3C1-4267-8BBE-43EBB96131DE}"/>
    <cellStyle name="Normal 4 2 5 14" xfId="25975" xr:uid="{E9F16076-5BB4-4103-8ABD-3F8ED45E46A9}"/>
    <cellStyle name="Normal 4 2 5 15" xfId="27865" xr:uid="{7562BF40-D003-4AE4-908D-3884BF7FC411}"/>
    <cellStyle name="Normal 4 2 5 16" xfId="29755" xr:uid="{BB1BF211-0B91-4DBD-82C5-AC37FC777FC0}"/>
    <cellStyle name="Normal 4 2 5 17" xfId="31645" xr:uid="{4DC3369B-6187-4602-AF6B-000FCBFA5CE3}"/>
    <cellStyle name="Normal 4 2 5 18" xfId="33535" xr:uid="{F2AEE1A5-0BAE-4068-B87B-09B8DB4A5F02}"/>
    <cellStyle name="Normal 4 2 5 19" xfId="35425" xr:uid="{76765F4C-25DE-4147-973E-220B6BCE85F2}"/>
    <cellStyle name="Normal 4 2 5 2" xfId="3295" xr:uid="{41AEB525-8EDF-49C9-B2E8-FF701FF70390}"/>
    <cellStyle name="Normal 4 2 5 20" xfId="37315" xr:uid="{1A395DB4-B3B2-4166-8049-E48732B61C2C}"/>
    <cellStyle name="Normal 4 2 5 21" xfId="39205" xr:uid="{D71B8ABC-78F1-4E7B-8A08-3C4045BB1B50}"/>
    <cellStyle name="Normal 4 2 5 22" xfId="41096" xr:uid="{20D950CB-9634-41F0-AB8B-046B08334B1C}"/>
    <cellStyle name="Normal 4 2 5 3" xfId="5185" xr:uid="{8A2DD7FD-3DEA-45AB-91F5-4642D93DF70E}"/>
    <cellStyle name="Normal 4 2 5 4" xfId="7075" xr:uid="{29D83CA6-89E0-470C-85E3-25574DE6873A}"/>
    <cellStyle name="Normal 4 2 5 5" xfId="8965" xr:uid="{FC84B071-2531-44D5-888F-290A956B7496}"/>
    <cellStyle name="Normal 4 2 5 6" xfId="10855" xr:uid="{37C1361B-57AA-47F8-875E-30481ACA2A19}"/>
    <cellStyle name="Normal 4 2 5 7" xfId="12745" xr:uid="{CEDECEFE-A347-4FB4-8FBD-37F22AF9A262}"/>
    <cellStyle name="Normal 4 2 5 8" xfId="14635" xr:uid="{A5F54D81-3D6B-407B-90BA-793B15FB6305}"/>
    <cellStyle name="Normal 4 2 5 9" xfId="16525" xr:uid="{CFF708C8-8D48-468A-9568-5306D9DA67D7}"/>
    <cellStyle name="Normal 4 2 6" xfId="2035" xr:uid="{4E0691C7-67AD-42AC-9543-1D93311340BC}"/>
    <cellStyle name="Normal 4 2 7" xfId="3925" xr:uid="{4A475585-D053-4A26-961A-343659B3EFCA}"/>
    <cellStyle name="Normal 4 2 8" xfId="5815" xr:uid="{2CFE5ADE-D648-41CA-B912-FFF7B5ECD686}"/>
    <cellStyle name="Normal 4 2 9" xfId="7705" xr:uid="{A2C5A462-6116-4410-88D5-6651979F64D5}"/>
    <cellStyle name="Normal 4 20" xfId="26500" xr:uid="{0AFBA502-ECF3-4D26-80CC-52228548C5AB}"/>
    <cellStyle name="Normal 4 21" xfId="28390" xr:uid="{80281750-5962-4664-9E64-813D3C498702}"/>
    <cellStyle name="Normal 4 22" xfId="30280" xr:uid="{210394E3-AA9A-4A89-90CB-BDF1A28742E4}"/>
    <cellStyle name="Normal 4 23" xfId="32170" xr:uid="{47D48FE2-415A-4295-915C-7CD2C4521BCA}"/>
    <cellStyle name="Normal 4 24" xfId="34060" xr:uid="{3202D8F2-D44F-467E-BCA8-4885D45AB51A}"/>
    <cellStyle name="Normal 4 25" xfId="35950" xr:uid="{83F69DBF-D034-4519-8738-549B2A285F03}"/>
    <cellStyle name="Normal 4 26" xfId="37840" xr:uid="{07D8E887-25FC-46B5-BB6D-9EA9D6952F28}"/>
    <cellStyle name="Normal 4 27" xfId="39731" xr:uid="{4B7CC7A5-6511-477C-A60C-E62140990E9E}"/>
    <cellStyle name="Normal 4 3" xfId="250" xr:uid="{34D43275-A496-4452-BCF7-0C8E70B39D5C}"/>
    <cellStyle name="Normal 4 3 10" xfId="13480" xr:uid="{66FAF961-AC2F-4159-B603-DC4D973DF3B6}"/>
    <cellStyle name="Normal 4 3 11" xfId="15370" xr:uid="{7E2BA46F-1B31-4B93-B656-EEE03C23FD80}"/>
    <cellStyle name="Normal 4 3 12" xfId="17260" xr:uid="{C5BDBF62-FDAB-493C-B39F-0B9E7485F652}"/>
    <cellStyle name="Normal 4 3 13" xfId="19150" xr:uid="{4CE78F3C-7221-4141-AE73-3B68E66DD79C}"/>
    <cellStyle name="Normal 4 3 14" xfId="21040" xr:uid="{B2A5FFD9-C802-4C2B-AC3A-DB8D1A7E2456}"/>
    <cellStyle name="Normal 4 3 15" xfId="22930" xr:uid="{61494D15-8CE9-4CA8-8B32-D1BAAF5E2FFD}"/>
    <cellStyle name="Normal 4 3 16" xfId="24820" xr:uid="{CFD93FBF-37F4-433C-AD5F-41A003F2F39A}"/>
    <cellStyle name="Normal 4 3 17" xfId="26710" xr:uid="{C7541EE4-CAC8-4AB0-B6BE-E3DB66737184}"/>
    <cellStyle name="Normal 4 3 18" xfId="28600" xr:uid="{867DCAFC-0847-4A99-A67C-F88DA1922A4B}"/>
    <cellStyle name="Normal 4 3 19" xfId="30490" xr:uid="{2F8D036B-CA42-4F74-B846-0C752506FC26}"/>
    <cellStyle name="Normal 4 3 2" xfId="880" xr:uid="{73C6F734-2444-4024-ACDD-9A808CB11790}"/>
    <cellStyle name="Normal 4 3 2 10" xfId="17890" xr:uid="{016C1EF8-C387-40FA-B1A0-D9B6D921801A}"/>
    <cellStyle name="Normal 4 3 2 11" xfId="19780" xr:uid="{9401F2FF-2D91-4DA4-87B0-CF4FC4E2D47C}"/>
    <cellStyle name="Normal 4 3 2 12" xfId="21670" xr:uid="{E77927A8-8D69-4D9F-B6BD-4DFD57C1D3A0}"/>
    <cellStyle name="Normal 4 3 2 13" xfId="23560" xr:uid="{664DCD79-BF1D-4B18-940F-E006AAF5FBDB}"/>
    <cellStyle name="Normal 4 3 2 14" xfId="25450" xr:uid="{FB9862FF-4D30-4756-AB39-FF5369F93E85}"/>
    <cellStyle name="Normal 4 3 2 15" xfId="27340" xr:uid="{1C7004D7-F745-453D-8EDC-EFD9FDAD472E}"/>
    <cellStyle name="Normal 4 3 2 16" xfId="29230" xr:uid="{EAF380A9-E75A-41A6-AD24-E08F3EC13D9D}"/>
    <cellStyle name="Normal 4 3 2 17" xfId="31120" xr:uid="{34FD5951-2F82-4457-9C1E-F6636626A6B3}"/>
    <cellStyle name="Normal 4 3 2 18" xfId="33010" xr:uid="{CF0BE24C-ECAF-4E4E-A423-70A78A7D7D07}"/>
    <cellStyle name="Normal 4 3 2 19" xfId="34900" xr:uid="{97D232BB-726A-422D-9EF8-FC7A381DD9D4}"/>
    <cellStyle name="Normal 4 3 2 2" xfId="2770" xr:uid="{0C209515-6864-4918-8F62-E85E7A9078D6}"/>
    <cellStyle name="Normal 4 3 2 20" xfId="36790" xr:uid="{98954635-95FF-4167-90C7-9DE265910193}"/>
    <cellStyle name="Normal 4 3 2 21" xfId="38680" xr:uid="{C41E9613-E496-4B76-B6A2-AF0359549AC5}"/>
    <cellStyle name="Normal 4 3 2 22" xfId="40571" xr:uid="{EA5643A4-DC4C-4D53-85D8-7CBD72BEDB1C}"/>
    <cellStyle name="Normal 4 3 2 3" xfId="4660" xr:uid="{FCC8901B-F83A-480F-B6D8-C500D78208B0}"/>
    <cellStyle name="Normal 4 3 2 4" xfId="6550" xr:uid="{6BE57863-647A-4891-9632-A010D14682E6}"/>
    <cellStyle name="Normal 4 3 2 5" xfId="8440" xr:uid="{98B67C14-BB50-4F8E-A73C-F68588C21EFD}"/>
    <cellStyle name="Normal 4 3 2 6" xfId="10330" xr:uid="{DE1A53C2-CAD2-4EC2-A020-BC857D304DB5}"/>
    <cellStyle name="Normal 4 3 2 7" xfId="12220" xr:uid="{BDA45EB7-A1F0-4E81-802D-A51FC530EF68}"/>
    <cellStyle name="Normal 4 3 2 8" xfId="14110" xr:uid="{52B056CF-A41D-44FD-8ED2-8910EEE8CD1E}"/>
    <cellStyle name="Normal 4 3 2 9" xfId="16000" xr:uid="{E68ABBEC-E921-460F-8160-62798CE5F68E}"/>
    <cellStyle name="Normal 4 3 20" xfId="32380" xr:uid="{20DF87DC-1DB5-49CD-8F62-8338BF8F8C0B}"/>
    <cellStyle name="Normal 4 3 21" xfId="34270" xr:uid="{918B6B1A-DE45-4049-89CF-9B7AFDC5C245}"/>
    <cellStyle name="Normal 4 3 22" xfId="36160" xr:uid="{3065C50A-B5F0-4C8E-AB84-5D58C57A9453}"/>
    <cellStyle name="Normal 4 3 23" xfId="38050" xr:uid="{7EBACB77-F8F3-4189-BEB2-E3CCC983AE2C}"/>
    <cellStyle name="Normal 4 3 24" xfId="39941" xr:uid="{86457782-A0AE-4607-8DC6-B65308A12679}"/>
    <cellStyle name="Normal 4 3 3" xfId="1510" xr:uid="{821AA2ED-24FC-4569-9B8F-7365B9AD3E7F}"/>
    <cellStyle name="Normal 4 3 3 10" xfId="18520" xr:uid="{54C3B5B0-867A-4560-8520-B89B1BBEE068}"/>
    <cellStyle name="Normal 4 3 3 11" xfId="20410" xr:uid="{3DBE16E9-1C6B-421F-A53C-9D0C059E9B70}"/>
    <cellStyle name="Normal 4 3 3 12" xfId="22300" xr:uid="{B9B60A74-8E3F-44D2-8FA7-6DC82C5C3E8C}"/>
    <cellStyle name="Normal 4 3 3 13" xfId="24190" xr:uid="{38F42745-A686-45ED-932A-4ABEA2EC1D42}"/>
    <cellStyle name="Normal 4 3 3 14" xfId="26080" xr:uid="{2325DE03-C9F3-4868-8299-538E8884B548}"/>
    <cellStyle name="Normal 4 3 3 15" xfId="27970" xr:uid="{46D20C64-395F-4765-A555-05D293C4D1D9}"/>
    <cellStyle name="Normal 4 3 3 16" xfId="29860" xr:uid="{055731A8-44BB-43B9-BC0F-41D7A305F257}"/>
    <cellStyle name="Normal 4 3 3 17" xfId="31750" xr:uid="{30742E74-ECEE-4691-91CB-EE02338A632C}"/>
    <cellStyle name="Normal 4 3 3 18" xfId="33640" xr:uid="{8E73A179-D278-4F37-AEED-9EB074DC930F}"/>
    <cellStyle name="Normal 4 3 3 19" xfId="35530" xr:uid="{9EC11192-E108-4729-BEF7-6D323D027807}"/>
    <cellStyle name="Normal 4 3 3 2" xfId="3400" xr:uid="{0A5ABED2-92B0-47DB-9A1B-71E932F5A41B}"/>
    <cellStyle name="Normal 4 3 3 20" xfId="37420" xr:uid="{F6F70B9A-DC9E-42E5-821F-2EFCBE19B6FD}"/>
    <cellStyle name="Normal 4 3 3 21" xfId="39310" xr:uid="{C810EEFA-FC7D-40DE-BE3F-A3E750D9ABDE}"/>
    <cellStyle name="Normal 4 3 3 22" xfId="41201" xr:uid="{824EA2F3-F239-4CC9-9183-037A2B0AC873}"/>
    <cellStyle name="Normal 4 3 3 3" xfId="5290" xr:uid="{8062A47A-8BFE-4E4C-89D4-C739E4028910}"/>
    <cellStyle name="Normal 4 3 3 4" xfId="7180" xr:uid="{37C28DD0-505A-4E19-87F7-3788DE79B575}"/>
    <cellStyle name="Normal 4 3 3 5" xfId="9070" xr:uid="{9F30AEA4-A372-4CA3-9D90-3CA8F9F97001}"/>
    <cellStyle name="Normal 4 3 3 6" xfId="10960" xr:uid="{0320018B-A312-48F4-80CB-7C23402CFC04}"/>
    <cellStyle name="Normal 4 3 3 7" xfId="12850" xr:uid="{50A0D719-B068-4EDF-839E-A0E576C6EFB1}"/>
    <cellStyle name="Normal 4 3 3 8" xfId="14740" xr:uid="{0481EC98-5A48-4938-9276-ADBA4D9DCABE}"/>
    <cellStyle name="Normal 4 3 3 9" xfId="16630" xr:uid="{E0AE106C-C395-4CE4-B97B-64785E6FD555}"/>
    <cellStyle name="Normal 4 3 4" xfId="2140" xr:uid="{30E7CFDC-5128-4D35-AD58-4A5C2978C292}"/>
    <cellStyle name="Normal 4 3 5" xfId="4030" xr:uid="{2DD9CE2D-CD2F-4526-AB46-059B8DF0678C}"/>
    <cellStyle name="Normal 4 3 6" xfId="5920" xr:uid="{41118497-8A70-4853-8946-0D7BE68ADCE7}"/>
    <cellStyle name="Normal 4 3 7" xfId="7810" xr:uid="{83FF31D2-5D33-4FC2-B8EF-75A3DC8609CC}"/>
    <cellStyle name="Normal 4 3 8" xfId="9700" xr:uid="{5D75685F-0CDF-4EB5-B3F3-8F575CB01B52}"/>
    <cellStyle name="Normal 4 3 9" xfId="11590" xr:uid="{8292C03E-ABFD-45A0-B87C-7B1D3779F7CB}"/>
    <cellStyle name="Normal 4 4" xfId="460" xr:uid="{A5D9B2A9-9ABF-4FF4-808E-4D58D7DE1BE6}"/>
    <cellStyle name="Normal 4 4 10" xfId="13690" xr:uid="{8D7EE0F5-AE40-4F80-B9F6-A2F9A9242B8E}"/>
    <cellStyle name="Normal 4 4 11" xfId="15580" xr:uid="{690130C7-8182-435A-AF05-5FA10F5C211B}"/>
    <cellStyle name="Normal 4 4 12" xfId="17470" xr:uid="{841FB55F-B8EE-44AF-84EA-3C858C137A0A}"/>
    <cellStyle name="Normal 4 4 13" xfId="19360" xr:uid="{D970B091-0C98-428A-B2BB-FAC9CC0E8601}"/>
    <cellStyle name="Normal 4 4 14" xfId="21250" xr:uid="{846ADC43-F9B5-4192-804D-93275F015CD8}"/>
    <cellStyle name="Normal 4 4 15" xfId="23140" xr:uid="{BD53173C-3E89-4056-9512-739615A0D416}"/>
    <cellStyle name="Normal 4 4 16" xfId="25030" xr:uid="{AA1504E5-65B3-42FE-899C-A86DEE53EDEE}"/>
    <cellStyle name="Normal 4 4 17" xfId="26920" xr:uid="{EFA4B3A9-FD7F-44F2-A306-69AEE431AB4C}"/>
    <cellStyle name="Normal 4 4 18" xfId="28810" xr:uid="{4BF284FD-18D6-424D-BDC0-A62E47839C91}"/>
    <cellStyle name="Normal 4 4 19" xfId="30700" xr:uid="{BB78843C-DB28-40E2-A981-06C21077098A}"/>
    <cellStyle name="Normal 4 4 2" xfId="1090" xr:uid="{57F83E8B-6E05-4A82-9435-707AFBE79AD2}"/>
    <cellStyle name="Normal 4 4 2 10" xfId="18100" xr:uid="{F0FB89CF-AD2E-4EE7-98A3-4DBE4EE9A037}"/>
    <cellStyle name="Normal 4 4 2 11" xfId="19990" xr:uid="{3745DACA-3553-4744-91A0-AF305C1CB358}"/>
    <cellStyle name="Normal 4 4 2 12" xfId="21880" xr:uid="{B45483FC-1832-449C-90B7-35E2032B61EE}"/>
    <cellStyle name="Normal 4 4 2 13" xfId="23770" xr:uid="{8D544BA5-EDC0-4637-A27D-69613D2ED741}"/>
    <cellStyle name="Normal 4 4 2 14" xfId="25660" xr:uid="{E798F6AC-D735-4C01-9955-1FD1863AF4DA}"/>
    <cellStyle name="Normal 4 4 2 15" xfId="27550" xr:uid="{C02BD2E7-6E31-4D07-ACCC-72178C645E78}"/>
    <cellStyle name="Normal 4 4 2 16" xfId="29440" xr:uid="{4FDEB3CE-91C0-4B8F-9D4A-72DF1BF6DE36}"/>
    <cellStyle name="Normal 4 4 2 17" xfId="31330" xr:uid="{E6FA9595-0DBE-4D67-8FB5-6BE18E19BE9C}"/>
    <cellStyle name="Normal 4 4 2 18" xfId="33220" xr:uid="{72CF03AF-6334-401F-A223-94AF65BCF04C}"/>
    <cellStyle name="Normal 4 4 2 19" xfId="35110" xr:uid="{C962640F-2C5A-46D8-AB1B-468C5302012E}"/>
    <cellStyle name="Normal 4 4 2 2" xfId="2980" xr:uid="{BBE4937A-AD5A-426C-B858-9FB54A9D4A2A}"/>
    <cellStyle name="Normal 4 4 2 20" xfId="37000" xr:uid="{59C47507-5954-41C3-93D1-605799A4AF9C}"/>
    <cellStyle name="Normal 4 4 2 21" xfId="38890" xr:uid="{6D351022-CA31-4179-8FDF-3B67B3AE56CC}"/>
    <cellStyle name="Normal 4 4 2 22" xfId="40781" xr:uid="{CC3F9361-2A36-4EE2-9C8E-CE5CC7618982}"/>
    <cellStyle name="Normal 4 4 2 3" xfId="4870" xr:uid="{6764F8AA-2537-4081-B0ED-C23279A5516F}"/>
    <cellStyle name="Normal 4 4 2 4" xfId="6760" xr:uid="{3931B2EB-E56B-4B7B-A707-6C4EAEC7D96C}"/>
    <cellStyle name="Normal 4 4 2 5" xfId="8650" xr:uid="{F8549ED2-BECB-4C34-8371-1D30DA436AC6}"/>
    <cellStyle name="Normal 4 4 2 6" xfId="10540" xr:uid="{BFB7D5F7-2B28-479A-8365-D89E675AE146}"/>
    <cellStyle name="Normal 4 4 2 7" xfId="12430" xr:uid="{E6FA26D8-BCEC-418A-A588-BE64211DD31B}"/>
    <cellStyle name="Normal 4 4 2 8" xfId="14320" xr:uid="{EBEA96FD-3E0C-4ACB-9798-0B45D19A048C}"/>
    <cellStyle name="Normal 4 4 2 9" xfId="16210" xr:uid="{025F2BD5-E9FA-4CB9-8AEC-4DAA46C82C31}"/>
    <cellStyle name="Normal 4 4 20" xfId="32590" xr:uid="{A02FF6B8-C323-472B-8D07-437BC64CDC67}"/>
    <cellStyle name="Normal 4 4 21" xfId="34480" xr:uid="{8D2966F2-1124-445F-A131-7A7ADDA9ED2C}"/>
    <cellStyle name="Normal 4 4 22" xfId="36370" xr:uid="{94BC6614-38B6-4B4B-A7A1-021E09804A8D}"/>
    <cellStyle name="Normal 4 4 23" xfId="38260" xr:uid="{47FDB0D0-DAD5-404B-8F49-68F54F7FE685}"/>
    <cellStyle name="Normal 4 4 24" xfId="40151" xr:uid="{F928F5F9-6E94-4D9A-9A4A-CA236DFBB396}"/>
    <cellStyle name="Normal 4 4 3" xfId="1720" xr:uid="{B73111B7-7A8D-49F3-965C-3F6E5774F023}"/>
    <cellStyle name="Normal 4 4 3 10" xfId="18730" xr:uid="{91DD1D1B-9EF8-4E84-8428-EDE9221E5C1E}"/>
    <cellStyle name="Normal 4 4 3 11" xfId="20620" xr:uid="{2467B123-E0C0-4F6C-A87F-ED9E8AA7CBA7}"/>
    <cellStyle name="Normal 4 4 3 12" xfId="22510" xr:uid="{0174BC5B-7069-4931-AA73-F2A8D6D5C66C}"/>
    <cellStyle name="Normal 4 4 3 13" xfId="24400" xr:uid="{AC23FC36-3950-4AB6-BD33-03FD779194AA}"/>
    <cellStyle name="Normal 4 4 3 14" xfId="26290" xr:uid="{220FE3E0-DD75-445C-B680-487642444329}"/>
    <cellStyle name="Normal 4 4 3 15" xfId="28180" xr:uid="{E90DD6F9-1AB8-462E-86A0-113386AC5897}"/>
    <cellStyle name="Normal 4 4 3 16" xfId="30070" xr:uid="{A57BBC30-1C3B-434F-A9F4-4DFF019FE94D}"/>
    <cellStyle name="Normal 4 4 3 17" xfId="31960" xr:uid="{871F9A0F-4A1D-41E2-A741-0BC603060F25}"/>
    <cellStyle name="Normal 4 4 3 18" xfId="33850" xr:uid="{97C65330-CC84-47BA-97C2-A3D75509A4FC}"/>
    <cellStyle name="Normal 4 4 3 19" xfId="35740" xr:uid="{BC28D155-9F37-4762-B02F-9F85D9606EF8}"/>
    <cellStyle name="Normal 4 4 3 2" xfId="3610" xr:uid="{5F72177E-A237-4325-978B-EE4D14AD8E80}"/>
    <cellStyle name="Normal 4 4 3 20" xfId="37630" xr:uid="{6DABF959-FF99-4DF6-9166-B480BD2D91C2}"/>
    <cellStyle name="Normal 4 4 3 21" xfId="39520" xr:uid="{39CF765E-EBDA-4B08-87D5-908BA4CF818A}"/>
    <cellStyle name="Normal 4 4 3 22" xfId="41411" xr:uid="{9C3AAA4E-F785-4B87-ACEA-7BDC5C477FE3}"/>
    <cellStyle name="Normal 4 4 3 3" xfId="5500" xr:uid="{EB1BBBAE-2091-45CB-98A3-85C855015049}"/>
    <cellStyle name="Normal 4 4 3 4" xfId="7390" xr:uid="{89D65782-B9A5-453B-B990-072049AFA321}"/>
    <cellStyle name="Normal 4 4 3 5" xfId="9280" xr:uid="{1821FBD2-0532-4E13-BBC4-0906BF3B4CD7}"/>
    <cellStyle name="Normal 4 4 3 6" xfId="11170" xr:uid="{DCA43D56-EB5C-4FCD-8766-06DFDDD8D440}"/>
    <cellStyle name="Normal 4 4 3 7" xfId="13060" xr:uid="{E52C823A-1B18-41E5-8AF8-23DD892457D5}"/>
    <cellStyle name="Normal 4 4 3 8" xfId="14950" xr:uid="{133C3259-0979-4D17-8D36-CF19D466E92A}"/>
    <cellStyle name="Normal 4 4 3 9" xfId="16840" xr:uid="{CA3E57C4-CC11-4A8C-B301-01E6A767728C}"/>
    <cellStyle name="Normal 4 4 4" xfId="2350" xr:uid="{58B39C35-2EE7-4E5F-9B66-8755574B3EED}"/>
    <cellStyle name="Normal 4 4 5" xfId="4240" xr:uid="{38BF6B16-BC21-4F0F-B1F2-CC8B42EE494E}"/>
    <cellStyle name="Normal 4 4 6" xfId="6130" xr:uid="{C3EEE73F-03ED-4D00-B58C-AADEFBEA10B1}"/>
    <cellStyle name="Normal 4 4 7" xfId="8020" xr:uid="{C8169488-ED63-4071-9735-EEF85B1F2246}"/>
    <cellStyle name="Normal 4 4 8" xfId="9910" xr:uid="{E31F2668-0241-44F3-B322-88C483A7D78B}"/>
    <cellStyle name="Normal 4 4 9" xfId="11800" xr:uid="{4C176465-E951-4B3C-88BE-C87DBA0C2890}"/>
    <cellStyle name="Normal 4 5" xfId="670" xr:uid="{FE101EE5-54ED-48FD-BF75-79C2D4CB2BC8}"/>
    <cellStyle name="Normal 4 5 10" xfId="17680" xr:uid="{F9CA9170-1291-454E-BB84-ABF87B6B354F}"/>
    <cellStyle name="Normal 4 5 11" xfId="19570" xr:uid="{FBACC8FD-CD77-4B1F-98B3-E5196A05CC62}"/>
    <cellStyle name="Normal 4 5 12" xfId="21460" xr:uid="{D646F73B-EE18-417F-AF4F-C942CF74A495}"/>
    <cellStyle name="Normal 4 5 13" xfId="23350" xr:uid="{D17B5638-322C-4D4A-B6DE-D09DD47C27ED}"/>
    <cellStyle name="Normal 4 5 14" xfId="25240" xr:uid="{67980E60-1CF1-4A57-A5A2-1C122B0BFBFE}"/>
    <cellStyle name="Normal 4 5 15" xfId="27130" xr:uid="{643AD414-8DAA-4C71-8840-27353D975106}"/>
    <cellStyle name="Normal 4 5 16" xfId="29020" xr:uid="{89F76A4F-483C-4961-8653-FDA59A786F51}"/>
    <cellStyle name="Normal 4 5 17" xfId="30910" xr:uid="{87C35F68-4196-4E73-849A-E8A571C29E11}"/>
    <cellStyle name="Normal 4 5 18" xfId="32800" xr:uid="{2C9A3463-BA81-4377-9326-D5D960B6C556}"/>
    <cellStyle name="Normal 4 5 19" xfId="34690" xr:uid="{3F7FAC84-C1CE-4FC8-ADE9-374242FF5C8F}"/>
    <cellStyle name="Normal 4 5 2" xfId="2560" xr:uid="{0E1FAC48-DC0B-4FFA-B408-60F3E4F97786}"/>
    <cellStyle name="Normal 4 5 20" xfId="36580" xr:uid="{CC503F2A-8EA1-46CC-B4BD-05C3318186C2}"/>
    <cellStyle name="Normal 4 5 21" xfId="38470" xr:uid="{38888825-8A27-4B0D-A73D-F8945E9AFC87}"/>
    <cellStyle name="Normal 4 5 22" xfId="40361" xr:uid="{FEBB546F-5744-41D3-8080-86CF02CD61B0}"/>
    <cellStyle name="Normal 4 5 3" xfId="4450" xr:uid="{B2F04D88-91C2-4891-B5CA-5B43C4519D9B}"/>
    <cellStyle name="Normal 4 5 4" xfId="6340" xr:uid="{913B50BE-76FE-4684-9284-E415C2830F4F}"/>
    <cellStyle name="Normal 4 5 5" xfId="8230" xr:uid="{F8329AF2-225A-46B8-B093-6C0A87E4D3CA}"/>
    <cellStyle name="Normal 4 5 6" xfId="10120" xr:uid="{9F6F1B0B-AF86-43D5-A795-9FF78A1BCE6F}"/>
    <cellStyle name="Normal 4 5 7" xfId="12010" xr:uid="{DA216D7F-9F1F-4616-97E2-546B5163E338}"/>
    <cellStyle name="Normal 4 5 8" xfId="13900" xr:uid="{D1FC977E-9254-42E5-BA0B-9B1300C07C80}"/>
    <cellStyle name="Normal 4 5 9" xfId="15790" xr:uid="{D2091B84-2E5F-493E-A026-21CE13C1813C}"/>
    <cellStyle name="Normal 4 6" xfId="1300" xr:uid="{FAD424A4-59C0-468D-948F-EED107A5611C}"/>
    <cellStyle name="Normal 4 6 10" xfId="18310" xr:uid="{F44627C7-A966-4EEC-89C4-27FEBD40EC4D}"/>
    <cellStyle name="Normal 4 6 11" xfId="20200" xr:uid="{620BDCA4-B3C3-4865-82CD-693FF8C1367E}"/>
    <cellStyle name="Normal 4 6 12" xfId="22090" xr:uid="{5C7E0BAC-BA76-468C-9793-531F70628929}"/>
    <cellStyle name="Normal 4 6 13" xfId="23980" xr:uid="{E20994B7-B299-45A4-A9FB-A819DD7FC525}"/>
    <cellStyle name="Normal 4 6 14" xfId="25870" xr:uid="{51C61DD2-A503-4165-90E6-3310BECB81B3}"/>
    <cellStyle name="Normal 4 6 15" xfId="27760" xr:uid="{806812BF-5AA2-4E22-B198-7BC758F27460}"/>
    <cellStyle name="Normal 4 6 16" xfId="29650" xr:uid="{D77C82DC-96E6-4EDF-A816-E12339D06B0A}"/>
    <cellStyle name="Normal 4 6 17" xfId="31540" xr:uid="{4E449CEC-387A-47D6-A189-18A7D5BF3594}"/>
    <cellStyle name="Normal 4 6 18" xfId="33430" xr:uid="{FE9117B2-2C76-4227-AC6A-3DAEC5B50EAF}"/>
    <cellStyle name="Normal 4 6 19" xfId="35320" xr:uid="{5FAA22A3-E4BB-4D88-84D9-02A70C800963}"/>
    <cellStyle name="Normal 4 6 2" xfId="3190" xr:uid="{AED0D270-0B20-48B7-830E-66A596235BD6}"/>
    <cellStyle name="Normal 4 6 20" xfId="37210" xr:uid="{5C0DE5B8-287D-4FB9-AD3A-81C64F1D535B}"/>
    <cellStyle name="Normal 4 6 21" xfId="39100" xr:uid="{5FCFD1F2-671F-4800-93E9-B374E8AB807B}"/>
    <cellStyle name="Normal 4 6 22" xfId="40991" xr:uid="{4696AA2F-1783-4FB1-A380-9954D07FD593}"/>
    <cellStyle name="Normal 4 6 3" xfId="5080" xr:uid="{16C4137B-2537-4B75-A1C1-C3D45F6615B5}"/>
    <cellStyle name="Normal 4 6 4" xfId="6970" xr:uid="{A8051EE2-0FCF-44EB-A42B-81F102C54B5C}"/>
    <cellStyle name="Normal 4 6 5" xfId="8860" xr:uid="{B998EBFA-A06B-4869-AE97-F70CF10FB48E}"/>
    <cellStyle name="Normal 4 6 6" xfId="10750" xr:uid="{F3856D02-8861-4026-BA64-338403370F88}"/>
    <cellStyle name="Normal 4 6 7" xfId="12640" xr:uid="{9319C8C9-6DF5-499B-B663-961F1286783E}"/>
    <cellStyle name="Normal 4 6 8" xfId="14530" xr:uid="{8C7FA042-07CD-438C-A473-7772ADEDEB04}"/>
    <cellStyle name="Normal 4 6 9" xfId="16420" xr:uid="{499D7846-7B64-4350-9728-3F7886ED545E}"/>
    <cellStyle name="Normal 4 7" xfId="1930" xr:uid="{E5F832C1-26B8-45F7-815C-99C8F785616A}"/>
    <cellStyle name="Normal 4 8" xfId="3820" xr:uid="{C3326CB9-1A9B-4FE9-ABFB-055A1D5A4E98}"/>
    <cellStyle name="Normal 4 9" xfId="5710" xr:uid="{79EE6A67-BF0B-48D2-A02A-21DF90B91888}"/>
    <cellStyle name="Normal 5" xfId="27" xr:uid="{1E94538F-EF26-41E7-95B3-714CE00385C0}"/>
    <cellStyle name="Normal 5 10" xfId="7609" xr:uid="{1ACE9C52-DFD3-4350-8A37-C9B695C9DE85}"/>
    <cellStyle name="Normal 5 11" xfId="9499" xr:uid="{BE87C953-B462-4653-B4C4-A58AE9502653}"/>
    <cellStyle name="Normal 5 12" xfId="11389" xr:uid="{76AA8700-032D-46D3-8C1E-5FD84465B6D7}"/>
    <cellStyle name="Normal 5 13" xfId="13279" xr:uid="{CFE486FF-8537-4BFA-A8AA-8E7AA618DEFE}"/>
    <cellStyle name="Normal 5 14" xfId="15169" xr:uid="{2B0EFCE9-83E7-4B75-92A0-7773E557E92A}"/>
    <cellStyle name="Normal 5 15" xfId="17059" xr:uid="{8EF99339-DAA3-46B5-90A7-C85F9FB8B31F}"/>
    <cellStyle name="Normal 5 16" xfId="18949" xr:uid="{B0D10D7F-8C5A-403A-98C7-224919D715A5}"/>
    <cellStyle name="Normal 5 17" xfId="20839" xr:uid="{CB866012-3539-4AA9-A205-424510C7CDE7}"/>
    <cellStyle name="Normal 5 18" xfId="22729" xr:uid="{2CF1F9F1-C8EA-4C47-8DE8-987871BCD729}"/>
    <cellStyle name="Normal 5 19" xfId="24619" xr:uid="{872FD2B3-633A-4BB3-BF83-163B9CEC0825}"/>
    <cellStyle name="Normal 5 2" xfId="154" xr:uid="{7A34666C-DBE5-4232-9277-1A3BA230EBE2}"/>
    <cellStyle name="Normal 5 2 10" xfId="9604" xr:uid="{E33A3E0A-31DF-451B-8872-681299B43BA6}"/>
    <cellStyle name="Normal 5 2 11" xfId="11494" xr:uid="{3B75C49D-37BA-427D-853A-D568EE424D51}"/>
    <cellStyle name="Normal 5 2 12" xfId="13384" xr:uid="{1D79550B-A492-48E8-9818-AFB669ACF488}"/>
    <cellStyle name="Normal 5 2 13" xfId="15274" xr:uid="{2D1E9EF8-7D8E-40F9-ACD3-87ECDCE46272}"/>
    <cellStyle name="Normal 5 2 14" xfId="17164" xr:uid="{963BABE7-6BCD-4203-94FB-8BED96629A00}"/>
    <cellStyle name="Normal 5 2 15" xfId="19054" xr:uid="{EB916F9C-AE85-49DE-AEE7-1C05181B3FFF}"/>
    <cellStyle name="Normal 5 2 16" xfId="20944" xr:uid="{19CBFCD7-21E9-4168-867F-8AEF2C2CC4D5}"/>
    <cellStyle name="Normal 5 2 17" xfId="22834" xr:uid="{778805D8-CF77-4E10-9D4A-ED308E071ECB}"/>
    <cellStyle name="Normal 5 2 18" xfId="24724" xr:uid="{B0B239B4-821D-4559-A82F-A004645CC985}"/>
    <cellStyle name="Normal 5 2 19" xfId="26614" xr:uid="{F398025F-F386-4634-B463-C562DDB66957}"/>
    <cellStyle name="Normal 5 2 2" xfId="364" xr:uid="{9BD828AE-6724-4C9F-87E6-7FCCA5A6FBF5}"/>
    <cellStyle name="Normal 5 2 2 10" xfId="13594" xr:uid="{1564C14E-2DFC-4228-9E8F-3CFB901EDDC1}"/>
    <cellStyle name="Normal 5 2 2 11" xfId="15484" xr:uid="{8E4B8D59-3EEF-44AD-9975-34DA68DCC2D0}"/>
    <cellStyle name="Normal 5 2 2 12" xfId="17374" xr:uid="{62AF64AE-F021-455C-A766-0E87610D08B1}"/>
    <cellStyle name="Normal 5 2 2 13" xfId="19264" xr:uid="{47E35919-11A6-415D-98EC-445B0A3FF1AF}"/>
    <cellStyle name="Normal 5 2 2 14" xfId="21154" xr:uid="{DB7591F7-B172-42C2-AD5C-6D1499C37404}"/>
    <cellStyle name="Normal 5 2 2 15" xfId="23044" xr:uid="{A0A50773-D795-4433-9CEF-C13AF8A23B99}"/>
    <cellStyle name="Normal 5 2 2 16" xfId="24934" xr:uid="{DDAB7094-2221-489E-B68D-9AA4D49EF931}"/>
    <cellStyle name="Normal 5 2 2 17" xfId="26824" xr:uid="{A10193FB-C999-454C-AA15-F66F5FE14928}"/>
    <cellStyle name="Normal 5 2 2 18" xfId="28714" xr:uid="{15CF2968-61AD-4A80-AC1B-0C6E4FF8AFAD}"/>
    <cellStyle name="Normal 5 2 2 19" xfId="30604" xr:uid="{9C33B9D1-9974-4A19-997A-AA9F36C47A9E}"/>
    <cellStyle name="Normal 5 2 2 2" xfId="994" xr:uid="{0628AB3D-031F-43F2-B4FE-4919ACD0410A}"/>
    <cellStyle name="Normal 5 2 2 2 10" xfId="18004" xr:uid="{8FC0D125-334E-4FB6-BA50-686D0BC1E31B}"/>
    <cellStyle name="Normal 5 2 2 2 11" xfId="19894" xr:uid="{C62133AE-1A8B-4099-B967-86845154DB89}"/>
    <cellStyle name="Normal 5 2 2 2 12" xfId="21784" xr:uid="{A1312AC5-B8BB-433D-9DE6-A2842115DF6E}"/>
    <cellStyle name="Normal 5 2 2 2 13" xfId="23674" xr:uid="{5ACBF3AF-EB41-47D8-A321-A6C7F372A741}"/>
    <cellStyle name="Normal 5 2 2 2 14" xfId="25564" xr:uid="{26682965-BF3E-4F20-85DC-CAB99E92B36D}"/>
    <cellStyle name="Normal 5 2 2 2 15" xfId="27454" xr:uid="{F9E7C704-1423-490A-87AB-5040571F2B85}"/>
    <cellStyle name="Normal 5 2 2 2 16" xfId="29344" xr:uid="{ECD0C48B-CE35-4577-937D-3BBE1DC32E5B}"/>
    <cellStyle name="Normal 5 2 2 2 17" xfId="31234" xr:uid="{3E1A2927-717B-4356-A82C-94DF931E7DF8}"/>
    <cellStyle name="Normal 5 2 2 2 18" xfId="33124" xr:uid="{620D7FFD-5319-4B06-82D9-2C109ACE7D1B}"/>
    <cellStyle name="Normal 5 2 2 2 19" xfId="35014" xr:uid="{979E9D07-9E4C-4695-B7FE-5BA0E66C9098}"/>
    <cellStyle name="Normal 5 2 2 2 2" xfId="2884" xr:uid="{38A8EDB8-4DE9-4756-ADF4-C7FCD8E69646}"/>
    <cellStyle name="Normal 5 2 2 2 20" xfId="36904" xr:uid="{EDE327D8-64FF-44D6-A217-C5C8965E096D}"/>
    <cellStyle name="Normal 5 2 2 2 21" xfId="38794" xr:uid="{CAB47E18-BA37-48CF-AB00-675E07F499A0}"/>
    <cellStyle name="Normal 5 2 2 2 22" xfId="40685" xr:uid="{73115A71-F0F2-4381-9EC2-535C6302898B}"/>
    <cellStyle name="Normal 5 2 2 2 3" xfId="4774" xr:uid="{F46DE7B2-72BC-47F1-B8CF-023A3ABDA5AA}"/>
    <cellStyle name="Normal 5 2 2 2 4" xfId="6664" xr:uid="{0AB9FBC8-861C-4311-86FC-7D24140D1CA8}"/>
    <cellStyle name="Normal 5 2 2 2 5" xfId="8554" xr:uid="{8C97AC8E-B15D-46D0-BD47-4384B528397A}"/>
    <cellStyle name="Normal 5 2 2 2 6" xfId="10444" xr:uid="{366A88F7-F073-49CE-91C0-3473A0D74843}"/>
    <cellStyle name="Normal 5 2 2 2 7" xfId="12334" xr:uid="{78659D5E-CF5D-4099-A09E-36D311ED0254}"/>
    <cellStyle name="Normal 5 2 2 2 8" xfId="14224" xr:uid="{F1C7CC12-6A19-40EB-9114-971C30FBFC30}"/>
    <cellStyle name="Normal 5 2 2 2 9" xfId="16114" xr:uid="{85B5F237-13C4-4464-8FC2-D2AB54F0ED93}"/>
    <cellStyle name="Normal 5 2 2 20" xfId="32494" xr:uid="{AB4FADF5-F6CE-4FF2-BA51-17A42B5CADDB}"/>
    <cellStyle name="Normal 5 2 2 21" xfId="34384" xr:uid="{52D6E8C8-4CA3-483C-B74B-E0E4136438D3}"/>
    <cellStyle name="Normal 5 2 2 22" xfId="36274" xr:uid="{BA169AA7-2235-4B5F-9403-2C79F217F9E3}"/>
    <cellStyle name="Normal 5 2 2 23" xfId="38164" xr:uid="{EFD56583-2AE3-4C8F-A6C5-1182080D6CEA}"/>
    <cellStyle name="Normal 5 2 2 24" xfId="40055" xr:uid="{2CC6AFE8-E1E8-447F-AAFB-955B1E76F2B7}"/>
    <cellStyle name="Normal 5 2 2 3" xfId="1624" xr:uid="{419D25DB-B266-4A56-9E5E-139E5C225FDC}"/>
    <cellStyle name="Normal 5 2 2 3 10" xfId="18634" xr:uid="{06B19852-4296-43B4-A032-C21CC9D8DC0B}"/>
    <cellStyle name="Normal 5 2 2 3 11" xfId="20524" xr:uid="{1463AA37-9AD3-4B6F-9C16-13156B56DCA5}"/>
    <cellStyle name="Normal 5 2 2 3 12" xfId="22414" xr:uid="{219314FB-7E0F-47DB-83E6-98D45A052AD5}"/>
    <cellStyle name="Normal 5 2 2 3 13" xfId="24304" xr:uid="{ACAFB01C-1332-47AC-A8C4-27B145587F1D}"/>
    <cellStyle name="Normal 5 2 2 3 14" xfId="26194" xr:uid="{236D0390-DFE6-4CD1-B90F-F44B1F14D50D}"/>
    <cellStyle name="Normal 5 2 2 3 15" xfId="28084" xr:uid="{A6FCB02B-F94A-40FC-A89D-998C8AD3D25A}"/>
    <cellStyle name="Normal 5 2 2 3 16" xfId="29974" xr:uid="{30C897B4-018C-4B89-80FB-7FDE60E9FEEA}"/>
    <cellStyle name="Normal 5 2 2 3 17" xfId="31864" xr:uid="{B26F7BDB-4406-4A8B-9C67-132E3574C82F}"/>
    <cellStyle name="Normal 5 2 2 3 18" xfId="33754" xr:uid="{04EC32D9-1605-4652-A558-74F861F849E4}"/>
    <cellStyle name="Normal 5 2 2 3 19" xfId="35644" xr:uid="{66577B1D-6DFF-4DEF-8C78-9F9F246AD19D}"/>
    <cellStyle name="Normal 5 2 2 3 2" xfId="3514" xr:uid="{4EE8D7CA-5E3E-4E49-B5E9-CAF54D0C13B3}"/>
    <cellStyle name="Normal 5 2 2 3 20" xfId="37534" xr:uid="{28FCF0D0-ED64-43DC-9EA9-2028E0BDE954}"/>
    <cellStyle name="Normal 5 2 2 3 21" xfId="39424" xr:uid="{2C265745-1D89-4F8C-BAEE-718ED9DCADFF}"/>
    <cellStyle name="Normal 5 2 2 3 22" xfId="41315" xr:uid="{2440C00E-08DE-49E0-A351-04B5570B1794}"/>
    <cellStyle name="Normal 5 2 2 3 3" xfId="5404" xr:uid="{39839456-37EE-4C33-B805-EF0A746367A3}"/>
    <cellStyle name="Normal 5 2 2 3 4" xfId="7294" xr:uid="{6AD6F465-17E8-441F-A1CD-129E88636724}"/>
    <cellStyle name="Normal 5 2 2 3 5" xfId="9184" xr:uid="{6E17C2DC-C003-487B-B9C1-3B7DB82D63D9}"/>
    <cellStyle name="Normal 5 2 2 3 6" xfId="11074" xr:uid="{1829A783-F945-4357-9CB1-4146EBC2347D}"/>
    <cellStyle name="Normal 5 2 2 3 7" xfId="12964" xr:uid="{A10E4BF9-7438-4435-93D6-311D9E33A881}"/>
    <cellStyle name="Normal 5 2 2 3 8" xfId="14854" xr:uid="{AECE87A3-E743-44C0-B086-4E58638DA593}"/>
    <cellStyle name="Normal 5 2 2 3 9" xfId="16744" xr:uid="{D6ED1ADB-6A13-431D-8D88-EC46CBF69D9F}"/>
    <cellStyle name="Normal 5 2 2 4" xfId="2254" xr:uid="{9126FE9D-4584-4BDC-A683-24CAA540A83D}"/>
    <cellStyle name="Normal 5 2 2 5" xfId="4144" xr:uid="{9E2A200F-61A9-44CE-BA57-2A3CB45CF2E9}"/>
    <cellStyle name="Normal 5 2 2 6" xfId="6034" xr:uid="{B2098926-971B-4089-B1F7-4DC218C78C4D}"/>
    <cellStyle name="Normal 5 2 2 7" xfId="7924" xr:uid="{99603DB0-8346-448F-B733-555405A730DB}"/>
    <cellStyle name="Normal 5 2 2 8" xfId="9814" xr:uid="{88F600BE-CEEB-43E7-B662-36CF5DC0898B}"/>
    <cellStyle name="Normal 5 2 2 9" xfId="11704" xr:uid="{6F0ED7A7-F75C-4E01-9E47-871EB2C4996D}"/>
    <cellStyle name="Normal 5 2 20" xfId="28504" xr:uid="{E3EE58EE-DE19-4728-82C4-948866C9E6B9}"/>
    <cellStyle name="Normal 5 2 21" xfId="30394" xr:uid="{68774327-D833-4C4A-83BD-BAB0D378E49F}"/>
    <cellStyle name="Normal 5 2 22" xfId="32284" xr:uid="{CE51F8E0-C8E1-48D6-8356-A31879753302}"/>
    <cellStyle name="Normal 5 2 23" xfId="34174" xr:uid="{C6B45DCD-9514-4218-80EC-95B87997316E}"/>
    <cellStyle name="Normal 5 2 24" xfId="36064" xr:uid="{BD93D815-72BA-4B3C-B2D3-E212DAA60325}"/>
    <cellStyle name="Normal 5 2 25" xfId="37954" xr:uid="{FEA04B10-D92E-4098-AEB5-689E4E9520FE}"/>
    <cellStyle name="Normal 5 2 26" xfId="39845" xr:uid="{252D7C97-57C5-43CC-A981-E4CD4D8B5AA8}"/>
    <cellStyle name="Normal 5 2 3" xfId="574" xr:uid="{49AB7B22-843A-441A-BBF9-CF2BD2F30566}"/>
    <cellStyle name="Normal 5 2 3 10" xfId="13804" xr:uid="{08E2AEFA-7FDD-4295-B620-1C322574F8B8}"/>
    <cellStyle name="Normal 5 2 3 11" xfId="15694" xr:uid="{5EB467AB-81C1-4744-9FB7-BEE7EED7E614}"/>
    <cellStyle name="Normal 5 2 3 12" xfId="17584" xr:uid="{209D75B0-702C-4AFE-A3CF-A451E7551F26}"/>
    <cellStyle name="Normal 5 2 3 13" xfId="19474" xr:uid="{9E4A6C19-3100-403B-8912-2220FE701648}"/>
    <cellStyle name="Normal 5 2 3 14" xfId="21364" xr:uid="{07ECA0B9-E0B4-43FF-8942-65ACF2C239EA}"/>
    <cellStyle name="Normal 5 2 3 15" xfId="23254" xr:uid="{6D59D9B6-3DA5-4FEE-AA7B-E3A745DD1EBC}"/>
    <cellStyle name="Normal 5 2 3 16" xfId="25144" xr:uid="{D0BD0668-E5CE-4A85-8649-59A8A8442BA6}"/>
    <cellStyle name="Normal 5 2 3 17" xfId="27034" xr:uid="{221A5978-1567-4875-9EA8-25106FB36450}"/>
    <cellStyle name="Normal 5 2 3 18" xfId="28924" xr:uid="{5AA7ACB7-E06E-4208-901F-A188FD0C95E5}"/>
    <cellStyle name="Normal 5 2 3 19" xfId="30814" xr:uid="{0C83C79F-9275-4114-9634-574374314602}"/>
    <cellStyle name="Normal 5 2 3 2" xfId="1204" xr:uid="{84DB1D8A-D790-4373-A6BA-E120E4B94B89}"/>
    <cellStyle name="Normal 5 2 3 2 10" xfId="18214" xr:uid="{A46311E0-9D7B-46D5-BB9C-2B8E6E2DC1FF}"/>
    <cellStyle name="Normal 5 2 3 2 11" xfId="20104" xr:uid="{37C645E9-9561-4E50-8F1A-1A6171C8166C}"/>
    <cellStyle name="Normal 5 2 3 2 12" xfId="21994" xr:uid="{3D849B7E-E85F-4CED-90CF-86EA80DC51C7}"/>
    <cellStyle name="Normal 5 2 3 2 13" xfId="23884" xr:uid="{6E938C5C-DFAE-4EC3-A691-7D70E033A6DB}"/>
    <cellStyle name="Normal 5 2 3 2 14" xfId="25774" xr:uid="{2F73C03C-A22C-46AC-8AD5-37AFD3C6A495}"/>
    <cellStyle name="Normal 5 2 3 2 15" xfId="27664" xr:uid="{C7ED3CDA-8A00-473A-A643-AEA420D81EBE}"/>
    <cellStyle name="Normal 5 2 3 2 16" xfId="29554" xr:uid="{B41D7484-3478-4638-9FD4-74D8EEAC01BD}"/>
    <cellStyle name="Normal 5 2 3 2 17" xfId="31444" xr:uid="{11E41CCA-BD31-49BF-A653-2407A0268AAA}"/>
    <cellStyle name="Normal 5 2 3 2 18" xfId="33334" xr:uid="{0EDA6658-03AA-4C97-A497-EDB5E6708D16}"/>
    <cellStyle name="Normal 5 2 3 2 19" xfId="35224" xr:uid="{93C96F6C-F3FE-4288-9A0B-A431215FCCEB}"/>
    <cellStyle name="Normal 5 2 3 2 2" xfId="3094" xr:uid="{8255E158-5146-4901-BE10-7237981CC37C}"/>
    <cellStyle name="Normal 5 2 3 2 20" xfId="37114" xr:uid="{01D7E4B7-F229-4630-8563-12230C539842}"/>
    <cellStyle name="Normal 5 2 3 2 21" xfId="39004" xr:uid="{03826270-A254-4659-8E88-FF3B300EC3A1}"/>
    <cellStyle name="Normal 5 2 3 2 22" xfId="40895" xr:uid="{A7052609-D013-456D-A064-0F2154AAB54C}"/>
    <cellStyle name="Normal 5 2 3 2 3" xfId="4984" xr:uid="{70470A91-AF99-4A50-8671-05E7DB44A52F}"/>
    <cellStyle name="Normal 5 2 3 2 4" xfId="6874" xr:uid="{A72558C9-37A9-475D-9B5B-3D9AFDD40A35}"/>
    <cellStyle name="Normal 5 2 3 2 5" xfId="8764" xr:uid="{9BE9BBFE-A653-41B4-B96E-F789364C3C49}"/>
    <cellStyle name="Normal 5 2 3 2 6" xfId="10654" xr:uid="{43F4808C-367A-4CB8-9A44-F867F336D0BD}"/>
    <cellStyle name="Normal 5 2 3 2 7" xfId="12544" xr:uid="{2B7205AB-F16B-4AE2-B7B8-C6EB4D49B1D1}"/>
    <cellStyle name="Normal 5 2 3 2 8" xfId="14434" xr:uid="{8981614A-FBAE-4781-B1E3-355DA0F46860}"/>
    <cellStyle name="Normal 5 2 3 2 9" xfId="16324" xr:uid="{0B44076E-4F85-423E-A67C-CA3D1B8246D0}"/>
    <cellStyle name="Normal 5 2 3 20" xfId="32704" xr:uid="{31ED59EE-6678-49A2-9241-0FA859BCB1A1}"/>
    <cellStyle name="Normal 5 2 3 21" xfId="34594" xr:uid="{6AD0211D-7914-4C6D-A919-01B8F12741CF}"/>
    <cellStyle name="Normal 5 2 3 22" xfId="36484" xr:uid="{427D84CF-85DF-4F6C-8614-32C5A248E5D6}"/>
    <cellStyle name="Normal 5 2 3 23" xfId="38374" xr:uid="{02496B37-331C-4F44-A280-6DA46AE2DD4C}"/>
    <cellStyle name="Normal 5 2 3 24" xfId="40265" xr:uid="{425A27B2-E5F7-45F1-B7E4-E3F597D7D892}"/>
    <cellStyle name="Normal 5 2 3 3" xfId="1834" xr:uid="{6894B7B8-A7F1-420C-BC3C-CB735D5725F7}"/>
    <cellStyle name="Normal 5 2 3 3 10" xfId="18844" xr:uid="{B2546EB2-6976-4CD9-8E2D-359CA1F447A3}"/>
    <cellStyle name="Normal 5 2 3 3 11" xfId="20734" xr:uid="{9F978334-B07A-4C27-8D66-82C6EACC1DFC}"/>
    <cellStyle name="Normal 5 2 3 3 12" xfId="22624" xr:uid="{5059316B-30AC-4F03-AB41-4BEBD44E1627}"/>
    <cellStyle name="Normal 5 2 3 3 13" xfId="24514" xr:uid="{B2BF8959-7600-4295-81CE-E735C40543DC}"/>
    <cellStyle name="Normal 5 2 3 3 14" xfId="26404" xr:uid="{E4992EE1-65C4-48BA-A1C6-FFDC3966EDD1}"/>
    <cellStyle name="Normal 5 2 3 3 15" xfId="28294" xr:uid="{4E95C11B-32AF-42A3-9A2F-A7D1D663EB8F}"/>
    <cellStyle name="Normal 5 2 3 3 16" xfId="30184" xr:uid="{3B433A24-F187-43B8-9D57-315ECE338BE5}"/>
    <cellStyle name="Normal 5 2 3 3 17" xfId="32074" xr:uid="{18150C6D-53E9-446A-B37D-0038CE1D8A6E}"/>
    <cellStyle name="Normal 5 2 3 3 18" xfId="33964" xr:uid="{41E34C80-B80A-4343-BE6A-F84CC42D98D2}"/>
    <cellStyle name="Normal 5 2 3 3 19" xfId="35854" xr:uid="{74E4EB49-70BF-49B5-9D18-1EF08A3B2085}"/>
    <cellStyle name="Normal 5 2 3 3 2" xfId="3724" xr:uid="{23E4ECCA-925E-40EA-93FB-82F54487036E}"/>
    <cellStyle name="Normal 5 2 3 3 20" xfId="37744" xr:uid="{8507A639-7601-4BB8-9634-20F5B9B73712}"/>
    <cellStyle name="Normal 5 2 3 3 21" xfId="39634" xr:uid="{C8A6A034-1116-4298-A105-6F03B0C1F9AC}"/>
    <cellStyle name="Normal 5 2 3 3 22" xfId="41525" xr:uid="{D26607B8-5924-4852-8AEE-1B76D035E3D7}"/>
    <cellStyle name="Normal 5 2 3 3 3" xfId="5614" xr:uid="{AC64E712-9F9D-460D-9ED9-D86CC0DF01FC}"/>
    <cellStyle name="Normal 5 2 3 3 4" xfId="7504" xr:uid="{72501BC7-137A-4587-A9F9-5140C35ADF68}"/>
    <cellStyle name="Normal 5 2 3 3 5" xfId="9394" xr:uid="{10D44507-80B2-436C-BEDA-55101F2B53B9}"/>
    <cellStyle name="Normal 5 2 3 3 6" xfId="11284" xr:uid="{BB52F221-0CDD-495C-8D5B-26E48BB140C9}"/>
    <cellStyle name="Normal 5 2 3 3 7" xfId="13174" xr:uid="{10AE342D-1072-42AA-8ED2-0FF970A61EE9}"/>
    <cellStyle name="Normal 5 2 3 3 8" xfId="15064" xr:uid="{0C7A5407-4A81-443C-8E00-1F0EA931D40A}"/>
    <cellStyle name="Normal 5 2 3 3 9" xfId="16954" xr:uid="{07D37F5A-57E0-4BCE-AE45-82E7D3D286A7}"/>
    <cellStyle name="Normal 5 2 3 4" xfId="2464" xr:uid="{9EE1FBCE-5AC6-4E3A-82C5-A6136DD4325A}"/>
    <cellStyle name="Normal 5 2 3 5" xfId="4354" xr:uid="{46901911-BD88-4B9D-9C7F-3D8F274E4472}"/>
    <cellStyle name="Normal 5 2 3 6" xfId="6244" xr:uid="{7CE43629-772F-42C1-8563-5C5D9226A551}"/>
    <cellStyle name="Normal 5 2 3 7" xfId="8134" xr:uid="{A7300712-D48B-4D14-90F7-5D3C0D128299}"/>
    <cellStyle name="Normal 5 2 3 8" xfId="10024" xr:uid="{E931B3CB-BF63-47B7-AA28-031540331EB6}"/>
    <cellStyle name="Normal 5 2 3 9" xfId="11914" xr:uid="{A726ADB7-103C-49DE-85FB-A4F47618942E}"/>
    <cellStyle name="Normal 5 2 4" xfId="784" xr:uid="{416F345C-1F8F-4D4E-B0FE-4AA212EEF8FF}"/>
    <cellStyle name="Normal 5 2 4 10" xfId="17794" xr:uid="{62AD8D67-89F3-4D4B-B282-F3FA7282B417}"/>
    <cellStyle name="Normal 5 2 4 11" xfId="19684" xr:uid="{918D42D3-61B7-445A-8D6F-E7A26A009D3B}"/>
    <cellStyle name="Normal 5 2 4 12" xfId="21574" xr:uid="{388C034E-4406-4F5F-96E2-529B18D6F92B}"/>
    <cellStyle name="Normal 5 2 4 13" xfId="23464" xr:uid="{815F10EB-F24F-429B-9255-F9C278AA157E}"/>
    <cellStyle name="Normal 5 2 4 14" xfId="25354" xr:uid="{BCD58774-0304-4297-BD2F-063DFB327E4B}"/>
    <cellStyle name="Normal 5 2 4 15" xfId="27244" xr:uid="{549CABFA-573B-4FC6-ACD1-6AE4CD23F527}"/>
    <cellStyle name="Normal 5 2 4 16" xfId="29134" xr:uid="{095C672F-78A6-40CE-84C3-C7BF14524DE8}"/>
    <cellStyle name="Normal 5 2 4 17" xfId="31024" xr:uid="{5DC37B6F-9A8F-4405-8312-9C78E358867D}"/>
    <cellStyle name="Normal 5 2 4 18" xfId="32914" xr:uid="{AC8225C3-246B-41B7-A65C-BD94AEAD7C2D}"/>
    <cellStyle name="Normal 5 2 4 19" xfId="34804" xr:uid="{2DD10096-08DA-4E23-9D51-25540896E021}"/>
    <cellStyle name="Normal 5 2 4 2" xfId="2674" xr:uid="{B851E004-5689-47FB-A21D-580A1AD2A87E}"/>
    <cellStyle name="Normal 5 2 4 20" xfId="36694" xr:uid="{87C64509-EC80-4F68-B1D8-1C662CAF7C15}"/>
    <cellStyle name="Normal 5 2 4 21" xfId="38584" xr:uid="{ED960C86-968A-40FE-A621-C0690B743DB1}"/>
    <cellStyle name="Normal 5 2 4 22" xfId="40475" xr:uid="{D17B60D8-FB19-4E8F-8B74-F5A8B6FB81C9}"/>
    <cellStyle name="Normal 5 2 4 3" xfId="4564" xr:uid="{D318258B-2B7B-4BEC-9E07-88CDC1FDF4E5}"/>
    <cellStyle name="Normal 5 2 4 4" xfId="6454" xr:uid="{8FAF43C7-9A15-4759-ABF2-514583148B0F}"/>
    <cellStyle name="Normal 5 2 4 5" xfId="8344" xr:uid="{1A3886CA-E7AF-4684-9F8B-C0C4C6444643}"/>
    <cellStyle name="Normal 5 2 4 6" xfId="10234" xr:uid="{2E1EECC1-79F9-4D6D-AA3F-82F0E5A88809}"/>
    <cellStyle name="Normal 5 2 4 7" xfId="12124" xr:uid="{87DFCD09-E9A9-4A85-BBB6-437189C215D0}"/>
    <cellStyle name="Normal 5 2 4 8" xfId="14014" xr:uid="{C00A4B4C-D056-40DE-A7E5-BD5E951C3D13}"/>
    <cellStyle name="Normal 5 2 4 9" xfId="15904" xr:uid="{9C85E128-63EA-4681-ACAC-790AA25588C2}"/>
    <cellStyle name="Normal 5 2 5" xfId="1414" xr:uid="{76E98660-47A3-456D-A95A-C200694F3210}"/>
    <cellStyle name="Normal 5 2 5 10" xfId="18424" xr:uid="{BD22E55B-16DB-4BA7-86F9-831A0767D08B}"/>
    <cellStyle name="Normal 5 2 5 11" xfId="20314" xr:uid="{B45C143A-6084-4C83-87C2-820575D7F4B4}"/>
    <cellStyle name="Normal 5 2 5 12" xfId="22204" xr:uid="{5AECC82B-D1D4-4EAF-B166-DBDE6015ED45}"/>
    <cellStyle name="Normal 5 2 5 13" xfId="24094" xr:uid="{BE428BAC-F276-47E8-A49F-8E4E1FE5F3D2}"/>
    <cellStyle name="Normal 5 2 5 14" xfId="25984" xr:uid="{E83C294F-71A7-495F-9887-0B6AD9583FD2}"/>
    <cellStyle name="Normal 5 2 5 15" xfId="27874" xr:uid="{A3D44365-A7CE-4C9F-8324-6B6417AD424D}"/>
    <cellStyle name="Normal 5 2 5 16" xfId="29764" xr:uid="{904E689A-4E2F-4E74-BEBA-7D9B4959250A}"/>
    <cellStyle name="Normal 5 2 5 17" xfId="31654" xr:uid="{F3A64BD6-3776-42DB-9AD0-FE790B174F8B}"/>
    <cellStyle name="Normal 5 2 5 18" xfId="33544" xr:uid="{5BD98230-6D72-4562-B639-24872C0F0735}"/>
    <cellStyle name="Normal 5 2 5 19" xfId="35434" xr:uid="{1EFD8C88-10FC-49B8-90DF-27009EB1A869}"/>
    <cellStyle name="Normal 5 2 5 2" xfId="3304" xr:uid="{5E01082E-442A-460C-A841-866759C04B77}"/>
    <cellStyle name="Normal 5 2 5 20" xfId="37324" xr:uid="{6661ABDA-6828-4BF2-916E-41208A94C62E}"/>
    <cellStyle name="Normal 5 2 5 21" xfId="39214" xr:uid="{13B596E7-0611-4923-850A-CD7BBDAB5276}"/>
    <cellStyle name="Normal 5 2 5 22" xfId="41105" xr:uid="{9AF5906D-44B1-448D-A986-387B3C4AAB1C}"/>
    <cellStyle name="Normal 5 2 5 3" xfId="5194" xr:uid="{B81B999D-C28F-4B05-8AC9-CFC178593168}"/>
    <cellStyle name="Normal 5 2 5 4" xfId="7084" xr:uid="{0467051D-965C-4A6E-9898-1E3CA530162A}"/>
    <cellStyle name="Normal 5 2 5 5" xfId="8974" xr:uid="{8E0CC58E-6334-4BB5-A077-77C8527DA239}"/>
    <cellStyle name="Normal 5 2 5 6" xfId="10864" xr:uid="{307158A9-DD56-44FC-919A-E866CC4C2AE9}"/>
    <cellStyle name="Normal 5 2 5 7" xfId="12754" xr:uid="{94B8E689-480B-4397-A549-3A1E6B2483DB}"/>
    <cellStyle name="Normal 5 2 5 8" xfId="14644" xr:uid="{4E5AEDAF-1655-4C6F-902E-D1CE22E714FE}"/>
    <cellStyle name="Normal 5 2 5 9" xfId="16534" xr:uid="{1BDE89C8-C64E-4AF4-AA90-82A2D6F48D6B}"/>
    <cellStyle name="Normal 5 2 6" xfId="2044" xr:uid="{6BBD9C17-A06D-45A6-BBF6-E1AE7E6DF51D}"/>
    <cellStyle name="Normal 5 2 7" xfId="3934" xr:uid="{6BD6C0ED-3B1D-471C-A146-8555E834A907}"/>
    <cellStyle name="Normal 5 2 8" xfId="5824" xr:uid="{88218231-F9F7-4C83-AF24-9CFD2EB02935}"/>
    <cellStyle name="Normal 5 2 9" xfId="7714" xr:uid="{F18E20B4-0F5B-456D-BFDF-FB6D72446D8B}"/>
    <cellStyle name="Normal 5 20" xfId="26509" xr:uid="{0A72224E-D3F6-4544-BFA2-B74E28A15A3E}"/>
    <cellStyle name="Normal 5 21" xfId="28399" xr:uid="{E87B599C-20D0-4A5F-BD34-0D6A497005ED}"/>
    <cellStyle name="Normal 5 22" xfId="30289" xr:uid="{B831F0BB-A7DC-49A1-AD51-6A3F0BE90C94}"/>
    <cellStyle name="Normal 5 23" xfId="32179" xr:uid="{A633D312-E3CF-42EF-9165-1929E0314803}"/>
    <cellStyle name="Normal 5 24" xfId="34069" xr:uid="{55576BE3-DFC6-402D-BBFC-9325A7CD47B6}"/>
    <cellStyle name="Normal 5 25" xfId="35959" xr:uid="{42063409-52FC-4450-95CC-8653C663F1FF}"/>
    <cellStyle name="Normal 5 26" xfId="37849" xr:uid="{9A922433-BBAC-4465-A0E2-4390DAC03E7B}"/>
    <cellStyle name="Normal 5 27" xfId="39740" xr:uid="{0B30A2D5-A7FF-4462-91D1-8246B62BEEB5}"/>
    <cellStyle name="Normal 5 3" xfId="259" xr:uid="{B076CB36-9507-46B8-9A23-50E8C429468D}"/>
    <cellStyle name="Normal 5 3 10" xfId="13489" xr:uid="{A80C14B3-A581-4B67-85DC-AA333A03ADFC}"/>
    <cellStyle name="Normal 5 3 11" xfId="15379" xr:uid="{3A87F143-6100-441F-9CA9-BB6E064F3269}"/>
    <cellStyle name="Normal 5 3 12" xfId="17269" xr:uid="{EE4F0997-1F26-4228-A291-AA388EEC4155}"/>
    <cellStyle name="Normal 5 3 13" xfId="19159" xr:uid="{31F7FCD3-5A3C-4F96-87A6-C78614F84596}"/>
    <cellStyle name="Normal 5 3 14" xfId="21049" xr:uid="{C677578C-81BD-4F86-80CC-CECBBEF53775}"/>
    <cellStyle name="Normal 5 3 15" xfId="22939" xr:uid="{ED0DB7F4-DBC3-4539-AABF-F0FAE5849AE7}"/>
    <cellStyle name="Normal 5 3 16" xfId="24829" xr:uid="{CFFD062F-6A73-47DC-BCD2-7FD8E4799386}"/>
    <cellStyle name="Normal 5 3 17" xfId="26719" xr:uid="{A04C2A43-237D-4723-A48D-D11191AAEC88}"/>
    <cellStyle name="Normal 5 3 18" xfId="28609" xr:uid="{126141C3-E2FD-4FB9-A8A0-C0B00CD1DD19}"/>
    <cellStyle name="Normal 5 3 19" xfId="30499" xr:uid="{4A5E7AF4-F84F-4791-A7EA-8EC846981558}"/>
    <cellStyle name="Normal 5 3 2" xfId="889" xr:uid="{0B5D227F-C6AB-4827-9615-523D63D3142A}"/>
    <cellStyle name="Normal 5 3 2 10" xfId="17899" xr:uid="{C61B5462-D388-46B0-9C13-0A7045484829}"/>
    <cellStyle name="Normal 5 3 2 11" xfId="19789" xr:uid="{D473E50B-9EC0-41A8-882D-7E2F470F5D03}"/>
    <cellStyle name="Normal 5 3 2 12" xfId="21679" xr:uid="{45B63F44-845E-4618-A84F-BAA45249726F}"/>
    <cellStyle name="Normal 5 3 2 13" xfId="23569" xr:uid="{79E8C79F-0859-4B98-B8AF-D2F5971D4C29}"/>
    <cellStyle name="Normal 5 3 2 14" xfId="25459" xr:uid="{1066C7F6-3663-4EAB-BB7A-053BC16C09CC}"/>
    <cellStyle name="Normal 5 3 2 15" xfId="27349" xr:uid="{C05D4125-807E-4E72-A6AD-3822DA59D3EA}"/>
    <cellStyle name="Normal 5 3 2 16" xfId="29239" xr:uid="{F9F39207-63B0-4DE6-B21F-85CE3FB2985E}"/>
    <cellStyle name="Normal 5 3 2 17" xfId="31129" xr:uid="{BAD55308-23A1-4F4E-BFDB-8FD398940E2F}"/>
    <cellStyle name="Normal 5 3 2 18" xfId="33019" xr:uid="{1A2FF178-3210-4F99-A999-0B62891A043F}"/>
    <cellStyle name="Normal 5 3 2 19" xfId="34909" xr:uid="{A34B08FC-DF98-4891-8FE8-C16EE9DA5C2B}"/>
    <cellStyle name="Normal 5 3 2 2" xfId="2779" xr:uid="{A05EFFCE-7CDF-427C-BB8F-4EBC23A7BE4A}"/>
    <cellStyle name="Normal 5 3 2 20" xfId="36799" xr:uid="{58F15386-653B-4904-A9BF-DD709C98AFCA}"/>
    <cellStyle name="Normal 5 3 2 21" xfId="38689" xr:uid="{3EDAED13-7982-456C-B022-8F47BAFE735B}"/>
    <cellStyle name="Normal 5 3 2 22" xfId="40580" xr:uid="{DA29415E-2DD6-415E-89DA-6AC34015E859}"/>
    <cellStyle name="Normal 5 3 2 3" xfId="4669" xr:uid="{DA70046F-B151-4577-B4A4-DFE6FCE33BCE}"/>
    <cellStyle name="Normal 5 3 2 4" xfId="6559" xr:uid="{BC28D0B8-1EB7-4857-87BA-7B6373EBDE0D}"/>
    <cellStyle name="Normal 5 3 2 5" xfId="8449" xr:uid="{F18A327F-38D0-4A95-ADBE-39FCC77D3C83}"/>
    <cellStyle name="Normal 5 3 2 6" xfId="10339" xr:uid="{BD51A50E-278E-4B07-9F5F-A294E3A9FAE4}"/>
    <cellStyle name="Normal 5 3 2 7" xfId="12229" xr:uid="{585433AE-B9A4-40F6-9780-02A3FCDC84BA}"/>
    <cellStyle name="Normal 5 3 2 8" xfId="14119" xr:uid="{19CC92BE-2DD3-4984-9381-7BF86F105DDB}"/>
    <cellStyle name="Normal 5 3 2 9" xfId="16009" xr:uid="{8A73B134-F3BC-41A4-91F0-DCD6F6B132BA}"/>
    <cellStyle name="Normal 5 3 20" xfId="32389" xr:uid="{1CAAF6C2-293F-4330-9CA9-26BBF8B72CC4}"/>
    <cellStyle name="Normal 5 3 21" xfId="34279" xr:uid="{A74FF78D-B56B-47E6-92F5-1B3E978F3EFD}"/>
    <cellStyle name="Normal 5 3 22" xfId="36169" xr:uid="{5D8A0A97-F52F-4D31-90FE-B0AE85850A8B}"/>
    <cellStyle name="Normal 5 3 23" xfId="38059" xr:uid="{C02C12C6-3774-4EAE-9DF3-2D9927B5434B}"/>
    <cellStyle name="Normal 5 3 24" xfId="39950" xr:uid="{6F33CFE1-F268-4C02-9BBA-D075E0ED3A25}"/>
    <cellStyle name="Normal 5 3 3" xfId="1519" xr:uid="{F842091F-53DC-4C5C-A215-1668B8FD0F3D}"/>
    <cellStyle name="Normal 5 3 3 10" xfId="18529" xr:uid="{28A3F5DD-2CE4-4CD7-8221-88E830A24342}"/>
    <cellStyle name="Normal 5 3 3 11" xfId="20419" xr:uid="{F78A3BAC-3743-46CB-A550-DB61F6383F40}"/>
    <cellStyle name="Normal 5 3 3 12" xfId="22309" xr:uid="{D192960A-9572-4D4F-A6A9-B74CA38A4F4C}"/>
    <cellStyle name="Normal 5 3 3 13" xfId="24199" xr:uid="{B85586BF-A044-40CF-8DDD-FE520D1A953B}"/>
    <cellStyle name="Normal 5 3 3 14" xfId="26089" xr:uid="{A1471EBF-F80D-4D46-9EA1-DAEE360CCAC1}"/>
    <cellStyle name="Normal 5 3 3 15" xfId="27979" xr:uid="{099D49F0-86BA-4ED6-9F1D-2492042A03A3}"/>
    <cellStyle name="Normal 5 3 3 16" xfId="29869" xr:uid="{1F711ACF-4DAE-4CF8-9D06-5C40ED69AAAC}"/>
    <cellStyle name="Normal 5 3 3 17" xfId="31759" xr:uid="{961E1127-2482-4FA8-ADFC-788725A15031}"/>
    <cellStyle name="Normal 5 3 3 18" xfId="33649" xr:uid="{4CD4D695-EEB0-41E9-BF1A-EF5F69C2E115}"/>
    <cellStyle name="Normal 5 3 3 19" xfId="35539" xr:uid="{9F6DE691-8C02-4625-9DC3-FE7D6565CFE8}"/>
    <cellStyle name="Normal 5 3 3 2" xfId="3409" xr:uid="{7D6CEEE4-FC4A-49F6-BF67-7347DB91AD94}"/>
    <cellStyle name="Normal 5 3 3 20" xfId="37429" xr:uid="{7AF1E604-5204-4059-A0FF-038C0C89ED4D}"/>
    <cellStyle name="Normal 5 3 3 21" xfId="39319" xr:uid="{1CC77F13-9DDD-4C6D-81D7-F79164385A99}"/>
    <cellStyle name="Normal 5 3 3 22" xfId="41210" xr:uid="{2C2B2098-35FF-4BEF-8821-4CC0401173F2}"/>
    <cellStyle name="Normal 5 3 3 3" xfId="5299" xr:uid="{F66640CF-DB0F-421F-8DBB-9A8F4F391DEE}"/>
    <cellStyle name="Normal 5 3 3 4" xfId="7189" xr:uid="{A2C68237-9C33-493A-A92D-428CF6E248B3}"/>
    <cellStyle name="Normal 5 3 3 5" xfId="9079" xr:uid="{F9ACBEE6-A801-49E8-8242-DD31F3500DBE}"/>
    <cellStyle name="Normal 5 3 3 6" xfId="10969" xr:uid="{6C78AEF1-3456-4F03-A9A0-CAB4F85C6F42}"/>
    <cellStyle name="Normal 5 3 3 7" xfId="12859" xr:uid="{E3BBD554-5B27-4AD4-95B0-3FAA47AB073C}"/>
    <cellStyle name="Normal 5 3 3 8" xfId="14749" xr:uid="{90C7A38F-B7D1-42B9-A61E-CFA5D7318230}"/>
    <cellStyle name="Normal 5 3 3 9" xfId="16639" xr:uid="{A13B6D39-F598-4800-BAD1-8914014F643B}"/>
    <cellStyle name="Normal 5 3 4" xfId="2149" xr:uid="{448A8914-A723-4879-A471-84BB84B6D9C0}"/>
    <cellStyle name="Normal 5 3 5" xfId="4039" xr:uid="{BC4C6201-4D31-4ED1-9499-55D73655D412}"/>
    <cellStyle name="Normal 5 3 6" xfId="5929" xr:uid="{3B11FF0F-BCF0-4953-9097-45B15C11F7AE}"/>
    <cellStyle name="Normal 5 3 7" xfId="7819" xr:uid="{3C1AE6F8-974D-417A-B1A0-461DB1CC9351}"/>
    <cellStyle name="Normal 5 3 8" xfId="9709" xr:uid="{7249EC70-C5EF-4386-B56D-EC7844394189}"/>
    <cellStyle name="Normal 5 3 9" xfId="11599" xr:uid="{9C5A7FB8-F19E-494C-9C7F-8CC11110FDB3}"/>
    <cellStyle name="Normal 5 4" xfId="469" xr:uid="{DEC73186-420A-4059-BDA2-2AB1396C4D39}"/>
    <cellStyle name="Normal 5 4 10" xfId="13699" xr:uid="{2743E6EE-03E0-4BD6-B520-3F7017F6FB20}"/>
    <cellStyle name="Normal 5 4 11" xfId="15589" xr:uid="{7FDDDFE9-B656-44FD-9054-5E45D76B11FB}"/>
    <cellStyle name="Normal 5 4 12" xfId="17479" xr:uid="{7398A85B-BFD6-4775-A692-5695EF197D68}"/>
    <cellStyle name="Normal 5 4 13" xfId="19369" xr:uid="{B2D2BF3C-8E67-4B1C-8E15-BF25BD53A436}"/>
    <cellStyle name="Normal 5 4 14" xfId="21259" xr:uid="{7DE07460-A211-42FA-82D9-04F7C159B7FA}"/>
    <cellStyle name="Normal 5 4 15" xfId="23149" xr:uid="{B951DE3B-E81C-4C33-8FFD-5789C802008F}"/>
    <cellStyle name="Normal 5 4 16" xfId="25039" xr:uid="{EA7E963D-4C8B-4510-AA85-B811342D52D0}"/>
    <cellStyle name="Normal 5 4 17" xfId="26929" xr:uid="{E042DB02-4B25-47D8-9129-1C01FD178CEA}"/>
    <cellStyle name="Normal 5 4 18" xfId="28819" xr:uid="{3F700349-61DB-4E2F-9368-3C9BE79D9530}"/>
    <cellStyle name="Normal 5 4 19" xfId="30709" xr:uid="{2C12B2E8-A6C7-498B-8FB2-601F75DCFAFB}"/>
    <cellStyle name="Normal 5 4 2" xfId="1099" xr:uid="{8B5D9087-B56E-4432-83C3-0AA34B14D5FF}"/>
    <cellStyle name="Normal 5 4 2 10" xfId="18109" xr:uid="{A09FFC97-AEF2-4727-B5A2-3D39187F9658}"/>
    <cellStyle name="Normal 5 4 2 11" xfId="19999" xr:uid="{AB8767B2-F161-4943-BDF3-0B966AA0B7FB}"/>
    <cellStyle name="Normal 5 4 2 12" xfId="21889" xr:uid="{565768FA-7802-4A31-95DF-4E8736ED258D}"/>
    <cellStyle name="Normal 5 4 2 13" xfId="23779" xr:uid="{A531A214-4EEE-4390-8D63-B5145DF39B41}"/>
    <cellStyle name="Normal 5 4 2 14" xfId="25669" xr:uid="{F3B656A0-5AED-4E03-B09F-26BA868E90D6}"/>
    <cellStyle name="Normal 5 4 2 15" xfId="27559" xr:uid="{1F82932D-82E9-49F4-AE38-FC425FB6A163}"/>
    <cellStyle name="Normal 5 4 2 16" xfId="29449" xr:uid="{C7B69795-EC9F-4506-80AE-0BE46CDE3EC6}"/>
    <cellStyle name="Normal 5 4 2 17" xfId="31339" xr:uid="{7F94CD11-3420-4823-AE72-ACEAB4490ADB}"/>
    <cellStyle name="Normal 5 4 2 18" xfId="33229" xr:uid="{1B814414-32B1-4CD6-9D70-15681AD6473D}"/>
    <cellStyle name="Normal 5 4 2 19" xfId="35119" xr:uid="{0197A3C4-EAF5-4C1C-B53E-B66D7A8FCA2F}"/>
    <cellStyle name="Normal 5 4 2 2" xfId="2989" xr:uid="{8A98F93A-B151-4203-B090-28719BD51CDB}"/>
    <cellStyle name="Normal 5 4 2 20" xfId="37009" xr:uid="{52CDA570-4669-4980-B84F-9DE11626FA3F}"/>
    <cellStyle name="Normal 5 4 2 21" xfId="38899" xr:uid="{B0432F34-28A1-4267-9658-3B335A87CB26}"/>
    <cellStyle name="Normal 5 4 2 22" xfId="40790" xr:uid="{98AF83AE-6D79-46BE-B8F6-E802240E137B}"/>
    <cellStyle name="Normal 5 4 2 3" xfId="4879" xr:uid="{46C9CB9D-454B-4076-A759-7BD328861CD6}"/>
    <cellStyle name="Normal 5 4 2 4" xfId="6769" xr:uid="{A69D711B-BA05-4A67-A64B-1EC92A157623}"/>
    <cellStyle name="Normal 5 4 2 5" xfId="8659" xr:uid="{57044CF7-1094-4A61-992D-309FD54E602B}"/>
    <cellStyle name="Normal 5 4 2 6" xfId="10549" xr:uid="{BE1BAF6C-03AA-4EA4-B61F-8F7FD4E44985}"/>
    <cellStyle name="Normal 5 4 2 7" xfId="12439" xr:uid="{3F036DDD-7170-4BA5-BCF1-93F6B6287EE1}"/>
    <cellStyle name="Normal 5 4 2 8" xfId="14329" xr:uid="{F5F09A3A-2EA8-4D28-A23D-66241E6B1250}"/>
    <cellStyle name="Normal 5 4 2 9" xfId="16219" xr:uid="{23651425-7903-4F16-9834-145E724A2797}"/>
    <cellStyle name="Normal 5 4 20" xfId="32599" xr:uid="{E1220940-5885-4044-954B-DB71DB4E4073}"/>
    <cellStyle name="Normal 5 4 21" xfId="34489" xr:uid="{F432D66C-272B-477D-B3B1-B2A9EDF9090F}"/>
    <cellStyle name="Normal 5 4 22" xfId="36379" xr:uid="{DD6D9D70-02FB-4B75-BE0E-2943FF3C83E6}"/>
    <cellStyle name="Normal 5 4 23" xfId="38269" xr:uid="{CEC59AD5-6ED2-4FCF-998A-531A5F81223D}"/>
    <cellStyle name="Normal 5 4 24" xfId="40160" xr:uid="{A30A790B-5C88-47AA-B6E3-04F342909B42}"/>
    <cellStyle name="Normal 5 4 3" xfId="1729" xr:uid="{0BE2E038-61F5-4828-996C-971CF6877519}"/>
    <cellStyle name="Normal 5 4 3 10" xfId="18739" xr:uid="{485C8479-A61C-446A-AC64-5A2BC302602C}"/>
    <cellStyle name="Normal 5 4 3 11" xfId="20629" xr:uid="{2254633F-4730-4BAD-980C-8BE8327727E2}"/>
    <cellStyle name="Normal 5 4 3 12" xfId="22519" xr:uid="{C44E2612-E549-4EC2-8C22-CEEE4D2AAB69}"/>
    <cellStyle name="Normal 5 4 3 13" xfId="24409" xr:uid="{FC756459-BA4D-41A5-BC70-57DCC3BE279C}"/>
    <cellStyle name="Normal 5 4 3 14" xfId="26299" xr:uid="{F538A74E-E86F-4B8B-8E23-30132248E996}"/>
    <cellStyle name="Normal 5 4 3 15" xfId="28189" xr:uid="{696315D5-9AF5-4156-9A5C-DDE25F17EA5E}"/>
    <cellStyle name="Normal 5 4 3 16" xfId="30079" xr:uid="{7E35C645-0EBF-471D-AB4D-20E8A22C94FE}"/>
    <cellStyle name="Normal 5 4 3 17" xfId="31969" xr:uid="{5D017C80-C5CD-4DB1-BBA6-FE5287BB3F2D}"/>
    <cellStyle name="Normal 5 4 3 18" xfId="33859" xr:uid="{F05B5109-7FEA-4596-9BEE-F99999E89281}"/>
    <cellStyle name="Normal 5 4 3 19" xfId="35749" xr:uid="{1F4B721F-BC04-45A2-8101-5F81FBD8181E}"/>
    <cellStyle name="Normal 5 4 3 2" xfId="3619" xr:uid="{FA56A1BC-AD0F-4D25-8A38-990C47B2AB71}"/>
    <cellStyle name="Normal 5 4 3 20" xfId="37639" xr:uid="{6B52BA84-4E86-4A39-912D-26A792BE2623}"/>
    <cellStyle name="Normal 5 4 3 21" xfId="39529" xr:uid="{86A33E7A-7B08-4265-B3BA-6E9D497E8B20}"/>
    <cellStyle name="Normal 5 4 3 22" xfId="41420" xr:uid="{309BF57B-0436-4EFD-B27D-8CB1FA510219}"/>
    <cellStyle name="Normal 5 4 3 3" xfId="5509" xr:uid="{59769FC6-D301-41A4-B73A-8E46B3F9B0AB}"/>
    <cellStyle name="Normal 5 4 3 4" xfId="7399" xr:uid="{4D7A23F2-80D1-49AE-A7F6-47F4A1296823}"/>
    <cellStyle name="Normal 5 4 3 5" xfId="9289" xr:uid="{B4D95B8F-4086-4CB4-A49A-630DF60C5167}"/>
    <cellStyle name="Normal 5 4 3 6" xfId="11179" xr:uid="{E6F346F9-8240-4EED-9DFD-A57C61C7EE52}"/>
    <cellStyle name="Normal 5 4 3 7" xfId="13069" xr:uid="{80D3E60E-0475-4794-BFF8-79A11044BD24}"/>
    <cellStyle name="Normal 5 4 3 8" xfId="14959" xr:uid="{B5F0C058-CF4C-4B1B-9331-AF6532F2CF6C}"/>
    <cellStyle name="Normal 5 4 3 9" xfId="16849" xr:uid="{CCB0A3F2-585D-47E7-BB68-F59AEA4AAE96}"/>
    <cellStyle name="Normal 5 4 4" xfId="2359" xr:uid="{F7B682D2-0290-4537-8809-1D4033DE0DE1}"/>
    <cellStyle name="Normal 5 4 5" xfId="4249" xr:uid="{FAD1B123-0F3A-4673-83C7-7A3809B40FE6}"/>
    <cellStyle name="Normal 5 4 6" xfId="6139" xr:uid="{51415747-1733-4A55-81C0-BA1100A7A97E}"/>
    <cellStyle name="Normal 5 4 7" xfId="8029" xr:uid="{91FD4C47-C513-4652-A0F8-59D2FEC23A52}"/>
    <cellStyle name="Normal 5 4 8" xfId="9919" xr:uid="{EBC9AFC2-12C7-4809-8A4B-A693BE3552A4}"/>
    <cellStyle name="Normal 5 4 9" xfId="11809" xr:uid="{DC6D5BC4-E25D-4932-ACAE-C8F44C5C1EB0}"/>
    <cellStyle name="Normal 5 5" xfId="679" xr:uid="{16B793A3-FE94-4513-B6AA-F65BECDC0ABA}"/>
    <cellStyle name="Normal 5 5 10" xfId="17689" xr:uid="{B360EAF6-3CB9-4E17-AE7A-D84E2A7C0FFD}"/>
    <cellStyle name="Normal 5 5 11" xfId="19579" xr:uid="{FCD024CD-B866-4793-8A21-FC5D5D18DD69}"/>
    <cellStyle name="Normal 5 5 12" xfId="21469" xr:uid="{A3C3C481-B11A-4FA6-9933-4F26ECCEBA7A}"/>
    <cellStyle name="Normal 5 5 13" xfId="23359" xr:uid="{E1829963-4BCB-4559-A6AE-41870E11993F}"/>
    <cellStyle name="Normal 5 5 14" xfId="25249" xr:uid="{203652B9-5FB7-4734-9406-94295895811C}"/>
    <cellStyle name="Normal 5 5 15" xfId="27139" xr:uid="{F4ACA7C1-B7E5-4984-AC1B-E73733697703}"/>
    <cellStyle name="Normal 5 5 16" xfId="29029" xr:uid="{94A51047-6D70-42C0-AB21-52563D80197E}"/>
    <cellStyle name="Normal 5 5 17" xfId="30919" xr:uid="{23D80A87-019D-48BD-843E-7B2D18009DD9}"/>
    <cellStyle name="Normal 5 5 18" xfId="32809" xr:uid="{F522DB82-5B1E-48B8-89F0-82B878B46892}"/>
    <cellStyle name="Normal 5 5 19" xfId="34699" xr:uid="{C408ED6F-F824-4EA7-8041-861120586274}"/>
    <cellStyle name="Normal 5 5 2" xfId="2569" xr:uid="{9C94270C-97B7-4ACE-B603-FA726160D860}"/>
    <cellStyle name="Normal 5 5 20" xfId="36589" xr:uid="{3778541A-EE8A-4158-85BF-FB9D1B77AD8A}"/>
    <cellStyle name="Normal 5 5 21" xfId="38479" xr:uid="{28639AE6-2E70-4A12-B6BA-074EC8712F63}"/>
    <cellStyle name="Normal 5 5 22" xfId="40370" xr:uid="{E3EF126A-A123-4B53-8182-344F99BAC84F}"/>
    <cellStyle name="Normal 5 5 3" xfId="4459" xr:uid="{D5E8C43F-5EC9-44CB-9CBC-A91E774C4430}"/>
    <cellStyle name="Normal 5 5 4" xfId="6349" xr:uid="{0444A960-1654-45DB-B91F-CD9E6443762C}"/>
    <cellStyle name="Normal 5 5 5" xfId="8239" xr:uid="{FCC5BB19-DC3C-485E-B74A-4CABD565B525}"/>
    <cellStyle name="Normal 5 5 6" xfId="10129" xr:uid="{BEC4396D-C59B-49A7-932D-41270432E4D5}"/>
    <cellStyle name="Normal 5 5 7" xfId="12019" xr:uid="{08E376CD-E3A5-4A63-8175-B7A349B9437A}"/>
    <cellStyle name="Normal 5 5 8" xfId="13909" xr:uid="{958C5E58-40B0-49B1-9CC2-D2316A45B6A0}"/>
    <cellStyle name="Normal 5 5 9" xfId="15799" xr:uid="{FD0D7ED6-DD4E-4E67-9912-186343343C99}"/>
    <cellStyle name="Normal 5 6" xfId="1309" xr:uid="{3A6745E3-9C3D-4B44-AEF3-75CCF5EA992C}"/>
    <cellStyle name="Normal 5 6 10" xfId="18319" xr:uid="{297E4137-3368-43B5-A52E-9CA75909B8E6}"/>
    <cellStyle name="Normal 5 6 11" xfId="20209" xr:uid="{6E23343A-D33B-4050-AB47-4CEBA208FB59}"/>
    <cellStyle name="Normal 5 6 12" xfId="22099" xr:uid="{7C4BF5A0-7F20-4B32-8EF8-719DE3012BA4}"/>
    <cellStyle name="Normal 5 6 13" xfId="23989" xr:uid="{54FA9ECB-903C-4D8A-814D-73AFD7966EE6}"/>
    <cellStyle name="Normal 5 6 14" xfId="25879" xr:uid="{178C4155-D5F8-42D3-9110-2EAF834EC1A6}"/>
    <cellStyle name="Normal 5 6 15" xfId="27769" xr:uid="{D74E1D70-8038-4E4A-8F74-46029307AF36}"/>
    <cellStyle name="Normal 5 6 16" xfId="29659" xr:uid="{A83DA95A-32AE-4D77-8476-3CE04D247C48}"/>
    <cellStyle name="Normal 5 6 17" xfId="31549" xr:uid="{D2D07C00-C4F5-47D0-8EDF-B9BAB63E26A1}"/>
    <cellStyle name="Normal 5 6 18" xfId="33439" xr:uid="{BD7A71F5-5D9D-475D-96E6-0FAE14D7A637}"/>
    <cellStyle name="Normal 5 6 19" xfId="35329" xr:uid="{B6C2CAEA-91EC-4E1B-8607-2443A8532358}"/>
    <cellStyle name="Normal 5 6 2" xfId="3199" xr:uid="{B31F0A7E-DA5B-421D-89C2-1520598D468E}"/>
    <cellStyle name="Normal 5 6 20" xfId="37219" xr:uid="{BF36F3D9-9C6D-4DAA-924A-AC07BCC521CF}"/>
    <cellStyle name="Normal 5 6 21" xfId="39109" xr:uid="{DC3938B5-EBCB-42E8-9537-65AE09384F1F}"/>
    <cellStyle name="Normal 5 6 22" xfId="41000" xr:uid="{39D95C7A-3FEA-47C6-B819-733D5F75C8F6}"/>
    <cellStyle name="Normal 5 6 3" xfId="5089" xr:uid="{0204E358-21D9-48FB-ABC3-734B5F20CD62}"/>
    <cellStyle name="Normal 5 6 4" xfId="6979" xr:uid="{099BA596-3D14-4B76-974F-832554E5F2D6}"/>
    <cellStyle name="Normal 5 6 5" xfId="8869" xr:uid="{F20ED9B6-058C-440B-AF5C-D980AEF9E127}"/>
    <cellStyle name="Normal 5 6 6" xfId="10759" xr:uid="{ED965FFF-4C2E-47A5-9D8B-A9B840BAC0BE}"/>
    <cellStyle name="Normal 5 6 7" xfId="12649" xr:uid="{6F1EAE90-B936-4C52-8B03-1FA8B22F4E70}"/>
    <cellStyle name="Normal 5 6 8" xfId="14539" xr:uid="{2E809516-3D80-47B4-B481-49476374C885}"/>
    <cellStyle name="Normal 5 6 9" xfId="16429" xr:uid="{FC798E71-7835-4FAA-8354-F5E6BD2914DE}"/>
    <cellStyle name="Normal 5 7" xfId="1939" xr:uid="{3EE45278-59B0-46FE-9EA3-4D8DDAE56CAA}"/>
    <cellStyle name="Normal 5 8" xfId="3829" xr:uid="{56D24AE7-5434-4149-9EC0-0FDB255277C6}"/>
    <cellStyle name="Normal 5 9" xfId="5719" xr:uid="{264DC361-3212-484B-A358-1CD6F4D0E728}"/>
    <cellStyle name="Normal 53" xfId="41622" xr:uid="{1F818217-398F-42EA-BEA3-B49AB2F02F8B}"/>
    <cellStyle name="Normal 6" xfId="36" xr:uid="{A2E99B12-D929-4756-A0D9-022AF5FE51D6}"/>
    <cellStyle name="Normal 6 10" xfId="7618" xr:uid="{B6CCB943-8CB4-4E32-A1E0-11C92FE4A44F}"/>
    <cellStyle name="Normal 6 11" xfId="9508" xr:uid="{E0B96DA5-BA5C-491C-B0EE-3E2D98A531D6}"/>
    <cellStyle name="Normal 6 12" xfId="11398" xr:uid="{700461C4-625E-4670-A2D9-B1ADF6ED3F8F}"/>
    <cellStyle name="Normal 6 13" xfId="13288" xr:uid="{DE692D6D-A401-4CBB-992C-C9E6924A692F}"/>
    <cellStyle name="Normal 6 14" xfId="15178" xr:uid="{A2E1E841-B29D-44EF-BE04-3BFDD00CA7ED}"/>
    <cellStyle name="Normal 6 15" xfId="17068" xr:uid="{F5566D14-246B-42F7-83B1-BC0F89B0AE25}"/>
    <cellStyle name="Normal 6 16" xfId="18958" xr:uid="{F1712CFD-1113-4464-A456-60C7D1C4290E}"/>
    <cellStyle name="Normal 6 17" xfId="20848" xr:uid="{C60AA942-DE88-4B65-9E4D-15EE196DFFC0}"/>
    <cellStyle name="Normal 6 18" xfId="22738" xr:uid="{BE3E750C-042A-4188-97EF-9C8CCE724329}"/>
    <cellStyle name="Normal 6 19" xfId="24628" xr:uid="{D971F748-F4E1-4634-8034-43C463FCD2B3}"/>
    <cellStyle name="Normal 6 2" xfId="163" xr:uid="{155BD4D4-AB08-4FD8-8906-4004338698F1}"/>
    <cellStyle name="Normal 6 2 10" xfId="9613" xr:uid="{951966D8-B144-415F-8065-01198427E56C}"/>
    <cellStyle name="Normal 6 2 11" xfId="11503" xr:uid="{5EB2EE79-72BC-45FC-8D39-A258485B4037}"/>
    <cellStyle name="Normal 6 2 12" xfId="13393" xr:uid="{66A4CD1C-D08F-412D-9D7B-EDA069A10A58}"/>
    <cellStyle name="Normal 6 2 13" xfId="15283" xr:uid="{60FEBA98-7739-4E76-9E18-F2EEF9DB19E6}"/>
    <cellStyle name="Normal 6 2 14" xfId="17173" xr:uid="{E8279945-FABB-4004-8727-D9EB79CCDD45}"/>
    <cellStyle name="Normal 6 2 15" xfId="19063" xr:uid="{1395BF39-4440-4241-A860-AEB3B9F22EFC}"/>
    <cellStyle name="Normal 6 2 16" xfId="20953" xr:uid="{2E94BEAA-489C-43AF-8D71-E018000F28E0}"/>
    <cellStyle name="Normal 6 2 17" xfId="22843" xr:uid="{65592537-1737-4429-9B35-19277B8F00EE}"/>
    <cellStyle name="Normal 6 2 18" xfId="24733" xr:uid="{A490A5F9-950E-4B07-9D40-0EFE289E12B1}"/>
    <cellStyle name="Normal 6 2 19" xfId="26623" xr:uid="{DB922781-9059-4916-ADC9-842BC6BB6D2E}"/>
    <cellStyle name="Normal 6 2 2" xfId="373" xr:uid="{40C7FC2A-149A-43B7-ABEC-E9C13F61F4EE}"/>
    <cellStyle name="Normal 6 2 2 10" xfId="13603" xr:uid="{C88D224E-057C-462D-81E8-6F146308C6C7}"/>
    <cellStyle name="Normal 6 2 2 11" xfId="15493" xr:uid="{9012F308-76DD-4962-BF5F-28E9FA9E235F}"/>
    <cellStyle name="Normal 6 2 2 12" xfId="17383" xr:uid="{4D417269-0FF5-4872-8292-95F5452E00FD}"/>
    <cellStyle name="Normal 6 2 2 13" xfId="19273" xr:uid="{9749ECD1-D03B-4D08-8833-3E2C8F031D6E}"/>
    <cellStyle name="Normal 6 2 2 14" xfId="21163" xr:uid="{8D77F16C-4F74-41D8-B325-EB9BB4E9858D}"/>
    <cellStyle name="Normal 6 2 2 15" xfId="23053" xr:uid="{63F4FC67-55AB-4BAD-81A8-91D2C509775D}"/>
    <cellStyle name="Normal 6 2 2 16" xfId="24943" xr:uid="{86C0E27F-E2A5-40F8-A38A-0CEFB7F78E7A}"/>
    <cellStyle name="Normal 6 2 2 17" xfId="26833" xr:uid="{DC6281B4-F965-4C42-BBC4-41222B42137B}"/>
    <cellStyle name="Normal 6 2 2 18" xfId="28723" xr:uid="{CD3DA2E6-4366-40B6-8EB2-1B532ECED43E}"/>
    <cellStyle name="Normal 6 2 2 19" xfId="30613" xr:uid="{13D10B0B-6072-4F90-9E78-EE922CE3F31E}"/>
    <cellStyle name="Normal 6 2 2 2" xfId="1003" xr:uid="{87131A81-D34A-404D-8109-986D6921279E}"/>
    <cellStyle name="Normal 6 2 2 2 10" xfId="18013" xr:uid="{754344A5-05E3-4FF6-90A3-E9F9D7CB9118}"/>
    <cellStyle name="Normal 6 2 2 2 11" xfId="19903" xr:uid="{A6F8BAC6-9F71-4AE8-AB3C-1DFB879A5249}"/>
    <cellStyle name="Normal 6 2 2 2 12" xfId="21793" xr:uid="{1D77114F-C4F3-42E2-986A-A10F80FF06F5}"/>
    <cellStyle name="Normal 6 2 2 2 13" xfId="23683" xr:uid="{53F4C914-C770-407C-8789-301C20300D25}"/>
    <cellStyle name="Normal 6 2 2 2 14" xfId="25573" xr:uid="{9E76E819-F3D2-4EDD-8F9E-2CE857340295}"/>
    <cellStyle name="Normal 6 2 2 2 15" xfId="27463" xr:uid="{146F991C-0F61-4CE9-98B0-D89F9967F0D3}"/>
    <cellStyle name="Normal 6 2 2 2 16" xfId="29353" xr:uid="{6B228B3C-60E6-45BD-8FA2-96A4CE0643AB}"/>
    <cellStyle name="Normal 6 2 2 2 17" xfId="31243" xr:uid="{7FA05030-0359-4757-91B4-B551C686060D}"/>
    <cellStyle name="Normal 6 2 2 2 18" xfId="33133" xr:uid="{70800947-3488-4375-8235-DB36A07913A1}"/>
    <cellStyle name="Normal 6 2 2 2 19" xfId="35023" xr:uid="{F83671F6-4F50-4EB9-96EC-FA4DDF58FBC3}"/>
    <cellStyle name="Normal 6 2 2 2 2" xfId="2893" xr:uid="{72047F5E-6FF1-456F-927C-A783149963F5}"/>
    <cellStyle name="Normal 6 2 2 2 20" xfId="36913" xr:uid="{CC2A2CBE-A824-4939-9266-34BA2227DFB7}"/>
    <cellStyle name="Normal 6 2 2 2 21" xfId="38803" xr:uid="{AF713ABF-136E-4716-BF44-37D6DD6458F7}"/>
    <cellStyle name="Normal 6 2 2 2 22" xfId="40694" xr:uid="{6BFBE2DC-7087-46D8-9EF5-A565FAC2AE55}"/>
    <cellStyle name="Normal 6 2 2 2 3" xfId="4783" xr:uid="{BF4B5E32-DAF1-4418-9CAF-8E3D08B13284}"/>
    <cellStyle name="Normal 6 2 2 2 4" xfId="6673" xr:uid="{C81CA6E7-F319-4CF6-B6D6-5A9C3CB29334}"/>
    <cellStyle name="Normal 6 2 2 2 5" xfId="8563" xr:uid="{91886C4E-58A9-45FF-A74A-FB02646FBF32}"/>
    <cellStyle name="Normal 6 2 2 2 6" xfId="10453" xr:uid="{C65C3407-E46C-4783-AE57-5D41626F4376}"/>
    <cellStyle name="Normal 6 2 2 2 7" xfId="12343" xr:uid="{4D4AF6E4-E38A-48AA-99AE-85E586C114B1}"/>
    <cellStyle name="Normal 6 2 2 2 8" xfId="14233" xr:uid="{ABDA915E-5E15-419F-9775-895708207B9F}"/>
    <cellStyle name="Normal 6 2 2 2 9" xfId="16123" xr:uid="{34093308-C6C7-4A9B-B878-E46D731F467D}"/>
    <cellStyle name="Normal 6 2 2 20" xfId="32503" xr:uid="{959C2183-A8BE-44E3-9139-2556DB7BEF2C}"/>
    <cellStyle name="Normal 6 2 2 21" xfId="34393" xr:uid="{4807041F-44BC-4C05-B893-F6FE7E258760}"/>
    <cellStyle name="Normal 6 2 2 22" xfId="36283" xr:uid="{391EBE58-FCFA-4030-B426-5CBCE070D9BC}"/>
    <cellStyle name="Normal 6 2 2 23" xfId="38173" xr:uid="{382A1756-613E-4727-94D5-1B69B8234763}"/>
    <cellStyle name="Normal 6 2 2 24" xfId="40064" xr:uid="{71E183A2-9D0F-4764-98F9-AC45F4C0FB1A}"/>
    <cellStyle name="Normal 6 2 2 3" xfId="1633" xr:uid="{2D754367-8AC7-486D-BE08-D733A544CC6F}"/>
    <cellStyle name="Normal 6 2 2 3 10" xfId="18643" xr:uid="{52649DA8-6074-471F-A43A-3F09D799D21F}"/>
    <cellStyle name="Normal 6 2 2 3 11" xfId="20533" xr:uid="{AB82E0AF-041C-4180-875D-61B6A36E02F5}"/>
    <cellStyle name="Normal 6 2 2 3 12" xfId="22423" xr:uid="{79FF5BBE-9709-484F-9A6B-BB983F1C3B48}"/>
    <cellStyle name="Normal 6 2 2 3 13" xfId="24313" xr:uid="{7ED0C999-9F88-4409-B109-8035FA5B8EC4}"/>
    <cellStyle name="Normal 6 2 2 3 14" xfId="26203" xr:uid="{2CED58B9-D034-418A-869A-5238459FD80F}"/>
    <cellStyle name="Normal 6 2 2 3 15" xfId="28093" xr:uid="{F4FD8DD9-5C8B-4CE8-9FD9-E9AF879660F1}"/>
    <cellStyle name="Normal 6 2 2 3 16" xfId="29983" xr:uid="{C76E4F41-F8F3-42FD-90AD-EDEBCB0EAFE1}"/>
    <cellStyle name="Normal 6 2 2 3 17" xfId="31873" xr:uid="{99AD9DAA-3F48-4864-95F5-2619826E69DB}"/>
    <cellStyle name="Normal 6 2 2 3 18" xfId="33763" xr:uid="{FCFC48D3-5A2D-4D2F-BB2F-6E203CEE96C3}"/>
    <cellStyle name="Normal 6 2 2 3 19" xfId="35653" xr:uid="{3B618734-DEDC-4557-A484-426E8826CFE3}"/>
    <cellStyle name="Normal 6 2 2 3 2" xfId="3523" xr:uid="{93513958-502B-4A0C-8657-C6DFD07A1397}"/>
    <cellStyle name="Normal 6 2 2 3 20" xfId="37543" xr:uid="{33DBEEC0-835A-4255-8244-81EA87133E62}"/>
    <cellStyle name="Normal 6 2 2 3 21" xfId="39433" xr:uid="{671206C7-03C7-4464-A947-5B422E13C3F7}"/>
    <cellStyle name="Normal 6 2 2 3 22" xfId="41324" xr:uid="{B900D169-E2C2-439A-ADA3-3ADEE719FBF8}"/>
    <cellStyle name="Normal 6 2 2 3 3" xfId="5413" xr:uid="{8E983D4E-C12E-4802-9AD1-65762EB2CF64}"/>
    <cellStyle name="Normal 6 2 2 3 4" xfId="7303" xr:uid="{E196F2F0-0C33-4C64-B577-77C095C50DB7}"/>
    <cellStyle name="Normal 6 2 2 3 5" xfId="9193" xr:uid="{434E3CC0-6773-488C-A1AF-7ED6958951D2}"/>
    <cellStyle name="Normal 6 2 2 3 6" xfId="11083" xr:uid="{5114EC3A-B906-438B-9068-221805564D0C}"/>
    <cellStyle name="Normal 6 2 2 3 7" xfId="12973" xr:uid="{5708A35C-C868-424D-B9B6-6CA854473AC0}"/>
    <cellStyle name="Normal 6 2 2 3 8" xfId="14863" xr:uid="{78838937-3712-4A24-AFB9-35FAB0E99071}"/>
    <cellStyle name="Normal 6 2 2 3 9" xfId="16753" xr:uid="{D362FEAA-EC60-48F9-A87B-63ECFB4EC663}"/>
    <cellStyle name="Normal 6 2 2 4" xfId="2263" xr:uid="{CE05FBE1-0676-490B-B807-34C05533A8B6}"/>
    <cellStyle name="Normal 6 2 2 5" xfId="4153" xr:uid="{81B627F9-2CE3-41E5-AB92-D16ED52B3046}"/>
    <cellStyle name="Normal 6 2 2 6" xfId="6043" xr:uid="{5F93B239-01FA-446D-9C3C-63CE6A9E1ACD}"/>
    <cellStyle name="Normal 6 2 2 7" xfId="7933" xr:uid="{1DE4BF12-D587-4003-855A-76282F9E5B80}"/>
    <cellStyle name="Normal 6 2 2 8" xfId="9823" xr:uid="{E34FA2A2-94BD-4363-91D3-098EE0E5C796}"/>
    <cellStyle name="Normal 6 2 2 9" xfId="11713" xr:uid="{C2985CFD-6D3F-4637-BFE2-C42D51DE2CED}"/>
    <cellStyle name="Normal 6 2 20" xfId="28513" xr:uid="{128F4F90-56E2-4187-949F-7F07137472C0}"/>
    <cellStyle name="Normal 6 2 21" xfId="30403" xr:uid="{77B0AF4D-7610-4FCA-99E0-62AC1070388B}"/>
    <cellStyle name="Normal 6 2 22" xfId="32293" xr:uid="{45B0B9C1-B2BB-46AD-80C1-6CDE2488B7DB}"/>
    <cellStyle name="Normal 6 2 23" xfId="34183" xr:uid="{D7BC4145-3823-4B86-87FC-3584FCB445AF}"/>
    <cellStyle name="Normal 6 2 24" xfId="36073" xr:uid="{1EFE6BF8-AF0B-40A8-961F-08CDE574379F}"/>
    <cellStyle name="Normal 6 2 25" xfId="37963" xr:uid="{9C9308DE-AA06-4F4E-B24F-B6C39F4ECED5}"/>
    <cellStyle name="Normal 6 2 26" xfId="39854" xr:uid="{E63BF28A-22E5-40AF-B3D2-C9B527B9C962}"/>
    <cellStyle name="Normal 6 2 3" xfId="583" xr:uid="{50C972DF-3285-40C4-ACF8-76C097E1794B}"/>
    <cellStyle name="Normal 6 2 3 10" xfId="13813" xr:uid="{820BD677-9382-403C-B1C5-08282B95FD2F}"/>
    <cellStyle name="Normal 6 2 3 11" xfId="15703" xr:uid="{5903D2AB-C37F-43A4-B26F-9A3DE1140E5F}"/>
    <cellStyle name="Normal 6 2 3 12" xfId="17593" xr:uid="{1A7CD437-5FCF-4184-B029-FC438411B2BA}"/>
    <cellStyle name="Normal 6 2 3 13" xfId="19483" xr:uid="{6C253DDF-8C91-4B0A-AC46-9CCABEEB2967}"/>
    <cellStyle name="Normal 6 2 3 14" xfId="21373" xr:uid="{58013E8E-5D0C-4F70-8FD2-89943590323D}"/>
    <cellStyle name="Normal 6 2 3 15" xfId="23263" xr:uid="{C578C4BF-1A99-4267-A458-BCFAEE0BC1F5}"/>
    <cellStyle name="Normal 6 2 3 16" xfId="25153" xr:uid="{FBDD95A0-FCD0-4966-83D7-305AC9E89C12}"/>
    <cellStyle name="Normal 6 2 3 17" xfId="27043" xr:uid="{392A54E6-A662-43B7-A98A-A81AE3404F5D}"/>
    <cellStyle name="Normal 6 2 3 18" xfId="28933" xr:uid="{770B4280-B581-43B1-A222-DAA17E7CEA39}"/>
    <cellStyle name="Normal 6 2 3 19" xfId="30823" xr:uid="{A0CCFE7D-E6B1-4A3E-BB46-C45C62209DA7}"/>
    <cellStyle name="Normal 6 2 3 2" xfId="1213" xr:uid="{304DA095-A2DF-477D-8739-197B73D2FE35}"/>
    <cellStyle name="Normal 6 2 3 2 10" xfId="18223" xr:uid="{FE853CF6-1E8E-4AE6-9169-DEFF57174092}"/>
    <cellStyle name="Normal 6 2 3 2 11" xfId="20113" xr:uid="{9B6ECDA3-5FB2-4C28-AA0C-01BC6AE9E99A}"/>
    <cellStyle name="Normal 6 2 3 2 12" xfId="22003" xr:uid="{4D134376-66FD-44A7-9406-0FDA78B74503}"/>
    <cellStyle name="Normal 6 2 3 2 13" xfId="23893" xr:uid="{7B145BFD-8FDD-4CB6-9B84-C750E5825980}"/>
    <cellStyle name="Normal 6 2 3 2 14" xfId="25783" xr:uid="{E2B50576-5AF1-45D1-AAA4-3073D2EDACB8}"/>
    <cellStyle name="Normal 6 2 3 2 15" xfId="27673" xr:uid="{A55F4D54-1EEC-42CB-ABDD-272819C926D1}"/>
    <cellStyle name="Normal 6 2 3 2 16" xfId="29563" xr:uid="{E37567AF-C22D-46DF-84C5-3436982564C5}"/>
    <cellStyle name="Normal 6 2 3 2 17" xfId="31453" xr:uid="{EBD91DCD-9BAE-4828-93F1-34274978C03B}"/>
    <cellStyle name="Normal 6 2 3 2 18" xfId="33343" xr:uid="{D3432B75-25A3-4945-B1F0-0E4ED66C254B}"/>
    <cellStyle name="Normal 6 2 3 2 19" xfId="35233" xr:uid="{9B410C13-3367-49DF-86E6-EDB3C561899E}"/>
    <cellStyle name="Normal 6 2 3 2 2" xfId="3103" xr:uid="{283118C6-1003-4A5E-BFCA-997ECAA1DE22}"/>
    <cellStyle name="Normal 6 2 3 2 20" xfId="37123" xr:uid="{581C9142-FC72-4036-92A8-9EE3C5DB1911}"/>
    <cellStyle name="Normal 6 2 3 2 21" xfId="39013" xr:uid="{EDD90D16-0B81-47C4-B27D-73BD124E797C}"/>
    <cellStyle name="Normal 6 2 3 2 22" xfId="40904" xr:uid="{25FDE427-A8C7-42AE-A2BE-774ADF5BAC60}"/>
    <cellStyle name="Normal 6 2 3 2 3" xfId="4993" xr:uid="{BA187883-9A56-48D8-9CB3-BE92EEFDFFFC}"/>
    <cellStyle name="Normal 6 2 3 2 4" xfId="6883" xr:uid="{A4A8EDCB-E542-4C0D-9165-665C31DB7CA7}"/>
    <cellStyle name="Normal 6 2 3 2 5" xfId="8773" xr:uid="{DAC0EC27-5815-48F2-8056-D601EE4873DE}"/>
    <cellStyle name="Normal 6 2 3 2 6" xfId="10663" xr:uid="{997C253D-BD2E-4DBD-9161-C15480DE984F}"/>
    <cellStyle name="Normal 6 2 3 2 7" xfId="12553" xr:uid="{A5686473-AC1E-4F6A-AAF8-1B2EC051E5E8}"/>
    <cellStyle name="Normal 6 2 3 2 8" xfId="14443" xr:uid="{2200D6D0-79AC-4527-868B-143772CC8E4F}"/>
    <cellStyle name="Normal 6 2 3 2 9" xfId="16333" xr:uid="{A5E3D4F8-7EB3-4920-B1BE-5A1B759C22ED}"/>
    <cellStyle name="Normal 6 2 3 20" xfId="32713" xr:uid="{EA1368F2-979D-44A5-A4B9-13C57C5D2201}"/>
    <cellStyle name="Normal 6 2 3 21" xfId="34603" xr:uid="{3A6D831B-65CD-4B99-968D-436B9BE01D03}"/>
    <cellStyle name="Normal 6 2 3 22" xfId="36493" xr:uid="{56F880ED-5ED5-4570-8ECD-169029C3092B}"/>
    <cellStyle name="Normal 6 2 3 23" xfId="38383" xr:uid="{4246BEE8-4874-408B-A155-F08F95C53B00}"/>
    <cellStyle name="Normal 6 2 3 24" xfId="40274" xr:uid="{FAAC2687-F5B5-459E-96EE-79A660A4B5B2}"/>
    <cellStyle name="Normal 6 2 3 3" xfId="1843" xr:uid="{5D1E04EC-9044-4338-B5C9-C6D52CC496D5}"/>
    <cellStyle name="Normal 6 2 3 3 10" xfId="18853" xr:uid="{406AAC7D-2D4A-4EE0-BBC0-A7524AEC2467}"/>
    <cellStyle name="Normal 6 2 3 3 11" xfId="20743" xr:uid="{649844D2-FC20-4AA4-9F94-E7B0DB4BFA1F}"/>
    <cellStyle name="Normal 6 2 3 3 12" xfId="22633" xr:uid="{FC2CAD51-ACA0-4CD8-9B53-DA92996B85A7}"/>
    <cellStyle name="Normal 6 2 3 3 13" xfId="24523" xr:uid="{284C4208-5A4B-473D-99FB-E213843AB898}"/>
    <cellStyle name="Normal 6 2 3 3 14" xfId="26413" xr:uid="{DBB21AAA-E40C-4F76-8580-7594D89FACE3}"/>
    <cellStyle name="Normal 6 2 3 3 15" xfId="28303" xr:uid="{D4F74594-9328-4E87-9870-D7D5B2A7B488}"/>
    <cellStyle name="Normal 6 2 3 3 16" xfId="30193" xr:uid="{349D4237-3ED4-481B-9BB9-F46B18E6AC3D}"/>
    <cellStyle name="Normal 6 2 3 3 17" xfId="32083" xr:uid="{93DB7B63-E2A1-4D65-851B-861904642C0B}"/>
    <cellStyle name="Normal 6 2 3 3 18" xfId="33973" xr:uid="{1B84EC0C-24C6-4978-AEC3-833C7D2E3F5A}"/>
    <cellStyle name="Normal 6 2 3 3 19" xfId="35863" xr:uid="{6F0195FA-C332-45B7-9AFD-99FFFF8D5BDC}"/>
    <cellStyle name="Normal 6 2 3 3 2" xfId="3733" xr:uid="{67330D29-07A2-4BE7-9EAA-EEC47C7D9F72}"/>
    <cellStyle name="Normal 6 2 3 3 20" xfId="37753" xr:uid="{1198CFE4-CDFD-4ADF-88CF-FE916B57F2FA}"/>
    <cellStyle name="Normal 6 2 3 3 21" xfId="39643" xr:uid="{1E0EBE19-30FE-48EB-B9BF-DE2289B3B9A0}"/>
    <cellStyle name="Normal 6 2 3 3 22" xfId="41534" xr:uid="{C5812548-9A33-4E5A-8AE9-704C146724F8}"/>
    <cellStyle name="Normal 6 2 3 3 3" xfId="5623" xr:uid="{10499B71-681A-404C-8878-D4AF918A5E46}"/>
    <cellStyle name="Normal 6 2 3 3 4" xfId="7513" xr:uid="{F1F596BB-3A36-4F36-B549-22954FD6FF6C}"/>
    <cellStyle name="Normal 6 2 3 3 5" xfId="9403" xr:uid="{7F4A9E69-08EA-4C62-9F71-95DC194510CE}"/>
    <cellStyle name="Normal 6 2 3 3 6" xfId="11293" xr:uid="{A08045C8-F9BC-40CD-BBFA-2A6C1F1EA339}"/>
    <cellStyle name="Normal 6 2 3 3 7" xfId="13183" xr:uid="{8CA03215-803B-4480-9F12-9EFFDCFC72DC}"/>
    <cellStyle name="Normal 6 2 3 3 8" xfId="15073" xr:uid="{E1F7365D-138F-4314-8D27-69D2A3C717CF}"/>
    <cellStyle name="Normal 6 2 3 3 9" xfId="16963" xr:uid="{CE78CA73-F0A2-4521-A090-43838DF625B1}"/>
    <cellStyle name="Normal 6 2 3 4" xfId="2473" xr:uid="{CEFFA276-F371-4080-B57D-3D48E139AF6B}"/>
    <cellStyle name="Normal 6 2 3 5" xfId="4363" xr:uid="{CBB01D53-58D1-4070-98EB-F6C043031F96}"/>
    <cellStyle name="Normal 6 2 3 6" xfId="6253" xr:uid="{1B0DDC34-9711-430A-9E7A-44627A361D74}"/>
    <cellStyle name="Normal 6 2 3 7" xfId="8143" xr:uid="{A20313CA-F055-40FF-9A99-4B2EDEF0353F}"/>
    <cellStyle name="Normal 6 2 3 8" xfId="10033" xr:uid="{291FFB11-01A3-4C67-A89E-F662BF0DA25F}"/>
    <cellStyle name="Normal 6 2 3 9" xfId="11923" xr:uid="{46C1A853-ABE2-451D-8048-35552E5C4FB8}"/>
    <cellStyle name="Normal 6 2 4" xfId="793" xr:uid="{5DAD493F-7562-4952-A2DA-9DD57175A1C4}"/>
    <cellStyle name="Normal 6 2 4 10" xfId="17803" xr:uid="{EFA7F296-4041-4F97-9CBB-6E9AEEDD56CA}"/>
    <cellStyle name="Normal 6 2 4 11" xfId="19693" xr:uid="{E0345D17-8140-4CA3-87EC-FA3D8C06A193}"/>
    <cellStyle name="Normal 6 2 4 12" xfId="21583" xr:uid="{53B2A01D-D1F6-48C2-B052-AF8BA6D152EB}"/>
    <cellStyle name="Normal 6 2 4 13" xfId="23473" xr:uid="{D32C3CD8-7374-474B-81E9-2CDFE130531E}"/>
    <cellStyle name="Normal 6 2 4 14" xfId="25363" xr:uid="{AA672865-18A3-421E-8096-99325DFF53D7}"/>
    <cellStyle name="Normal 6 2 4 15" xfId="27253" xr:uid="{9CA0191E-AD7A-4595-BBAF-DE2DBB0CDEF8}"/>
    <cellStyle name="Normal 6 2 4 16" xfId="29143" xr:uid="{414BC2C0-6B3C-495C-BF5B-D329BCA6524E}"/>
    <cellStyle name="Normal 6 2 4 17" xfId="31033" xr:uid="{C006346A-5AE1-4EDA-B0B5-170BC6864834}"/>
    <cellStyle name="Normal 6 2 4 18" xfId="32923" xr:uid="{16291A64-D251-4B70-BCA5-9F3BAF2FB17A}"/>
    <cellStyle name="Normal 6 2 4 19" xfId="34813" xr:uid="{04F833C6-E821-4308-92AD-ECD88416DD47}"/>
    <cellStyle name="Normal 6 2 4 2" xfId="2683" xr:uid="{D23E6848-C6CA-4347-AB83-E2679C25E465}"/>
    <cellStyle name="Normal 6 2 4 20" xfId="36703" xr:uid="{425F4726-1080-4D0F-8E47-94E1C8BA352A}"/>
    <cellStyle name="Normal 6 2 4 21" xfId="38593" xr:uid="{B61D6B53-FE5F-4DFD-B746-CB43AC29BED0}"/>
    <cellStyle name="Normal 6 2 4 22" xfId="40484" xr:uid="{AF7E6F58-AC8E-4D82-9EF6-2FF30810288E}"/>
    <cellStyle name="Normal 6 2 4 3" xfId="4573" xr:uid="{1E909053-FF78-4AAD-8A9B-27F99D084275}"/>
    <cellStyle name="Normal 6 2 4 4" xfId="6463" xr:uid="{6833BB70-49AB-44A4-A8DF-300E6F1671C0}"/>
    <cellStyle name="Normal 6 2 4 5" xfId="8353" xr:uid="{3F088822-5FC6-4D4F-80B2-68B7B215F2B5}"/>
    <cellStyle name="Normal 6 2 4 6" xfId="10243" xr:uid="{E37A7A6A-721C-4B18-9D14-4168409CECB2}"/>
    <cellStyle name="Normal 6 2 4 7" xfId="12133" xr:uid="{5529D034-D839-467E-83FB-C19C62C046E9}"/>
    <cellStyle name="Normal 6 2 4 8" xfId="14023" xr:uid="{E0435D4F-F346-459C-96B0-1A05FC3CB4EE}"/>
    <cellStyle name="Normal 6 2 4 9" xfId="15913" xr:uid="{639D2A5E-BE8B-48A4-AE56-2952C0A717DB}"/>
    <cellStyle name="Normal 6 2 5" xfId="1423" xr:uid="{3CF9E0EB-61B5-4CBC-B284-87D6E7E3211E}"/>
    <cellStyle name="Normal 6 2 5 10" xfId="18433" xr:uid="{FE73B0F2-2E27-4D0B-B865-4D7738A4162E}"/>
    <cellStyle name="Normal 6 2 5 11" xfId="20323" xr:uid="{653DA31C-EE06-4DF0-9FEB-28F8DE747F2D}"/>
    <cellStyle name="Normal 6 2 5 12" xfId="22213" xr:uid="{A52CD6FD-690A-4647-8D2E-54265F9F4832}"/>
    <cellStyle name="Normal 6 2 5 13" xfId="24103" xr:uid="{A88B83B3-8FD7-4988-902D-DF7FEAB7D8B3}"/>
    <cellStyle name="Normal 6 2 5 14" xfId="25993" xr:uid="{FE5046C4-AA73-4FC0-A76F-0C6078D9AB06}"/>
    <cellStyle name="Normal 6 2 5 15" xfId="27883" xr:uid="{E9C16970-0C9A-445D-9A3D-80E1006D2021}"/>
    <cellStyle name="Normal 6 2 5 16" xfId="29773" xr:uid="{D9B97D52-3635-44C4-B460-6FF46A8A869F}"/>
    <cellStyle name="Normal 6 2 5 17" xfId="31663" xr:uid="{6EE278F7-927F-4B51-89A1-7ACC4C572AC3}"/>
    <cellStyle name="Normal 6 2 5 18" xfId="33553" xr:uid="{28164C71-0E3C-4A01-8AE1-11398D3870BF}"/>
    <cellStyle name="Normal 6 2 5 19" xfId="35443" xr:uid="{126CEB35-18EB-44A3-AF2D-1F78A9010C4E}"/>
    <cellStyle name="Normal 6 2 5 2" xfId="3313" xr:uid="{4429D736-5404-4DA4-A593-FAF7346D1F41}"/>
    <cellStyle name="Normal 6 2 5 20" xfId="37333" xr:uid="{6E286B8C-C920-44CE-93A5-0F3697DCF9EB}"/>
    <cellStyle name="Normal 6 2 5 21" xfId="39223" xr:uid="{6C00AEDB-509E-4ADA-8182-FCFBA8F2FD71}"/>
    <cellStyle name="Normal 6 2 5 22" xfId="41114" xr:uid="{CC0A8366-DBB7-4C49-96FD-DB11F461D928}"/>
    <cellStyle name="Normal 6 2 5 3" xfId="5203" xr:uid="{1F25046F-A404-462C-B3CA-B214AF5555EF}"/>
    <cellStyle name="Normal 6 2 5 4" xfId="7093" xr:uid="{7B8A2A47-4751-4ECC-9B7D-861C8906B29E}"/>
    <cellStyle name="Normal 6 2 5 5" xfId="8983" xr:uid="{E991D4B3-5586-42E4-8235-FF7F8B2B73E7}"/>
    <cellStyle name="Normal 6 2 5 6" xfId="10873" xr:uid="{A89BBF93-8CC3-4840-AA90-D3302381CA31}"/>
    <cellStyle name="Normal 6 2 5 7" xfId="12763" xr:uid="{95CE80DC-43B2-426D-B17D-928356CF8B02}"/>
    <cellStyle name="Normal 6 2 5 8" xfId="14653" xr:uid="{B6720906-C051-41C3-BB05-8AC5F03A8D11}"/>
    <cellStyle name="Normal 6 2 5 9" xfId="16543" xr:uid="{4DE4A39E-A874-47DF-B5BB-09346F48B4C7}"/>
    <cellStyle name="Normal 6 2 6" xfId="2053" xr:uid="{F761CC8A-E986-41F4-A84D-DDA1D0E4217E}"/>
    <cellStyle name="Normal 6 2 7" xfId="3943" xr:uid="{A98B9295-930A-4102-AE1A-9FDF3724271E}"/>
    <cellStyle name="Normal 6 2 8" xfId="5833" xr:uid="{D5B46E13-C821-4763-9B2B-304F5B7D3EBA}"/>
    <cellStyle name="Normal 6 2 9" xfId="7723" xr:uid="{3BCDB8D4-23F8-4B55-ABB3-C1F02AA4B820}"/>
    <cellStyle name="Normal 6 20" xfId="26518" xr:uid="{BD0156A4-FA42-4665-B6C9-2B7D7A1A5801}"/>
    <cellStyle name="Normal 6 21" xfId="28408" xr:uid="{466D6F1E-87EA-4996-B298-82A676152B60}"/>
    <cellStyle name="Normal 6 22" xfId="30298" xr:uid="{31F4D8BA-1E77-40A6-A99E-7B85B98F1A8B}"/>
    <cellStyle name="Normal 6 23" xfId="32188" xr:uid="{8DF5ABE7-07F0-4C3D-8352-61DCB78A0BED}"/>
    <cellStyle name="Normal 6 24" xfId="34078" xr:uid="{FB0F9A3D-F191-479C-A364-9072ACAEFD2E}"/>
    <cellStyle name="Normal 6 25" xfId="35968" xr:uid="{4A0FF2BA-CAA6-45C3-93F9-FC947F9B341F}"/>
    <cellStyle name="Normal 6 26" xfId="37858" xr:uid="{52584576-DFBD-4BD7-BE74-32DB7DFCCD25}"/>
    <cellStyle name="Normal 6 27" xfId="39749" xr:uid="{CC369D46-C660-4316-90BF-169E5104708E}"/>
    <cellStyle name="Normal 6 3" xfId="268" xr:uid="{7F5D57D8-1BEB-4141-89BB-6EB1EEC087F2}"/>
    <cellStyle name="Normal 6 3 10" xfId="13498" xr:uid="{265E2D31-BE88-446C-8785-72470BEF9236}"/>
    <cellStyle name="Normal 6 3 11" xfId="15388" xr:uid="{CC5D4528-84CA-49CE-89D2-7049CA69ACFC}"/>
    <cellStyle name="Normal 6 3 12" xfId="17278" xr:uid="{8265A5CC-42CF-4D76-9B55-440E53298662}"/>
    <cellStyle name="Normal 6 3 13" xfId="19168" xr:uid="{CEBDA84D-3E95-423E-9896-FA8798CDE61A}"/>
    <cellStyle name="Normal 6 3 14" xfId="21058" xr:uid="{5840F407-BCE8-44FD-B6A4-80FD3881CE66}"/>
    <cellStyle name="Normal 6 3 15" xfId="22948" xr:uid="{E055FBAE-AF74-4328-BF0A-B41D8A44C8E9}"/>
    <cellStyle name="Normal 6 3 16" xfId="24838" xr:uid="{0E0B6F39-B02D-4531-BF55-71EB4AFC8F25}"/>
    <cellStyle name="Normal 6 3 17" xfId="26728" xr:uid="{FCA814F1-06B4-4ECD-9F49-D60E2B8AE311}"/>
    <cellStyle name="Normal 6 3 18" xfId="28618" xr:uid="{4C8456B9-5BF0-4ACB-98DB-4918CBADE01D}"/>
    <cellStyle name="Normal 6 3 19" xfId="30508" xr:uid="{9B0576F9-4DDC-4106-8446-42A027028274}"/>
    <cellStyle name="Normal 6 3 2" xfId="898" xr:uid="{0666266F-BC82-41CD-9644-02904F43D5FE}"/>
    <cellStyle name="Normal 6 3 2 10" xfId="17908" xr:uid="{0BF60C07-CCED-494C-A348-F9B7303AAC34}"/>
    <cellStyle name="Normal 6 3 2 11" xfId="19798" xr:uid="{CDFA4EBE-106A-4F84-A7EF-78B065C0D917}"/>
    <cellStyle name="Normal 6 3 2 12" xfId="21688" xr:uid="{9C5D3C05-9B62-4BAD-A3E6-2B38212AEDEA}"/>
    <cellStyle name="Normal 6 3 2 13" xfId="23578" xr:uid="{8CEE0538-0B5A-4A5F-B5E0-B5D055441C82}"/>
    <cellStyle name="Normal 6 3 2 14" xfId="25468" xr:uid="{5217CE48-EEC7-4ED5-B86F-F506D4F5758A}"/>
    <cellStyle name="Normal 6 3 2 15" xfId="27358" xr:uid="{EAB17E43-3301-447F-8B39-7B52212C9EA4}"/>
    <cellStyle name="Normal 6 3 2 16" xfId="29248" xr:uid="{EAC3081C-12D0-4B63-8DEC-20F68E6871FD}"/>
    <cellStyle name="Normal 6 3 2 17" xfId="31138" xr:uid="{C2FC3D17-5DC3-4715-B1AA-A4AF69CFE24F}"/>
    <cellStyle name="Normal 6 3 2 18" xfId="33028" xr:uid="{4D70B41B-5094-4B7A-9F7A-7914F61D89E2}"/>
    <cellStyle name="Normal 6 3 2 19" xfId="34918" xr:uid="{80698937-3B7A-45EA-8911-AF0E48B0B994}"/>
    <cellStyle name="Normal 6 3 2 2" xfId="2788" xr:uid="{5DBD3032-0F24-495E-B7C2-3CAB984C5F38}"/>
    <cellStyle name="Normal 6 3 2 20" xfId="36808" xr:uid="{C03E0AE3-DF2E-484D-A544-2D4EE2540676}"/>
    <cellStyle name="Normal 6 3 2 21" xfId="38698" xr:uid="{42DFF6A2-7A3E-4724-B5D6-1122AEFF76BE}"/>
    <cellStyle name="Normal 6 3 2 22" xfId="40589" xr:uid="{BF68167A-F3AB-425C-8E76-8D6B45F68F2E}"/>
    <cellStyle name="Normal 6 3 2 3" xfId="4678" xr:uid="{B5DA1B58-2192-40E9-9D12-B48801285C22}"/>
    <cellStyle name="Normal 6 3 2 4" xfId="6568" xr:uid="{8500C01A-C5F0-47A6-BB2D-EFDEDD919E82}"/>
    <cellStyle name="Normal 6 3 2 5" xfId="8458" xr:uid="{3ED8E06F-DF31-4A44-8BFD-F8CFF217A18C}"/>
    <cellStyle name="Normal 6 3 2 6" xfId="10348" xr:uid="{026ADE5B-1070-4B70-A9C3-A3F6F847E7F6}"/>
    <cellStyle name="Normal 6 3 2 7" xfId="12238" xr:uid="{A5787C03-92BA-4C52-9712-CB54095433A6}"/>
    <cellStyle name="Normal 6 3 2 8" xfId="14128" xr:uid="{78CEDCEF-FFBE-424B-ABDA-C9905AE655FB}"/>
    <cellStyle name="Normal 6 3 2 9" xfId="16018" xr:uid="{610B5440-D0DE-4092-AA91-3245CFAA0EDE}"/>
    <cellStyle name="Normal 6 3 20" xfId="32398" xr:uid="{C1796853-D025-4239-97DC-74862F383FE7}"/>
    <cellStyle name="Normal 6 3 21" xfId="34288" xr:uid="{C89B25A1-631B-40FE-8B7E-C463121D72B1}"/>
    <cellStyle name="Normal 6 3 22" xfId="36178" xr:uid="{B3C925C6-84BB-49B3-8672-53E88605B0B2}"/>
    <cellStyle name="Normal 6 3 23" xfId="38068" xr:uid="{FB3EF52A-EA35-4EE1-BCFF-DB4F5CB9998D}"/>
    <cellStyle name="Normal 6 3 24" xfId="39959" xr:uid="{CA2FBE73-1565-49EA-A30A-AE12DEE6F5D5}"/>
    <cellStyle name="Normal 6 3 3" xfId="1528" xr:uid="{6B025A81-06E3-4A8E-9AEA-41D655DD3ED5}"/>
    <cellStyle name="Normal 6 3 3 10" xfId="18538" xr:uid="{5FDAA9DF-CC3F-4DA4-AC1E-4C8862D9927F}"/>
    <cellStyle name="Normal 6 3 3 11" xfId="20428" xr:uid="{50D7B317-993A-489E-8271-981AF49264DB}"/>
    <cellStyle name="Normal 6 3 3 12" xfId="22318" xr:uid="{6EE5B34F-4E50-4D72-AC4B-F8D31AB95237}"/>
    <cellStyle name="Normal 6 3 3 13" xfId="24208" xr:uid="{825CE6F2-9717-40AC-A849-AB214EE644CD}"/>
    <cellStyle name="Normal 6 3 3 14" xfId="26098" xr:uid="{AE86D042-EF8B-4523-BA28-5757B36C20C3}"/>
    <cellStyle name="Normal 6 3 3 15" xfId="27988" xr:uid="{C908434A-2A83-43F2-87DE-8439F3D31595}"/>
    <cellStyle name="Normal 6 3 3 16" xfId="29878" xr:uid="{6DEEBC5F-3A36-4F99-BE9D-8EA20221BBF3}"/>
    <cellStyle name="Normal 6 3 3 17" xfId="31768" xr:uid="{B065947B-FEDF-4803-BF2C-3F08935B1BFE}"/>
    <cellStyle name="Normal 6 3 3 18" xfId="33658" xr:uid="{D10BBAE3-C2D9-44F5-AF8F-BCA5DE7A39D8}"/>
    <cellStyle name="Normal 6 3 3 19" xfId="35548" xr:uid="{8B5225B9-6A49-4EFA-9DD7-F579A7BD9AE6}"/>
    <cellStyle name="Normal 6 3 3 2" xfId="3418" xr:uid="{13C4022E-D5B9-4312-837D-6830AA05126B}"/>
    <cellStyle name="Normal 6 3 3 20" xfId="37438" xr:uid="{88853AF5-D8E1-466B-8A50-8273AE044F68}"/>
    <cellStyle name="Normal 6 3 3 21" xfId="39328" xr:uid="{517A20F9-78A0-47D9-A15D-A20CCEAA84A2}"/>
    <cellStyle name="Normal 6 3 3 22" xfId="41219" xr:uid="{9D04F8AB-ADDC-464F-A027-9C4E036BDA1B}"/>
    <cellStyle name="Normal 6 3 3 3" xfId="5308" xr:uid="{84AFC7CB-AC35-499A-ACE8-06D365EE4A82}"/>
    <cellStyle name="Normal 6 3 3 4" xfId="7198" xr:uid="{A148AD9F-3740-4968-A50C-EF9744373272}"/>
    <cellStyle name="Normal 6 3 3 5" xfId="9088" xr:uid="{C3769937-7329-4BA9-8DF5-0730BA42AAED}"/>
    <cellStyle name="Normal 6 3 3 6" xfId="10978" xr:uid="{4D1257B4-402A-44B1-A117-505415592AA6}"/>
    <cellStyle name="Normal 6 3 3 7" xfId="12868" xr:uid="{8C8B7B47-EE9E-4989-9DFD-0CB12787CF79}"/>
    <cellStyle name="Normal 6 3 3 8" xfId="14758" xr:uid="{EE479576-694D-4564-910F-1F90924A1AAD}"/>
    <cellStyle name="Normal 6 3 3 9" xfId="16648" xr:uid="{2B6F1603-C973-4A65-A2F2-20AAEE414F1B}"/>
    <cellStyle name="Normal 6 3 4" xfId="2158" xr:uid="{350199E4-1D32-429C-B037-DBDDA65D78E8}"/>
    <cellStyle name="Normal 6 3 5" xfId="4048" xr:uid="{8EEB730B-7C20-465F-95BC-35EFF13E92C8}"/>
    <cellStyle name="Normal 6 3 6" xfId="5938" xr:uid="{19BC3FD7-BFEF-4E8E-B84F-F04985AD3D6E}"/>
    <cellStyle name="Normal 6 3 7" xfId="7828" xr:uid="{39EA10E6-F8FE-4251-9BF1-3069EA2BF398}"/>
    <cellStyle name="Normal 6 3 8" xfId="9718" xr:uid="{451A36AE-8799-4084-ACD8-0F12196D9987}"/>
    <cellStyle name="Normal 6 3 9" xfId="11608" xr:uid="{2E3C4013-7419-4565-906A-FDD278ECCE46}"/>
    <cellStyle name="Normal 6 4" xfId="478" xr:uid="{FF772C01-12FA-4569-8B03-798F979F9126}"/>
    <cellStyle name="Normal 6 4 10" xfId="13708" xr:uid="{A966F9CC-1BCE-42CB-82C6-CC4599921AB0}"/>
    <cellStyle name="Normal 6 4 11" xfId="15598" xr:uid="{D4941D30-CD51-4880-9B4C-41C4D3C13C0F}"/>
    <cellStyle name="Normal 6 4 12" xfId="17488" xr:uid="{3008D1F4-D027-4CEE-AAC8-2B0D19D56E9B}"/>
    <cellStyle name="Normal 6 4 13" xfId="19378" xr:uid="{AB77FA3E-FEE2-4D2F-BCD1-4DEEE8369B25}"/>
    <cellStyle name="Normal 6 4 14" xfId="21268" xr:uid="{8B5F7DAA-5AC0-4974-AF91-C4D0BCACA117}"/>
    <cellStyle name="Normal 6 4 15" xfId="23158" xr:uid="{C542B8E0-FC8C-4DD7-9B62-DA364D4590A3}"/>
    <cellStyle name="Normal 6 4 16" xfId="25048" xr:uid="{C2DC8EDA-D1DF-4D9E-89E6-FC88BDFB0F9F}"/>
    <cellStyle name="Normal 6 4 17" xfId="26938" xr:uid="{2CE60426-4202-4072-BF65-E6A4D3DFDC25}"/>
    <cellStyle name="Normal 6 4 18" xfId="28828" xr:uid="{075ED25C-3249-48AF-B867-835B5680BDB5}"/>
    <cellStyle name="Normal 6 4 19" xfId="30718" xr:uid="{0B721BD7-AAC7-49D9-806E-017809496DA2}"/>
    <cellStyle name="Normal 6 4 2" xfId="1108" xr:uid="{ACC4C1EE-BB06-4462-BADE-6BD73E99C139}"/>
    <cellStyle name="Normal 6 4 2 10" xfId="18118" xr:uid="{4CA3547B-548A-435A-8BD5-8158BCE8A07B}"/>
    <cellStyle name="Normal 6 4 2 11" xfId="20008" xr:uid="{1D1F4110-945B-48E9-AE89-995274866A9C}"/>
    <cellStyle name="Normal 6 4 2 12" xfId="21898" xr:uid="{21192CA9-720D-42EB-8A6A-101EC1D2457F}"/>
    <cellStyle name="Normal 6 4 2 13" xfId="23788" xr:uid="{9B0496BF-EAB1-4869-9450-20E1ADD3E6C9}"/>
    <cellStyle name="Normal 6 4 2 14" xfId="25678" xr:uid="{2FCA3F78-26FF-4DB2-9EDD-2FF6D99EB21E}"/>
    <cellStyle name="Normal 6 4 2 15" xfId="27568" xr:uid="{9215D464-0DC7-4445-A044-65BDCB9A42C9}"/>
    <cellStyle name="Normal 6 4 2 16" xfId="29458" xr:uid="{69C9B33C-6621-4928-9E97-66731CBD687B}"/>
    <cellStyle name="Normal 6 4 2 17" xfId="31348" xr:uid="{63759D42-8630-4F0F-A9F2-3C74B9025493}"/>
    <cellStyle name="Normal 6 4 2 18" xfId="33238" xr:uid="{BAB05362-7973-48CC-9ECD-2E3362AAB070}"/>
    <cellStyle name="Normal 6 4 2 19" xfId="35128" xr:uid="{0036D7A5-A074-45EF-B92C-14A31693AD41}"/>
    <cellStyle name="Normal 6 4 2 2" xfId="2998" xr:uid="{057E29CA-50E1-4D67-9F33-5B5E4F14EE62}"/>
    <cellStyle name="Normal 6 4 2 20" xfId="37018" xr:uid="{4F2DA06E-5992-4B25-8600-C380FC331E06}"/>
    <cellStyle name="Normal 6 4 2 21" xfId="38908" xr:uid="{9EADA013-8ABF-464D-A695-683F82EC6373}"/>
    <cellStyle name="Normal 6 4 2 22" xfId="40799" xr:uid="{3444EBB1-5154-4F10-A015-762AC8B1736E}"/>
    <cellStyle name="Normal 6 4 2 3" xfId="4888" xr:uid="{A5285CDD-0D76-4D65-B585-56063B9B1D3F}"/>
    <cellStyle name="Normal 6 4 2 4" xfId="6778" xr:uid="{7DBBCA96-E8C9-4191-98E9-A15B21EE74A6}"/>
    <cellStyle name="Normal 6 4 2 5" xfId="8668" xr:uid="{0C4CFD23-A103-47AF-9C52-236CC8F2250A}"/>
    <cellStyle name="Normal 6 4 2 6" xfId="10558" xr:uid="{D9FE86AE-AC08-4A82-B390-81333912D84E}"/>
    <cellStyle name="Normal 6 4 2 7" xfId="12448" xr:uid="{C346FA1D-63E0-4AEF-9F85-C8E77E922C6D}"/>
    <cellStyle name="Normal 6 4 2 8" xfId="14338" xr:uid="{A0CA97B0-2628-4592-8D61-BCAD62BA6C4A}"/>
    <cellStyle name="Normal 6 4 2 9" xfId="16228" xr:uid="{A587D26F-994C-45BA-B9BF-FAF3C6B0B006}"/>
    <cellStyle name="Normal 6 4 20" xfId="32608" xr:uid="{E619522B-228F-4EB4-8913-CCBF16F1A015}"/>
    <cellStyle name="Normal 6 4 21" xfId="34498" xr:uid="{F5A9DC26-A08D-4A09-B4F9-5146347CC4F7}"/>
    <cellStyle name="Normal 6 4 22" xfId="36388" xr:uid="{9253CA39-F06A-4E2E-AF36-EE03E60F01E8}"/>
    <cellStyle name="Normal 6 4 23" xfId="38278" xr:uid="{78B589B4-D2BF-4ACC-8DBB-0DCF3AF488A1}"/>
    <cellStyle name="Normal 6 4 24" xfId="40169" xr:uid="{65212906-6D16-4CDF-BF1E-9A5E0943837B}"/>
    <cellStyle name="Normal 6 4 3" xfId="1738" xr:uid="{76BECF80-8C16-4869-9249-2EF8F1437946}"/>
    <cellStyle name="Normal 6 4 3 10" xfId="18748" xr:uid="{B34B5A82-73F6-4AA8-96EE-BBF34AF92276}"/>
    <cellStyle name="Normal 6 4 3 11" xfId="20638" xr:uid="{5FE1135D-A1C3-48F4-AE34-8797DE8F4F0C}"/>
    <cellStyle name="Normal 6 4 3 12" xfId="22528" xr:uid="{AC277E95-B4B7-4C76-AB3B-6F6EA0C90C43}"/>
    <cellStyle name="Normal 6 4 3 13" xfId="24418" xr:uid="{6F6D89DB-C14A-4C36-9F49-DF82EE9B5813}"/>
    <cellStyle name="Normal 6 4 3 14" xfId="26308" xr:uid="{47B91855-9751-4534-B965-43CBDACEA7DC}"/>
    <cellStyle name="Normal 6 4 3 15" xfId="28198" xr:uid="{EEE386AA-526C-44DC-BE4B-52FEA02D997B}"/>
    <cellStyle name="Normal 6 4 3 16" xfId="30088" xr:uid="{3F87157D-D590-41A0-AAB7-E32B1D23292C}"/>
    <cellStyle name="Normal 6 4 3 17" xfId="31978" xr:uid="{83AF0137-71A2-4015-B50A-C6BC4F8F01CE}"/>
    <cellStyle name="Normal 6 4 3 18" xfId="33868" xr:uid="{D248A3CC-8DF4-432B-8F5C-13775356C05A}"/>
    <cellStyle name="Normal 6 4 3 19" xfId="35758" xr:uid="{011E16DF-6C06-4F57-8C52-E0E771DAE7E8}"/>
    <cellStyle name="Normal 6 4 3 2" xfId="3628" xr:uid="{28CC3213-8AA8-43BA-A1AB-F17D6418C7E1}"/>
    <cellStyle name="Normal 6 4 3 20" xfId="37648" xr:uid="{94DE562D-DC0F-461D-87CE-4007827C70F9}"/>
    <cellStyle name="Normal 6 4 3 21" xfId="39538" xr:uid="{6663A3E3-F0E4-4B26-8D55-84EEE7139830}"/>
    <cellStyle name="Normal 6 4 3 22" xfId="41429" xr:uid="{89450571-5A23-41FE-B148-9E0ECC87E18A}"/>
    <cellStyle name="Normal 6 4 3 3" xfId="5518" xr:uid="{48657C38-0253-4CD8-826A-DF6D779DAFED}"/>
    <cellStyle name="Normal 6 4 3 4" xfId="7408" xr:uid="{4F92C059-0D0B-43E7-A953-8A169BE2C858}"/>
    <cellStyle name="Normal 6 4 3 5" xfId="9298" xr:uid="{1C185B8B-2C0C-4760-946C-BA6FCF12A6FA}"/>
    <cellStyle name="Normal 6 4 3 6" xfId="11188" xr:uid="{E06790FB-B038-40B7-B60D-A202C1A718B6}"/>
    <cellStyle name="Normal 6 4 3 7" xfId="13078" xr:uid="{06A0C1AD-C2F2-44A6-852B-CC226DF19F6A}"/>
    <cellStyle name="Normal 6 4 3 8" xfId="14968" xr:uid="{096065AF-71FB-46D5-99F0-CCDF857F9E79}"/>
    <cellStyle name="Normal 6 4 3 9" xfId="16858" xr:uid="{72ADD5DF-19CC-4CD0-9AF2-8D8CEC356E75}"/>
    <cellStyle name="Normal 6 4 4" xfId="2368" xr:uid="{E1E28626-E155-4E62-9078-1911CFD06798}"/>
    <cellStyle name="Normal 6 4 5" xfId="4258" xr:uid="{28990BF0-D55E-43D1-BD0B-A6FF012409C8}"/>
    <cellStyle name="Normal 6 4 6" xfId="6148" xr:uid="{144F54D8-A76A-41F4-A150-E85F93B400DA}"/>
    <cellStyle name="Normal 6 4 7" xfId="8038" xr:uid="{9FAFF7B8-C977-44E4-AEA3-3C9EEA29EF7E}"/>
    <cellStyle name="Normal 6 4 8" xfId="9928" xr:uid="{84FE1DB6-AE8F-4864-96FB-A6DB207FAB1E}"/>
    <cellStyle name="Normal 6 4 9" xfId="11818" xr:uid="{4612C076-E069-480C-8CA8-0672774A3615}"/>
    <cellStyle name="Normal 6 5" xfId="688" xr:uid="{159198E1-CF4B-44EB-A00F-9FF60F1BE473}"/>
    <cellStyle name="Normal 6 5 10" xfId="17698" xr:uid="{EAF040C8-A035-48AC-A040-9CA98FD9BADD}"/>
    <cellStyle name="Normal 6 5 11" xfId="19588" xr:uid="{6EC2002D-987B-4ED9-802F-9C954F53BDB2}"/>
    <cellStyle name="Normal 6 5 12" xfId="21478" xr:uid="{1736B045-8047-4EA4-B4F6-A6582DF232D6}"/>
    <cellStyle name="Normal 6 5 13" xfId="23368" xr:uid="{AADEEDF9-606D-4182-B578-6114A03B5316}"/>
    <cellStyle name="Normal 6 5 14" xfId="25258" xr:uid="{36279973-D00F-4728-B603-38AC8E9DAE34}"/>
    <cellStyle name="Normal 6 5 15" xfId="27148" xr:uid="{5B953AD6-ECB6-46D2-A251-61B77180916F}"/>
    <cellStyle name="Normal 6 5 16" xfId="29038" xr:uid="{EEBE1A7C-0670-4E9C-B0D7-CCE543B37FB1}"/>
    <cellStyle name="Normal 6 5 17" xfId="30928" xr:uid="{552A8220-824B-4EE1-8D00-47EFFF2533B3}"/>
    <cellStyle name="Normal 6 5 18" xfId="32818" xr:uid="{7012C1E6-7234-42D0-B34F-BF5166695AF0}"/>
    <cellStyle name="Normal 6 5 19" xfId="34708" xr:uid="{F36E312A-85A4-4942-9366-20246472DDA5}"/>
    <cellStyle name="Normal 6 5 2" xfId="2578" xr:uid="{D1EC4826-3F8B-4BAD-A126-89DA647F7D9A}"/>
    <cellStyle name="Normal 6 5 20" xfId="36598" xr:uid="{E8B1C5E7-5F7C-424E-A675-775F5722EE52}"/>
    <cellStyle name="Normal 6 5 21" xfId="38488" xr:uid="{1633A0E5-40BE-4323-8B4D-C675FD9B74D8}"/>
    <cellStyle name="Normal 6 5 22" xfId="40379" xr:uid="{A4CD2FF3-9C0E-4BD5-B307-EED04ACB75E7}"/>
    <cellStyle name="Normal 6 5 3" xfId="4468" xr:uid="{248BE3D6-9C6E-4136-B70D-6FE63C49639F}"/>
    <cellStyle name="Normal 6 5 4" xfId="6358" xr:uid="{6F5D0716-C424-4356-94E6-F9B665211D05}"/>
    <cellStyle name="Normal 6 5 5" xfId="8248" xr:uid="{7D604827-7FE7-413C-9D0A-E96309378860}"/>
    <cellStyle name="Normal 6 5 6" xfId="10138" xr:uid="{4ADCF9B7-3B19-4D4F-9E5C-746BB611548A}"/>
    <cellStyle name="Normal 6 5 7" xfId="12028" xr:uid="{65223AE7-4A95-4117-91C3-30D8B7412BA0}"/>
    <cellStyle name="Normal 6 5 8" xfId="13918" xr:uid="{D34B161F-BCF9-413F-B179-87127B4899A7}"/>
    <cellStyle name="Normal 6 5 9" xfId="15808" xr:uid="{55F060DA-FFAB-47E4-9E94-2B67D25F711C}"/>
    <cellStyle name="Normal 6 6" xfId="1318" xr:uid="{74FE4656-F74E-4A8D-8DFA-53ACDA0138FB}"/>
    <cellStyle name="Normal 6 6 10" xfId="18328" xr:uid="{98E863BC-07B2-4166-8529-E9C88640889B}"/>
    <cellStyle name="Normal 6 6 11" xfId="20218" xr:uid="{0D3050E8-E718-41A8-8ECC-B8F79428418D}"/>
    <cellStyle name="Normal 6 6 12" xfId="22108" xr:uid="{58229E7C-37E9-49F5-B99B-23F7D64688EE}"/>
    <cellStyle name="Normal 6 6 13" xfId="23998" xr:uid="{F8D7E309-C152-4F11-AC9B-B998804B6FDB}"/>
    <cellStyle name="Normal 6 6 14" xfId="25888" xr:uid="{253794D0-218E-488B-9EDE-BC005EFF377D}"/>
    <cellStyle name="Normal 6 6 15" xfId="27778" xr:uid="{719BFB4E-EF9C-4DDE-8125-95D2398F9117}"/>
    <cellStyle name="Normal 6 6 16" xfId="29668" xr:uid="{833CB2F6-0125-4ABC-AD9C-7D4C77C00FD1}"/>
    <cellStyle name="Normal 6 6 17" xfId="31558" xr:uid="{27560C7F-97B3-44A2-B08C-F140EDF3D8AD}"/>
    <cellStyle name="Normal 6 6 18" xfId="33448" xr:uid="{3200F081-655E-4EEE-B67B-F3B677C7BB74}"/>
    <cellStyle name="Normal 6 6 19" xfId="35338" xr:uid="{9E97DE36-07BD-46B0-98C5-BEC69203BF53}"/>
    <cellStyle name="Normal 6 6 2" xfId="3208" xr:uid="{577D75F1-8425-4FDE-B4A8-8E11FA122E76}"/>
    <cellStyle name="Normal 6 6 20" xfId="37228" xr:uid="{D0BC589C-7074-4362-B2B9-46E7C0AEDB9F}"/>
    <cellStyle name="Normal 6 6 21" xfId="39118" xr:uid="{352A4B76-E3CF-47F4-90A0-195C715C6512}"/>
    <cellStyle name="Normal 6 6 22" xfId="41009" xr:uid="{D89FEC2A-A7C8-4F72-9594-AFCAEA20F1E1}"/>
    <cellStyle name="Normal 6 6 3" xfId="5098" xr:uid="{2AEFDD40-DE8D-496A-A683-E754E481865A}"/>
    <cellStyle name="Normal 6 6 4" xfId="6988" xr:uid="{859FE529-29F9-4A17-A635-CE9378C04A1F}"/>
    <cellStyle name="Normal 6 6 5" xfId="8878" xr:uid="{1C73A7A0-1181-427B-AA83-AFAC02F5FF57}"/>
    <cellStyle name="Normal 6 6 6" xfId="10768" xr:uid="{2A94A366-22E6-4A2E-A9A2-3C9DDC77C7DA}"/>
    <cellStyle name="Normal 6 6 7" xfId="12658" xr:uid="{3F8E5D16-9B1A-44B5-9C64-6F64ECDED648}"/>
    <cellStyle name="Normal 6 6 8" xfId="14548" xr:uid="{4341C866-53A3-49A6-B5F2-F21BE3434A7B}"/>
    <cellStyle name="Normal 6 6 9" xfId="16438" xr:uid="{542E4A37-F31D-4367-A41D-199203192042}"/>
    <cellStyle name="Normal 6 7" xfId="1948" xr:uid="{4F5FBF27-F2DF-4568-B9FD-FC486FC2C3C2}"/>
    <cellStyle name="Normal 6 8" xfId="3838" xr:uid="{A83A0AB0-7BB6-49D3-BF43-9FF69C9BD340}"/>
    <cellStyle name="Normal 6 9" xfId="5728" xr:uid="{2431E910-00BA-4A7E-9612-83FEA471F3D8}"/>
    <cellStyle name="Normal 7" xfId="45" xr:uid="{E5FA4780-E923-4C26-9E9D-AF275255FC86}"/>
    <cellStyle name="Normal 7 10" xfId="7627" xr:uid="{F44B9318-2F6B-4FFE-9D7E-4DAE2065ED53}"/>
    <cellStyle name="Normal 7 11" xfId="9517" xr:uid="{650DBE9A-62CD-4743-B7E6-E64CFED629E1}"/>
    <cellStyle name="Normal 7 12" xfId="11407" xr:uid="{7496586A-71CE-44A6-BFA7-9A00CB824743}"/>
    <cellStyle name="Normal 7 13" xfId="13297" xr:uid="{6F0B312D-CEFE-4FD1-837C-C54E7DB0B58F}"/>
    <cellStyle name="Normal 7 14" xfId="15187" xr:uid="{4443B51A-D2BF-4A70-8CEB-1BEB84999AC6}"/>
    <cellStyle name="Normal 7 15" xfId="17077" xr:uid="{8711E98B-8297-43FD-BA87-AC4A9953ABC4}"/>
    <cellStyle name="Normal 7 16" xfId="18967" xr:uid="{16CA01F7-3E11-4587-AE7F-248266E18816}"/>
    <cellStyle name="Normal 7 17" xfId="20857" xr:uid="{35B49174-0CA9-4B62-BBE6-0C7F066E2224}"/>
    <cellStyle name="Normal 7 18" xfId="22747" xr:uid="{379E3144-5957-4F43-9407-581888FBD4A1}"/>
    <cellStyle name="Normal 7 19" xfId="24637" xr:uid="{C92C1F55-BD47-4C79-8FBE-49A574B9DEBC}"/>
    <cellStyle name="Normal 7 2" xfId="172" xr:uid="{B3DE5B56-ACEB-4258-8AB3-D5E81E50EF3F}"/>
    <cellStyle name="Normal 7 2 10" xfId="9622" xr:uid="{1325D2DB-DD7D-4162-B710-2BF6F3169C17}"/>
    <cellStyle name="Normal 7 2 11" xfId="11512" xr:uid="{82ED9097-1E58-4D26-BD10-381634BF3E33}"/>
    <cellStyle name="Normal 7 2 12" xfId="13402" xr:uid="{C954D008-134A-459F-AEA3-C15E4E6F40F0}"/>
    <cellStyle name="Normal 7 2 13" xfId="15292" xr:uid="{A9971F7F-7146-4537-B8F8-B34E54AA34A6}"/>
    <cellStyle name="Normal 7 2 14" xfId="17182" xr:uid="{68C5E45D-E5B0-443B-9D74-8CB1CDCA68B5}"/>
    <cellStyle name="Normal 7 2 15" xfId="19072" xr:uid="{E11CF852-2FDE-47EF-9285-68F70B51BB61}"/>
    <cellStyle name="Normal 7 2 16" xfId="20962" xr:uid="{F4E993F1-7569-4BCC-8AEA-38A436AB2A11}"/>
    <cellStyle name="Normal 7 2 17" xfId="22852" xr:uid="{B507B067-B926-4EE7-AFDA-EAE0EDF581F9}"/>
    <cellStyle name="Normal 7 2 18" xfId="24742" xr:uid="{89A4C43F-90E4-498B-BAB0-7E2C26112361}"/>
    <cellStyle name="Normal 7 2 19" xfId="26632" xr:uid="{0730F79C-4413-4F77-B716-4DB2795C7C72}"/>
    <cellStyle name="Normal 7 2 2" xfId="382" xr:uid="{D57077A2-6095-4E02-AE96-A37C39854895}"/>
    <cellStyle name="Normal 7 2 2 10" xfId="13612" xr:uid="{FB1BA26A-1A40-4F66-89DF-007225A01F96}"/>
    <cellStyle name="Normal 7 2 2 11" xfId="15502" xr:uid="{75E81E8F-E938-495F-AA36-75095CD69C9F}"/>
    <cellStyle name="Normal 7 2 2 12" xfId="17392" xr:uid="{6C82AD65-74F6-4DD6-AF3A-323C37BC36CC}"/>
    <cellStyle name="Normal 7 2 2 13" xfId="19282" xr:uid="{110B6FF9-AE64-406B-907E-EE515925791A}"/>
    <cellStyle name="Normal 7 2 2 14" xfId="21172" xr:uid="{AA8F286D-2A82-4A5D-A502-DBA0037B025D}"/>
    <cellStyle name="Normal 7 2 2 15" xfId="23062" xr:uid="{69CB74FE-27CD-4E9D-843D-891C1868FA8B}"/>
    <cellStyle name="Normal 7 2 2 16" xfId="24952" xr:uid="{038A06A4-241D-4E72-8C18-0B5D925418B3}"/>
    <cellStyle name="Normal 7 2 2 17" xfId="26842" xr:uid="{D7295140-4ECB-48A8-AC2E-898F2D9D344E}"/>
    <cellStyle name="Normal 7 2 2 18" xfId="28732" xr:uid="{D46EB06A-1565-4026-B7C8-1EEF7EDB780E}"/>
    <cellStyle name="Normal 7 2 2 19" xfId="30622" xr:uid="{9220D76D-B31F-4222-99BD-037CFD66903F}"/>
    <cellStyle name="Normal 7 2 2 2" xfId="1012" xr:uid="{49FDD84B-DD47-4FD1-9F78-F7D9A8F8E0EE}"/>
    <cellStyle name="Normal 7 2 2 2 10" xfId="18022" xr:uid="{40A38EF5-2F9B-4801-85B5-EF848EF7CAF7}"/>
    <cellStyle name="Normal 7 2 2 2 11" xfId="19912" xr:uid="{9E5AB1C3-60BE-46F4-9ED9-884DEF005F1B}"/>
    <cellStyle name="Normal 7 2 2 2 12" xfId="21802" xr:uid="{A6B617E9-1594-45AC-90D9-DE2FC8DB3F31}"/>
    <cellStyle name="Normal 7 2 2 2 13" xfId="23692" xr:uid="{C3CB7E9B-921B-4DE5-ADFF-33DDAD11ACD1}"/>
    <cellStyle name="Normal 7 2 2 2 14" xfId="25582" xr:uid="{794E177A-01C5-4375-9B6D-3E12A9D507DF}"/>
    <cellStyle name="Normal 7 2 2 2 15" xfId="27472" xr:uid="{B3AB9011-52B5-4921-B706-9A0141DC9B80}"/>
    <cellStyle name="Normal 7 2 2 2 16" xfId="29362" xr:uid="{FA41C7FE-5D88-4E04-A6FF-79C54D898122}"/>
    <cellStyle name="Normal 7 2 2 2 17" xfId="31252" xr:uid="{F1936B30-3A6F-4EA2-B5DE-6BF205C808AE}"/>
    <cellStyle name="Normal 7 2 2 2 18" xfId="33142" xr:uid="{FAE0B96B-A7D9-4A33-994F-08E39CD6BAD9}"/>
    <cellStyle name="Normal 7 2 2 2 19" xfId="35032" xr:uid="{2A527E02-1240-4EE3-AF6C-DDEF37864034}"/>
    <cellStyle name="Normal 7 2 2 2 2" xfId="2902" xr:uid="{3EB82EC3-86B1-4A5B-B541-925EC52BE894}"/>
    <cellStyle name="Normal 7 2 2 2 20" xfId="36922" xr:uid="{CF64F45D-9C7E-4CC0-9E20-282CE993CBDC}"/>
    <cellStyle name="Normal 7 2 2 2 21" xfId="38812" xr:uid="{BEC2EA4E-344A-45AC-A207-8C91B88139DB}"/>
    <cellStyle name="Normal 7 2 2 2 22" xfId="40703" xr:uid="{E5D92F8F-40A5-4C5E-8B67-0D34D8068F67}"/>
    <cellStyle name="Normal 7 2 2 2 3" xfId="4792" xr:uid="{EF0F584A-E0C5-4A24-8CDC-A518CC09668C}"/>
    <cellStyle name="Normal 7 2 2 2 4" xfId="6682" xr:uid="{819FD6AF-87C9-49A0-B522-3692187E16C0}"/>
    <cellStyle name="Normal 7 2 2 2 5" xfId="8572" xr:uid="{668DF967-5EFB-4D62-9213-86C950247ABB}"/>
    <cellStyle name="Normal 7 2 2 2 6" xfId="10462" xr:uid="{F4A54C45-C6CA-4A51-87A3-85C69D98E470}"/>
    <cellStyle name="Normal 7 2 2 2 7" xfId="12352" xr:uid="{AF1591A3-53D5-4BCD-AE28-83C510E9067D}"/>
    <cellStyle name="Normal 7 2 2 2 8" xfId="14242" xr:uid="{0BFB7913-E134-457A-9C8D-4032AEE797F6}"/>
    <cellStyle name="Normal 7 2 2 2 9" xfId="16132" xr:uid="{F61BDBEC-9760-46EF-84C6-90088A56451F}"/>
    <cellStyle name="Normal 7 2 2 20" xfId="32512" xr:uid="{E8CA9402-5BD2-4E79-A402-42A2BC1E7835}"/>
    <cellStyle name="Normal 7 2 2 21" xfId="34402" xr:uid="{C072508C-B066-4F42-8DC6-9332D80784D1}"/>
    <cellStyle name="Normal 7 2 2 22" xfId="36292" xr:uid="{51FC12C0-D709-4699-8102-92B223A86BCC}"/>
    <cellStyle name="Normal 7 2 2 23" xfId="38182" xr:uid="{D11C5809-5BCF-4781-B00B-32B4128A6CCB}"/>
    <cellStyle name="Normal 7 2 2 24" xfId="40073" xr:uid="{0AFD323D-20AB-4F9A-B56B-79140DA62434}"/>
    <cellStyle name="Normal 7 2 2 3" xfId="1642" xr:uid="{49D7E5B1-E5F4-4B75-A5BE-67C09806F882}"/>
    <cellStyle name="Normal 7 2 2 3 10" xfId="18652" xr:uid="{68E5EF09-F7ED-4BC2-8866-D3D66CE911DA}"/>
    <cellStyle name="Normal 7 2 2 3 11" xfId="20542" xr:uid="{BCEEE120-8EAE-4AE7-A2E0-606D436F878B}"/>
    <cellStyle name="Normal 7 2 2 3 12" xfId="22432" xr:uid="{7A21BEFC-3D0A-4AA8-A0B1-098D8585DA6A}"/>
    <cellStyle name="Normal 7 2 2 3 13" xfId="24322" xr:uid="{FD08627C-2F60-426C-B82A-734F0709A8FC}"/>
    <cellStyle name="Normal 7 2 2 3 14" xfId="26212" xr:uid="{728D505A-13A8-4CAD-9F5C-0C7D90469813}"/>
    <cellStyle name="Normal 7 2 2 3 15" xfId="28102" xr:uid="{1F7BF45E-5B45-4AEC-9067-7A975A5F70D1}"/>
    <cellStyle name="Normal 7 2 2 3 16" xfId="29992" xr:uid="{7FF5C8C6-F058-443B-8C20-00D5C3C3E8DD}"/>
    <cellStyle name="Normal 7 2 2 3 17" xfId="31882" xr:uid="{218C0E95-0BC8-4580-8369-C0E927B48376}"/>
    <cellStyle name="Normal 7 2 2 3 18" xfId="33772" xr:uid="{F735D449-5F30-44F3-8C93-122637FC3849}"/>
    <cellStyle name="Normal 7 2 2 3 19" xfId="35662" xr:uid="{E67A53F7-3AAD-460C-97C2-77442C267FD9}"/>
    <cellStyle name="Normal 7 2 2 3 2" xfId="3532" xr:uid="{497682C7-814C-4BD4-BC1D-07A888530060}"/>
    <cellStyle name="Normal 7 2 2 3 20" xfId="37552" xr:uid="{BE64B87E-87F6-43AB-8F3C-82BAC39BDED1}"/>
    <cellStyle name="Normal 7 2 2 3 21" xfId="39442" xr:uid="{EB2CA081-B131-4807-8E83-EBEC8872DC59}"/>
    <cellStyle name="Normal 7 2 2 3 22" xfId="41333" xr:uid="{492599C3-348D-4E47-BE79-716CB430C23D}"/>
    <cellStyle name="Normal 7 2 2 3 3" xfId="5422" xr:uid="{45E39EF6-A3BF-4E50-9457-EC3E7BA1CF16}"/>
    <cellStyle name="Normal 7 2 2 3 4" xfId="7312" xr:uid="{713BB4B3-4CDD-4996-AA98-551BA904D9D6}"/>
    <cellStyle name="Normal 7 2 2 3 5" xfId="9202" xr:uid="{799F8F37-DE30-4007-997A-AB9FF0BFB586}"/>
    <cellStyle name="Normal 7 2 2 3 6" xfId="11092" xr:uid="{B11ED58A-DBEF-44E3-AD5B-FC72876EB6EA}"/>
    <cellStyle name="Normal 7 2 2 3 7" xfId="12982" xr:uid="{6055A14F-4C9A-4543-8946-9FDA52F61824}"/>
    <cellStyle name="Normal 7 2 2 3 8" xfId="14872" xr:uid="{54835BAC-BDDE-432C-AC92-C7D38E180BC2}"/>
    <cellStyle name="Normal 7 2 2 3 9" xfId="16762" xr:uid="{B2F90B4A-6AF5-409C-B62D-4A3F79BC601B}"/>
    <cellStyle name="Normal 7 2 2 4" xfId="2272" xr:uid="{E7D21D65-87D4-42AC-BAB7-25AF01AAFE8A}"/>
    <cellStyle name="Normal 7 2 2 5" xfId="4162" xr:uid="{8FAAE5F1-1960-4E44-BB82-D55CF64F3151}"/>
    <cellStyle name="Normal 7 2 2 6" xfId="6052" xr:uid="{25999B34-4368-41FF-9981-6075D1A0C990}"/>
    <cellStyle name="Normal 7 2 2 7" xfId="7942" xr:uid="{897E6319-48C2-4AC4-A3A9-7FF191D83746}"/>
    <cellStyle name="Normal 7 2 2 8" xfId="9832" xr:uid="{0E4FF64D-8D47-46B9-919D-AC588F3569FE}"/>
    <cellStyle name="Normal 7 2 2 9" xfId="11722" xr:uid="{8653DD72-3DEB-4424-9DDA-B45F6635B0F6}"/>
    <cellStyle name="Normal 7 2 20" xfId="28522" xr:uid="{7E234B79-A6AF-4D95-8FC4-5D61D0F85C3F}"/>
    <cellStyle name="Normal 7 2 21" xfId="30412" xr:uid="{57BF96E8-FAB2-4D0F-A849-884C013D605C}"/>
    <cellStyle name="Normal 7 2 22" xfId="32302" xr:uid="{B53F2AD1-2ED3-40A7-AFF6-CC6B7DF62AD7}"/>
    <cellStyle name="Normal 7 2 23" xfId="34192" xr:uid="{2DA24B70-F7B5-4CD9-B507-F462B8E82AEE}"/>
    <cellStyle name="Normal 7 2 24" xfId="36082" xr:uid="{A5B6BB68-6333-468C-A563-8F35185E8BBE}"/>
    <cellStyle name="Normal 7 2 25" xfId="37972" xr:uid="{42A46B75-A07E-4F07-90E8-6140039E1392}"/>
    <cellStyle name="Normal 7 2 26" xfId="39863" xr:uid="{0CA8AA5D-AA0C-46C7-9235-1C54D9827650}"/>
    <cellStyle name="Normal 7 2 3" xfId="592" xr:uid="{3607A9F3-FAAA-402E-B505-CC4C1B2CB7B3}"/>
    <cellStyle name="Normal 7 2 3 10" xfId="13822" xr:uid="{66FE91D1-2B7D-4A44-A27E-B392595562D8}"/>
    <cellStyle name="Normal 7 2 3 11" xfId="15712" xr:uid="{8A581F8A-22BE-4632-9CAE-FF6FB62B86D1}"/>
    <cellStyle name="Normal 7 2 3 12" xfId="17602" xr:uid="{E0AB60F8-D00B-4029-8324-283D1278FB0A}"/>
    <cellStyle name="Normal 7 2 3 13" xfId="19492" xr:uid="{29F593FA-07CA-453C-AD33-94CF08924F20}"/>
    <cellStyle name="Normal 7 2 3 14" xfId="21382" xr:uid="{07759223-CCB6-4F13-A355-FA4CB4F674A9}"/>
    <cellStyle name="Normal 7 2 3 15" xfId="23272" xr:uid="{24FA28B3-3486-4FDD-BBCC-4BC350E8E77F}"/>
    <cellStyle name="Normal 7 2 3 16" xfId="25162" xr:uid="{E69CF514-362C-4846-97D1-1FFAAAB37D24}"/>
    <cellStyle name="Normal 7 2 3 17" xfId="27052" xr:uid="{12F7DEBF-53CB-4994-A56F-9FA9615873A3}"/>
    <cellStyle name="Normal 7 2 3 18" xfId="28942" xr:uid="{EB2897DB-CF6C-4470-9667-56AECD95EEEF}"/>
    <cellStyle name="Normal 7 2 3 19" xfId="30832" xr:uid="{B71A4BA4-B6C8-47E6-9E8A-A71B3B2D1B2E}"/>
    <cellStyle name="Normal 7 2 3 2" xfId="1222" xr:uid="{76A06E33-6526-4EE0-A1BB-B96CD522300F}"/>
    <cellStyle name="Normal 7 2 3 2 10" xfId="18232" xr:uid="{AFA5010F-58D8-4E32-B889-04308C64E735}"/>
    <cellStyle name="Normal 7 2 3 2 11" xfId="20122" xr:uid="{CD14E4E0-52C4-4563-AC62-33926FA6DF3B}"/>
    <cellStyle name="Normal 7 2 3 2 12" xfId="22012" xr:uid="{0F73D757-AF1C-481B-9E02-8F02052FEEF2}"/>
    <cellStyle name="Normal 7 2 3 2 13" xfId="23902" xr:uid="{08C5793C-3F8E-40CF-863A-38272956E7EE}"/>
    <cellStyle name="Normal 7 2 3 2 14" xfId="25792" xr:uid="{4974FED6-C188-45A0-8C54-9665F4ECD6FD}"/>
    <cellStyle name="Normal 7 2 3 2 15" xfId="27682" xr:uid="{A91FF8C3-0862-47C7-A3DE-55F04048DD9D}"/>
    <cellStyle name="Normal 7 2 3 2 16" xfId="29572" xr:uid="{43645096-A372-4B11-A6B4-0FD51ABDB856}"/>
    <cellStyle name="Normal 7 2 3 2 17" xfId="31462" xr:uid="{125946A4-8198-4128-8487-B091AD73792C}"/>
    <cellStyle name="Normal 7 2 3 2 18" xfId="33352" xr:uid="{33D71ADA-E3AF-4AA3-B5F2-4BF24A86464E}"/>
    <cellStyle name="Normal 7 2 3 2 19" xfId="35242" xr:uid="{F7887748-93F8-490B-91B9-746EADC2FAF9}"/>
    <cellStyle name="Normal 7 2 3 2 2" xfId="3112" xr:uid="{E5BFF5B0-5857-468E-933A-DACB6270A477}"/>
    <cellStyle name="Normal 7 2 3 2 20" xfId="37132" xr:uid="{FD0FA274-45AC-4CEA-A87A-1B538DF2433C}"/>
    <cellStyle name="Normal 7 2 3 2 21" xfId="39022" xr:uid="{5E7AFBE2-9F3D-457D-A721-6E299C74C07D}"/>
    <cellStyle name="Normal 7 2 3 2 22" xfId="40913" xr:uid="{D1DBB833-217C-4AAB-8FFA-FFCC52C84D4B}"/>
    <cellStyle name="Normal 7 2 3 2 3" xfId="5002" xr:uid="{2BB3620D-0A21-4A90-91E0-0F751CCC5F6A}"/>
    <cellStyle name="Normal 7 2 3 2 4" xfId="6892" xr:uid="{C241EFA2-DEBE-4162-B8CD-065898A99248}"/>
    <cellStyle name="Normal 7 2 3 2 5" xfId="8782" xr:uid="{96280A94-2763-48A3-8001-5D87C46D0379}"/>
    <cellStyle name="Normal 7 2 3 2 6" xfId="10672" xr:uid="{4A4FCF59-5BDB-4710-AEBA-F227C29DD218}"/>
    <cellStyle name="Normal 7 2 3 2 7" xfId="12562" xr:uid="{5211627F-F471-4329-AE8B-2B435F8DF2FC}"/>
    <cellStyle name="Normal 7 2 3 2 8" xfId="14452" xr:uid="{914CC16F-1E47-45C7-BB27-5FFBECB7C85A}"/>
    <cellStyle name="Normal 7 2 3 2 9" xfId="16342" xr:uid="{10BAFC1A-FC5C-47A9-BF79-62875CEF5693}"/>
    <cellStyle name="Normal 7 2 3 20" xfId="32722" xr:uid="{F6E5DF4C-742F-4668-AB94-7F49E58B6AAA}"/>
    <cellStyle name="Normal 7 2 3 21" xfId="34612" xr:uid="{8C988242-5C16-4D6E-A2A4-F759AD733690}"/>
    <cellStyle name="Normal 7 2 3 22" xfId="36502" xr:uid="{03667202-C482-41D4-8E12-D14A271D49A5}"/>
    <cellStyle name="Normal 7 2 3 23" xfId="38392" xr:uid="{61047F08-19DB-49AE-A413-8D35FF70795C}"/>
    <cellStyle name="Normal 7 2 3 24" xfId="40283" xr:uid="{39CB6E8D-35DF-4276-B461-24EBE3D47615}"/>
    <cellStyle name="Normal 7 2 3 3" xfId="1852" xr:uid="{EEA9C280-1A0A-42F9-8C4F-BE47AAAA3B60}"/>
    <cellStyle name="Normal 7 2 3 3 10" xfId="18862" xr:uid="{87381B03-C21F-44E4-B38D-33D645BCBAFA}"/>
    <cellStyle name="Normal 7 2 3 3 11" xfId="20752" xr:uid="{EF460518-3086-4747-A7CA-37A0FFF79F3E}"/>
    <cellStyle name="Normal 7 2 3 3 12" xfId="22642" xr:uid="{501F0423-E65A-457B-9F6E-6474B208AA1F}"/>
    <cellStyle name="Normal 7 2 3 3 13" xfId="24532" xr:uid="{C7A7C1F2-C7F6-4248-B05F-2AA281109EB2}"/>
    <cellStyle name="Normal 7 2 3 3 14" xfId="26422" xr:uid="{BE721CF0-5A3A-4A54-8591-A549F3D3577C}"/>
    <cellStyle name="Normal 7 2 3 3 15" xfId="28312" xr:uid="{F455D699-CD92-4538-A4FD-C4C257987270}"/>
    <cellStyle name="Normal 7 2 3 3 16" xfId="30202" xr:uid="{29CB54E2-E0A9-456D-9B7B-0D4B5B52D23F}"/>
    <cellStyle name="Normal 7 2 3 3 17" xfId="32092" xr:uid="{99B729B0-0562-4CB0-9F7D-CAB74B6183AB}"/>
    <cellStyle name="Normal 7 2 3 3 18" xfId="33982" xr:uid="{1530D35D-EBE3-48BE-AF10-8AB7A4B633FB}"/>
    <cellStyle name="Normal 7 2 3 3 19" xfId="35872" xr:uid="{1CF00B4D-E312-4BFF-B1B6-9EFC03CEAFF1}"/>
    <cellStyle name="Normal 7 2 3 3 2" xfId="3742" xr:uid="{F65B7BEF-C0B6-4A5E-93A8-A8202ED9D4D9}"/>
    <cellStyle name="Normal 7 2 3 3 20" xfId="37762" xr:uid="{5916ABE8-342C-42AE-A9E5-1D51698CC84F}"/>
    <cellStyle name="Normal 7 2 3 3 21" xfId="39652" xr:uid="{4E5DCF80-2E25-4F1C-BA4E-AE122A6F5940}"/>
    <cellStyle name="Normal 7 2 3 3 22" xfId="41543" xr:uid="{9C007713-2D4A-4EAF-B23A-5D4714D84F70}"/>
    <cellStyle name="Normal 7 2 3 3 3" xfId="5632" xr:uid="{7FDF783B-33BD-4402-B569-0038ADA08BBF}"/>
    <cellStyle name="Normal 7 2 3 3 4" xfId="7522" xr:uid="{996D25DC-D4BB-4277-9013-ED0FAEA5666C}"/>
    <cellStyle name="Normal 7 2 3 3 5" xfId="9412" xr:uid="{C1549630-20EB-4491-9C66-940F0867F940}"/>
    <cellStyle name="Normal 7 2 3 3 6" xfId="11302" xr:uid="{257344F5-35FD-43CF-90E9-0BAB14824AA3}"/>
    <cellStyle name="Normal 7 2 3 3 7" xfId="13192" xr:uid="{D584AA9A-465F-4E10-8DAF-90E5091FA04A}"/>
    <cellStyle name="Normal 7 2 3 3 8" xfId="15082" xr:uid="{60A12497-3068-436D-A6B2-372CD8D3ED60}"/>
    <cellStyle name="Normal 7 2 3 3 9" xfId="16972" xr:uid="{0B2F6172-ACB0-4C28-9074-F09AD8A9BF1B}"/>
    <cellStyle name="Normal 7 2 3 4" xfId="2482" xr:uid="{747593B5-A3C9-4DE7-A9A6-67B55F8CD80F}"/>
    <cellStyle name="Normal 7 2 3 5" xfId="4372" xr:uid="{E8C4D419-40FD-4F0B-85C6-D94E1B751C6E}"/>
    <cellStyle name="Normal 7 2 3 6" xfId="6262" xr:uid="{5310E6E4-C965-49D9-A853-A3C21DFA4044}"/>
    <cellStyle name="Normal 7 2 3 7" xfId="8152" xr:uid="{653D615F-1B09-4051-B8D9-0DCDBDEB7F7C}"/>
    <cellStyle name="Normal 7 2 3 8" xfId="10042" xr:uid="{2FE49065-38B6-4030-9E58-29AE4225EAD6}"/>
    <cellStyle name="Normal 7 2 3 9" xfId="11932" xr:uid="{08A13BBA-55E3-4F38-8944-A1433F795DAA}"/>
    <cellStyle name="Normal 7 2 4" xfId="802" xr:uid="{7922C2AD-C6C5-4358-B7C7-7982FB9374CC}"/>
    <cellStyle name="Normal 7 2 4 10" xfId="17812" xr:uid="{C9155EC3-2F3A-4BF3-BFAD-271C58D611C2}"/>
    <cellStyle name="Normal 7 2 4 11" xfId="19702" xr:uid="{77C4C16A-8E62-4CA1-AE4D-ADCDAF9E0BA7}"/>
    <cellStyle name="Normal 7 2 4 12" xfId="21592" xr:uid="{F76CEFE2-23CA-49AD-B25F-D550FA1D7762}"/>
    <cellStyle name="Normal 7 2 4 13" xfId="23482" xr:uid="{5C1888D2-9FF2-4B0C-BD3E-DA4EB1DF3CF5}"/>
    <cellStyle name="Normal 7 2 4 14" xfId="25372" xr:uid="{BCF5A16D-23A1-4295-92D3-2110B9A53F3C}"/>
    <cellStyle name="Normal 7 2 4 15" xfId="27262" xr:uid="{FFBD97C1-4C20-4A53-84E9-709F26383EC1}"/>
    <cellStyle name="Normal 7 2 4 16" xfId="29152" xr:uid="{D2D896C7-6CB8-4594-A9BC-44BB468F4FAC}"/>
    <cellStyle name="Normal 7 2 4 17" xfId="31042" xr:uid="{EFEE7DA0-CBB4-4646-8FFE-F91166D5AA57}"/>
    <cellStyle name="Normal 7 2 4 18" xfId="32932" xr:uid="{B5DE8950-D80A-4BC0-9C1D-98875E2A576B}"/>
    <cellStyle name="Normal 7 2 4 19" xfId="34822" xr:uid="{FF007666-CE33-417F-B0F7-A50BF46FDD5A}"/>
    <cellStyle name="Normal 7 2 4 2" xfId="2692" xr:uid="{289614C8-C4DF-40F1-851C-EF3AB8F912E5}"/>
    <cellStyle name="Normal 7 2 4 20" xfId="36712" xr:uid="{D1CEE975-B2DC-4F17-B7F1-AF11D5CFA02C}"/>
    <cellStyle name="Normal 7 2 4 21" xfId="38602" xr:uid="{27F36D51-8072-468A-A14A-A2C8FBF5F159}"/>
    <cellStyle name="Normal 7 2 4 22" xfId="40493" xr:uid="{23301638-2A39-486F-82F4-C580696D6117}"/>
    <cellStyle name="Normal 7 2 4 3" xfId="4582" xr:uid="{A1565AAE-737A-493F-8443-ADFDC7D4B86D}"/>
    <cellStyle name="Normal 7 2 4 4" xfId="6472" xr:uid="{9BE43480-08D8-47B1-9D77-8D5A0C93C183}"/>
    <cellStyle name="Normal 7 2 4 5" xfId="8362" xr:uid="{2CB06394-B6AB-4A98-A228-77AFB4AFE62E}"/>
    <cellStyle name="Normal 7 2 4 6" xfId="10252" xr:uid="{19746D99-2558-460E-83CC-D7D5FBC298F6}"/>
    <cellStyle name="Normal 7 2 4 7" xfId="12142" xr:uid="{82585A32-DF38-42FB-A933-D74BF22D2C5D}"/>
    <cellStyle name="Normal 7 2 4 8" xfId="14032" xr:uid="{30F0B0CA-310C-4E45-9DF5-93DE85E05F3D}"/>
    <cellStyle name="Normal 7 2 4 9" xfId="15922" xr:uid="{3543D841-9E74-48F3-8ED5-DEB4533703BC}"/>
    <cellStyle name="Normal 7 2 5" xfId="1432" xr:uid="{356ADC2E-9D44-47D0-9604-8370E8A35AF2}"/>
    <cellStyle name="Normal 7 2 5 10" xfId="18442" xr:uid="{42A0CC42-4316-4E8B-95D4-C846CEBD3278}"/>
    <cellStyle name="Normal 7 2 5 11" xfId="20332" xr:uid="{EFA5BE11-33F0-4E03-8675-C13D4061BC78}"/>
    <cellStyle name="Normal 7 2 5 12" xfId="22222" xr:uid="{2928B918-E8A6-41E2-806D-7C08696A72DB}"/>
    <cellStyle name="Normal 7 2 5 13" xfId="24112" xr:uid="{82DCF77B-7CF1-4B68-9961-D1961AE420F1}"/>
    <cellStyle name="Normal 7 2 5 14" xfId="26002" xr:uid="{1D69D4B0-9ACD-4570-A7D2-ED1F6CBF5411}"/>
    <cellStyle name="Normal 7 2 5 15" xfId="27892" xr:uid="{D22F1E2C-485E-4FD6-A5AC-5677954535AC}"/>
    <cellStyle name="Normal 7 2 5 16" xfId="29782" xr:uid="{53C25240-3C49-4156-AD0E-5808A350B245}"/>
    <cellStyle name="Normal 7 2 5 17" xfId="31672" xr:uid="{2375586A-E7C4-44E4-B8B8-C7E03BF7CC5C}"/>
    <cellStyle name="Normal 7 2 5 18" xfId="33562" xr:uid="{EC6680D1-8C29-4F58-8871-7C7A4BDF132F}"/>
    <cellStyle name="Normal 7 2 5 19" xfId="35452" xr:uid="{8928B586-8067-4F52-8C2C-29E3FA0B76E8}"/>
    <cellStyle name="Normal 7 2 5 2" xfId="3322" xr:uid="{C7B79827-6A45-441E-AF61-156E200D550D}"/>
    <cellStyle name="Normal 7 2 5 20" xfId="37342" xr:uid="{9913B4BF-940D-4222-A5AD-8600CBD373B2}"/>
    <cellStyle name="Normal 7 2 5 21" xfId="39232" xr:uid="{0045423D-93FF-4A1D-B9B7-700BAEA3024C}"/>
    <cellStyle name="Normal 7 2 5 22" xfId="41123" xr:uid="{F64152C6-7B05-49DF-A2B0-A06524CFBB35}"/>
    <cellStyle name="Normal 7 2 5 3" xfId="5212" xr:uid="{FD648200-565F-4C1D-ABB8-4A96F85281FF}"/>
    <cellStyle name="Normal 7 2 5 4" xfId="7102" xr:uid="{CDCDE763-9C97-4D7E-B757-D996D585F05E}"/>
    <cellStyle name="Normal 7 2 5 5" xfId="8992" xr:uid="{43304D2F-B0D0-437F-9A5B-0A5708363FA4}"/>
    <cellStyle name="Normal 7 2 5 6" xfId="10882" xr:uid="{A000C6CA-3EF3-4D57-8493-0D917C139FD0}"/>
    <cellStyle name="Normal 7 2 5 7" xfId="12772" xr:uid="{26DF733B-D665-4192-AD32-F575BC9A462D}"/>
    <cellStyle name="Normal 7 2 5 8" xfId="14662" xr:uid="{6A91BDCF-B31A-41A9-9408-E194816E2A94}"/>
    <cellStyle name="Normal 7 2 5 9" xfId="16552" xr:uid="{B2BA47D7-BE92-43A4-A163-5EA39A9F1F65}"/>
    <cellStyle name="Normal 7 2 6" xfId="2062" xr:uid="{FDFD1F4E-6569-443E-8BDA-27A453D88A74}"/>
    <cellStyle name="Normal 7 2 7" xfId="3952" xr:uid="{371857DA-E7DA-48D3-AFF8-9ADCE1A1360E}"/>
    <cellStyle name="Normal 7 2 8" xfId="5842" xr:uid="{A4E3D07C-7C93-46E7-85C7-4D8AE73CEFED}"/>
    <cellStyle name="Normal 7 2 9" xfId="7732" xr:uid="{EF60E5F1-E24E-4CF7-A8C2-1B490E034BA1}"/>
    <cellStyle name="Normal 7 20" xfId="26527" xr:uid="{82BA773D-1159-49BC-9028-BCE54F198B9C}"/>
    <cellStyle name="Normal 7 21" xfId="28417" xr:uid="{801E552D-2693-4C67-801C-2FD488A37E61}"/>
    <cellStyle name="Normal 7 22" xfId="30307" xr:uid="{133649A3-BFE3-4A87-A74C-126B7D537CB0}"/>
    <cellStyle name="Normal 7 23" xfId="32197" xr:uid="{2B459D77-6674-4B06-83A8-6A8A6E4B3B66}"/>
    <cellStyle name="Normal 7 24" xfId="34087" xr:uid="{2B4C7B66-FBCE-43C2-ADC7-A4330865F3B2}"/>
    <cellStyle name="Normal 7 25" xfId="35977" xr:uid="{EE5849A2-366A-4E8B-9B44-B6C8FF026630}"/>
    <cellStyle name="Normal 7 26" xfId="37867" xr:uid="{C86776F8-7F1F-4296-B237-B1F35DFC278C}"/>
    <cellStyle name="Normal 7 27" xfId="39758" xr:uid="{05CC172F-DFB4-4EB7-88F9-7A5E4F72E526}"/>
    <cellStyle name="Normal 7 3" xfId="277" xr:uid="{4DC216F1-CF58-4E74-A47A-AB2CB51CD0FE}"/>
    <cellStyle name="Normal 7 3 10" xfId="13507" xr:uid="{14A0C13B-5FD1-4951-81D6-7F790D72BB81}"/>
    <cellStyle name="Normal 7 3 11" xfId="15397" xr:uid="{9ECE7115-99ED-48AF-BB9D-954EBCABC1AF}"/>
    <cellStyle name="Normal 7 3 12" xfId="17287" xr:uid="{6F6C406B-1BF1-48A5-81DB-BAE528C40F0F}"/>
    <cellStyle name="Normal 7 3 13" xfId="19177" xr:uid="{C1FB6D62-D08F-4EEC-971C-F17232E58DFC}"/>
    <cellStyle name="Normal 7 3 14" xfId="21067" xr:uid="{F68E8DC6-B664-41AA-9925-C566DC9F9AA8}"/>
    <cellStyle name="Normal 7 3 15" xfId="22957" xr:uid="{1C5C05F9-B914-44A1-B871-8962364E6775}"/>
    <cellStyle name="Normal 7 3 16" xfId="24847" xr:uid="{0827040B-11F2-4E5C-ACC0-3D941F514BD0}"/>
    <cellStyle name="Normal 7 3 17" xfId="26737" xr:uid="{7A789326-F3A8-4058-8577-F002ECA01FE6}"/>
    <cellStyle name="Normal 7 3 18" xfId="28627" xr:uid="{C27CB370-10AF-406D-A4B4-B32520B96682}"/>
    <cellStyle name="Normal 7 3 19" xfId="30517" xr:uid="{E3A94036-51EE-4C4D-B89E-7C73C513B629}"/>
    <cellStyle name="Normal 7 3 2" xfId="907" xr:uid="{95249B8D-C283-4ED2-8A6E-5ABFE8553D45}"/>
    <cellStyle name="Normal 7 3 2 10" xfId="17917" xr:uid="{79EAB1B4-7075-4302-A4F4-DD35D3E3BAE0}"/>
    <cellStyle name="Normal 7 3 2 11" xfId="19807" xr:uid="{265FFB96-9FAB-45F6-AA71-36BDAC86401C}"/>
    <cellStyle name="Normal 7 3 2 12" xfId="21697" xr:uid="{82D85C84-3714-45D9-A8E0-C0F83FD0FAE3}"/>
    <cellStyle name="Normal 7 3 2 13" xfId="23587" xr:uid="{02F26D49-16CD-4E33-BFE1-75B16FD89BC3}"/>
    <cellStyle name="Normal 7 3 2 14" xfId="25477" xr:uid="{C7B253FA-806A-404E-9DAB-D6927CC5E163}"/>
    <cellStyle name="Normal 7 3 2 15" xfId="27367" xr:uid="{B1ADBAEA-48C8-4DBD-902B-B3C71B2112E6}"/>
    <cellStyle name="Normal 7 3 2 16" xfId="29257" xr:uid="{902B1F18-9F11-470F-807B-06BB645283E5}"/>
    <cellStyle name="Normal 7 3 2 17" xfId="31147" xr:uid="{C6480C5F-8090-4EA4-85E4-026A19EFBDDE}"/>
    <cellStyle name="Normal 7 3 2 18" xfId="33037" xr:uid="{F39FF221-AD3E-4EB0-9305-FC27F8A2FB64}"/>
    <cellStyle name="Normal 7 3 2 19" xfId="34927" xr:uid="{ECD2518D-34F7-4DB2-B38E-DF978AC064D9}"/>
    <cellStyle name="Normal 7 3 2 2" xfId="2797" xr:uid="{75C0A48A-D5C3-4E56-AF3F-99EE1C0A0972}"/>
    <cellStyle name="Normal 7 3 2 20" xfId="36817" xr:uid="{5C0C5617-61CE-418D-85D9-801C8453B7AD}"/>
    <cellStyle name="Normal 7 3 2 21" xfId="38707" xr:uid="{5BAFEFBB-17AD-40AA-8561-7124189E000A}"/>
    <cellStyle name="Normal 7 3 2 22" xfId="40598" xr:uid="{057B678E-630A-4E94-8914-4506E2A20F64}"/>
    <cellStyle name="Normal 7 3 2 3" xfId="4687" xr:uid="{4FDD7F2B-7DA2-414F-8CE4-5F9968E283D5}"/>
    <cellStyle name="Normal 7 3 2 4" xfId="6577" xr:uid="{57890D2F-9277-4042-BB23-0A4C9FF417D3}"/>
    <cellStyle name="Normal 7 3 2 5" xfId="8467" xr:uid="{F5F45220-45EE-4CF5-AA83-319B81040355}"/>
    <cellStyle name="Normal 7 3 2 6" xfId="10357" xr:uid="{A5A59599-FCE6-4A72-B724-9D927A9F01D3}"/>
    <cellStyle name="Normal 7 3 2 7" xfId="12247" xr:uid="{36E66BAC-EB27-474C-9612-70FFBA38FC45}"/>
    <cellStyle name="Normal 7 3 2 8" xfId="14137" xr:uid="{3212F3E2-0AEA-439D-B8DE-F2E5C3620320}"/>
    <cellStyle name="Normal 7 3 2 9" xfId="16027" xr:uid="{EF597FE1-D35C-40A0-A2D4-B5210FE59C38}"/>
    <cellStyle name="Normal 7 3 20" xfId="32407" xr:uid="{A30AF1D7-8677-4C14-A99E-A35E9A574E2D}"/>
    <cellStyle name="Normal 7 3 21" xfId="34297" xr:uid="{01162EF8-F341-4693-8CC2-9EB870DB727D}"/>
    <cellStyle name="Normal 7 3 22" xfId="36187" xr:uid="{01D177BE-C995-4FC1-8267-9C899F1E8042}"/>
    <cellStyle name="Normal 7 3 23" xfId="38077" xr:uid="{ED15A2A2-A9BB-4F09-9F0A-32B40030F5DB}"/>
    <cellStyle name="Normal 7 3 24" xfId="39968" xr:uid="{79388E45-0BEF-4B05-A104-580A74735775}"/>
    <cellStyle name="Normal 7 3 3" xfId="1537" xr:uid="{84E6ADFF-54B7-408F-B51A-098D9C89E340}"/>
    <cellStyle name="Normal 7 3 3 10" xfId="18547" xr:uid="{7873EB2F-F42F-49D5-B674-628DEF1A6358}"/>
    <cellStyle name="Normal 7 3 3 11" xfId="20437" xr:uid="{2E3DBA74-774B-41BE-B211-4E2B220F6AD9}"/>
    <cellStyle name="Normal 7 3 3 12" xfId="22327" xr:uid="{66D6BF57-E3DB-4EFB-B59E-F6442931A60D}"/>
    <cellStyle name="Normal 7 3 3 13" xfId="24217" xr:uid="{B3A77895-A6DA-418B-B419-1A03E57BFD0E}"/>
    <cellStyle name="Normal 7 3 3 14" xfId="26107" xr:uid="{28844028-AEF4-4404-9C39-8FEBB6CF574F}"/>
    <cellStyle name="Normal 7 3 3 15" xfId="27997" xr:uid="{813EF1D2-5358-4F9D-9FBC-5AA2A36B90E6}"/>
    <cellStyle name="Normal 7 3 3 16" xfId="29887" xr:uid="{CFF37680-FEC2-41BE-A586-9A2FBB0CC496}"/>
    <cellStyle name="Normal 7 3 3 17" xfId="31777" xr:uid="{20453C92-D5AF-4CDC-BF10-42C6ED465BB6}"/>
    <cellStyle name="Normal 7 3 3 18" xfId="33667" xr:uid="{20026FF2-686E-4CF0-A196-6E9B4660EF07}"/>
    <cellStyle name="Normal 7 3 3 19" xfId="35557" xr:uid="{404AC0D3-6963-4A2A-A01E-B73CADE39BCB}"/>
    <cellStyle name="Normal 7 3 3 2" xfId="3427" xr:uid="{E113AAD9-A4E3-430A-A08D-DF2E27D78738}"/>
    <cellStyle name="Normal 7 3 3 20" xfId="37447" xr:uid="{74A83AA3-0AFB-454A-934B-3274ADB99D70}"/>
    <cellStyle name="Normal 7 3 3 21" xfId="39337" xr:uid="{29C111E4-48A2-4B31-8D65-17CBEE185486}"/>
    <cellStyle name="Normal 7 3 3 22" xfId="41228" xr:uid="{777797D8-E70D-496B-9E19-2CF7C8C537DF}"/>
    <cellStyle name="Normal 7 3 3 3" xfId="5317" xr:uid="{055EEBEB-F8BB-42AD-88E0-8E4CD63E8CAA}"/>
    <cellStyle name="Normal 7 3 3 4" xfId="7207" xr:uid="{5E43BCBB-ACED-4486-A427-7A3981B1FCDD}"/>
    <cellStyle name="Normal 7 3 3 5" xfId="9097" xr:uid="{7D5D0B66-6282-46FD-B64C-FD64FD1640DC}"/>
    <cellStyle name="Normal 7 3 3 6" xfId="10987" xr:uid="{1D82EA40-9633-47F4-BAE2-876E133EFDD7}"/>
    <cellStyle name="Normal 7 3 3 7" xfId="12877" xr:uid="{580A7CE8-2E29-4BA5-8735-8941FBAC4F2F}"/>
    <cellStyle name="Normal 7 3 3 8" xfId="14767" xr:uid="{6BD5D96A-FE6E-4145-9FBE-E2E1F7F624D1}"/>
    <cellStyle name="Normal 7 3 3 9" xfId="16657" xr:uid="{18C9E257-8000-4157-877F-3AE3CBEC4A5C}"/>
    <cellStyle name="Normal 7 3 4" xfId="2167" xr:uid="{EE7036CC-F122-4C29-8818-F12B33C0947D}"/>
    <cellStyle name="Normal 7 3 5" xfId="4057" xr:uid="{397031AF-5C9F-474C-A86D-B0005CB40BF3}"/>
    <cellStyle name="Normal 7 3 6" xfId="5947" xr:uid="{8EEF577B-6C21-476C-AB7B-DCADB2887B18}"/>
    <cellStyle name="Normal 7 3 7" xfId="7837" xr:uid="{1B3A9393-3354-4E3B-8AA5-D6FDF57840C2}"/>
    <cellStyle name="Normal 7 3 8" xfId="9727" xr:uid="{A18EFF06-E509-43B8-A9F9-E4C3573ED8FE}"/>
    <cellStyle name="Normal 7 3 9" xfId="11617" xr:uid="{CBA106C5-71C3-4AC1-9EAD-0EC644D1FA81}"/>
    <cellStyle name="Normal 7 4" xfId="487" xr:uid="{AB9930AF-8C24-4687-94B6-C590F5EF46F9}"/>
    <cellStyle name="Normal 7 4 10" xfId="13717" xr:uid="{3A20E200-2B47-472D-9EAE-BEBECB5025EA}"/>
    <cellStyle name="Normal 7 4 11" xfId="15607" xr:uid="{FB0F8871-DB1C-4D2E-AFA6-0FD9299268F4}"/>
    <cellStyle name="Normal 7 4 12" xfId="17497" xr:uid="{25A83821-FCE6-4DB1-9CDF-705117A64351}"/>
    <cellStyle name="Normal 7 4 13" xfId="19387" xr:uid="{16F42CC7-8787-46ED-8F1B-61E985486546}"/>
    <cellStyle name="Normal 7 4 14" xfId="21277" xr:uid="{076D4F75-4403-4CEE-A59D-7DD65584F27F}"/>
    <cellStyle name="Normal 7 4 15" xfId="23167" xr:uid="{10FAF1F4-5F51-4E25-80EB-8360D6593DA9}"/>
    <cellStyle name="Normal 7 4 16" xfId="25057" xr:uid="{20AE7CE2-CD3D-4104-B625-BCA7767113E0}"/>
    <cellStyle name="Normal 7 4 17" xfId="26947" xr:uid="{341B41CB-D4AB-4D43-9D97-7329AC52FC39}"/>
    <cellStyle name="Normal 7 4 18" xfId="28837" xr:uid="{79CAE0C9-0F54-4ABC-A7D7-CA2A1A68838B}"/>
    <cellStyle name="Normal 7 4 19" xfId="30727" xr:uid="{F8C070D9-197F-40CE-8EC1-2616E90849A9}"/>
    <cellStyle name="Normal 7 4 2" xfId="1117" xr:uid="{CC1663CD-A4C3-4A0C-9FC7-8AA89B3F8759}"/>
    <cellStyle name="Normal 7 4 2 10" xfId="18127" xr:uid="{F34A3036-9464-4F4B-A5AA-E3B13A2BD291}"/>
    <cellStyle name="Normal 7 4 2 11" xfId="20017" xr:uid="{F033C1E7-8D2F-4B93-BB4C-01251AEC2891}"/>
    <cellStyle name="Normal 7 4 2 12" xfId="21907" xr:uid="{20C559DF-B2EC-4512-8D08-8DDB3E6432A6}"/>
    <cellStyle name="Normal 7 4 2 13" xfId="23797" xr:uid="{D742873B-6007-4D67-8351-F08BBEBEA230}"/>
    <cellStyle name="Normal 7 4 2 14" xfId="25687" xr:uid="{92EB49B4-1C98-4E03-9F89-FE5410385BDC}"/>
    <cellStyle name="Normal 7 4 2 15" xfId="27577" xr:uid="{040F4860-F058-418A-8D13-A3F35936EC09}"/>
    <cellStyle name="Normal 7 4 2 16" xfId="29467" xr:uid="{21BEE11E-61D9-4405-B712-C5270681F5B4}"/>
    <cellStyle name="Normal 7 4 2 17" xfId="31357" xr:uid="{8C4F0203-C120-4A21-9D51-C01A326E9E6C}"/>
    <cellStyle name="Normal 7 4 2 18" xfId="33247" xr:uid="{0B060059-F29F-4BA2-95D7-ED5D9CB07C00}"/>
    <cellStyle name="Normal 7 4 2 19" xfId="35137" xr:uid="{75A8FFAE-5D83-4605-93CC-D72C1F4E89BC}"/>
    <cellStyle name="Normal 7 4 2 2" xfId="3007" xr:uid="{F5223433-0785-4321-92DF-237F3B8FBEBE}"/>
    <cellStyle name="Normal 7 4 2 20" xfId="37027" xr:uid="{65B30568-03E0-4BA5-863F-063CE24D22F7}"/>
    <cellStyle name="Normal 7 4 2 21" xfId="38917" xr:uid="{DF0BC9C6-7A22-4EF7-9E76-DE33279D0593}"/>
    <cellStyle name="Normal 7 4 2 22" xfId="40808" xr:uid="{4D48BA19-DFC7-41CB-9816-258AFB429649}"/>
    <cellStyle name="Normal 7 4 2 3" xfId="4897" xr:uid="{7FA4FACD-83F4-4C95-9840-69A2209A8F10}"/>
    <cellStyle name="Normal 7 4 2 4" xfId="6787" xr:uid="{BAA52F02-BF96-4404-A68D-51F56DF08EB5}"/>
    <cellStyle name="Normal 7 4 2 5" xfId="8677" xr:uid="{8E6BD226-BA00-4955-8E42-65AC93482790}"/>
    <cellStyle name="Normal 7 4 2 6" xfId="10567" xr:uid="{CD25D9AF-7077-43D2-9241-25B9CD272031}"/>
    <cellStyle name="Normal 7 4 2 7" xfId="12457" xr:uid="{CA68B7EE-8A7D-4A70-A49D-52A5E279117B}"/>
    <cellStyle name="Normal 7 4 2 8" xfId="14347" xr:uid="{3D4437DB-328D-48B1-8C23-14FE9F4A7FF0}"/>
    <cellStyle name="Normal 7 4 2 9" xfId="16237" xr:uid="{8A25A443-C6F1-457F-90D7-A12F8FA09DD3}"/>
    <cellStyle name="Normal 7 4 20" xfId="32617" xr:uid="{ACF016CF-A315-4DA8-A4C4-D4A3B3B8D63D}"/>
    <cellStyle name="Normal 7 4 21" xfId="34507" xr:uid="{86BAF816-CE0C-4465-A60A-E4C3AFEA438A}"/>
    <cellStyle name="Normal 7 4 22" xfId="36397" xr:uid="{2EC490CD-10F4-4A11-BE5D-E05000FBE295}"/>
    <cellStyle name="Normal 7 4 23" xfId="38287" xr:uid="{A155A1E7-A085-483A-87E1-EB5C1B781BD2}"/>
    <cellStyle name="Normal 7 4 24" xfId="40178" xr:uid="{944C1591-D987-41AA-BD48-A425224AC1A8}"/>
    <cellStyle name="Normal 7 4 3" xfId="1747" xr:uid="{B225B259-8776-4463-BBAA-D97A3A85D94D}"/>
    <cellStyle name="Normal 7 4 3 10" xfId="18757" xr:uid="{11D89F5F-468C-47BE-9FB0-A92BCB13A683}"/>
    <cellStyle name="Normal 7 4 3 11" xfId="20647" xr:uid="{6BAF52C2-7C21-4BC8-A12F-4581859309BC}"/>
    <cellStyle name="Normal 7 4 3 12" xfId="22537" xr:uid="{6D2A2F37-A044-4BA4-86B9-9FF97A1342A2}"/>
    <cellStyle name="Normal 7 4 3 13" xfId="24427" xr:uid="{2035DDAC-E011-4C6D-B7BD-D1822A9721E5}"/>
    <cellStyle name="Normal 7 4 3 14" xfId="26317" xr:uid="{28F73156-6E77-48CB-A822-CBE35D2A779B}"/>
    <cellStyle name="Normal 7 4 3 15" xfId="28207" xr:uid="{B25B9A44-D817-4974-BF46-71B587F1616A}"/>
    <cellStyle name="Normal 7 4 3 16" xfId="30097" xr:uid="{9CC7B2F2-9B0F-4EB1-82C2-CCDF8321D845}"/>
    <cellStyle name="Normal 7 4 3 17" xfId="31987" xr:uid="{F9A73E18-DA25-4158-9B58-F52A8008F1B9}"/>
    <cellStyle name="Normal 7 4 3 18" xfId="33877" xr:uid="{73CB9A80-A7F6-4748-97E1-48DA78BB3997}"/>
    <cellStyle name="Normal 7 4 3 19" xfId="35767" xr:uid="{9096ED4A-4FF0-43A7-9E9A-A59919961B6B}"/>
    <cellStyle name="Normal 7 4 3 2" xfId="3637" xr:uid="{63D9AC79-25B3-4DD5-A045-B53B3AB52EC0}"/>
    <cellStyle name="Normal 7 4 3 20" xfId="37657" xr:uid="{8F51D0C7-9EC8-4D90-9755-9D96E887C8BC}"/>
    <cellStyle name="Normal 7 4 3 21" xfId="39547" xr:uid="{70901814-6BEE-49D0-9114-F2B7181AC396}"/>
    <cellStyle name="Normal 7 4 3 22" xfId="41438" xr:uid="{14BEF206-2E4C-4086-B114-FC914284C41A}"/>
    <cellStyle name="Normal 7 4 3 3" xfId="5527" xr:uid="{73B1A917-0D28-4983-B2BA-448DB7AF7CD8}"/>
    <cellStyle name="Normal 7 4 3 4" xfId="7417" xr:uid="{9ACCCB58-1256-4C85-83D3-902432F215DE}"/>
    <cellStyle name="Normal 7 4 3 5" xfId="9307" xr:uid="{CE4D68F9-74A1-4092-A80E-08990FD6D09A}"/>
    <cellStyle name="Normal 7 4 3 6" xfId="11197" xr:uid="{82B6EBF7-0348-472F-ACE4-0A25CD9FD67F}"/>
    <cellStyle name="Normal 7 4 3 7" xfId="13087" xr:uid="{762F9959-D457-4492-9465-8F86FB86AF55}"/>
    <cellStyle name="Normal 7 4 3 8" xfId="14977" xr:uid="{47832943-57D8-4D36-9B49-BD5339F1E7F8}"/>
    <cellStyle name="Normal 7 4 3 9" xfId="16867" xr:uid="{6C74FEBB-9A3E-47BA-976B-69D0FCDB54A2}"/>
    <cellStyle name="Normal 7 4 4" xfId="2377" xr:uid="{EE910C2C-70A1-41F2-B6CA-14EB01017D9F}"/>
    <cellStyle name="Normal 7 4 5" xfId="4267" xr:uid="{B5EBC4A0-EDD1-4643-A3F1-C1CCF7B2AE17}"/>
    <cellStyle name="Normal 7 4 6" xfId="6157" xr:uid="{5740DD98-AA82-447C-9DF9-9362D7A7CD49}"/>
    <cellStyle name="Normal 7 4 7" xfId="8047" xr:uid="{9E758359-17C4-455F-B93A-4889414D2B6E}"/>
    <cellStyle name="Normal 7 4 8" xfId="9937" xr:uid="{549B2DB9-31EF-46EA-9C1E-CEA693D1DA4C}"/>
    <cellStyle name="Normal 7 4 9" xfId="11827" xr:uid="{B52B236A-FA87-43A1-9098-FEC74690028E}"/>
    <cellStyle name="Normal 7 5" xfId="697" xr:uid="{AF0FEAC9-795B-4A92-8CAB-0635AA3885A3}"/>
    <cellStyle name="Normal 7 5 10" xfId="17707" xr:uid="{B2E94359-343F-411E-81CA-38B6B526930C}"/>
    <cellStyle name="Normal 7 5 11" xfId="19597" xr:uid="{BE194978-9342-4EC7-9C7D-F0B172ED1897}"/>
    <cellStyle name="Normal 7 5 12" xfId="21487" xr:uid="{F34DAC75-2AA3-47AA-AB35-CEF87EB662B8}"/>
    <cellStyle name="Normal 7 5 13" xfId="23377" xr:uid="{99E3FE72-1359-4898-B2F6-CEF278DF8215}"/>
    <cellStyle name="Normal 7 5 14" xfId="25267" xr:uid="{DDE2AE65-7FDA-45FD-AABB-A873ABCFE823}"/>
    <cellStyle name="Normal 7 5 15" xfId="27157" xr:uid="{8DBCC343-039A-43FA-9935-9AA345AC5898}"/>
    <cellStyle name="Normal 7 5 16" xfId="29047" xr:uid="{CBA974CD-3CB4-4B2B-951D-6D3E512230F0}"/>
    <cellStyle name="Normal 7 5 17" xfId="30937" xr:uid="{DB34A696-A37D-40DE-A257-E7B7B659D1A1}"/>
    <cellStyle name="Normal 7 5 18" xfId="32827" xr:uid="{FA16BC61-489C-41D7-9A98-6E557A053119}"/>
    <cellStyle name="Normal 7 5 19" xfId="34717" xr:uid="{31218E8D-36D9-4C8B-9F55-614C5470FB33}"/>
    <cellStyle name="Normal 7 5 2" xfId="2587" xr:uid="{23A6DB40-2F92-480B-9A76-9122A0509858}"/>
    <cellStyle name="Normal 7 5 20" xfId="36607" xr:uid="{00C6DB2E-7B51-4A1D-A086-AAF2206D47AF}"/>
    <cellStyle name="Normal 7 5 21" xfId="38497" xr:uid="{50AE5D5F-1710-4D1B-91F6-00A83AD46399}"/>
    <cellStyle name="Normal 7 5 22" xfId="40388" xr:uid="{64393A53-A6C5-43A0-9F1F-E479F98CC52E}"/>
    <cellStyle name="Normal 7 5 3" xfId="4477" xr:uid="{BDF9F684-34CA-4244-981D-A348029ABBF4}"/>
    <cellStyle name="Normal 7 5 4" xfId="6367" xr:uid="{D331532D-3786-422A-A962-1B820822842E}"/>
    <cellStyle name="Normal 7 5 5" xfId="8257" xr:uid="{A53601C0-1C7D-4833-B41E-DA274A6FB22C}"/>
    <cellStyle name="Normal 7 5 6" xfId="10147" xr:uid="{CDAA1B9E-FE5B-4692-8972-F3A555FA17C3}"/>
    <cellStyle name="Normal 7 5 7" xfId="12037" xr:uid="{9D902CF5-699D-451B-B6E2-7A9616FF50D4}"/>
    <cellStyle name="Normal 7 5 8" xfId="13927" xr:uid="{58FF1951-1EA9-4C3D-BADB-E91F1CB9B29F}"/>
    <cellStyle name="Normal 7 5 9" xfId="15817" xr:uid="{EEAD717B-1FE1-4F11-9758-EF7DECE78E19}"/>
    <cellStyle name="Normal 7 6" xfId="1327" xr:uid="{9ED20584-6B53-4A97-BE00-0881A70DA645}"/>
    <cellStyle name="Normal 7 6 10" xfId="18337" xr:uid="{54F04709-ACA0-4452-9CC3-CCAF76354174}"/>
    <cellStyle name="Normal 7 6 11" xfId="20227" xr:uid="{F63BA5B5-59BF-4C9D-B610-6E95322E9440}"/>
    <cellStyle name="Normal 7 6 12" xfId="22117" xr:uid="{F1B4583E-D205-4E2F-8E24-FF7D3E2E8F1F}"/>
    <cellStyle name="Normal 7 6 13" xfId="24007" xr:uid="{784EA5A8-8E90-437F-822E-564601467BE4}"/>
    <cellStyle name="Normal 7 6 14" xfId="25897" xr:uid="{61C26436-5F7E-4EE0-A838-43936C6FFA38}"/>
    <cellStyle name="Normal 7 6 15" xfId="27787" xr:uid="{473FD4A4-41AE-4C96-85BF-E86D313509E4}"/>
    <cellStyle name="Normal 7 6 16" xfId="29677" xr:uid="{DFE3D640-FDC1-4A6F-8757-C866FF496B91}"/>
    <cellStyle name="Normal 7 6 17" xfId="31567" xr:uid="{873C4075-47A3-4D6C-9580-1699F37EF8A0}"/>
    <cellStyle name="Normal 7 6 18" xfId="33457" xr:uid="{6D180CF0-0DE8-478A-AC02-F14A59D0F788}"/>
    <cellStyle name="Normal 7 6 19" xfId="35347" xr:uid="{93ED936F-AAA7-409C-BC0C-A1A5518B32DF}"/>
    <cellStyle name="Normal 7 6 2" xfId="3217" xr:uid="{04B43331-FB65-4F50-B91A-66D0E64D39D1}"/>
    <cellStyle name="Normal 7 6 20" xfId="37237" xr:uid="{FC7F6F6C-74F8-4E09-8AA6-40F72E908072}"/>
    <cellStyle name="Normal 7 6 21" xfId="39127" xr:uid="{8EDF99B7-0DE7-459A-BB8F-D330EAD9B00C}"/>
    <cellStyle name="Normal 7 6 22" xfId="41018" xr:uid="{28377BB0-6EF5-473C-9499-C8FCE3DD5A13}"/>
    <cellStyle name="Normal 7 6 3" xfId="5107" xr:uid="{707A15B0-ED98-480B-952E-86F6E0A7BDD3}"/>
    <cellStyle name="Normal 7 6 4" xfId="6997" xr:uid="{D391AE72-76E4-4856-A761-66FAF2D6903B}"/>
    <cellStyle name="Normal 7 6 5" xfId="8887" xr:uid="{F547F44B-A9C5-4F57-96A9-06BF8FB32AF7}"/>
    <cellStyle name="Normal 7 6 6" xfId="10777" xr:uid="{B177FF46-D758-4790-82C5-88D970DC209F}"/>
    <cellStyle name="Normal 7 6 7" xfId="12667" xr:uid="{A81B7038-53B7-4EF7-9403-45531869ACE5}"/>
    <cellStyle name="Normal 7 6 8" xfId="14557" xr:uid="{1F29F417-6EA3-469B-8BBC-128043011CC9}"/>
    <cellStyle name="Normal 7 6 9" xfId="16447" xr:uid="{F00EE977-AB38-4312-B4C4-53F0A8A1D18C}"/>
    <cellStyle name="Normal 7 7" xfId="1957" xr:uid="{AA3F7605-F463-4B52-9F5D-A798D827F87C}"/>
    <cellStyle name="Normal 7 8" xfId="3847" xr:uid="{F8B748F1-63B1-43C0-AE1C-D5B55D4911EF}"/>
    <cellStyle name="Normal 7 9" xfId="5737" xr:uid="{E7DB209E-DFEE-48A7-8A69-9D15368658DE}"/>
    <cellStyle name="Normal 8" xfId="94" xr:uid="{4470EA2E-6692-40D4-856A-6EE95BAA4E5D}"/>
    <cellStyle name="Normal 8 10" xfId="7654" xr:uid="{F88DC1A7-9BC3-4D38-8A04-D9AFF938B6E4}"/>
    <cellStyle name="Normal 8 11" xfId="9544" xr:uid="{D8D575C5-1FE6-4789-B68F-5E6E33C575FC}"/>
    <cellStyle name="Normal 8 12" xfId="11434" xr:uid="{8B71F7B0-6CDB-4BD3-8DE1-88C4BF0A5028}"/>
    <cellStyle name="Normal 8 13" xfId="13324" xr:uid="{AFA885FD-145D-483B-8D2E-F53F97385101}"/>
    <cellStyle name="Normal 8 14" xfId="15214" xr:uid="{A6175B32-08D7-4087-8105-78B526C391EF}"/>
    <cellStyle name="Normal 8 15" xfId="17104" xr:uid="{837CE037-C0C7-4FFF-8DB6-085446AB3EB5}"/>
    <cellStyle name="Normal 8 16" xfId="18994" xr:uid="{76844185-3882-47E3-880A-A47F6CB2C920}"/>
    <cellStyle name="Normal 8 17" xfId="20884" xr:uid="{725D7513-9967-4CF7-A185-A47B7E3FEFFF}"/>
    <cellStyle name="Normal 8 18" xfId="22774" xr:uid="{274E21A1-51DC-409A-A4B0-0159C1BB1E5C}"/>
    <cellStyle name="Normal 8 19" xfId="24664" xr:uid="{595D0F3D-13A8-4D56-8763-D4D217710007}"/>
    <cellStyle name="Normal 8 2" xfId="199" xr:uid="{9A8E60A5-96F8-4EF2-8C7F-710F1FA597A5}"/>
    <cellStyle name="Normal 8 2 10" xfId="9649" xr:uid="{CAC8BC50-1691-4087-9351-B62809FE0B6F}"/>
    <cellStyle name="Normal 8 2 11" xfId="11539" xr:uid="{15703890-224A-4E60-9310-C33514FA13DB}"/>
    <cellStyle name="Normal 8 2 12" xfId="13429" xr:uid="{31581CED-004C-47CB-BCE7-1905052E4C5C}"/>
    <cellStyle name="Normal 8 2 13" xfId="15319" xr:uid="{E4499B2C-AC67-44AE-9B44-1591B114BB54}"/>
    <cellStyle name="Normal 8 2 14" xfId="17209" xr:uid="{18B07CEA-AC63-4F4B-8CC5-618D9943BCDB}"/>
    <cellStyle name="Normal 8 2 15" xfId="19099" xr:uid="{354531BD-AFA9-4F1B-A325-524CBBBF451E}"/>
    <cellStyle name="Normal 8 2 16" xfId="20989" xr:uid="{2EB97725-AA64-4CA5-A119-1358C961EEE6}"/>
    <cellStyle name="Normal 8 2 17" xfId="22879" xr:uid="{D293F603-1D3E-4D26-A27F-BB2D9EA99EBD}"/>
    <cellStyle name="Normal 8 2 18" xfId="24769" xr:uid="{7FC0328C-AACE-4BCC-BB85-33BD1B3B7882}"/>
    <cellStyle name="Normal 8 2 19" xfId="26659" xr:uid="{85023608-5C48-4EBD-9462-45B52E829AAE}"/>
    <cellStyle name="Normal 8 2 2" xfId="409" xr:uid="{65766A29-4F2C-4F3A-B30A-3123015E7356}"/>
    <cellStyle name="Normal 8 2 2 10" xfId="13639" xr:uid="{8C7F0ADB-8606-41DB-B3B9-938EC8DF52C4}"/>
    <cellStyle name="Normal 8 2 2 11" xfId="15529" xr:uid="{A09E5FC6-8448-4044-B28A-E5A46A607987}"/>
    <cellStyle name="Normal 8 2 2 12" xfId="17419" xr:uid="{2388FEDA-F181-4677-B2B9-CE8DE0F78A80}"/>
    <cellStyle name="Normal 8 2 2 13" xfId="19309" xr:uid="{5324A90E-B527-4768-B04F-3F8E16D06F4C}"/>
    <cellStyle name="Normal 8 2 2 14" xfId="21199" xr:uid="{F7E0C93E-9767-47F5-8F34-1CB63FD4A93B}"/>
    <cellStyle name="Normal 8 2 2 15" xfId="23089" xr:uid="{A7DA4974-F695-4007-8CB9-D2C9A4DBD7B7}"/>
    <cellStyle name="Normal 8 2 2 16" xfId="24979" xr:uid="{7B6D614D-2BA8-4BFD-8E03-288AF6B13B4A}"/>
    <cellStyle name="Normal 8 2 2 17" xfId="26869" xr:uid="{EF873436-F4E4-437E-8A76-8BFE9D94BCFC}"/>
    <cellStyle name="Normal 8 2 2 18" xfId="28759" xr:uid="{E037D468-58E8-4F64-8F42-64FB9887EC7A}"/>
    <cellStyle name="Normal 8 2 2 19" xfId="30649" xr:uid="{4B6F6ED4-55D0-4ECB-9A3A-C3EB5600A12A}"/>
    <cellStyle name="Normal 8 2 2 2" xfId="1039" xr:uid="{3E96EC43-85C8-4745-9E61-99CD73B171C8}"/>
    <cellStyle name="Normal 8 2 2 2 10" xfId="18049" xr:uid="{E2480FF3-BFE5-4C3E-98B0-9CB3FB71F739}"/>
    <cellStyle name="Normal 8 2 2 2 11" xfId="19939" xr:uid="{5D786185-537B-41D7-A07F-05D9B57420FF}"/>
    <cellStyle name="Normal 8 2 2 2 12" xfId="21829" xr:uid="{821C585F-625A-44E3-8060-ACB98436FFD5}"/>
    <cellStyle name="Normal 8 2 2 2 13" xfId="23719" xr:uid="{989212DB-FDF3-43BA-866D-DD629930908B}"/>
    <cellStyle name="Normal 8 2 2 2 14" xfId="25609" xr:uid="{6E85811C-B3BF-4A61-A5CB-E8D602222E35}"/>
    <cellStyle name="Normal 8 2 2 2 15" xfId="27499" xr:uid="{EEE9CADD-B58A-42CE-8BEA-E90C98F9C90A}"/>
    <cellStyle name="Normal 8 2 2 2 16" xfId="29389" xr:uid="{2AEB0F7C-82C3-4FE2-8571-AE5C931E8095}"/>
    <cellStyle name="Normal 8 2 2 2 17" xfId="31279" xr:uid="{7351EA9D-0F4D-4E71-A1D1-B7AC3B2AB05F}"/>
    <cellStyle name="Normal 8 2 2 2 18" xfId="33169" xr:uid="{E437DF3E-A76D-41B3-A7BA-85BDA9933527}"/>
    <cellStyle name="Normal 8 2 2 2 19" xfId="35059" xr:uid="{ECD84BC0-3C49-4723-9B64-A9E8ACB28A5C}"/>
    <cellStyle name="Normal 8 2 2 2 2" xfId="2929" xr:uid="{C90EBFAC-263D-4BE9-89BE-392EF920BDCA}"/>
    <cellStyle name="Normal 8 2 2 2 20" xfId="36949" xr:uid="{FDF13B72-D9EA-4349-A656-99FD483D8851}"/>
    <cellStyle name="Normal 8 2 2 2 21" xfId="38839" xr:uid="{0B6F2971-7F50-4588-BAA5-62E2E2B7D143}"/>
    <cellStyle name="Normal 8 2 2 2 22" xfId="40730" xr:uid="{624A85D1-7BBE-46ED-B89F-8603B25673F2}"/>
    <cellStyle name="Normal 8 2 2 2 3" xfId="4819" xr:uid="{58DEF92D-D3DF-44E8-8ECA-77AFB1057D9F}"/>
    <cellStyle name="Normal 8 2 2 2 4" xfId="6709" xr:uid="{31CF5DE3-F393-4156-B6A2-3957411FBEB0}"/>
    <cellStyle name="Normal 8 2 2 2 5" xfId="8599" xr:uid="{D5F9DE70-175C-4063-B98B-BA119F1EF2D9}"/>
    <cellStyle name="Normal 8 2 2 2 6" xfId="10489" xr:uid="{99C2B5FE-570E-4328-81D5-E9ABDFB978CA}"/>
    <cellStyle name="Normal 8 2 2 2 7" xfId="12379" xr:uid="{B97817B9-8830-486A-9F2C-4B9C7AD34AE8}"/>
    <cellStyle name="Normal 8 2 2 2 8" xfId="14269" xr:uid="{3C4B5C17-2631-44A1-ABBD-8FE75CB7D370}"/>
    <cellStyle name="Normal 8 2 2 2 9" xfId="16159" xr:uid="{5E80A4C1-7257-49BE-BC4B-37FEF322D24D}"/>
    <cellStyle name="Normal 8 2 2 20" xfId="32539" xr:uid="{6CD02517-4B7F-431F-B3CA-764D0CF4BBDC}"/>
    <cellStyle name="Normal 8 2 2 21" xfId="34429" xr:uid="{161CCA14-A0B9-4939-A5B9-167A2B1CD6F7}"/>
    <cellStyle name="Normal 8 2 2 22" xfId="36319" xr:uid="{45D9245C-592C-4F78-847A-92D18C357FF0}"/>
    <cellStyle name="Normal 8 2 2 23" xfId="38209" xr:uid="{C206A6E1-6A7C-408A-894F-5973350BBCF4}"/>
    <cellStyle name="Normal 8 2 2 24" xfId="40100" xr:uid="{C1D3E1AB-AF3D-416A-BFED-CE367A98C04B}"/>
    <cellStyle name="Normal 8 2 2 3" xfId="1669" xr:uid="{31AF47EF-1050-4155-B17B-BF20A2F4AB63}"/>
    <cellStyle name="Normal 8 2 2 3 10" xfId="18679" xr:uid="{1015C354-BDAB-4B5A-B27A-F7E76A92AD35}"/>
    <cellStyle name="Normal 8 2 2 3 11" xfId="20569" xr:uid="{18069A5D-9A4E-46A9-B19D-D386C132D862}"/>
    <cellStyle name="Normal 8 2 2 3 12" xfId="22459" xr:uid="{85258229-2570-4804-AEB3-DAB728666794}"/>
    <cellStyle name="Normal 8 2 2 3 13" xfId="24349" xr:uid="{A87C2DB2-62A9-4F33-AEBE-E4EE1D74F507}"/>
    <cellStyle name="Normal 8 2 2 3 14" xfId="26239" xr:uid="{B3A21324-AE42-4681-A016-BE9E37BC0B9D}"/>
    <cellStyle name="Normal 8 2 2 3 15" xfId="28129" xr:uid="{2FF5C606-9E3C-4D49-B2F0-072741441797}"/>
    <cellStyle name="Normal 8 2 2 3 16" xfId="30019" xr:uid="{294E0131-1BBD-4F77-B572-FB10534E283E}"/>
    <cellStyle name="Normal 8 2 2 3 17" xfId="31909" xr:uid="{8E95581B-3989-4C66-8E76-F67860426FE1}"/>
    <cellStyle name="Normal 8 2 2 3 18" xfId="33799" xr:uid="{D51D2AE6-6270-4664-B25F-B677A5C4E269}"/>
    <cellStyle name="Normal 8 2 2 3 19" xfId="35689" xr:uid="{D825820F-DFD6-46CF-AC2A-2B2B0B60FBAD}"/>
    <cellStyle name="Normal 8 2 2 3 2" xfId="3559" xr:uid="{14BC5974-9FA1-4167-99B1-BE010C75BA52}"/>
    <cellStyle name="Normal 8 2 2 3 20" xfId="37579" xr:uid="{7C7B1FE9-C268-4903-BBC4-73801B502270}"/>
    <cellStyle name="Normal 8 2 2 3 21" xfId="39469" xr:uid="{18EE8689-1FB1-490E-B87A-933E5CC43276}"/>
    <cellStyle name="Normal 8 2 2 3 22" xfId="41360" xr:uid="{B6FFC298-6B4A-4837-BFE3-9A92C1F6EDE2}"/>
    <cellStyle name="Normal 8 2 2 3 3" xfId="5449" xr:uid="{E4A8DDB4-BAFB-425E-ADA5-ECEC1413FB87}"/>
    <cellStyle name="Normal 8 2 2 3 4" xfId="7339" xr:uid="{76ACB966-5828-4737-AEED-571F1895683E}"/>
    <cellStyle name="Normal 8 2 2 3 5" xfId="9229" xr:uid="{DBFB5C54-944D-4D6C-82E9-E89E22F0BB03}"/>
    <cellStyle name="Normal 8 2 2 3 6" xfId="11119" xr:uid="{DF9B0069-A39D-4BA7-8EA6-06F8188211F1}"/>
    <cellStyle name="Normal 8 2 2 3 7" xfId="13009" xr:uid="{1DE8D035-42AE-4AA8-BE3B-BFDB61949166}"/>
    <cellStyle name="Normal 8 2 2 3 8" xfId="14899" xr:uid="{5B808620-8A2E-4DCF-99D1-6945EE61EF9D}"/>
    <cellStyle name="Normal 8 2 2 3 9" xfId="16789" xr:uid="{5580C8A2-72B8-4878-AAD7-146EBE11C475}"/>
    <cellStyle name="Normal 8 2 2 4" xfId="2299" xr:uid="{53473FFD-1BBD-4B2E-94F3-F9587FEDDF15}"/>
    <cellStyle name="Normal 8 2 2 5" xfId="4189" xr:uid="{3F962B83-129B-4BA3-BF4D-8C9781798BC9}"/>
    <cellStyle name="Normal 8 2 2 6" xfId="6079" xr:uid="{94E6B269-C8C1-46B3-9C5B-EF306FE8D958}"/>
    <cellStyle name="Normal 8 2 2 7" xfId="7969" xr:uid="{25DFEEF8-27AE-465A-8450-46F1E9130514}"/>
    <cellStyle name="Normal 8 2 2 8" xfId="9859" xr:uid="{950D5E66-C086-42F9-96E6-B33CF163DB1B}"/>
    <cellStyle name="Normal 8 2 2 9" xfId="11749" xr:uid="{469A8327-606D-4185-B06B-D9592861B0A9}"/>
    <cellStyle name="Normal 8 2 20" xfId="28549" xr:uid="{0FE9C5D9-008A-49BC-8310-39A2615223B9}"/>
    <cellStyle name="Normal 8 2 21" xfId="30439" xr:uid="{7A7AFDA0-0210-45B0-ABE9-317789D1FEE4}"/>
    <cellStyle name="Normal 8 2 22" xfId="32329" xr:uid="{EA235FA7-56EA-428B-94F2-60F92AE5CCA3}"/>
    <cellStyle name="Normal 8 2 23" xfId="34219" xr:uid="{5361ADC6-1E72-4CFE-ADCB-5AFD0740168A}"/>
    <cellStyle name="Normal 8 2 24" xfId="36109" xr:uid="{4300F91E-666A-4494-901D-93A8BF02FB7B}"/>
    <cellStyle name="Normal 8 2 25" xfId="37999" xr:uid="{61BCAADC-3265-4E71-A9F5-18FA6A128B4F}"/>
    <cellStyle name="Normal 8 2 26" xfId="39890" xr:uid="{CA15CAD8-2884-47EB-AD44-F49646C8DA9F}"/>
    <cellStyle name="Normal 8 2 3" xfId="619" xr:uid="{BECCF667-D269-4689-A9E8-D4BE6C57B18B}"/>
    <cellStyle name="Normal 8 2 3 10" xfId="13849" xr:uid="{438BB6DE-C31B-4974-BE73-F9C9C2EC7A64}"/>
    <cellStyle name="Normal 8 2 3 11" xfId="15739" xr:uid="{FB06AF37-0CCD-463C-912B-9C5EB1AE2509}"/>
    <cellStyle name="Normal 8 2 3 12" xfId="17629" xr:uid="{DEF291AF-5381-4EBB-9552-29348A048755}"/>
    <cellStyle name="Normal 8 2 3 13" xfId="19519" xr:uid="{528BAB87-979E-447E-8741-115D70DD445A}"/>
    <cellStyle name="Normal 8 2 3 14" xfId="21409" xr:uid="{76EAD2E6-295A-4CAD-AA12-652E7A8AF069}"/>
    <cellStyle name="Normal 8 2 3 15" xfId="23299" xr:uid="{05FE9828-328D-42D2-8D16-09C139488A91}"/>
    <cellStyle name="Normal 8 2 3 16" xfId="25189" xr:uid="{75786114-9301-46B3-91E9-CEC4DC9E1CAE}"/>
    <cellStyle name="Normal 8 2 3 17" xfId="27079" xr:uid="{CEFDD976-6E2D-40B9-BE39-BD0C1487F171}"/>
    <cellStyle name="Normal 8 2 3 18" xfId="28969" xr:uid="{B4E323D6-DA0A-4011-8D3B-45C78D9E4F9F}"/>
    <cellStyle name="Normal 8 2 3 19" xfId="30859" xr:uid="{7C3BC551-F96A-4D7A-9E89-9BA73147D33F}"/>
    <cellStyle name="Normal 8 2 3 2" xfId="1249" xr:uid="{246DC199-2916-444D-80EE-39896BA9E666}"/>
    <cellStyle name="Normal 8 2 3 2 10" xfId="18259" xr:uid="{F1D34EB0-DCA4-4EB6-8704-CE922418E13E}"/>
    <cellStyle name="Normal 8 2 3 2 11" xfId="20149" xr:uid="{1706A7E2-9ACD-49F6-883D-07D246F2FA78}"/>
    <cellStyle name="Normal 8 2 3 2 12" xfId="22039" xr:uid="{D6B135A7-2B87-496F-A2FA-B3CEB5ABC3E1}"/>
    <cellStyle name="Normal 8 2 3 2 13" xfId="23929" xr:uid="{26EC7AA6-BF0D-45B3-A8D3-75683D6E2A7F}"/>
    <cellStyle name="Normal 8 2 3 2 14" xfId="25819" xr:uid="{46AB66E2-6540-4740-B467-27C1154D9418}"/>
    <cellStyle name="Normal 8 2 3 2 15" xfId="27709" xr:uid="{3E598061-4CCA-45BF-989D-F053673B6D86}"/>
    <cellStyle name="Normal 8 2 3 2 16" xfId="29599" xr:uid="{70B85BCB-4E7B-4A7B-9618-AE552B6DDCF8}"/>
    <cellStyle name="Normal 8 2 3 2 17" xfId="31489" xr:uid="{200DC94A-901E-4955-8DA9-0437F704F1A9}"/>
    <cellStyle name="Normal 8 2 3 2 18" xfId="33379" xr:uid="{881C3118-1AD9-4D61-9EAF-FEB7B98592F5}"/>
    <cellStyle name="Normal 8 2 3 2 19" xfId="35269" xr:uid="{F0EE8995-966C-4EB9-9306-57FF0CD9A051}"/>
    <cellStyle name="Normal 8 2 3 2 2" xfId="3139" xr:uid="{00EE89F9-71F5-4105-841A-BBBAC3657F89}"/>
    <cellStyle name="Normal 8 2 3 2 20" xfId="37159" xr:uid="{FC5AFEE7-DCD0-46E4-98EA-552C3C892680}"/>
    <cellStyle name="Normal 8 2 3 2 21" xfId="39049" xr:uid="{4B0BC4BB-8231-4F1C-B72B-0EF4C8ABCB45}"/>
    <cellStyle name="Normal 8 2 3 2 22" xfId="40940" xr:uid="{24B18D22-50A4-408A-B6E4-B1E9C4282D84}"/>
    <cellStyle name="Normal 8 2 3 2 3" xfId="5029" xr:uid="{3DE997D9-25EC-4451-A62A-760223886DD3}"/>
    <cellStyle name="Normal 8 2 3 2 4" xfId="6919" xr:uid="{D88C98F7-D299-4913-ACA8-D1664E229FE5}"/>
    <cellStyle name="Normal 8 2 3 2 5" xfId="8809" xr:uid="{66A5369F-2D43-4B4C-9292-2BAEF97FFA38}"/>
    <cellStyle name="Normal 8 2 3 2 6" xfId="10699" xr:uid="{BDA11F49-B992-460A-B453-BF0C32EBB64D}"/>
    <cellStyle name="Normal 8 2 3 2 7" xfId="12589" xr:uid="{C2678981-B487-4770-B495-1B6428709CA8}"/>
    <cellStyle name="Normal 8 2 3 2 8" xfId="14479" xr:uid="{A9FFE7AA-3254-438D-9741-3FE65F243389}"/>
    <cellStyle name="Normal 8 2 3 2 9" xfId="16369" xr:uid="{958C6D1C-1A17-46F1-AAED-EB6FAF5C6D47}"/>
    <cellStyle name="Normal 8 2 3 20" xfId="32749" xr:uid="{172C28B6-5047-4D27-98C5-7DE20E872869}"/>
    <cellStyle name="Normal 8 2 3 21" xfId="34639" xr:uid="{0F576A48-B4A1-40C8-B9A1-0916BF0AB84C}"/>
    <cellStyle name="Normal 8 2 3 22" xfId="36529" xr:uid="{86859BBE-D67E-49E8-9CFF-35F8667329F1}"/>
    <cellStyle name="Normal 8 2 3 23" xfId="38419" xr:uid="{3E6F1369-EA94-4C77-9FD8-8470FEEAD538}"/>
    <cellStyle name="Normal 8 2 3 24" xfId="40310" xr:uid="{E47DE771-0E55-4F0C-AF39-A1513182D387}"/>
    <cellStyle name="Normal 8 2 3 3" xfId="1879" xr:uid="{A8B25381-FB50-4B5C-9AD3-DB7BD2999C42}"/>
    <cellStyle name="Normal 8 2 3 3 10" xfId="18889" xr:uid="{1EED9BAC-53A4-4109-B708-BA90B1EF0A60}"/>
    <cellStyle name="Normal 8 2 3 3 11" xfId="20779" xr:uid="{71DE9A85-FCDE-4F63-BB76-CB5E0618D1DB}"/>
    <cellStyle name="Normal 8 2 3 3 12" xfId="22669" xr:uid="{71509F2B-70E3-421B-B699-7ED49090BD22}"/>
    <cellStyle name="Normal 8 2 3 3 13" xfId="24559" xr:uid="{F88FBA28-67AF-4BBB-9D93-45F387F5947A}"/>
    <cellStyle name="Normal 8 2 3 3 14" xfId="26449" xr:uid="{8869B82E-6ABC-4BC4-951A-EBC1C04A61D7}"/>
    <cellStyle name="Normal 8 2 3 3 15" xfId="28339" xr:uid="{4C5B8B61-95CA-4CB1-9871-8ACBDE8C7DFC}"/>
    <cellStyle name="Normal 8 2 3 3 16" xfId="30229" xr:uid="{7C3365A6-3CBD-440A-8512-ADE01458AF1D}"/>
    <cellStyle name="Normal 8 2 3 3 17" xfId="32119" xr:uid="{A4A5DB7E-E639-41D3-A719-D52DE8A10661}"/>
    <cellStyle name="Normal 8 2 3 3 18" xfId="34009" xr:uid="{E034A32C-0B59-48CF-BEA2-63D522CFECF2}"/>
    <cellStyle name="Normal 8 2 3 3 19" xfId="35899" xr:uid="{B336EE4B-BDF0-4F86-8696-53AC458087FC}"/>
    <cellStyle name="Normal 8 2 3 3 2" xfId="3769" xr:uid="{765A3C42-3FBA-4F3C-AB02-10BB94CF1EAF}"/>
    <cellStyle name="Normal 8 2 3 3 20" xfId="37789" xr:uid="{3CBB5884-0949-46DB-AEC6-52D9AFB70C01}"/>
    <cellStyle name="Normal 8 2 3 3 21" xfId="39679" xr:uid="{38ED27B6-08EF-4FE8-9341-0A363F7FAF66}"/>
    <cellStyle name="Normal 8 2 3 3 22" xfId="41570" xr:uid="{48BD7B44-CFCF-4F0F-A891-A5EE73EA222B}"/>
    <cellStyle name="Normal 8 2 3 3 3" xfId="5659" xr:uid="{D98BBB52-F132-48AF-8744-92003BB9813B}"/>
    <cellStyle name="Normal 8 2 3 3 4" xfId="7549" xr:uid="{4778984F-B6F5-4CAA-ACCE-0E995DB565EC}"/>
    <cellStyle name="Normal 8 2 3 3 5" xfId="9439" xr:uid="{6406178C-F79D-4E99-84CF-1BFB344B1F91}"/>
    <cellStyle name="Normal 8 2 3 3 6" xfId="11329" xr:uid="{80E8F0A1-FE6D-4D81-B71F-D913D588E63C}"/>
    <cellStyle name="Normal 8 2 3 3 7" xfId="13219" xr:uid="{AEE74433-A55E-4F63-806F-0EA4F7A65B90}"/>
    <cellStyle name="Normal 8 2 3 3 8" xfId="15109" xr:uid="{1B239E96-A71B-450C-B5B7-B7C1380D88BE}"/>
    <cellStyle name="Normal 8 2 3 3 9" xfId="16999" xr:uid="{4FBFE140-E6C5-4B29-A68B-9EC841BB82FB}"/>
    <cellStyle name="Normal 8 2 3 4" xfId="2509" xr:uid="{255240D6-2919-47DD-A34D-17FC793D19BE}"/>
    <cellStyle name="Normal 8 2 3 5" xfId="4399" xr:uid="{D95B898B-7C2D-45D6-8C97-99B2D3007F7D}"/>
    <cellStyle name="Normal 8 2 3 6" xfId="6289" xr:uid="{AF231737-FF7D-4F21-B3DA-4C63B115B831}"/>
    <cellStyle name="Normal 8 2 3 7" xfId="8179" xr:uid="{372793CA-CEF5-4413-8BCF-30CEA3B4AD84}"/>
    <cellStyle name="Normal 8 2 3 8" xfId="10069" xr:uid="{AA612BDC-2E60-4851-906D-C88543EB4BD4}"/>
    <cellStyle name="Normal 8 2 3 9" xfId="11959" xr:uid="{8F691406-2E5D-40E6-8963-8FD2B638959D}"/>
    <cellStyle name="Normal 8 2 4" xfId="829" xr:uid="{6A518C21-7BA3-496C-A9F9-F9860D0664BB}"/>
    <cellStyle name="Normal 8 2 4 10" xfId="17839" xr:uid="{0E2876B0-39D2-42EB-9E36-D85D7D8E432D}"/>
    <cellStyle name="Normal 8 2 4 11" xfId="19729" xr:uid="{12588A96-414E-4502-A1EF-BA7B0A106D1E}"/>
    <cellStyle name="Normal 8 2 4 12" xfId="21619" xr:uid="{A306FAF9-6C02-4577-803F-8C0E425585A4}"/>
    <cellStyle name="Normal 8 2 4 13" xfId="23509" xr:uid="{582EF693-E987-4F3F-A836-B2D184051FDF}"/>
    <cellStyle name="Normal 8 2 4 14" xfId="25399" xr:uid="{E42DE1CA-0BA0-4EFF-8623-3D3F1B94AA9B}"/>
    <cellStyle name="Normal 8 2 4 15" xfId="27289" xr:uid="{4F323FA4-EB84-4088-9158-7631FA2DA7E5}"/>
    <cellStyle name="Normal 8 2 4 16" xfId="29179" xr:uid="{2C5C2FCB-550C-4D09-A0BC-4D0F794FD042}"/>
    <cellStyle name="Normal 8 2 4 17" xfId="31069" xr:uid="{A1F2F8CD-C5E4-4EC2-97B3-ABFD4ED2B254}"/>
    <cellStyle name="Normal 8 2 4 18" xfId="32959" xr:uid="{FE293918-0C77-4729-BEB9-4D09C5477D4B}"/>
    <cellStyle name="Normal 8 2 4 19" xfId="34849" xr:uid="{1A1F1312-919C-4085-8E7B-91CCDB060DA3}"/>
    <cellStyle name="Normal 8 2 4 2" xfId="2719" xr:uid="{46C67893-4E47-451E-B678-21FBB66B0DFA}"/>
    <cellStyle name="Normal 8 2 4 20" xfId="36739" xr:uid="{BFFBA204-C44E-42F4-89F5-6E29DE3B733A}"/>
    <cellStyle name="Normal 8 2 4 21" xfId="38629" xr:uid="{5977B690-4424-4C2A-9BC1-6F6933162EA6}"/>
    <cellStyle name="Normal 8 2 4 22" xfId="40520" xr:uid="{ED90CAF6-F197-4225-9BBE-8647CEDDE53F}"/>
    <cellStyle name="Normal 8 2 4 3" xfId="4609" xr:uid="{48362E0A-A1C4-4C98-A4A6-4D39997D3E48}"/>
    <cellStyle name="Normal 8 2 4 4" xfId="6499" xr:uid="{0F11F04E-6D93-4B36-8060-EA1755309DFD}"/>
    <cellStyle name="Normal 8 2 4 5" xfId="8389" xr:uid="{1D141A8F-EDA5-4DAB-ACED-E96D599BC5D4}"/>
    <cellStyle name="Normal 8 2 4 6" xfId="10279" xr:uid="{31473CF6-C164-4522-941E-E07A703A5D68}"/>
    <cellStyle name="Normal 8 2 4 7" xfId="12169" xr:uid="{50AE6B2C-050A-4039-ACEB-3952270B5D72}"/>
    <cellStyle name="Normal 8 2 4 8" xfId="14059" xr:uid="{7D75E77E-95ED-4DC7-86B5-2B6629FA9156}"/>
    <cellStyle name="Normal 8 2 4 9" xfId="15949" xr:uid="{7FB42051-637C-442D-902F-3778C67E22E3}"/>
    <cellStyle name="Normal 8 2 5" xfId="1459" xr:uid="{9063883B-E072-4D34-87BE-0F2ED7459CE4}"/>
    <cellStyle name="Normal 8 2 5 10" xfId="18469" xr:uid="{AC304B9E-D404-4366-9594-A8088B97C85D}"/>
    <cellStyle name="Normal 8 2 5 11" xfId="20359" xr:uid="{5E43DF77-B205-414C-A9B2-4C2AEAE100E0}"/>
    <cellStyle name="Normal 8 2 5 12" xfId="22249" xr:uid="{E22EE76D-0599-487A-8CE6-36D3EDCD8FE9}"/>
    <cellStyle name="Normal 8 2 5 13" xfId="24139" xr:uid="{4E230B83-83AB-412E-BF05-C6D61D0FEBA6}"/>
    <cellStyle name="Normal 8 2 5 14" xfId="26029" xr:uid="{641AD2CA-BD8C-446C-A928-3D59F5E80902}"/>
    <cellStyle name="Normal 8 2 5 15" xfId="27919" xr:uid="{5EAA65F8-0E3A-4341-9367-DA66935B1FE5}"/>
    <cellStyle name="Normal 8 2 5 16" xfId="29809" xr:uid="{1D8547B5-743D-4E62-83D6-5A16876FBF6F}"/>
    <cellStyle name="Normal 8 2 5 17" xfId="31699" xr:uid="{161307EA-8A8D-4F83-8094-EC420A3428CC}"/>
    <cellStyle name="Normal 8 2 5 18" xfId="33589" xr:uid="{0229DBBC-5E0C-41CE-B71F-982BA6EF8EA7}"/>
    <cellStyle name="Normal 8 2 5 19" xfId="35479" xr:uid="{CFDDD202-18CC-436E-9ECC-F65D9809FAA6}"/>
    <cellStyle name="Normal 8 2 5 2" xfId="3349" xr:uid="{3AE0C4B9-7A49-4628-92D5-B9BFDEEF0B08}"/>
    <cellStyle name="Normal 8 2 5 20" xfId="37369" xr:uid="{D5B78FBB-B1ED-4C0F-8D5E-C7E479044D57}"/>
    <cellStyle name="Normal 8 2 5 21" xfId="39259" xr:uid="{092992BE-FDB1-4CFB-BDBF-C1B73B77A04C}"/>
    <cellStyle name="Normal 8 2 5 22" xfId="41150" xr:uid="{96697182-405F-494C-8931-B930B30BC2FC}"/>
    <cellStyle name="Normal 8 2 5 3" xfId="5239" xr:uid="{89D94459-4E79-489B-B2E1-51B8E4E1622B}"/>
    <cellStyle name="Normal 8 2 5 4" xfId="7129" xr:uid="{EA2F2ADE-A0B2-4033-A6FC-83FECB943A53}"/>
    <cellStyle name="Normal 8 2 5 5" xfId="9019" xr:uid="{B648209C-881A-420E-A98D-5BE9870A087C}"/>
    <cellStyle name="Normal 8 2 5 6" xfId="10909" xr:uid="{2F0FF901-4CA2-4AF0-9E05-B7FD378A847D}"/>
    <cellStyle name="Normal 8 2 5 7" xfId="12799" xr:uid="{42403AA4-1AD8-4EAA-9EF5-CE0A50917FF4}"/>
    <cellStyle name="Normal 8 2 5 8" xfId="14689" xr:uid="{90BC8F72-DE7A-4AE5-BF28-8BD55BBA9223}"/>
    <cellStyle name="Normal 8 2 5 9" xfId="16579" xr:uid="{AC8089DE-3467-42D1-BBEA-D23004A788C7}"/>
    <cellStyle name="Normal 8 2 6" xfId="2089" xr:uid="{21EA3C07-8324-459E-A972-3085838FF259}"/>
    <cellStyle name="Normal 8 2 7" xfId="3979" xr:uid="{D3086E85-6F1C-4463-A745-F1D6406DEA5B}"/>
    <cellStyle name="Normal 8 2 8" xfId="5869" xr:uid="{05A5E703-FC80-4CD4-8DF2-F7F69AECEFE2}"/>
    <cellStyle name="Normal 8 2 9" xfId="7759" xr:uid="{7B410E59-F720-4309-AEBC-0C8335788CEB}"/>
    <cellStyle name="Normal 8 20" xfId="26554" xr:uid="{EBE6646C-A411-4640-8AEF-7DE01B559E53}"/>
    <cellStyle name="Normal 8 21" xfId="28444" xr:uid="{BE947988-BDC7-46D6-88BE-529F6FEDF71E}"/>
    <cellStyle name="Normal 8 22" xfId="30334" xr:uid="{D6ADA650-6B44-442A-9BDC-38E527F10C2C}"/>
    <cellStyle name="Normal 8 23" xfId="32224" xr:uid="{D6B31E2E-A3A5-4D25-844A-628659F3F0AC}"/>
    <cellStyle name="Normal 8 24" xfId="34114" xr:uid="{280E4146-9109-4FD4-B35C-26BCC3B63A66}"/>
    <cellStyle name="Normal 8 25" xfId="36004" xr:uid="{F2E007E3-FB94-4D59-AD87-DE6706FA627D}"/>
    <cellStyle name="Normal 8 26" xfId="37894" xr:uid="{3C0E8269-576B-455E-9D2F-546D58B0FBD2}"/>
    <cellStyle name="Normal 8 27" xfId="39785" xr:uid="{5D168D58-3DD0-4308-ADBF-D03E72A033DF}"/>
    <cellStyle name="Normal 8 3" xfId="304" xr:uid="{B87134E8-495B-4994-B464-FADD3C39E831}"/>
    <cellStyle name="Normal 8 3 10" xfId="13534" xr:uid="{69925D4E-F5CB-4133-86E0-15E8B0E8EAF6}"/>
    <cellStyle name="Normal 8 3 11" xfId="15424" xr:uid="{B1808EF8-1ADD-4FD7-909C-951B21782553}"/>
    <cellStyle name="Normal 8 3 12" xfId="17314" xr:uid="{6C7A448B-887C-420C-AEB2-F943AF72F065}"/>
    <cellStyle name="Normal 8 3 13" xfId="19204" xr:uid="{9AA56676-AAFF-43A4-B224-EB8D8B4A20CA}"/>
    <cellStyle name="Normal 8 3 14" xfId="21094" xr:uid="{A769E7E0-5194-4D7C-A770-5F06FD150431}"/>
    <cellStyle name="Normal 8 3 15" xfId="22984" xr:uid="{905623BC-91DB-48EB-8A92-58F64D49E47F}"/>
    <cellStyle name="Normal 8 3 16" xfId="24874" xr:uid="{56C83A7D-9B20-48E8-968B-9F5D3E4B376F}"/>
    <cellStyle name="Normal 8 3 17" xfId="26764" xr:uid="{07C16D55-CD3F-4167-9444-DE62149E263E}"/>
    <cellStyle name="Normal 8 3 18" xfId="28654" xr:uid="{5E9A3113-B5D4-4183-8432-8B4B1ACE3417}"/>
    <cellStyle name="Normal 8 3 19" xfId="30544" xr:uid="{D7A754C2-C69E-4C90-9A82-B42A572396DA}"/>
    <cellStyle name="Normal 8 3 2" xfId="934" xr:uid="{13224FA9-B826-4FD4-A62A-5DB56DA20D7F}"/>
    <cellStyle name="Normal 8 3 2 10" xfId="17944" xr:uid="{E408CCF8-B1B6-4C7C-9ADC-DFD30138B5B9}"/>
    <cellStyle name="Normal 8 3 2 11" xfId="19834" xr:uid="{26857013-A67A-4FAF-9281-A5657FB9F246}"/>
    <cellStyle name="Normal 8 3 2 12" xfId="21724" xr:uid="{9F02B0DA-61C8-4E59-BACB-4875F889E82E}"/>
    <cellStyle name="Normal 8 3 2 13" xfId="23614" xr:uid="{BFA9C704-DEFB-4706-B41E-611F9175D04E}"/>
    <cellStyle name="Normal 8 3 2 14" xfId="25504" xr:uid="{82058B5F-2CB3-496F-BCA5-61A14B155D32}"/>
    <cellStyle name="Normal 8 3 2 15" xfId="27394" xr:uid="{56B03C79-533B-42DF-87FE-ECBFCD5DDA50}"/>
    <cellStyle name="Normal 8 3 2 16" xfId="29284" xr:uid="{376B6C7B-0567-4BB6-A553-8FD1EC19958B}"/>
    <cellStyle name="Normal 8 3 2 17" xfId="31174" xr:uid="{32BABCFC-D0A6-4653-8FF0-C3BA6417827A}"/>
    <cellStyle name="Normal 8 3 2 18" xfId="33064" xr:uid="{3A33A44A-5803-42E8-90E2-76884401E5B4}"/>
    <cellStyle name="Normal 8 3 2 19" xfId="34954" xr:uid="{7E9F7925-7DEB-4682-9B8F-D10355194E05}"/>
    <cellStyle name="Normal 8 3 2 2" xfId="2824" xr:uid="{7C70299C-C440-4A85-89ED-03B62B7921E6}"/>
    <cellStyle name="Normal 8 3 2 20" xfId="36844" xr:uid="{C557D2E0-5B72-463E-AF14-1B2215BC61A8}"/>
    <cellStyle name="Normal 8 3 2 21" xfId="38734" xr:uid="{D20844C3-B68C-4B22-8F0B-CBA3564F1A37}"/>
    <cellStyle name="Normal 8 3 2 22" xfId="40625" xr:uid="{929A9584-F925-4E0A-9B28-F9D14B30ABBF}"/>
    <cellStyle name="Normal 8 3 2 3" xfId="4714" xr:uid="{86F4EF9A-0A0E-4E2B-8824-DE7ABF627080}"/>
    <cellStyle name="Normal 8 3 2 4" xfId="6604" xr:uid="{1DB64D14-0BB3-49F5-92FB-6BC4F62640CA}"/>
    <cellStyle name="Normal 8 3 2 5" xfId="8494" xr:uid="{168EA549-D186-4698-908B-DE7DA9022521}"/>
    <cellStyle name="Normal 8 3 2 6" xfId="10384" xr:uid="{D390C6B3-8ACE-486D-837C-F51FC30041F4}"/>
    <cellStyle name="Normal 8 3 2 7" xfId="12274" xr:uid="{56A36EA0-6702-4134-A356-4ACA8161A6AA}"/>
    <cellStyle name="Normal 8 3 2 8" xfId="14164" xr:uid="{5DE888E6-D2F9-401C-BD6E-6973B772A9F8}"/>
    <cellStyle name="Normal 8 3 2 9" xfId="16054" xr:uid="{A9508B78-5088-45E7-97D1-B9047E3383D1}"/>
    <cellStyle name="Normal 8 3 20" xfId="32434" xr:uid="{279AEB7E-050C-487B-A68A-A488719D6ED9}"/>
    <cellStyle name="Normal 8 3 21" xfId="34324" xr:uid="{A03F5DE5-566C-4EF5-B2D2-2ECC6D542785}"/>
    <cellStyle name="Normal 8 3 22" xfId="36214" xr:uid="{4B08EEBC-523E-4141-A849-CBDA27D5847E}"/>
    <cellStyle name="Normal 8 3 23" xfId="38104" xr:uid="{F1B710E5-9FC3-43D5-86EB-4ED9CBFB6F35}"/>
    <cellStyle name="Normal 8 3 24" xfId="39995" xr:uid="{710D3D17-5C74-4215-8D60-B52FE4627B50}"/>
    <cellStyle name="Normal 8 3 3" xfId="1564" xr:uid="{B0CEE823-710F-4999-97C1-557A46A1EADD}"/>
    <cellStyle name="Normal 8 3 3 10" xfId="18574" xr:uid="{2F3CB24A-D9F7-45A9-AA3A-992D0EA8FFFE}"/>
    <cellStyle name="Normal 8 3 3 11" xfId="20464" xr:uid="{FCC7F3F0-2901-45E7-A7A8-C86711260D8A}"/>
    <cellStyle name="Normal 8 3 3 12" xfId="22354" xr:uid="{4C4D8882-8291-4017-9B93-DC76B755FB9E}"/>
    <cellStyle name="Normal 8 3 3 13" xfId="24244" xr:uid="{92917BC0-C667-4895-98E8-A0BB3AB27B71}"/>
    <cellStyle name="Normal 8 3 3 14" xfId="26134" xr:uid="{95624E52-3756-4CEC-8AD6-97BCDB5801C8}"/>
    <cellStyle name="Normal 8 3 3 15" xfId="28024" xr:uid="{83984C4C-6DD1-40C6-A0CF-A195C28B987E}"/>
    <cellStyle name="Normal 8 3 3 16" xfId="29914" xr:uid="{8CEFCF20-EF30-453D-AF8D-2FA2CBF354B6}"/>
    <cellStyle name="Normal 8 3 3 17" xfId="31804" xr:uid="{D98BECE6-DF18-4241-8E0B-0FA3B8AF09E7}"/>
    <cellStyle name="Normal 8 3 3 18" xfId="33694" xr:uid="{E2A83322-B1A1-446B-8755-ADFE7A2B0C5C}"/>
    <cellStyle name="Normal 8 3 3 19" xfId="35584" xr:uid="{E3F63744-CD1F-43EB-831D-BF8E541DFECA}"/>
    <cellStyle name="Normal 8 3 3 2" xfId="3454" xr:uid="{0371306B-3C84-4248-9AE9-9935188784E2}"/>
    <cellStyle name="Normal 8 3 3 20" xfId="37474" xr:uid="{26BA011F-B124-4152-B42B-BF2A23A3ADFF}"/>
    <cellStyle name="Normal 8 3 3 21" xfId="39364" xr:uid="{1798B888-FE15-45ED-A771-A8A87FFBAA1A}"/>
    <cellStyle name="Normal 8 3 3 22" xfId="41255" xr:uid="{DED698BA-B7C8-42C5-9881-82F06A29786A}"/>
    <cellStyle name="Normal 8 3 3 3" xfId="5344" xr:uid="{B644C157-BEDC-4DA5-918A-455A770A3F37}"/>
    <cellStyle name="Normal 8 3 3 4" xfId="7234" xr:uid="{CE239098-FBB5-442F-A9FB-D9D3BE9CDA42}"/>
    <cellStyle name="Normal 8 3 3 5" xfId="9124" xr:uid="{D736C626-B970-4748-830B-F33F4C2A4FEF}"/>
    <cellStyle name="Normal 8 3 3 6" xfId="11014" xr:uid="{7ECCD0C6-EAE3-469F-AD7E-EE1FE6ADBF1E}"/>
    <cellStyle name="Normal 8 3 3 7" xfId="12904" xr:uid="{0CA7C6BA-050F-4710-94EB-74B14F9C490F}"/>
    <cellStyle name="Normal 8 3 3 8" xfId="14794" xr:uid="{10E679F1-D6D7-4768-8B92-D0564B8CB632}"/>
    <cellStyle name="Normal 8 3 3 9" xfId="16684" xr:uid="{4B82325F-DE25-4D91-8BD5-F2929E3C70CA}"/>
    <cellStyle name="Normal 8 3 4" xfId="2194" xr:uid="{1552FE4A-A9BF-44DF-880F-DEDB5A0F3D9A}"/>
    <cellStyle name="Normal 8 3 5" xfId="4084" xr:uid="{7AECCC84-581F-4D5E-993D-D9855A1ACF5A}"/>
    <cellStyle name="Normal 8 3 6" xfId="5974" xr:uid="{A68F9339-D48A-4C78-A6C5-B35B110CFADB}"/>
    <cellStyle name="Normal 8 3 7" xfId="7864" xr:uid="{92C770D4-DE22-4897-BA88-179B377A480A}"/>
    <cellStyle name="Normal 8 3 8" xfId="9754" xr:uid="{06A47394-51BA-4FBF-9EB3-456DD18684A7}"/>
    <cellStyle name="Normal 8 3 9" xfId="11644" xr:uid="{65F73EA6-E574-4E15-8252-B66CE9DAECBD}"/>
    <cellStyle name="Normal 8 4" xfId="514" xr:uid="{C0DBB7E5-4237-4A46-A025-19B66A5AE43C}"/>
    <cellStyle name="Normal 8 4 10" xfId="13744" xr:uid="{0E297CF7-3338-4931-91DD-9D0EB7430837}"/>
    <cellStyle name="Normal 8 4 11" xfId="15634" xr:uid="{453AF748-EF0E-4530-BB7B-81392E00E147}"/>
    <cellStyle name="Normal 8 4 12" xfId="17524" xr:uid="{82C16F1F-9C40-4340-AFB2-C7A3B04CF323}"/>
    <cellStyle name="Normal 8 4 13" xfId="19414" xr:uid="{B45AC33E-3708-4D34-BCD1-1AED1FFAC689}"/>
    <cellStyle name="Normal 8 4 14" xfId="21304" xr:uid="{E377DFAD-3DB2-4F6C-9215-3214824C24C4}"/>
    <cellStyle name="Normal 8 4 15" xfId="23194" xr:uid="{9B0A3C2E-6398-4693-B158-4FD41D05B1F6}"/>
    <cellStyle name="Normal 8 4 16" xfId="25084" xr:uid="{FE7BFF94-F226-48C9-8107-3493C18F7B57}"/>
    <cellStyle name="Normal 8 4 17" xfId="26974" xr:uid="{0D68A6E8-4B4F-4564-8C94-CAF3251647DD}"/>
    <cellStyle name="Normal 8 4 18" xfId="28864" xr:uid="{05B8507E-7A88-4A69-B311-5117F7AF63C7}"/>
    <cellStyle name="Normal 8 4 19" xfId="30754" xr:uid="{3FF2FAF5-FDCB-46B8-AE05-1A14040814D9}"/>
    <cellStyle name="Normal 8 4 2" xfId="1144" xr:uid="{7BFF40B8-AE20-4BF5-85E8-5BCBF059835F}"/>
    <cellStyle name="Normal 8 4 2 10" xfId="18154" xr:uid="{ADD5F594-0C54-44B6-8AB9-F2D32EA071D8}"/>
    <cellStyle name="Normal 8 4 2 11" xfId="20044" xr:uid="{8ACC97DF-31CC-45B0-836C-78680084157E}"/>
    <cellStyle name="Normal 8 4 2 12" xfId="21934" xr:uid="{C85C149B-EB18-42A3-AA85-9126FFA94FA0}"/>
    <cellStyle name="Normal 8 4 2 13" xfId="23824" xr:uid="{B943FA03-22B5-4D45-9FAA-42CA8C861F26}"/>
    <cellStyle name="Normal 8 4 2 14" xfId="25714" xr:uid="{EB31B56D-BAC3-4EAE-8877-3A127E2AA34D}"/>
    <cellStyle name="Normal 8 4 2 15" xfId="27604" xr:uid="{76F92EF2-5DE7-429B-BEA1-234FBEE66DF2}"/>
    <cellStyle name="Normal 8 4 2 16" xfId="29494" xr:uid="{5A4CCEA8-1AB8-4E11-A443-A9AF6D466DD3}"/>
    <cellStyle name="Normal 8 4 2 17" xfId="31384" xr:uid="{D1301D98-EC48-43CA-8721-779ECE52FACD}"/>
    <cellStyle name="Normal 8 4 2 18" xfId="33274" xr:uid="{A8F2E236-475C-4472-AE99-90EDE9812A3B}"/>
    <cellStyle name="Normal 8 4 2 19" xfId="35164" xr:uid="{73C5D01A-D937-4D51-AE0E-B5420E3F5FEC}"/>
    <cellStyle name="Normal 8 4 2 2" xfId="3034" xr:uid="{EAABA47D-F42D-4A07-8A9F-C9D7236DA38E}"/>
    <cellStyle name="Normal 8 4 2 20" xfId="37054" xr:uid="{80E3ED62-0D32-4211-9D2A-5A4DD7EE4196}"/>
    <cellStyle name="Normal 8 4 2 21" xfId="38944" xr:uid="{931017DD-3765-4A21-BD73-7ECA3A380C4C}"/>
    <cellStyle name="Normal 8 4 2 22" xfId="40835" xr:uid="{6B5CBFE8-CD8A-4450-B22E-76DAE6E8DF0D}"/>
    <cellStyle name="Normal 8 4 2 3" xfId="4924" xr:uid="{27FE5A2F-58BE-47BF-ACFD-9E6B4CDFC3FC}"/>
    <cellStyle name="Normal 8 4 2 4" xfId="6814" xr:uid="{83292307-ADA1-471C-A38C-2550DE33531F}"/>
    <cellStyle name="Normal 8 4 2 5" xfId="8704" xr:uid="{3E870287-811F-43D8-8870-BE51E48B895C}"/>
    <cellStyle name="Normal 8 4 2 6" xfId="10594" xr:uid="{2C41DC4B-72D4-4894-B8F5-5890A018119C}"/>
    <cellStyle name="Normal 8 4 2 7" xfId="12484" xr:uid="{B59A2761-5E66-415D-A05B-CBFB59957A0D}"/>
    <cellStyle name="Normal 8 4 2 8" xfId="14374" xr:uid="{EB620C78-4DD0-4BE2-ADD1-AEF653409AEC}"/>
    <cellStyle name="Normal 8 4 2 9" xfId="16264" xr:uid="{583C16C8-2D5A-4D28-BA4D-DE08F2AE1296}"/>
    <cellStyle name="Normal 8 4 20" xfId="32644" xr:uid="{5074C2A6-7AA6-4412-BC12-D11AB9D08E81}"/>
    <cellStyle name="Normal 8 4 21" xfId="34534" xr:uid="{5D1C880B-0B2B-478C-9F4B-E6630B18B13C}"/>
    <cellStyle name="Normal 8 4 22" xfId="36424" xr:uid="{53988871-AE34-4D96-9262-3AF7F4F9701A}"/>
    <cellStyle name="Normal 8 4 23" xfId="38314" xr:uid="{D1480602-4243-4D88-BA3D-8669E355951B}"/>
    <cellStyle name="Normal 8 4 24" xfId="40205" xr:uid="{C3A4A0EC-69E9-46C5-ADB3-939DE10137E5}"/>
    <cellStyle name="Normal 8 4 3" xfId="1774" xr:uid="{25CE4EA2-18BC-4ABE-A1DD-3FDC022CAF20}"/>
    <cellStyle name="Normal 8 4 3 10" xfId="18784" xr:uid="{0D0CF2C8-6557-4EF7-9368-017C2596C80F}"/>
    <cellStyle name="Normal 8 4 3 11" xfId="20674" xr:uid="{3DCEA6E2-4942-4D1A-A29D-DE2F184F13A1}"/>
    <cellStyle name="Normal 8 4 3 12" xfId="22564" xr:uid="{1ABD5E44-DD4C-4A09-9C4A-CEBBB22D0A17}"/>
    <cellStyle name="Normal 8 4 3 13" xfId="24454" xr:uid="{1CCA7617-59E2-4BF5-AA48-03C1E03E8A49}"/>
    <cellStyle name="Normal 8 4 3 14" xfId="26344" xr:uid="{5C55758A-4A1A-4778-B4AB-1E4D3830F59F}"/>
    <cellStyle name="Normal 8 4 3 15" xfId="28234" xr:uid="{955AB40A-868D-4578-B481-F9C04CA77654}"/>
    <cellStyle name="Normal 8 4 3 16" xfId="30124" xr:uid="{8CE451BB-E1D2-4777-8006-A4EE528222A7}"/>
    <cellStyle name="Normal 8 4 3 17" xfId="32014" xr:uid="{2D6C59DB-464D-4B21-940A-4D02BBBDECD4}"/>
    <cellStyle name="Normal 8 4 3 18" xfId="33904" xr:uid="{A2879CCC-D30F-4A8D-92A7-CC75C50C85E8}"/>
    <cellStyle name="Normal 8 4 3 19" xfId="35794" xr:uid="{C5801985-610A-43A6-A500-4D560BCA4D3A}"/>
    <cellStyle name="Normal 8 4 3 2" xfId="3664" xr:uid="{A4A6D405-6041-460B-99F1-198B8C7C5690}"/>
    <cellStyle name="Normal 8 4 3 20" xfId="37684" xr:uid="{0147C850-AE64-48F9-8776-3FC66CFF1FAE}"/>
    <cellStyle name="Normal 8 4 3 21" xfId="39574" xr:uid="{E2459810-642A-4A93-8E75-34713D063894}"/>
    <cellStyle name="Normal 8 4 3 22" xfId="41465" xr:uid="{CAE8262F-34BC-4D84-BED9-501FDD55842A}"/>
    <cellStyle name="Normal 8 4 3 3" xfId="5554" xr:uid="{48475562-0F11-4218-AD5B-97875E2A444C}"/>
    <cellStyle name="Normal 8 4 3 4" xfId="7444" xr:uid="{543D9AFC-9CB7-496B-A6A4-9912DE398218}"/>
    <cellStyle name="Normal 8 4 3 5" xfId="9334" xr:uid="{1765D763-3371-4DC3-8119-7CF33887A5B2}"/>
    <cellStyle name="Normal 8 4 3 6" xfId="11224" xr:uid="{E84A06AD-ADC9-4004-BD4F-6B06DF305586}"/>
    <cellStyle name="Normal 8 4 3 7" xfId="13114" xr:uid="{C00C6A16-0475-41C2-A9DC-240937883B96}"/>
    <cellStyle name="Normal 8 4 3 8" xfId="15004" xr:uid="{6D32168C-E053-4A9A-A770-29B98F119A1E}"/>
    <cellStyle name="Normal 8 4 3 9" xfId="16894" xr:uid="{AFDDCAFA-A306-49FB-A534-9F4805A63E8A}"/>
    <cellStyle name="Normal 8 4 4" xfId="2404" xr:uid="{E9A3151D-7C29-4E02-919B-3A5041A91CD4}"/>
    <cellStyle name="Normal 8 4 5" xfId="4294" xr:uid="{A0C17E76-44F7-4899-906E-576BA814D1DD}"/>
    <cellStyle name="Normal 8 4 6" xfId="6184" xr:uid="{8AFA0509-74A4-4429-8654-B0FAE965FF1C}"/>
    <cellStyle name="Normal 8 4 7" xfId="8074" xr:uid="{34A41407-4833-460E-91E9-E9B1B32F8E01}"/>
    <cellStyle name="Normal 8 4 8" xfId="9964" xr:uid="{7E1761CF-2CFD-44B3-9F89-CF66609ABA28}"/>
    <cellStyle name="Normal 8 4 9" xfId="11854" xr:uid="{4C880148-BB2A-4AE0-87C3-0EA16D664D8C}"/>
    <cellStyle name="Normal 8 5" xfId="724" xr:uid="{5589A68B-C7C7-4C6D-906F-ABB21C29616E}"/>
    <cellStyle name="Normal 8 5 10" xfId="17734" xr:uid="{3128E17C-16E9-4B52-BAD4-2CD57049D4AC}"/>
    <cellStyle name="Normal 8 5 11" xfId="19624" xr:uid="{1BC05D8B-31C9-4F18-88E7-8555B6A3A5B3}"/>
    <cellStyle name="Normal 8 5 12" xfId="21514" xr:uid="{D0DA91CD-976E-4DB9-9F39-7927DA498FDD}"/>
    <cellStyle name="Normal 8 5 13" xfId="23404" xr:uid="{76D69815-0DCC-4D00-A37D-DD85291C94ED}"/>
    <cellStyle name="Normal 8 5 14" xfId="25294" xr:uid="{3E29881E-EAC9-4BF6-8D0B-94CCAC8F13BF}"/>
    <cellStyle name="Normal 8 5 15" xfId="27184" xr:uid="{4A2D3D6F-8A5F-4F56-B236-51AA3D078945}"/>
    <cellStyle name="Normal 8 5 16" xfId="29074" xr:uid="{34CD68EA-A371-4914-A8C8-0C04A8DA73FF}"/>
    <cellStyle name="Normal 8 5 17" xfId="30964" xr:uid="{69A4FE0F-E308-470B-B27A-7E8B4DC44190}"/>
    <cellStyle name="Normal 8 5 18" xfId="32854" xr:uid="{05062FCD-0C85-4DC3-B36C-5D5A01B33A2A}"/>
    <cellStyle name="Normal 8 5 19" xfId="34744" xr:uid="{FB20016C-A4C4-4616-A769-BCEC72504F34}"/>
    <cellStyle name="Normal 8 5 2" xfId="2614" xr:uid="{04130FAE-2487-4BAC-9E99-8E7C75655DE0}"/>
    <cellStyle name="Normal 8 5 20" xfId="36634" xr:uid="{F63731BD-62DE-4390-8FE7-B2F87827A23B}"/>
    <cellStyle name="Normal 8 5 21" xfId="38524" xr:uid="{6F35F70A-B8DA-43FA-B65D-CC709BA4E3D2}"/>
    <cellStyle name="Normal 8 5 22" xfId="40415" xr:uid="{379E543B-3D84-4C16-8891-9A4B12FF82EA}"/>
    <cellStyle name="Normal 8 5 3" xfId="4504" xr:uid="{5895ED1D-8B0A-46B1-B333-CA074C8CF811}"/>
    <cellStyle name="Normal 8 5 4" xfId="6394" xr:uid="{D1289681-741D-4C12-A1A0-08A2D036DEC7}"/>
    <cellStyle name="Normal 8 5 5" xfId="8284" xr:uid="{5E76478C-59B2-45A1-80E3-A4F8C6175936}"/>
    <cellStyle name="Normal 8 5 6" xfId="10174" xr:uid="{FD904C54-0078-4EB0-BAD2-A6C65EA3AC5E}"/>
    <cellStyle name="Normal 8 5 7" xfId="12064" xr:uid="{CD00FC1F-FB4D-40A0-8A90-3BDB43D798B5}"/>
    <cellStyle name="Normal 8 5 8" xfId="13954" xr:uid="{16383319-1A35-4313-BEF6-1089DBC1E7B5}"/>
    <cellStyle name="Normal 8 5 9" xfId="15844" xr:uid="{D524543E-6228-4C76-A37B-E5F50B79DD00}"/>
    <cellStyle name="Normal 8 6" xfId="1354" xr:uid="{BB6A2121-3179-4109-A43B-79EF6B393B98}"/>
    <cellStyle name="Normal 8 6 10" xfId="18364" xr:uid="{4CCE95B6-1ADF-4512-8294-20BE47530E4B}"/>
    <cellStyle name="Normal 8 6 11" xfId="20254" xr:uid="{BC381BE2-C54E-48BB-AB52-2FE6B33F2D50}"/>
    <cellStyle name="Normal 8 6 12" xfId="22144" xr:uid="{B8A0B9CE-563C-4AFF-B391-D97020A45AFC}"/>
    <cellStyle name="Normal 8 6 13" xfId="24034" xr:uid="{C99487D7-F15A-4EF8-A044-266C0A7CD19F}"/>
    <cellStyle name="Normal 8 6 14" xfId="25924" xr:uid="{ADEEA28C-35E3-479E-ACEB-C4754BB6157B}"/>
    <cellStyle name="Normal 8 6 15" xfId="27814" xr:uid="{B27AB00F-68D8-43DC-BD88-C3FC8F3EC5FF}"/>
    <cellStyle name="Normal 8 6 16" xfId="29704" xr:uid="{4872C4D7-893A-4DD2-87DB-6B194643A52E}"/>
    <cellStyle name="Normal 8 6 17" xfId="31594" xr:uid="{F1ABA6B1-BC21-4BF3-B4D1-6F9D372085D6}"/>
    <cellStyle name="Normal 8 6 18" xfId="33484" xr:uid="{64A465A2-FE9A-476E-8636-0502EC8E1B52}"/>
    <cellStyle name="Normal 8 6 19" xfId="35374" xr:uid="{F6E4D7D3-DA59-4A5E-B1D9-ABAD0B14916C}"/>
    <cellStyle name="Normal 8 6 2" xfId="3244" xr:uid="{93543C41-ABF7-4CAB-A8F5-62D65B35E0D0}"/>
    <cellStyle name="Normal 8 6 20" xfId="37264" xr:uid="{1ACE2B3E-719C-479C-8A27-044D4ACD27E8}"/>
    <cellStyle name="Normal 8 6 21" xfId="39154" xr:uid="{4D3F8A17-5DFE-4010-B8FD-0C8BF003CF95}"/>
    <cellStyle name="Normal 8 6 22" xfId="41045" xr:uid="{C1FA1102-2989-4372-9698-74B84D046C38}"/>
    <cellStyle name="Normal 8 6 3" xfId="5134" xr:uid="{33EBE1CB-D7F2-4178-BF13-B48C409B0E5E}"/>
    <cellStyle name="Normal 8 6 4" xfId="7024" xr:uid="{9481ED69-D630-4771-BD92-45502B247E01}"/>
    <cellStyle name="Normal 8 6 5" xfId="8914" xr:uid="{D584DE17-1EF6-47FC-B452-5CA6A4C69424}"/>
    <cellStyle name="Normal 8 6 6" xfId="10804" xr:uid="{D0862F59-D4C3-4669-800C-3A7746B53916}"/>
    <cellStyle name="Normal 8 6 7" xfId="12694" xr:uid="{5364FB59-EB86-4377-807E-DB0CD785F76E}"/>
    <cellStyle name="Normal 8 6 8" xfId="14584" xr:uid="{4C5900D6-2DD2-4875-A7FA-29BA1D66C2A0}"/>
    <cellStyle name="Normal 8 6 9" xfId="16474" xr:uid="{57225225-1C70-4D1A-A60B-5AE0D6EEA606}"/>
    <cellStyle name="Normal 8 7" xfId="1984" xr:uid="{2D70434D-90B9-4383-B6E8-22C2E96D6C43}"/>
    <cellStyle name="Normal 8 8" xfId="3874" xr:uid="{3C426789-1D34-462D-A9E6-BFC3C802646C}"/>
    <cellStyle name="Normal 8 9" xfId="5764" xr:uid="{94C8F082-D52A-42E0-B0D3-30528EF95D99}"/>
    <cellStyle name="Normal 9" xfId="96" xr:uid="{2140660F-5EA1-4E81-8BD7-B814933425B2}"/>
    <cellStyle name="Normal 9 10" xfId="7656" xr:uid="{FBC941FB-1AB8-4A7F-99D8-A6E4112756DF}"/>
    <cellStyle name="Normal 9 11" xfId="9546" xr:uid="{67D58100-E925-474B-A054-BC2B8A384896}"/>
    <cellStyle name="Normal 9 12" xfId="11436" xr:uid="{0997037F-108E-4828-B3A0-86851924C231}"/>
    <cellStyle name="Normal 9 13" xfId="13326" xr:uid="{2F1E2B2B-AA6C-4CA2-B277-DE8345E09C79}"/>
    <cellStyle name="Normal 9 14" xfId="15216" xr:uid="{36911333-6A32-4E3E-9A73-3B9B5995D11E}"/>
    <cellStyle name="Normal 9 15" xfId="17106" xr:uid="{1078D3D7-8E8A-4189-9DD7-14077E9D87D7}"/>
    <cellStyle name="Normal 9 16" xfId="18996" xr:uid="{AEF00211-4043-41E5-B965-79B970233145}"/>
    <cellStyle name="Normal 9 17" xfId="20886" xr:uid="{C5E9415E-C460-42AF-AEE9-F06676ACA1CC}"/>
    <cellStyle name="Normal 9 18" xfId="22776" xr:uid="{62E598BD-963D-44A1-8D3B-BD8C6723C414}"/>
    <cellStyle name="Normal 9 19" xfId="24666" xr:uid="{76450DB1-56CA-48C3-89DE-BF29D564F66E}"/>
    <cellStyle name="Normal 9 2" xfId="201" xr:uid="{B04E17CA-E868-4F60-ACBA-086DA7467F2F}"/>
    <cellStyle name="Normal 9 2 10" xfId="9651" xr:uid="{BC95A0EA-B712-4212-8552-5E70970A09B1}"/>
    <cellStyle name="Normal 9 2 11" xfId="11541" xr:uid="{A065E268-0862-4F02-893C-2ECD73A99C64}"/>
    <cellStyle name="Normal 9 2 12" xfId="13431" xr:uid="{D55A04DD-C48F-417A-9FDF-BE4F9DE0B806}"/>
    <cellStyle name="Normal 9 2 13" xfId="15321" xr:uid="{9C0861C1-DFEF-4BE3-8980-A996A7470067}"/>
    <cellStyle name="Normal 9 2 14" xfId="17211" xr:uid="{D2CF24EC-CD32-4CAD-B228-2639E9E35563}"/>
    <cellStyle name="Normal 9 2 15" xfId="19101" xr:uid="{EA7EF2C0-DBB7-4D80-9E8D-162FCE6152EF}"/>
    <cellStyle name="Normal 9 2 16" xfId="20991" xr:uid="{6150BB97-39A9-4340-AC43-293E9046EE01}"/>
    <cellStyle name="Normal 9 2 17" xfId="22881" xr:uid="{D1D35CF2-5145-4B08-8211-F407F18CA4E8}"/>
    <cellStyle name="Normal 9 2 18" xfId="24771" xr:uid="{82710749-A1DF-4582-9369-424DAC6858D2}"/>
    <cellStyle name="Normal 9 2 19" xfId="26661" xr:uid="{C39E7A64-F48E-44EF-9072-D195C8528DD3}"/>
    <cellStyle name="Normal 9 2 2" xfId="411" xr:uid="{6A8C1B69-8C2A-4E88-9A8C-DD6A709567F8}"/>
    <cellStyle name="Normal 9 2 2 10" xfId="13641" xr:uid="{D77A5529-F812-4A08-B5CE-9F1366E0B6CE}"/>
    <cellStyle name="Normal 9 2 2 11" xfId="15531" xr:uid="{3929CE93-4A08-4649-A0DF-AAF706795552}"/>
    <cellStyle name="Normal 9 2 2 12" xfId="17421" xr:uid="{CDFF8CAF-13FC-42BF-8F11-58E00AB00D0F}"/>
    <cellStyle name="Normal 9 2 2 13" xfId="19311" xr:uid="{AF5AE1EF-E8AC-486A-BB5B-463280AE6472}"/>
    <cellStyle name="Normal 9 2 2 14" xfId="21201" xr:uid="{D0556F65-E474-42AC-B1F5-8A2821FAD9D2}"/>
    <cellStyle name="Normal 9 2 2 15" xfId="23091" xr:uid="{201E0870-5256-49AF-ACC3-E62E246A2826}"/>
    <cellStyle name="Normal 9 2 2 16" xfId="24981" xr:uid="{A7E578BE-DEA6-4CE7-8788-9A9EF23BEFE7}"/>
    <cellStyle name="Normal 9 2 2 17" xfId="26871" xr:uid="{BC25978B-F249-4872-856D-970154598836}"/>
    <cellStyle name="Normal 9 2 2 18" xfId="28761" xr:uid="{57F36310-8131-4722-AE40-000315CD5CE9}"/>
    <cellStyle name="Normal 9 2 2 19" xfId="30651" xr:uid="{0F2CC914-DAC8-40D9-97A1-E480DD3AE8FC}"/>
    <cellStyle name="Normal 9 2 2 2" xfId="1041" xr:uid="{B001770D-08D5-481F-8101-BAAD60B2E75F}"/>
    <cellStyle name="Normal 9 2 2 2 10" xfId="18051" xr:uid="{8744E76E-31DB-4DEE-9EDB-B0A2170ED677}"/>
    <cellStyle name="Normal 9 2 2 2 11" xfId="19941" xr:uid="{02B29D29-3E9E-4604-BE82-09A72600FD06}"/>
    <cellStyle name="Normal 9 2 2 2 12" xfId="21831" xr:uid="{2D216EED-DEC0-4B6E-BFFD-4A31B856F43F}"/>
    <cellStyle name="Normal 9 2 2 2 13" xfId="23721" xr:uid="{8A868DB9-BB8A-4AC5-B2B1-D878906D95BC}"/>
    <cellStyle name="Normal 9 2 2 2 14" xfId="25611" xr:uid="{5AE7E556-2CF6-4ECC-9E8A-3B8AC9FE0C5E}"/>
    <cellStyle name="Normal 9 2 2 2 15" xfId="27501" xr:uid="{A01EFCEC-EDD3-47B1-A523-4742D5DC8580}"/>
    <cellStyle name="Normal 9 2 2 2 16" xfId="29391" xr:uid="{97E23EE6-C666-4E44-BF17-3B31897419BE}"/>
    <cellStyle name="Normal 9 2 2 2 17" xfId="31281" xr:uid="{A0F207F6-3B1D-4499-BA71-C3223FBB8B81}"/>
    <cellStyle name="Normal 9 2 2 2 18" xfId="33171" xr:uid="{C0851706-054C-48CF-A207-28747DF86994}"/>
    <cellStyle name="Normal 9 2 2 2 19" xfId="35061" xr:uid="{37F7C569-E619-4492-87F0-CD9085CB26A4}"/>
    <cellStyle name="Normal 9 2 2 2 2" xfId="2931" xr:uid="{032D3953-97DE-43DA-8C85-35C3B24BB5A6}"/>
    <cellStyle name="Normal 9 2 2 2 20" xfId="36951" xr:uid="{DC1DD401-ACF0-4E81-9485-438B053D2F24}"/>
    <cellStyle name="Normal 9 2 2 2 21" xfId="38841" xr:uid="{AC6A54F2-C245-4FF3-AD0F-78F369DF3124}"/>
    <cellStyle name="Normal 9 2 2 2 22" xfId="40732" xr:uid="{979752D4-E39E-4F50-94EF-E5768E1B7853}"/>
    <cellStyle name="Normal 9 2 2 2 3" xfId="4821" xr:uid="{D0212182-1C36-427A-A55E-29FF58AD9D86}"/>
    <cellStyle name="Normal 9 2 2 2 4" xfId="6711" xr:uid="{D1DB35AE-303D-4AF9-94DF-12B4FEF9B3E8}"/>
    <cellStyle name="Normal 9 2 2 2 5" xfId="8601" xr:uid="{E9E09891-6FB3-4A96-89F4-66793A93DAAF}"/>
    <cellStyle name="Normal 9 2 2 2 6" xfId="10491" xr:uid="{B3BBECA8-5D36-4E6A-B9CE-2F73AA00B3B0}"/>
    <cellStyle name="Normal 9 2 2 2 7" xfId="12381" xr:uid="{918473A9-F987-4462-877E-8962526D18DE}"/>
    <cellStyle name="Normal 9 2 2 2 8" xfId="14271" xr:uid="{DE40935E-1572-4F3C-8E52-860751AD55D1}"/>
    <cellStyle name="Normal 9 2 2 2 9" xfId="16161" xr:uid="{569EB360-2629-428E-90CD-270415D7DD3E}"/>
    <cellStyle name="Normal 9 2 2 20" xfId="32541" xr:uid="{7F367519-EA1B-4254-8E7E-64AA144439BD}"/>
    <cellStyle name="Normal 9 2 2 21" xfId="34431" xr:uid="{411D3363-049E-4333-AD57-17AF34FF478E}"/>
    <cellStyle name="Normal 9 2 2 22" xfId="36321" xr:uid="{43A3794B-3736-42C9-9051-ED7B234B048D}"/>
    <cellStyle name="Normal 9 2 2 23" xfId="38211" xr:uid="{D395C628-A72E-4C3E-9279-838A5D49B3B3}"/>
    <cellStyle name="Normal 9 2 2 24" xfId="40102" xr:uid="{00B12A59-A4A6-4E8E-92B5-81E19FB44713}"/>
    <cellStyle name="Normal 9 2 2 3" xfId="1671" xr:uid="{1D19BC1D-5723-46A3-BFE4-ED6A0F9CC0E2}"/>
    <cellStyle name="Normal 9 2 2 3 10" xfId="18681" xr:uid="{F61F97DA-CE30-4E40-8909-01497E217B2C}"/>
    <cellStyle name="Normal 9 2 2 3 11" xfId="20571" xr:uid="{E7C6DBE0-E8AC-43D4-9EF3-DF7A17D9BBFF}"/>
    <cellStyle name="Normal 9 2 2 3 12" xfId="22461" xr:uid="{DB470974-38D8-4485-83D2-5220AFB1817D}"/>
    <cellStyle name="Normal 9 2 2 3 13" xfId="24351" xr:uid="{81BFB1DF-1C8D-4DC2-B82A-55AF0B35CBF7}"/>
    <cellStyle name="Normal 9 2 2 3 14" xfId="26241" xr:uid="{5D307080-BCB9-43B8-A2A1-E773EAB99F76}"/>
    <cellStyle name="Normal 9 2 2 3 15" xfId="28131" xr:uid="{47BE695E-8D10-4D8C-8FDA-A6B7824DB895}"/>
    <cellStyle name="Normal 9 2 2 3 16" xfId="30021" xr:uid="{180F45EF-0E0C-4409-A4A2-89C42B06F15F}"/>
    <cellStyle name="Normal 9 2 2 3 17" xfId="31911" xr:uid="{244D8E48-6506-421D-9E72-CD55805EAA93}"/>
    <cellStyle name="Normal 9 2 2 3 18" xfId="33801" xr:uid="{9383B82F-FC41-436C-82B0-558E4688EAFD}"/>
    <cellStyle name="Normal 9 2 2 3 19" xfId="35691" xr:uid="{85B4C37A-B69B-4CDE-A921-E6B9E319DC2C}"/>
    <cellStyle name="Normal 9 2 2 3 2" xfId="3561" xr:uid="{570287AC-7AE1-4F68-AAFD-68C8A6F14C57}"/>
    <cellStyle name="Normal 9 2 2 3 20" xfId="37581" xr:uid="{D5F345D4-7C68-432E-92D4-DC7374B3252E}"/>
    <cellStyle name="Normal 9 2 2 3 21" xfId="39471" xr:uid="{6C20A1AC-B0DE-4A3B-8A74-CBF8F30694D9}"/>
    <cellStyle name="Normal 9 2 2 3 22" xfId="41362" xr:uid="{93318A20-42BA-41B4-8B4C-E88F45DC7FDA}"/>
    <cellStyle name="Normal 9 2 2 3 3" xfId="5451" xr:uid="{EE7CEA9A-ECBE-402C-8A03-22895C8F1AEB}"/>
    <cellStyle name="Normal 9 2 2 3 4" xfId="7341" xr:uid="{0FAB08D2-076E-47C9-A81D-6F833018957F}"/>
    <cellStyle name="Normal 9 2 2 3 5" xfId="9231" xr:uid="{C698DCE3-4D08-4EBA-A5E6-DDAB8A607E8E}"/>
    <cellStyle name="Normal 9 2 2 3 6" xfId="11121" xr:uid="{FCD28879-5CCE-4F59-A84C-25559A993DA8}"/>
    <cellStyle name="Normal 9 2 2 3 7" xfId="13011" xr:uid="{0E9C0783-3D93-47D2-B024-C024D1FD4A44}"/>
    <cellStyle name="Normal 9 2 2 3 8" xfId="14901" xr:uid="{BACDEEB3-6D2C-45EE-87A5-C5152E5FD816}"/>
    <cellStyle name="Normal 9 2 2 3 9" xfId="16791" xr:uid="{6C1FC01A-C13A-4D78-B8BE-70E3C8D95A42}"/>
    <cellStyle name="Normal 9 2 2 4" xfId="2301" xr:uid="{CE3BD32F-72DF-4002-AB38-B3F14332D26A}"/>
    <cellStyle name="Normal 9 2 2 5" xfId="4191" xr:uid="{2625B228-8EAF-4181-BA66-6C8DE4D2007E}"/>
    <cellStyle name="Normal 9 2 2 6" xfId="6081" xr:uid="{1206AA61-DC2F-412A-BC0A-B3468A253E0D}"/>
    <cellStyle name="Normal 9 2 2 7" xfId="7971" xr:uid="{58124846-B37A-4DAE-8743-EA064E24BDF4}"/>
    <cellStyle name="Normal 9 2 2 8" xfId="9861" xr:uid="{98B23F15-0DDC-44EA-A83C-B3877DBD8F04}"/>
    <cellStyle name="Normal 9 2 2 9" xfId="11751" xr:uid="{66E58229-A012-4A99-A71A-AA736D431D81}"/>
    <cellStyle name="Normal 9 2 20" xfId="28551" xr:uid="{5C946B93-C0E4-4694-838F-E09B99BB0F71}"/>
    <cellStyle name="Normal 9 2 21" xfId="30441" xr:uid="{8C7528BD-75B4-43EC-B90B-30F94A2613B1}"/>
    <cellStyle name="Normal 9 2 22" xfId="32331" xr:uid="{7BD3CD9C-3CE4-4D7F-AF6F-0A46BEDF5A34}"/>
    <cellStyle name="Normal 9 2 23" xfId="34221" xr:uid="{94A4A3BB-073B-4A4B-9038-687C6551B1B0}"/>
    <cellStyle name="Normal 9 2 24" xfId="36111" xr:uid="{8E3658EA-4C32-478B-B9DF-6420BD3D67D8}"/>
    <cellStyle name="Normal 9 2 25" xfId="38001" xr:uid="{1878168B-20B1-47C0-AD0F-5B764469519C}"/>
    <cellStyle name="Normal 9 2 26" xfId="39892" xr:uid="{BA06BAE6-9B36-4098-ACB4-958C021DAE30}"/>
    <cellStyle name="Normal 9 2 3" xfId="621" xr:uid="{74590BF5-75F0-4AA6-B7E8-AADEFCC121F2}"/>
    <cellStyle name="Normal 9 2 3 10" xfId="13851" xr:uid="{734F9082-0545-4A3D-BDB3-24145FAF2720}"/>
    <cellStyle name="Normal 9 2 3 11" xfId="15741" xr:uid="{313ACF95-6DF0-49F2-88C4-3F3765AD7D9F}"/>
    <cellStyle name="Normal 9 2 3 12" xfId="17631" xr:uid="{8A5D1F34-2F71-4F2E-BFB9-62BD2734DFDC}"/>
    <cellStyle name="Normal 9 2 3 13" xfId="19521" xr:uid="{CCD6434B-F3DD-4747-A0F4-55A9D9A19482}"/>
    <cellStyle name="Normal 9 2 3 14" xfId="21411" xr:uid="{EFA16C17-1005-48EF-BC74-A21D59707E7F}"/>
    <cellStyle name="Normal 9 2 3 15" xfId="23301" xr:uid="{83D5041E-9436-4D18-B021-4D8377662536}"/>
    <cellStyle name="Normal 9 2 3 16" xfId="25191" xr:uid="{5995FF6E-ED0E-4379-B332-C801158ABE72}"/>
    <cellStyle name="Normal 9 2 3 17" xfId="27081" xr:uid="{DEA891E7-231E-4B8A-9A65-9EC0FF1348BB}"/>
    <cellStyle name="Normal 9 2 3 18" xfId="28971" xr:uid="{C9E24604-D7C4-46F4-B5AE-E8BBCE1172C6}"/>
    <cellStyle name="Normal 9 2 3 19" xfId="30861" xr:uid="{BC53219B-6869-46E8-AED3-2EE23921FCEE}"/>
    <cellStyle name="Normal 9 2 3 2" xfId="1251" xr:uid="{BB2533E2-E7D5-46D1-BDB5-F6C20B2384B1}"/>
    <cellStyle name="Normal 9 2 3 2 10" xfId="18261" xr:uid="{55FA309E-D0B4-461D-B17D-D7A4CDFDD44A}"/>
    <cellStyle name="Normal 9 2 3 2 11" xfId="20151" xr:uid="{5EDEA499-CDC1-4FF8-92CA-14717BB99028}"/>
    <cellStyle name="Normal 9 2 3 2 12" xfId="22041" xr:uid="{250F2E4D-1D32-4412-9AC5-EC4E5BBDF328}"/>
    <cellStyle name="Normal 9 2 3 2 13" xfId="23931" xr:uid="{DCE3A07E-C135-4E41-9BB2-96FB663DD61F}"/>
    <cellStyle name="Normal 9 2 3 2 14" xfId="25821" xr:uid="{297F1EA7-94AF-4EB1-A98B-55552579C5B0}"/>
    <cellStyle name="Normal 9 2 3 2 15" xfId="27711" xr:uid="{39E3B3F2-9FC6-4505-A23C-5B4A407A6B04}"/>
    <cellStyle name="Normal 9 2 3 2 16" xfId="29601" xr:uid="{B87EDCC4-7735-4A02-8F9A-04228ADD968F}"/>
    <cellStyle name="Normal 9 2 3 2 17" xfId="31491" xr:uid="{D60D8B27-CF78-4BF6-93A6-5AB15E8791DB}"/>
    <cellStyle name="Normal 9 2 3 2 18" xfId="33381" xr:uid="{6A046972-219B-41FD-815A-5EB410765624}"/>
    <cellStyle name="Normal 9 2 3 2 19" xfId="35271" xr:uid="{49BB92A8-B073-47CE-800E-F98B1ECB820A}"/>
    <cellStyle name="Normal 9 2 3 2 2" xfId="3141" xr:uid="{9F4CF21B-AFC0-4885-8B2C-51E981C5B57D}"/>
    <cellStyle name="Normal 9 2 3 2 20" xfId="37161" xr:uid="{43964AD3-3BD6-4BB5-81CF-A2D7668A9917}"/>
    <cellStyle name="Normal 9 2 3 2 21" xfId="39051" xr:uid="{63931660-8BF8-42E5-B68E-57952C51600D}"/>
    <cellStyle name="Normal 9 2 3 2 22" xfId="40942" xr:uid="{3F469922-7F18-427A-BAED-0DB7B9B97F07}"/>
    <cellStyle name="Normal 9 2 3 2 3" xfId="5031" xr:uid="{63A37761-FC23-4348-BC27-3D1D89B4BF71}"/>
    <cellStyle name="Normal 9 2 3 2 4" xfId="6921" xr:uid="{161E02E6-7A27-419B-A22D-B97E97876448}"/>
    <cellStyle name="Normal 9 2 3 2 5" xfId="8811" xr:uid="{7A304A32-D12E-4709-93E0-BEE86B29212C}"/>
    <cellStyle name="Normal 9 2 3 2 6" xfId="10701" xr:uid="{512116CF-A901-4707-88CD-106D7C73EC18}"/>
    <cellStyle name="Normal 9 2 3 2 7" xfId="12591" xr:uid="{B21897A4-B20A-4484-8B48-87210197D126}"/>
    <cellStyle name="Normal 9 2 3 2 8" xfId="14481" xr:uid="{859D97A2-B42B-490C-BA6C-1F53FBF39D24}"/>
    <cellStyle name="Normal 9 2 3 2 9" xfId="16371" xr:uid="{B98A1321-13F9-4FF8-9CA6-53E4C35E4342}"/>
    <cellStyle name="Normal 9 2 3 20" xfId="32751" xr:uid="{FB835363-622E-4268-9697-3EF6D7F7AF40}"/>
    <cellStyle name="Normal 9 2 3 21" xfId="34641" xr:uid="{85BF39B9-60E8-4B75-8CC6-5601A054533C}"/>
    <cellStyle name="Normal 9 2 3 22" xfId="36531" xr:uid="{320DF602-3B38-4A2B-9CA4-6BE20008A1B8}"/>
    <cellStyle name="Normal 9 2 3 23" xfId="38421" xr:uid="{036B60B6-809A-4E60-9E5D-EB92C8A948B5}"/>
    <cellStyle name="Normal 9 2 3 24" xfId="40312" xr:uid="{06FF5F95-3039-4E1B-9923-656C21DA55B5}"/>
    <cellStyle name="Normal 9 2 3 3" xfId="1881" xr:uid="{2EE1EEAC-E168-43F2-ACAB-EBDC9FDE8795}"/>
    <cellStyle name="Normal 9 2 3 3 10" xfId="18891" xr:uid="{6C75915E-2E75-488D-8AEB-9BC57CEB761F}"/>
    <cellStyle name="Normal 9 2 3 3 11" xfId="20781" xr:uid="{B6BF9CDD-D54F-4714-88CB-4A33ADEFCA2B}"/>
    <cellStyle name="Normal 9 2 3 3 12" xfId="22671" xr:uid="{E0055F56-C16F-4AEB-B23E-8D6D89DA1C48}"/>
    <cellStyle name="Normal 9 2 3 3 13" xfId="24561" xr:uid="{D5FAB36A-5042-47CE-9375-E0DDE000EBEC}"/>
    <cellStyle name="Normal 9 2 3 3 14" xfId="26451" xr:uid="{454AA474-E24F-4C5E-B66F-05394BB36263}"/>
    <cellStyle name="Normal 9 2 3 3 15" xfId="28341" xr:uid="{0250AAE2-0259-4EC9-A90E-DBFF3ABDD2D3}"/>
    <cellStyle name="Normal 9 2 3 3 16" xfId="30231" xr:uid="{73F77F7B-92CB-4FA0-A4B4-2CE0B970C2AE}"/>
    <cellStyle name="Normal 9 2 3 3 17" xfId="32121" xr:uid="{8204B26D-9072-47E7-8188-DBDEA9E2A582}"/>
    <cellStyle name="Normal 9 2 3 3 18" xfId="34011" xr:uid="{EF985131-A1B9-4B2E-8DEA-2EFD8EEA1B4F}"/>
    <cellStyle name="Normal 9 2 3 3 19" xfId="35901" xr:uid="{2FA521C4-A476-4CE0-924C-3577D5DC11AF}"/>
    <cellStyle name="Normal 9 2 3 3 2" xfId="3771" xr:uid="{C1F190C7-A762-43F5-8BF0-8473A07B884F}"/>
    <cellStyle name="Normal 9 2 3 3 20" xfId="37791" xr:uid="{9769D97F-1CD5-422E-A509-19EB939D400F}"/>
    <cellStyle name="Normal 9 2 3 3 21" xfId="39681" xr:uid="{3A346913-5B03-46D5-9EAA-C9C24A16B2A7}"/>
    <cellStyle name="Normal 9 2 3 3 22" xfId="41572" xr:uid="{4FA6EBBD-FAA2-4940-BA15-54A87648335B}"/>
    <cellStyle name="Normal 9 2 3 3 3" xfId="5661" xr:uid="{1FD82B35-F5ED-4D25-8F2F-4C0238884D66}"/>
    <cellStyle name="Normal 9 2 3 3 4" xfId="7551" xr:uid="{17960AA2-D23E-4E8E-B53F-676700294F8C}"/>
    <cellStyle name="Normal 9 2 3 3 5" xfId="9441" xr:uid="{EB52CFB2-44C4-422F-818E-D189ECD5BE42}"/>
    <cellStyle name="Normal 9 2 3 3 6" xfId="11331" xr:uid="{138E3B38-8F18-4989-97DD-FB0B78F9D5AD}"/>
    <cellStyle name="Normal 9 2 3 3 7" xfId="13221" xr:uid="{BE243E0C-940C-472F-9F4D-818AF369E837}"/>
    <cellStyle name="Normal 9 2 3 3 8" xfId="15111" xr:uid="{BCB1C81B-0FE3-4F99-BA2D-1B67536F23AB}"/>
    <cellStyle name="Normal 9 2 3 3 9" xfId="17001" xr:uid="{5B80578F-B9AC-4ED1-85EB-04998E91D06B}"/>
    <cellStyle name="Normal 9 2 3 4" xfId="2511" xr:uid="{840CEDA7-F38A-4869-8360-43BACC08CEE9}"/>
    <cellStyle name="Normal 9 2 3 5" xfId="4401" xr:uid="{A88DC9DE-396F-40F9-9B3C-E0E0072430BC}"/>
    <cellStyle name="Normal 9 2 3 6" xfId="6291" xr:uid="{C4FC229D-5E79-41B7-BCAF-B089CA538C25}"/>
    <cellStyle name="Normal 9 2 3 7" xfId="8181" xr:uid="{4EB0EACA-6C35-4798-BBB8-362EB0D34D7D}"/>
    <cellStyle name="Normal 9 2 3 8" xfId="10071" xr:uid="{CE0C7756-D200-43C9-9672-F0C231AF1F27}"/>
    <cellStyle name="Normal 9 2 3 9" xfId="11961" xr:uid="{5DD16771-57BD-4DD9-83BE-E5A455781012}"/>
    <cellStyle name="Normal 9 2 4" xfId="831" xr:uid="{CC2552ED-CE01-43A6-A152-E25B6F660591}"/>
    <cellStyle name="Normal 9 2 4 10" xfId="17841" xr:uid="{5BEEB1E6-57EA-48CC-839B-CE9BD3B44A5E}"/>
    <cellStyle name="Normal 9 2 4 11" xfId="19731" xr:uid="{3CCD635E-FD9A-48CD-A6B4-8B8569841353}"/>
    <cellStyle name="Normal 9 2 4 12" xfId="21621" xr:uid="{5A0993A7-2EF2-44C8-8228-3F00F2EEEFE0}"/>
    <cellStyle name="Normal 9 2 4 13" xfId="23511" xr:uid="{60648DDF-801F-4FC7-BF87-0400426E95A9}"/>
    <cellStyle name="Normal 9 2 4 14" xfId="25401" xr:uid="{55B092BB-7132-4315-A8FE-A44870503BAE}"/>
    <cellStyle name="Normal 9 2 4 15" xfId="27291" xr:uid="{A260C8E1-5FFA-4BD2-B5A7-8C2EA3EA031D}"/>
    <cellStyle name="Normal 9 2 4 16" xfId="29181" xr:uid="{2D047C18-8721-4887-99F3-6C231FF732FA}"/>
    <cellStyle name="Normal 9 2 4 17" xfId="31071" xr:uid="{4B233ED1-E116-43AB-9A71-B4A6FBB10665}"/>
    <cellStyle name="Normal 9 2 4 18" xfId="32961" xr:uid="{56B9C999-F9A2-496D-B894-2F311C169D96}"/>
    <cellStyle name="Normal 9 2 4 19" xfId="34851" xr:uid="{97AB84B5-7362-432F-B80C-106240D8205B}"/>
    <cellStyle name="Normal 9 2 4 2" xfId="2721" xr:uid="{126028E5-5548-4846-B912-53B0FB27AC2F}"/>
    <cellStyle name="Normal 9 2 4 20" xfId="36741" xr:uid="{258C0C22-314E-4ABC-B968-919F9ADE33AD}"/>
    <cellStyle name="Normal 9 2 4 21" xfId="38631" xr:uid="{A3853E75-11AA-467D-BC25-BF358E5A7694}"/>
    <cellStyle name="Normal 9 2 4 22" xfId="40522" xr:uid="{0D5A3EA6-769E-4634-A660-9775622C2ABE}"/>
    <cellStyle name="Normal 9 2 4 3" xfId="4611" xr:uid="{0063E9A2-5CA9-4079-AC7F-858134C762C0}"/>
    <cellStyle name="Normal 9 2 4 4" xfId="6501" xr:uid="{E86B7987-DE0B-485B-9A91-2E6E35BE9EE1}"/>
    <cellStyle name="Normal 9 2 4 5" xfId="8391" xr:uid="{804C3DE8-A6F4-4B88-9702-58CD6ECF7639}"/>
    <cellStyle name="Normal 9 2 4 6" xfId="10281" xr:uid="{FB1ADD5F-0EA2-49DC-9DA7-B1FAACC6B800}"/>
    <cellStyle name="Normal 9 2 4 7" xfId="12171" xr:uid="{23B3E0F9-89CF-4906-8D0D-35F1B9D2EF47}"/>
    <cellStyle name="Normal 9 2 4 8" xfId="14061" xr:uid="{F8607B01-656E-4A79-ABB8-4C77A9CC7080}"/>
    <cellStyle name="Normal 9 2 4 9" xfId="15951" xr:uid="{17EB959E-04FF-433F-ABCF-B46998FE92EA}"/>
    <cellStyle name="Normal 9 2 5" xfId="1461" xr:uid="{B61A62AA-6247-4897-81C2-CAE3F7209D88}"/>
    <cellStyle name="Normal 9 2 5 10" xfId="18471" xr:uid="{0FBED79A-0A56-4E87-A20B-E8E9702E5BAA}"/>
    <cellStyle name="Normal 9 2 5 11" xfId="20361" xr:uid="{32C58560-1434-4342-8269-865C3C1FD029}"/>
    <cellStyle name="Normal 9 2 5 12" xfId="22251" xr:uid="{22E2F474-D4DA-4B05-86E2-31223DF365A7}"/>
    <cellStyle name="Normal 9 2 5 13" xfId="24141" xr:uid="{A8AB1AAF-ACC4-4A86-A4D2-B4860ED97431}"/>
    <cellStyle name="Normal 9 2 5 14" xfId="26031" xr:uid="{4ED54739-8941-47BF-B84E-9E9DB6BDD64E}"/>
    <cellStyle name="Normal 9 2 5 15" xfId="27921" xr:uid="{9E4F3A87-A374-4680-B84F-215E4031254F}"/>
    <cellStyle name="Normal 9 2 5 16" xfId="29811" xr:uid="{922CAAB5-C372-4574-A952-168F61669115}"/>
    <cellStyle name="Normal 9 2 5 17" xfId="31701" xr:uid="{0735126A-4604-4DA8-A9F8-849BB1E994F3}"/>
    <cellStyle name="Normal 9 2 5 18" xfId="33591" xr:uid="{CCAB7C19-E758-49E8-B835-88113C85B980}"/>
    <cellStyle name="Normal 9 2 5 19" xfId="35481" xr:uid="{60EAB86B-A536-47A3-A50D-EC339AA7DA2C}"/>
    <cellStyle name="Normal 9 2 5 2" xfId="3351" xr:uid="{1074C327-285A-4BF2-A136-89FC47121190}"/>
    <cellStyle name="Normal 9 2 5 20" xfId="37371" xr:uid="{B64042F8-247A-4F44-8D7A-ED7C941B47FD}"/>
    <cellStyle name="Normal 9 2 5 21" xfId="39261" xr:uid="{D42863BC-F97E-4D7B-873F-A62D0605C398}"/>
    <cellStyle name="Normal 9 2 5 22" xfId="41152" xr:uid="{605ED852-189F-40B4-BE26-2B38AD4102A9}"/>
    <cellStyle name="Normal 9 2 5 3" xfId="5241" xr:uid="{239E04DD-B62F-437A-9D35-415EBD566A74}"/>
    <cellStyle name="Normal 9 2 5 4" xfId="7131" xr:uid="{039A972F-4EC2-491A-A96C-5BCDCF4DB1C6}"/>
    <cellStyle name="Normal 9 2 5 5" xfId="9021" xr:uid="{1BB19B7B-09AF-4FA9-AC16-996B68A4D7D8}"/>
    <cellStyle name="Normal 9 2 5 6" xfId="10911" xr:uid="{4E1604FD-ED11-4003-AC9F-9C450A52052A}"/>
    <cellStyle name="Normal 9 2 5 7" xfId="12801" xr:uid="{54A558DF-38F1-454C-BDF2-1A120BBE75DD}"/>
    <cellStyle name="Normal 9 2 5 8" xfId="14691" xr:uid="{0172B2FF-5C43-445C-8D48-27281E876EA6}"/>
    <cellStyle name="Normal 9 2 5 9" xfId="16581" xr:uid="{083AF631-920E-4B6F-B13D-567BE520C962}"/>
    <cellStyle name="Normal 9 2 6" xfId="2091" xr:uid="{BF0F94EC-63E8-401C-8EE5-6379B72FC3B8}"/>
    <cellStyle name="Normal 9 2 7" xfId="3981" xr:uid="{6B7339BE-C485-4C6C-AB31-99C3977D9A86}"/>
    <cellStyle name="Normal 9 2 8" xfId="5871" xr:uid="{04919A5E-751C-412D-A200-E8FD4B4229E6}"/>
    <cellStyle name="Normal 9 2 9" xfId="7761" xr:uid="{94E3EAFA-7D3E-444E-84C6-93C5F4788BD8}"/>
    <cellStyle name="Normal 9 20" xfId="26556" xr:uid="{C222266E-9457-4433-B357-842A21CED236}"/>
    <cellStyle name="Normal 9 21" xfId="28446" xr:uid="{25C18FE1-5487-4903-B1B3-47FCF622C76A}"/>
    <cellStyle name="Normal 9 22" xfId="30336" xr:uid="{DD2A0BD0-1176-451D-8250-8E78C2EF4D6D}"/>
    <cellStyle name="Normal 9 23" xfId="32226" xr:uid="{4BBC295F-0F7A-4EA4-B62C-692EBBB45F60}"/>
    <cellStyle name="Normal 9 24" xfId="34116" xr:uid="{7C8C5257-0FA6-4059-8D64-6C372A26E7D8}"/>
    <cellStyle name="Normal 9 25" xfId="36006" xr:uid="{3D35FCCF-C214-4B7C-BD1A-D24B62A528A6}"/>
    <cellStyle name="Normal 9 26" xfId="37896" xr:uid="{D7DA6E15-E60E-417E-A8AC-F4FF8E17BEEC}"/>
    <cellStyle name="Normal 9 27" xfId="39787" xr:uid="{967508F0-6F47-4F22-BDB7-A64233DE4CAA}"/>
    <cellStyle name="Normal 9 3" xfId="306" xr:uid="{2440D976-59A2-49FA-955C-A5FE61909851}"/>
    <cellStyle name="Normal 9 3 10" xfId="13536" xr:uid="{C406DC4B-F113-40DD-B07E-DF8F9EAE8F68}"/>
    <cellStyle name="Normal 9 3 11" xfId="15426" xr:uid="{90B78D27-7799-4E79-AA32-648B0384D7CE}"/>
    <cellStyle name="Normal 9 3 12" xfId="17316" xr:uid="{4FDFD14C-E33B-418E-BAF1-9E3E3F1B6748}"/>
    <cellStyle name="Normal 9 3 13" xfId="19206" xr:uid="{AB87BA29-467A-4542-AD54-8ECC47E68D27}"/>
    <cellStyle name="Normal 9 3 14" xfId="21096" xr:uid="{D79BB4EB-87E2-4A75-AD19-EC45892CF976}"/>
    <cellStyle name="Normal 9 3 15" xfId="22986" xr:uid="{10D3EBBC-E36E-4FF3-97EB-87989360DFBE}"/>
    <cellStyle name="Normal 9 3 16" xfId="24876" xr:uid="{52CA1016-6597-4ED2-AB69-92E5BA9430C4}"/>
    <cellStyle name="Normal 9 3 17" xfId="26766" xr:uid="{8A263824-3CE0-4A64-A36B-BC1B83F0E37B}"/>
    <cellStyle name="Normal 9 3 18" xfId="28656" xr:uid="{D63F4F8F-6E90-4D4A-8387-28C36D2AC8B8}"/>
    <cellStyle name="Normal 9 3 19" xfId="30546" xr:uid="{046F4C33-EDDA-428C-BCEF-557BC791FCD5}"/>
    <cellStyle name="Normal 9 3 2" xfId="936" xr:uid="{34888387-5450-4DA6-A57E-B6B35E0B159C}"/>
    <cellStyle name="Normal 9 3 2 10" xfId="17946" xr:uid="{EB9357E0-359C-4497-8CB6-0FB3CB88D8F0}"/>
    <cellStyle name="Normal 9 3 2 11" xfId="19836" xr:uid="{96F1B9F7-B0D9-4123-B9E5-70D13CA1E1B7}"/>
    <cellStyle name="Normal 9 3 2 12" xfId="21726" xr:uid="{4E020BFE-7562-4119-B493-60CEC3FD86E6}"/>
    <cellStyle name="Normal 9 3 2 13" xfId="23616" xr:uid="{AC9A3C73-7445-4753-9F2E-82A9AB41A79F}"/>
    <cellStyle name="Normal 9 3 2 14" xfId="25506" xr:uid="{95CD8749-8FB3-46F3-9645-981030546AA1}"/>
    <cellStyle name="Normal 9 3 2 15" xfId="27396" xr:uid="{9D084DEB-4CFA-4366-84A7-EB3740BE172E}"/>
    <cellStyle name="Normal 9 3 2 16" xfId="29286" xr:uid="{6044D26F-7176-4AA1-873E-D94E8F193F38}"/>
    <cellStyle name="Normal 9 3 2 17" xfId="31176" xr:uid="{C0D50576-BA6E-4355-9927-080A805B6622}"/>
    <cellStyle name="Normal 9 3 2 18" xfId="33066" xr:uid="{BE6EA3B7-E30B-4A6C-A14C-6C11BCCAC7CB}"/>
    <cellStyle name="Normal 9 3 2 19" xfId="34956" xr:uid="{7797E4AE-E6F2-4254-ACA4-4A0974E8805A}"/>
    <cellStyle name="Normal 9 3 2 2" xfId="2826" xr:uid="{F7F2160A-887E-4ADF-86C9-E3B0271A707E}"/>
    <cellStyle name="Normal 9 3 2 20" xfId="36846" xr:uid="{8964FA41-68A4-40B2-8BE2-F8FD4CAEC438}"/>
    <cellStyle name="Normal 9 3 2 21" xfId="38736" xr:uid="{77C374A5-AF63-4565-B7EF-1BC286C55B14}"/>
    <cellStyle name="Normal 9 3 2 22" xfId="40627" xr:uid="{29D50F28-37D3-42C5-8527-B7E120675A31}"/>
    <cellStyle name="Normal 9 3 2 3" xfId="4716" xr:uid="{4AE9288E-B897-4571-89B4-CAB027EE1E82}"/>
    <cellStyle name="Normal 9 3 2 4" xfId="6606" xr:uid="{CB849159-3BA5-42B0-B78C-068AC3CD631B}"/>
    <cellStyle name="Normal 9 3 2 5" xfId="8496" xr:uid="{5880BAE6-5C87-4FD9-99CA-1D8242DBFC78}"/>
    <cellStyle name="Normal 9 3 2 6" xfId="10386" xr:uid="{69363055-22D4-4E1D-AA32-EC175F2E8690}"/>
    <cellStyle name="Normal 9 3 2 7" xfId="12276" xr:uid="{3BEF4CC6-6217-4E09-BB00-D9D3CEAC4C3E}"/>
    <cellStyle name="Normal 9 3 2 8" xfId="14166" xr:uid="{BC99DA70-126F-44D3-B0CD-FE8A034CA53A}"/>
    <cellStyle name="Normal 9 3 2 9" xfId="16056" xr:uid="{B5439C54-6640-4E18-91B0-207F96C7EAFD}"/>
    <cellStyle name="Normal 9 3 20" xfId="32436" xr:uid="{322E24F5-DE81-41D8-9CD5-EC88793B93A2}"/>
    <cellStyle name="Normal 9 3 21" xfId="34326" xr:uid="{10091036-4121-46CF-9C03-03273A867D06}"/>
    <cellStyle name="Normal 9 3 22" xfId="36216" xr:uid="{1D316D75-11F2-4366-8F30-6F888C66623A}"/>
    <cellStyle name="Normal 9 3 23" xfId="38106" xr:uid="{14D310FE-0876-4AE6-AAF5-27E6A78B1B79}"/>
    <cellStyle name="Normal 9 3 24" xfId="39997" xr:uid="{02BB063D-D84E-4092-95EF-2C78152945DA}"/>
    <cellStyle name="Normal 9 3 3" xfId="1566" xr:uid="{1203A411-094A-41C4-ADDD-F1169241B34B}"/>
    <cellStyle name="Normal 9 3 3 10" xfId="18576" xr:uid="{B3EA8C01-C323-4A4A-B006-6525A16807CC}"/>
    <cellStyle name="Normal 9 3 3 11" xfId="20466" xr:uid="{EBCBC606-D7CF-4063-9D97-1D050A7E7852}"/>
    <cellStyle name="Normal 9 3 3 12" xfId="22356" xr:uid="{C8281391-EFA2-4958-8939-9D1320ABDE6C}"/>
    <cellStyle name="Normal 9 3 3 13" xfId="24246" xr:uid="{36C1CDB6-1745-4099-8EF1-F00A9A03E849}"/>
    <cellStyle name="Normal 9 3 3 14" xfId="26136" xr:uid="{0F6E07F9-72FA-4EFA-917B-9A17FEBEEE1E}"/>
    <cellStyle name="Normal 9 3 3 15" xfId="28026" xr:uid="{6612DDEF-B6BC-482A-82E7-3D04FE9B978E}"/>
    <cellStyle name="Normal 9 3 3 16" xfId="29916" xr:uid="{78CC3D36-290A-415E-AB0E-13C3FFF207C4}"/>
    <cellStyle name="Normal 9 3 3 17" xfId="31806" xr:uid="{53C77733-E341-4C78-A636-AF83811049F3}"/>
    <cellStyle name="Normal 9 3 3 18" xfId="33696" xr:uid="{3F88F389-B89E-4EC6-BE78-21C6CD6929CE}"/>
    <cellStyle name="Normal 9 3 3 19" xfId="35586" xr:uid="{226555F9-7903-4CC0-86CA-D818234E26DE}"/>
    <cellStyle name="Normal 9 3 3 2" xfId="3456" xr:uid="{931F80C2-8526-4CF7-AE6F-9E3952347DE5}"/>
    <cellStyle name="Normal 9 3 3 20" xfId="37476" xr:uid="{84282D9F-3C70-4472-B60F-9237FA68726F}"/>
    <cellStyle name="Normal 9 3 3 21" xfId="39366" xr:uid="{9A1983B6-A57B-4278-91AC-086ECD2AD0DC}"/>
    <cellStyle name="Normal 9 3 3 22" xfId="41257" xr:uid="{03E9DDEB-A2E7-4636-A88C-DB4CC9D0A392}"/>
    <cellStyle name="Normal 9 3 3 3" xfId="5346" xr:uid="{673D9E63-312F-4F38-9BC9-BE9535A96130}"/>
    <cellStyle name="Normal 9 3 3 4" xfId="7236" xr:uid="{DB109595-1DA9-4935-AA4A-750B1C2F69C8}"/>
    <cellStyle name="Normal 9 3 3 5" xfId="9126" xr:uid="{4D89BE44-B8A9-4514-A6AC-C222DCC38510}"/>
    <cellStyle name="Normal 9 3 3 6" xfId="11016" xr:uid="{6088ADBF-C6F6-4405-BD53-B87837BC8E8B}"/>
    <cellStyle name="Normal 9 3 3 7" xfId="12906" xr:uid="{52A0A92B-A3C5-4F8B-9F00-66070589B00E}"/>
    <cellStyle name="Normal 9 3 3 8" xfId="14796" xr:uid="{A2D2F715-C58E-47E9-A4F9-C117E741E8A3}"/>
    <cellStyle name="Normal 9 3 3 9" xfId="16686" xr:uid="{96C32ECC-E430-4661-A1D3-F9DE8EBAF7DD}"/>
    <cellStyle name="Normal 9 3 4" xfId="2196" xr:uid="{DC256F30-9227-4447-84C7-947021253F2E}"/>
    <cellStyle name="Normal 9 3 5" xfId="4086" xr:uid="{3D407D59-F1C7-4EB9-BE0A-A4C01D9A3922}"/>
    <cellStyle name="Normal 9 3 6" xfId="5976" xr:uid="{5628A393-E882-487D-BC5B-DDFED55CB5A2}"/>
    <cellStyle name="Normal 9 3 7" xfId="7866" xr:uid="{ED237125-A253-4F72-A310-9819D3D08ADF}"/>
    <cellStyle name="Normal 9 3 8" xfId="9756" xr:uid="{9EF77407-3481-45AA-8631-F5C44368E107}"/>
    <cellStyle name="Normal 9 3 9" xfId="11646" xr:uid="{9A6562D9-3697-46D6-82BF-002E650EB31E}"/>
    <cellStyle name="Normal 9 4" xfId="516" xr:uid="{2299CA58-1F8C-4261-AA88-BCF4E8686DD0}"/>
    <cellStyle name="Normal 9 4 10" xfId="13746" xr:uid="{BD6768E6-EBCC-4CF1-8BE3-C894D1381BC4}"/>
    <cellStyle name="Normal 9 4 11" xfId="15636" xr:uid="{EB194598-B38B-407B-8282-6541EA30C525}"/>
    <cellStyle name="Normal 9 4 12" xfId="17526" xr:uid="{233FF64A-8B9E-4C65-A3D0-D09E74745A32}"/>
    <cellStyle name="Normal 9 4 13" xfId="19416" xr:uid="{A7802925-9088-491F-A92B-6C862CC28514}"/>
    <cellStyle name="Normal 9 4 14" xfId="21306" xr:uid="{EF22FD5B-E132-4E7F-AB91-BE528A2BA26A}"/>
    <cellStyle name="Normal 9 4 15" xfId="23196" xr:uid="{8C289D69-9B90-45F9-97E3-B2BE63E7EBE8}"/>
    <cellStyle name="Normal 9 4 16" xfId="25086" xr:uid="{2CC697D4-29ED-4A20-8F29-DE17EE6A94D4}"/>
    <cellStyle name="Normal 9 4 17" xfId="26976" xr:uid="{D72189BE-5DBA-41FC-BED6-9CA98903C14A}"/>
    <cellStyle name="Normal 9 4 18" xfId="28866" xr:uid="{A5D76329-F0BA-40E1-9E50-5C6C49087934}"/>
    <cellStyle name="Normal 9 4 19" xfId="30756" xr:uid="{F13276C8-C1F7-44F4-9A26-F58CCCFD3BB2}"/>
    <cellStyle name="Normal 9 4 2" xfId="1146" xr:uid="{88DFBE79-79A8-4AA0-AD60-2FA17B3DB8BD}"/>
    <cellStyle name="Normal 9 4 2 10" xfId="18156" xr:uid="{6AE14A17-D382-4514-9F27-A504E38F8B5C}"/>
    <cellStyle name="Normal 9 4 2 11" xfId="20046" xr:uid="{11731770-36B1-4041-94F4-AEC17A024FA1}"/>
    <cellStyle name="Normal 9 4 2 12" xfId="21936" xr:uid="{477B631F-898C-4EE9-B498-2611CA2B6308}"/>
    <cellStyle name="Normal 9 4 2 13" xfId="23826" xr:uid="{AD7CA53C-1E5B-453D-86D2-4A03B3981EC5}"/>
    <cellStyle name="Normal 9 4 2 14" xfId="25716" xr:uid="{9529F39F-F612-47C6-B5A6-BF85F8E5AC6F}"/>
    <cellStyle name="Normal 9 4 2 15" xfId="27606" xr:uid="{2FFB88F5-9E6C-4020-AE2E-8DF84A03F397}"/>
    <cellStyle name="Normal 9 4 2 16" xfId="29496" xr:uid="{B2E51ABB-A45B-4C00-ACA1-A601AF0FDE6F}"/>
    <cellStyle name="Normal 9 4 2 17" xfId="31386" xr:uid="{B9EDA49E-B68E-4524-9C68-390CA9F06721}"/>
    <cellStyle name="Normal 9 4 2 18" xfId="33276" xr:uid="{0B2CF103-F961-4007-9DF3-87E5CEB228CF}"/>
    <cellStyle name="Normal 9 4 2 19" xfId="35166" xr:uid="{49044B34-28A1-4C5D-BB46-DB3725A21439}"/>
    <cellStyle name="Normal 9 4 2 2" xfId="3036" xr:uid="{5031343A-033C-499D-B9B9-0AE08AE07A77}"/>
    <cellStyle name="Normal 9 4 2 20" xfId="37056" xr:uid="{7D5D01E5-889B-4E0D-A9D4-68E8306980D1}"/>
    <cellStyle name="Normal 9 4 2 21" xfId="38946" xr:uid="{887A2D44-6043-484D-A547-ADDEDC965916}"/>
    <cellStyle name="Normal 9 4 2 22" xfId="40837" xr:uid="{F5790BB0-59B1-40BF-A1A1-A45EACF696FC}"/>
    <cellStyle name="Normal 9 4 2 3" xfId="4926" xr:uid="{D932B61B-B3A9-4A29-BD45-12117581ECA9}"/>
    <cellStyle name="Normal 9 4 2 4" xfId="6816" xr:uid="{2F54EA81-D785-4FA3-BF63-3204FE9965D9}"/>
    <cellStyle name="Normal 9 4 2 5" xfId="8706" xr:uid="{57F85F15-D765-4FC1-86BB-AB37A259A50B}"/>
    <cellStyle name="Normal 9 4 2 6" xfId="10596" xr:uid="{5785C936-15EC-4033-B523-127210AC7684}"/>
    <cellStyle name="Normal 9 4 2 7" xfId="12486" xr:uid="{8E111E9F-0B69-4F8C-A05A-48C9A48A44B2}"/>
    <cellStyle name="Normal 9 4 2 8" xfId="14376" xr:uid="{04003B11-BC82-4B2F-AF71-4898FA5C8E38}"/>
    <cellStyle name="Normal 9 4 2 9" xfId="16266" xr:uid="{21DED9BD-59C9-4BAF-AA2E-9AFAEA844F96}"/>
    <cellStyle name="Normal 9 4 20" xfId="32646" xr:uid="{B6C9DC5C-0EC7-4DE6-A4B4-AC6A6155B03C}"/>
    <cellStyle name="Normal 9 4 21" xfId="34536" xr:uid="{DD75C4D0-BA0B-48C3-AD54-70D0A8074737}"/>
    <cellStyle name="Normal 9 4 22" xfId="36426" xr:uid="{ADDCFE48-8FF2-40AD-B2F4-C50A1E5A7803}"/>
    <cellStyle name="Normal 9 4 23" xfId="38316" xr:uid="{94C8868F-7AFA-42C0-93FC-8C3B06C6DB2A}"/>
    <cellStyle name="Normal 9 4 24" xfId="40207" xr:uid="{765C920D-8D9F-4C4A-A6B3-0727E500D7C7}"/>
    <cellStyle name="Normal 9 4 3" xfId="1776" xr:uid="{8230EFC4-F35B-4891-A7F8-A9951734F95D}"/>
    <cellStyle name="Normal 9 4 3 10" xfId="18786" xr:uid="{9E014009-51E4-4276-82F6-C9FEF6D5CE00}"/>
    <cellStyle name="Normal 9 4 3 11" xfId="20676" xr:uid="{16CB7853-7B08-4F87-8140-E73C5559D82C}"/>
    <cellStyle name="Normal 9 4 3 12" xfId="22566" xr:uid="{7752ADDA-CE31-4032-972F-C45915080749}"/>
    <cellStyle name="Normal 9 4 3 13" xfId="24456" xr:uid="{F1F746F6-56FA-47EB-91FF-81B29A66F3CC}"/>
    <cellStyle name="Normal 9 4 3 14" xfId="26346" xr:uid="{6E1303F2-4272-459F-B695-402B208903C1}"/>
    <cellStyle name="Normal 9 4 3 15" xfId="28236" xr:uid="{A3CA6BD9-5F34-4AD3-B562-EF50C2207A44}"/>
    <cellStyle name="Normal 9 4 3 16" xfId="30126" xr:uid="{8B7EABE3-91BB-44E0-B63B-63615FE166DE}"/>
    <cellStyle name="Normal 9 4 3 17" xfId="32016" xr:uid="{99CB4458-7CDF-4C58-B163-CDA163513076}"/>
    <cellStyle name="Normal 9 4 3 18" xfId="33906" xr:uid="{CAF44E06-A900-4126-8C58-D20F307AF6EA}"/>
    <cellStyle name="Normal 9 4 3 19" xfId="35796" xr:uid="{C5908463-E475-42AF-BAC4-B4D869B2C0BE}"/>
    <cellStyle name="Normal 9 4 3 2" xfId="3666" xr:uid="{06427BE7-F157-4058-B4CD-ED1D42EF4CB3}"/>
    <cellStyle name="Normal 9 4 3 20" xfId="37686" xr:uid="{73D0B88D-5865-4170-9FD6-5FDE333BC487}"/>
    <cellStyle name="Normal 9 4 3 21" xfId="39576" xr:uid="{E75CBA3C-48F1-4D5F-8069-71C6C4F3C213}"/>
    <cellStyle name="Normal 9 4 3 22" xfId="41467" xr:uid="{A4869CF7-8DCF-41E9-A744-B4D761C5CF2A}"/>
    <cellStyle name="Normal 9 4 3 3" xfId="5556" xr:uid="{A9306A30-4F19-4FCE-AD71-66F06900208C}"/>
    <cellStyle name="Normal 9 4 3 4" xfId="7446" xr:uid="{17728C1B-FA1B-4B72-B5C8-FC2DE2EFD94D}"/>
    <cellStyle name="Normal 9 4 3 5" xfId="9336" xr:uid="{E6D771C0-A548-4DB5-9FA7-AE94284DB36E}"/>
    <cellStyle name="Normal 9 4 3 6" xfId="11226" xr:uid="{E64FA15D-B8AA-4AC5-B231-169A4ADAD195}"/>
    <cellStyle name="Normal 9 4 3 7" xfId="13116" xr:uid="{567B6144-69C5-4952-959D-EECECE8FA5A7}"/>
    <cellStyle name="Normal 9 4 3 8" xfId="15006" xr:uid="{00D76A1C-F1C5-423E-AE41-48EC0360616D}"/>
    <cellStyle name="Normal 9 4 3 9" xfId="16896" xr:uid="{D3B95CE1-9D7B-4191-BB72-1C52B954ED52}"/>
    <cellStyle name="Normal 9 4 4" xfId="2406" xr:uid="{61991488-4100-4961-96A3-ED993CB96CAA}"/>
    <cellStyle name="Normal 9 4 5" xfId="4296" xr:uid="{3E131217-8969-4BF2-A445-0C983495D01F}"/>
    <cellStyle name="Normal 9 4 6" xfId="6186" xr:uid="{5676D3F7-16B8-44FF-99DE-64BA33BC9093}"/>
    <cellStyle name="Normal 9 4 7" xfId="8076" xr:uid="{0B1C9B29-4244-498A-BE21-AA4E539E2961}"/>
    <cellStyle name="Normal 9 4 8" xfId="9966" xr:uid="{CB184861-B9D4-426D-A8FB-B6B35B60810A}"/>
    <cellStyle name="Normal 9 4 9" xfId="11856" xr:uid="{CE5E1AA3-604A-4FBF-9098-F1B8CB457229}"/>
    <cellStyle name="Normal 9 5" xfId="726" xr:uid="{E24E2D62-6BFB-4E22-82A4-A3905B1E0571}"/>
    <cellStyle name="Normal 9 5 10" xfId="17736" xr:uid="{BD41F07F-151B-42E4-A782-BB8705524481}"/>
    <cellStyle name="Normal 9 5 11" xfId="19626" xr:uid="{DE95585A-8BB5-4083-92DC-354A7FD1C9C8}"/>
    <cellStyle name="Normal 9 5 12" xfId="21516" xr:uid="{3ED1D8B3-A228-4111-AF79-D9223663EF45}"/>
    <cellStyle name="Normal 9 5 13" xfId="23406" xr:uid="{4D50401E-2B84-43DF-91B6-3BABA941A364}"/>
    <cellStyle name="Normal 9 5 14" xfId="25296" xr:uid="{957985A4-7365-403E-9F83-20E232776A79}"/>
    <cellStyle name="Normal 9 5 15" xfId="27186" xr:uid="{73E92DF6-3877-4D90-9C09-7C65A783D557}"/>
    <cellStyle name="Normal 9 5 16" xfId="29076" xr:uid="{26322176-2545-49F1-BB1A-A57EF12CC10C}"/>
    <cellStyle name="Normal 9 5 17" xfId="30966" xr:uid="{BFFBE7AE-1C59-4FEB-9315-A5FFC5165DC4}"/>
    <cellStyle name="Normal 9 5 18" xfId="32856" xr:uid="{5795F902-A9B1-46AE-8BCF-3C4697B3D259}"/>
    <cellStyle name="Normal 9 5 19" xfId="34746" xr:uid="{691B1513-F5FE-4F67-82A1-07602EBCAB4A}"/>
    <cellStyle name="Normal 9 5 2" xfId="2616" xr:uid="{21E55DB3-2BE7-4687-B541-913CDB3A3AAB}"/>
    <cellStyle name="Normal 9 5 20" xfId="36636" xr:uid="{D491BD63-AC71-4365-A745-1B05073975F6}"/>
    <cellStyle name="Normal 9 5 21" xfId="38526" xr:uid="{A13600D3-8BE4-4FC1-831C-4D9E10299DB6}"/>
    <cellStyle name="Normal 9 5 22" xfId="40417" xr:uid="{72E7396A-4120-4063-8985-77C388F36360}"/>
    <cellStyle name="Normal 9 5 3" xfId="4506" xr:uid="{D6C9C1D2-F3B7-4439-A55D-C19B25061F18}"/>
    <cellStyle name="Normal 9 5 4" xfId="6396" xr:uid="{F10E6FAF-85CB-4D32-AC1E-A76779DF328A}"/>
    <cellStyle name="Normal 9 5 5" xfId="8286" xr:uid="{BB4A5E29-9F78-4BD9-8B50-BC31A89F2B4B}"/>
    <cellStyle name="Normal 9 5 6" xfId="10176" xr:uid="{5CFDB8FE-3C9C-46AE-81C8-5D1729ADB91A}"/>
    <cellStyle name="Normal 9 5 7" xfId="12066" xr:uid="{4EB56596-0239-44BB-B425-070E0BA9A5A2}"/>
    <cellStyle name="Normal 9 5 8" xfId="13956" xr:uid="{F5E3C851-9A39-446A-BF2B-C1D10C992A7A}"/>
    <cellStyle name="Normal 9 5 9" xfId="15846" xr:uid="{D840EB47-7562-4F20-9517-264A644BF50C}"/>
    <cellStyle name="Normal 9 6" xfId="1356" xr:uid="{0F7BB5BC-F529-43F9-A9A9-E9B7B5C8FBE0}"/>
    <cellStyle name="Normal 9 6 10" xfId="18366" xr:uid="{92830FF4-04C9-4398-98DF-1281C92BEE93}"/>
    <cellStyle name="Normal 9 6 11" xfId="20256" xr:uid="{99DFD67F-EF2B-4D2D-B408-129ED0A3B764}"/>
    <cellStyle name="Normal 9 6 12" xfId="22146" xr:uid="{B9C9D0EC-0E1A-4939-B27C-4F4D237FC918}"/>
    <cellStyle name="Normal 9 6 13" xfId="24036" xr:uid="{56EAB59C-1D09-4148-8A0F-74507020A74A}"/>
    <cellStyle name="Normal 9 6 14" xfId="25926" xr:uid="{7CAED062-32C0-46C8-86B5-CC624FFE5D92}"/>
    <cellStyle name="Normal 9 6 15" xfId="27816" xr:uid="{7C7F2863-7B3D-4EDE-99F9-A865318622B2}"/>
    <cellStyle name="Normal 9 6 16" xfId="29706" xr:uid="{23C54C23-D56A-4FD3-B541-7E623EB9F4F7}"/>
    <cellStyle name="Normal 9 6 17" xfId="31596" xr:uid="{9EC5C839-3E57-4217-8E07-84F0296D4102}"/>
    <cellStyle name="Normal 9 6 18" xfId="33486" xr:uid="{507233F0-8F8C-4099-97D6-2B3BEBC7B8DA}"/>
    <cellStyle name="Normal 9 6 19" xfId="35376" xr:uid="{37453261-B7C2-4F88-9EAF-15DB11792CB9}"/>
    <cellStyle name="Normal 9 6 2" xfId="3246" xr:uid="{21C73584-F7A2-4875-886B-7B1E45238969}"/>
    <cellStyle name="Normal 9 6 20" xfId="37266" xr:uid="{D72B794F-F39A-4230-94B6-2631586E10AF}"/>
    <cellStyle name="Normal 9 6 21" xfId="39156" xr:uid="{EECD9E41-0AA6-4660-92C0-69104EAA3F9A}"/>
    <cellStyle name="Normal 9 6 22" xfId="41047" xr:uid="{5A1C70D3-E3B8-4E42-A295-1A8A347EA9EF}"/>
    <cellStyle name="Normal 9 6 3" xfId="5136" xr:uid="{58DAF4C8-7637-4A24-927E-D2EB334DFB82}"/>
    <cellStyle name="Normal 9 6 4" xfId="7026" xr:uid="{573C5436-7373-4D9E-851D-EF26587ACA86}"/>
    <cellStyle name="Normal 9 6 5" xfId="8916" xr:uid="{22346D13-F0B7-481F-880B-6393DE09C575}"/>
    <cellStyle name="Normal 9 6 6" xfId="10806" xr:uid="{365D04EC-A7E0-4AD0-B406-1CA6E288D44E}"/>
    <cellStyle name="Normal 9 6 7" xfId="12696" xr:uid="{36FC1DBD-84D0-4051-AEE9-AFBDA4C8BD78}"/>
    <cellStyle name="Normal 9 6 8" xfId="14586" xr:uid="{BC6221E2-B13F-432B-B0A7-32A1A5790EF3}"/>
    <cellStyle name="Normal 9 6 9" xfId="16476" xr:uid="{8BE0F138-4D79-4FED-8937-E26A55BB34EF}"/>
    <cellStyle name="Normal 9 7" xfId="1986" xr:uid="{B75DA9CC-4BF1-441C-9296-48382087235E}"/>
    <cellStyle name="Normal 9 8" xfId="3876" xr:uid="{9ADEEDEB-146C-4F2F-8C59-93B40A3FF96A}"/>
    <cellStyle name="Normal 9 9" xfId="5766" xr:uid="{A5301060-8359-42A6-8876-77D297CD1F76}"/>
    <cellStyle name="Note 2" xfId="95" xr:uid="{1C15C4E7-36BB-4ACE-B9C5-0290565F13D3}"/>
    <cellStyle name="Note 2 10" xfId="7655" xr:uid="{180FA2D1-6E0C-40EC-A029-CAB639DF90AC}"/>
    <cellStyle name="Note 2 11" xfId="9545" xr:uid="{205E8F72-4D56-4C09-8A75-3258F52A035E}"/>
    <cellStyle name="Note 2 12" xfId="11435" xr:uid="{889AE7F9-7B90-4F91-9460-BB629B74B18E}"/>
    <cellStyle name="Note 2 13" xfId="13325" xr:uid="{BE97806D-D046-4873-9507-6B3E3C99648E}"/>
    <cellStyle name="Note 2 14" xfId="15215" xr:uid="{6F194747-D0DA-46FE-8C4F-1A0B8BAA3054}"/>
    <cellStyle name="Note 2 15" xfId="17105" xr:uid="{66FAE8FC-AAAE-4CD4-B16C-3930FD59E3EE}"/>
    <cellStyle name="Note 2 16" xfId="18995" xr:uid="{912DF7FB-7CA4-4E39-9899-E337504259EA}"/>
    <cellStyle name="Note 2 17" xfId="20885" xr:uid="{CBBAB398-328F-42C4-BA4A-9098F96DB42D}"/>
    <cellStyle name="Note 2 18" xfId="22775" xr:uid="{82E3BDBC-3812-4E43-B0D8-D30CC91E908C}"/>
    <cellStyle name="Note 2 19" xfId="24665" xr:uid="{419828DD-DCB9-48E7-80F7-92B54E9F87BC}"/>
    <cellStyle name="Note 2 2" xfId="200" xr:uid="{8DC0FC31-BFF7-423A-A98D-7F276445A75E}"/>
    <cellStyle name="Note 2 2 10" xfId="9650" xr:uid="{C15C480C-5349-4887-ACFD-F8D1503FC37D}"/>
    <cellStyle name="Note 2 2 11" xfId="11540" xr:uid="{82AC01BE-CCAA-40FD-934D-F86967CC5426}"/>
    <cellStyle name="Note 2 2 12" xfId="13430" xr:uid="{6DFAB0C7-FE5E-4576-A53A-05C87D4CB3EE}"/>
    <cellStyle name="Note 2 2 13" xfId="15320" xr:uid="{7943BA67-FC68-4EE7-8543-51AE4D3A5BB2}"/>
    <cellStyle name="Note 2 2 14" xfId="17210" xr:uid="{4C38B52F-CE59-4572-B4CC-5DDFE8989EF1}"/>
    <cellStyle name="Note 2 2 15" xfId="19100" xr:uid="{3A3BA0B2-E816-4698-811E-A860922EAC21}"/>
    <cellStyle name="Note 2 2 16" xfId="20990" xr:uid="{636A7653-5963-4CC6-99FB-42F651438A2D}"/>
    <cellStyle name="Note 2 2 17" xfId="22880" xr:uid="{31F3B74E-35E6-4B05-9FEA-F5CDFAA81773}"/>
    <cellStyle name="Note 2 2 18" xfId="24770" xr:uid="{C43F4BB3-4BD5-4A12-AE6A-1F2CFE3DA63D}"/>
    <cellStyle name="Note 2 2 19" xfId="26660" xr:uid="{893D99E1-D263-4EE6-AD4E-34EBE73CD41B}"/>
    <cellStyle name="Note 2 2 2" xfId="410" xr:uid="{891B47D0-D8D1-44A2-BB35-DEE81891E109}"/>
    <cellStyle name="Note 2 2 2 10" xfId="13640" xr:uid="{45127C03-B5DA-446E-8296-651D8E39A819}"/>
    <cellStyle name="Note 2 2 2 11" xfId="15530" xr:uid="{718E8C90-0F27-4615-869F-5DBFF82526B3}"/>
    <cellStyle name="Note 2 2 2 12" xfId="17420" xr:uid="{E6921F57-486F-47A0-9977-3F4AFEF046CF}"/>
    <cellStyle name="Note 2 2 2 13" xfId="19310" xr:uid="{AE18D9C3-ECEB-4920-A79A-09B4435CA44F}"/>
    <cellStyle name="Note 2 2 2 14" xfId="21200" xr:uid="{660A9181-17F3-44A4-A9C3-A90C043E3619}"/>
    <cellStyle name="Note 2 2 2 15" xfId="23090" xr:uid="{EE470F97-0465-4993-850F-C6FA6145D41E}"/>
    <cellStyle name="Note 2 2 2 16" xfId="24980" xr:uid="{80C6D8FB-E65E-4F1B-AD34-3DCDA8443850}"/>
    <cellStyle name="Note 2 2 2 17" xfId="26870" xr:uid="{3AB96D8B-80D7-4127-948B-CC1BDAC22EAF}"/>
    <cellStyle name="Note 2 2 2 18" xfId="28760" xr:uid="{EB9CA896-0075-4930-A683-91244095B545}"/>
    <cellStyle name="Note 2 2 2 19" xfId="30650" xr:uid="{DD8A7B6F-C74E-4E08-BD60-AABFA6773143}"/>
    <cellStyle name="Note 2 2 2 2" xfId="1040" xr:uid="{7176DAD4-111B-44A1-8265-12FBCD752544}"/>
    <cellStyle name="Note 2 2 2 2 10" xfId="18050" xr:uid="{77F4BB24-26A9-4C06-AB4F-F6397E1C7263}"/>
    <cellStyle name="Note 2 2 2 2 11" xfId="19940" xr:uid="{522DF008-0991-4780-BE5E-9DB49A7C7D8B}"/>
    <cellStyle name="Note 2 2 2 2 12" xfId="21830" xr:uid="{A7C92AC0-3602-45C5-93D9-2F2A2FF96568}"/>
    <cellStyle name="Note 2 2 2 2 13" xfId="23720" xr:uid="{6FFC5D92-C4A8-471D-B027-7DB5E62646F4}"/>
    <cellStyle name="Note 2 2 2 2 14" xfId="25610" xr:uid="{5B42A69C-9832-4975-A5DD-72D1F7E7ABC0}"/>
    <cellStyle name="Note 2 2 2 2 15" xfId="27500" xr:uid="{58A7169F-2C3F-420A-BC9E-28F39409D60A}"/>
    <cellStyle name="Note 2 2 2 2 16" xfId="29390" xr:uid="{F820E43D-6ACE-42AA-9888-8434257CD1F5}"/>
    <cellStyle name="Note 2 2 2 2 17" xfId="31280" xr:uid="{25C47A65-2B08-4E65-8FC9-56B81FAC58AB}"/>
    <cellStyle name="Note 2 2 2 2 18" xfId="33170" xr:uid="{F551552B-DF21-4DF0-B7D6-F520EB952D3F}"/>
    <cellStyle name="Note 2 2 2 2 19" xfId="35060" xr:uid="{D2812033-5799-45B0-BA40-9F06699C68AD}"/>
    <cellStyle name="Note 2 2 2 2 2" xfId="2930" xr:uid="{082F7DFF-C647-4B0A-BFAD-26855B8B3AA9}"/>
    <cellStyle name="Note 2 2 2 2 20" xfId="36950" xr:uid="{9BAE0094-81E2-4FCC-AB85-B037F8FCD429}"/>
    <cellStyle name="Note 2 2 2 2 21" xfId="38840" xr:uid="{7D77E7CB-20E4-4EDE-A90E-3581867C5B6C}"/>
    <cellStyle name="Note 2 2 2 2 22" xfId="40731" xr:uid="{2EF69A39-B026-4E92-A936-64FF838C3F96}"/>
    <cellStyle name="Note 2 2 2 2 3" xfId="4820" xr:uid="{BB7040D5-F2B5-4690-9850-407F9E524527}"/>
    <cellStyle name="Note 2 2 2 2 4" xfId="6710" xr:uid="{DA06F4B5-6727-4E4F-847C-FF8DF1F7192D}"/>
    <cellStyle name="Note 2 2 2 2 5" xfId="8600" xr:uid="{F9288844-E863-49C2-9C78-6F565DB51CAA}"/>
    <cellStyle name="Note 2 2 2 2 6" xfId="10490" xr:uid="{63BA346C-3A2C-4E9A-A2FA-B31B461B2372}"/>
    <cellStyle name="Note 2 2 2 2 7" xfId="12380" xr:uid="{394C7FE8-92B8-49AA-B3BC-9704FDC8A08D}"/>
    <cellStyle name="Note 2 2 2 2 8" xfId="14270" xr:uid="{AA2AD2C3-FA0A-4386-9287-0AA7899230D1}"/>
    <cellStyle name="Note 2 2 2 2 9" xfId="16160" xr:uid="{A201482A-6AAE-4828-AB88-BE2F2F8F8042}"/>
    <cellStyle name="Note 2 2 2 20" xfId="32540" xr:uid="{4554FC7D-BAED-4DE6-B0E9-D523E36B20B9}"/>
    <cellStyle name="Note 2 2 2 21" xfId="34430" xr:uid="{D52B874B-354B-43B3-8EE8-4475FCF418AF}"/>
    <cellStyle name="Note 2 2 2 22" xfId="36320" xr:uid="{0F253462-1DD2-42EE-899A-BC358B307ADF}"/>
    <cellStyle name="Note 2 2 2 23" xfId="38210" xr:uid="{05E95CF6-0EEE-49B6-876E-06F07DE4C4AC}"/>
    <cellStyle name="Note 2 2 2 24" xfId="40101" xr:uid="{59C9BC39-B5B5-4D59-B723-77D5E15A3160}"/>
    <cellStyle name="Note 2 2 2 3" xfId="1670" xr:uid="{B80C78C1-3692-4B21-9E17-1D38ED525F9B}"/>
    <cellStyle name="Note 2 2 2 3 10" xfId="18680" xr:uid="{4156D2ED-C41B-4510-8DA6-8D553B627393}"/>
    <cellStyle name="Note 2 2 2 3 11" xfId="20570" xr:uid="{8C6761F3-8CAD-4F8E-B01F-ED5B383B174B}"/>
    <cellStyle name="Note 2 2 2 3 12" xfId="22460" xr:uid="{4B9FDD59-416A-447D-8048-F9E3005BE7C5}"/>
    <cellStyle name="Note 2 2 2 3 13" xfId="24350" xr:uid="{46EFE45F-FAAB-40E6-BD3F-95D31A287986}"/>
    <cellStyle name="Note 2 2 2 3 14" xfId="26240" xr:uid="{8E3EE424-EB49-4AC6-999C-5F9709DD0361}"/>
    <cellStyle name="Note 2 2 2 3 15" xfId="28130" xr:uid="{5C600D10-2806-45A0-A4BC-35361109E962}"/>
    <cellStyle name="Note 2 2 2 3 16" xfId="30020" xr:uid="{7BC1B28E-B38D-4678-BD93-A1404D8E9352}"/>
    <cellStyle name="Note 2 2 2 3 17" xfId="31910" xr:uid="{F3A9EB87-BDF5-48FD-9E5D-9308695B5977}"/>
    <cellStyle name="Note 2 2 2 3 18" xfId="33800" xr:uid="{21C98640-F5BF-4273-BAB0-9240AA6EFA8B}"/>
    <cellStyle name="Note 2 2 2 3 19" xfId="35690" xr:uid="{81351E4E-5795-4E2F-AB9C-2AD542612F78}"/>
    <cellStyle name="Note 2 2 2 3 2" xfId="3560" xr:uid="{E43FCBF0-0606-4593-A883-616E73B435D0}"/>
    <cellStyle name="Note 2 2 2 3 20" xfId="37580" xr:uid="{66AD904E-136C-414D-934E-E19189D4D42C}"/>
    <cellStyle name="Note 2 2 2 3 21" xfId="39470" xr:uid="{8D1C3AFD-BB3F-4E9B-9329-6659E92E2C9A}"/>
    <cellStyle name="Note 2 2 2 3 22" xfId="41361" xr:uid="{8A142435-8BF6-46A8-8638-5D1C78D6B73A}"/>
    <cellStyle name="Note 2 2 2 3 3" xfId="5450" xr:uid="{191EACF8-335D-4F80-846A-3BE6070DACD0}"/>
    <cellStyle name="Note 2 2 2 3 4" xfId="7340" xr:uid="{212D705E-F312-487C-903A-5BA0F184EB1D}"/>
    <cellStyle name="Note 2 2 2 3 5" xfId="9230" xr:uid="{728442C6-9199-4417-9250-A1E1C626BBBA}"/>
    <cellStyle name="Note 2 2 2 3 6" xfId="11120" xr:uid="{11079BF1-006F-4A13-A1AE-92E98D6FA719}"/>
    <cellStyle name="Note 2 2 2 3 7" xfId="13010" xr:uid="{D41A64BF-E957-4B21-A2F3-866C529F74D8}"/>
    <cellStyle name="Note 2 2 2 3 8" xfId="14900" xr:uid="{08CE1773-CB02-420B-ACAC-2853FA436275}"/>
    <cellStyle name="Note 2 2 2 3 9" xfId="16790" xr:uid="{92133012-92BD-4B4B-9F44-A729AF4D71D4}"/>
    <cellStyle name="Note 2 2 2 4" xfId="2300" xr:uid="{E2C4B640-1165-4F6E-8ABB-C13EC4847A70}"/>
    <cellStyle name="Note 2 2 2 5" xfId="4190" xr:uid="{698AC27E-8469-4A3E-9CCC-ED16B047D827}"/>
    <cellStyle name="Note 2 2 2 6" xfId="6080" xr:uid="{47813179-D028-495B-BEF6-4D25B2913DE2}"/>
    <cellStyle name="Note 2 2 2 7" xfId="7970" xr:uid="{0978379A-E12E-4B7C-96A0-3D9A79328D92}"/>
    <cellStyle name="Note 2 2 2 8" xfId="9860" xr:uid="{320AA880-95BF-4D25-A0AF-46722E76E3C0}"/>
    <cellStyle name="Note 2 2 2 9" xfId="11750" xr:uid="{47ECD084-ACEF-4056-A81A-8B82DCA5B605}"/>
    <cellStyle name="Note 2 2 20" xfId="28550" xr:uid="{6CA7CFEF-A693-4D57-82CA-CF38F36ACA7C}"/>
    <cellStyle name="Note 2 2 21" xfId="30440" xr:uid="{BCE47826-C75D-4F82-BA7E-EE0B724DEF28}"/>
    <cellStyle name="Note 2 2 22" xfId="32330" xr:uid="{21792432-99A7-424C-A7E0-3E1D62DE4CA6}"/>
    <cellStyle name="Note 2 2 23" xfId="34220" xr:uid="{B414645F-4468-4F06-B4B8-C9AAE41FF4D7}"/>
    <cellStyle name="Note 2 2 24" xfId="36110" xr:uid="{2653E190-58D1-4235-A305-B3AC55385DCA}"/>
    <cellStyle name="Note 2 2 25" xfId="38000" xr:uid="{B2331B04-6B49-44DF-AEB2-01E0CF8F0A61}"/>
    <cellStyle name="Note 2 2 26" xfId="39891" xr:uid="{C7FCE69D-984C-4E32-8A05-9C05EF537D63}"/>
    <cellStyle name="Note 2 2 3" xfId="620" xr:uid="{8EA1D998-3064-40DE-A493-0AB96FAE5A88}"/>
    <cellStyle name="Note 2 2 3 10" xfId="13850" xr:uid="{754906E8-83D4-4874-ADCB-F9767712B908}"/>
    <cellStyle name="Note 2 2 3 11" xfId="15740" xr:uid="{D7B682C7-ADAB-451F-8A14-FFB7164C78AF}"/>
    <cellStyle name="Note 2 2 3 12" xfId="17630" xr:uid="{3DB6DAB2-13E4-41FB-8E1B-878D0C9811E2}"/>
    <cellStyle name="Note 2 2 3 13" xfId="19520" xr:uid="{B8735457-7169-476F-9146-C5D5D0B72C2F}"/>
    <cellStyle name="Note 2 2 3 14" xfId="21410" xr:uid="{9E558811-1D50-4952-B930-B874DFB86EFB}"/>
    <cellStyle name="Note 2 2 3 15" xfId="23300" xr:uid="{25B47C3D-1EC8-42EC-9EC0-9CFA93EF40B7}"/>
    <cellStyle name="Note 2 2 3 16" xfId="25190" xr:uid="{0082AB34-2C08-424E-A56C-A885F3840043}"/>
    <cellStyle name="Note 2 2 3 17" xfId="27080" xr:uid="{8F44FAF7-86EC-459B-94E2-A45A76C07EFD}"/>
    <cellStyle name="Note 2 2 3 18" xfId="28970" xr:uid="{5CB41723-8B9F-46C0-B921-05BA6837F15A}"/>
    <cellStyle name="Note 2 2 3 19" xfId="30860" xr:uid="{D5A4A92C-E2B2-4755-93EA-7814A09219EF}"/>
    <cellStyle name="Note 2 2 3 2" xfId="1250" xr:uid="{5654FC14-B38F-40C0-AF5B-279203736F18}"/>
    <cellStyle name="Note 2 2 3 2 10" xfId="18260" xr:uid="{07D7CF3D-FA81-454B-80AF-AC0A6B171D72}"/>
    <cellStyle name="Note 2 2 3 2 11" xfId="20150" xr:uid="{1773142F-5852-4A39-8B44-6BBC7F06BFB5}"/>
    <cellStyle name="Note 2 2 3 2 12" xfId="22040" xr:uid="{DD4491AF-E89D-4D34-AE51-23582ACFF2EF}"/>
    <cellStyle name="Note 2 2 3 2 13" xfId="23930" xr:uid="{01D7238F-33C6-44E8-9095-8E09731A133F}"/>
    <cellStyle name="Note 2 2 3 2 14" xfId="25820" xr:uid="{2159B5E6-5B85-4AD2-82AC-FEC9E7F864EF}"/>
    <cellStyle name="Note 2 2 3 2 15" xfId="27710" xr:uid="{BA7A558E-F18B-40E8-B685-34D8376C25C5}"/>
    <cellStyle name="Note 2 2 3 2 16" xfId="29600" xr:uid="{DA9E7F1C-1DC6-440A-A7DD-2C38E4448883}"/>
    <cellStyle name="Note 2 2 3 2 17" xfId="31490" xr:uid="{9C2F9A53-D440-4E0A-B02D-0CCBB79BFC51}"/>
    <cellStyle name="Note 2 2 3 2 18" xfId="33380" xr:uid="{D117F521-DEE9-4B20-B090-5343622BC9F6}"/>
    <cellStyle name="Note 2 2 3 2 19" xfId="35270" xr:uid="{E637A7BB-922F-4155-869F-FF90C19F290F}"/>
    <cellStyle name="Note 2 2 3 2 2" xfId="3140" xr:uid="{AB69C96F-D52A-407E-99AE-23F3AD8DDB3A}"/>
    <cellStyle name="Note 2 2 3 2 20" xfId="37160" xr:uid="{2CE60EF2-3F2C-4C33-9791-E98E234AB742}"/>
    <cellStyle name="Note 2 2 3 2 21" xfId="39050" xr:uid="{41B9684A-09A8-4449-81CA-2FD6856FFAE7}"/>
    <cellStyle name="Note 2 2 3 2 22" xfId="40941" xr:uid="{6C8DB97C-1213-4655-B3F7-DDE858E3DF69}"/>
    <cellStyle name="Note 2 2 3 2 3" xfId="5030" xr:uid="{262B5509-E767-411E-808C-47152DE4DDDA}"/>
    <cellStyle name="Note 2 2 3 2 4" xfId="6920" xr:uid="{5EE9CDE2-82C7-41F5-A1E7-B1FEEF14B3C1}"/>
    <cellStyle name="Note 2 2 3 2 5" xfId="8810" xr:uid="{443BF035-7690-428B-A18A-52FB727FCBB4}"/>
    <cellStyle name="Note 2 2 3 2 6" xfId="10700" xr:uid="{6BECD09D-AB1B-4B35-9645-E3448B91208C}"/>
    <cellStyle name="Note 2 2 3 2 7" xfId="12590" xr:uid="{79B4396F-D887-4EFB-B86C-D0A7FAA10AF9}"/>
    <cellStyle name="Note 2 2 3 2 8" xfId="14480" xr:uid="{850DD002-0C77-49CE-B00E-2219B09C666E}"/>
    <cellStyle name="Note 2 2 3 2 9" xfId="16370" xr:uid="{198191CA-EA48-4951-91C6-38F6DFDC63A7}"/>
    <cellStyle name="Note 2 2 3 20" xfId="32750" xr:uid="{268AF4BC-DCE3-4252-982F-9879E4BC31A0}"/>
    <cellStyle name="Note 2 2 3 21" xfId="34640" xr:uid="{33F6AFE3-8EB1-449D-8103-AE3BEBF58A4F}"/>
    <cellStyle name="Note 2 2 3 22" xfId="36530" xr:uid="{5A2CB8C8-6967-438E-9A72-7D902955BBDE}"/>
    <cellStyle name="Note 2 2 3 23" xfId="38420" xr:uid="{0FA50D1E-027E-4885-B355-1945974905C6}"/>
    <cellStyle name="Note 2 2 3 24" xfId="40311" xr:uid="{6CA19EDD-5123-4F03-B699-83EC815EA07A}"/>
    <cellStyle name="Note 2 2 3 3" xfId="1880" xr:uid="{2DA5F0F0-D8AD-444F-9365-8F8F92514290}"/>
    <cellStyle name="Note 2 2 3 3 10" xfId="18890" xr:uid="{F77F2347-7A9C-49DA-8835-F8B475B25F6A}"/>
    <cellStyle name="Note 2 2 3 3 11" xfId="20780" xr:uid="{2C18E9FB-1DF8-4527-A510-CC3C836E772B}"/>
    <cellStyle name="Note 2 2 3 3 12" xfId="22670" xr:uid="{07753B74-B719-47AE-81DF-A75D446F7A61}"/>
    <cellStyle name="Note 2 2 3 3 13" xfId="24560" xr:uid="{4663676F-67F9-4DC7-9A23-97BBAB9DE3A0}"/>
    <cellStyle name="Note 2 2 3 3 14" xfId="26450" xr:uid="{4D911959-E4BD-4BF5-96B4-293D9ABD82EB}"/>
    <cellStyle name="Note 2 2 3 3 15" xfId="28340" xr:uid="{9C4E84CE-4662-4BEB-8BF8-3FD4AC68F080}"/>
    <cellStyle name="Note 2 2 3 3 16" xfId="30230" xr:uid="{5DDE89A9-2E07-4AEA-B8EC-3C94EDED88D8}"/>
    <cellStyle name="Note 2 2 3 3 17" xfId="32120" xr:uid="{7EA1BCE3-ADD4-4249-923E-6A101B69B8F1}"/>
    <cellStyle name="Note 2 2 3 3 18" xfId="34010" xr:uid="{D8F997C5-5504-4A82-92D2-06A117325419}"/>
    <cellStyle name="Note 2 2 3 3 19" xfId="35900" xr:uid="{7FD78D14-24A6-4218-A8F1-D92B88BAB92B}"/>
    <cellStyle name="Note 2 2 3 3 2" xfId="3770" xr:uid="{F54C90F9-5028-48C0-B34C-B7027E948068}"/>
    <cellStyle name="Note 2 2 3 3 20" xfId="37790" xr:uid="{EC9A04F9-961A-474F-A652-B1138F5C2062}"/>
    <cellStyle name="Note 2 2 3 3 21" xfId="39680" xr:uid="{9112C3BA-FDFA-411F-98C1-F4B4995FF84E}"/>
    <cellStyle name="Note 2 2 3 3 22" xfId="41571" xr:uid="{41C03851-EBB4-4C65-A38F-E4398703A9B0}"/>
    <cellStyle name="Note 2 2 3 3 3" xfId="5660" xr:uid="{E982D146-F12D-459B-B3B2-F053A5B10168}"/>
    <cellStyle name="Note 2 2 3 3 4" xfId="7550" xr:uid="{4425A013-C620-486A-AB64-4C71931458A4}"/>
    <cellStyle name="Note 2 2 3 3 5" xfId="9440" xr:uid="{C982EFC7-123C-4307-BED8-0E151999FCBF}"/>
    <cellStyle name="Note 2 2 3 3 6" xfId="11330" xr:uid="{173EC8C2-9C27-4E79-A0B7-283639C3245C}"/>
    <cellStyle name="Note 2 2 3 3 7" xfId="13220" xr:uid="{7C6EBC28-0730-460E-B842-189646A53436}"/>
    <cellStyle name="Note 2 2 3 3 8" xfId="15110" xr:uid="{D13C1557-361B-4542-9D03-69226E27940F}"/>
    <cellStyle name="Note 2 2 3 3 9" xfId="17000" xr:uid="{8B9791ED-7D1E-42BC-ADA4-19A641B7CA68}"/>
    <cellStyle name="Note 2 2 3 4" xfId="2510" xr:uid="{AAF33078-CEDF-48DC-AA0F-B16323C49A74}"/>
    <cellStyle name="Note 2 2 3 5" xfId="4400" xr:uid="{6CBAB043-8889-43C9-8BC0-B19D68975048}"/>
    <cellStyle name="Note 2 2 3 6" xfId="6290" xr:uid="{0BB79BD0-0610-4179-ACCC-6D830D51CFF7}"/>
    <cellStyle name="Note 2 2 3 7" xfId="8180" xr:uid="{96E0C273-3C05-4A2D-AB9E-B476713AD678}"/>
    <cellStyle name="Note 2 2 3 8" xfId="10070" xr:uid="{D1B99DF9-5093-49FB-86F9-A56E0CC27FFA}"/>
    <cellStyle name="Note 2 2 3 9" xfId="11960" xr:uid="{C0BA83F5-A6A9-497F-9A36-281434E08B91}"/>
    <cellStyle name="Note 2 2 4" xfId="830" xr:uid="{A026692E-EC98-490A-A764-9CF14EB327A0}"/>
    <cellStyle name="Note 2 2 4 10" xfId="17840" xr:uid="{88D236E9-117F-472F-BCC1-C19143F6D5C0}"/>
    <cellStyle name="Note 2 2 4 11" xfId="19730" xr:uid="{5B0142ED-2238-4363-8F98-2E2CCE1634A9}"/>
    <cellStyle name="Note 2 2 4 12" xfId="21620" xr:uid="{98BAC86E-052E-4952-8578-1148A8942894}"/>
    <cellStyle name="Note 2 2 4 13" xfId="23510" xr:uid="{43165556-C2E8-419D-BF01-959489D6C496}"/>
    <cellStyle name="Note 2 2 4 14" xfId="25400" xr:uid="{24090313-896D-43B0-B109-64F83B876B71}"/>
    <cellStyle name="Note 2 2 4 15" xfId="27290" xr:uid="{C8F95D97-C36B-4CA6-A125-4639983157D4}"/>
    <cellStyle name="Note 2 2 4 16" xfId="29180" xr:uid="{3EF4829C-EC22-48C1-BE1C-3FCD741C9735}"/>
    <cellStyle name="Note 2 2 4 17" xfId="31070" xr:uid="{C6B1AD26-D3F0-416B-B63E-3FE60562B726}"/>
    <cellStyle name="Note 2 2 4 18" xfId="32960" xr:uid="{C81B97DC-8BCB-428F-95BF-C44ADE60693C}"/>
    <cellStyle name="Note 2 2 4 19" xfId="34850" xr:uid="{A05FB616-16F7-4211-A3EA-161D8DCB7A48}"/>
    <cellStyle name="Note 2 2 4 2" xfId="2720" xr:uid="{BE9563FC-06D2-43E2-8B3D-A6E19F1A8A96}"/>
    <cellStyle name="Note 2 2 4 20" xfId="36740" xr:uid="{BAAD851E-12AA-47BF-A89E-19F7A090C784}"/>
    <cellStyle name="Note 2 2 4 21" xfId="38630" xr:uid="{6723FC8E-1358-4571-9808-E3CFB5ED5CCA}"/>
    <cellStyle name="Note 2 2 4 22" xfId="40521" xr:uid="{B2C2B56B-9658-4867-BCF9-4AB9FC928F0D}"/>
    <cellStyle name="Note 2 2 4 3" xfId="4610" xr:uid="{8926665B-5E45-4810-A71C-BCEFE2A62669}"/>
    <cellStyle name="Note 2 2 4 4" xfId="6500" xr:uid="{07203F25-9387-4D6F-8A34-F75714719E87}"/>
    <cellStyle name="Note 2 2 4 5" xfId="8390" xr:uid="{7422AA71-430D-4D27-96DC-7E4F39950126}"/>
    <cellStyle name="Note 2 2 4 6" xfId="10280" xr:uid="{9818483A-B5AB-4CB7-A235-1F8299CB9DEA}"/>
    <cellStyle name="Note 2 2 4 7" xfId="12170" xr:uid="{ADCAB41D-2744-430C-A7C3-5A536E1E95C4}"/>
    <cellStyle name="Note 2 2 4 8" xfId="14060" xr:uid="{254C3B64-BF87-4526-9F8A-131A062A3228}"/>
    <cellStyle name="Note 2 2 4 9" xfId="15950" xr:uid="{6AFC05F2-76B0-429A-BE55-1B509BA9DCD7}"/>
    <cellStyle name="Note 2 2 5" xfId="1460" xr:uid="{83E22182-34EF-4B4E-84DC-1A7F8D399777}"/>
    <cellStyle name="Note 2 2 5 10" xfId="18470" xr:uid="{ED296CF5-DD41-4846-8E04-5D593B3CC9BB}"/>
    <cellStyle name="Note 2 2 5 11" xfId="20360" xr:uid="{3F11E967-24A3-4909-B2C9-2C1AE423443B}"/>
    <cellStyle name="Note 2 2 5 12" xfId="22250" xr:uid="{F9B138C3-B4B7-48D0-A357-8BFC9C862329}"/>
    <cellStyle name="Note 2 2 5 13" xfId="24140" xr:uid="{727BA249-021B-4151-8F4C-B8F86F083935}"/>
    <cellStyle name="Note 2 2 5 14" xfId="26030" xr:uid="{39B2B466-BA70-4D0F-B4D7-D15F09F6C6CD}"/>
    <cellStyle name="Note 2 2 5 15" xfId="27920" xr:uid="{6E3DB77A-4E19-4305-B73D-3C3503ED053F}"/>
    <cellStyle name="Note 2 2 5 16" xfId="29810" xr:uid="{CC4CE8B1-0604-489B-BAD0-E5F5B0241636}"/>
    <cellStyle name="Note 2 2 5 17" xfId="31700" xr:uid="{980ECD10-18E4-4107-A72D-38EC3C3C4127}"/>
    <cellStyle name="Note 2 2 5 18" xfId="33590" xr:uid="{3552EA91-055D-4001-BDD1-C28EA2EC870D}"/>
    <cellStyle name="Note 2 2 5 19" xfId="35480" xr:uid="{A444E160-8CA6-4978-856B-7B373E9F9B9E}"/>
    <cellStyle name="Note 2 2 5 2" xfId="3350" xr:uid="{BD6B9785-B532-4390-986A-7BD9FE9FEE24}"/>
    <cellStyle name="Note 2 2 5 20" xfId="37370" xr:uid="{BBFF4CF5-25C1-43CD-AE97-0F2314D02E1C}"/>
    <cellStyle name="Note 2 2 5 21" xfId="39260" xr:uid="{C690B94B-EDB9-420C-BA39-C9D44D29E83B}"/>
    <cellStyle name="Note 2 2 5 22" xfId="41151" xr:uid="{5D930A89-C8DB-426A-B64A-98A47069DB1D}"/>
    <cellStyle name="Note 2 2 5 3" xfId="5240" xr:uid="{D8CED3F9-215B-41D5-B3E6-80E778B88C74}"/>
    <cellStyle name="Note 2 2 5 4" xfId="7130" xr:uid="{B1E0E933-2DF8-4AF5-AA3C-F8BA697C3A70}"/>
    <cellStyle name="Note 2 2 5 5" xfId="9020" xr:uid="{5CBAA22C-8A37-44FE-9B5F-77C578FA7A2A}"/>
    <cellStyle name="Note 2 2 5 6" xfId="10910" xr:uid="{BE51F71F-3CB7-4B36-AE8E-B402B77F6EF7}"/>
    <cellStyle name="Note 2 2 5 7" xfId="12800" xr:uid="{416CED93-8505-46F3-9832-11F357F982B1}"/>
    <cellStyle name="Note 2 2 5 8" xfId="14690" xr:uid="{88B01CEF-8D21-4FAF-B1E2-BF7BA7E515E6}"/>
    <cellStyle name="Note 2 2 5 9" xfId="16580" xr:uid="{AEBC8333-6CD2-4A16-AF7F-8938C2293CF7}"/>
    <cellStyle name="Note 2 2 6" xfId="2090" xr:uid="{23F89CF5-786A-481C-A772-F6BBE62FF146}"/>
    <cellStyle name="Note 2 2 7" xfId="3980" xr:uid="{FE9B7888-A521-4F8E-94B5-0E5E6D1E5A9C}"/>
    <cellStyle name="Note 2 2 8" xfId="5870" xr:uid="{A3250302-886E-4203-9C89-5937F18B5A70}"/>
    <cellStyle name="Note 2 2 9" xfId="7760" xr:uid="{1C38BA26-9B46-45B1-A876-6F6E3B99AB16}"/>
    <cellStyle name="Note 2 20" xfId="26555" xr:uid="{5772A754-1B27-4B90-90E2-8FFBB8190381}"/>
    <cellStyle name="Note 2 21" xfId="28445" xr:uid="{63A03ECD-39D5-44E4-91C1-FAF3EB7E57A9}"/>
    <cellStyle name="Note 2 22" xfId="30335" xr:uid="{53D07E94-541C-42C5-BDBE-36D533A06B5E}"/>
    <cellStyle name="Note 2 23" xfId="32225" xr:uid="{2C65ED7D-5D76-496C-9DC1-E7AF94FB3E0C}"/>
    <cellStyle name="Note 2 24" xfId="34115" xr:uid="{40E21A21-38DF-4CD2-BD92-68503EA9B041}"/>
    <cellStyle name="Note 2 25" xfId="36005" xr:uid="{04A743A5-02D9-4E0D-84EE-A09D7CDFBDFF}"/>
    <cellStyle name="Note 2 26" xfId="37895" xr:uid="{51AC3D51-0006-42AC-81C4-F7548DD53BA2}"/>
    <cellStyle name="Note 2 27" xfId="39786" xr:uid="{B3B26674-7267-4B5C-A9B9-A9D8C1FAA4B9}"/>
    <cellStyle name="Note 2 3" xfId="305" xr:uid="{27CDABD8-833A-49A9-8FC3-A94DFB387B7B}"/>
    <cellStyle name="Note 2 3 10" xfId="13535" xr:uid="{751A464E-7556-4CF1-A092-0CF5E77AFAB3}"/>
    <cellStyle name="Note 2 3 11" xfId="15425" xr:uid="{E8EB0351-C8B4-48E5-91AE-6D4C47C7A87F}"/>
    <cellStyle name="Note 2 3 12" xfId="17315" xr:uid="{F6BC48B3-5DC4-4DC7-8E49-801DA548B117}"/>
    <cellStyle name="Note 2 3 13" xfId="19205" xr:uid="{72CEE402-F1A6-44CC-9A19-ACD3D05F0A73}"/>
    <cellStyle name="Note 2 3 14" xfId="21095" xr:uid="{740E6D32-84A0-41AB-8694-A973E53EA9E4}"/>
    <cellStyle name="Note 2 3 15" xfId="22985" xr:uid="{D2C52F39-76C0-45A9-B55A-AFDBF4A35DF4}"/>
    <cellStyle name="Note 2 3 16" xfId="24875" xr:uid="{5E430A75-BC39-4BF1-810A-DAE004DD6D4F}"/>
    <cellStyle name="Note 2 3 17" xfId="26765" xr:uid="{0455AC4D-1A0D-482D-857C-33A8A5B5BB02}"/>
    <cellStyle name="Note 2 3 18" xfId="28655" xr:uid="{BC1A61E7-A5E8-4499-BA68-05CC0F685FAA}"/>
    <cellStyle name="Note 2 3 19" xfId="30545" xr:uid="{9A96B75A-668E-4D2B-A742-B59358DA09A5}"/>
    <cellStyle name="Note 2 3 2" xfId="935" xr:uid="{C5417C45-DCB2-4E0F-BE1F-DFEC4F459B34}"/>
    <cellStyle name="Note 2 3 2 10" xfId="17945" xr:uid="{5B990CFA-B631-4185-A17D-A32F4718828C}"/>
    <cellStyle name="Note 2 3 2 11" xfId="19835" xr:uid="{03F20F52-6742-478B-B8C0-E5556E46B913}"/>
    <cellStyle name="Note 2 3 2 12" xfId="21725" xr:uid="{B7DBFCE8-D2AB-450B-A6AC-4DC577AC29E6}"/>
    <cellStyle name="Note 2 3 2 13" xfId="23615" xr:uid="{568C7B48-840C-45CB-B1F4-8B878A8DFF0D}"/>
    <cellStyle name="Note 2 3 2 14" xfId="25505" xr:uid="{AAD76F62-CC81-4AB4-B2FE-72CED0DA3424}"/>
    <cellStyle name="Note 2 3 2 15" xfId="27395" xr:uid="{A6402A12-485B-4D98-90BC-B9A0F2C7F918}"/>
    <cellStyle name="Note 2 3 2 16" xfId="29285" xr:uid="{7431007D-F82B-4BD6-8E7C-2988EF4BEAD6}"/>
    <cellStyle name="Note 2 3 2 17" xfId="31175" xr:uid="{7E457291-B9E8-4FB2-90F9-97C5F3C47D00}"/>
    <cellStyle name="Note 2 3 2 18" xfId="33065" xr:uid="{8BF8972F-9095-4876-94A5-E3DAF40C12D8}"/>
    <cellStyle name="Note 2 3 2 19" xfId="34955" xr:uid="{3D331148-96BC-4762-BF92-00C8E52D51A0}"/>
    <cellStyle name="Note 2 3 2 2" xfId="2825" xr:uid="{E0AF8361-AFA7-4018-9A42-7860D7C125E8}"/>
    <cellStyle name="Note 2 3 2 20" xfId="36845" xr:uid="{8FCA9BAB-24A7-4017-89CA-3C5531B87197}"/>
    <cellStyle name="Note 2 3 2 21" xfId="38735" xr:uid="{5F741DE8-12B2-4FAB-9118-693B0024DB81}"/>
    <cellStyle name="Note 2 3 2 22" xfId="40626" xr:uid="{46B41013-D443-4B47-9AFC-8159E5FAF271}"/>
    <cellStyle name="Note 2 3 2 3" xfId="4715" xr:uid="{60E67D06-3073-4465-94E8-1E6787ED8A24}"/>
    <cellStyle name="Note 2 3 2 4" xfId="6605" xr:uid="{AC7E6B80-08E3-411D-864C-C671F5E2ECE4}"/>
    <cellStyle name="Note 2 3 2 5" xfId="8495" xr:uid="{BE79545B-6E45-44F5-B74D-13B130F630EE}"/>
    <cellStyle name="Note 2 3 2 6" xfId="10385" xr:uid="{8CBB99D7-332F-4088-9C99-310168DDEE4D}"/>
    <cellStyle name="Note 2 3 2 7" xfId="12275" xr:uid="{51FA74D4-572B-41A1-AC4E-535ED6A9A979}"/>
    <cellStyle name="Note 2 3 2 8" xfId="14165" xr:uid="{3990D8B7-44A6-4A9B-BEBB-AC8ADF04CCF0}"/>
    <cellStyle name="Note 2 3 2 9" xfId="16055" xr:uid="{5DC4657C-F70D-4978-AD54-56344627E4AF}"/>
    <cellStyle name="Note 2 3 20" xfId="32435" xr:uid="{682FD2B6-4B6F-4438-B696-E33344DAEF08}"/>
    <cellStyle name="Note 2 3 21" xfId="34325" xr:uid="{104C407E-A9CF-4A63-A145-F0338616F35A}"/>
    <cellStyle name="Note 2 3 22" xfId="36215" xr:uid="{8EADCFB5-7560-4623-85F3-7299B829CD53}"/>
    <cellStyle name="Note 2 3 23" xfId="38105" xr:uid="{F76FB47C-3F6B-4A63-9936-589CE5DF83FA}"/>
    <cellStyle name="Note 2 3 24" xfId="39996" xr:uid="{0185A08F-C682-4B33-9E2D-4D10E7816D30}"/>
    <cellStyle name="Note 2 3 3" xfId="1565" xr:uid="{80069101-10D8-457B-9226-E552A23233E2}"/>
    <cellStyle name="Note 2 3 3 10" xfId="18575" xr:uid="{D7A4E858-FE3A-43AA-9BD7-A136B44C47C8}"/>
    <cellStyle name="Note 2 3 3 11" xfId="20465" xr:uid="{BE6773CE-B40F-47E1-9E5F-9674CD3588B9}"/>
    <cellStyle name="Note 2 3 3 12" xfId="22355" xr:uid="{9C2059F2-100B-4974-817B-9BB8D552C460}"/>
    <cellStyle name="Note 2 3 3 13" xfId="24245" xr:uid="{11B18A74-49BA-47C7-B5A4-53673A30ACDE}"/>
    <cellStyle name="Note 2 3 3 14" xfId="26135" xr:uid="{54B00ED1-83DF-4509-9520-8E8324782608}"/>
    <cellStyle name="Note 2 3 3 15" xfId="28025" xr:uid="{4C941913-A91D-444D-9D61-EE8D95EE000B}"/>
    <cellStyle name="Note 2 3 3 16" xfId="29915" xr:uid="{9E725D69-919B-4858-ADDE-619C5087D172}"/>
    <cellStyle name="Note 2 3 3 17" xfId="31805" xr:uid="{E8450D00-1C94-4124-8AA6-B5D1BA71DEF4}"/>
    <cellStyle name="Note 2 3 3 18" xfId="33695" xr:uid="{90D25B86-C714-4748-90E3-A17622BB5496}"/>
    <cellStyle name="Note 2 3 3 19" xfId="35585" xr:uid="{D1059982-BE6A-4191-9302-E65A854B5510}"/>
    <cellStyle name="Note 2 3 3 2" xfId="3455" xr:uid="{753DE6BA-758D-43E1-A8A4-B4D7BE9D2567}"/>
    <cellStyle name="Note 2 3 3 20" xfId="37475" xr:uid="{8B29EE79-61CB-4F99-95D6-7A212CB8DAF3}"/>
    <cellStyle name="Note 2 3 3 21" xfId="39365" xr:uid="{220C5F04-7AAA-4B63-BC38-1CF155A2B2BE}"/>
    <cellStyle name="Note 2 3 3 22" xfId="41256" xr:uid="{EAA55020-DE25-42F5-ADC8-28EFCF379661}"/>
    <cellStyle name="Note 2 3 3 3" xfId="5345" xr:uid="{D4690405-2C49-48C1-BD9E-B1F067B76459}"/>
    <cellStyle name="Note 2 3 3 4" xfId="7235" xr:uid="{7AEC0A69-62A0-4C18-90E2-454EBDCF69B8}"/>
    <cellStyle name="Note 2 3 3 5" xfId="9125" xr:uid="{B4B1B49D-D6DA-41A3-9658-42B3636DF305}"/>
    <cellStyle name="Note 2 3 3 6" xfId="11015" xr:uid="{8283CD7E-0DB9-45B4-B2D8-48ABA47322F9}"/>
    <cellStyle name="Note 2 3 3 7" xfId="12905" xr:uid="{756ACBA2-0208-45BD-BDD4-B50AD07665E2}"/>
    <cellStyle name="Note 2 3 3 8" xfId="14795" xr:uid="{79D188D5-08D0-45BB-9455-2A7A1BC4E5DD}"/>
    <cellStyle name="Note 2 3 3 9" xfId="16685" xr:uid="{FAC63C9A-CE83-43A9-86CE-048E7AF68410}"/>
    <cellStyle name="Note 2 3 4" xfId="2195" xr:uid="{C896B2ED-B2A9-4A6D-8642-58B05FCD1697}"/>
    <cellStyle name="Note 2 3 5" xfId="4085" xr:uid="{2DF97B6D-AB69-46BB-90BF-06FD4FB49860}"/>
    <cellStyle name="Note 2 3 6" xfId="5975" xr:uid="{86818FBC-2B16-4C2F-8860-79CD58826C70}"/>
    <cellStyle name="Note 2 3 7" xfId="7865" xr:uid="{2E484712-1BED-42A5-810A-693117F90456}"/>
    <cellStyle name="Note 2 3 8" xfId="9755" xr:uid="{9CAD04B4-80D0-4914-A81E-FFFC67E6FA39}"/>
    <cellStyle name="Note 2 3 9" xfId="11645" xr:uid="{3933042E-8EEC-4CCA-BB41-7B2568EA388E}"/>
    <cellStyle name="Note 2 4" xfId="515" xr:uid="{B2B258C7-3EC7-4440-8E72-A1455AEB1758}"/>
    <cellStyle name="Note 2 4 10" xfId="13745" xr:uid="{8D6359A6-5866-4C4B-86D2-F5813689239B}"/>
    <cellStyle name="Note 2 4 11" xfId="15635" xr:uid="{0E8296FC-E277-41D0-895D-40BD15783A24}"/>
    <cellStyle name="Note 2 4 12" xfId="17525" xr:uid="{E6843DBC-15D5-4D87-9F08-B7D6242E94C0}"/>
    <cellStyle name="Note 2 4 13" xfId="19415" xr:uid="{9FB55E42-9AF1-45B1-B478-7DBB96D05C9C}"/>
    <cellStyle name="Note 2 4 14" xfId="21305" xr:uid="{6E155FB1-FB9E-4BF7-8D58-71B421CD0726}"/>
    <cellStyle name="Note 2 4 15" xfId="23195" xr:uid="{B71F598E-0D2E-4317-ACF8-D54F39D6B9D7}"/>
    <cellStyle name="Note 2 4 16" xfId="25085" xr:uid="{CF51BCEF-33F6-47DA-9E4C-83E2BF407E43}"/>
    <cellStyle name="Note 2 4 17" xfId="26975" xr:uid="{9D33C91B-435A-4483-9235-2F57E63275B9}"/>
    <cellStyle name="Note 2 4 18" xfId="28865" xr:uid="{D624DA41-3E94-44C1-AA8B-3C8353327D31}"/>
    <cellStyle name="Note 2 4 19" xfId="30755" xr:uid="{A1554BFE-B067-4351-B0B4-20F4AB8A9D09}"/>
    <cellStyle name="Note 2 4 2" xfId="1145" xr:uid="{0CF32838-350D-4911-9EE9-060BC5602002}"/>
    <cellStyle name="Note 2 4 2 10" xfId="18155" xr:uid="{536C667A-21CF-410B-BE83-21C66B817323}"/>
    <cellStyle name="Note 2 4 2 11" xfId="20045" xr:uid="{22EBA75B-6015-4E0B-BC74-E36900677257}"/>
    <cellStyle name="Note 2 4 2 12" xfId="21935" xr:uid="{CE534F4C-3258-4FBD-8A3A-AC1EF63F000C}"/>
    <cellStyle name="Note 2 4 2 13" xfId="23825" xr:uid="{679FED34-A1C5-4D78-9CEC-81C925EBDC4B}"/>
    <cellStyle name="Note 2 4 2 14" xfId="25715" xr:uid="{3E87D944-4C96-43EE-908E-EC98BCE99EA5}"/>
    <cellStyle name="Note 2 4 2 15" xfId="27605" xr:uid="{B9BFC298-3171-4CFD-9778-891E966DA43E}"/>
    <cellStyle name="Note 2 4 2 16" xfId="29495" xr:uid="{163DCA15-FEFA-42A5-AFEA-83360CFA66BA}"/>
    <cellStyle name="Note 2 4 2 17" xfId="31385" xr:uid="{88EEF111-0E0A-4112-95F3-7FFFCE21BFEF}"/>
    <cellStyle name="Note 2 4 2 18" xfId="33275" xr:uid="{D07A821C-A92C-4573-A087-3087E775E3F3}"/>
    <cellStyle name="Note 2 4 2 19" xfId="35165" xr:uid="{5CD52498-2111-4A1B-A038-97E11B7C8D4A}"/>
    <cellStyle name="Note 2 4 2 2" xfId="3035" xr:uid="{B073BB27-5749-4E9B-BD32-000FA5B2E1EB}"/>
    <cellStyle name="Note 2 4 2 20" xfId="37055" xr:uid="{CEE8780A-86C4-4EEC-9061-2876D226C35D}"/>
    <cellStyle name="Note 2 4 2 21" xfId="38945" xr:uid="{414011ED-A043-445C-A691-35AB3BB1D3C6}"/>
    <cellStyle name="Note 2 4 2 22" xfId="40836" xr:uid="{B7C88B9C-50D1-43E4-A3A7-F21794B4A488}"/>
    <cellStyle name="Note 2 4 2 3" xfId="4925" xr:uid="{041B77AB-383D-4CB4-ABF6-B9ED4BF6C6B7}"/>
    <cellStyle name="Note 2 4 2 4" xfId="6815" xr:uid="{5ED5F851-EC25-4FF7-8509-931D761298F4}"/>
    <cellStyle name="Note 2 4 2 5" xfId="8705" xr:uid="{C342321E-E403-4BFD-9791-8BDADB80B775}"/>
    <cellStyle name="Note 2 4 2 6" xfId="10595" xr:uid="{9DA1B7DF-4567-47E1-904A-3F73ACB783FD}"/>
    <cellStyle name="Note 2 4 2 7" xfId="12485" xr:uid="{E4388306-53A5-447E-BC02-A32BA552EBF0}"/>
    <cellStyle name="Note 2 4 2 8" xfId="14375" xr:uid="{E6F9C8A2-555F-4AD8-8923-9A7E86C041C7}"/>
    <cellStyle name="Note 2 4 2 9" xfId="16265" xr:uid="{AD5149E3-236E-4397-A194-5BF080495CDB}"/>
    <cellStyle name="Note 2 4 20" xfId="32645" xr:uid="{FCFDEBCD-3434-4200-9592-28B4802385D3}"/>
    <cellStyle name="Note 2 4 21" xfId="34535" xr:uid="{3B6498BE-4EE7-4643-B1C6-138B98432761}"/>
    <cellStyle name="Note 2 4 22" xfId="36425" xr:uid="{817AB809-3CB1-4C76-847A-AA0ED06AC57B}"/>
    <cellStyle name="Note 2 4 23" xfId="38315" xr:uid="{7D97440E-C0DA-4D42-BC04-5D3CCE734D4A}"/>
    <cellStyle name="Note 2 4 24" xfId="40206" xr:uid="{F408C4D5-E299-4FBD-BB5B-6BBCAEF64A9C}"/>
    <cellStyle name="Note 2 4 3" xfId="1775" xr:uid="{76415D38-306E-40EC-B804-78EBA4C43E59}"/>
    <cellStyle name="Note 2 4 3 10" xfId="18785" xr:uid="{8C8827A0-DB5D-4D4D-94CE-576AF37EC1F2}"/>
    <cellStyle name="Note 2 4 3 11" xfId="20675" xr:uid="{9D4A1B81-7306-448E-8927-F4430DAF6BE4}"/>
    <cellStyle name="Note 2 4 3 12" xfId="22565" xr:uid="{9EB3D8F8-F944-4A0C-94A6-C6B4FF59A3F6}"/>
    <cellStyle name="Note 2 4 3 13" xfId="24455" xr:uid="{5268D5D4-FCD4-4E14-830E-33975F954248}"/>
    <cellStyle name="Note 2 4 3 14" xfId="26345" xr:uid="{27DCD347-CB46-4E12-949A-FC42136A1DC7}"/>
    <cellStyle name="Note 2 4 3 15" xfId="28235" xr:uid="{342CA4BC-4DDC-4728-A524-46E152E683E1}"/>
    <cellStyle name="Note 2 4 3 16" xfId="30125" xr:uid="{80128A3C-1410-416C-93B4-4C07195F0B34}"/>
    <cellStyle name="Note 2 4 3 17" xfId="32015" xr:uid="{79FA75DD-4B92-494E-9B3C-67D276ABC9B2}"/>
    <cellStyle name="Note 2 4 3 18" xfId="33905" xr:uid="{06825B5E-2DCA-4ACF-B5EC-2A5A3688A8CE}"/>
    <cellStyle name="Note 2 4 3 19" xfId="35795" xr:uid="{103A224B-87FB-4E3B-8745-E600CAD09948}"/>
    <cellStyle name="Note 2 4 3 2" xfId="3665" xr:uid="{6BFA149B-5693-4840-B234-68C9E58FBB38}"/>
    <cellStyle name="Note 2 4 3 20" xfId="37685" xr:uid="{73DC5F6C-19F5-43B0-944E-B11D7F225064}"/>
    <cellStyle name="Note 2 4 3 21" xfId="39575" xr:uid="{348C16F2-BAC8-4BD1-9F61-6FB5B987D761}"/>
    <cellStyle name="Note 2 4 3 22" xfId="41466" xr:uid="{9B6C69F1-CE86-4252-985C-FD4DEAAFA06F}"/>
    <cellStyle name="Note 2 4 3 3" xfId="5555" xr:uid="{4123A676-6209-4838-B792-A7416CAC6A0F}"/>
    <cellStyle name="Note 2 4 3 4" xfId="7445" xr:uid="{07CA2069-4B86-4E9C-9720-364F361C4680}"/>
    <cellStyle name="Note 2 4 3 5" xfId="9335" xr:uid="{91BC37A1-75E0-45EE-8F2D-964D0D0B95D9}"/>
    <cellStyle name="Note 2 4 3 6" xfId="11225" xr:uid="{68DEFEB5-9B05-47C8-B60D-1C1813702831}"/>
    <cellStyle name="Note 2 4 3 7" xfId="13115" xr:uid="{AB3A3A98-D0A1-4C4B-BB65-9266A868BA52}"/>
    <cellStyle name="Note 2 4 3 8" xfId="15005" xr:uid="{37A2276C-B2C0-493C-AF18-F82FD7A7ED0A}"/>
    <cellStyle name="Note 2 4 3 9" xfId="16895" xr:uid="{163D9603-81B5-497D-AA65-ABB807008F2B}"/>
    <cellStyle name="Note 2 4 4" xfId="2405" xr:uid="{6F922C74-84C5-4441-AD9D-A3318A7EC2FD}"/>
    <cellStyle name="Note 2 4 5" xfId="4295" xr:uid="{DF33C0BB-32AA-4B2C-85B3-A1F67C7140B4}"/>
    <cellStyle name="Note 2 4 6" xfId="6185" xr:uid="{50BCCE26-582D-4C6C-B465-E45B9971CFE7}"/>
    <cellStyle name="Note 2 4 7" xfId="8075" xr:uid="{F8ADD029-2F85-4299-812F-A4C2B5B13891}"/>
    <cellStyle name="Note 2 4 8" xfId="9965" xr:uid="{441614E6-DCB6-4E5E-8968-A4DF15A44B67}"/>
    <cellStyle name="Note 2 4 9" xfId="11855" xr:uid="{3B065288-F7B6-4EF8-A976-66AE508F14A1}"/>
    <cellStyle name="Note 2 5" xfId="725" xr:uid="{4F340BF9-F1A6-49B1-9647-E2D7317A6E7E}"/>
    <cellStyle name="Note 2 5 10" xfId="17735" xr:uid="{9A02754C-D6D4-4057-9AB9-36E7766BDD5E}"/>
    <cellStyle name="Note 2 5 11" xfId="19625" xr:uid="{3BBC5CDA-CA51-4E90-8526-A35DD12309A3}"/>
    <cellStyle name="Note 2 5 12" xfId="21515" xr:uid="{C07EA3F1-CA2D-45B1-B3AF-F20DA8A279E4}"/>
    <cellStyle name="Note 2 5 13" xfId="23405" xr:uid="{EA036F9C-D54D-41FD-9B76-F7931B071030}"/>
    <cellStyle name="Note 2 5 14" xfId="25295" xr:uid="{DA9F7418-CF61-4A76-BDE0-6338AEC3FAFF}"/>
    <cellStyle name="Note 2 5 15" xfId="27185" xr:uid="{B0FA5CE1-BA89-40A5-98D1-129346FD835A}"/>
    <cellStyle name="Note 2 5 16" xfId="29075" xr:uid="{D9AFB441-D809-46A1-844D-F79C33915326}"/>
    <cellStyle name="Note 2 5 17" xfId="30965" xr:uid="{5DE5B2B2-AA00-470F-A84B-041CE46618D8}"/>
    <cellStyle name="Note 2 5 18" xfId="32855" xr:uid="{36BF577D-3803-4171-950B-7D97F24C7EB5}"/>
    <cellStyle name="Note 2 5 19" xfId="34745" xr:uid="{FDEE9743-0A1D-4D7F-9C7F-8DD6B32E72A3}"/>
    <cellStyle name="Note 2 5 2" xfId="2615" xr:uid="{1860E957-EFF3-4A14-84CC-687BDB613BA8}"/>
    <cellStyle name="Note 2 5 20" xfId="36635" xr:uid="{6A0B4115-4953-417C-93F6-2B516A1EC02C}"/>
    <cellStyle name="Note 2 5 21" xfId="38525" xr:uid="{2FEB72BE-C078-4EC0-97FD-80805CADA8D6}"/>
    <cellStyle name="Note 2 5 22" xfId="40416" xr:uid="{A79FF505-33B5-4D52-A48A-4186AE38FEE3}"/>
    <cellStyle name="Note 2 5 3" xfId="4505" xr:uid="{21B6AC66-29DD-4CD5-B318-787DDA7DA683}"/>
    <cellStyle name="Note 2 5 4" xfId="6395" xr:uid="{151C74ED-A6D4-4B4F-8B50-6D16C2691498}"/>
    <cellStyle name="Note 2 5 5" xfId="8285" xr:uid="{577CAC1F-D809-43B7-AF15-EDC19E36D69D}"/>
    <cellStyle name="Note 2 5 6" xfId="10175" xr:uid="{FF9FEBFF-9B93-4A26-A71C-9C91DF1AAE9D}"/>
    <cellStyle name="Note 2 5 7" xfId="12065" xr:uid="{7DA501EC-057D-49F4-AEB1-C73D305D9116}"/>
    <cellStyle name="Note 2 5 8" xfId="13955" xr:uid="{CBD92D03-986B-4741-A17C-33C6E9A5EB6F}"/>
    <cellStyle name="Note 2 5 9" xfId="15845" xr:uid="{162AB37C-B6E1-4AE7-8EEE-3228A03A462A}"/>
    <cellStyle name="Note 2 6" xfId="1355" xr:uid="{1A6636A2-1795-4080-B163-D700AD061991}"/>
    <cellStyle name="Note 2 6 10" xfId="18365" xr:uid="{295692CD-CBAE-42C4-85CC-9786675A34DB}"/>
    <cellStyle name="Note 2 6 11" xfId="20255" xr:uid="{0974C08E-C259-4F0D-9DD3-3E39332DB13C}"/>
    <cellStyle name="Note 2 6 12" xfId="22145" xr:uid="{8984682D-7433-47A1-8955-F74EAFB98A6C}"/>
    <cellStyle name="Note 2 6 13" xfId="24035" xr:uid="{6B59DDD5-6AEC-4822-B195-E61FE1577386}"/>
    <cellStyle name="Note 2 6 14" xfId="25925" xr:uid="{9558DE98-1CCE-4018-8D7A-63E6377C66BC}"/>
    <cellStyle name="Note 2 6 15" xfId="27815" xr:uid="{5463CCD5-8C4C-4598-85ED-ECEABE2B6ACD}"/>
    <cellStyle name="Note 2 6 16" xfId="29705" xr:uid="{E5FA2393-DB3D-4F8D-BBBB-A7A8393154E7}"/>
    <cellStyle name="Note 2 6 17" xfId="31595" xr:uid="{C85977E0-4726-4AD5-9D3A-56C6CC0CD8E4}"/>
    <cellStyle name="Note 2 6 18" xfId="33485" xr:uid="{847438C9-DFED-4379-9E3D-FE5BF18C459D}"/>
    <cellStyle name="Note 2 6 19" xfId="35375" xr:uid="{799D521F-C2BE-4E6E-870B-474E349E7391}"/>
    <cellStyle name="Note 2 6 2" xfId="3245" xr:uid="{F45A0649-69B1-481C-9BC7-CBE497EDA149}"/>
    <cellStyle name="Note 2 6 20" xfId="37265" xr:uid="{E23DFF56-40E2-4273-8271-88469071823E}"/>
    <cellStyle name="Note 2 6 21" xfId="39155" xr:uid="{67FFAA70-FB0C-43FA-8FDE-2CED518E3C26}"/>
    <cellStyle name="Note 2 6 22" xfId="41046" xr:uid="{8AEBAE90-A055-45F6-B50D-F8861E5B80F5}"/>
    <cellStyle name="Note 2 6 3" xfId="5135" xr:uid="{6BCDC930-A724-4EC8-AFA5-73FE428874D7}"/>
    <cellStyle name="Note 2 6 4" xfId="7025" xr:uid="{E8A56495-AE1E-417B-B67D-9E022AA68527}"/>
    <cellStyle name="Note 2 6 5" xfId="8915" xr:uid="{FD7C1662-3FDC-43D1-99B0-703A7280CC58}"/>
    <cellStyle name="Note 2 6 6" xfId="10805" xr:uid="{29528522-87A0-44EC-B989-1A06A4DFD29C}"/>
    <cellStyle name="Note 2 6 7" xfId="12695" xr:uid="{2AE9B832-6C0D-4603-A171-E090FDB3D638}"/>
    <cellStyle name="Note 2 6 8" xfId="14585" xr:uid="{9E6839C2-C18F-49B0-8F8A-FB2CEDB64026}"/>
    <cellStyle name="Note 2 6 9" xfId="16475" xr:uid="{A8CC678C-0451-489B-90CC-71A6413170EB}"/>
    <cellStyle name="Note 2 7" xfId="1985" xr:uid="{653570F8-EA44-43C3-9860-C5CF13BDDCCC}"/>
    <cellStyle name="Note 2 8" xfId="3875" xr:uid="{51DF61F2-A01C-43D8-BCF6-6B4EBC2C1882}"/>
    <cellStyle name="Note 2 9" xfId="5765" xr:uid="{A422ACA7-A1A2-4167-9B32-DF0F6074685A}"/>
    <cellStyle name="Note 3" xfId="97" xr:uid="{87DC974C-5E64-4C40-A64B-320278EB9225}"/>
    <cellStyle name="Note 3 10" xfId="7657" xr:uid="{15041B66-2A65-473F-BF32-61BCC1BC6387}"/>
    <cellStyle name="Note 3 11" xfId="9547" xr:uid="{B36BFF95-B2EC-4241-ABD3-414F5C2A4ECA}"/>
    <cellStyle name="Note 3 12" xfId="11437" xr:uid="{E568E11D-1CB9-4F33-AAAD-623A95C3B604}"/>
    <cellStyle name="Note 3 13" xfId="13327" xr:uid="{51BF757B-A199-4F98-B80F-E00D4A107F4A}"/>
    <cellStyle name="Note 3 14" xfId="15217" xr:uid="{CE9EBE27-3B16-487F-B224-6A22051EFD2F}"/>
    <cellStyle name="Note 3 15" xfId="17107" xr:uid="{D1FD60B9-AA27-45DE-B695-9DE15B0B62FE}"/>
    <cellStyle name="Note 3 16" xfId="18997" xr:uid="{4BE6CEE2-D867-4D83-89A5-09B69314626B}"/>
    <cellStyle name="Note 3 17" xfId="20887" xr:uid="{F2ACFEB5-9ECD-4306-AADB-34DA791BC7C7}"/>
    <cellStyle name="Note 3 18" xfId="22777" xr:uid="{E48D3BA4-F5F0-45D7-A0F9-A6E442413C05}"/>
    <cellStyle name="Note 3 19" xfId="24667" xr:uid="{4BB21C66-C0C9-4AE3-8838-A3CA98CF7E97}"/>
    <cellStyle name="Note 3 2" xfId="202" xr:uid="{599210B4-374D-4915-8734-CFA46CA5F9B5}"/>
    <cellStyle name="Note 3 2 10" xfId="9652" xr:uid="{AAFCADD5-1B48-4357-BFC2-2F3C1FA978C4}"/>
    <cellStyle name="Note 3 2 11" xfId="11542" xr:uid="{0E212AE1-EB57-4BA3-9C23-60DA452F7D98}"/>
    <cellStyle name="Note 3 2 12" xfId="13432" xr:uid="{9E579852-BF9C-45E3-A9F1-A86C199EFB42}"/>
    <cellStyle name="Note 3 2 13" xfId="15322" xr:uid="{266B3E6C-1C4D-4A8B-92CD-4668CCCD0BB8}"/>
    <cellStyle name="Note 3 2 14" xfId="17212" xr:uid="{4B79F050-B836-494A-8808-DC04674C08AC}"/>
    <cellStyle name="Note 3 2 15" xfId="19102" xr:uid="{CB3D5E36-E3EA-45B6-B927-A1DB6F522984}"/>
    <cellStyle name="Note 3 2 16" xfId="20992" xr:uid="{842E3B2D-B3FE-4880-8A56-376EF90590F3}"/>
    <cellStyle name="Note 3 2 17" xfId="22882" xr:uid="{6D14F715-A7E0-492B-8129-A935B72FE0A6}"/>
    <cellStyle name="Note 3 2 18" xfId="24772" xr:uid="{4BE81CF6-300B-4A3B-BB12-1CA741F2A170}"/>
    <cellStyle name="Note 3 2 19" xfId="26662" xr:uid="{96E777BB-E5E0-4F21-A7C0-A1931A28042A}"/>
    <cellStyle name="Note 3 2 2" xfId="412" xr:uid="{2961D83E-0287-4F72-9F60-9D84BE9C7550}"/>
    <cellStyle name="Note 3 2 2 10" xfId="13642" xr:uid="{2A7884F3-DBA9-4B29-980D-F5409C8FEE72}"/>
    <cellStyle name="Note 3 2 2 11" xfId="15532" xr:uid="{0FECC4E4-4BB8-4121-8295-52E3A243DA30}"/>
    <cellStyle name="Note 3 2 2 12" xfId="17422" xr:uid="{214C4406-41A7-44EF-B3E6-E43B1DD14948}"/>
    <cellStyle name="Note 3 2 2 13" xfId="19312" xr:uid="{46E900AF-664D-4B07-80A6-57C9CDDEEDD2}"/>
    <cellStyle name="Note 3 2 2 14" xfId="21202" xr:uid="{332E74D2-A5C1-432C-9000-B9FD58B7AD03}"/>
    <cellStyle name="Note 3 2 2 15" xfId="23092" xr:uid="{BFA7DBD1-FFF8-452D-B1F5-25419DA5AD78}"/>
    <cellStyle name="Note 3 2 2 16" xfId="24982" xr:uid="{F6362F46-8A33-4367-85B4-507D2F605670}"/>
    <cellStyle name="Note 3 2 2 17" xfId="26872" xr:uid="{92017F19-5ADE-40B2-8B1A-804DB7945FD3}"/>
    <cellStyle name="Note 3 2 2 18" xfId="28762" xr:uid="{FD7A1813-C105-4898-BD42-81302EB07942}"/>
    <cellStyle name="Note 3 2 2 19" xfId="30652" xr:uid="{45ADBD02-4809-41A5-BCA6-9AF2EB9847D4}"/>
    <cellStyle name="Note 3 2 2 2" xfId="1042" xr:uid="{29B10E02-7B61-4D08-B9F9-77C14FD728E9}"/>
    <cellStyle name="Note 3 2 2 2 10" xfId="18052" xr:uid="{E4E06C65-F49C-47CF-9AD9-82588D899E3B}"/>
    <cellStyle name="Note 3 2 2 2 11" xfId="19942" xr:uid="{AB4983E5-A08D-461D-AC9B-57F16D27C645}"/>
    <cellStyle name="Note 3 2 2 2 12" xfId="21832" xr:uid="{AFD0BC7C-49C7-49A2-BF91-F86EF79382DB}"/>
    <cellStyle name="Note 3 2 2 2 13" xfId="23722" xr:uid="{3DECCD52-79CA-4AB3-BF60-D404C3570F13}"/>
    <cellStyle name="Note 3 2 2 2 14" xfId="25612" xr:uid="{67549484-28D9-45C7-B3D5-5AAD967B327E}"/>
    <cellStyle name="Note 3 2 2 2 15" xfId="27502" xr:uid="{9BDD4693-7E0F-4BC2-86C5-04D8A20BE3EF}"/>
    <cellStyle name="Note 3 2 2 2 16" xfId="29392" xr:uid="{56673B39-326C-4CBC-BAED-5EC6213A807C}"/>
    <cellStyle name="Note 3 2 2 2 17" xfId="31282" xr:uid="{32B4B83B-6257-4C05-8720-AE04E936B068}"/>
    <cellStyle name="Note 3 2 2 2 18" xfId="33172" xr:uid="{3161B97E-80B5-4163-B320-6F3A0191EE1B}"/>
    <cellStyle name="Note 3 2 2 2 19" xfId="35062" xr:uid="{14AC8E4A-4EF5-43D8-BCB9-943B6B0167CB}"/>
    <cellStyle name="Note 3 2 2 2 2" xfId="2932" xr:uid="{22918669-9D4A-443F-A12D-CC7FC414EAAB}"/>
    <cellStyle name="Note 3 2 2 2 20" xfId="36952" xr:uid="{2492776F-4964-453F-B0DE-C3BC46BA1D67}"/>
    <cellStyle name="Note 3 2 2 2 21" xfId="38842" xr:uid="{A67935BE-84B8-43C8-AF14-54AD8EE79C23}"/>
    <cellStyle name="Note 3 2 2 2 22" xfId="40733" xr:uid="{D0B5D5EE-A45A-4927-9D01-EF40D11842CD}"/>
    <cellStyle name="Note 3 2 2 2 3" xfId="4822" xr:uid="{6FFFE84F-C5B3-42C6-A95F-4CD5640578A3}"/>
    <cellStyle name="Note 3 2 2 2 4" xfId="6712" xr:uid="{A08F331D-D6EA-40B3-A4A8-DFD078BB176F}"/>
    <cellStyle name="Note 3 2 2 2 5" xfId="8602" xr:uid="{AEC88616-603D-477C-A669-CCD76870CEFA}"/>
    <cellStyle name="Note 3 2 2 2 6" xfId="10492" xr:uid="{99BCC564-E8BA-4F4B-BAED-B427BE527C93}"/>
    <cellStyle name="Note 3 2 2 2 7" xfId="12382" xr:uid="{EBE47708-52D1-4493-AC33-22442ACF652A}"/>
    <cellStyle name="Note 3 2 2 2 8" xfId="14272" xr:uid="{4FCAF492-D7AA-4514-844C-771BDD13FC2C}"/>
    <cellStyle name="Note 3 2 2 2 9" xfId="16162" xr:uid="{CA507715-8CBE-4F1F-A7A6-C6ECA9FBD4C7}"/>
    <cellStyle name="Note 3 2 2 20" xfId="32542" xr:uid="{66635B4E-7727-4F0A-84E5-EC72F2D098AE}"/>
    <cellStyle name="Note 3 2 2 21" xfId="34432" xr:uid="{E80A4C9C-AE5C-4EBC-A758-D53385098719}"/>
    <cellStyle name="Note 3 2 2 22" xfId="36322" xr:uid="{43593058-03F9-48A0-875D-CCC6FA5DC693}"/>
    <cellStyle name="Note 3 2 2 23" xfId="38212" xr:uid="{9E03AA5C-0434-4A9F-AD5D-8B007504BFB7}"/>
    <cellStyle name="Note 3 2 2 24" xfId="40103" xr:uid="{7C9BA57F-58B7-4742-985E-D2399E62FE3C}"/>
    <cellStyle name="Note 3 2 2 3" xfId="1672" xr:uid="{B964392E-DEC3-4EE6-8B8B-491D5D7E93C2}"/>
    <cellStyle name="Note 3 2 2 3 10" xfId="18682" xr:uid="{84292D35-7A58-4EA6-8227-A48D02706C2C}"/>
    <cellStyle name="Note 3 2 2 3 11" xfId="20572" xr:uid="{BF41BE13-098F-424D-B8AB-C2DC5880B90D}"/>
    <cellStyle name="Note 3 2 2 3 12" xfId="22462" xr:uid="{6BC2DEA0-8F33-482F-B45F-BC7F05AE89C2}"/>
    <cellStyle name="Note 3 2 2 3 13" xfId="24352" xr:uid="{F16F674A-F3C6-4EA3-9718-2A8F0951454E}"/>
    <cellStyle name="Note 3 2 2 3 14" xfId="26242" xr:uid="{51F6A655-FCBD-4F11-986F-95C463B9BE31}"/>
    <cellStyle name="Note 3 2 2 3 15" xfId="28132" xr:uid="{1DED69BD-A767-4858-80B0-48EABEB9E1AF}"/>
    <cellStyle name="Note 3 2 2 3 16" xfId="30022" xr:uid="{5296EEDC-B860-414D-8197-62806A51D6F6}"/>
    <cellStyle name="Note 3 2 2 3 17" xfId="31912" xr:uid="{55B84F35-C740-4555-B7DD-77841672E4FC}"/>
    <cellStyle name="Note 3 2 2 3 18" xfId="33802" xr:uid="{FB7F5AF8-E80E-443A-96D0-4EEC4EFFFCF3}"/>
    <cellStyle name="Note 3 2 2 3 19" xfId="35692" xr:uid="{30158E38-828D-4B77-894E-EA9C769E11A5}"/>
    <cellStyle name="Note 3 2 2 3 2" xfId="3562" xr:uid="{B260ABC3-E053-423D-8D7E-1A3B764FCE4F}"/>
    <cellStyle name="Note 3 2 2 3 20" xfId="37582" xr:uid="{71A52BF7-BEFC-4135-B0A4-C3C6C64AAD2F}"/>
    <cellStyle name="Note 3 2 2 3 21" xfId="39472" xr:uid="{D61E68B3-C283-44A8-BFB5-7E75BE3901EA}"/>
    <cellStyle name="Note 3 2 2 3 22" xfId="41363" xr:uid="{828D3053-62DB-4580-B3D0-F5D991B1EB2E}"/>
    <cellStyle name="Note 3 2 2 3 3" xfId="5452" xr:uid="{1BD396DA-9F17-4EAA-A98E-0FB988CA25CB}"/>
    <cellStyle name="Note 3 2 2 3 4" xfId="7342" xr:uid="{C0083023-63AA-48E2-A580-04FEEE93ED2B}"/>
    <cellStyle name="Note 3 2 2 3 5" xfId="9232" xr:uid="{CB618BC3-2D46-4B53-B4C7-3BB130E7C169}"/>
    <cellStyle name="Note 3 2 2 3 6" xfId="11122" xr:uid="{C53C1A55-B431-4163-B8B9-655610B95EEB}"/>
    <cellStyle name="Note 3 2 2 3 7" xfId="13012" xr:uid="{D66CC8CC-BF7A-4B72-9387-1B50509E73D4}"/>
    <cellStyle name="Note 3 2 2 3 8" xfId="14902" xr:uid="{406D381E-CB51-49BB-9F98-DC441F66E3A1}"/>
    <cellStyle name="Note 3 2 2 3 9" xfId="16792" xr:uid="{B4020307-E4DA-4EFF-98AA-95F84D056C92}"/>
    <cellStyle name="Note 3 2 2 4" xfId="2302" xr:uid="{343497AE-B488-4F18-81AA-A92D59700A27}"/>
    <cellStyle name="Note 3 2 2 5" xfId="4192" xr:uid="{C91CDC39-60AC-4ED5-B39C-741E0151DC31}"/>
    <cellStyle name="Note 3 2 2 6" xfId="6082" xr:uid="{640349BF-CFA1-4D9D-B531-84D5F641E1DA}"/>
    <cellStyle name="Note 3 2 2 7" xfId="7972" xr:uid="{466655FA-AE3F-4CF4-8AEC-CBD7721599DB}"/>
    <cellStyle name="Note 3 2 2 8" xfId="9862" xr:uid="{5321223C-91E5-4EC8-B649-1BAAC7FFD02F}"/>
    <cellStyle name="Note 3 2 2 9" xfId="11752" xr:uid="{DA2EE292-2F0B-4CB7-906C-D81746119D79}"/>
    <cellStyle name="Note 3 2 20" xfId="28552" xr:uid="{AF52B9DD-06F3-42B8-870F-E4D076FFDF22}"/>
    <cellStyle name="Note 3 2 21" xfId="30442" xr:uid="{31A16C81-B157-4DE6-93BF-BDE7B20407F7}"/>
    <cellStyle name="Note 3 2 22" xfId="32332" xr:uid="{7035B346-C3C4-4812-A3F2-305FB918C990}"/>
    <cellStyle name="Note 3 2 23" xfId="34222" xr:uid="{4B3DE75C-D620-465B-AB41-8117465D776B}"/>
    <cellStyle name="Note 3 2 24" xfId="36112" xr:uid="{8F4DE215-9BA0-4D70-87CE-61CCBF607830}"/>
    <cellStyle name="Note 3 2 25" xfId="38002" xr:uid="{17846B7D-4647-49C5-88F2-BC479D998C0A}"/>
    <cellStyle name="Note 3 2 26" xfId="39893" xr:uid="{D22B4E57-BB1D-4B40-A524-4A5C752624AF}"/>
    <cellStyle name="Note 3 2 3" xfId="622" xr:uid="{5FAF8F45-22F5-4241-A18A-C74C3CD65E60}"/>
    <cellStyle name="Note 3 2 3 10" xfId="13852" xr:uid="{56FB0826-9259-4BC1-B523-A3ECA0DE344B}"/>
    <cellStyle name="Note 3 2 3 11" xfId="15742" xr:uid="{CE6F486B-653E-4FB6-942F-3ADEAF08F710}"/>
    <cellStyle name="Note 3 2 3 12" xfId="17632" xr:uid="{ED83E111-2252-48AF-AD8C-F23741E84E2B}"/>
    <cellStyle name="Note 3 2 3 13" xfId="19522" xr:uid="{277A397E-CC95-41BB-81BD-5AAD26279097}"/>
    <cellStyle name="Note 3 2 3 14" xfId="21412" xr:uid="{0DF8A752-4393-4449-92A6-C88B462F3530}"/>
    <cellStyle name="Note 3 2 3 15" xfId="23302" xr:uid="{7D5FE012-AD31-4144-B95E-F2754D847B19}"/>
    <cellStyle name="Note 3 2 3 16" xfId="25192" xr:uid="{C2C7A8DD-6011-4605-8434-E95A26523BAD}"/>
    <cellStyle name="Note 3 2 3 17" xfId="27082" xr:uid="{C743396B-4B42-4EEA-96CE-3CBE6DEF74B4}"/>
    <cellStyle name="Note 3 2 3 18" xfId="28972" xr:uid="{EEBAA512-E2A4-472C-B1CC-26074970EF14}"/>
    <cellStyle name="Note 3 2 3 19" xfId="30862" xr:uid="{288B2DF4-1AE3-4A47-8B2F-047D7440C2BD}"/>
    <cellStyle name="Note 3 2 3 2" xfId="1252" xr:uid="{819A2906-71D4-4430-80A3-5FBE11F09F2F}"/>
    <cellStyle name="Note 3 2 3 2 10" xfId="18262" xr:uid="{0A4BA50A-0017-4647-9D22-1F701FDE799F}"/>
    <cellStyle name="Note 3 2 3 2 11" xfId="20152" xr:uid="{687AA38D-F9DE-419B-8C63-1E46DC4A3ACB}"/>
    <cellStyle name="Note 3 2 3 2 12" xfId="22042" xr:uid="{26510D04-F6E2-410A-A04F-FB1E8E22D7CD}"/>
    <cellStyle name="Note 3 2 3 2 13" xfId="23932" xr:uid="{1E6F410C-4DC0-443E-9FB0-94D6590FC4CC}"/>
    <cellStyle name="Note 3 2 3 2 14" xfId="25822" xr:uid="{395A8E20-41E3-4E9C-82F9-049DBA46591F}"/>
    <cellStyle name="Note 3 2 3 2 15" xfId="27712" xr:uid="{C8B4A0A3-C1A8-4E7A-9617-F554A0EE93A8}"/>
    <cellStyle name="Note 3 2 3 2 16" xfId="29602" xr:uid="{F85E6AB6-897E-42F6-9CDE-0C71D60C4870}"/>
    <cellStyle name="Note 3 2 3 2 17" xfId="31492" xr:uid="{C754C8FF-A1F0-446C-A4A2-CFB3A9A420E0}"/>
    <cellStyle name="Note 3 2 3 2 18" xfId="33382" xr:uid="{DC7385ED-D037-46FA-BEB6-6AF3EAC33468}"/>
    <cellStyle name="Note 3 2 3 2 19" xfId="35272" xr:uid="{CD27DF44-0B74-4117-9295-BD526CFBBD17}"/>
    <cellStyle name="Note 3 2 3 2 2" xfId="3142" xr:uid="{5E77C48E-ACE1-406A-86D3-A6ADDD6DC52C}"/>
    <cellStyle name="Note 3 2 3 2 20" xfId="37162" xr:uid="{846B2155-797E-4A55-8819-F5BCF32C9E5C}"/>
    <cellStyle name="Note 3 2 3 2 21" xfId="39052" xr:uid="{74861231-6370-44CA-B4C2-FDA1D130672D}"/>
    <cellStyle name="Note 3 2 3 2 22" xfId="40943" xr:uid="{E2BFEE28-8FE3-4D7E-90A5-F2316CF3FD84}"/>
    <cellStyle name="Note 3 2 3 2 3" xfId="5032" xr:uid="{BDDE1F45-A15D-49A5-BB7A-3964D2EC8329}"/>
    <cellStyle name="Note 3 2 3 2 4" xfId="6922" xr:uid="{76E426F9-EAB5-4E42-A798-9360319F7799}"/>
    <cellStyle name="Note 3 2 3 2 5" xfId="8812" xr:uid="{014B2EA1-09EF-4524-96AF-162F334A9E5D}"/>
    <cellStyle name="Note 3 2 3 2 6" xfId="10702" xr:uid="{A71CE36E-B1CB-46BB-BCAC-379D7CFB21C3}"/>
    <cellStyle name="Note 3 2 3 2 7" xfId="12592" xr:uid="{117FAF07-14C8-4C2E-AD1B-16FCB21AF2AC}"/>
    <cellStyle name="Note 3 2 3 2 8" xfId="14482" xr:uid="{DCE05F92-0014-4A79-8968-FE83D82D4C41}"/>
    <cellStyle name="Note 3 2 3 2 9" xfId="16372" xr:uid="{0D5FB6BA-344B-4797-A3BC-12F8D49CE0B0}"/>
    <cellStyle name="Note 3 2 3 20" xfId="32752" xr:uid="{DCD4B23E-1AF4-4A81-8175-CA5A07D5E62B}"/>
    <cellStyle name="Note 3 2 3 21" xfId="34642" xr:uid="{56A3FBA4-DA9B-4A66-B8E0-1020D30497C8}"/>
    <cellStyle name="Note 3 2 3 22" xfId="36532" xr:uid="{858F3A6D-915E-4782-8EB4-38D708641391}"/>
    <cellStyle name="Note 3 2 3 23" xfId="38422" xr:uid="{3184512D-6C46-4F14-A904-EC7A0E55AD02}"/>
    <cellStyle name="Note 3 2 3 24" xfId="40313" xr:uid="{E5014297-5BDA-4903-B90D-3C68B505D73B}"/>
    <cellStyle name="Note 3 2 3 3" xfId="1882" xr:uid="{414C094B-C51E-49A6-B929-2AFA2F98BEDA}"/>
    <cellStyle name="Note 3 2 3 3 10" xfId="18892" xr:uid="{991CB470-7F93-42A3-90D9-CFEA85CF9EC6}"/>
    <cellStyle name="Note 3 2 3 3 11" xfId="20782" xr:uid="{F134845A-AC62-47A5-8EC2-FD6DED5CB08F}"/>
    <cellStyle name="Note 3 2 3 3 12" xfId="22672" xr:uid="{861855FE-B8E4-4713-886C-B6DA13598114}"/>
    <cellStyle name="Note 3 2 3 3 13" xfId="24562" xr:uid="{AE962589-613E-421B-B2A0-C79BC13BE9A4}"/>
    <cellStyle name="Note 3 2 3 3 14" xfId="26452" xr:uid="{D0FF21DA-C182-4FFA-A708-16D5646B5029}"/>
    <cellStyle name="Note 3 2 3 3 15" xfId="28342" xr:uid="{393FF0C4-E408-4DBA-BAA0-D4B4D9E70E96}"/>
    <cellStyle name="Note 3 2 3 3 16" xfId="30232" xr:uid="{5E06D101-157F-4F2C-8AD0-B99BE4FDEEF1}"/>
    <cellStyle name="Note 3 2 3 3 17" xfId="32122" xr:uid="{E17C2054-24A6-4277-85BB-90AA59486F4F}"/>
    <cellStyle name="Note 3 2 3 3 18" xfId="34012" xr:uid="{76D6D57A-A5D8-4303-80F7-60B26391CF69}"/>
    <cellStyle name="Note 3 2 3 3 19" xfId="35902" xr:uid="{7BB17AE0-6BCB-4840-82D2-F5B432439FB1}"/>
    <cellStyle name="Note 3 2 3 3 2" xfId="3772" xr:uid="{7BE39B38-398C-433C-AB91-EF0635CCE9FC}"/>
    <cellStyle name="Note 3 2 3 3 20" xfId="37792" xr:uid="{6963C5AC-D2CD-403D-838F-55D06C179E05}"/>
    <cellStyle name="Note 3 2 3 3 21" xfId="39682" xr:uid="{047B9BB5-5967-44C1-BE56-D64F815DB501}"/>
    <cellStyle name="Note 3 2 3 3 22" xfId="41573" xr:uid="{01CBCE5F-9E87-4E27-8F43-F570EEAE7CFF}"/>
    <cellStyle name="Note 3 2 3 3 3" xfId="5662" xr:uid="{EE890862-27E5-4B40-89AC-55637BFAFFC5}"/>
    <cellStyle name="Note 3 2 3 3 4" xfId="7552" xr:uid="{4E6F8022-7B2F-42FF-90A2-02CD0E44B7E6}"/>
    <cellStyle name="Note 3 2 3 3 5" xfId="9442" xr:uid="{9F0DE76C-0F19-43FA-8F59-4618C0C80046}"/>
    <cellStyle name="Note 3 2 3 3 6" xfId="11332" xr:uid="{1C7FA8BE-341C-4A7B-BA80-D2A2DC938AAE}"/>
    <cellStyle name="Note 3 2 3 3 7" xfId="13222" xr:uid="{27E01964-1A13-44A3-BA00-0FA4A08A691C}"/>
    <cellStyle name="Note 3 2 3 3 8" xfId="15112" xr:uid="{60019F67-43BE-4BAA-AED2-E27D047B0738}"/>
    <cellStyle name="Note 3 2 3 3 9" xfId="17002" xr:uid="{93724327-B43C-4431-B001-8089716B25F7}"/>
    <cellStyle name="Note 3 2 3 4" xfId="2512" xr:uid="{E301C652-E659-4D7E-AE4B-F73737E71857}"/>
    <cellStyle name="Note 3 2 3 5" xfId="4402" xr:uid="{1E32D621-90A2-481F-8A56-E577DB96D410}"/>
    <cellStyle name="Note 3 2 3 6" xfId="6292" xr:uid="{D6446A95-F606-494B-8769-70B1D8B9B13D}"/>
    <cellStyle name="Note 3 2 3 7" xfId="8182" xr:uid="{C4E12263-922C-4034-A243-3F83D2872249}"/>
    <cellStyle name="Note 3 2 3 8" xfId="10072" xr:uid="{F0323F4B-84D2-4DC9-8E96-171EF94B601B}"/>
    <cellStyle name="Note 3 2 3 9" xfId="11962" xr:uid="{686606E8-393F-477D-9DB4-D6091DCAAAC7}"/>
    <cellStyle name="Note 3 2 4" xfId="832" xr:uid="{FB4734A7-1AC6-4603-B573-784E2227799F}"/>
    <cellStyle name="Note 3 2 4 10" xfId="17842" xr:uid="{75FF24CC-09C6-4BD1-BA26-8BEC3912AF66}"/>
    <cellStyle name="Note 3 2 4 11" xfId="19732" xr:uid="{6711B3A4-2182-4C32-A6A3-13A17669853C}"/>
    <cellStyle name="Note 3 2 4 12" xfId="21622" xr:uid="{C88DCE27-02FD-4A34-82BF-226E200C4CD5}"/>
    <cellStyle name="Note 3 2 4 13" xfId="23512" xr:uid="{326CB8D5-1FE7-40F1-8AEE-08291AE1B4AC}"/>
    <cellStyle name="Note 3 2 4 14" xfId="25402" xr:uid="{518DBC20-CBE1-4721-A225-E1DE888DCCCF}"/>
    <cellStyle name="Note 3 2 4 15" xfId="27292" xr:uid="{E6D09211-B230-4760-96FD-415AFCDE6F28}"/>
    <cellStyle name="Note 3 2 4 16" xfId="29182" xr:uid="{A1509943-B80D-423B-83C4-372891545E64}"/>
    <cellStyle name="Note 3 2 4 17" xfId="31072" xr:uid="{81425328-22D2-4C38-B84E-5529B3CC0046}"/>
    <cellStyle name="Note 3 2 4 18" xfId="32962" xr:uid="{0D7FC1CA-E24F-4DCA-8806-FF736DBA4534}"/>
    <cellStyle name="Note 3 2 4 19" xfId="34852" xr:uid="{9C9EAB92-A76A-4A3B-96AE-0237A1C4716B}"/>
    <cellStyle name="Note 3 2 4 2" xfId="2722" xr:uid="{BABFC8B9-F9ED-4888-9E99-20E69D9E0524}"/>
    <cellStyle name="Note 3 2 4 20" xfId="36742" xr:uid="{9942CCF6-B7B5-4F5A-A0FB-CA2E34A94E63}"/>
    <cellStyle name="Note 3 2 4 21" xfId="38632" xr:uid="{4B8B188E-C51C-4A94-B051-25E0C51D112F}"/>
    <cellStyle name="Note 3 2 4 22" xfId="40523" xr:uid="{242AF415-C91D-43D5-84D2-29179E980359}"/>
    <cellStyle name="Note 3 2 4 3" xfId="4612" xr:uid="{091AF0F3-C5B0-4209-B593-3CA01DBFF10A}"/>
    <cellStyle name="Note 3 2 4 4" xfId="6502" xr:uid="{12AABB09-A317-4B1D-A70D-A29BC0DB0683}"/>
    <cellStyle name="Note 3 2 4 5" xfId="8392" xr:uid="{15DB67ED-769A-4D39-88AD-E2CB5ED7B863}"/>
    <cellStyle name="Note 3 2 4 6" xfId="10282" xr:uid="{C16B3E83-C398-467A-A069-5CBCBA773040}"/>
    <cellStyle name="Note 3 2 4 7" xfId="12172" xr:uid="{A13238D2-8857-464E-A337-796305F1BFF5}"/>
    <cellStyle name="Note 3 2 4 8" xfId="14062" xr:uid="{EB501416-E8AC-4CDF-BD41-A297C71B379A}"/>
    <cellStyle name="Note 3 2 4 9" xfId="15952" xr:uid="{D4EC122C-B6A8-4A70-BC43-62EFAE98A5CA}"/>
    <cellStyle name="Note 3 2 5" xfId="1462" xr:uid="{79ECB8EA-DC20-4C59-A160-9C5402971E80}"/>
    <cellStyle name="Note 3 2 5 10" xfId="18472" xr:uid="{20C3F2F0-D1AD-4181-AD3A-5F52DBDF3791}"/>
    <cellStyle name="Note 3 2 5 11" xfId="20362" xr:uid="{B0A23548-EE88-4A82-9441-9C4390D16024}"/>
    <cellStyle name="Note 3 2 5 12" xfId="22252" xr:uid="{9C7FF2C1-94E3-4B98-886E-5E4AEED0F041}"/>
    <cellStyle name="Note 3 2 5 13" xfId="24142" xr:uid="{989B72E1-76B0-43FC-981E-E485DF6B9E99}"/>
    <cellStyle name="Note 3 2 5 14" xfId="26032" xr:uid="{EF3279BE-397C-4DCD-83BD-B04AF88B3822}"/>
    <cellStyle name="Note 3 2 5 15" xfId="27922" xr:uid="{AC87F590-872C-4193-AD1E-426BA7664ACD}"/>
    <cellStyle name="Note 3 2 5 16" xfId="29812" xr:uid="{915E0D9C-C7D1-4B17-A040-A5F1C4C6D699}"/>
    <cellStyle name="Note 3 2 5 17" xfId="31702" xr:uid="{70F4F4D5-82C1-4384-8AB4-4DCB28999B6D}"/>
    <cellStyle name="Note 3 2 5 18" xfId="33592" xr:uid="{5B2D5A34-CC3A-41B0-86E4-601CE5EEA9C9}"/>
    <cellStyle name="Note 3 2 5 19" xfId="35482" xr:uid="{7EFBD94E-E2E6-44BC-B98D-E5F0365CE06F}"/>
    <cellStyle name="Note 3 2 5 2" xfId="3352" xr:uid="{927F8533-175C-4A10-9C59-74DBDF9FA77A}"/>
    <cellStyle name="Note 3 2 5 20" xfId="37372" xr:uid="{671B0EAD-A88C-4F46-ADB1-1D3689CF0C72}"/>
    <cellStyle name="Note 3 2 5 21" xfId="39262" xr:uid="{5D933956-01D0-4BB7-BD8C-083F76C0A4B9}"/>
    <cellStyle name="Note 3 2 5 22" xfId="41153" xr:uid="{EB9C87A4-918B-40D6-AAEE-84C355EAD341}"/>
    <cellStyle name="Note 3 2 5 3" xfId="5242" xr:uid="{AEC865C3-7305-4D52-92AF-BBB3081C11FB}"/>
    <cellStyle name="Note 3 2 5 4" xfId="7132" xr:uid="{896D3AA4-CF34-408E-912C-04DD89F3B5E8}"/>
    <cellStyle name="Note 3 2 5 5" xfId="9022" xr:uid="{BFC1EFAA-1F7A-46FB-A3C4-E97481EB46FD}"/>
    <cellStyle name="Note 3 2 5 6" xfId="10912" xr:uid="{72879FA3-BFC9-4337-A430-7905174FE086}"/>
    <cellStyle name="Note 3 2 5 7" xfId="12802" xr:uid="{7F2CA895-FB5F-4B59-B6C8-4A4AFF0894B0}"/>
    <cellStyle name="Note 3 2 5 8" xfId="14692" xr:uid="{345A0F6D-98EA-4820-AE35-69DDEBA26D04}"/>
    <cellStyle name="Note 3 2 5 9" xfId="16582" xr:uid="{3935EB4D-5909-48C5-9359-AA8A0B2DBE8A}"/>
    <cellStyle name="Note 3 2 6" xfId="2092" xr:uid="{7A28A7E4-7D05-40F2-942A-8E9A361939D8}"/>
    <cellStyle name="Note 3 2 7" xfId="3982" xr:uid="{8766BBC9-EFBF-4063-876E-08DB130AEA10}"/>
    <cellStyle name="Note 3 2 8" xfId="5872" xr:uid="{91FD0A91-B2EF-457D-9657-FE0D5CAAAE90}"/>
    <cellStyle name="Note 3 2 9" xfId="7762" xr:uid="{678A1C1A-E9AF-4796-A220-4A6761A50C03}"/>
    <cellStyle name="Note 3 20" xfId="26557" xr:uid="{50325637-4A9D-4E39-A916-E206614981C6}"/>
    <cellStyle name="Note 3 21" xfId="28447" xr:uid="{2C0AC31D-AA31-40CB-8EE9-FBAAE8B55147}"/>
    <cellStyle name="Note 3 22" xfId="30337" xr:uid="{4F1DA8CC-D301-4BD6-B487-C59DFF224E7A}"/>
    <cellStyle name="Note 3 23" xfId="32227" xr:uid="{E427BBBE-A341-47F7-93A7-7584848075D5}"/>
    <cellStyle name="Note 3 24" xfId="34117" xr:uid="{C98EFC37-D087-4961-8957-29C411E711A8}"/>
    <cellStyle name="Note 3 25" xfId="36007" xr:uid="{D870645B-58BF-497C-90B9-5A0CBDE30CF5}"/>
    <cellStyle name="Note 3 26" xfId="37897" xr:uid="{1B926101-D71F-4FD9-AB71-73ADFDAA13CF}"/>
    <cellStyle name="Note 3 27" xfId="39788" xr:uid="{78607550-E36A-47FB-8240-588B32A7A476}"/>
    <cellStyle name="Note 3 3" xfId="307" xr:uid="{2595B3C6-CFB3-4CF3-9B2D-0D19EECCBBA6}"/>
    <cellStyle name="Note 3 3 10" xfId="13537" xr:uid="{ACE38669-A88E-42EC-B8A3-35AC16D95B7B}"/>
    <cellStyle name="Note 3 3 11" xfId="15427" xr:uid="{D5E49BD8-6D8D-45C3-AE4A-F2CBD836A9A0}"/>
    <cellStyle name="Note 3 3 12" xfId="17317" xr:uid="{184F6E88-C9E9-4B43-A333-2ECF37BB4C60}"/>
    <cellStyle name="Note 3 3 13" xfId="19207" xr:uid="{F7CABF33-435F-449A-8833-B2C1F35C4546}"/>
    <cellStyle name="Note 3 3 14" xfId="21097" xr:uid="{68750004-73E3-49D0-BB53-48378C559952}"/>
    <cellStyle name="Note 3 3 15" xfId="22987" xr:uid="{1992EAE3-9584-491F-B07F-432F75119B8B}"/>
    <cellStyle name="Note 3 3 16" xfId="24877" xr:uid="{4E99FB85-C336-4591-958B-6721DC3FB71B}"/>
    <cellStyle name="Note 3 3 17" xfId="26767" xr:uid="{30EC83A2-8DE2-4766-B572-15188242BE3C}"/>
    <cellStyle name="Note 3 3 18" xfId="28657" xr:uid="{2DFB5870-08C3-4959-8D4D-099920B13733}"/>
    <cellStyle name="Note 3 3 19" xfId="30547" xr:uid="{1E864E41-02CC-4E38-B8D1-958B1BEC6862}"/>
    <cellStyle name="Note 3 3 2" xfId="937" xr:uid="{5F9F9435-4729-4370-A594-2269E489B28C}"/>
    <cellStyle name="Note 3 3 2 10" xfId="17947" xr:uid="{3602523A-D2D2-46DE-9A4C-9C7F1FE4DB7C}"/>
    <cellStyle name="Note 3 3 2 11" xfId="19837" xr:uid="{36ED594B-AB79-4B98-9330-CA74E3AED166}"/>
    <cellStyle name="Note 3 3 2 12" xfId="21727" xr:uid="{3F513EA6-F264-4D65-B5CA-95C881B33516}"/>
    <cellStyle name="Note 3 3 2 13" xfId="23617" xr:uid="{A63C7C47-9845-47A8-BC98-D09B1B9850DB}"/>
    <cellStyle name="Note 3 3 2 14" xfId="25507" xr:uid="{11D11734-2E53-4F74-8D30-69568490152A}"/>
    <cellStyle name="Note 3 3 2 15" xfId="27397" xr:uid="{334ACAAC-D7CF-4DC8-8272-13DDF98AB40D}"/>
    <cellStyle name="Note 3 3 2 16" xfId="29287" xr:uid="{602935E4-7C3A-4881-9131-38B2D1254B3A}"/>
    <cellStyle name="Note 3 3 2 17" xfId="31177" xr:uid="{70F502F6-8B7D-4D5D-B8EC-F0F926C2C99C}"/>
    <cellStyle name="Note 3 3 2 18" xfId="33067" xr:uid="{A6C4A02C-0872-433D-A49F-1E653D3C7C02}"/>
    <cellStyle name="Note 3 3 2 19" xfId="34957" xr:uid="{7E20379F-CE06-411E-8E0E-3BF3730E2BCC}"/>
    <cellStyle name="Note 3 3 2 2" xfId="2827" xr:uid="{5C283DDA-4F6A-4896-ACC9-CF39E2AF38B4}"/>
    <cellStyle name="Note 3 3 2 20" xfId="36847" xr:uid="{23BD27A3-070F-4ABB-A690-D1339F7045E0}"/>
    <cellStyle name="Note 3 3 2 21" xfId="38737" xr:uid="{33AF160C-7150-4E43-9200-0D7B43C21831}"/>
    <cellStyle name="Note 3 3 2 22" xfId="40628" xr:uid="{3561E7F2-932C-48D7-89A3-1E823CF21515}"/>
    <cellStyle name="Note 3 3 2 3" xfId="4717" xr:uid="{366F9E0A-F3BF-44BF-9761-368C853B06D0}"/>
    <cellStyle name="Note 3 3 2 4" xfId="6607" xr:uid="{776F08EB-724A-4348-9532-BADC8F80A53C}"/>
    <cellStyle name="Note 3 3 2 5" xfId="8497" xr:uid="{15302898-DB36-489D-9110-BD3FAC7202AE}"/>
    <cellStyle name="Note 3 3 2 6" xfId="10387" xr:uid="{C02A6C4F-E511-4E17-9460-5D50B42B5E44}"/>
    <cellStyle name="Note 3 3 2 7" xfId="12277" xr:uid="{E6C7F8CE-C269-41E6-9CB8-9C4894E7D145}"/>
    <cellStyle name="Note 3 3 2 8" xfId="14167" xr:uid="{E8F7D413-EF7C-4FA2-8536-AC7D0432031D}"/>
    <cellStyle name="Note 3 3 2 9" xfId="16057" xr:uid="{B165BB4D-EA4A-4573-B663-B5B6D937B667}"/>
    <cellStyle name="Note 3 3 20" xfId="32437" xr:uid="{7AA8087C-05FE-4995-804B-9F26261181A1}"/>
    <cellStyle name="Note 3 3 21" xfId="34327" xr:uid="{E0108C17-ACB4-4EA8-83BB-58D71B659D4E}"/>
    <cellStyle name="Note 3 3 22" xfId="36217" xr:uid="{42C055D4-DA63-4E09-BF4A-4A825968F659}"/>
    <cellStyle name="Note 3 3 23" xfId="38107" xr:uid="{4D9975BE-D464-4E9C-B602-3D61AACE9288}"/>
    <cellStyle name="Note 3 3 24" xfId="39998" xr:uid="{1C3B8533-3C27-41E6-AFB2-17D2C6CB988B}"/>
    <cellStyle name="Note 3 3 3" xfId="1567" xr:uid="{805A0D7C-863E-440E-82E7-B378B526647F}"/>
    <cellStyle name="Note 3 3 3 10" xfId="18577" xr:uid="{E857C7B2-B9EF-4D39-85CF-34F4AC1BCFEE}"/>
    <cellStyle name="Note 3 3 3 11" xfId="20467" xr:uid="{DAA34826-34F9-48DF-9F69-72390975858D}"/>
    <cellStyle name="Note 3 3 3 12" xfId="22357" xr:uid="{1A5D4E77-5990-4894-9B41-59009CBDFF03}"/>
    <cellStyle name="Note 3 3 3 13" xfId="24247" xr:uid="{653BE3F0-C1CE-42D0-A4AC-053CC0BB085B}"/>
    <cellStyle name="Note 3 3 3 14" xfId="26137" xr:uid="{D36DEACA-EC6E-4BE8-A703-3495477AC1DA}"/>
    <cellStyle name="Note 3 3 3 15" xfId="28027" xr:uid="{18DEA40E-31AF-456B-AB5E-3A1E1E73136C}"/>
    <cellStyle name="Note 3 3 3 16" xfId="29917" xr:uid="{A237CF24-4128-4DA7-8793-A297EBFE9635}"/>
    <cellStyle name="Note 3 3 3 17" xfId="31807" xr:uid="{6DF748F8-8819-48D5-80B0-A3A3BC7A539B}"/>
    <cellStyle name="Note 3 3 3 18" xfId="33697" xr:uid="{3CE34C31-614E-4D7D-B066-C1430ACB4E92}"/>
    <cellStyle name="Note 3 3 3 19" xfId="35587" xr:uid="{716B6930-BB72-43F7-906A-F99E1C4F8422}"/>
    <cellStyle name="Note 3 3 3 2" xfId="3457" xr:uid="{3599DC88-68C6-4045-9323-3DBC0A82899A}"/>
    <cellStyle name="Note 3 3 3 20" xfId="37477" xr:uid="{70BED15F-8A58-4E68-A44A-FAFEB20E0BD7}"/>
    <cellStyle name="Note 3 3 3 21" xfId="39367" xr:uid="{8D82DA21-5EF4-43C9-8957-B6D7F984E93F}"/>
    <cellStyle name="Note 3 3 3 22" xfId="41258" xr:uid="{0135B32C-E5E7-4660-93B0-40B4F377E05E}"/>
    <cellStyle name="Note 3 3 3 3" xfId="5347" xr:uid="{7498FD03-F5EF-4441-A330-27BC369A8033}"/>
    <cellStyle name="Note 3 3 3 4" xfId="7237" xr:uid="{3DDCAC9F-890D-499C-807E-97E14BB364D4}"/>
    <cellStyle name="Note 3 3 3 5" xfId="9127" xr:uid="{204AACCF-4C78-4A70-9E20-B57568D798D5}"/>
    <cellStyle name="Note 3 3 3 6" xfId="11017" xr:uid="{5F213F2B-8631-4BD9-BD2C-896D658B686C}"/>
    <cellStyle name="Note 3 3 3 7" xfId="12907" xr:uid="{858FC56D-24BF-4548-A1B5-6FFE7430ADCF}"/>
    <cellStyle name="Note 3 3 3 8" xfId="14797" xr:uid="{0AB0651F-147F-4D43-86BA-81B93FC3222F}"/>
    <cellStyle name="Note 3 3 3 9" xfId="16687" xr:uid="{CF14DE4B-0A0E-434B-91B7-C5F413CF1968}"/>
    <cellStyle name="Note 3 3 4" xfId="2197" xr:uid="{3A21CFE9-7941-438D-8691-C54D7C457938}"/>
    <cellStyle name="Note 3 3 5" xfId="4087" xr:uid="{C3C47DF6-031A-45F7-BECF-6DABAA1FE4D3}"/>
    <cellStyle name="Note 3 3 6" xfId="5977" xr:uid="{792A9082-C5D3-4925-957E-54EC81DE00A1}"/>
    <cellStyle name="Note 3 3 7" xfId="7867" xr:uid="{9E92E991-C042-44DE-A20D-5DF2327B43EC}"/>
    <cellStyle name="Note 3 3 8" xfId="9757" xr:uid="{1113C373-92EF-46A5-A396-181C0675617F}"/>
    <cellStyle name="Note 3 3 9" xfId="11647" xr:uid="{14D9AD75-5785-4B7A-B900-74797AFFC09D}"/>
    <cellStyle name="Note 3 4" xfId="517" xr:uid="{EEDBB7D4-A298-485F-AE8E-D2E492DFA934}"/>
    <cellStyle name="Note 3 4 10" xfId="13747" xr:uid="{74248238-768F-4563-AF4E-A3AEB11AA516}"/>
    <cellStyle name="Note 3 4 11" xfId="15637" xr:uid="{4A133B53-743A-46B4-8513-3971DE750FC4}"/>
    <cellStyle name="Note 3 4 12" xfId="17527" xr:uid="{1A4541D6-0653-4C1F-87C5-7AD7A5D5F16A}"/>
    <cellStyle name="Note 3 4 13" xfId="19417" xr:uid="{1EE72FF0-0F78-4EA9-90FA-7F0093E7965D}"/>
    <cellStyle name="Note 3 4 14" xfId="21307" xr:uid="{362F6510-45C3-4B4C-A501-5D5F55F551EF}"/>
    <cellStyle name="Note 3 4 15" xfId="23197" xr:uid="{446BF23A-5331-4B0F-935E-25290D8B6E8B}"/>
    <cellStyle name="Note 3 4 16" xfId="25087" xr:uid="{ADCDDE68-B334-490F-A988-75D45046FFC9}"/>
    <cellStyle name="Note 3 4 17" xfId="26977" xr:uid="{05F64168-0D14-412D-964A-0CC9B2D67332}"/>
    <cellStyle name="Note 3 4 18" xfId="28867" xr:uid="{119ABA5A-D5FE-4344-B0CC-88F9551CDEEF}"/>
    <cellStyle name="Note 3 4 19" xfId="30757" xr:uid="{CA540EDE-647E-44B8-8B55-A64C9DA0A459}"/>
    <cellStyle name="Note 3 4 2" xfId="1147" xr:uid="{B3269B6F-0634-457B-8022-364BB708A272}"/>
    <cellStyle name="Note 3 4 2 10" xfId="18157" xr:uid="{E08FC90A-1F2A-459E-B723-846EA2E06505}"/>
    <cellStyle name="Note 3 4 2 11" xfId="20047" xr:uid="{F8570627-5EFD-474A-A91F-469753A0DC8C}"/>
    <cellStyle name="Note 3 4 2 12" xfId="21937" xr:uid="{3960AE28-ED4E-4435-B7F7-8391854859D4}"/>
    <cellStyle name="Note 3 4 2 13" xfId="23827" xr:uid="{14160BCC-EC90-4F14-9866-B6D294004C56}"/>
    <cellStyle name="Note 3 4 2 14" xfId="25717" xr:uid="{C57A4D07-246A-43AA-8E08-1AFB45CB15B8}"/>
    <cellStyle name="Note 3 4 2 15" xfId="27607" xr:uid="{060B13EF-7C71-44C5-A297-4EBFDCA78D98}"/>
    <cellStyle name="Note 3 4 2 16" xfId="29497" xr:uid="{AA521DA0-52ED-4505-8FFD-91ACA1FEE432}"/>
    <cellStyle name="Note 3 4 2 17" xfId="31387" xr:uid="{902BCE51-79A1-4673-966C-7CA61921A696}"/>
    <cellStyle name="Note 3 4 2 18" xfId="33277" xr:uid="{5DBA6A53-FE50-4CDE-B4CF-FCF1252D9B85}"/>
    <cellStyle name="Note 3 4 2 19" xfId="35167" xr:uid="{D0BCD91B-81B4-437E-BA80-CCEAC07F06EA}"/>
    <cellStyle name="Note 3 4 2 2" xfId="3037" xr:uid="{56AC1F8D-BC1F-4C35-96AC-7E5D34F57EA8}"/>
    <cellStyle name="Note 3 4 2 20" xfId="37057" xr:uid="{30FCE75B-0590-4CAE-A83E-983E67DABD73}"/>
    <cellStyle name="Note 3 4 2 21" xfId="38947" xr:uid="{9CB53309-314D-475F-9647-9B18664789F2}"/>
    <cellStyle name="Note 3 4 2 22" xfId="40838" xr:uid="{6C05136D-07ED-4E5F-8F88-3D418AE2A00B}"/>
    <cellStyle name="Note 3 4 2 3" xfId="4927" xr:uid="{4C4427E2-B0AE-4F55-BCCD-F4FF5AA84FFE}"/>
    <cellStyle name="Note 3 4 2 4" xfId="6817" xr:uid="{8A176BA0-0EE7-4018-ACAD-5996C95418DA}"/>
    <cellStyle name="Note 3 4 2 5" xfId="8707" xr:uid="{BC47AAD6-70EC-4E4B-AFD3-C6CE4110044C}"/>
    <cellStyle name="Note 3 4 2 6" xfId="10597" xr:uid="{0116757A-78C0-414E-A0F0-873CD9E2A638}"/>
    <cellStyle name="Note 3 4 2 7" xfId="12487" xr:uid="{D3EDEA39-29A4-4AC3-93F5-E9ACF5D1ACAC}"/>
    <cellStyle name="Note 3 4 2 8" xfId="14377" xr:uid="{3E7A1A66-9F89-47F4-AF80-0230B62FBF4D}"/>
    <cellStyle name="Note 3 4 2 9" xfId="16267" xr:uid="{3A7A6D66-DB66-4B0C-A521-C6A306565695}"/>
    <cellStyle name="Note 3 4 20" xfId="32647" xr:uid="{EAA9C9CC-419A-4CDF-8507-453E338A34EB}"/>
    <cellStyle name="Note 3 4 21" xfId="34537" xr:uid="{137FAC41-BB4D-4BDB-A2B5-B150FC40E221}"/>
    <cellStyle name="Note 3 4 22" xfId="36427" xr:uid="{68E3996A-F6E2-4E45-AF0A-98AF264A9271}"/>
    <cellStyle name="Note 3 4 23" xfId="38317" xr:uid="{F8F6217C-1B0F-43E9-9CB2-66FF0886B5F1}"/>
    <cellStyle name="Note 3 4 24" xfId="40208" xr:uid="{283C740D-FD21-4B3D-9A78-4B43E88C20BB}"/>
    <cellStyle name="Note 3 4 3" xfId="1777" xr:uid="{B7DA2625-9564-4672-AC5A-A8436F7C6B9F}"/>
    <cellStyle name="Note 3 4 3 10" xfId="18787" xr:uid="{A739A257-9C24-471A-9AB1-78AE25830994}"/>
    <cellStyle name="Note 3 4 3 11" xfId="20677" xr:uid="{A663B44B-6898-411E-9C82-11F03E0A4E69}"/>
    <cellStyle name="Note 3 4 3 12" xfId="22567" xr:uid="{C84AE899-3828-4347-B4C2-688289770BF6}"/>
    <cellStyle name="Note 3 4 3 13" xfId="24457" xr:uid="{549A54CC-E9D5-45FF-8AC3-AEABBBF9CAE0}"/>
    <cellStyle name="Note 3 4 3 14" xfId="26347" xr:uid="{43C115C3-5D89-4E47-A2D0-EF506901A7D6}"/>
    <cellStyle name="Note 3 4 3 15" xfId="28237" xr:uid="{54EB8981-5303-42AB-8781-A5A524D45709}"/>
    <cellStyle name="Note 3 4 3 16" xfId="30127" xr:uid="{EFA5F23C-71F1-4529-9307-6E898128593E}"/>
    <cellStyle name="Note 3 4 3 17" xfId="32017" xr:uid="{484E27A7-39D5-4D3C-912F-1897AE69179A}"/>
    <cellStyle name="Note 3 4 3 18" xfId="33907" xr:uid="{574E2215-570B-4C09-B1B2-5699018C8523}"/>
    <cellStyle name="Note 3 4 3 19" xfId="35797" xr:uid="{4461EF46-22F5-49EC-B253-62C7A2867583}"/>
    <cellStyle name="Note 3 4 3 2" xfId="3667" xr:uid="{7BEA150F-02BC-4B12-BA2E-2CF5EA443624}"/>
    <cellStyle name="Note 3 4 3 20" xfId="37687" xr:uid="{B75F9D9D-E0DA-4C6E-9EC4-35D154C82179}"/>
    <cellStyle name="Note 3 4 3 21" xfId="39577" xr:uid="{AC022B55-DCA5-4132-A1A8-3A05BC2D6A32}"/>
    <cellStyle name="Note 3 4 3 22" xfId="41468" xr:uid="{2CCD390B-54D9-4B9C-8B8B-7B7505D1F4AA}"/>
    <cellStyle name="Note 3 4 3 3" xfId="5557" xr:uid="{A3803C86-196A-49DD-B7D0-A4E109A2A0FB}"/>
    <cellStyle name="Note 3 4 3 4" xfId="7447" xr:uid="{BF761AB9-E622-45CD-BB2E-C7A6743F667D}"/>
    <cellStyle name="Note 3 4 3 5" xfId="9337" xr:uid="{11F6C904-B5EB-4AD7-BF43-C691ECE3996C}"/>
    <cellStyle name="Note 3 4 3 6" xfId="11227" xr:uid="{D9753F5F-064A-4317-B5E6-F2A5BAEC7DCA}"/>
    <cellStyle name="Note 3 4 3 7" xfId="13117" xr:uid="{CFD285FB-9619-4181-AFB9-628AD2CC6882}"/>
    <cellStyle name="Note 3 4 3 8" xfId="15007" xr:uid="{D5D53AA4-2E6B-43DC-B1CF-13B827D9C1D8}"/>
    <cellStyle name="Note 3 4 3 9" xfId="16897" xr:uid="{7C97985B-7C11-4A2A-9AA5-CE5E87A265A7}"/>
    <cellStyle name="Note 3 4 4" xfId="2407" xr:uid="{4C08A2CB-AB50-4B85-8D64-A69E7FF0C73F}"/>
    <cellStyle name="Note 3 4 5" xfId="4297" xr:uid="{3A85C554-AA59-4881-BA55-C45E8BB370C3}"/>
    <cellStyle name="Note 3 4 6" xfId="6187" xr:uid="{02A1C73E-0B0C-4629-B332-ADCFFFF0AD6B}"/>
    <cellStyle name="Note 3 4 7" xfId="8077" xr:uid="{D26031F6-2EDF-49E9-A7BE-273B68A64ECE}"/>
    <cellStyle name="Note 3 4 8" xfId="9967" xr:uid="{13BD193F-03EB-49FD-863D-D663DEE78A0A}"/>
    <cellStyle name="Note 3 4 9" xfId="11857" xr:uid="{C687ED16-BBC2-46C8-B7C4-F59A672EA784}"/>
    <cellStyle name="Note 3 5" xfId="727" xr:uid="{28FA3204-5AD7-4810-B1FB-49286F0818C0}"/>
    <cellStyle name="Note 3 5 10" xfId="17737" xr:uid="{E705F6D9-AD84-475F-8A6F-8A75D7D19951}"/>
    <cellStyle name="Note 3 5 11" xfId="19627" xr:uid="{B2E2E729-77DA-4254-825F-C4E6F923AA59}"/>
    <cellStyle name="Note 3 5 12" xfId="21517" xr:uid="{B55F2F74-2175-42FC-8626-B5A3935D2121}"/>
    <cellStyle name="Note 3 5 13" xfId="23407" xr:uid="{46DB1F81-5D6D-47F3-A9C8-CF30C584D2FF}"/>
    <cellStyle name="Note 3 5 14" xfId="25297" xr:uid="{D1CD9E8B-828B-4890-A6C9-983EF53B552D}"/>
    <cellStyle name="Note 3 5 15" xfId="27187" xr:uid="{855B71A1-93F1-4AA5-A69E-FE193CDA62DB}"/>
    <cellStyle name="Note 3 5 16" xfId="29077" xr:uid="{BB85D56A-3742-495D-9855-B3725F27783E}"/>
    <cellStyle name="Note 3 5 17" xfId="30967" xr:uid="{6C796C0D-EDF4-4D8D-ACD8-5C91859040EB}"/>
    <cellStyle name="Note 3 5 18" xfId="32857" xr:uid="{64EE3149-6FE8-490D-BC29-3D2CBF5DF778}"/>
    <cellStyle name="Note 3 5 19" xfId="34747" xr:uid="{7D991CC2-A31D-4EF7-A3C4-D40F0FAE5DD2}"/>
    <cellStyle name="Note 3 5 2" xfId="2617" xr:uid="{7758F6DC-E6DC-4614-8904-09DB92F59618}"/>
    <cellStyle name="Note 3 5 20" xfId="36637" xr:uid="{A7CF15A2-0E63-4EEF-8B07-549A5928CF38}"/>
    <cellStyle name="Note 3 5 21" xfId="38527" xr:uid="{DF9F9A87-299C-4A51-A214-64C666C6A061}"/>
    <cellStyle name="Note 3 5 22" xfId="40418" xr:uid="{A6861E32-6BAC-4451-B3ED-A91211A2A090}"/>
    <cellStyle name="Note 3 5 3" xfId="4507" xr:uid="{67E8D41D-EBDE-4348-AF55-10086E3CD19D}"/>
    <cellStyle name="Note 3 5 4" xfId="6397" xr:uid="{F3ABB0F0-A367-4C61-9C7C-534F5FFDB195}"/>
    <cellStyle name="Note 3 5 5" xfId="8287" xr:uid="{E94F0682-2C15-41BC-8981-BAA5676402FD}"/>
    <cellStyle name="Note 3 5 6" xfId="10177" xr:uid="{70F7695D-9E71-4D32-A180-F6A80BA08001}"/>
    <cellStyle name="Note 3 5 7" xfId="12067" xr:uid="{0A2CB50B-329D-40D4-8E3E-46DC99F22C76}"/>
    <cellStyle name="Note 3 5 8" xfId="13957" xr:uid="{DAB51E58-B415-4383-8EEE-23C08048C626}"/>
    <cellStyle name="Note 3 5 9" xfId="15847" xr:uid="{B7DF8265-96B3-40FD-81D0-0BD491E90F7D}"/>
    <cellStyle name="Note 3 6" xfId="1357" xr:uid="{30CC84C9-2193-423D-9178-D414A5489782}"/>
    <cellStyle name="Note 3 6 10" xfId="18367" xr:uid="{9E4949D6-6959-49DF-951A-16C9B263C88A}"/>
    <cellStyle name="Note 3 6 11" xfId="20257" xr:uid="{72E69A3A-F993-45D6-B751-74A4B42F1189}"/>
    <cellStyle name="Note 3 6 12" xfId="22147" xr:uid="{AA5DD22B-E31F-4A5B-94B2-8EDE7C10CC9F}"/>
    <cellStyle name="Note 3 6 13" xfId="24037" xr:uid="{FA5FF48E-57F6-46F8-B365-4E1FCD09FD30}"/>
    <cellStyle name="Note 3 6 14" xfId="25927" xr:uid="{B6D88A58-9385-41B8-8ED2-8D45D89AE702}"/>
    <cellStyle name="Note 3 6 15" xfId="27817" xr:uid="{0675CE3B-46CF-4146-8E31-0B64B063273F}"/>
    <cellStyle name="Note 3 6 16" xfId="29707" xr:uid="{BFB26E49-829E-43D4-A706-4D6A2D96F2D0}"/>
    <cellStyle name="Note 3 6 17" xfId="31597" xr:uid="{B54A027F-21E3-4CAC-97E3-34FBC80212EE}"/>
    <cellStyle name="Note 3 6 18" xfId="33487" xr:uid="{F23623C7-D399-4726-AF22-050FAB5333F2}"/>
    <cellStyle name="Note 3 6 19" xfId="35377" xr:uid="{4F1CCED6-B162-4373-9A5F-BCBCBCF23250}"/>
    <cellStyle name="Note 3 6 2" xfId="3247" xr:uid="{00D5B1D8-8A86-4B16-9863-9701C8DE3E7B}"/>
    <cellStyle name="Note 3 6 20" xfId="37267" xr:uid="{96968B03-CB08-43C3-8667-0FAED6FB6063}"/>
    <cellStyle name="Note 3 6 21" xfId="39157" xr:uid="{F5E935E5-1ADE-4A7D-B53A-5CC41B40B3D2}"/>
    <cellStyle name="Note 3 6 22" xfId="41048" xr:uid="{DE44DCAA-6A87-4F51-B424-167824D577AF}"/>
    <cellStyle name="Note 3 6 3" xfId="5137" xr:uid="{65C0D5C9-1BEE-444A-9507-765289CC16D3}"/>
    <cellStyle name="Note 3 6 4" xfId="7027" xr:uid="{00187092-CCB5-41F2-995C-3848B4ABF462}"/>
    <cellStyle name="Note 3 6 5" xfId="8917" xr:uid="{3993D5D9-D5D8-4D8B-941D-DE352A34060B}"/>
    <cellStyle name="Note 3 6 6" xfId="10807" xr:uid="{60DFAAA3-08F9-4328-8C6F-1D9F9D87D8F3}"/>
    <cellStyle name="Note 3 6 7" xfId="12697" xr:uid="{36C6CD54-8398-4656-B7D8-4D7166B6BD78}"/>
    <cellStyle name="Note 3 6 8" xfId="14587" xr:uid="{93A5121F-2DE1-456F-9B9E-5E037CE2E301}"/>
    <cellStyle name="Note 3 6 9" xfId="16477" xr:uid="{DDA84A9E-A78B-47E2-ADAF-EB624ABC2E46}"/>
    <cellStyle name="Note 3 7" xfId="1987" xr:uid="{6733DC17-C141-4637-BD34-0D7B91DC28A6}"/>
    <cellStyle name="Note 3 8" xfId="3877" xr:uid="{FE68530F-31FD-45D8-B31C-597363C90A3C}"/>
    <cellStyle name="Note 3 9" xfId="5767" xr:uid="{D60B38D7-6DA0-4DF1-A0D1-C841A1CDAB02}"/>
    <cellStyle name="Note 4" xfId="117" xr:uid="{C0D6DD36-2989-466B-AF43-ACC97A5B5E6A}"/>
    <cellStyle name="Note 4 10" xfId="7677" xr:uid="{9C58281C-17BE-4FAC-8E91-ED75B33EB641}"/>
    <cellStyle name="Note 4 11" xfId="9567" xr:uid="{01B27113-4A65-4FB6-BB48-F40F16499119}"/>
    <cellStyle name="Note 4 12" xfId="11457" xr:uid="{1E0C076F-6AE8-49B6-BD17-757C6402E76D}"/>
    <cellStyle name="Note 4 13" xfId="13347" xr:uid="{41CAC044-04AA-4171-8D4C-5AB99F51F759}"/>
    <cellStyle name="Note 4 14" xfId="15237" xr:uid="{9AA74E12-1275-4AD0-9626-5C42CB462DA4}"/>
    <cellStyle name="Note 4 15" xfId="17127" xr:uid="{7A49C081-C89B-480E-A149-89EA5C17DB46}"/>
    <cellStyle name="Note 4 16" xfId="19017" xr:uid="{C78E48CD-5341-4F21-9037-2E6238ABAE7B}"/>
    <cellStyle name="Note 4 17" xfId="20907" xr:uid="{80909672-911D-44F6-9229-D9392AFEBBBE}"/>
    <cellStyle name="Note 4 18" xfId="22797" xr:uid="{3F0F0CA7-B381-41CE-B048-87668AEF9F0E}"/>
    <cellStyle name="Note 4 19" xfId="24687" xr:uid="{6AC37DAD-D800-47E6-B416-4488423999C7}"/>
    <cellStyle name="Note 4 2" xfId="222" xr:uid="{F3730117-E98C-49CD-A3A5-D9545CA331AF}"/>
    <cellStyle name="Note 4 2 10" xfId="9672" xr:uid="{420C5183-7D21-4786-B86C-48070A052FB4}"/>
    <cellStyle name="Note 4 2 11" xfId="11562" xr:uid="{F41F2759-44AD-4932-8C3C-2D770FD9408D}"/>
    <cellStyle name="Note 4 2 12" xfId="13452" xr:uid="{C2F15126-39E2-4144-82AA-EB760299DAD2}"/>
    <cellStyle name="Note 4 2 13" xfId="15342" xr:uid="{791018EA-A6C6-4180-AE4A-726985298F71}"/>
    <cellStyle name="Note 4 2 14" xfId="17232" xr:uid="{4CA603FF-3AA5-4251-A6E2-94EA7D7BEAFE}"/>
    <cellStyle name="Note 4 2 15" xfId="19122" xr:uid="{562F2ACE-98A3-4338-936A-A5DC984C230A}"/>
    <cellStyle name="Note 4 2 16" xfId="21012" xr:uid="{61534C9B-6C1F-4780-88A0-4C3406BAFDF8}"/>
    <cellStyle name="Note 4 2 17" xfId="22902" xr:uid="{DFC9A162-B6C5-4205-B04E-3793D9267F4C}"/>
    <cellStyle name="Note 4 2 18" xfId="24792" xr:uid="{087665F3-39DA-47B1-8406-5E40CDFAADB8}"/>
    <cellStyle name="Note 4 2 19" xfId="26682" xr:uid="{10BE0674-14EC-43D9-AE42-AEFD528D34DF}"/>
    <cellStyle name="Note 4 2 2" xfId="432" xr:uid="{F9C2CFDF-5929-45E7-B8FC-7E7E5B765895}"/>
    <cellStyle name="Note 4 2 2 10" xfId="13662" xr:uid="{CC08FE4B-39A2-4575-8E3D-54A9766F6739}"/>
    <cellStyle name="Note 4 2 2 11" xfId="15552" xr:uid="{05762E6B-0B4E-4031-948A-BB3D0810D2C1}"/>
    <cellStyle name="Note 4 2 2 12" xfId="17442" xr:uid="{BDDA6F41-820F-402D-A04F-C88138A1401E}"/>
    <cellStyle name="Note 4 2 2 13" xfId="19332" xr:uid="{EF0E18EB-F6EF-4EE4-9A1F-679C552D5FDE}"/>
    <cellStyle name="Note 4 2 2 14" xfId="21222" xr:uid="{DFF1762A-5822-4E46-B324-299F9F7A6DDC}"/>
    <cellStyle name="Note 4 2 2 15" xfId="23112" xr:uid="{DA7CFED5-2514-4329-97A0-6A7DCC0A3EF2}"/>
    <cellStyle name="Note 4 2 2 16" xfId="25002" xr:uid="{EA825D84-8E61-404F-83D2-99833EC995B2}"/>
    <cellStyle name="Note 4 2 2 17" xfId="26892" xr:uid="{BA81A8AA-F131-4274-9AF1-A319D3D650CE}"/>
    <cellStyle name="Note 4 2 2 18" xfId="28782" xr:uid="{15D55936-961C-40C4-B129-79E1A740B60E}"/>
    <cellStyle name="Note 4 2 2 19" xfId="30672" xr:uid="{6FE8BF6D-D329-4735-86A7-13B452A3EB8D}"/>
    <cellStyle name="Note 4 2 2 2" xfId="1062" xr:uid="{C7EF2C24-5D50-463D-9A95-7910B6EA352D}"/>
    <cellStyle name="Note 4 2 2 2 10" xfId="18072" xr:uid="{671862C0-42FA-4F16-AF41-E87E304D6F06}"/>
    <cellStyle name="Note 4 2 2 2 11" xfId="19962" xr:uid="{0F51EB2D-560E-4187-8708-2B52EE0A4557}"/>
    <cellStyle name="Note 4 2 2 2 12" xfId="21852" xr:uid="{5383B370-F017-49C8-A5F0-3F0BC08BB6D3}"/>
    <cellStyle name="Note 4 2 2 2 13" xfId="23742" xr:uid="{07984E6E-BCF0-40F6-A776-DC97052FBBC7}"/>
    <cellStyle name="Note 4 2 2 2 14" xfId="25632" xr:uid="{08418EC8-DCF7-49E9-A85D-18E0A3D5EB44}"/>
    <cellStyle name="Note 4 2 2 2 15" xfId="27522" xr:uid="{3E7BC3DC-F898-470F-8A6A-5A019E6139AC}"/>
    <cellStyle name="Note 4 2 2 2 16" xfId="29412" xr:uid="{F79D108F-CCE8-442B-A696-AFD6361B7363}"/>
    <cellStyle name="Note 4 2 2 2 17" xfId="31302" xr:uid="{879E5CB6-E6B8-43DD-9D05-42DD3F738258}"/>
    <cellStyle name="Note 4 2 2 2 18" xfId="33192" xr:uid="{4F913BC6-D306-4C9F-8B81-3629C761967C}"/>
    <cellStyle name="Note 4 2 2 2 19" xfId="35082" xr:uid="{8DD8560A-F20E-40CF-ACC4-A819835FDDB5}"/>
    <cellStyle name="Note 4 2 2 2 2" xfId="2952" xr:uid="{F979220B-587A-486B-AAF4-A136FAD36346}"/>
    <cellStyle name="Note 4 2 2 2 20" xfId="36972" xr:uid="{1752A003-114B-4EA6-AC2D-DB594120643D}"/>
    <cellStyle name="Note 4 2 2 2 21" xfId="38862" xr:uid="{AFBCBE30-F844-4932-ABD2-4795D08C127B}"/>
    <cellStyle name="Note 4 2 2 2 22" xfId="40753" xr:uid="{AC40BB53-B91E-4EAC-A621-197616732223}"/>
    <cellStyle name="Note 4 2 2 2 3" xfId="4842" xr:uid="{2F75EA73-5865-4729-82BF-3957FDFB0DC0}"/>
    <cellStyle name="Note 4 2 2 2 4" xfId="6732" xr:uid="{E2594294-E347-429E-8A76-DBF4B6A52269}"/>
    <cellStyle name="Note 4 2 2 2 5" xfId="8622" xr:uid="{D1623BC8-30C2-4283-9CE9-5B591F9E1F63}"/>
    <cellStyle name="Note 4 2 2 2 6" xfId="10512" xr:uid="{1AFFD1CC-7F36-498A-8C2F-35014D4EDB20}"/>
    <cellStyle name="Note 4 2 2 2 7" xfId="12402" xr:uid="{FBFF65AF-712F-4FAA-8954-ED372CDDE0BF}"/>
    <cellStyle name="Note 4 2 2 2 8" xfId="14292" xr:uid="{2FDAF616-D336-4466-8B5E-15C549859ADA}"/>
    <cellStyle name="Note 4 2 2 2 9" xfId="16182" xr:uid="{8DD3688B-7CDF-47AC-A0C1-C5ABDE3650F5}"/>
    <cellStyle name="Note 4 2 2 20" xfId="32562" xr:uid="{92578638-A730-481F-A9AB-6E9C863E0EA7}"/>
    <cellStyle name="Note 4 2 2 21" xfId="34452" xr:uid="{71B6B271-B37C-4260-8D36-671BCC6B6744}"/>
    <cellStyle name="Note 4 2 2 22" xfId="36342" xr:uid="{4D8D032B-4D31-48BF-9463-CED4D9E5793B}"/>
    <cellStyle name="Note 4 2 2 23" xfId="38232" xr:uid="{FA20D3CA-E418-4E19-A5A3-A93566D85D8A}"/>
    <cellStyle name="Note 4 2 2 24" xfId="40123" xr:uid="{195DCA0D-912D-437E-92BD-6097DF8137D4}"/>
    <cellStyle name="Note 4 2 2 3" xfId="1692" xr:uid="{9C41C4D8-18E0-4CF0-B96A-9F45AF238A48}"/>
    <cellStyle name="Note 4 2 2 3 10" xfId="18702" xr:uid="{C6FB7F72-71B2-417A-8328-3DB235DE3850}"/>
    <cellStyle name="Note 4 2 2 3 11" xfId="20592" xr:uid="{38DA0548-3BF1-4944-AB90-EAA183C3A517}"/>
    <cellStyle name="Note 4 2 2 3 12" xfId="22482" xr:uid="{6E725BCA-6B09-4383-939D-E222EB97DB65}"/>
    <cellStyle name="Note 4 2 2 3 13" xfId="24372" xr:uid="{DBA97181-1103-4360-AE8E-D3FB17F09D66}"/>
    <cellStyle name="Note 4 2 2 3 14" xfId="26262" xr:uid="{2A1A98B8-5369-4B68-A813-F471B1752ADE}"/>
    <cellStyle name="Note 4 2 2 3 15" xfId="28152" xr:uid="{12BC1C07-AD73-4455-83DE-DA562D8CC259}"/>
    <cellStyle name="Note 4 2 2 3 16" xfId="30042" xr:uid="{C14C0D7A-A11E-4436-B795-0E7D0B79EAE8}"/>
    <cellStyle name="Note 4 2 2 3 17" xfId="31932" xr:uid="{E8D6B34F-BC6A-4B7E-B6A4-A6868A8C5B16}"/>
    <cellStyle name="Note 4 2 2 3 18" xfId="33822" xr:uid="{3DB88691-A274-4D22-BAD6-B4117A9F801A}"/>
    <cellStyle name="Note 4 2 2 3 19" xfId="35712" xr:uid="{5ADBED34-5C35-45FB-875B-0DA2D67D46FC}"/>
    <cellStyle name="Note 4 2 2 3 2" xfId="3582" xr:uid="{DEE37D77-1029-4AD8-BDC9-B4D4B0623F44}"/>
    <cellStyle name="Note 4 2 2 3 20" xfId="37602" xr:uid="{67687C98-76E7-43BA-B314-35E0BED56842}"/>
    <cellStyle name="Note 4 2 2 3 21" xfId="39492" xr:uid="{CD3B1957-F5B1-412E-8337-83C618837547}"/>
    <cellStyle name="Note 4 2 2 3 22" xfId="41383" xr:uid="{352BFBEC-B0FF-439E-AA82-70D793B80646}"/>
    <cellStyle name="Note 4 2 2 3 3" xfId="5472" xr:uid="{09863C18-33CB-4D85-B978-6DBA4BA12DB2}"/>
    <cellStyle name="Note 4 2 2 3 4" xfId="7362" xr:uid="{3DA1A110-AF00-4817-972A-D303B70EA8F3}"/>
    <cellStyle name="Note 4 2 2 3 5" xfId="9252" xr:uid="{9F6BA45E-265B-49C6-A578-B5C7BE44FFA0}"/>
    <cellStyle name="Note 4 2 2 3 6" xfId="11142" xr:uid="{F80D5EE1-909B-445A-9345-BA7A21B878FB}"/>
    <cellStyle name="Note 4 2 2 3 7" xfId="13032" xr:uid="{7475EED4-E5C0-4359-9247-9498347B3304}"/>
    <cellStyle name="Note 4 2 2 3 8" xfId="14922" xr:uid="{AAB4ADE3-B9AA-4C1B-B8C9-9F1D6E6F520E}"/>
    <cellStyle name="Note 4 2 2 3 9" xfId="16812" xr:uid="{5C0DEC43-8ADA-45AD-9C92-F09EB96AAF47}"/>
    <cellStyle name="Note 4 2 2 4" xfId="2322" xr:uid="{C0D83BA8-B900-4B15-B1CF-493B6D8DFF53}"/>
    <cellStyle name="Note 4 2 2 5" xfId="4212" xr:uid="{9B1D37FA-2CF2-4B19-BEA4-6147BCCB6801}"/>
    <cellStyle name="Note 4 2 2 6" xfId="6102" xr:uid="{5F539693-2342-485A-9BEF-D13CB0D3AAA4}"/>
    <cellStyle name="Note 4 2 2 7" xfId="7992" xr:uid="{6942971E-7EEE-4D5D-AE35-354E1D77DCDF}"/>
    <cellStyle name="Note 4 2 2 8" xfId="9882" xr:uid="{E1F53780-7BD1-4A17-A476-9CC42F0257AE}"/>
    <cellStyle name="Note 4 2 2 9" xfId="11772" xr:uid="{ED2ED3D7-DA8D-4287-9FB9-CA67C98ABD18}"/>
    <cellStyle name="Note 4 2 20" xfId="28572" xr:uid="{277342AE-70A4-4CB1-831C-D847EF4AA344}"/>
    <cellStyle name="Note 4 2 21" xfId="30462" xr:uid="{B9BE4A24-D5B7-4EBC-BCBC-C9DCA0C02879}"/>
    <cellStyle name="Note 4 2 22" xfId="32352" xr:uid="{455DE9E5-5D51-48C9-80EE-B294041353D6}"/>
    <cellStyle name="Note 4 2 23" xfId="34242" xr:uid="{C4FEACE6-78CA-4531-B772-ED5B200E055E}"/>
    <cellStyle name="Note 4 2 24" xfId="36132" xr:uid="{BF3A4C4C-5334-4D51-AE42-06CD7074D757}"/>
    <cellStyle name="Note 4 2 25" xfId="38022" xr:uid="{67FE5ED2-F817-41A3-8D42-ED20BEEEF977}"/>
    <cellStyle name="Note 4 2 26" xfId="39913" xr:uid="{34564E94-A52F-48E4-A1F4-9D988F3EAC5B}"/>
    <cellStyle name="Note 4 2 3" xfId="642" xr:uid="{DE4CC4B3-4A5B-4C76-848F-2B9C11930356}"/>
    <cellStyle name="Note 4 2 3 10" xfId="13872" xr:uid="{AB9222EE-763A-4067-AC39-FB64A894B4F0}"/>
    <cellStyle name="Note 4 2 3 11" xfId="15762" xr:uid="{8B39AC12-2A9E-4C40-A635-6F5C16070B93}"/>
    <cellStyle name="Note 4 2 3 12" xfId="17652" xr:uid="{87529154-2EEF-4A22-A7D5-6CD563000D13}"/>
    <cellStyle name="Note 4 2 3 13" xfId="19542" xr:uid="{6024E32B-8ED5-4624-89C9-0E712CF6D42A}"/>
    <cellStyle name="Note 4 2 3 14" xfId="21432" xr:uid="{FD696B5F-E6AF-4D0D-8D3A-E1D7314085DB}"/>
    <cellStyle name="Note 4 2 3 15" xfId="23322" xr:uid="{EA2E725F-6BCB-4EE6-B580-D04223468995}"/>
    <cellStyle name="Note 4 2 3 16" xfId="25212" xr:uid="{93A59781-1573-4A7F-A816-D237A109C641}"/>
    <cellStyle name="Note 4 2 3 17" xfId="27102" xr:uid="{351C26CC-5E5B-4FC3-8C6E-F4D2E5C66A5E}"/>
    <cellStyle name="Note 4 2 3 18" xfId="28992" xr:uid="{7A86F56B-B8E0-4224-819E-A92FE6E9E63D}"/>
    <cellStyle name="Note 4 2 3 19" xfId="30882" xr:uid="{AD538BA8-E537-44AB-BE59-78FF207B2BCB}"/>
    <cellStyle name="Note 4 2 3 2" xfId="1272" xr:uid="{67E419F3-EBEB-4BE5-A35F-12237A19E4B1}"/>
    <cellStyle name="Note 4 2 3 2 10" xfId="18282" xr:uid="{1532F3E7-6C63-47D8-A265-C7DF7082840A}"/>
    <cellStyle name="Note 4 2 3 2 11" xfId="20172" xr:uid="{8B392379-7E9C-4DC3-A081-C53146BE7AB5}"/>
    <cellStyle name="Note 4 2 3 2 12" xfId="22062" xr:uid="{5D05F430-354A-4EA5-8342-5B8CD1FB7A09}"/>
    <cellStyle name="Note 4 2 3 2 13" xfId="23952" xr:uid="{E4549A1A-579F-40F6-9047-6DF721161BF7}"/>
    <cellStyle name="Note 4 2 3 2 14" xfId="25842" xr:uid="{92503AEF-1599-4A7E-8A18-D3D6FE03088C}"/>
    <cellStyle name="Note 4 2 3 2 15" xfId="27732" xr:uid="{334ECCE6-C0E5-419E-8D6F-A0D10CD90C66}"/>
    <cellStyle name="Note 4 2 3 2 16" xfId="29622" xr:uid="{0E72E50A-F35E-4D7C-8F15-8C9CDD27ADF0}"/>
    <cellStyle name="Note 4 2 3 2 17" xfId="31512" xr:uid="{69D948E2-625F-4A27-A538-D7ECA79790A8}"/>
    <cellStyle name="Note 4 2 3 2 18" xfId="33402" xr:uid="{E5F32867-9996-439B-9320-35EAC1566239}"/>
    <cellStyle name="Note 4 2 3 2 19" xfId="35292" xr:uid="{C4A340C2-B6CF-407E-B8C7-6A57A7B1FA5A}"/>
    <cellStyle name="Note 4 2 3 2 2" xfId="3162" xr:uid="{0CF52883-5389-44EF-88F4-8E7595F151C2}"/>
    <cellStyle name="Note 4 2 3 2 20" xfId="37182" xr:uid="{AC39F4F2-5038-47C4-899F-D2EAA5569A10}"/>
    <cellStyle name="Note 4 2 3 2 21" xfId="39072" xr:uid="{CB387C26-92B2-4DA4-925F-CF8666DF56D5}"/>
    <cellStyle name="Note 4 2 3 2 22" xfId="40963" xr:uid="{BE3432ED-5362-4336-82A1-AFEAF0BC5280}"/>
    <cellStyle name="Note 4 2 3 2 3" xfId="5052" xr:uid="{DBD70903-2F65-40CB-A0F4-30325505B885}"/>
    <cellStyle name="Note 4 2 3 2 4" xfId="6942" xr:uid="{69DDC2ED-F578-467F-8D6F-3F7548BA51F4}"/>
    <cellStyle name="Note 4 2 3 2 5" xfId="8832" xr:uid="{324C8000-FF8C-4B25-AF38-D538252F7995}"/>
    <cellStyle name="Note 4 2 3 2 6" xfId="10722" xr:uid="{C8C20E12-E1AA-499A-B085-FBEE8C308566}"/>
    <cellStyle name="Note 4 2 3 2 7" xfId="12612" xr:uid="{ACE467C9-CCBE-43C7-9967-F7A876CEE950}"/>
    <cellStyle name="Note 4 2 3 2 8" xfId="14502" xr:uid="{03F0956E-36D0-403C-9806-EEBFDE5DE177}"/>
    <cellStyle name="Note 4 2 3 2 9" xfId="16392" xr:uid="{1873B0CE-B51A-49B8-9428-6245DEB5E226}"/>
    <cellStyle name="Note 4 2 3 20" xfId="32772" xr:uid="{5D8E6A40-8AE1-44C4-B0AF-B4B913226AAD}"/>
    <cellStyle name="Note 4 2 3 21" xfId="34662" xr:uid="{A4CF56CE-A1F6-46BE-80A9-0D569871C97A}"/>
    <cellStyle name="Note 4 2 3 22" xfId="36552" xr:uid="{A11BD47A-7872-4EAD-98D8-63021B7D9980}"/>
    <cellStyle name="Note 4 2 3 23" xfId="38442" xr:uid="{099C8464-975B-4F93-96D0-DE2249A88C21}"/>
    <cellStyle name="Note 4 2 3 24" xfId="40333" xr:uid="{92A3E52D-C790-4E48-B929-8AF7A7EA7846}"/>
    <cellStyle name="Note 4 2 3 3" xfId="1902" xr:uid="{382BB551-717E-42AA-A244-43A6BDC3719A}"/>
    <cellStyle name="Note 4 2 3 3 10" xfId="18912" xr:uid="{1DA2EDB0-2D68-45D2-BA25-75E5F55F7DAC}"/>
    <cellStyle name="Note 4 2 3 3 11" xfId="20802" xr:uid="{3F26FCD3-0517-4ED8-B1BB-B40F9FC01E27}"/>
    <cellStyle name="Note 4 2 3 3 12" xfId="22692" xr:uid="{9E306869-2A44-4E49-9595-ABBC0C66FB8F}"/>
    <cellStyle name="Note 4 2 3 3 13" xfId="24582" xr:uid="{B72B10EC-236A-4BBB-A95F-B7C5A49BC2E3}"/>
    <cellStyle name="Note 4 2 3 3 14" xfId="26472" xr:uid="{2468D219-32D0-4870-863E-AA4D72C4DED6}"/>
    <cellStyle name="Note 4 2 3 3 15" xfId="28362" xr:uid="{A538CBCB-C937-4C2A-934A-7848F7EA3345}"/>
    <cellStyle name="Note 4 2 3 3 16" xfId="30252" xr:uid="{AF2DB14D-FE6D-4334-B1EC-6B24912E26CA}"/>
    <cellStyle name="Note 4 2 3 3 17" xfId="32142" xr:uid="{0CA3C3B2-8B85-40BD-96B6-39FA8C27B51C}"/>
    <cellStyle name="Note 4 2 3 3 18" xfId="34032" xr:uid="{9B56816F-44E5-4B3F-BB94-FBAF72389D61}"/>
    <cellStyle name="Note 4 2 3 3 19" xfId="35922" xr:uid="{AF45FE3B-E21F-4613-8458-CE0A1061B2BB}"/>
    <cellStyle name="Note 4 2 3 3 2" xfId="3792" xr:uid="{C2C1ACF2-4DA8-48D7-BB13-B196DCE0D854}"/>
    <cellStyle name="Note 4 2 3 3 20" xfId="37812" xr:uid="{C7CCB32D-FFC7-4F4D-BFE6-A8D8F311B929}"/>
    <cellStyle name="Note 4 2 3 3 21" xfId="39702" xr:uid="{F337925E-98D7-4BEC-870A-AA912EE95D5D}"/>
    <cellStyle name="Note 4 2 3 3 22" xfId="41593" xr:uid="{6ECF4588-7AF0-46FB-A1E6-5D022D0FC2CE}"/>
    <cellStyle name="Note 4 2 3 3 3" xfId="5682" xr:uid="{B5C2BDA5-CF80-4D61-9127-49D30743705D}"/>
    <cellStyle name="Note 4 2 3 3 4" xfId="7572" xr:uid="{0314768D-2688-4001-845A-9E27493FFDE1}"/>
    <cellStyle name="Note 4 2 3 3 5" xfId="9462" xr:uid="{F7C93728-0558-491C-BE17-BFE9E9288ECE}"/>
    <cellStyle name="Note 4 2 3 3 6" xfId="11352" xr:uid="{0D55ABCC-FDF0-444A-B97F-98591726622D}"/>
    <cellStyle name="Note 4 2 3 3 7" xfId="13242" xr:uid="{10B8D28D-771E-4D64-A336-5460EDC460EC}"/>
    <cellStyle name="Note 4 2 3 3 8" xfId="15132" xr:uid="{38A8AF3C-DD00-4F32-A561-AA4E341AB28B}"/>
    <cellStyle name="Note 4 2 3 3 9" xfId="17022" xr:uid="{72D927E3-03D1-48FD-9D37-AE62151B7627}"/>
    <cellStyle name="Note 4 2 3 4" xfId="2532" xr:uid="{FAD0D94F-F517-4C9B-9F5B-2F115D431178}"/>
    <cellStyle name="Note 4 2 3 5" xfId="4422" xr:uid="{089304D1-3380-4866-88A5-82393B7FC534}"/>
    <cellStyle name="Note 4 2 3 6" xfId="6312" xr:uid="{EE1F5AD8-1673-4746-BA92-89917541E6F3}"/>
    <cellStyle name="Note 4 2 3 7" xfId="8202" xr:uid="{491C7051-D43C-4D7A-89A1-7732A953EA54}"/>
    <cellStyle name="Note 4 2 3 8" xfId="10092" xr:uid="{32FF02C2-C8EA-4B2B-ACAA-F0FA96BD7D18}"/>
    <cellStyle name="Note 4 2 3 9" xfId="11982" xr:uid="{DC3B352C-1585-460A-A967-36E700E90356}"/>
    <cellStyle name="Note 4 2 4" xfId="852" xr:uid="{4F6D8E53-9D44-49A1-B569-C599BB4C51BE}"/>
    <cellStyle name="Note 4 2 4 10" xfId="17862" xr:uid="{B900FFF9-D2CA-4EEB-8233-1556F3B9B795}"/>
    <cellStyle name="Note 4 2 4 11" xfId="19752" xr:uid="{D6C786CD-F1DE-450C-B300-F42717AE1AB1}"/>
    <cellStyle name="Note 4 2 4 12" xfId="21642" xr:uid="{4F645C2F-7E3B-4EC1-AA54-4239FD066A50}"/>
    <cellStyle name="Note 4 2 4 13" xfId="23532" xr:uid="{E761A009-1635-4029-B06E-9F3A90D0F85C}"/>
    <cellStyle name="Note 4 2 4 14" xfId="25422" xr:uid="{3107D3F3-89CD-43CD-A8EE-3A9ACA9ADEFD}"/>
    <cellStyle name="Note 4 2 4 15" xfId="27312" xr:uid="{DC38A829-7DD4-4F6F-BF81-554B0E4422E9}"/>
    <cellStyle name="Note 4 2 4 16" xfId="29202" xr:uid="{320C6B71-D26B-49E0-8E0A-C3B849702BE1}"/>
    <cellStyle name="Note 4 2 4 17" xfId="31092" xr:uid="{572EE301-95B6-4845-A495-A2C8894A4350}"/>
    <cellStyle name="Note 4 2 4 18" xfId="32982" xr:uid="{A8218C9F-1D35-4AAA-815E-720F055C1626}"/>
    <cellStyle name="Note 4 2 4 19" xfId="34872" xr:uid="{8C377253-3F56-47DC-9274-7BB42CCA6B8F}"/>
    <cellStyle name="Note 4 2 4 2" xfId="2742" xr:uid="{E325DD83-5831-435C-99CF-00C43ACD9042}"/>
    <cellStyle name="Note 4 2 4 20" xfId="36762" xr:uid="{FB744AAE-7DB6-4844-903E-861C0B0198CF}"/>
    <cellStyle name="Note 4 2 4 21" xfId="38652" xr:uid="{177CC18E-D6D4-4560-8FA9-17321AF6AD98}"/>
    <cellStyle name="Note 4 2 4 22" xfId="40543" xr:uid="{E9564D73-2E71-4D29-96E9-7E731E79EAAB}"/>
    <cellStyle name="Note 4 2 4 3" xfId="4632" xr:uid="{9E4BD1E4-5586-49B0-99DA-C40E3F20C8BF}"/>
    <cellStyle name="Note 4 2 4 4" xfId="6522" xr:uid="{0398CDC0-1FFF-4D0D-80F9-95B9836B8A41}"/>
    <cellStyle name="Note 4 2 4 5" xfId="8412" xr:uid="{D265D043-17A3-4BB8-A4EC-95893A4C834D}"/>
    <cellStyle name="Note 4 2 4 6" xfId="10302" xr:uid="{595FC841-B1B5-455A-9068-AE43CC0D8ADC}"/>
    <cellStyle name="Note 4 2 4 7" xfId="12192" xr:uid="{35F84566-DBC4-4894-BBAF-A47DB2A025B6}"/>
    <cellStyle name="Note 4 2 4 8" xfId="14082" xr:uid="{FE061B2B-03BD-47A3-BBE8-09A21DD5E57A}"/>
    <cellStyle name="Note 4 2 4 9" xfId="15972" xr:uid="{2448DBE6-1365-4ED7-A309-AD5928982FE7}"/>
    <cellStyle name="Note 4 2 5" xfId="1482" xr:uid="{1943C1EC-6A42-4C05-8F89-34520C236523}"/>
    <cellStyle name="Note 4 2 5 10" xfId="18492" xr:uid="{5AB8B3FF-CBA2-4596-B930-0326D7E419D7}"/>
    <cellStyle name="Note 4 2 5 11" xfId="20382" xr:uid="{1D809F69-971E-464C-8514-F91357F7110D}"/>
    <cellStyle name="Note 4 2 5 12" xfId="22272" xr:uid="{043F3962-76DD-45AD-A3C6-14A3D05F98CD}"/>
    <cellStyle name="Note 4 2 5 13" xfId="24162" xr:uid="{DB6CE792-935C-4431-A786-CA6FA0261D71}"/>
    <cellStyle name="Note 4 2 5 14" xfId="26052" xr:uid="{BBB60C92-44F3-42FE-BF4B-733190055F1C}"/>
    <cellStyle name="Note 4 2 5 15" xfId="27942" xr:uid="{F1C3B713-219A-4ACB-A2EC-743E008FFD14}"/>
    <cellStyle name="Note 4 2 5 16" xfId="29832" xr:uid="{2C0467EB-3751-4E60-9E66-CB5340B5C931}"/>
    <cellStyle name="Note 4 2 5 17" xfId="31722" xr:uid="{92CE9542-457D-4445-B7A3-A0FD2BEFC608}"/>
    <cellStyle name="Note 4 2 5 18" xfId="33612" xr:uid="{744C56A5-4CA6-44B1-8E27-8ADF626EF224}"/>
    <cellStyle name="Note 4 2 5 19" xfId="35502" xr:uid="{FA83EDCE-3689-42CB-AE42-2A44D81B987F}"/>
    <cellStyle name="Note 4 2 5 2" xfId="3372" xr:uid="{8BB33BE7-7B10-403E-B25F-4D5361359308}"/>
    <cellStyle name="Note 4 2 5 20" xfId="37392" xr:uid="{63E7F16C-A634-49E7-9B22-981D8422FE1E}"/>
    <cellStyle name="Note 4 2 5 21" xfId="39282" xr:uid="{2156A58A-2277-4B47-83BF-6AA48999C921}"/>
    <cellStyle name="Note 4 2 5 22" xfId="41173" xr:uid="{A520D772-8327-401A-85AB-CDFD4F4F7000}"/>
    <cellStyle name="Note 4 2 5 3" xfId="5262" xr:uid="{B65552ED-2CDF-462C-B40A-791EB1471E82}"/>
    <cellStyle name="Note 4 2 5 4" xfId="7152" xr:uid="{3AD2E343-2EBB-4457-94E1-731EA05B9CE8}"/>
    <cellStyle name="Note 4 2 5 5" xfId="9042" xr:uid="{80485447-F24B-4700-A38E-ECD6678A39FC}"/>
    <cellStyle name="Note 4 2 5 6" xfId="10932" xr:uid="{CD811C4F-4267-43A5-BD65-D0A9D0493C02}"/>
    <cellStyle name="Note 4 2 5 7" xfId="12822" xr:uid="{FBC7EF5C-894C-458F-951B-80ACB7922EB5}"/>
    <cellStyle name="Note 4 2 5 8" xfId="14712" xr:uid="{409E4A6B-5C61-408D-AA5F-2082AA67D216}"/>
    <cellStyle name="Note 4 2 5 9" xfId="16602" xr:uid="{9815FEC4-C910-463F-A9D5-F5A114681752}"/>
    <cellStyle name="Note 4 2 6" xfId="2112" xr:uid="{494A1D07-8DFD-4583-BFF2-EDD6DF5626A9}"/>
    <cellStyle name="Note 4 2 7" xfId="4002" xr:uid="{BD60A2B7-56EE-4E60-A63E-CC5DEFB9EBEC}"/>
    <cellStyle name="Note 4 2 8" xfId="5892" xr:uid="{4F1D18A0-B1B9-4E8A-A66B-FB360AC22F99}"/>
    <cellStyle name="Note 4 2 9" xfId="7782" xr:uid="{C8EAAA8D-DE37-4C36-8EFD-814ACD926008}"/>
    <cellStyle name="Note 4 20" xfId="26577" xr:uid="{E9D306F4-C7A1-4C2F-A747-7255EF4E8802}"/>
    <cellStyle name="Note 4 21" xfId="28467" xr:uid="{F05891A2-114E-4758-B415-D6775268C641}"/>
    <cellStyle name="Note 4 22" xfId="30357" xr:uid="{642C2C50-4D13-4628-82D4-20E8534489E9}"/>
    <cellStyle name="Note 4 23" xfId="32247" xr:uid="{1061DC70-2990-476B-B032-BBACB74DD6BA}"/>
    <cellStyle name="Note 4 24" xfId="34137" xr:uid="{224DEBBB-5634-4F08-B27A-DE69630FB834}"/>
    <cellStyle name="Note 4 25" xfId="36027" xr:uid="{890EFD6F-2654-471B-9CCE-195EA90F3786}"/>
    <cellStyle name="Note 4 26" xfId="37917" xr:uid="{2978C1FD-20C6-4259-BF4E-9968F24AB3D5}"/>
    <cellStyle name="Note 4 27" xfId="39808" xr:uid="{D12E2A34-5B6B-4BBB-889E-EEF31DD13082}"/>
    <cellStyle name="Note 4 3" xfId="327" xr:uid="{F16281C1-351A-44E3-B5E1-DAB23290FDDC}"/>
    <cellStyle name="Note 4 3 10" xfId="13557" xr:uid="{AE544EAB-CAD8-4339-B0B5-3B4183F58A6F}"/>
    <cellStyle name="Note 4 3 11" xfId="15447" xr:uid="{23299278-AB22-4808-BD55-807B430B093A}"/>
    <cellStyle name="Note 4 3 12" xfId="17337" xr:uid="{76822BDA-3C57-4EA7-B5D7-12B6378ECDE8}"/>
    <cellStyle name="Note 4 3 13" xfId="19227" xr:uid="{235E1A12-1FFD-42A7-9677-5A5AEFB7EBDE}"/>
    <cellStyle name="Note 4 3 14" xfId="21117" xr:uid="{B1DDF5D2-4568-415D-9060-60D76A898474}"/>
    <cellStyle name="Note 4 3 15" xfId="23007" xr:uid="{F5E9A7FF-6B30-40F1-8D5D-2EC9D0E2F215}"/>
    <cellStyle name="Note 4 3 16" xfId="24897" xr:uid="{5FE84204-3FAE-4ED9-8AF0-1F31DC8F5F77}"/>
    <cellStyle name="Note 4 3 17" xfId="26787" xr:uid="{D6462555-A6AF-4E92-99F8-8279FBA61D5D}"/>
    <cellStyle name="Note 4 3 18" xfId="28677" xr:uid="{80576946-D390-448F-B1F5-D7335251692B}"/>
    <cellStyle name="Note 4 3 19" xfId="30567" xr:uid="{EB1C2EF8-9C45-421E-999C-18961050095A}"/>
    <cellStyle name="Note 4 3 2" xfId="957" xr:uid="{7D547551-DE90-4D05-B7F6-1F34C53820E0}"/>
    <cellStyle name="Note 4 3 2 10" xfId="17967" xr:uid="{1EFCF539-D9C9-450F-81D7-EDFC932CE620}"/>
    <cellStyle name="Note 4 3 2 11" xfId="19857" xr:uid="{EF5A6573-705B-4E39-AF76-C4A4885BEEAC}"/>
    <cellStyle name="Note 4 3 2 12" xfId="21747" xr:uid="{7223C7C2-F57C-4DCB-8354-0AE6F8423033}"/>
    <cellStyle name="Note 4 3 2 13" xfId="23637" xr:uid="{32B7505D-4249-4AF8-85AD-731EB15F33DB}"/>
    <cellStyle name="Note 4 3 2 14" xfId="25527" xr:uid="{E51906F8-0E9C-48F9-BF09-B0719FBB8D80}"/>
    <cellStyle name="Note 4 3 2 15" xfId="27417" xr:uid="{E1F7AE9E-30FC-4CA9-9B1A-6464C69AE664}"/>
    <cellStyle name="Note 4 3 2 16" xfId="29307" xr:uid="{245019F1-F62A-4722-AE93-456742F3F334}"/>
    <cellStyle name="Note 4 3 2 17" xfId="31197" xr:uid="{3708715D-4835-44B1-8050-73B6C2F92678}"/>
    <cellStyle name="Note 4 3 2 18" xfId="33087" xr:uid="{2BFD1018-719C-4405-BE5E-30AB7FBA0671}"/>
    <cellStyle name="Note 4 3 2 19" xfId="34977" xr:uid="{8D64B03C-8235-4752-B7B8-1CC29A5F9186}"/>
    <cellStyle name="Note 4 3 2 2" xfId="2847" xr:uid="{5E61641F-189A-4571-81B3-AE03105D9614}"/>
    <cellStyle name="Note 4 3 2 20" xfId="36867" xr:uid="{E73A11F2-844A-489F-B4FA-2282606C524E}"/>
    <cellStyle name="Note 4 3 2 21" xfId="38757" xr:uid="{579189AF-7EDC-4A13-B083-727B36FFE48D}"/>
    <cellStyle name="Note 4 3 2 22" xfId="40648" xr:uid="{A9075BEA-AD63-40E5-BDAE-936A4B6E7F3A}"/>
    <cellStyle name="Note 4 3 2 3" xfId="4737" xr:uid="{DD2953B8-E0FD-42CC-AA25-49BC32ACE5AC}"/>
    <cellStyle name="Note 4 3 2 4" xfId="6627" xr:uid="{0D3407C3-C27E-402D-A791-3585F06731B5}"/>
    <cellStyle name="Note 4 3 2 5" xfId="8517" xr:uid="{87146707-B747-4D85-9E81-6D948706325E}"/>
    <cellStyle name="Note 4 3 2 6" xfId="10407" xr:uid="{E0DF6AF4-4CF0-4BC7-B9B7-F923BF9BCBF1}"/>
    <cellStyle name="Note 4 3 2 7" xfId="12297" xr:uid="{5F8763E7-AE6D-4E46-8ADA-91D52FD09B7E}"/>
    <cellStyle name="Note 4 3 2 8" xfId="14187" xr:uid="{2508866A-F78F-4A32-A9D5-9C94431A7E54}"/>
    <cellStyle name="Note 4 3 2 9" xfId="16077" xr:uid="{59B7928A-D50D-4D6D-B125-1986FE05BDF9}"/>
    <cellStyle name="Note 4 3 20" xfId="32457" xr:uid="{7905D4F8-557B-4962-8A3F-C9660616564D}"/>
    <cellStyle name="Note 4 3 21" xfId="34347" xr:uid="{539BB156-130C-41EA-B89D-C5B953A617C1}"/>
    <cellStyle name="Note 4 3 22" xfId="36237" xr:uid="{5638D3E3-1237-488C-A786-B48A9DD2AE51}"/>
    <cellStyle name="Note 4 3 23" xfId="38127" xr:uid="{76CB4178-A579-4F23-B3A5-328F8F25D03C}"/>
    <cellStyle name="Note 4 3 24" xfId="40018" xr:uid="{269F0DC0-7BCD-4DB3-965A-E681C8692723}"/>
    <cellStyle name="Note 4 3 3" xfId="1587" xr:uid="{5BAA55F2-6A08-49A0-B601-3EB07E7B4390}"/>
    <cellStyle name="Note 4 3 3 10" xfId="18597" xr:uid="{0FD564CC-3E52-4A34-9E84-3410E3AA4819}"/>
    <cellStyle name="Note 4 3 3 11" xfId="20487" xr:uid="{723407C8-9236-4F2C-912A-A2B77963CA97}"/>
    <cellStyle name="Note 4 3 3 12" xfId="22377" xr:uid="{86859FA8-5A61-4DEA-8C17-68AE645A9979}"/>
    <cellStyle name="Note 4 3 3 13" xfId="24267" xr:uid="{FA37E1FE-A1F0-4166-9054-9322C0ACB568}"/>
    <cellStyle name="Note 4 3 3 14" xfId="26157" xr:uid="{A628BB0F-0A74-4862-9DFA-AD0D5B0648CA}"/>
    <cellStyle name="Note 4 3 3 15" xfId="28047" xr:uid="{00927EAC-1586-4129-9039-F2DAC2E5C6A7}"/>
    <cellStyle name="Note 4 3 3 16" xfId="29937" xr:uid="{AED613C2-8A64-4F92-B2B9-6314DDB35AEC}"/>
    <cellStyle name="Note 4 3 3 17" xfId="31827" xr:uid="{7003D2F3-703F-4C1B-A4EB-49CF2D4D69D1}"/>
    <cellStyle name="Note 4 3 3 18" xfId="33717" xr:uid="{72436A6B-D449-4D57-ADF7-545E633AACBA}"/>
    <cellStyle name="Note 4 3 3 19" xfId="35607" xr:uid="{8C85E05C-04BE-4B9C-B04F-3618ED3D2A8C}"/>
    <cellStyle name="Note 4 3 3 2" xfId="3477" xr:uid="{CE4E1ED8-C285-4B3E-ACC3-91BC604B6F22}"/>
    <cellStyle name="Note 4 3 3 20" xfId="37497" xr:uid="{55CE6E60-3580-47E5-A67C-EFE2E9096715}"/>
    <cellStyle name="Note 4 3 3 21" xfId="39387" xr:uid="{16001676-D518-4951-8C7D-8F16CD9BEDF5}"/>
    <cellStyle name="Note 4 3 3 22" xfId="41278" xr:uid="{52D64C30-B220-47B5-98BF-D99A6002FAA9}"/>
    <cellStyle name="Note 4 3 3 3" xfId="5367" xr:uid="{C48D89AA-7DA1-4245-8EE5-A17E4A239941}"/>
    <cellStyle name="Note 4 3 3 4" xfId="7257" xr:uid="{D0BEFDA6-A816-4152-B98D-75813C817299}"/>
    <cellStyle name="Note 4 3 3 5" xfId="9147" xr:uid="{E5E643C1-2B05-449F-A0D7-9D72CACD3253}"/>
    <cellStyle name="Note 4 3 3 6" xfId="11037" xr:uid="{3E0A90D0-72BF-4135-93EE-33F6D35BD7BE}"/>
    <cellStyle name="Note 4 3 3 7" xfId="12927" xr:uid="{84DDBD67-B40B-4397-AD00-1D545BB263BE}"/>
    <cellStyle name="Note 4 3 3 8" xfId="14817" xr:uid="{DF1AECB6-E351-449D-995F-4AE705C9FF7B}"/>
    <cellStyle name="Note 4 3 3 9" xfId="16707" xr:uid="{A1A77C8E-F972-4A31-BF98-249B7EEBBFA3}"/>
    <cellStyle name="Note 4 3 4" xfId="2217" xr:uid="{5A9E0C6D-9BEE-4A06-BD9C-D3836D992C3F}"/>
    <cellStyle name="Note 4 3 5" xfId="4107" xr:uid="{B29D8991-F6D1-4CDF-8BDC-AA684970B597}"/>
    <cellStyle name="Note 4 3 6" xfId="5997" xr:uid="{0A09A909-04E5-4F1B-B379-61630EEFA122}"/>
    <cellStyle name="Note 4 3 7" xfId="7887" xr:uid="{02BCC57D-3AB8-45BA-B5FB-4964453AE9B4}"/>
    <cellStyle name="Note 4 3 8" xfId="9777" xr:uid="{F59E0036-19B5-4113-936F-F9D4317E1B30}"/>
    <cellStyle name="Note 4 3 9" xfId="11667" xr:uid="{CF8005A8-6029-4EC5-9F62-DC323D9151A6}"/>
    <cellStyle name="Note 4 4" xfId="537" xr:uid="{2DA31976-47B7-479C-81D7-CDA972CCF6BF}"/>
    <cellStyle name="Note 4 4 10" xfId="13767" xr:uid="{8B9E3277-6108-4C4B-BE9F-A9CB12207134}"/>
    <cellStyle name="Note 4 4 11" xfId="15657" xr:uid="{9009F91E-3FE5-4CED-AA3F-7709C79E42EA}"/>
    <cellStyle name="Note 4 4 12" xfId="17547" xr:uid="{0CF2C1A9-6C62-4E61-8A06-66CC1BEF4140}"/>
    <cellStyle name="Note 4 4 13" xfId="19437" xr:uid="{1C0D3C42-EA11-402E-9DDB-EDB831D7D39A}"/>
    <cellStyle name="Note 4 4 14" xfId="21327" xr:uid="{BF6213D1-779A-4206-B287-1E6E71A675A4}"/>
    <cellStyle name="Note 4 4 15" xfId="23217" xr:uid="{5A698875-1BAC-4700-B5F0-CFC8E63B3EA7}"/>
    <cellStyle name="Note 4 4 16" xfId="25107" xr:uid="{6F589648-5C84-4ABF-B858-B97AD234EF50}"/>
    <cellStyle name="Note 4 4 17" xfId="26997" xr:uid="{81BD485F-28B4-4437-98FA-12F1C4EB994A}"/>
    <cellStyle name="Note 4 4 18" xfId="28887" xr:uid="{A1E441C4-C46E-4002-AF2B-8B719760D32C}"/>
    <cellStyle name="Note 4 4 19" xfId="30777" xr:uid="{8BB9A725-09DE-4D8F-9FA9-16A1F08B20A3}"/>
    <cellStyle name="Note 4 4 2" xfId="1167" xr:uid="{C55E551B-98E4-4995-AD88-E97579E14DF1}"/>
    <cellStyle name="Note 4 4 2 10" xfId="18177" xr:uid="{75117F0E-5529-4273-9527-D4BBBACAF30A}"/>
    <cellStyle name="Note 4 4 2 11" xfId="20067" xr:uid="{08AA25CF-00CB-402D-B073-25BDE486C33C}"/>
    <cellStyle name="Note 4 4 2 12" xfId="21957" xr:uid="{8BB35F56-6890-4BA9-8E7B-8B6F0F8DCDBA}"/>
    <cellStyle name="Note 4 4 2 13" xfId="23847" xr:uid="{27AD84F4-CFBF-4AEE-B5A8-1441EC854E5A}"/>
    <cellStyle name="Note 4 4 2 14" xfId="25737" xr:uid="{23289163-5664-45CE-A088-897D7EEFEC00}"/>
    <cellStyle name="Note 4 4 2 15" xfId="27627" xr:uid="{9C0C0B5E-705B-41F8-8C45-3DE06F3858B6}"/>
    <cellStyle name="Note 4 4 2 16" xfId="29517" xr:uid="{26E7AA9B-741F-4C5A-882F-166703417C4A}"/>
    <cellStyle name="Note 4 4 2 17" xfId="31407" xr:uid="{57689322-F87A-4779-9207-983967095FDE}"/>
    <cellStyle name="Note 4 4 2 18" xfId="33297" xr:uid="{42FFF0BD-8408-483D-BA4A-11AAD01B24FC}"/>
    <cellStyle name="Note 4 4 2 19" xfId="35187" xr:uid="{688153F1-01FE-4309-A29F-60BC670A97C5}"/>
    <cellStyle name="Note 4 4 2 2" xfId="3057" xr:uid="{469ACE85-0B64-4483-A700-40E0DFB48911}"/>
    <cellStyle name="Note 4 4 2 20" xfId="37077" xr:uid="{922D779A-AE5D-4D4F-93ED-0912FDBD7344}"/>
    <cellStyle name="Note 4 4 2 21" xfId="38967" xr:uid="{CE3D6F6F-1FA2-43D1-8248-12974FC9D9ED}"/>
    <cellStyle name="Note 4 4 2 22" xfId="40858" xr:uid="{595CDC6B-B4E6-4F9A-8C8C-373FBC8AF3FE}"/>
    <cellStyle name="Note 4 4 2 3" xfId="4947" xr:uid="{A71F18CD-40BF-4C61-B05B-3312A15BF0C0}"/>
    <cellStyle name="Note 4 4 2 4" xfId="6837" xr:uid="{7E86F22D-2CF2-4BCC-B4AC-7EEE5184D679}"/>
    <cellStyle name="Note 4 4 2 5" xfId="8727" xr:uid="{33825801-F4ED-4745-9C3E-F9E2A8AF666A}"/>
    <cellStyle name="Note 4 4 2 6" xfId="10617" xr:uid="{A15F0A0A-235B-4C7F-899D-90FE4551B4C8}"/>
    <cellStyle name="Note 4 4 2 7" xfId="12507" xr:uid="{B80ED16F-75BA-4117-A1D3-D2B8B0339EDE}"/>
    <cellStyle name="Note 4 4 2 8" xfId="14397" xr:uid="{1270C551-E016-44FC-A6F4-F9F79894CC8C}"/>
    <cellStyle name="Note 4 4 2 9" xfId="16287" xr:uid="{7AE413CE-BCD8-4A7A-8614-335E5D597C70}"/>
    <cellStyle name="Note 4 4 20" xfId="32667" xr:uid="{522E9908-24E8-4A2A-ADB9-00FAD9B3C73E}"/>
    <cellStyle name="Note 4 4 21" xfId="34557" xr:uid="{906B64B2-3FAE-4C7E-A74C-BB4D723DD7E6}"/>
    <cellStyle name="Note 4 4 22" xfId="36447" xr:uid="{532D375D-2ABE-44DC-9E02-2E785AFDC01A}"/>
    <cellStyle name="Note 4 4 23" xfId="38337" xr:uid="{FB3D8C74-D9E1-4EFD-8E94-B76D57D9F398}"/>
    <cellStyle name="Note 4 4 24" xfId="40228" xr:uid="{32F689DE-C6D5-4A8D-914D-F201AE0A9504}"/>
    <cellStyle name="Note 4 4 3" xfId="1797" xr:uid="{82BCB04F-9366-47C6-8D66-8BBDA4B8CF2A}"/>
    <cellStyle name="Note 4 4 3 10" xfId="18807" xr:uid="{95115D7F-AD62-42EA-AF73-F34834FDB96C}"/>
    <cellStyle name="Note 4 4 3 11" xfId="20697" xr:uid="{5895F9EC-1B78-4A89-A86B-BD4682D91EBC}"/>
    <cellStyle name="Note 4 4 3 12" xfId="22587" xr:uid="{18D68195-E5B6-4D47-A14A-E2FA3FBF71FA}"/>
    <cellStyle name="Note 4 4 3 13" xfId="24477" xr:uid="{E8CBCD40-AEEF-4C52-97A3-2C6FA137E091}"/>
    <cellStyle name="Note 4 4 3 14" xfId="26367" xr:uid="{69410477-5275-4E61-BE1A-42363D8D0647}"/>
    <cellStyle name="Note 4 4 3 15" xfId="28257" xr:uid="{0D2AB66E-0FA0-4A20-B052-1230B74C97B4}"/>
    <cellStyle name="Note 4 4 3 16" xfId="30147" xr:uid="{09877A5C-1804-45DC-AEEC-93BC2690A34B}"/>
    <cellStyle name="Note 4 4 3 17" xfId="32037" xr:uid="{6EFA49AA-95AB-4E09-AE1D-1B82E9B457BE}"/>
    <cellStyle name="Note 4 4 3 18" xfId="33927" xr:uid="{D705731E-EA25-4460-AA2A-A5A022A0F349}"/>
    <cellStyle name="Note 4 4 3 19" xfId="35817" xr:uid="{68329059-9A94-44E1-A4B1-B2021ACD287E}"/>
    <cellStyle name="Note 4 4 3 2" xfId="3687" xr:uid="{882604F0-D1BD-4D89-A443-FD67454CC66A}"/>
    <cellStyle name="Note 4 4 3 20" xfId="37707" xr:uid="{F94DA4A6-B43B-4A05-892D-ED63BBF266A1}"/>
    <cellStyle name="Note 4 4 3 21" xfId="39597" xr:uid="{90313A3B-AC12-40D5-A8E8-2A5B91EFCDC6}"/>
    <cellStyle name="Note 4 4 3 22" xfId="41488" xr:uid="{B439520D-E81A-4EB4-97D1-76648C062DE9}"/>
    <cellStyle name="Note 4 4 3 3" xfId="5577" xr:uid="{ACE6FE7B-BFC2-4E6D-A738-894AE8C46780}"/>
    <cellStyle name="Note 4 4 3 4" xfId="7467" xr:uid="{CDAACBE5-3247-4662-AC53-9AD2328915DD}"/>
    <cellStyle name="Note 4 4 3 5" xfId="9357" xr:uid="{18243FA4-3B48-4A13-BF4F-5FE5242F6925}"/>
    <cellStyle name="Note 4 4 3 6" xfId="11247" xr:uid="{25EF8228-9F32-4C62-BF68-E3650327730B}"/>
    <cellStyle name="Note 4 4 3 7" xfId="13137" xr:uid="{9B1530A1-7714-4F1E-BA67-75746C1C742D}"/>
    <cellStyle name="Note 4 4 3 8" xfId="15027" xr:uid="{FC8430E8-8984-411D-BE7D-9083969DC48C}"/>
    <cellStyle name="Note 4 4 3 9" xfId="16917" xr:uid="{4A23CCC6-B713-49C6-917C-99EC2EDA2B36}"/>
    <cellStyle name="Note 4 4 4" xfId="2427" xr:uid="{BBF3E1CA-F494-432F-8534-54CF77BE2DD3}"/>
    <cellStyle name="Note 4 4 5" xfId="4317" xr:uid="{847EAB54-E95C-4450-9F22-CFFAB5B23F49}"/>
    <cellStyle name="Note 4 4 6" xfId="6207" xr:uid="{B3255C47-B3E1-48B2-AB25-0838D14369CE}"/>
    <cellStyle name="Note 4 4 7" xfId="8097" xr:uid="{644DE761-8D0C-42FD-A438-19FFCD021675}"/>
    <cellStyle name="Note 4 4 8" xfId="9987" xr:uid="{048C29C9-5A49-4E24-B4A0-8AC68323E582}"/>
    <cellStyle name="Note 4 4 9" xfId="11877" xr:uid="{0BE09658-F7BF-40A9-B4F3-B2AE18A57648}"/>
    <cellStyle name="Note 4 5" xfId="747" xr:uid="{4B45EC75-A045-4DB2-A178-85A69E4E2D90}"/>
    <cellStyle name="Note 4 5 10" xfId="17757" xr:uid="{BEA3844C-543D-47EC-BB71-EFD63CDA59B6}"/>
    <cellStyle name="Note 4 5 11" xfId="19647" xr:uid="{7B319965-0913-4BD4-83A6-ACBA36022C79}"/>
    <cellStyle name="Note 4 5 12" xfId="21537" xr:uid="{0DCF0696-6D58-4813-BF87-1036EC9D80D9}"/>
    <cellStyle name="Note 4 5 13" xfId="23427" xr:uid="{2F637619-684F-4974-BDA0-574BE733500D}"/>
    <cellStyle name="Note 4 5 14" xfId="25317" xr:uid="{C0071D64-24BB-45C4-8397-8B516B9EB702}"/>
    <cellStyle name="Note 4 5 15" xfId="27207" xr:uid="{171B8AD3-23F9-4F2A-ACD8-BBF6EB6C9F56}"/>
    <cellStyle name="Note 4 5 16" xfId="29097" xr:uid="{FDBD8E47-06DB-4750-8FFF-47692EE7A553}"/>
    <cellStyle name="Note 4 5 17" xfId="30987" xr:uid="{8F12BB8C-8B03-4885-ACA2-B536AD91DC24}"/>
    <cellStyle name="Note 4 5 18" xfId="32877" xr:uid="{BB037CD5-1D74-4ABB-BFC7-D8DDB434D04B}"/>
    <cellStyle name="Note 4 5 19" xfId="34767" xr:uid="{B76D6420-3969-4936-AD88-E42DD726B76E}"/>
    <cellStyle name="Note 4 5 2" xfId="2637" xr:uid="{CF466F24-C5EF-46B0-A783-1162D1042778}"/>
    <cellStyle name="Note 4 5 20" xfId="36657" xr:uid="{C5EF479C-22CA-4701-AB7A-F3B92FFEB01E}"/>
    <cellStyle name="Note 4 5 21" xfId="38547" xr:uid="{21F87D75-59C5-43DE-BD7F-C770B54E8EBE}"/>
    <cellStyle name="Note 4 5 22" xfId="40438" xr:uid="{5927FFCC-92A0-4539-B3D4-E11E9AFB6D60}"/>
    <cellStyle name="Note 4 5 3" xfId="4527" xr:uid="{78018A54-2B6F-4B3A-8349-94A7814E8BE9}"/>
    <cellStyle name="Note 4 5 4" xfId="6417" xr:uid="{E2135E12-4925-4AC5-96F6-FAFE3D457724}"/>
    <cellStyle name="Note 4 5 5" xfId="8307" xr:uid="{4C4F00D2-CDBC-4853-BC23-3FD2B2381D77}"/>
    <cellStyle name="Note 4 5 6" xfId="10197" xr:uid="{47D3CDFF-C2F5-4A12-B9AF-28327A209AC1}"/>
    <cellStyle name="Note 4 5 7" xfId="12087" xr:uid="{34BAE3D0-1472-464D-AFBC-EFA8117C32F5}"/>
    <cellStyle name="Note 4 5 8" xfId="13977" xr:uid="{877FE122-87F9-4ACE-A782-EAE32DB85BFA}"/>
    <cellStyle name="Note 4 5 9" xfId="15867" xr:uid="{5EFBA765-80B0-45EA-8976-018C59F58626}"/>
    <cellStyle name="Note 4 6" xfId="1377" xr:uid="{8FEA2B28-33C7-4FA7-8523-D5C066E1AF44}"/>
    <cellStyle name="Note 4 6 10" xfId="18387" xr:uid="{BCF29DD8-AB10-4D67-A4E2-E90EDF3859C5}"/>
    <cellStyle name="Note 4 6 11" xfId="20277" xr:uid="{A7A7ED1D-FE62-4D34-81D8-208279E398B3}"/>
    <cellStyle name="Note 4 6 12" xfId="22167" xr:uid="{C5AE31CE-3DEB-4C34-9027-9451D30D2DAA}"/>
    <cellStyle name="Note 4 6 13" xfId="24057" xr:uid="{9AFE2B76-DA01-4C73-B8D7-5676E4B96806}"/>
    <cellStyle name="Note 4 6 14" xfId="25947" xr:uid="{CC469502-960A-4EE3-BB05-1DAC31588605}"/>
    <cellStyle name="Note 4 6 15" xfId="27837" xr:uid="{F3AC17A6-8873-4F99-86A9-F6D4784CB284}"/>
    <cellStyle name="Note 4 6 16" xfId="29727" xr:uid="{58F770C2-9A58-46A6-9539-0826B2F87DF7}"/>
    <cellStyle name="Note 4 6 17" xfId="31617" xr:uid="{E4201A42-4600-48B8-8D61-0C82F6223F73}"/>
    <cellStyle name="Note 4 6 18" xfId="33507" xr:uid="{F73E1DC7-8BD7-449C-9205-5FFE3E1758AF}"/>
    <cellStyle name="Note 4 6 19" xfId="35397" xr:uid="{0A648F0B-4BC3-427F-9FF5-6B6598648F26}"/>
    <cellStyle name="Note 4 6 2" xfId="3267" xr:uid="{16971485-1E79-4C3C-9932-11D2EAF8C45D}"/>
    <cellStyle name="Note 4 6 20" xfId="37287" xr:uid="{50274E73-9E58-4551-A27F-60EC306D2024}"/>
    <cellStyle name="Note 4 6 21" xfId="39177" xr:uid="{D1BA2201-D07E-427D-901C-FB7ECA82F54D}"/>
    <cellStyle name="Note 4 6 22" xfId="41068" xr:uid="{9600394F-E2F1-4047-B345-A1F3291981F4}"/>
    <cellStyle name="Note 4 6 3" xfId="5157" xr:uid="{2E727037-C5F8-42D4-9990-AE2E6B62BBEA}"/>
    <cellStyle name="Note 4 6 4" xfId="7047" xr:uid="{5A3A9D14-3976-4788-927E-C51FCB14E9F3}"/>
    <cellStyle name="Note 4 6 5" xfId="8937" xr:uid="{2BE86370-A861-462C-B9A6-56E7983F13B2}"/>
    <cellStyle name="Note 4 6 6" xfId="10827" xr:uid="{4AF221D1-1EEF-4304-89CE-0A2648578F0D}"/>
    <cellStyle name="Note 4 6 7" xfId="12717" xr:uid="{6F4572CC-458E-4280-B4D2-BDAC8D00AEBE}"/>
    <cellStyle name="Note 4 6 8" xfId="14607" xr:uid="{BDE08592-4BF1-4E91-B90D-16877714AA75}"/>
    <cellStyle name="Note 4 6 9" xfId="16497" xr:uid="{2D958D06-928E-4FEB-8EDC-11E1A1DAFE62}"/>
    <cellStyle name="Note 4 7" xfId="2007" xr:uid="{EAB0BFAC-8733-42EC-8B1C-F0ADA0599722}"/>
    <cellStyle name="Note 4 8" xfId="3897" xr:uid="{BC4EBE64-D1E3-4E60-83CF-85408CA4A3B9}"/>
    <cellStyle name="Note 4 9" xfId="5787" xr:uid="{2068981F-3931-4254-BFE4-1BDE53065EF6}"/>
    <cellStyle name="Output" xfId="63" builtinId="21" customBuiltin="1"/>
    <cellStyle name="Percent" xfId="2" builtinId="5"/>
    <cellStyle name="Percent 10" xfId="242" xr:uid="{1467E5E7-20E9-4AD8-9CDD-DF883B2D60D3}"/>
    <cellStyle name="Percent 10 10" xfId="13472" xr:uid="{124D3FA8-FE44-49EE-86FE-16AEEE43C6C1}"/>
    <cellStyle name="Percent 10 11" xfId="15362" xr:uid="{0710F345-484E-4F8A-930F-20D54E5FFCCA}"/>
    <cellStyle name="Percent 10 12" xfId="17252" xr:uid="{C0B6A9D4-45AB-4D43-BD77-F78D1A4565C8}"/>
    <cellStyle name="Percent 10 13" xfId="19142" xr:uid="{698C2817-91FD-43E4-B8FF-E15B84CB1960}"/>
    <cellStyle name="Percent 10 14" xfId="21032" xr:uid="{558191CB-6C85-4D14-B7BE-4356C21AF88B}"/>
    <cellStyle name="Percent 10 15" xfId="22922" xr:uid="{503250E0-7C49-470A-9BE6-EE07E8208089}"/>
    <cellStyle name="Percent 10 16" xfId="24812" xr:uid="{A550CAE5-7635-4CCB-A3F3-2FABF1D846B1}"/>
    <cellStyle name="Percent 10 17" xfId="26702" xr:uid="{A287BA7F-8BD2-4BB9-93E0-44B98C699CE1}"/>
    <cellStyle name="Percent 10 18" xfId="28592" xr:uid="{A49CF7A0-1EB9-4F1B-AAA4-5757EBEEFB11}"/>
    <cellStyle name="Percent 10 19" xfId="30482" xr:uid="{951C1EA4-1472-4647-9D2E-B37A97DFA0B8}"/>
    <cellStyle name="Percent 10 2" xfId="872" xr:uid="{2527593C-6821-4DC6-9D31-2EA174EF29F5}"/>
    <cellStyle name="Percent 10 2 10" xfId="17882" xr:uid="{61B80973-EBCD-4001-A345-42FDB278129F}"/>
    <cellStyle name="Percent 10 2 11" xfId="19772" xr:uid="{EF0B9009-394C-43C1-B445-AB1A036B65F6}"/>
    <cellStyle name="Percent 10 2 12" xfId="21662" xr:uid="{5E82A197-40BD-4B39-AE7F-FB42EA43D653}"/>
    <cellStyle name="Percent 10 2 13" xfId="23552" xr:uid="{3CCC9506-B80C-42C1-A778-9148CBC3456C}"/>
    <cellStyle name="Percent 10 2 14" xfId="25442" xr:uid="{BB8D9FE6-B528-45D2-996E-F5B8A8E2BE9A}"/>
    <cellStyle name="Percent 10 2 15" xfId="27332" xr:uid="{574FAC7D-516E-4D44-9FE8-EE4145F225DF}"/>
    <cellStyle name="Percent 10 2 16" xfId="29222" xr:uid="{6BC78B97-7B89-4A07-BB97-BC0E3D6AFEA2}"/>
    <cellStyle name="Percent 10 2 17" xfId="31112" xr:uid="{783746AA-DEFA-470A-9485-DFC03E73C9FD}"/>
    <cellStyle name="Percent 10 2 18" xfId="33002" xr:uid="{54286350-E2D5-4C57-AB41-4007B548BC30}"/>
    <cellStyle name="Percent 10 2 19" xfId="34892" xr:uid="{3E48FF4F-095A-4C63-88EB-797062E4FBAE}"/>
    <cellStyle name="Percent 10 2 2" xfId="2762" xr:uid="{46B80AA1-D1A8-4F48-A569-A203EEB73337}"/>
    <cellStyle name="Percent 10 2 20" xfId="36782" xr:uid="{67DED091-A0F7-428C-A1FD-47F6AF8E3D4D}"/>
    <cellStyle name="Percent 10 2 21" xfId="38672" xr:uid="{68154955-07A8-4A4A-BD65-7061516DC7AA}"/>
    <cellStyle name="Percent 10 2 22" xfId="40563" xr:uid="{CEA80954-8A44-493B-A080-3213AB726D35}"/>
    <cellStyle name="Percent 10 2 3" xfId="4652" xr:uid="{0B451A82-C69E-487C-904E-22640D6A64F3}"/>
    <cellStyle name="Percent 10 2 4" xfId="6542" xr:uid="{3FE125A5-4A43-40EA-9E45-612888CB572F}"/>
    <cellStyle name="Percent 10 2 5" xfId="8432" xr:uid="{4F4ADF0A-A37A-4CF9-AF5B-EF18A1CD81C6}"/>
    <cellStyle name="Percent 10 2 6" xfId="10322" xr:uid="{6B94D75E-6601-405E-A2C9-E137C34278A3}"/>
    <cellStyle name="Percent 10 2 7" xfId="12212" xr:uid="{555F95A1-31D4-4AE2-91E1-CD9DEAB196AC}"/>
    <cellStyle name="Percent 10 2 8" xfId="14102" xr:uid="{2C436BE4-EB91-4D5A-AFF9-37FDEED51AC1}"/>
    <cellStyle name="Percent 10 2 9" xfId="15992" xr:uid="{F53C9B0C-5100-46A4-8754-E3A8049FAC51}"/>
    <cellStyle name="Percent 10 20" xfId="32372" xr:uid="{E72695A0-6232-44D1-A151-08FBF92CCA95}"/>
    <cellStyle name="Percent 10 21" xfId="34262" xr:uid="{E088AABA-F1CC-41EB-8DFE-B3AF168B79DC}"/>
    <cellStyle name="Percent 10 22" xfId="36152" xr:uid="{EEC8A22F-E50A-418A-8B5E-E10331F50B9F}"/>
    <cellStyle name="Percent 10 23" xfId="38042" xr:uid="{B6A75965-A08A-4073-B422-1026C37AAF1B}"/>
    <cellStyle name="Percent 10 24" xfId="39933" xr:uid="{1B78AF1B-78FC-4456-AB35-03A2D02C7C65}"/>
    <cellStyle name="Percent 10 3" xfId="1502" xr:uid="{F24544E0-A4DE-488E-B0E9-D4B37668FD05}"/>
    <cellStyle name="Percent 10 3 10" xfId="18512" xr:uid="{C4061A96-4E3B-4560-BBB6-4B05E9269EC9}"/>
    <cellStyle name="Percent 10 3 11" xfId="20402" xr:uid="{46054AD0-FC42-48F6-965F-898A336E0ED1}"/>
    <cellStyle name="Percent 10 3 12" xfId="22292" xr:uid="{31F33FBA-91E6-4FF8-915F-A8C6445B9556}"/>
    <cellStyle name="Percent 10 3 13" xfId="24182" xr:uid="{5F8A5462-9DD7-4D24-88EE-9A5A8A44F871}"/>
    <cellStyle name="Percent 10 3 14" xfId="26072" xr:uid="{ABCF0094-BB24-4F22-8B7B-59B409D4AFE4}"/>
    <cellStyle name="Percent 10 3 15" xfId="27962" xr:uid="{CA8FFF01-99CE-4ADF-A473-FF0E711D7ED8}"/>
    <cellStyle name="Percent 10 3 16" xfId="29852" xr:uid="{6D708A85-D736-4AD3-BFAA-18911418CDD4}"/>
    <cellStyle name="Percent 10 3 17" xfId="31742" xr:uid="{792D1166-306A-49D7-B981-DF5B9C656633}"/>
    <cellStyle name="Percent 10 3 18" xfId="33632" xr:uid="{940476EF-71A9-46BE-A55A-7EBA4759B136}"/>
    <cellStyle name="Percent 10 3 19" xfId="35522" xr:uid="{104ADECC-31E4-436D-9C32-856370D6E36F}"/>
    <cellStyle name="Percent 10 3 2" xfId="3392" xr:uid="{B1ABDBD7-1836-48C9-9280-E299DFB5AE06}"/>
    <cellStyle name="Percent 10 3 20" xfId="37412" xr:uid="{8789B02C-B503-45A8-B0A8-F687493F0D48}"/>
    <cellStyle name="Percent 10 3 21" xfId="39302" xr:uid="{03810295-E9E7-4E6C-98FE-CF566AA1A91D}"/>
    <cellStyle name="Percent 10 3 22" xfId="41193" xr:uid="{72A51637-0A2B-4950-BA93-90D32ACB65B6}"/>
    <cellStyle name="Percent 10 3 3" xfId="5282" xr:uid="{300A78D3-0285-458A-9992-19AD40889A96}"/>
    <cellStyle name="Percent 10 3 4" xfId="7172" xr:uid="{EDA8BD74-549F-4631-92AB-665818E9F270}"/>
    <cellStyle name="Percent 10 3 5" xfId="9062" xr:uid="{DD18291F-3ED7-4A21-8089-99FA5F8D01DF}"/>
    <cellStyle name="Percent 10 3 6" xfId="10952" xr:uid="{B77DE0D1-F91C-4155-968F-F269728A9BEB}"/>
    <cellStyle name="Percent 10 3 7" xfId="12842" xr:uid="{CC163E43-081C-49C5-8E3C-766FD5FD4B54}"/>
    <cellStyle name="Percent 10 3 8" xfId="14732" xr:uid="{CF0F2D1E-3508-4211-9FF9-88BC8AF8916E}"/>
    <cellStyle name="Percent 10 3 9" xfId="16622" xr:uid="{1A938970-F210-4561-B787-18DC12541151}"/>
    <cellStyle name="Percent 10 4" xfId="2132" xr:uid="{6173EE0B-AA10-4CBC-A9A4-C21E56B72656}"/>
    <cellStyle name="Percent 10 5" xfId="4022" xr:uid="{DADB8152-D022-4EB1-AFBE-75B648623A7E}"/>
    <cellStyle name="Percent 10 6" xfId="5912" xr:uid="{40F06B62-43F1-4CC4-BF8D-63E47A7F341A}"/>
    <cellStyle name="Percent 10 7" xfId="7802" xr:uid="{01170452-04DF-4556-9E6B-3D5A0A93458C}"/>
    <cellStyle name="Percent 10 8" xfId="9692" xr:uid="{41B250F2-6123-4EF3-B8BB-81F38D2BECFC}"/>
    <cellStyle name="Percent 10 9" xfId="11582" xr:uid="{E45D96B6-FC95-4CFE-B7F8-6B63337791F3}"/>
    <cellStyle name="Percent 11" xfId="452" xr:uid="{00DA02C9-A8FD-4456-B313-5C327B3DD507}"/>
    <cellStyle name="Percent 11 10" xfId="13682" xr:uid="{E567EB8C-29DF-4532-9A18-77A666275920}"/>
    <cellStyle name="Percent 11 11" xfId="15572" xr:uid="{771B3019-08A1-4519-8E6C-511979B98D21}"/>
    <cellStyle name="Percent 11 12" xfId="17462" xr:uid="{152A1D54-6995-41BC-8022-74D7A63B326A}"/>
    <cellStyle name="Percent 11 13" xfId="19352" xr:uid="{F142C3A3-51AE-43EB-BE9E-3812C7B052B5}"/>
    <cellStyle name="Percent 11 14" xfId="21242" xr:uid="{76B1422E-7B21-4F96-A80C-D85E0C5E6A47}"/>
    <cellStyle name="Percent 11 15" xfId="23132" xr:uid="{B8E2AA76-0AE1-48DA-BD84-551D83F5265A}"/>
    <cellStyle name="Percent 11 16" xfId="25022" xr:uid="{D0A0D359-CB26-47DF-807D-9ED9098D04A3}"/>
    <cellStyle name="Percent 11 17" xfId="26912" xr:uid="{F7EDE799-DB2C-4B8E-9703-160CB0055FEA}"/>
    <cellStyle name="Percent 11 18" xfId="28802" xr:uid="{32B2378E-D2F2-4898-A795-93E6CF70350C}"/>
    <cellStyle name="Percent 11 19" xfId="30692" xr:uid="{8FD7C1EF-68D8-4B83-8690-0CF0C6F43C91}"/>
    <cellStyle name="Percent 11 2" xfId="1082" xr:uid="{AC522305-0283-4148-8E85-42264FB1A551}"/>
    <cellStyle name="Percent 11 2 10" xfId="18092" xr:uid="{350FBEE7-E217-4E61-AC94-C929C8413853}"/>
    <cellStyle name="Percent 11 2 11" xfId="19982" xr:uid="{492BE8F1-DD3D-4CB0-BA7F-C169E55F2049}"/>
    <cellStyle name="Percent 11 2 12" xfId="21872" xr:uid="{7DBDCD4E-9F2E-47D9-A720-8715BC6B9AC5}"/>
    <cellStyle name="Percent 11 2 13" xfId="23762" xr:uid="{66B323B1-4122-43EB-8628-83454C6972AA}"/>
    <cellStyle name="Percent 11 2 14" xfId="25652" xr:uid="{3EA3C531-E83C-4053-BBD4-997CF7333720}"/>
    <cellStyle name="Percent 11 2 15" xfId="27542" xr:uid="{22825706-E9A8-4C56-BB51-9A5B50211EA6}"/>
    <cellStyle name="Percent 11 2 16" xfId="29432" xr:uid="{D32A32A4-6C1B-442B-94B2-E1C8AF6B25C0}"/>
    <cellStyle name="Percent 11 2 17" xfId="31322" xr:uid="{597CD2BC-B460-4D1F-B8B5-291AC49D940E}"/>
    <cellStyle name="Percent 11 2 18" xfId="33212" xr:uid="{6B0DAE07-B18E-4D0C-9BC3-33C5BDDE4B2A}"/>
    <cellStyle name="Percent 11 2 19" xfId="35102" xr:uid="{757032CB-6240-470D-993F-ECBA13C3B781}"/>
    <cellStyle name="Percent 11 2 2" xfId="2972" xr:uid="{CE48CA31-FA32-4559-A00E-111FBE8A1B5C}"/>
    <cellStyle name="Percent 11 2 20" xfId="36992" xr:uid="{76208D63-8EE1-49E1-B021-EAB008008A92}"/>
    <cellStyle name="Percent 11 2 21" xfId="38882" xr:uid="{3822540F-56BF-4B4F-A779-2B41E5F0BB94}"/>
    <cellStyle name="Percent 11 2 22" xfId="40773" xr:uid="{79184DFB-4075-4D39-9B0B-7E2FF80BED20}"/>
    <cellStyle name="Percent 11 2 3" xfId="4862" xr:uid="{1F2B7AB9-AB57-4988-80EB-363002FAD1C5}"/>
    <cellStyle name="Percent 11 2 4" xfId="6752" xr:uid="{3AF1CEF9-F578-4A40-AD1C-05DF18BCFE97}"/>
    <cellStyle name="Percent 11 2 5" xfId="8642" xr:uid="{D84CC1A1-5FA2-47E5-85ED-4C2F82DC4CF9}"/>
    <cellStyle name="Percent 11 2 6" xfId="10532" xr:uid="{8658D39F-9949-4ACE-A81D-FC3638CE5956}"/>
    <cellStyle name="Percent 11 2 7" xfId="12422" xr:uid="{26570EC0-7963-414A-8B5B-67F8FE1B98A2}"/>
    <cellStyle name="Percent 11 2 8" xfId="14312" xr:uid="{922C26FA-8D24-412F-A5BA-E150F77C0060}"/>
    <cellStyle name="Percent 11 2 9" xfId="16202" xr:uid="{EEAD60E6-05A6-4666-B1E9-DEC5E6CE349D}"/>
    <cellStyle name="Percent 11 20" xfId="32582" xr:uid="{30288A24-434F-4B0D-89C6-850A7621ACDC}"/>
    <cellStyle name="Percent 11 21" xfId="34472" xr:uid="{7067A5DE-D15D-4179-9C5F-0BB144048769}"/>
    <cellStyle name="Percent 11 22" xfId="36362" xr:uid="{D3377EA1-2A71-4D94-A11F-1BCEA03E20E2}"/>
    <cellStyle name="Percent 11 23" xfId="38252" xr:uid="{8BBC2E44-B03B-4DB4-8373-F23FBCEA333F}"/>
    <cellStyle name="Percent 11 24" xfId="40143" xr:uid="{7C944542-DA56-4A3A-9C7B-1009B3C9AEC3}"/>
    <cellStyle name="Percent 11 3" xfId="1712" xr:uid="{7F72C80E-8889-410E-98F8-36884127BF3D}"/>
    <cellStyle name="Percent 11 3 10" xfId="18722" xr:uid="{E536553D-D5A6-4C21-A639-0E07477B6364}"/>
    <cellStyle name="Percent 11 3 11" xfId="20612" xr:uid="{742E5C75-AAC1-4293-810B-8DC9852900DC}"/>
    <cellStyle name="Percent 11 3 12" xfId="22502" xr:uid="{6A6AF296-57F1-4973-A43A-FDEA0C50F079}"/>
    <cellStyle name="Percent 11 3 13" xfId="24392" xr:uid="{D91B9ECD-5160-4E31-8693-D71580E213C5}"/>
    <cellStyle name="Percent 11 3 14" xfId="26282" xr:uid="{E0875071-FFF3-4C30-B8F2-EF424A90CD31}"/>
    <cellStyle name="Percent 11 3 15" xfId="28172" xr:uid="{E7FCFDDA-D4C8-4DD8-9017-8C4DA94507DE}"/>
    <cellStyle name="Percent 11 3 16" xfId="30062" xr:uid="{0D7ABC3A-4ACF-44C4-8CC4-7F1D6A59541E}"/>
    <cellStyle name="Percent 11 3 17" xfId="31952" xr:uid="{E307574B-620F-4F84-9A17-BD94863BE88F}"/>
    <cellStyle name="Percent 11 3 18" xfId="33842" xr:uid="{56BE85B3-BD22-46B7-8307-E1357C69A00E}"/>
    <cellStyle name="Percent 11 3 19" xfId="35732" xr:uid="{BDA59042-6257-418A-B554-006D07E8E3BF}"/>
    <cellStyle name="Percent 11 3 2" xfId="3602" xr:uid="{AE85B8CC-97D6-4E90-87A2-F51E25264BD6}"/>
    <cellStyle name="Percent 11 3 20" xfId="37622" xr:uid="{3489F31C-B976-4F0C-8624-199D9F087B6E}"/>
    <cellStyle name="Percent 11 3 21" xfId="39512" xr:uid="{AE62A0D0-17E2-4716-8475-A37E429CF224}"/>
    <cellStyle name="Percent 11 3 22" xfId="41403" xr:uid="{E474A8B5-6FC2-4124-B194-79DA57C8BED1}"/>
    <cellStyle name="Percent 11 3 3" xfId="5492" xr:uid="{1A5CB296-090E-4C52-8CE8-735E661FC0DF}"/>
    <cellStyle name="Percent 11 3 4" xfId="7382" xr:uid="{03AD237B-CBEB-4154-896C-CE8AADFA2BE7}"/>
    <cellStyle name="Percent 11 3 5" xfId="9272" xr:uid="{D7F35814-2A61-429A-AC44-1E66CA05CAF6}"/>
    <cellStyle name="Percent 11 3 6" xfId="11162" xr:uid="{8D6ADFE8-A925-4FF6-8387-EE3C52D4859A}"/>
    <cellStyle name="Percent 11 3 7" xfId="13052" xr:uid="{493D585E-D71C-4494-8B9B-A3FDF0EE054F}"/>
    <cellStyle name="Percent 11 3 8" xfId="14942" xr:uid="{82BDA353-175E-47DD-AAE5-B83D96E24EAC}"/>
    <cellStyle name="Percent 11 3 9" xfId="16832" xr:uid="{F3C5A018-361B-4498-82E6-B9B3489FF25C}"/>
    <cellStyle name="Percent 11 4" xfId="2342" xr:uid="{30A6C05E-CAD9-4BE3-9568-E2FD055D55B5}"/>
    <cellStyle name="Percent 11 5" xfId="4232" xr:uid="{D187702A-91F0-4874-8E0C-11B293669A52}"/>
    <cellStyle name="Percent 11 6" xfId="6122" xr:uid="{4445CA0C-421A-443B-90F4-F3AC6157C3CB}"/>
    <cellStyle name="Percent 11 7" xfId="8012" xr:uid="{2DBEB9CA-FDD0-4AE7-A13E-8BA362A2527D}"/>
    <cellStyle name="Percent 11 8" xfId="9902" xr:uid="{9AB6F8FE-234E-439C-A1F0-16581D8CB9F3}"/>
    <cellStyle name="Percent 11 9" xfId="11792" xr:uid="{B1C768B8-51CF-41D2-8ABB-8F76B0E44834}"/>
    <cellStyle name="Percent 12" xfId="662" xr:uid="{818D986D-8120-4023-98D0-34767F843FE9}"/>
    <cellStyle name="Percent 12 10" xfId="17672" xr:uid="{7B90C7A6-F408-42CA-B950-35A1AB6239F3}"/>
    <cellStyle name="Percent 12 11" xfId="19562" xr:uid="{96D65979-2D24-4FEF-BB14-508AE34DF294}"/>
    <cellStyle name="Percent 12 12" xfId="21452" xr:uid="{FE37ECA8-B41B-4907-A063-D77E69FA0F3A}"/>
    <cellStyle name="Percent 12 13" xfId="23342" xr:uid="{A13FEAC8-E01E-4DC6-94A0-A62CB4B4DB22}"/>
    <cellStyle name="Percent 12 14" xfId="25232" xr:uid="{7A322403-EE3D-4DC1-85D3-952CB256C062}"/>
    <cellStyle name="Percent 12 15" xfId="27122" xr:uid="{85614405-1928-4FC0-80D7-BBE9E3053515}"/>
    <cellStyle name="Percent 12 16" xfId="29012" xr:uid="{482F364B-303F-4F9C-ADC0-13F95FC62B17}"/>
    <cellStyle name="Percent 12 17" xfId="30902" xr:uid="{057199FA-830D-4339-A3BE-31413C1B9A96}"/>
    <cellStyle name="Percent 12 18" xfId="32792" xr:uid="{E2CF642D-6DDD-4FDF-B93F-1216D81F20E9}"/>
    <cellStyle name="Percent 12 19" xfId="34682" xr:uid="{639F7F03-573C-4F39-9352-6576A14ACFE0}"/>
    <cellStyle name="Percent 12 2" xfId="2552" xr:uid="{56A2EB12-97A4-48F2-A19D-E06901650F60}"/>
    <cellStyle name="Percent 12 20" xfId="36572" xr:uid="{CC880649-A1E1-4423-B1A2-79E3F361B280}"/>
    <cellStyle name="Percent 12 21" xfId="38462" xr:uid="{47559844-49BE-403D-A605-5A62F0833454}"/>
    <cellStyle name="Percent 12 22" xfId="40353" xr:uid="{031219BD-1156-4227-A7F9-5AAB38709B69}"/>
    <cellStyle name="Percent 12 3" xfId="4442" xr:uid="{07DAB2C4-4DA8-4303-998A-911C3164FFED}"/>
    <cellStyle name="Percent 12 4" xfId="6332" xr:uid="{3F7761F4-E4EA-4914-ACD5-ECC3FCA10525}"/>
    <cellStyle name="Percent 12 5" xfId="8222" xr:uid="{AF736348-1D6D-442A-A319-5E1267F56086}"/>
    <cellStyle name="Percent 12 6" xfId="10112" xr:uid="{602AE49D-7CB5-4ACE-BF69-B45F7F71CDDC}"/>
    <cellStyle name="Percent 12 7" xfId="12002" xr:uid="{E32F7500-8BEB-4289-A67E-B34D1DC2BF78}"/>
    <cellStyle name="Percent 12 8" xfId="13892" xr:uid="{3F7FF088-1436-4E9C-B0BC-6E88BD6842D5}"/>
    <cellStyle name="Percent 12 9" xfId="15782" xr:uid="{DBD63034-D1EA-48D6-9AF2-CC6773F6D67A}"/>
    <cellStyle name="Percent 13" xfId="1292" xr:uid="{015BF970-B12B-4F49-94FB-7AC0A01B0D31}"/>
    <cellStyle name="Percent 13 10" xfId="18302" xr:uid="{9A6B2161-2239-4A01-8772-54F87D7B79EF}"/>
    <cellStyle name="Percent 13 11" xfId="20192" xr:uid="{2089CEF6-823B-46FA-97B5-8B2CC368B119}"/>
    <cellStyle name="Percent 13 12" xfId="22082" xr:uid="{E08B9E04-1CFC-411A-989D-61344BAD93BB}"/>
    <cellStyle name="Percent 13 13" xfId="23972" xr:uid="{AA4BF868-F833-41F2-B952-CB737987060B}"/>
    <cellStyle name="Percent 13 14" xfId="25862" xr:uid="{21060AB4-7282-4681-80DF-450F654B5DCE}"/>
    <cellStyle name="Percent 13 15" xfId="27752" xr:uid="{72BFBB02-9A65-49EB-8769-66F8E8236FBD}"/>
    <cellStyle name="Percent 13 16" xfId="29642" xr:uid="{411AA82B-2658-4BF3-B18C-CAF36A2B5D4E}"/>
    <cellStyle name="Percent 13 17" xfId="31532" xr:uid="{1143E370-46D0-461C-A9CD-9B1704272046}"/>
    <cellStyle name="Percent 13 18" xfId="33422" xr:uid="{94ABFA28-3B60-4477-BDBB-CF83E6014EA8}"/>
    <cellStyle name="Percent 13 19" xfId="35312" xr:uid="{0AB2B63D-FA2E-4704-A35B-44FD4C448FDE}"/>
    <cellStyle name="Percent 13 2" xfId="3182" xr:uid="{B7298B26-BD36-4931-BD88-D12A25495175}"/>
    <cellStyle name="Percent 13 20" xfId="37202" xr:uid="{F8898132-0F66-4DE7-9941-58150DD1775D}"/>
    <cellStyle name="Percent 13 21" xfId="39092" xr:uid="{0412940B-108F-4A50-9F97-1FF5C8D966DF}"/>
    <cellStyle name="Percent 13 22" xfId="40983" xr:uid="{702AE5B0-3735-4C38-95FA-E00AD2C0E0E1}"/>
    <cellStyle name="Percent 13 3" xfId="5072" xr:uid="{94D6DD6C-25DC-46C5-867F-3C9D9CC23AF7}"/>
    <cellStyle name="Percent 13 4" xfId="6962" xr:uid="{B6BE82C8-16A0-4887-9875-1AA8F44E1B2C}"/>
    <cellStyle name="Percent 13 5" xfId="8852" xr:uid="{50E00235-56A9-441A-A0B4-61868ED044E2}"/>
    <cellStyle name="Percent 13 6" xfId="10742" xr:uid="{0717B3BD-535B-431D-9DA9-F74BDD2E8CE8}"/>
    <cellStyle name="Percent 13 7" xfId="12632" xr:uid="{B442B413-C2DB-45C7-BEAE-D590828BF611}"/>
    <cellStyle name="Percent 13 8" xfId="14522" xr:uid="{7AD456F5-ADF0-4BF3-A224-E093733035A6}"/>
    <cellStyle name="Percent 13 9" xfId="16412" xr:uid="{522D9E3D-B152-42E0-BBC8-90953707FD8A}"/>
    <cellStyle name="Percent 14" xfId="1922" xr:uid="{D25805C8-A191-45F5-83E3-A3D94D83632E}"/>
    <cellStyle name="Percent 15" xfId="3812" xr:uid="{0A3E2BB7-F722-47AA-A022-42CDCD32AB84}"/>
    <cellStyle name="Percent 16" xfId="5702" xr:uid="{26D82E43-0342-41F7-A0CD-0AAEADD499B5}"/>
    <cellStyle name="Percent 17" xfId="7592" xr:uid="{A96D830D-987F-4679-9093-C2FF6A3588CC}"/>
    <cellStyle name="Percent 18" xfId="9482" xr:uid="{FF2FF4FE-36FC-447B-BB34-81C0D5A8AA74}"/>
    <cellStyle name="Percent 19" xfId="11372" xr:uid="{0FBEDF56-8748-4AB0-8113-E33B71449B58}"/>
    <cellStyle name="Percent 2" xfId="13" xr:uid="{00000000-0005-0000-0000-00003A000000}"/>
    <cellStyle name="Percent 20" xfId="13262" xr:uid="{5F1A23B0-28E0-46DE-B21D-5FFBE0E16193}"/>
    <cellStyle name="Percent 21" xfId="15152" xr:uid="{09CB5C64-B57A-478A-86B7-A7DDE526448A}"/>
    <cellStyle name="Percent 22" xfId="17042" xr:uid="{DC4F0301-3304-45D8-853B-4825AEA25FE5}"/>
    <cellStyle name="Percent 23" xfId="18932" xr:uid="{50AEDFC0-5CB3-457B-9960-0CCEBF916D71}"/>
    <cellStyle name="Percent 24" xfId="20822" xr:uid="{011855F5-A889-44E6-954C-81422B5884B5}"/>
    <cellStyle name="Percent 25" xfId="22712" xr:uid="{77EF068D-C92C-4E79-A0CC-D3FA30FAEE2F}"/>
    <cellStyle name="Percent 26" xfId="24602" xr:uid="{DCEF178A-07A0-4290-AE2A-3D7F6A18B9FB}"/>
    <cellStyle name="Percent 27" xfId="26492" xr:uid="{BD8F2AFC-38BD-461E-8F52-BB625868E055}"/>
    <cellStyle name="Percent 28" xfId="28382" xr:uid="{9D593AAD-1C09-4B75-B41E-9854939FBB0A}"/>
    <cellStyle name="Percent 29" xfId="30272" xr:uid="{15F1994D-7C30-45A1-B4AB-339E96D5E5BE}"/>
    <cellStyle name="Percent 3" xfId="14" xr:uid="{00000000-0005-0000-0000-00003B000000}"/>
    <cellStyle name="Percent 3 10" xfId="1299" xr:uid="{404EA1C7-B569-4D19-A6BA-D184A115CCB7}"/>
    <cellStyle name="Percent 3 10 10" xfId="18309" xr:uid="{FA39878F-27D7-4EE4-9D18-4DB2573B5D84}"/>
    <cellStyle name="Percent 3 10 11" xfId="20199" xr:uid="{3B34590E-8720-480B-A304-1338E02EB06A}"/>
    <cellStyle name="Percent 3 10 12" xfId="22089" xr:uid="{208F5592-5D52-4DC6-ADE7-529839271CF3}"/>
    <cellStyle name="Percent 3 10 13" xfId="23979" xr:uid="{C43B355F-E44B-4958-9EFA-2BA098CA82F1}"/>
    <cellStyle name="Percent 3 10 14" xfId="25869" xr:uid="{F801A402-7639-4DE9-876F-EDE9D519AC79}"/>
    <cellStyle name="Percent 3 10 15" xfId="27759" xr:uid="{28243F31-697C-4D0C-83B8-49D0451DB588}"/>
    <cellStyle name="Percent 3 10 16" xfId="29649" xr:uid="{C8B803C3-90EA-48AC-A891-B88A8055441E}"/>
    <cellStyle name="Percent 3 10 17" xfId="31539" xr:uid="{5F108742-1182-4874-84DC-43A7B7BA4712}"/>
    <cellStyle name="Percent 3 10 18" xfId="33429" xr:uid="{ED86DBDD-3C1E-4F4F-929F-445A74C9808B}"/>
    <cellStyle name="Percent 3 10 19" xfId="35319" xr:uid="{A4A4CC59-C12F-4F16-9BFD-93DBFA87E306}"/>
    <cellStyle name="Percent 3 10 2" xfId="3189" xr:uid="{59C9C1CD-C0BD-4D23-978D-8977D0C0C19A}"/>
    <cellStyle name="Percent 3 10 20" xfId="37209" xr:uid="{620FC78C-4E12-486F-8667-F40781AF9E5A}"/>
    <cellStyle name="Percent 3 10 21" xfId="39099" xr:uid="{7BE171C3-5A77-4116-BC47-A59837923448}"/>
    <cellStyle name="Percent 3 10 22" xfId="40990" xr:uid="{DF79A66B-F59C-4522-8CF4-E8D417D4466D}"/>
    <cellStyle name="Percent 3 10 3" xfId="5079" xr:uid="{DF270098-AFCF-4F3E-9130-D3D2F1589D6B}"/>
    <cellStyle name="Percent 3 10 4" xfId="6969" xr:uid="{DCE1FA4C-00F8-4ECB-96BE-D2E777D836CA}"/>
    <cellStyle name="Percent 3 10 5" xfId="8859" xr:uid="{F6FF85C5-44BA-4C3D-8222-2D9909D6301B}"/>
    <cellStyle name="Percent 3 10 6" xfId="10749" xr:uid="{8A5D326F-0567-4A52-BDCA-BA226650D848}"/>
    <cellStyle name="Percent 3 10 7" xfId="12639" xr:uid="{DB5BB82D-8B15-4660-A3EC-245F2D2D44D3}"/>
    <cellStyle name="Percent 3 10 8" xfId="14529" xr:uid="{234B1C79-179F-43A8-AFBF-5D20D6ADE46B}"/>
    <cellStyle name="Percent 3 10 9" xfId="16419" xr:uid="{11AC3356-ADD4-4A7E-B462-CAA25998B4E0}"/>
    <cellStyle name="Percent 3 11" xfId="1929" xr:uid="{3437C1F0-61BF-4C7C-9C73-64CFD9CB4B68}"/>
    <cellStyle name="Percent 3 12" xfId="3819" xr:uid="{A8D8AF90-1D6F-461E-A78B-3CEC51121406}"/>
    <cellStyle name="Percent 3 13" xfId="5709" xr:uid="{FFADCF73-7ED5-4FBB-AA53-5DF6053EB865}"/>
    <cellStyle name="Percent 3 14" xfId="7599" xr:uid="{AD7154BD-F688-4327-8DB3-206BFEA8D002}"/>
    <cellStyle name="Percent 3 15" xfId="9489" xr:uid="{994D7FE6-58BD-4CFD-86CC-BBA24C41604E}"/>
    <cellStyle name="Percent 3 16" xfId="11379" xr:uid="{31497FFB-C06E-4A6D-843A-13DB25C1C6A2}"/>
    <cellStyle name="Percent 3 17" xfId="13269" xr:uid="{12B69E65-3593-414C-B4DE-726FCF9FF880}"/>
    <cellStyle name="Percent 3 18" xfId="15159" xr:uid="{7576A832-310A-4726-A1ED-09C0B8E4B31B}"/>
    <cellStyle name="Percent 3 19" xfId="17049" xr:uid="{CA9FBC56-530E-436D-B30D-F81F3FCA6CCF}"/>
    <cellStyle name="Percent 3 2" xfId="25" xr:uid="{BB336F88-3FD8-4287-B1C3-8B176C57DA2F}"/>
    <cellStyle name="Percent 3 2 10" xfId="7607" xr:uid="{C06BB176-90E9-4B7F-A1D1-9BF399C00F66}"/>
    <cellStyle name="Percent 3 2 11" xfId="9497" xr:uid="{035864A1-3334-4C9D-9928-AEC7A0CB7B80}"/>
    <cellStyle name="Percent 3 2 12" xfId="11387" xr:uid="{1F87707F-6F44-488B-AB1B-9CAF3AC3027E}"/>
    <cellStyle name="Percent 3 2 13" xfId="13277" xr:uid="{07F32044-EFBB-4F66-93F8-AC0CE7339998}"/>
    <cellStyle name="Percent 3 2 14" xfId="15167" xr:uid="{05613648-E454-43D9-A72A-7555814613CF}"/>
    <cellStyle name="Percent 3 2 15" xfId="17057" xr:uid="{E71F22F6-E987-49E7-A85E-46B6D01F6AED}"/>
    <cellStyle name="Percent 3 2 16" xfId="18947" xr:uid="{F890DCE4-86E2-481C-8004-015E3B60CF5E}"/>
    <cellStyle name="Percent 3 2 17" xfId="20837" xr:uid="{FDFAB195-11AF-47F0-B652-07328F9217C2}"/>
    <cellStyle name="Percent 3 2 18" xfId="22727" xr:uid="{90DF5323-DAEC-4840-851E-FF92638322C0}"/>
    <cellStyle name="Percent 3 2 19" xfId="24617" xr:uid="{A8A81D78-2E5C-4A34-BB74-7F5EFCD0F7B7}"/>
    <cellStyle name="Percent 3 2 2" xfId="152" xr:uid="{64A41EC8-0834-446B-BB67-D2B3491EC52B}"/>
    <cellStyle name="Percent 3 2 2 10" xfId="9602" xr:uid="{F9B08E44-2A44-48F7-BF06-1D30A51BE7F3}"/>
    <cellStyle name="Percent 3 2 2 11" xfId="11492" xr:uid="{0214AE17-0799-43F8-8615-3CE82105BA3F}"/>
    <cellStyle name="Percent 3 2 2 12" xfId="13382" xr:uid="{1F120212-3505-44A9-914B-0C1FF212E735}"/>
    <cellStyle name="Percent 3 2 2 13" xfId="15272" xr:uid="{6115F1B8-CF58-474A-A277-FE4FCCCC7D6E}"/>
    <cellStyle name="Percent 3 2 2 14" xfId="17162" xr:uid="{9FC8CCD7-B024-4537-8F55-84B9245CF90D}"/>
    <cellStyle name="Percent 3 2 2 15" xfId="19052" xr:uid="{5B5368F5-A09E-4672-8C4C-29412CAB0876}"/>
    <cellStyle name="Percent 3 2 2 16" xfId="20942" xr:uid="{AB130B70-B9BC-46E1-A7BE-7941F1D2BB86}"/>
    <cellStyle name="Percent 3 2 2 17" xfId="22832" xr:uid="{2A449B3A-541B-4095-9275-FE1C0A3053C6}"/>
    <cellStyle name="Percent 3 2 2 18" xfId="24722" xr:uid="{4D0CCC6F-BAD3-4D77-913D-17DD075685B3}"/>
    <cellStyle name="Percent 3 2 2 19" xfId="26612" xr:uid="{89B51A5D-2B88-481E-9063-DD84F55D9452}"/>
    <cellStyle name="Percent 3 2 2 2" xfId="362" xr:uid="{FBB0E3A5-84A5-4532-BF7E-8890CC5F1600}"/>
    <cellStyle name="Percent 3 2 2 2 10" xfId="13592" xr:uid="{0E364394-A9A8-4A60-B819-31DE8B227662}"/>
    <cellStyle name="Percent 3 2 2 2 11" xfId="15482" xr:uid="{B2778FF9-B288-4A6B-8642-D97CAC209EEE}"/>
    <cellStyle name="Percent 3 2 2 2 12" xfId="17372" xr:uid="{20444921-5897-4CDC-A3D0-D8A46224E5CF}"/>
    <cellStyle name="Percent 3 2 2 2 13" xfId="19262" xr:uid="{6D246FAF-5F13-4CE9-A23D-E576A142835E}"/>
    <cellStyle name="Percent 3 2 2 2 14" xfId="21152" xr:uid="{EE55D354-7661-43D0-A460-D6E30351E652}"/>
    <cellStyle name="Percent 3 2 2 2 15" xfId="23042" xr:uid="{4B8ADCCD-6AFA-4EE5-BAA3-AFD6791D8639}"/>
    <cellStyle name="Percent 3 2 2 2 16" xfId="24932" xr:uid="{3841EF6A-3BBF-48A7-B073-6C59A73735E7}"/>
    <cellStyle name="Percent 3 2 2 2 17" xfId="26822" xr:uid="{56D5201B-EA82-4B3F-86F1-77934C36260E}"/>
    <cellStyle name="Percent 3 2 2 2 18" xfId="28712" xr:uid="{6461F3E9-BDC9-4387-B271-52891C3F4131}"/>
    <cellStyle name="Percent 3 2 2 2 19" xfId="30602" xr:uid="{E577DD39-AB4C-43FF-8376-E90BC6F0C89A}"/>
    <cellStyle name="Percent 3 2 2 2 2" xfId="992" xr:uid="{8FA30B55-1A75-4DBE-8F0B-BB8107204F7E}"/>
    <cellStyle name="Percent 3 2 2 2 2 10" xfId="18002" xr:uid="{354B6566-85F3-49BA-B401-5032488DB9AB}"/>
    <cellStyle name="Percent 3 2 2 2 2 11" xfId="19892" xr:uid="{1B512502-A150-4EFB-97F6-439387BA017A}"/>
    <cellStyle name="Percent 3 2 2 2 2 12" xfId="21782" xr:uid="{FFCF6620-50BE-402D-BCE6-4D8E5F6EEADD}"/>
    <cellStyle name="Percent 3 2 2 2 2 13" xfId="23672" xr:uid="{D9F7BC45-09B1-49E0-A10E-1C2C0B6ED510}"/>
    <cellStyle name="Percent 3 2 2 2 2 14" xfId="25562" xr:uid="{CAEAD787-5BC0-4FBD-B38C-12CFBA817140}"/>
    <cellStyle name="Percent 3 2 2 2 2 15" xfId="27452" xr:uid="{4B133BBF-8123-4596-A166-42BE959B75C9}"/>
    <cellStyle name="Percent 3 2 2 2 2 16" xfId="29342" xr:uid="{EC677ED3-A15D-4BE6-B63F-FF55A4C8309B}"/>
    <cellStyle name="Percent 3 2 2 2 2 17" xfId="31232" xr:uid="{C4BE26CE-B2A9-4744-A2A5-1A01930FC4BD}"/>
    <cellStyle name="Percent 3 2 2 2 2 18" xfId="33122" xr:uid="{6B9BED89-54D7-4D7C-807F-202BDEBE13E8}"/>
    <cellStyle name="Percent 3 2 2 2 2 19" xfId="35012" xr:uid="{E2C634CD-5C7C-4A06-B82A-725B535AB943}"/>
    <cellStyle name="Percent 3 2 2 2 2 2" xfId="2882" xr:uid="{34D6883E-A899-435E-96DC-57EC0BD41FF6}"/>
    <cellStyle name="Percent 3 2 2 2 2 20" xfId="36902" xr:uid="{2892E3AB-1CBD-424D-9C0B-333D71D87A9A}"/>
    <cellStyle name="Percent 3 2 2 2 2 21" xfId="38792" xr:uid="{81A0B5C3-561A-468E-8D88-8E4D449F6F51}"/>
    <cellStyle name="Percent 3 2 2 2 2 22" xfId="40683" xr:uid="{63A6D1B2-6827-4D80-985D-B9D86B293A5F}"/>
    <cellStyle name="Percent 3 2 2 2 2 3" xfId="4772" xr:uid="{2C78DB49-F913-48C2-81EB-6A719573C644}"/>
    <cellStyle name="Percent 3 2 2 2 2 4" xfId="6662" xr:uid="{18B7486A-C68C-4D14-99B2-64402E90CFB3}"/>
    <cellStyle name="Percent 3 2 2 2 2 5" xfId="8552" xr:uid="{66C5F572-D274-4470-841F-10F8B5AE846D}"/>
    <cellStyle name="Percent 3 2 2 2 2 6" xfId="10442" xr:uid="{7E6297A3-4997-463A-A436-696A63F8B8F4}"/>
    <cellStyle name="Percent 3 2 2 2 2 7" xfId="12332" xr:uid="{91408561-E45A-4500-8B3D-B687BD056DB4}"/>
    <cellStyle name="Percent 3 2 2 2 2 8" xfId="14222" xr:uid="{8E1CB285-A4E2-4AEB-B6BD-680931025EE3}"/>
    <cellStyle name="Percent 3 2 2 2 2 9" xfId="16112" xr:uid="{FD01218A-B7C8-4971-8DBE-513A85D5C256}"/>
    <cellStyle name="Percent 3 2 2 2 20" xfId="32492" xr:uid="{7870CDAC-B8A4-4B4B-8B96-CE6715B33D89}"/>
    <cellStyle name="Percent 3 2 2 2 21" xfId="34382" xr:uid="{9C2300A6-412F-4943-9425-AC59C4848B40}"/>
    <cellStyle name="Percent 3 2 2 2 22" xfId="36272" xr:uid="{46C9589C-B7B3-4CAF-8BE5-1E1227C48D1F}"/>
    <cellStyle name="Percent 3 2 2 2 23" xfId="38162" xr:uid="{F088DDBE-834B-48AF-80F4-576B36369750}"/>
    <cellStyle name="Percent 3 2 2 2 24" xfId="40053" xr:uid="{341B9487-A053-403A-A011-E50C18D3B271}"/>
    <cellStyle name="Percent 3 2 2 2 3" xfId="1622" xr:uid="{9A8B955F-4AFD-45A5-8986-79996056B915}"/>
    <cellStyle name="Percent 3 2 2 2 3 10" xfId="18632" xr:uid="{4AB4A5E5-DBFF-47DD-8569-AB3E5AD78752}"/>
    <cellStyle name="Percent 3 2 2 2 3 11" xfId="20522" xr:uid="{6ABD84A7-60EA-4749-BE63-8E58AC9D6706}"/>
    <cellStyle name="Percent 3 2 2 2 3 12" xfId="22412" xr:uid="{C2097CB5-A5BA-44F9-9977-B895EB7411D1}"/>
    <cellStyle name="Percent 3 2 2 2 3 13" xfId="24302" xr:uid="{D5C91335-C945-414D-A1FC-F1F249A83C99}"/>
    <cellStyle name="Percent 3 2 2 2 3 14" xfId="26192" xr:uid="{F1F752C9-F71A-42BA-AE0D-C727B2F8CAF3}"/>
    <cellStyle name="Percent 3 2 2 2 3 15" xfId="28082" xr:uid="{50676139-574C-4FEE-B81C-7B5188407967}"/>
    <cellStyle name="Percent 3 2 2 2 3 16" xfId="29972" xr:uid="{0D3EF383-5464-4320-991C-E924C2B28F87}"/>
    <cellStyle name="Percent 3 2 2 2 3 17" xfId="31862" xr:uid="{D3126FC7-ED68-4094-9049-F570D6088074}"/>
    <cellStyle name="Percent 3 2 2 2 3 18" xfId="33752" xr:uid="{EDE9FDCF-CA64-431F-B221-4B798956BEB2}"/>
    <cellStyle name="Percent 3 2 2 2 3 19" xfId="35642" xr:uid="{2DC9BD61-4A35-4C8D-9613-6727FAF3FAA0}"/>
    <cellStyle name="Percent 3 2 2 2 3 2" xfId="3512" xr:uid="{C30E3431-421C-4BFC-8552-760EAFE54C7D}"/>
    <cellStyle name="Percent 3 2 2 2 3 20" xfId="37532" xr:uid="{24FE66F0-E84A-4DC5-A29D-B630604D8EA9}"/>
    <cellStyle name="Percent 3 2 2 2 3 21" xfId="39422" xr:uid="{40C0C13B-5EA4-41B0-971D-8112EEE70E44}"/>
    <cellStyle name="Percent 3 2 2 2 3 22" xfId="41313" xr:uid="{4A1EAFC1-DF00-44C7-980F-DB7357863383}"/>
    <cellStyle name="Percent 3 2 2 2 3 3" xfId="5402" xr:uid="{7D1C3545-0116-4702-9AA4-C5469CB979B5}"/>
    <cellStyle name="Percent 3 2 2 2 3 4" xfId="7292" xr:uid="{B542716D-6229-47DE-9FAF-A6B909205794}"/>
    <cellStyle name="Percent 3 2 2 2 3 5" xfId="9182" xr:uid="{EA6D23C4-CA03-48F8-B728-35AF662FE166}"/>
    <cellStyle name="Percent 3 2 2 2 3 6" xfId="11072" xr:uid="{62B97B32-C47B-4ED5-A481-D1B7E9ECD295}"/>
    <cellStyle name="Percent 3 2 2 2 3 7" xfId="12962" xr:uid="{E062CC43-1866-4A78-AE46-9E9B86EA7FDF}"/>
    <cellStyle name="Percent 3 2 2 2 3 8" xfId="14852" xr:uid="{F3473F2C-94A0-4E2F-868E-24F4176BEE35}"/>
    <cellStyle name="Percent 3 2 2 2 3 9" xfId="16742" xr:uid="{CF4686F3-23B5-49C6-93C0-E8A1D47023D0}"/>
    <cellStyle name="Percent 3 2 2 2 4" xfId="2252" xr:uid="{D751F6F9-A256-458B-8149-3AC121C17577}"/>
    <cellStyle name="Percent 3 2 2 2 5" xfId="4142" xr:uid="{DF2D984C-DD8A-4B5A-AE36-BE9F79010F85}"/>
    <cellStyle name="Percent 3 2 2 2 6" xfId="6032" xr:uid="{56E2FC78-FB0B-44D5-A1A5-04FCDC4661CC}"/>
    <cellStyle name="Percent 3 2 2 2 7" xfId="7922" xr:uid="{4CECF49C-63E6-4443-BE27-390B39F46CCF}"/>
    <cellStyle name="Percent 3 2 2 2 8" xfId="9812" xr:uid="{0A618560-3FDD-416B-A36E-84E9C09A4F64}"/>
    <cellStyle name="Percent 3 2 2 2 9" xfId="11702" xr:uid="{BC995778-D300-456A-B25F-85896458B3BD}"/>
    <cellStyle name="Percent 3 2 2 20" xfId="28502" xr:uid="{E73951CB-5242-4E7C-9127-12C4270D8379}"/>
    <cellStyle name="Percent 3 2 2 21" xfId="30392" xr:uid="{E1E725D3-12DF-4E45-80B1-F111E65E1C7B}"/>
    <cellStyle name="Percent 3 2 2 22" xfId="32282" xr:uid="{217A0698-06D0-4FDC-9FB4-38114001F5C8}"/>
    <cellStyle name="Percent 3 2 2 23" xfId="34172" xr:uid="{846CA345-A37B-43D6-A169-08F63066DAB6}"/>
    <cellStyle name="Percent 3 2 2 24" xfId="36062" xr:uid="{03898438-59C8-45A6-BFF4-1E165053B071}"/>
    <cellStyle name="Percent 3 2 2 25" xfId="37952" xr:uid="{256ACB21-735B-4F4D-BB5A-7522A5EBDA3C}"/>
    <cellStyle name="Percent 3 2 2 26" xfId="39843" xr:uid="{AD4D985D-5CEB-4F37-973C-D042F3911920}"/>
    <cellStyle name="Percent 3 2 2 3" xfId="572" xr:uid="{C6367D44-F3CF-4286-8FFF-2CECF0C7FC0E}"/>
    <cellStyle name="Percent 3 2 2 3 10" xfId="13802" xr:uid="{9384BA69-7372-4713-9B87-3B82A6350F35}"/>
    <cellStyle name="Percent 3 2 2 3 11" xfId="15692" xr:uid="{0F70B64F-4379-43A9-9D23-0F1F090A92C6}"/>
    <cellStyle name="Percent 3 2 2 3 12" xfId="17582" xr:uid="{9FBF9229-98EF-4A8B-A651-32A1E0600568}"/>
    <cellStyle name="Percent 3 2 2 3 13" xfId="19472" xr:uid="{F95F4657-5FB4-4352-9384-38BF063F015D}"/>
    <cellStyle name="Percent 3 2 2 3 14" xfId="21362" xr:uid="{4A6A8928-DC59-4C35-9E6D-BFE225432245}"/>
    <cellStyle name="Percent 3 2 2 3 15" xfId="23252" xr:uid="{7C5527DF-BBA4-4A04-A259-953DD604AC8F}"/>
    <cellStyle name="Percent 3 2 2 3 16" xfId="25142" xr:uid="{C369E148-A69D-4F71-9FFF-B4BC7CC786CE}"/>
    <cellStyle name="Percent 3 2 2 3 17" xfId="27032" xr:uid="{EC6FECF3-D9FB-4B32-93AF-28DBA6C7AD12}"/>
    <cellStyle name="Percent 3 2 2 3 18" xfId="28922" xr:uid="{F457FB18-B3DA-4781-8CC3-D659AF933739}"/>
    <cellStyle name="Percent 3 2 2 3 19" xfId="30812" xr:uid="{43329F95-D8BB-4801-ACC4-A4A62124F82E}"/>
    <cellStyle name="Percent 3 2 2 3 2" xfId="1202" xr:uid="{84936296-E470-4B68-9C7C-F265AF54E91E}"/>
    <cellStyle name="Percent 3 2 2 3 2 10" xfId="18212" xr:uid="{CC5C10A3-DDD5-4F50-91B7-3666D7FF3879}"/>
    <cellStyle name="Percent 3 2 2 3 2 11" xfId="20102" xr:uid="{6B700D78-536D-4235-9094-E640D54128EC}"/>
    <cellStyle name="Percent 3 2 2 3 2 12" xfId="21992" xr:uid="{104A3B3F-5965-4F59-852D-EA958CE17BB1}"/>
    <cellStyle name="Percent 3 2 2 3 2 13" xfId="23882" xr:uid="{44EF9830-0F18-48BE-BB73-24BB6952AA1E}"/>
    <cellStyle name="Percent 3 2 2 3 2 14" xfId="25772" xr:uid="{6BD4FD2D-7D31-4C2B-8378-B0519B9EFFAA}"/>
    <cellStyle name="Percent 3 2 2 3 2 15" xfId="27662" xr:uid="{3D4D76EA-0B78-43C4-9005-E709C43FAF68}"/>
    <cellStyle name="Percent 3 2 2 3 2 16" xfId="29552" xr:uid="{F66E0DD7-780F-4F3B-895B-15A62B460F24}"/>
    <cellStyle name="Percent 3 2 2 3 2 17" xfId="31442" xr:uid="{A225E507-2B5D-4D74-97DF-F7E9726A113A}"/>
    <cellStyle name="Percent 3 2 2 3 2 18" xfId="33332" xr:uid="{2DD15B98-89ED-437E-A118-854237C571D8}"/>
    <cellStyle name="Percent 3 2 2 3 2 19" xfId="35222" xr:uid="{EEE3EB91-BB26-4FC0-AA6D-8DCBD318634B}"/>
    <cellStyle name="Percent 3 2 2 3 2 2" xfId="3092" xr:uid="{C492FFE9-CEFD-4310-BDD7-1AE19D527609}"/>
    <cellStyle name="Percent 3 2 2 3 2 20" xfId="37112" xr:uid="{AAFDD791-8BC4-412A-9F99-F6F04442A8B4}"/>
    <cellStyle name="Percent 3 2 2 3 2 21" xfId="39002" xr:uid="{26C5692C-D210-4777-91A2-8200C70C138A}"/>
    <cellStyle name="Percent 3 2 2 3 2 22" xfId="40893" xr:uid="{F340FBF9-E1E7-4A30-845F-BBE50EEC7B18}"/>
    <cellStyle name="Percent 3 2 2 3 2 3" xfId="4982" xr:uid="{74905523-60EF-438C-877E-61F55BE7ADDC}"/>
    <cellStyle name="Percent 3 2 2 3 2 4" xfId="6872" xr:uid="{C0AF8B9D-4EF0-4DFF-99CB-C4D2930E37F0}"/>
    <cellStyle name="Percent 3 2 2 3 2 5" xfId="8762" xr:uid="{BC1EE9A7-8118-4C0D-B026-CB5F101B0FB1}"/>
    <cellStyle name="Percent 3 2 2 3 2 6" xfId="10652" xr:uid="{4264F4BF-1F15-4C3C-BFA5-20F673429BA8}"/>
    <cellStyle name="Percent 3 2 2 3 2 7" xfId="12542" xr:uid="{EBDD8FE8-A600-45FC-9761-5BA7C6FA19F4}"/>
    <cellStyle name="Percent 3 2 2 3 2 8" xfId="14432" xr:uid="{EDE0FA04-3EA6-4A7C-95B4-638D7EF3CCAC}"/>
    <cellStyle name="Percent 3 2 2 3 2 9" xfId="16322" xr:uid="{7169A0FE-23E0-47DA-97B4-159BCF10B450}"/>
    <cellStyle name="Percent 3 2 2 3 20" xfId="32702" xr:uid="{BBCA9266-CD6E-4604-8E26-684B116FB7A1}"/>
    <cellStyle name="Percent 3 2 2 3 21" xfId="34592" xr:uid="{FCD5C32A-0171-4E35-970F-56C89B0C45E6}"/>
    <cellStyle name="Percent 3 2 2 3 22" xfId="36482" xr:uid="{252EF85E-E590-49A7-B87B-C90EE0F12B22}"/>
    <cellStyle name="Percent 3 2 2 3 23" xfId="38372" xr:uid="{7DF3B3F2-6610-42AF-96DF-9CAE1151BEF5}"/>
    <cellStyle name="Percent 3 2 2 3 24" xfId="40263" xr:uid="{BC699FB4-C25A-4F0B-90B0-B54548852ED1}"/>
    <cellStyle name="Percent 3 2 2 3 3" xfId="1832" xr:uid="{9F60ECCD-7D77-4E16-A9A4-D860B2324923}"/>
    <cellStyle name="Percent 3 2 2 3 3 10" xfId="18842" xr:uid="{F70AB196-5793-4CC1-A117-C0B11987728D}"/>
    <cellStyle name="Percent 3 2 2 3 3 11" xfId="20732" xr:uid="{F4AB9524-5DB1-4190-9889-BE2E227F605C}"/>
    <cellStyle name="Percent 3 2 2 3 3 12" xfId="22622" xr:uid="{64DEC8F1-127E-4B7E-8586-243FF5637EA9}"/>
    <cellStyle name="Percent 3 2 2 3 3 13" xfId="24512" xr:uid="{EB8EFC0A-76C9-4152-B0F3-B96A5384750F}"/>
    <cellStyle name="Percent 3 2 2 3 3 14" xfId="26402" xr:uid="{88044C71-BD46-41D8-B518-DBF71B14B18C}"/>
    <cellStyle name="Percent 3 2 2 3 3 15" xfId="28292" xr:uid="{0598BA91-B859-469C-82E5-FAD943B05560}"/>
    <cellStyle name="Percent 3 2 2 3 3 16" xfId="30182" xr:uid="{6FC6C555-E64E-4729-A867-72AF10E64D38}"/>
    <cellStyle name="Percent 3 2 2 3 3 17" xfId="32072" xr:uid="{586A86F8-3055-4A37-8FBA-FDB41DEB9665}"/>
    <cellStyle name="Percent 3 2 2 3 3 18" xfId="33962" xr:uid="{0452A84B-1344-425A-8E35-35CB16CD112B}"/>
    <cellStyle name="Percent 3 2 2 3 3 19" xfId="35852" xr:uid="{7CBBD101-8510-4B4B-8993-2525BFD42047}"/>
    <cellStyle name="Percent 3 2 2 3 3 2" xfId="3722" xr:uid="{56F75DC1-CCED-4B4B-9FF3-B735AD0D3A9E}"/>
    <cellStyle name="Percent 3 2 2 3 3 20" xfId="37742" xr:uid="{66B99FE6-2FD1-476B-878F-FD4D14F0EAA5}"/>
    <cellStyle name="Percent 3 2 2 3 3 21" xfId="39632" xr:uid="{5B0331EE-F45B-4D9F-8B27-95CB6CD6AC37}"/>
    <cellStyle name="Percent 3 2 2 3 3 22" xfId="41523" xr:uid="{CDA6B1C1-C96B-4A04-BFFB-BA27D57A6C42}"/>
    <cellStyle name="Percent 3 2 2 3 3 3" xfId="5612" xr:uid="{E42DBBC0-2914-433F-BA3F-DF2D0EDC60D1}"/>
    <cellStyle name="Percent 3 2 2 3 3 4" xfId="7502" xr:uid="{77B1FDAA-9505-4D21-91A9-622CE8E4874D}"/>
    <cellStyle name="Percent 3 2 2 3 3 5" xfId="9392" xr:uid="{B1A8964D-294F-455A-B6CB-3C80C582DA56}"/>
    <cellStyle name="Percent 3 2 2 3 3 6" xfId="11282" xr:uid="{C5136619-98E6-4DC3-BDD9-A9FF5287789F}"/>
    <cellStyle name="Percent 3 2 2 3 3 7" xfId="13172" xr:uid="{BD13D2D3-480C-4911-9263-4DCC2F9B0DCF}"/>
    <cellStyle name="Percent 3 2 2 3 3 8" xfId="15062" xr:uid="{D61A30A3-A9C8-42F5-83CB-DB1086C83D4E}"/>
    <cellStyle name="Percent 3 2 2 3 3 9" xfId="16952" xr:uid="{94B735B7-2B0F-4006-A306-90B8899D45BA}"/>
    <cellStyle name="Percent 3 2 2 3 4" xfId="2462" xr:uid="{B8A24CD4-5154-496F-BA88-8C7041EABEA0}"/>
    <cellStyle name="Percent 3 2 2 3 5" xfId="4352" xr:uid="{AFB14CAE-BDAD-4CB8-AAD4-5643D678225C}"/>
    <cellStyle name="Percent 3 2 2 3 6" xfId="6242" xr:uid="{96C69FEB-3ECA-4D36-8ACD-9F4180588614}"/>
    <cellStyle name="Percent 3 2 2 3 7" xfId="8132" xr:uid="{38D0FFA5-D5BB-40B1-8220-8B41619D1AA1}"/>
    <cellStyle name="Percent 3 2 2 3 8" xfId="10022" xr:uid="{E4C869FA-88CC-4442-A3F1-0E7AAA26A2FB}"/>
    <cellStyle name="Percent 3 2 2 3 9" xfId="11912" xr:uid="{0C429B50-8148-4DFD-9107-6B26EE2E4F65}"/>
    <cellStyle name="Percent 3 2 2 4" xfId="782" xr:uid="{D438E82B-66AB-4898-86F2-35AD5C39E24F}"/>
    <cellStyle name="Percent 3 2 2 4 10" xfId="17792" xr:uid="{AECF3108-B73D-495F-89C6-90D86612B635}"/>
    <cellStyle name="Percent 3 2 2 4 11" xfId="19682" xr:uid="{CC54C0C0-B810-463F-8E75-913472C0E8DB}"/>
    <cellStyle name="Percent 3 2 2 4 12" xfId="21572" xr:uid="{6EA4009C-00FA-46DE-8EA1-ACE3FCEDBE80}"/>
    <cellStyle name="Percent 3 2 2 4 13" xfId="23462" xr:uid="{8DDBECB6-1A2E-4404-9C1E-17262DEEE951}"/>
    <cellStyle name="Percent 3 2 2 4 14" xfId="25352" xr:uid="{D1C8AC74-CC77-4524-97F6-DDE93F28E6B9}"/>
    <cellStyle name="Percent 3 2 2 4 15" xfId="27242" xr:uid="{332D4948-50FF-4719-B438-C7339A5976F3}"/>
    <cellStyle name="Percent 3 2 2 4 16" xfId="29132" xr:uid="{3261BB47-8CD5-4652-A271-495C37D6AFDE}"/>
    <cellStyle name="Percent 3 2 2 4 17" xfId="31022" xr:uid="{25D562B3-7582-41DF-80FA-0978BC5F17A8}"/>
    <cellStyle name="Percent 3 2 2 4 18" xfId="32912" xr:uid="{0ED7BA52-D8BF-4105-926B-5BA61081A7E7}"/>
    <cellStyle name="Percent 3 2 2 4 19" xfId="34802" xr:uid="{4BB25B18-E82B-4B7E-9F5F-5162796CA15C}"/>
    <cellStyle name="Percent 3 2 2 4 2" xfId="2672" xr:uid="{91E26458-ED87-4434-A730-C70A9BE869C3}"/>
    <cellStyle name="Percent 3 2 2 4 20" xfId="36692" xr:uid="{997CDD6B-A13F-4116-87F5-02154F561EE1}"/>
    <cellStyle name="Percent 3 2 2 4 21" xfId="38582" xr:uid="{B3E3C2A0-DE49-4620-8182-1E6ADFABD79F}"/>
    <cellStyle name="Percent 3 2 2 4 22" xfId="40473" xr:uid="{88C66BA2-987E-456B-9944-DA7F2B4BB229}"/>
    <cellStyle name="Percent 3 2 2 4 3" xfId="4562" xr:uid="{727D8C52-51FC-4152-A332-FFA17FAC2F6C}"/>
    <cellStyle name="Percent 3 2 2 4 4" xfId="6452" xr:uid="{79E47408-D79A-42AD-97D1-FA81D4554AC9}"/>
    <cellStyle name="Percent 3 2 2 4 5" xfId="8342" xr:uid="{43003C76-1311-4BD6-952B-D9E8200BD701}"/>
    <cellStyle name="Percent 3 2 2 4 6" xfId="10232" xr:uid="{F6FD8AB9-A443-4E66-B3BF-360D91C52C6B}"/>
    <cellStyle name="Percent 3 2 2 4 7" xfId="12122" xr:uid="{35B264AD-847B-4024-AADB-AA29CF892201}"/>
    <cellStyle name="Percent 3 2 2 4 8" xfId="14012" xr:uid="{E5DF5425-3490-4AD9-8BA7-0536E139AD65}"/>
    <cellStyle name="Percent 3 2 2 4 9" xfId="15902" xr:uid="{0FC0E20B-374C-4BC3-A564-5E615479403E}"/>
    <cellStyle name="Percent 3 2 2 5" xfId="1412" xr:uid="{78BF2B21-1437-4FF8-9963-FCB1B2DA111B}"/>
    <cellStyle name="Percent 3 2 2 5 10" xfId="18422" xr:uid="{64097E9B-6AC9-48EE-B63C-D4ACEA9643DB}"/>
    <cellStyle name="Percent 3 2 2 5 11" xfId="20312" xr:uid="{0085149B-F851-4E29-9EE2-C9CB3FF429DE}"/>
    <cellStyle name="Percent 3 2 2 5 12" xfId="22202" xr:uid="{344081B3-2BEF-4AAF-BA7E-14E1E6D5F4CF}"/>
    <cellStyle name="Percent 3 2 2 5 13" xfId="24092" xr:uid="{A5298DF3-6B0D-47AA-A076-A026D21C81D0}"/>
    <cellStyle name="Percent 3 2 2 5 14" xfId="25982" xr:uid="{7D909685-39A6-4F2B-B262-DD5EDD997D89}"/>
    <cellStyle name="Percent 3 2 2 5 15" xfId="27872" xr:uid="{101A517D-0489-4E61-8DBA-A02C5945612E}"/>
    <cellStyle name="Percent 3 2 2 5 16" xfId="29762" xr:uid="{E04115DF-A814-4F7D-87AB-9A7B08684EF9}"/>
    <cellStyle name="Percent 3 2 2 5 17" xfId="31652" xr:uid="{398EDC40-DA5A-4B95-835C-0A6870F1FAD2}"/>
    <cellStyle name="Percent 3 2 2 5 18" xfId="33542" xr:uid="{7C72B0BD-FDCF-48E0-B9B6-792BB32BD71C}"/>
    <cellStyle name="Percent 3 2 2 5 19" xfId="35432" xr:uid="{B6EEF2FC-1527-4DD4-AC0C-911B9BC8238B}"/>
    <cellStyle name="Percent 3 2 2 5 2" xfId="3302" xr:uid="{883503DC-176B-4BCC-8F8C-2C5718502E43}"/>
    <cellStyle name="Percent 3 2 2 5 20" xfId="37322" xr:uid="{F43F5E86-C5F7-42B9-B7E2-6B5233FAFEBB}"/>
    <cellStyle name="Percent 3 2 2 5 21" xfId="39212" xr:uid="{90ABB736-0378-4670-BF88-7195A28CA3E1}"/>
    <cellStyle name="Percent 3 2 2 5 22" xfId="41103" xr:uid="{958D6620-BE13-4FAB-B37A-B6CC9562925F}"/>
    <cellStyle name="Percent 3 2 2 5 3" xfId="5192" xr:uid="{2196D3E0-6E09-472E-A69D-C03259F8AC15}"/>
    <cellStyle name="Percent 3 2 2 5 4" xfId="7082" xr:uid="{31960BA9-E1A3-4096-906D-28FA0424E44A}"/>
    <cellStyle name="Percent 3 2 2 5 5" xfId="8972" xr:uid="{75DBBB3A-1B42-4654-AFAB-32A04A6C3BFB}"/>
    <cellStyle name="Percent 3 2 2 5 6" xfId="10862" xr:uid="{D03B9EBE-A68B-40DF-A9FA-D8DBC3B93448}"/>
    <cellStyle name="Percent 3 2 2 5 7" xfId="12752" xr:uid="{F3A332B2-F9D4-4A2B-8E31-64178B9B0D24}"/>
    <cellStyle name="Percent 3 2 2 5 8" xfId="14642" xr:uid="{1F302B05-9B9C-4F4B-AA98-1010A7ABB12D}"/>
    <cellStyle name="Percent 3 2 2 5 9" xfId="16532" xr:uid="{C1C4D30A-082D-497A-B15B-2016BB2553A1}"/>
    <cellStyle name="Percent 3 2 2 6" xfId="2042" xr:uid="{0060EDA6-4073-4414-B38F-3CB5E5334EA3}"/>
    <cellStyle name="Percent 3 2 2 7" xfId="3932" xr:uid="{91948D49-5C2E-4633-83BF-7CAD57E01E6E}"/>
    <cellStyle name="Percent 3 2 2 8" xfId="5822" xr:uid="{49B65B85-217A-4B02-A0D2-9016009F8331}"/>
    <cellStyle name="Percent 3 2 2 9" xfId="7712" xr:uid="{A6015461-D33E-4102-893D-556889E319F9}"/>
    <cellStyle name="Percent 3 2 20" xfId="26507" xr:uid="{9108611B-135F-4C58-A189-E23E5B1E346A}"/>
    <cellStyle name="Percent 3 2 21" xfId="28397" xr:uid="{B9D0A703-3481-47A9-9600-E7E42728FF19}"/>
    <cellStyle name="Percent 3 2 22" xfId="30287" xr:uid="{5B4B8BC9-A255-4CA8-AE07-7B7750EC1F6A}"/>
    <cellStyle name="Percent 3 2 23" xfId="32177" xr:uid="{496646DE-5B6C-40B2-984B-E0C7D5E60BF9}"/>
    <cellStyle name="Percent 3 2 24" xfId="34067" xr:uid="{A8D08018-A4C5-496C-A2FD-BE2A4449AB1B}"/>
    <cellStyle name="Percent 3 2 25" xfId="35957" xr:uid="{878B205F-81A5-41D4-AE11-AF46AFD0BB2D}"/>
    <cellStyle name="Percent 3 2 26" xfId="37847" xr:uid="{35965329-FA58-4429-928D-63EF7B74FBF0}"/>
    <cellStyle name="Percent 3 2 27" xfId="39738" xr:uid="{10D00F5F-6EF5-4FCF-B0F0-AFDD65AE3BDA}"/>
    <cellStyle name="Percent 3 2 3" xfId="257" xr:uid="{7450E3E0-1E51-4B37-B50F-5E96B5BC0B2D}"/>
    <cellStyle name="Percent 3 2 3 10" xfId="13487" xr:uid="{A0DDE0DB-F2D1-41AF-A562-897FFF42B53C}"/>
    <cellStyle name="Percent 3 2 3 11" xfId="15377" xr:uid="{DF12E8BF-9DF0-4F33-8DB9-E8B8A7CE377D}"/>
    <cellStyle name="Percent 3 2 3 12" xfId="17267" xr:uid="{CC5616DF-320D-4EC9-AF67-C7A581BB15E3}"/>
    <cellStyle name="Percent 3 2 3 13" xfId="19157" xr:uid="{B98FCEF1-4927-4D05-9D3D-2F8A2DF680AB}"/>
    <cellStyle name="Percent 3 2 3 14" xfId="21047" xr:uid="{03524887-73FF-4234-AB32-4BE4473F5F46}"/>
    <cellStyle name="Percent 3 2 3 15" xfId="22937" xr:uid="{08308302-2C08-465E-9958-3814586D9590}"/>
    <cellStyle name="Percent 3 2 3 16" xfId="24827" xr:uid="{35FD619F-F8BB-43A4-BADE-0CAA418C0801}"/>
    <cellStyle name="Percent 3 2 3 17" xfId="26717" xr:uid="{8DB5B1F5-F790-449E-9578-3961E6CEEE97}"/>
    <cellStyle name="Percent 3 2 3 18" xfId="28607" xr:uid="{C25E9C40-CE85-4F1D-811F-85675330A7B4}"/>
    <cellStyle name="Percent 3 2 3 19" xfId="30497" xr:uid="{884C6B46-9159-4345-BB6D-42BEF52B3812}"/>
    <cellStyle name="Percent 3 2 3 2" xfId="887" xr:uid="{BE80A237-9D9C-486F-96C7-8B5BDECAB38A}"/>
    <cellStyle name="Percent 3 2 3 2 10" xfId="17897" xr:uid="{545566F6-8E2D-4B05-BB24-AEF1F40F08F7}"/>
    <cellStyle name="Percent 3 2 3 2 11" xfId="19787" xr:uid="{47AA077D-7183-4EDE-A5F0-606AC0F26BD1}"/>
    <cellStyle name="Percent 3 2 3 2 12" xfId="21677" xr:uid="{7F16C11A-A910-46FC-90BC-881251769D15}"/>
    <cellStyle name="Percent 3 2 3 2 13" xfId="23567" xr:uid="{A87E7DFB-D78F-4DE9-99FE-6E91C55BD3C2}"/>
    <cellStyle name="Percent 3 2 3 2 14" xfId="25457" xr:uid="{0427B014-7300-423D-A3E6-FD8901F0C473}"/>
    <cellStyle name="Percent 3 2 3 2 15" xfId="27347" xr:uid="{F56E2CAF-FE52-453B-9876-915E95F93929}"/>
    <cellStyle name="Percent 3 2 3 2 16" xfId="29237" xr:uid="{81A6AC48-9A45-4A79-9257-1633B9E55522}"/>
    <cellStyle name="Percent 3 2 3 2 17" xfId="31127" xr:uid="{B31AB435-9C01-4AF9-8D57-9CE85811198C}"/>
    <cellStyle name="Percent 3 2 3 2 18" xfId="33017" xr:uid="{DCAC2F1F-F99D-489F-8C38-096CF71DB2BD}"/>
    <cellStyle name="Percent 3 2 3 2 19" xfId="34907" xr:uid="{0B39F0CA-6525-4414-A9AE-C3FF16056F25}"/>
    <cellStyle name="Percent 3 2 3 2 2" xfId="2777" xr:uid="{C1E1991D-CF71-4E51-9C4C-4FDB82CF4E5C}"/>
    <cellStyle name="Percent 3 2 3 2 20" xfId="36797" xr:uid="{2EA25706-76A6-4A31-9327-8A97650D83A7}"/>
    <cellStyle name="Percent 3 2 3 2 21" xfId="38687" xr:uid="{EE5B0297-4AB7-4CDC-A4F6-6A370B600FF4}"/>
    <cellStyle name="Percent 3 2 3 2 22" xfId="40578" xr:uid="{4CCCD11D-EE82-42C1-9D88-C8FB7979CEB7}"/>
    <cellStyle name="Percent 3 2 3 2 3" xfId="4667" xr:uid="{2D0D50B8-1380-49E8-8A3D-F1DFB2560D40}"/>
    <cellStyle name="Percent 3 2 3 2 4" xfId="6557" xr:uid="{FE97E5AA-9C6C-40EF-984C-B0E38BEB73C9}"/>
    <cellStyle name="Percent 3 2 3 2 5" xfId="8447" xr:uid="{7FD65752-CDCF-4529-A1CC-589F486CD5D3}"/>
    <cellStyle name="Percent 3 2 3 2 6" xfId="10337" xr:uid="{7067AA50-3F90-4A58-B837-4E265B4DF3A2}"/>
    <cellStyle name="Percent 3 2 3 2 7" xfId="12227" xr:uid="{0D6C1E6B-EDDE-488A-A015-1B393F1CB093}"/>
    <cellStyle name="Percent 3 2 3 2 8" xfId="14117" xr:uid="{A6093456-84E0-41F1-A1DB-E3C9FAEC962B}"/>
    <cellStyle name="Percent 3 2 3 2 9" xfId="16007" xr:uid="{B88F8BF7-D7F3-4F27-892E-246CD1462439}"/>
    <cellStyle name="Percent 3 2 3 20" xfId="32387" xr:uid="{C0587E29-0331-497B-9D3C-A0D11F79BD00}"/>
    <cellStyle name="Percent 3 2 3 21" xfId="34277" xr:uid="{02916B2A-158C-45B8-B2AC-E8C44F6B286B}"/>
    <cellStyle name="Percent 3 2 3 22" xfId="36167" xr:uid="{21E3F1D2-8AF1-4C82-B974-8E088B000CDF}"/>
    <cellStyle name="Percent 3 2 3 23" xfId="38057" xr:uid="{3EB70B6A-7E8B-4AAE-81A8-1A3E04805EB7}"/>
    <cellStyle name="Percent 3 2 3 24" xfId="39948" xr:uid="{F0C64998-A38C-40C6-B9F4-8D3D1FB6F63F}"/>
    <cellStyle name="Percent 3 2 3 3" xfId="1517" xr:uid="{7AABFFCA-968E-4F70-B29A-9B5038A7844C}"/>
    <cellStyle name="Percent 3 2 3 3 10" xfId="18527" xr:uid="{FC07DE6A-D268-44F8-831E-7E142301BF14}"/>
    <cellStyle name="Percent 3 2 3 3 11" xfId="20417" xr:uid="{5383D82A-7987-4EAE-A63E-51BF13C491C5}"/>
    <cellStyle name="Percent 3 2 3 3 12" xfId="22307" xr:uid="{6C227188-0405-4E0C-B2AD-D58982D3D058}"/>
    <cellStyle name="Percent 3 2 3 3 13" xfId="24197" xr:uid="{C22E2AE9-0879-49C1-8FE4-A7E63EEC712A}"/>
    <cellStyle name="Percent 3 2 3 3 14" xfId="26087" xr:uid="{77BC3101-0E0F-4173-901B-232FC058CA14}"/>
    <cellStyle name="Percent 3 2 3 3 15" xfId="27977" xr:uid="{FE534B40-F0DE-4E39-8828-A803237C6917}"/>
    <cellStyle name="Percent 3 2 3 3 16" xfId="29867" xr:uid="{8A76C241-B92A-4209-B1D4-0FE07A2A288F}"/>
    <cellStyle name="Percent 3 2 3 3 17" xfId="31757" xr:uid="{2E35D3C9-1B14-409F-9464-487E4959E759}"/>
    <cellStyle name="Percent 3 2 3 3 18" xfId="33647" xr:uid="{2F4A50DA-E848-4636-9328-05E435B2E9F4}"/>
    <cellStyle name="Percent 3 2 3 3 19" xfId="35537" xr:uid="{E418C634-A927-4064-918F-C719727DF61F}"/>
    <cellStyle name="Percent 3 2 3 3 2" xfId="3407" xr:uid="{621385A9-B6D1-4E83-8931-B0599BE65628}"/>
    <cellStyle name="Percent 3 2 3 3 20" xfId="37427" xr:uid="{DBBF2691-3B9A-4B12-BA7F-E99EDC223084}"/>
    <cellStyle name="Percent 3 2 3 3 21" xfId="39317" xr:uid="{07418AA6-37F3-4CD0-8EB7-780C7E1E7179}"/>
    <cellStyle name="Percent 3 2 3 3 22" xfId="41208" xr:uid="{24FA1529-C4FD-44D8-AB46-8364A677F2A4}"/>
    <cellStyle name="Percent 3 2 3 3 3" xfId="5297" xr:uid="{3A83A637-FB41-45EF-BD6C-41B050A81975}"/>
    <cellStyle name="Percent 3 2 3 3 4" xfId="7187" xr:uid="{79DA84A0-C42D-4C43-9E1E-69DCFC776AF2}"/>
    <cellStyle name="Percent 3 2 3 3 5" xfId="9077" xr:uid="{792E043A-35B3-4113-8CFF-434481CCBFE1}"/>
    <cellStyle name="Percent 3 2 3 3 6" xfId="10967" xr:uid="{1AB3E81A-9A2D-41F5-BF39-48D4824FBBEE}"/>
    <cellStyle name="Percent 3 2 3 3 7" xfId="12857" xr:uid="{D084DB05-BD2A-47E2-986E-BDEC01F85F6A}"/>
    <cellStyle name="Percent 3 2 3 3 8" xfId="14747" xr:uid="{FCEAD1EB-90D1-4ACA-A569-30B034FB94C5}"/>
    <cellStyle name="Percent 3 2 3 3 9" xfId="16637" xr:uid="{C1F02737-FFC8-449E-BE24-D3CAB139CC30}"/>
    <cellStyle name="Percent 3 2 3 4" xfId="2147" xr:uid="{488723AE-FFCC-45C2-BED4-1C9A18712068}"/>
    <cellStyle name="Percent 3 2 3 5" xfId="4037" xr:uid="{600BDF0C-CDE2-4A88-85EB-030D574B5D19}"/>
    <cellStyle name="Percent 3 2 3 6" xfId="5927" xr:uid="{2CC32F41-1FF0-4105-8231-29FA09E8C372}"/>
    <cellStyle name="Percent 3 2 3 7" xfId="7817" xr:uid="{06F51629-9FE1-46EA-BFB6-3F8353DE183F}"/>
    <cellStyle name="Percent 3 2 3 8" xfId="9707" xr:uid="{ED4F96A7-424D-4D2E-AED6-C6A372C9D7DC}"/>
    <cellStyle name="Percent 3 2 3 9" xfId="11597" xr:uid="{EDE76B79-CB56-47C1-8A17-B6279CE353CE}"/>
    <cellStyle name="Percent 3 2 4" xfId="467" xr:uid="{BE3CB21D-E77B-4DEC-8466-6FDE36A0EF2D}"/>
    <cellStyle name="Percent 3 2 4 10" xfId="13697" xr:uid="{97FD12C5-274D-4497-9937-7D54F14B4C4A}"/>
    <cellStyle name="Percent 3 2 4 11" xfId="15587" xr:uid="{350753FE-5B00-4A0B-9824-8419268E7B56}"/>
    <cellStyle name="Percent 3 2 4 12" xfId="17477" xr:uid="{9564B48C-05AF-4A20-BC34-F0614D57C693}"/>
    <cellStyle name="Percent 3 2 4 13" xfId="19367" xr:uid="{E2B3F134-D79B-4006-A84C-2BD784FC6E38}"/>
    <cellStyle name="Percent 3 2 4 14" xfId="21257" xr:uid="{485FF787-DB0E-43CE-A410-CE83615C1246}"/>
    <cellStyle name="Percent 3 2 4 15" xfId="23147" xr:uid="{A9461A74-8F53-4B34-8AFD-15739FF81340}"/>
    <cellStyle name="Percent 3 2 4 16" xfId="25037" xr:uid="{57F836EC-2C4C-44D5-B53D-927CFA516B68}"/>
    <cellStyle name="Percent 3 2 4 17" xfId="26927" xr:uid="{20231758-44C5-4417-8B0E-A04CCE45D524}"/>
    <cellStyle name="Percent 3 2 4 18" xfId="28817" xr:uid="{269C2A94-072B-40DA-8EE7-A9EA45C2276D}"/>
    <cellStyle name="Percent 3 2 4 19" xfId="30707" xr:uid="{ADFED9BF-DBFB-4BB6-9071-F2D45C0D1B73}"/>
    <cellStyle name="Percent 3 2 4 2" xfId="1097" xr:uid="{F6D84302-C837-410B-9A9A-102FBE9E2B35}"/>
    <cellStyle name="Percent 3 2 4 2 10" xfId="18107" xr:uid="{0F537D2E-9E7C-4BE6-9820-79C9D0682ACE}"/>
    <cellStyle name="Percent 3 2 4 2 11" xfId="19997" xr:uid="{52747722-B614-41BA-A719-4C44DE52A5AE}"/>
    <cellStyle name="Percent 3 2 4 2 12" xfId="21887" xr:uid="{E0D8266B-E14A-4CC2-AC8C-B6A480E22685}"/>
    <cellStyle name="Percent 3 2 4 2 13" xfId="23777" xr:uid="{66A70AFA-3252-4D14-8FEF-F0B9F17E77AA}"/>
    <cellStyle name="Percent 3 2 4 2 14" xfId="25667" xr:uid="{3DD47F01-062C-4FB0-95B4-C72B9147EADC}"/>
    <cellStyle name="Percent 3 2 4 2 15" xfId="27557" xr:uid="{9437BAEA-5E2D-4A8E-9A03-A64BE05BBFF9}"/>
    <cellStyle name="Percent 3 2 4 2 16" xfId="29447" xr:uid="{26158EEE-3FFC-42AF-935C-345EE8264FD5}"/>
    <cellStyle name="Percent 3 2 4 2 17" xfId="31337" xr:uid="{BC295A54-FADF-4469-8DEF-5C5B8A885D0B}"/>
    <cellStyle name="Percent 3 2 4 2 18" xfId="33227" xr:uid="{F1B6C227-B750-4AD7-8008-3C8D262BE794}"/>
    <cellStyle name="Percent 3 2 4 2 19" xfId="35117" xr:uid="{5CC8B5DF-4923-451F-887B-0C7FD21639B9}"/>
    <cellStyle name="Percent 3 2 4 2 2" xfId="2987" xr:uid="{2006EA79-F71E-4DA5-8522-DA69CD807BFE}"/>
    <cellStyle name="Percent 3 2 4 2 20" xfId="37007" xr:uid="{EEE6FD56-9E21-4C7C-9907-33ACA5B28377}"/>
    <cellStyle name="Percent 3 2 4 2 21" xfId="38897" xr:uid="{32929F47-3C27-42AE-A01A-19BF0FFA5F56}"/>
    <cellStyle name="Percent 3 2 4 2 22" xfId="40788" xr:uid="{A77D38E1-A601-4746-9D98-20D0314FE3CA}"/>
    <cellStyle name="Percent 3 2 4 2 3" xfId="4877" xr:uid="{27483C03-1003-4863-A0F0-611D123505B6}"/>
    <cellStyle name="Percent 3 2 4 2 4" xfId="6767" xr:uid="{5E73A0AB-C24D-495D-9474-50AEF95320D6}"/>
    <cellStyle name="Percent 3 2 4 2 5" xfId="8657" xr:uid="{8A9E74B4-3FCC-4F23-B59E-63629A67ABD4}"/>
    <cellStyle name="Percent 3 2 4 2 6" xfId="10547" xr:uid="{D1600925-ED6E-44E5-8A88-BFBD0CFA5232}"/>
    <cellStyle name="Percent 3 2 4 2 7" xfId="12437" xr:uid="{15619506-E7DB-461F-8003-13265F6888CF}"/>
    <cellStyle name="Percent 3 2 4 2 8" xfId="14327" xr:uid="{00978A8D-70FE-48C6-B5F0-B471711920F9}"/>
    <cellStyle name="Percent 3 2 4 2 9" xfId="16217" xr:uid="{D9E25A59-A8D1-486D-928A-9B4A849B2BD4}"/>
    <cellStyle name="Percent 3 2 4 20" xfId="32597" xr:uid="{1D231D4D-D830-40A0-BD60-CE8833214CDD}"/>
    <cellStyle name="Percent 3 2 4 21" xfId="34487" xr:uid="{FAA60B73-71AB-48A4-8DBD-409358AFFEC4}"/>
    <cellStyle name="Percent 3 2 4 22" xfId="36377" xr:uid="{FB60B81E-F83E-48E8-AD41-9BDC2A89303F}"/>
    <cellStyle name="Percent 3 2 4 23" xfId="38267" xr:uid="{6DB72446-B8F1-4424-AC5B-9EDAE4B6A150}"/>
    <cellStyle name="Percent 3 2 4 24" xfId="40158" xr:uid="{FF8F4918-F00A-4E3B-BBA9-18675068337F}"/>
    <cellStyle name="Percent 3 2 4 3" xfId="1727" xr:uid="{E95C6151-9E4D-4064-B914-805041DB7C5B}"/>
    <cellStyle name="Percent 3 2 4 3 10" xfId="18737" xr:uid="{7C6395D6-7750-4C3F-8265-E059620440DD}"/>
    <cellStyle name="Percent 3 2 4 3 11" xfId="20627" xr:uid="{30601B7B-FBC3-497B-AA0C-84C2650FF9FE}"/>
    <cellStyle name="Percent 3 2 4 3 12" xfId="22517" xr:uid="{7C76D513-E1DA-41C2-BC1D-ED6F4CFE9776}"/>
    <cellStyle name="Percent 3 2 4 3 13" xfId="24407" xr:uid="{2DA97243-F94D-4838-BA0A-C41BEECE2E6C}"/>
    <cellStyle name="Percent 3 2 4 3 14" xfId="26297" xr:uid="{BDE3F019-1DF7-45CF-9CB3-EBD868D6EBB8}"/>
    <cellStyle name="Percent 3 2 4 3 15" xfId="28187" xr:uid="{B8AF252C-4C33-4F8B-AB84-6228A56E98EA}"/>
    <cellStyle name="Percent 3 2 4 3 16" xfId="30077" xr:uid="{923C637B-0E65-4467-A984-219E251303C4}"/>
    <cellStyle name="Percent 3 2 4 3 17" xfId="31967" xr:uid="{8ECF76AC-DDB7-4ED0-A87E-284F884DEEDA}"/>
    <cellStyle name="Percent 3 2 4 3 18" xfId="33857" xr:uid="{E6FA0900-3A28-4197-93BA-453F8CD7F2B9}"/>
    <cellStyle name="Percent 3 2 4 3 19" xfId="35747" xr:uid="{3E508768-5E0B-457A-A6F1-C9C30BD703C3}"/>
    <cellStyle name="Percent 3 2 4 3 2" xfId="3617" xr:uid="{18202670-5729-4652-8C03-5F33FEF61D65}"/>
    <cellStyle name="Percent 3 2 4 3 20" xfId="37637" xr:uid="{90DA7656-44C0-41A0-963E-968A1B02E8EF}"/>
    <cellStyle name="Percent 3 2 4 3 21" xfId="39527" xr:uid="{B2A39D22-08FD-49F4-AE63-CA3BF3364384}"/>
    <cellStyle name="Percent 3 2 4 3 22" xfId="41418" xr:uid="{63389740-F73B-4FA8-9FE4-EE1C10AE1272}"/>
    <cellStyle name="Percent 3 2 4 3 3" xfId="5507" xr:uid="{7672FF44-3E99-4409-81BA-E0CF3E7730CB}"/>
    <cellStyle name="Percent 3 2 4 3 4" xfId="7397" xr:uid="{C8BA5C36-D985-402A-A680-797B8A88C03E}"/>
    <cellStyle name="Percent 3 2 4 3 5" xfId="9287" xr:uid="{93727868-97EC-42F0-BC47-7C0A4ED0DF43}"/>
    <cellStyle name="Percent 3 2 4 3 6" xfId="11177" xr:uid="{08B505A5-BEFD-47A6-B277-03AB915BD73B}"/>
    <cellStyle name="Percent 3 2 4 3 7" xfId="13067" xr:uid="{28AE5A10-C0B6-4C26-8C65-701129CCA75E}"/>
    <cellStyle name="Percent 3 2 4 3 8" xfId="14957" xr:uid="{16A94C4C-DEEF-4B41-BD34-C10AAF212626}"/>
    <cellStyle name="Percent 3 2 4 3 9" xfId="16847" xr:uid="{062CB413-5E32-432B-ADB1-623297E2461C}"/>
    <cellStyle name="Percent 3 2 4 4" xfId="2357" xr:uid="{BEA7A0E1-6ACA-46DB-8835-9A3B727ED1F1}"/>
    <cellStyle name="Percent 3 2 4 5" xfId="4247" xr:uid="{F713FC4D-D614-4749-B6AE-3A6DF9D98361}"/>
    <cellStyle name="Percent 3 2 4 6" xfId="6137" xr:uid="{46801545-9050-411D-BB11-BE0772E33A4A}"/>
    <cellStyle name="Percent 3 2 4 7" xfId="8027" xr:uid="{92AF11B7-8486-450B-9B25-94AF165933AD}"/>
    <cellStyle name="Percent 3 2 4 8" xfId="9917" xr:uid="{2C1E1328-BEAD-442D-88FF-22F212EF69EB}"/>
    <cellStyle name="Percent 3 2 4 9" xfId="11807" xr:uid="{436B56BA-2286-43C1-BD48-9398D3F78CEB}"/>
    <cellStyle name="Percent 3 2 5" xfId="677" xr:uid="{8C585530-0857-44BC-9375-147CD9165391}"/>
    <cellStyle name="Percent 3 2 5 10" xfId="17687" xr:uid="{8B20B8E5-BEA4-4CB9-AF19-DBF53103D1BE}"/>
    <cellStyle name="Percent 3 2 5 11" xfId="19577" xr:uid="{7CA83FAC-9086-4C46-AB70-6636C8CB7DED}"/>
    <cellStyle name="Percent 3 2 5 12" xfId="21467" xr:uid="{76D5AB0C-138F-4BA8-BAEB-3F7693842401}"/>
    <cellStyle name="Percent 3 2 5 13" xfId="23357" xr:uid="{1764289E-4932-499E-A77D-52737144D212}"/>
    <cellStyle name="Percent 3 2 5 14" xfId="25247" xr:uid="{E134B87B-CA5C-4F24-95C5-BE5BB14B186D}"/>
    <cellStyle name="Percent 3 2 5 15" xfId="27137" xr:uid="{BC4E4638-6C84-4C73-A5A6-BE14DEE3693E}"/>
    <cellStyle name="Percent 3 2 5 16" xfId="29027" xr:uid="{D9473D52-E598-4B3E-A00E-B997526F16E2}"/>
    <cellStyle name="Percent 3 2 5 17" xfId="30917" xr:uid="{C5FDB985-9EE9-4DDC-8DD1-5C29287A8F10}"/>
    <cellStyle name="Percent 3 2 5 18" xfId="32807" xr:uid="{44A328B5-82C0-43E6-9C78-C8B1924703C1}"/>
    <cellStyle name="Percent 3 2 5 19" xfId="34697" xr:uid="{6BF6D1F0-1B4F-4288-BFC9-63D3E903C95D}"/>
    <cellStyle name="Percent 3 2 5 2" xfId="2567" xr:uid="{4D06D435-CA6E-4284-9F67-4A104829E57C}"/>
    <cellStyle name="Percent 3 2 5 20" xfId="36587" xr:uid="{7576AB38-E024-4D5E-8677-3C6516390BD2}"/>
    <cellStyle name="Percent 3 2 5 21" xfId="38477" xr:uid="{3EC9F7B8-87B2-4B41-9FB6-EAC8849CF324}"/>
    <cellStyle name="Percent 3 2 5 22" xfId="40368" xr:uid="{C2F6EF33-1616-4DA7-9579-7502017B5DA3}"/>
    <cellStyle name="Percent 3 2 5 3" xfId="4457" xr:uid="{C20E0C89-2D49-4176-A0F5-EEF5AFFED660}"/>
    <cellStyle name="Percent 3 2 5 4" xfId="6347" xr:uid="{27DF22B2-CB19-4C5B-9CA8-26F25CD03247}"/>
    <cellStyle name="Percent 3 2 5 5" xfId="8237" xr:uid="{FF99E8BD-543E-4F93-9B96-72C160B26ED7}"/>
    <cellStyle name="Percent 3 2 5 6" xfId="10127" xr:uid="{2A636CA1-3C90-461E-84C4-AA66D7205E87}"/>
    <cellStyle name="Percent 3 2 5 7" xfId="12017" xr:uid="{B1F5F794-C00B-44D8-8CD4-5471067AE1A5}"/>
    <cellStyle name="Percent 3 2 5 8" xfId="13907" xr:uid="{95822A84-819E-4C16-89F1-736C3AC986BB}"/>
    <cellStyle name="Percent 3 2 5 9" xfId="15797" xr:uid="{12A32493-4135-4CBC-BF7A-CF0AEDE6049A}"/>
    <cellStyle name="Percent 3 2 6" xfId="1307" xr:uid="{F8FCA4D3-9D5E-4A58-BD7B-12908E56C5E7}"/>
    <cellStyle name="Percent 3 2 6 10" xfId="18317" xr:uid="{00126A79-AE09-4219-859E-5FB77953BFCB}"/>
    <cellStyle name="Percent 3 2 6 11" xfId="20207" xr:uid="{4B3EB0B1-850B-42E5-B16B-7C359F467AFD}"/>
    <cellStyle name="Percent 3 2 6 12" xfId="22097" xr:uid="{2D86729D-6BA5-462C-9511-14CF299DAD1D}"/>
    <cellStyle name="Percent 3 2 6 13" xfId="23987" xr:uid="{CF46B6AD-C1C9-4AE3-AB20-2AA45CC07AF3}"/>
    <cellStyle name="Percent 3 2 6 14" xfId="25877" xr:uid="{19521D89-5463-4760-8EC9-841401629222}"/>
    <cellStyle name="Percent 3 2 6 15" xfId="27767" xr:uid="{E500BECC-549B-4566-8FBD-D65264BBCD81}"/>
    <cellStyle name="Percent 3 2 6 16" xfId="29657" xr:uid="{1F9F72BD-8452-4802-90DE-E6691E8C1F70}"/>
    <cellStyle name="Percent 3 2 6 17" xfId="31547" xr:uid="{BF69826C-0C40-4F73-AFB6-DECD1272FE27}"/>
    <cellStyle name="Percent 3 2 6 18" xfId="33437" xr:uid="{6994A39E-3DF1-42DA-9F31-ED50461F0D7A}"/>
    <cellStyle name="Percent 3 2 6 19" xfId="35327" xr:uid="{8875C16F-63E8-4597-BFB4-A4D27CA2A362}"/>
    <cellStyle name="Percent 3 2 6 2" xfId="3197" xr:uid="{C4DFAAC1-1707-48F4-AC71-85F2895729BF}"/>
    <cellStyle name="Percent 3 2 6 20" xfId="37217" xr:uid="{D3785D44-F06F-441C-8350-FA08F9FFB03D}"/>
    <cellStyle name="Percent 3 2 6 21" xfId="39107" xr:uid="{E06E3178-9EF9-41C1-9B7D-02F96C057B85}"/>
    <cellStyle name="Percent 3 2 6 22" xfId="40998" xr:uid="{D7126159-315D-4872-9EF1-5ABB1289410C}"/>
    <cellStyle name="Percent 3 2 6 3" xfId="5087" xr:uid="{68EF1A3F-0B34-42DE-8FAC-30A8DDA2F12D}"/>
    <cellStyle name="Percent 3 2 6 4" xfId="6977" xr:uid="{94F1342E-EC0F-470D-84E2-A80638EB74A3}"/>
    <cellStyle name="Percent 3 2 6 5" xfId="8867" xr:uid="{81E0B3FF-D53A-4B69-BA3D-FC45CF66B10F}"/>
    <cellStyle name="Percent 3 2 6 6" xfId="10757" xr:uid="{7C178AD4-DC35-44E3-9FBA-57BD573416FF}"/>
    <cellStyle name="Percent 3 2 6 7" xfId="12647" xr:uid="{D849814E-D615-44C7-8251-EEFC33BA5F44}"/>
    <cellStyle name="Percent 3 2 6 8" xfId="14537" xr:uid="{482C0338-095A-4E02-B84E-667A3290E50D}"/>
    <cellStyle name="Percent 3 2 6 9" xfId="16427" xr:uid="{E75BCEAC-C56A-45E4-AD34-1F8509FBC93F}"/>
    <cellStyle name="Percent 3 2 7" xfId="1937" xr:uid="{2CE06A76-1E31-489F-BE75-8C0D603EF8B7}"/>
    <cellStyle name="Percent 3 2 8" xfId="3827" xr:uid="{C0F7FC31-EDA8-4CD0-9C82-DE04CCFE187D}"/>
    <cellStyle name="Percent 3 2 9" xfId="5717" xr:uid="{47E5457A-9E68-4E23-80C0-0AB5120C39C3}"/>
    <cellStyle name="Percent 3 20" xfId="18939" xr:uid="{B18E8A82-CF05-4D0F-B785-E77DB53120BB}"/>
    <cellStyle name="Percent 3 21" xfId="20829" xr:uid="{346D5199-90D0-4E6A-B6CC-2CDFE5508F53}"/>
    <cellStyle name="Percent 3 22" xfId="22719" xr:uid="{2DC9372F-9B30-4BBA-9AC2-41439FC5C194}"/>
    <cellStyle name="Percent 3 23" xfId="24609" xr:uid="{C0C43113-E1CE-4C2F-8BCE-A59123A71729}"/>
    <cellStyle name="Percent 3 24" xfId="26499" xr:uid="{866EBC18-DB55-40C6-BBE1-F3402F4A6CFA}"/>
    <cellStyle name="Percent 3 25" xfId="28389" xr:uid="{C3840C77-6360-43F0-8608-8FC28E7E72EC}"/>
    <cellStyle name="Percent 3 26" xfId="30279" xr:uid="{49597AEF-DCEF-4F18-B73E-818C678DB605}"/>
    <cellStyle name="Percent 3 27" xfId="32169" xr:uid="{D27528C2-08A5-48C8-BA4F-819325051216}"/>
    <cellStyle name="Percent 3 28" xfId="34059" xr:uid="{5519EDCD-99CB-4C89-8EE4-91347A097831}"/>
    <cellStyle name="Percent 3 29" xfId="35949" xr:uid="{0A8C44B1-448E-4A9E-B4FC-6E0D07E290F0}"/>
    <cellStyle name="Percent 3 3" xfId="34" xr:uid="{A191770B-81B2-4710-995A-1322D1180E58}"/>
    <cellStyle name="Percent 3 3 10" xfId="7616" xr:uid="{9F006170-DBC0-4135-A98A-99AAF1FC7704}"/>
    <cellStyle name="Percent 3 3 11" xfId="9506" xr:uid="{09040301-99FE-41B2-B06A-81E4CFC6D28E}"/>
    <cellStyle name="Percent 3 3 12" xfId="11396" xr:uid="{426A2940-F4A6-400E-A95A-778D2A7C96D0}"/>
    <cellStyle name="Percent 3 3 13" xfId="13286" xr:uid="{26AB3647-EF83-456E-9992-77F6D630B459}"/>
    <cellStyle name="Percent 3 3 14" xfId="15176" xr:uid="{F6A02410-0C70-4AD3-9FE7-E3B894B3356F}"/>
    <cellStyle name="Percent 3 3 15" xfId="17066" xr:uid="{4E2CED67-8B26-4CC0-A4E0-F3C31475D6F2}"/>
    <cellStyle name="Percent 3 3 16" xfId="18956" xr:uid="{9A7450BC-F964-4318-92FD-BCA7ECDF1902}"/>
    <cellStyle name="Percent 3 3 17" xfId="20846" xr:uid="{547E5365-D52C-42AA-B7E9-67F1F6ACDABF}"/>
    <cellStyle name="Percent 3 3 18" xfId="22736" xr:uid="{77EF8342-689F-4C6B-B339-2FE0D144E13E}"/>
    <cellStyle name="Percent 3 3 19" xfId="24626" xr:uid="{A4AD6F43-3CF7-4608-9B51-016AC3EFE656}"/>
    <cellStyle name="Percent 3 3 2" xfId="161" xr:uid="{E643AE97-EF3F-4FF2-B3B1-7CDD11ABC66B}"/>
    <cellStyle name="Percent 3 3 2 10" xfId="9611" xr:uid="{17D36949-F2F6-4F87-96BF-7604B74B8105}"/>
    <cellStyle name="Percent 3 3 2 11" xfId="11501" xr:uid="{0DA57C3D-0A75-4F13-AE3C-99E399F8F95C}"/>
    <cellStyle name="Percent 3 3 2 12" xfId="13391" xr:uid="{5908F46C-85D8-48C0-BE2E-F6B99DAB7A99}"/>
    <cellStyle name="Percent 3 3 2 13" xfId="15281" xr:uid="{27E16CB9-B611-4A36-84E5-F9C50119618F}"/>
    <cellStyle name="Percent 3 3 2 14" xfId="17171" xr:uid="{488095AA-9244-4F21-87AE-0004308E4A32}"/>
    <cellStyle name="Percent 3 3 2 15" xfId="19061" xr:uid="{4EBDE4DC-8AA2-4128-B46D-B4C71722E447}"/>
    <cellStyle name="Percent 3 3 2 16" xfId="20951" xr:uid="{E9E53FEC-8D80-4046-B43E-4668483DAF06}"/>
    <cellStyle name="Percent 3 3 2 17" xfId="22841" xr:uid="{B07F46CE-C0B4-4A0F-99E4-548E964BDF9C}"/>
    <cellStyle name="Percent 3 3 2 18" xfId="24731" xr:uid="{FD0FF234-2BE8-4258-A7BE-CE761E78CCB6}"/>
    <cellStyle name="Percent 3 3 2 19" xfId="26621" xr:uid="{5EC50A44-9C17-44FE-9AAC-F43E216C8FEB}"/>
    <cellStyle name="Percent 3 3 2 2" xfId="371" xr:uid="{C1D9C595-B526-4A37-81CF-184A95693E33}"/>
    <cellStyle name="Percent 3 3 2 2 10" xfId="13601" xr:uid="{B7799EF7-AC7A-4623-BB5E-EE77B5F86A3C}"/>
    <cellStyle name="Percent 3 3 2 2 11" xfId="15491" xr:uid="{9CF31F09-5231-47A0-8879-F75E6BCCDBEC}"/>
    <cellStyle name="Percent 3 3 2 2 12" xfId="17381" xr:uid="{F5739462-0B70-4238-A301-894217AF30D2}"/>
    <cellStyle name="Percent 3 3 2 2 13" xfId="19271" xr:uid="{E7E11F61-4938-4446-9AB1-CACA230FE995}"/>
    <cellStyle name="Percent 3 3 2 2 14" xfId="21161" xr:uid="{66671F41-80C7-4935-ABBB-0F6E4CB7EE90}"/>
    <cellStyle name="Percent 3 3 2 2 15" xfId="23051" xr:uid="{846A40A0-7B53-4F8D-A97B-4745EEB57E24}"/>
    <cellStyle name="Percent 3 3 2 2 16" xfId="24941" xr:uid="{D64FF596-EEB7-4E2B-85B3-E8FD1561DAC6}"/>
    <cellStyle name="Percent 3 3 2 2 17" xfId="26831" xr:uid="{53039659-042D-42F7-BA79-2BB1801B0366}"/>
    <cellStyle name="Percent 3 3 2 2 18" xfId="28721" xr:uid="{8333CD14-AA80-4971-8B58-DABDF3896D99}"/>
    <cellStyle name="Percent 3 3 2 2 19" xfId="30611" xr:uid="{28ECE083-3C8A-4636-BDC3-F90D80AFA9B6}"/>
    <cellStyle name="Percent 3 3 2 2 2" xfId="1001" xr:uid="{827877D5-C983-4AB7-8160-43DA3FB1B4D0}"/>
    <cellStyle name="Percent 3 3 2 2 2 10" xfId="18011" xr:uid="{5F9CBB4A-8192-4B4B-91F9-3C5FEAD8C87D}"/>
    <cellStyle name="Percent 3 3 2 2 2 11" xfId="19901" xr:uid="{803596E8-47B9-4A0C-B7E2-7E380382FC1A}"/>
    <cellStyle name="Percent 3 3 2 2 2 12" xfId="21791" xr:uid="{86B9752C-D8E4-41C7-A5EB-B1C9870B4E8C}"/>
    <cellStyle name="Percent 3 3 2 2 2 13" xfId="23681" xr:uid="{700C8684-CB70-42C4-A604-D8565A364ECD}"/>
    <cellStyle name="Percent 3 3 2 2 2 14" xfId="25571" xr:uid="{CD32EBD5-933A-4CA0-B303-0CBC5C0D03DC}"/>
    <cellStyle name="Percent 3 3 2 2 2 15" xfId="27461" xr:uid="{4A96EBE6-43A3-4B73-9B39-5CB7D5CE9067}"/>
    <cellStyle name="Percent 3 3 2 2 2 16" xfId="29351" xr:uid="{78E5B298-62AC-401D-AD3C-8E4297BDE51E}"/>
    <cellStyle name="Percent 3 3 2 2 2 17" xfId="31241" xr:uid="{304401D2-62A1-494C-A841-C17D5701D356}"/>
    <cellStyle name="Percent 3 3 2 2 2 18" xfId="33131" xr:uid="{023BDC54-001E-4A0C-BD39-1C3DB3546D6D}"/>
    <cellStyle name="Percent 3 3 2 2 2 19" xfId="35021" xr:uid="{03350D57-973D-4E54-8375-1A882BFD0573}"/>
    <cellStyle name="Percent 3 3 2 2 2 2" xfId="2891" xr:uid="{05BF0BA9-513E-4993-9A21-8BF087B0C00C}"/>
    <cellStyle name="Percent 3 3 2 2 2 20" xfId="36911" xr:uid="{E081B27F-3FB5-4A55-B2E6-2B8CA6180646}"/>
    <cellStyle name="Percent 3 3 2 2 2 21" xfId="38801" xr:uid="{FFA7F514-AB42-4BB8-B138-5E3039424F11}"/>
    <cellStyle name="Percent 3 3 2 2 2 22" xfId="40692" xr:uid="{E9B62334-D027-41B9-BCBB-2A968E84C553}"/>
    <cellStyle name="Percent 3 3 2 2 2 3" xfId="4781" xr:uid="{45F9EF73-FD3C-4602-87DB-F1559AE2E8D6}"/>
    <cellStyle name="Percent 3 3 2 2 2 4" xfId="6671" xr:uid="{98BDE220-C1CD-42ED-94D3-75B3544CB23A}"/>
    <cellStyle name="Percent 3 3 2 2 2 5" xfId="8561" xr:uid="{BC33B1BD-44E9-45C8-81EA-942B8E68EA50}"/>
    <cellStyle name="Percent 3 3 2 2 2 6" xfId="10451" xr:uid="{7C482632-5506-46F1-8057-190881328488}"/>
    <cellStyle name="Percent 3 3 2 2 2 7" xfId="12341" xr:uid="{B95A88B0-B9BE-42B3-AFB7-FE12D2959E2A}"/>
    <cellStyle name="Percent 3 3 2 2 2 8" xfId="14231" xr:uid="{995FDFD5-7A29-43F1-BD8C-EE9661F2D55D}"/>
    <cellStyle name="Percent 3 3 2 2 2 9" xfId="16121" xr:uid="{1EFF11DF-FACF-4C80-81D0-EE20DEC49600}"/>
    <cellStyle name="Percent 3 3 2 2 20" xfId="32501" xr:uid="{52335FF4-36F0-40BE-8D61-05C2C5076EE2}"/>
    <cellStyle name="Percent 3 3 2 2 21" xfId="34391" xr:uid="{F85E8104-F33E-4C76-B2B0-1FFA2C468C9F}"/>
    <cellStyle name="Percent 3 3 2 2 22" xfId="36281" xr:uid="{CD9F0365-5D15-47A8-830B-4A8FCA04065A}"/>
    <cellStyle name="Percent 3 3 2 2 23" xfId="38171" xr:uid="{CAF53937-7426-44D9-92FB-199ED802D970}"/>
    <cellStyle name="Percent 3 3 2 2 24" xfId="40062" xr:uid="{59768E63-ECF5-4BAA-8623-CF9B68116A52}"/>
    <cellStyle name="Percent 3 3 2 2 3" xfId="1631" xr:uid="{42972AB6-5CB8-4205-9541-2BE954F8AD9D}"/>
    <cellStyle name="Percent 3 3 2 2 3 10" xfId="18641" xr:uid="{44363C2D-CAC5-4588-BD2D-5F1727CF7F73}"/>
    <cellStyle name="Percent 3 3 2 2 3 11" xfId="20531" xr:uid="{BA032244-653B-411E-A94C-D2F77F04FD1B}"/>
    <cellStyle name="Percent 3 3 2 2 3 12" xfId="22421" xr:uid="{366B12C4-C5BE-4094-B3C3-A046EF8941C4}"/>
    <cellStyle name="Percent 3 3 2 2 3 13" xfId="24311" xr:uid="{3E2BE25B-9E61-4754-9275-A53024B4DC17}"/>
    <cellStyle name="Percent 3 3 2 2 3 14" xfId="26201" xr:uid="{1BB7D4A8-6C06-4EDA-B177-B1C8599365CB}"/>
    <cellStyle name="Percent 3 3 2 2 3 15" xfId="28091" xr:uid="{0EFB70B3-8CB9-43A1-8564-6DA1A90F9750}"/>
    <cellStyle name="Percent 3 3 2 2 3 16" xfId="29981" xr:uid="{C59CA4BB-1736-4D11-A43C-66ECAA639F3E}"/>
    <cellStyle name="Percent 3 3 2 2 3 17" xfId="31871" xr:uid="{CE6666B0-534D-4F10-9417-CAEBCC079DE5}"/>
    <cellStyle name="Percent 3 3 2 2 3 18" xfId="33761" xr:uid="{FA276E00-7ADE-4FEC-8FE7-3ADD0C2D6509}"/>
    <cellStyle name="Percent 3 3 2 2 3 19" xfId="35651" xr:uid="{C83BC348-648B-49E2-9154-A279067A87DF}"/>
    <cellStyle name="Percent 3 3 2 2 3 2" xfId="3521" xr:uid="{4F50C01D-39C9-4E49-BB63-CD687F4D5DE9}"/>
    <cellStyle name="Percent 3 3 2 2 3 20" xfId="37541" xr:uid="{49CEF0CF-8240-428D-BD03-DDD2BF5C43A9}"/>
    <cellStyle name="Percent 3 3 2 2 3 21" xfId="39431" xr:uid="{81E756B1-662B-4A4F-AAE9-9BFF9ED159A1}"/>
    <cellStyle name="Percent 3 3 2 2 3 22" xfId="41322" xr:uid="{3B4ED820-879C-4848-B040-659A747ACF29}"/>
    <cellStyle name="Percent 3 3 2 2 3 3" xfId="5411" xr:uid="{E46FA1E8-5180-4EA9-B73C-03CD412E007C}"/>
    <cellStyle name="Percent 3 3 2 2 3 4" xfId="7301" xr:uid="{3881FC36-F2AF-4071-858F-B60C86F9A8E7}"/>
    <cellStyle name="Percent 3 3 2 2 3 5" xfId="9191" xr:uid="{7631A829-0903-44D9-B89D-2FFE049D192B}"/>
    <cellStyle name="Percent 3 3 2 2 3 6" xfId="11081" xr:uid="{A8DDF87A-6EC0-40B7-9FD7-E373309B771C}"/>
    <cellStyle name="Percent 3 3 2 2 3 7" xfId="12971" xr:uid="{F3789C58-C532-4F83-B2C2-5AD6940711B4}"/>
    <cellStyle name="Percent 3 3 2 2 3 8" xfId="14861" xr:uid="{B1382A54-9BE0-40C0-B3F3-C42DFD626CB0}"/>
    <cellStyle name="Percent 3 3 2 2 3 9" xfId="16751" xr:uid="{9AF13961-6292-48B6-9392-AEE8E343C999}"/>
    <cellStyle name="Percent 3 3 2 2 4" xfId="2261" xr:uid="{3B02162D-C4E1-40EB-9BF1-F32E26898D02}"/>
    <cellStyle name="Percent 3 3 2 2 5" xfId="4151" xr:uid="{69D1384D-C647-4FE1-95E5-5AA592A39D1C}"/>
    <cellStyle name="Percent 3 3 2 2 6" xfId="6041" xr:uid="{8C13A045-D2F7-49F5-8A05-A6C5F711F17F}"/>
    <cellStyle name="Percent 3 3 2 2 7" xfId="7931" xr:uid="{EC5BB610-95B1-44F1-B691-2C9676298E91}"/>
    <cellStyle name="Percent 3 3 2 2 8" xfId="9821" xr:uid="{07529139-E47B-4BE9-9FD4-F4F4D5F45359}"/>
    <cellStyle name="Percent 3 3 2 2 9" xfId="11711" xr:uid="{8D9E3560-D5C5-4361-9349-202DC4F2D5CD}"/>
    <cellStyle name="Percent 3 3 2 20" xfId="28511" xr:uid="{407250D7-F4AA-49AD-A47D-E52F1F02C549}"/>
    <cellStyle name="Percent 3 3 2 21" xfId="30401" xr:uid="{CFFAAB43-74DD-4D08-88CA-975FFEA0E218}"/>
    <cellStyle name="Percent 3 3 2 22" xfId="32291" xr:uid="{A294ECA5-1351-4E13-BA6A-A983CD998164}"/>
    <cellStyle name="Percent 3 3 2 23" xfId="34181" xr:uid="{742DF3F5-1D8F-4201-8BCE-589261E31A36}"/>
    <cellStyle name="Percent 3 3 2 24" xfId="36071" xr:uid="{70A9DD0C-A904-46DF-B061-744BA7045991}"/>
    <cellStyle name="Percent 3 3 2 25" xfId="37961" xr:uid="{D9442359-8A5E-4AC3-9643-B7125E71FE40}"/>
    <cellStyle name="Percent 3 3 2 26" xfId="39852" xr:uid="{9B225772-718B-4727-977B-F744516B7C42}"/>
    <cellStyle name="Percent 3 3 2 3" xfId="581" xr:uid="{8DDBE0B1-DA74-4F77-928A-80AAFF502F9F}"/>
    <cellStyle name="Percent 3 3 2 3 10" xfId="13811" xr:uid="{84470C20-1384-4477-945F-EF46C165A401}"/>
    <cellStyle name="Percent 3 3 2 3 11" xfId="15701" xr:uid="{4BD4ED9F-0548-40E0-B0CE-6A3C898A6D10}"/>
    <cellStyle name="Percent 3 3 2 3 12" xfId="17591" xr:uid="{75845FEF-3321-483D-8B38-73E183EFD407}"/>
    <cellStyle name="Percent 3 3 2 3 13" xfId="19481" xr:uid="{3917273C-FDDE-4770-8F9C-3A159B569A44}"/>
    <cellStyle name="Percent 3 3 2 3 14" xfId="21371" xr:uid="{E52974A5-D868-4969-99C0-06BA992E6479}"/>
    <cellStyle name="Percent 3 3 2 3 15" xfId="23261" xr:uid="{AAF74EA1-AC3A-44BA-94B2-DD4DCCD2A28C}"/>
    <cellStyle name="Percent 3 3 2 3 16" xfId="25151" xr:uid="{ABC18C4E-CD5C-41F2-A070-D371E06EDF76}"/>
    <cellStyle name="Percent 3 3 2 3 17" xfId="27041" xr:uid="{17089146-646E-4EB4-820C-51A65637D54A}"/>
    <cellStyle name="Percent 3 3 2 3 18" xfId="28931" xr:uid="{B330243A-8D40-4329-8055-710DCA1ACBF0}"/>
    <cellStyle name="Percent 3 3 2 3 19" xfId="30821" xr:uid="{A7F5EB20-FC76-4A39-B331-293F3C5DCD73}"/>
    <cellStyle name="Percent 3 3 2 3 2" xfId="1211" xr:uid="{C7287931-A1FD-4BA3-BB6C-D83565EC146A}"/>
    <cellStyle name="Percent 3 3 2 3 2 10" xfId="18221" xr:uid="{FDA78CFE-08C8-425D-98BD-379E83F5B24D}"/>
    <cellStyle name="Percent 3 3 2 3 2 11" xfId="20111" xr:uid="{33821F8C-DBF2-494A-BDA0-7F342389FCF6}"/>
    <cellStyle name="Percent 3 3 2 3 2 12" xfId="22001" xr:uid="{C15B0720-132A-4A7F-8522-64C7FDDB6E97}"/>
    <cellStyle name="Percent 3 3 2 3 2 13" xfId="23891" xr:uid="{5A487FC3-5635-4114-B0E1-EF987BF6F549}"/>
    <cellStyle name="Percent 3 3 2 3 2 14" xfId="25781" xr:uid="{5CCA5D8D-B770-423C-8115-DFC133A80645}"/>
    <cellStyle name="Percent 3 3 2 3 2 15" xfId="27671" xr:uid="{C8C2A181-CC7E-4B39-8EB0-892973299351}"/>
    <cellStyle name="Percent 3 3 2 3 2 16" xfId="29561" xr:uid="{DBCFED5E-F610-424F-8005-A5CC84618F20}"/>
    <cellStyle name="Percent 3 3 2 3 2 17" xfId="31451" xr:uid="{E0AC321A-B5CC-45D1-BD29-A56FA17E155D}"/>
    <cellStyle name="Percent 3 3 2 3 2 18" xfId="33341" xr:uid="{43C66D4F-3A5E-4F3E-AA2F-2FFE8EAF2A1B}"/>
    <cellStyle name="Percent 3 3 2 3 2 19" xfId="35231" xr:uid="{AB7998AE-66E3-4037-8522-A99F740282C8}"/>
    <cellStyle name="Percent 3 3 2 3 2 2" xfId="3101" xr:uid="{D29A1289-5191-4723-AE10-CDE12DF158B5}"/>
    <cellStyle name="Percent 3 3 2 3 2 20" xfId="37121" xr:uid="{5CE54354-81DF-4FE2-A882-22D16BB027AC}"/>
    <cellStyle name="Percent 3 3 2 3 2 21" xfId="39011" xr:uid="{E4101ABA-EB3B-4342-8721-C5EF78F32E0E}"/>
    <cellStyle name="Percent 3 3 2 3 2 22" xfId="40902" xr:uid="{FCE4CD34-D34B-48D3-B65E-CB612CFCF125}"/>
    <cellStyle name="Percent 3 3 2 3 2 3" xfId="4991" xr:uid="{EB4AF6D3-49E3-4C90-AC46-B4F5C107071F}"/>
    <cellStyle name="Percent 3 3 2 3 2 4" xfId="6881" xr:uid="{A1658228-526B-4A5E-A43A-D3F938F8727C}"/>
    <cellStyle name="Percent 3 3 2 3 2 5" xfId="8771" xr:uid="{107FAA59-6F20-4BA8-BDB0-F28BED7F86D7}"/>
    <cellStyle name="Percent 3 3 2 3 2 6" xfId="10661" xr:uid="{131924A8-CF04-4FAC-82EA-A03E74A2F9F6}"/>
    <cellStyle name="Percent 3 3 2 3 2 7" xfId="12551" xr:uid="{99897278-1882-4F19-B009-8D2A302E4663}"/>
    <cellStyle name="Percent 3 3 2 3 2 8" xfId="14441" xr:uid="{BC9E7EFF-9E1A-4E6D-B937-289B8F68A72A}"/>
    <cellStyle name="Percent 3 3 2 3 2 9" xfId="16331" xr:uid="{4860087E-01D1-4E40-BAB1-CA6B50C0A05A}"/>
    <cellStyle name="Percent 3 3 2 3 20" xfId="32711" xr:uid="{012A6DA0-0DE3-4441-B96E-8471CA8705C9}"/>
    <cellStyle name="Percent 3 3 2 3 21" xfId="34601" xr:uid="{26881BBB-9A30-4652-8D82-B9A19FFDBAA2}"/>
    <cellStyle name="Percent 3 3 2 3 22" xfId="36491" xr:uid="{3FDD3172-548A-4095-B334-ECBA8AB55CB5}"/>
    <cellStyle name="Percent 3 3 2 3 23" xfId="38381" xr:uid="{73936846-F6C2-40C9-94B4-5784AEC4A165}"/>
    <cellStyle name="Percent 3 3 2 3 24" xfId="40272" xr:uid="{42DA57CA-3AC9-41D9-9B3B-4E127DC56ED2}"/>
    <cellStyle name="Percent 3 3 2 3 3" xfId="1841" xr:uid="{8164D976-FEDA-49E8-9E70-8A81B41C106B}"/>
    <cellStyle name="Percent 3 3 2 3 3 10" xfId="18851" xr:uid="{D7ED76DB-C779-436F-8E74-9208CFCDBACE}"/>
    <cellStyle name="Percent 3 3 2 3 3 11" xfId="20741" xr:uid="{D80CEEBE-C5B5-46C9-BA15-24351B446C72}"/>
    <cellStyle name="Percent 3 3 2 3 3 12" xfId="22631" xr:uid="{9996C4D6-9DB5-4701-941F-4B43E94DACEC}"/>
    <cellStyle name="Percent 3 3 2 3 3 13" xfId="24521" xr:uid="{CDDD5730-A1E2-4933-8613-E56501CAC711}"/>
    <cellStyle name="Percent 3 3 2 3 3 14" xfId="26411" xr:uid="{5F6512AF-4BE1-4E9A-BED8-0AE823975F15}"/>
    <cellStyle name="Percent 3 3 2 3 3 15" xfId="28301" xr:uid="{3E1FD85F-19BD-4456-9D5B-DCB97922C635}"/>
    <cellStyle name="Percent 3 3 2 3 3 16" xfId="30191" xr:uid="{20A76348-410D-49DC-9E5E-D57BE2BDC9AC}"/>
    <cellStyle name="Percent 3 3 2 3 3 17" xfId="32081" xr:uid="{0740C98A-98DF-4D6D-BE64-1AAAE5FFEAF7}"/>
    <cellStyle name="Percent 3 3 2 3 3 18" xfId="33971" xr:uid="{DFF0A830-5715-4056-AFCB-3A1489D9055B}"/>
    <cellStyle name="Percent 3 3 2 3 3 19" xfId="35861" xr:uid="{BEF70CB3-B532-401A-88FB-36AA910F425F}"/>
    <cellStyle name="Percent 3 3 2 3 3 2" xfId="3731" xr:uid="{76AE17E9-D537-4170-A3FD-85A99F3F7428}"/>
    <cellStyle name="Percent 3 3 2 3 3 20" xfId="37751" xr:uid="{0036074C-EC90-48D8-8E29-C0C25EF4B412}"/>
    <cellStyle name="Percent 3 3 2 3 3 21" xfId="39641" xr:uid="{3C9E6DFA-6EBD-4E12-833B-4414A543D5A3}"/>
    <cellStyle name="Percent 3 3 2 3 3 22" xfId="41532" xr:uid="{7900CCDB-9B09-4B85-AABB-8E885C91619E}"/>
    <cellStyle name="Percent 3 3 2 3 3 3" xfId="5621" xr:uid="{D5E302D5-1336-440B-B082-8CB82990C6DA}"/>
    <cellStyle name="Percent 3 3 2 3 3 4" xfId="7511" xr:uid="{32B109A2-7B91-4FE7-BF73-EEB6082E5173}"/>
    <cellStyle name="Percent 3 3 2 3 3 5" xfId="9401" xr:uid="{2F450D4E-1CD3-457A-A65F-DD1C1CAEF18E}"/>
    <cellStyle name="Percent 3 3 2 3 3 6" xfId="11291" xr:uid="{A8B65E37-943A-4528-A088-ED7608136262}"/>
    <cellStyle name="Percent 3 3 2 3 3 7" xfId="13181" xr:uid="{937AABC3-6D33-4004-84A9-BB7A422CC80C}"/>
    <cellStyle name="Percent 3 3 2 3 3 8" xfId="15071" xr:uid="{DB6120F8-525E-4DBF-94CE-BC5362AFF03B}"/>
    <cellStyle name="Percent 3 3 2 3 3 9" xfId="16961" xr:uid="{B62DB536-4BCE-4ED2-BB97-06236244CA7D}"/>
    <cellStyle name="Percent 3 3 2 3 4" xfId="2471" xr:uid="{27693E32-0E49-4865-8AB4-F007FBB833C5}"/>
    <cellStyle name="Percent 3 3 2 3 5" xfId="4361" xr:uid="{06F249EE-5BEB-4EF7-A497-3681503F0BDD}"/>
    <cellStyle name="Percent 3 3 2 3 6" xfId="6251" xr:uid="{3F3DCA86-0FFC-4C72-B09A-DEC01B3AB58D}"/>
    <cellStyle name="Percent 3 3 2 3 7" xfId="8141" xr:uid="{258E711B-E843-4AB9-8E26-F6A23257EF0A}"/>
    <cellStyle name="Percent 3 3 2 3 8" xfId="10031" xr:uid="{2438F402-971B-4346-88FE-642C3C74042D}"/>
    <cellStyle name="Percent 3 3 2 3 9" xfId="11921" xr:uid="{FE3F1681-55DD-4A94-A5ED-43751085E24A}"/>
    <cellStyle name="Percent 3 3 2 4" xfId="791" xr:uid="{59C19D92-3873-4B5D-9B54-A71A7EF48087}"/>
    <cellStyle name="Percent 3 3 2 4 10" xfId="17801" xr:uid="{E40467FC-D48C-4348-93F2-AD891B547986}"/>
    <cellStyle name="Percent 3 3 2 4 11" xfId="19691" xr:uid="{141904FA-E349-43D2-8DF8-B2298AF9673F}"/>
    <cellStyle name="Percent 3 3 2 4 12" xfId="21581" xr:uid="{CAB20D44-E4C1-4968-800C-FAE83C92370C}"/>
    <cellStyle name="Percent 3 3 2 4 13" xfId="23471" xr:uid="{E47660C2-CDE1-4F37-84E7-BCE2AEEB41FB}"/>
    <cellStyle name="Percent 3 3 2 4 14" xfId="25361" xr:uid="{BFA35B6F-D0B8-44FA-8CF5-5FB6027E382B}"/>
    <cellStyle name="Percent 3 3 2 4 15" xfId="27251" xr:uid="{C15A7785-56B9-47A4-9BB0-8D54299958CE}"/>
    <cellStyle name="Percent 3 3 2 4 16" xfId="29141" xr:uid="{392F8F5F-882E-4ECA-94D9-E34FAD0BAD85}"/>
    <cellStyle name="Percent 3 3 2 4 17" xfId="31031" xr:uid="{4E431848-F5C9-45FF-8CF8-D01F07738611}"/>
    <cellStyle name="Percent 3 3 2 4 18" xfId="32921" xr:uid="{18263DF5-36E6-4548-B195-60672E96D2AA}"/>
    <cellStyle name="Percent 3 3 2 4 19" xfId="34811" xr:uid="{3A30B3CD-19DA-4FDF-8DFF-A920BE7F9AA0}"/>
    <cellStyle name="Percent 3 3 2 4 2" xfId="2681" xr:uid="{033DCD72-2B36-4064-B05A-638067E56721}"/>
    <cellStyle name="Percent 3 3 2 4 20" xfId="36701" xr:uid="{5C977A4A-90D2-485C-869D-C89C62B32C9A}"/>
    <cellStyle name="Percent 3 3 2 4 21" xfId="38591" xr:uid="{87644D02-9BA2-4B63-B5F5-BA3CE885AAD6}"/>
    <cellStyle name="Percent 3 3 2 4 22" xfId="40482" xr:uid="{5237CB65-533F-41FD-903E-5A22BBD57A19}"/>
    <cellStyle name="Percent 3 3 2 4 3" xfId="4571" xr:uid="{4BA1B948-7382-471D-951A-3A5449148B2F}"/>
    <cellStyle name="Percent 3 3 2 4 4" xfId="6461" xr:uid="{346BDE83-E8EB-48A2-8D83-1471D4AA07BF}"/>
    <cellStyle name="Percent 3 3 2 4 5" xfId="8351" xr:uid="{95BCE0A0-1FDC-4D63-80B6-688569348478}"/>
    <cellStyle name="Percent 3 3 2 4 6" xfId="10241" xr:uid="{97D517BA-85BB-42C0-A76F-4D547BD64CF9}"/>
    <cellStyle name="Percent 3 3 2 4 7" xfId="12131" xr:uid="{16BE8DC9-AB79-41C8-BA91-DCC01A9E4EDF}"/>
    <cellStyle name="Percent 3 3 2 4 8" xfId="14021" xr:uid="{C024526F-0D51-46E6-8E30-5A56276F1755}"/>
    <cellStyle name="Percent 3 3 2 4 9" xfId="15911" xr:uid="{3C679502-921A-4E35-A722-476F17C02E80}"/>
    <cellStyle name="Percent 3 3 2 5" xfId="1421" xr:uid="{71D06806-0B12-434F-A1A3-2DEFC7C286D3}"/>
    <cellStyle name="Percent 3 3 2 5 10" xfId="18431" xr:uid="{5C501A16-32BC-4A54-AB72-1C4E830808BE}"/>
    <cellStyle name="Percent 3 3 2 5 11" xfId="20321" xr:uid="{380C14D7-0838-48AF-9C4F-E69A65C0EE28}"/>
    <cellStyle name="Percent 3 3 2 5 12" xfId="22211" xr:uid="{36688CFD-D5C3-4078-9263-AA0BDB43E181}"/>
    <cellStyle name="Percent 3 3 2 5 13" xfId="24101" xr:uid="{62EFA8EE-B9E9-4109-8F45-8C00E6307FC1}"/>
    <cellStyle name="Percent 3 3 2 5 14" xfId="25991" xr:uid="{C95559FA-2AC4-4ED6-8689-50A76F1CCADC}"/>
    <cellStyle name="Percent 3 3 2 5 15" xfId="27881" xr:uid="{1955871F-2C45-4E2C-B3D0-798B48B7517C}"/>
    <cellStyle name="Percent 3 3 2 5 16" xfId="29771" xr:uid="{88D82B17-7BE0-4922-BF17-490841997984}"/>
    <cellStyle name="Percent 3 3 2 5 17" xfId="31661" xr:uid="{F0991F1C-FD47-4878-B1CF-FD2CC1EE3A85}"/>
    <cellStyle name="Percent 3 3 2 5 18" xfId="33551" xr:uid="{4B4A347A-20CA-4CFD-9605-5F5EB45D6AE8}"/>
    <cellStyle name="Percent 3 3 2 5 19" xfId="35441" xr:uid="{30974BF5-F187-4CB9-AA7F-618A11BE58B1}"/>
    <cellStyle name="Percent 3 3 2 5 2" xfId="3311" xr:uid="{DFBBFF5B-EBF3-43E4-9064-DCC62B075ECB}"/>
    <cellStyle name="Percent 3 3 2 5 20" xfId="37331" xr:uid="{DCA014F8-567E-4B21-B6EF-93C2325D3188}"/>
    <cellStyle name="Percent 3 3 2 5 21" xfId="39221" xr:uid="{A8E9563F-1499-45BF-92B5-9F5F187F2150}"/>
    <cellStyle name="Percent 3 3 2 5 22" xfId="41112" xr:uid="{2B81C532-41CD-4DD1-8F65-BDB75D35D481}"/>
    <cellStyle name="Percent 3 3 2 5 3" xfId="5201" xr:uid="{64830B8C-54E8-49DD-ABE9-102CA2B04888}"/>
    <cellStyle name="Percent 3 3 2 5 4" xfId="7091" xr:uid="{D480D90B-9F97-4941-9975-51CF279598F4}"/>
    <cellStyle name="Percent 3 3 2 5 5" xfId="8981" xr:uid="{8561B64D-E7CB-406A-8D0C-3172B8CA2136}"/>
    <cellStyle name="Percent 3 3 2 5 6" xfId="10871" xr:uid="{C374EC7F-3C88-47DC-B3F4-CA1891A66E39}"/>
    <cellStyle name="Percent 3 3 2 5 7" xfId="12761" xr:uid="{2EFF6C90-3D38-4C00-8FAB-5D666EBB0C2F}"/>
    <cellStyle name="Percent 3 3 2 5 8" xfId="14651" xr:uid="{5D0553ED-8F4A-4917-B78C-71661DA084F6}"/>
    <cellStyle name="Percent 3 3 2 5 9" xfId="16541" xr:uid="{45B56535-FBD7-4940-885A-1BD696324335}"/>
    <cellStyle name="Percent 3 3 2 6" xfId="2051" xr:uid="{4664AF03-9382-40F2-AD50-9B72B1E16CC6}"/>
    <cellStyle name="Percent 3 3 2 7" xfId="3941" xr:uid="{459DD285-AE80-441B-940A-75B52D9C661E}"/>
    <cellStyle name="Percent 3 3 2 8" xfId="5831" xr:uid="{081C23B6-5CAA-4745-BB74-FFA16262E7FB}"/>
    <cellStyle name="Percent 3 3 2 9" xfId="7721" xr:uid="{5FEC214D-407E-47E7-B9B0-036B0BD8738B}"/>
    <cellStyle name="Percent 3 3 20" xfId="26516" xr:uid="{8DD25758-C2CD-482B-B9B6-92983160EC8C}"/>
    <cellStyle name="Percent 3 3 21" xfId="28406" xr:uid="{7C4A499F-3AAC-45A8-8D8E-158622EE90CF}"/>
    <cellStyle name="Percent 3 3 22" xfId="30296" xr:uid="{C7C0B863-0C99-46BA-9BAB-9E751DE9A983}"/>
    <cellStyle name="Percent 3 3 23" xfId="32186" xr:uid="{C07B9BD2-E11B-49CF-BD4E-066B3BFC8977}"/>
    <cellStyle name="Percent 3 3 24" xfId="34076" xr:uid="{23EAEABB-2456-43B0-92E3-07C47E327A76}"/>
    <cellStyle name="Percent 3 3 25" xfId="35966" xr:uid="{B3E6C8B0-5A68-45DA-BB05-678A8F267E8D}"/>
    <cellStyle name="Percent 3 3 26" xfId="37856" xr:uid="{2585D31C-69DC-4D2A-A701-67F4BD9ADF18}"/>
    <cellStyle name="Percent 3 3 27" xfId="39747" xr:uid="{63A9122B-5844-4C75-A9ED-C8F8AB94F111}"/>
    <cellStyle name="Percent 3 3 3" xfId="266" xr:uid="{224A0707-5E0F-411E-823D-A63AEA7E8993}"/>
    <cellStyle name="Percent 3 3 3 10" xfId="13496" xr:uid="{F6437B9B-F5A5-4C92-ABD7-C0ED17B48443}"/>
    <cellStyle name="Percent 3 3 3 11" xfId="15386" xr:uid="{83307FDD-CEC7-4692-A39C-50EDCDC584E6}"/>
    <cellStyle name="Percent 3 3 3 12" xfId="17276" xr:uid="{6752616B-6B5B-41CB-9306-51C13CB12C5A}"/>
    <cellStyle name="Percent 3 3 3 13" xfId="19166" xr:uid="{D5AB6C4B-0052-4059-84CF-5AE1804DD8A8}"/>
    <cellStyle name="Percent 3 3 3 14" xfId="21056" xr:uid="{75A34E9C-CB05-4C38-973A-ECAC66971189}"/>
    <cellStyle name="Percent 3 3 3 15" xfId="22946" xr:uid="{3B4D04EB-1B92-4340-BDEB-B7DF71EDDF53}"/>
    <cellStyle name="Percent 3 3 3 16" xfId="24836" xr:uid="{15ECD4C1-BC06-488B-89FF-B906141A641F}"/>
    <cellStyle name="Percent 3 3 3 17" xfId="26726" xr:uid="{9ABE77B8-E20E-460C-8283-54EAA34A1709}"/>
    <cellStyle name="Percent 3 3 3 18" xfId="28616" xr:uid="{B7CE5BE8-A517-458D-A967-358FF3E38E24}"/>
    <cellStyle name="Percent 3 3 3 19" xfId="30506" xr:uid="{C4F34A3F-E30D-4B15-9100-AE91D4B5A414}"/>
    <cellStyle name="Percent 3 3 3 2" xfId="896" xr:uid="{A57DF4B1-E8C5-464A-8571-1231A8D0BBBB}"/>
    <cellStyle name="Percent 3 3 3 2 10" xfId="17906" xr:uid="{F4394C0F-3ED7-4947-863A-3B1213F564C5}"/>
    <cellStyle name="Percent 3 3 3 2 11" xfId="19796" xr:uid="{CB09FCD7-3D07-47B8-BB53-94FC1C2A9080}"/>
    <cellStyle name="Percent 3 3 3 2 12" xfId="21686" xr:uid="{49E7E256-3A85-46BC-810A-96D7E043FDC7}"/>
    <cellStyle name="Percent 3 3 3 2 13" xfId="23576" xr:uid="{90EBB414-6823-40A4-B905-C7033119329D}"/>
    <cellStyle name="Percent 3 3 3 2 14" xfId="25466" xr:uid="{12114412-D169-4331-971C-A9B355F5419B}"/>
    <cellStyle name="Percent 3 3 3 2 15" xfId="27356" xr:uid="{6968FE46-EDA7-4808-AE7F-0A16A83BEDC9}"/>
    <cellStyle name="Percent 3 3 3 2 16" xfId="29246" xr:uid="{609CC12D-35F9-4A6F-8E84-632372AC0240}"/>
    <cellStyle name="Percent 3 3 3 2 17" xfId="31136" xr:uid="{999DFAE9-E8CD-4C6A-9FE4-CFF18F7AF8E6}"/>
    <cellStyle name="Percent 3 3 3 2 18" xfId="33026" xr:uid="{C002EEDC-BDB8-4111-B86F-9FDB954E6837}"/>
    <cellStyle name="Percent 3 3 3 2 19" xfId="34916" xr:uid="{09447F4E-2C1C-4C62-911A-79C3135DABD2}"/>
    <cellStyle name="Percent 3 3 3 2 2" xfId="2786" xr:uid="{E9EBCA4C-F885-4E58-A832-ED09D6518EF0}"/>
    <cellStyle name="Percent 3 3 3 2 20" xfId="36806" xr:uid="{F664C8F5-D7CA-4F6D-B10C-BF14EC1C1122}"/>
    <cellStyle name="Percent 3 3 3 2 21" xfId="38696" xr:uid="{35774955-2FB7-4DCB-803F-1554DFE554FD}"/>
    <cellStyle name="Percent 3 3 3 2 22" xfId="40587" xr:uid="{2A15CC59-B691-4A8F-954C-745E33F687E9}"/>
    <cellStyle name="Percent 3 3 3 2 3" xfId="4676" xr:uid="{D76AC62A-26FF-434F-9580-010BBF1EB97E}"/>
    <cellStyle name="Percent 3 3 3 2 4" xfId="6566" xr:uid="{1D4B9024-85E0-4B44-A127-5B89D78A97F9}"/>
    <cellStyle name="Percent 3 3 3 2 5" xfId="8456" xr:uid="{B99AF91A-C272-4D85-8C2B-722997681966}"/>
    <cellStyle name="Percent 3 3 3 2 6" xfId="10346" xr:uid="{F25A01C1-C6D7-4112-BD9E-2BFABCB335F8}"/>
    <cellStyle name="Percent 3 3 3 2 7" xfId="12236" xr:uid="{7F167FA4-971C-4BF2-911F-B615BD4F2D83}"/>
    <cellStyle name="Percent 3 3 3 2 8" xfId="14126" xr:uid="{53CF6C56-5470-4AD9-94B1-5D46FF92DCA6}"/>
    <cellStyle name="Percent 3 3 3 2 9" xfId="16016" xr:uid="{516948B7-3CFE-4136-A034-FBCEB9F5F14A}"/>
    <cellStyle name="Percent 3 3 3 20" xfId="32396" xr:uid="{FDADCED8-036B-469A-9066-0FD9888F29E8}"/>
    <cellStyle name="Percent 3 3 3 21" xfId="34286" xr:uid="{887D4414-EA1F-446A-A91F-E8D11C82707D}"/>
    <cellStyle name="Percent 3 3 3 22" xfId="36176" xr:uid="{221BEE47-A66A-413F-95D1-F7F616395AE2}"/>
    <cellStyle name="Percent 3 3 3 23" xfId="38066" xr:uid="{C01522C4-89C5-4BC7-B120-4070D0DAC468}"/>
    <cellStyle name="Percent 3 3 3 24" xfId="39957" xr:uid="{2D7F8BDF-B995-4A38-9310-464C6A339B3D}"/>
    <cellStyle name="Percent 3 3 3 3" xfId="1526" xr:uid="{93605DE7-1238-491F-B890-41CDCFE22D2E}"/>
    <cellStyle name="Percent 3 3 3 3 10" xfId="18536" xr:uid="{4CFA2643-D329-40E0-84BE-C652CF272254}"/>
    <cellStyle name="Percent 3 3 3 3 11" xfId="20426" xr:uid="{6E4028BA-6F5F-4B6C-8186-998B5F74C655}"/>
    <cellStyle name="Percent 3 3 3 3 12" xfId="22316" xr:uid="{C566C971-AE9A-4AEB-AF6B-104588CB1702}"/>
    <cellStyle name="Percent 3 3 3 3 13" xfId="24206" xr:uid="{E4287B50-61D5-4C4F-94CC-2E3889DD154A}"/>
    <cellStyle name="Percent 3 3 3 3 14" xfId="26096" xr:uid="{3D465D1E-DBE1-461A-B4AF-ABCE9915461D}"/>
    <cellStyle name="Percent 3 3 3 3 15" xfId="27986" xr:uid="{8249917E-F84F-4D1F-B803-28494F2346B8}"/>
    <cellStyle name="Percent 3 3 3 3 16" xfId="29876" xr:uid="{A5287E0B-35E3-4C92-9B3D-C9C2AA702EDF}"/>
    <cellStyle name="Percent 3 3 3 3 17" xfId="31766" xr:uid="{5B1B9CEA-727E-4DDF-AABF-AD20C303E0BC}"/>
    <cellStyle name="Percent 3 3 3 3 18" xfId="33656" xr:uid="{B3C9385D-78D2-4D7A-A0B6-724C4C1096D7}"/>
    <cellStyle name="Percent 3 3 3 3 19" xfId="35546" xr:uid="{59AF11D2-F2F1-4206-91F3-2024B166B106}"/>
    <cellStyle name="Percent 3 3 3 3 2" xfId="3416" xr:uid="{BBBF001F-1B63-4BE7-8786-19C28E1FA210}"/>
    <cellStyle name="Percent 3 3 3 3 20" xfId="37436" xr:uid="{6C43BFAE-52D3-4E1E-8539-2445DC8DF00A}"/>
    <cellStyle name="Percent 3 3 3 3 21" xfId="39326" xr:uid="{1CF82323-E091-4A19-AE22-95122555F7D2}"/>
    <cellStyle name="Percent 3 3 3 3 22" xfId="41217" xr:uid="{9B7F1A82-41A5-44F8-AC0E-C57A5260516F}"/>
    <cellStyle name="Percent 3 3 3 3 3" xfId="5306" xr:uid="{76331E1E-AF4E-41C5-8DDF-F84EB7781047}"/>
    <cellStyle name="Percent 3 3 3 3 4" xfId="7196" xr:uid="{5586FAAE-129E-410D-8DEA-87F06D9586C3}"/>
    <cellStyle name="Percent 3 3 3 3 5" xfId="9086" xr:uid="{59C296DC-6366-43AC-A7C7-6589B0FB0AB0}"/>
    <cellStyle name="Percent 3 3 3 3 6" xfId="10976" xr:uid="{607A407A-98CC-4C94-A70D-B268381C0235}"/>
    <cellStyle name="Percent 3 3 3 3 7" xfId="12866" xr:uid="{86A45887-B6DF-4002-9ED7-30F5F806156D}"/>
    <cellStyle name="Percent 3 3 3 3 8" xfId="14756" xr:uid="{9A4368DD-F295-4F5C-A69D-B1329E8A1378}"/>
    <cellStyle name="Percent 3 3 3 3 9" xfId="16646" xr:uid="{1F968E3D-0726-4268-8B5A-5A61E378361C}"/>
    <cellStyle name="Percent 3 3 3 4" xfId="2156" xr:uid="{4827D3AD-6ABE-445A-A0A1-66A5D6500216}"/>
    <cellStyle name="Percent 3 3 3 5" xfId="4046" xr:uid="{65C4D680-707A-4C54-A6FB-D2D8D256E736}"/>
    <cellStyle name="Percent 3 3 3 6" xfId="5936" xr:uid="{FFB50DED-D6C7-4ECD-A2FB-048F6BC20DFE}"/>
    <cellStyle name="Percent 3 3 3 7" xfId="7826" xr:uid="{5EBE1B4F-64DB-4981-AE8A-DC1D8DC06359}"/>
    <cellStyle name="Percent 3 3 3 8" xfId="9716" xr:uid="{31172468-30CC-4DFB-96AA-1CAA09DA22AE}"/>
    <cellStyle name="Percent 3 3 3 9" xfId="11606" xr:uid="{4472840C-0385-43D0-A4DB-3B602DBF1464}"/>
    <cellStyle name="Percent 3 3 4" xfId="476" xr:uid="{B5D2FEA6-D196-4799-8F09-0FEF6C3EFA54}"/>
    <cellStyle name="Percent 3 3 4 10" xfId="13706" xr:uid="{73C74897-7DE5-4F16-848F-3724626220E7}"/>
    <cellStyle name="Percent 3 3 4 11" xfId="15596" xr:uid="{8A44EF69-3970-4E36-9DFE-B5446D9988C8}"/>
    <cellStyle name="Percent 3 3 4 12" xfId="17486" xr:uid="{A799CA1E-7F16-46A8-8E31-8DCCBE81CA22}"/>
    <cellStyle name="Percent 3 3 4 13" xfId="19376" xr:uid="{F53F2C63-F0EF-4593-A882-3C3E60401EAF}"/>
    <cellStyle name="Percent 3 3 4 14" xfId="21266" xr:uid="{74FBA2B0-63F6-4E3E-A3C6-43EF454E5204}"/>
    <cellStyle name="Percent 3 3 4 15" xfId="23156" xr:uid="{47177FA7-527D-476B-A259-5067998101A9}"/>
    <cellStyle name="Percent 3 3 4 16" xfId="25046" xr:uid="{B6C5682C-6FB2-463F-9FD9-E4647C8D7B48}"/>
    <cellStyle name="Percent 3 3 4 17" xfId="26936" xr:uid="{B0894231-1F5B-4EAB-AF16-C7289F875DCF}"/>
    <cellStyle name="Percent 3 3 4 18" xfId="28826" xr:uid="{47265402-8138-4DC0-8CB9-CB3A37F8E4E2}"/>
    <cellStyle name="Percent 3 3 4 19" xfId="30716" xr:uid="{4242957B-606E-4F98-9007-DA8B7591D7ED}"/>
    <cellStyle name="Percent 3 3 4 2" xfId="1106" xr:uid="{8DEB765E-4991-4386-AF9A-E82D8C16E413}"/>
    <cellStyle name="Percent 3 3 4 2 10" xfId="18116" xr:uid="{88F0B3CE-59E3-4C1F-AE1C-8C9B00E68857}"/>
    <cellStyle name="Percent 3 3 4 2 11" xfId="20006" xr:uid="{1246F499-20C2-4E63-8ED5-F0DF4E12FA7A}"/>
    <cellStyle name="Percent 3 3 4 2 12" xfId="21896" xr:uid="{66F31A15-9A13-4AFA-8A2B-AE9B5A30240F}"/>
    <cellStyle name="Percent 3 3 4 2 13" xfId="23786" xr:uid="{E2F58123-DBEA-4D93-A0E5-C622F9C6F99C}"/>
    <cellStyle name="Percent 3 3 4 2 14" xfId="25676" xr:uid="{52D2F7ED-4C8F-4960-B11D-E9B27675BF10}"/>
    <cellStyle name="Percent 3 3 4 2 15" xfId="27566" xr:uid="{EE28BCB8-199C-4A33-8255-AA77F37BB203}"/>
    <cellStyle name="Percent 3 3 4 2 16" xfId="29456" xr:uid="{7DD93B29-F4F9-4463-B23B-246CF73018A9}"/>
    <cellStyle name="Percent 3 3 4 2 17" xfId="31346" xr:uid="{6E8E1515-2474-41D8-8BF4-3D57A2AB4EB5}"/>
    <cellStyle name="Percent 3 3 4 2 18" xfId="33236" xr:uid="{91CFDAA5-3F02-4741-A132-B0B00B1BFB94}"/>
    <cellStyle name="Percent 3 3 4 2 19" xfId="35126" xr:uid="{56238669-E2AC-4FFD-8D25-3CF61759DBC0}"/>
    <cellStyle name="Percent 3 3 4 2 2" xfId="2996" xr:uid="{5F6D90DA-3E66-4B4D-99D1-5717FDB7C083}"/>
    <cellStyle name="Percent 3 3 4 2 20" xfId="37016" xr:uid="{68106A2F-F002-4841-A48D-E7837E0434E0}"/>
    <cellStyle name="Percent 3 3 4 2 21" xfId="38906" xr:uid="{0EE3DCFB-C6C3-4685-BDE3-F1BFC85A1425}"/>
    <cellStyle name="Percent 3 3 4 2 22" xfId="40797" xr:uid="{644AE162-60EE-4A96-AEEF-68E1E8DE15E6}"/>
    <cellStyle name="Percent 3 3 4 2 3" xfId="4886" xr:uid="{631E2C2D-1296-4728-8CDB-0868D511460F}"/>
    <cellStyle name="Percent 3 3 4 2 4" xfId="6776" xr:uid="{5D952F77-631E-4856-AEC5-7C8DBCEC2A9A}"/>
    <cellStyle name="Percent 3 3 4 2 5" xfId="8666" xr:uid="{75DA2D25-8FAB-4576-8D0D-661F582ED86A}"/>
    <cellStyle name="Percent 3 3 4 2 6" xfId="10556" xr:uid="{A2D173D5-52CE-4FFA-A285-13B6732B4091}"/>
    <cellStyle name="Percent 3 3 4 2 7" xfId="12446" xr:uid="{A23BDF4C-EAF1-4C90-9DF8-B58776D71F2E}"/>
    <cellStyle name="Percent 3 3 4 2 8" xfId="14336" xr:uid="{AD50DD38-9F82-4001-A26C-D5CA8774A77C}"/>
    <cellStyle name="Percent 3 3 4 2 9" xfId="16226" xr:uid="{4919861A-5AB8-4CF7-B2CE-01486417086C}"/>
    <cellStyle name="Percent 3 3 4 20" xfId="32606" xr:uid="{632B7668-1A6D-4C05-9025-58A240D1CA24}"/>
    <cellStyle name="Percent 3 3 4 21" xfId="34496" xr:uid="{24E6F238-006C-4229-A33E-584E649D0188}"/>
    <cellStyle name="Percent 3 3 4 22" xfId="36386" xr:uid="{9EAACCC1-4A0A-4975-8DCA-FB5685B03995}"/>
    <cellStyle name="Percent 3 3 4 23" xfId="38276" xr:uid="{23312B0E-450A-47BD-B778-A1BC94DE8712}"/>
    <cellStyle name="Percent 3 3 4 24" xfId="40167" xr:uid="{045E751F-86B9-4357-92B0-F2C8E5EF39CD}"/>
    <cellStyle name="Percent 3 3 4 3" xfId="1736" xr:uid="{623CEB66-4A6F-4FD5-A5E2-1BF4317A47BF}"/>
    <cellStyle name="Percent 3 3 4 3 10" xfId="18746" xr:uid="{5F292F7D-6AEB-4B8F-B144-34B6D7F15247}"/>
    <cellStyle name="Percent 3 3 4 3 11" xfId="20636" xr:uid="{E5195C0A-EF21-4F4B-B656-C168C48C7168}"/>
    <cellStyle name="Percent 3 3 4 3 12" xfId="22526" xr:uid="{73608607-7FBF-44E7-99B8-DDDDAC11F2D4}"/>
    <cellStyle name="Percent 3 3 4 3 13" xfId="24416" xr:uid="{36D3835C-EC3D-46FC-A2BE-682604E66CF3}"/>
    <cellStyle name="Percent 3 3 4 3 14" xfId="26306" xr:uid="{3C10D5EC-1377-42EC-9B19-E708A1C9287A}"/>
    <cellStyle name="Percent 3 3 4 3 15" xfId="28196" xr:uid="{1293610E-9C8A-44F1-BBF8-6495AA554635}"/>
    <cellStyle name="Percent 3 3 4 3 16" xfId="30086" xr:uid="{8AA98E94-5F60-4D81-9BD9-D9694CE92C24}"/>
    <cellStyle name="Percent 3 3 4 3 17" xfId="31976" xr:uid="{E6959232-0650-457D-9C41-D95EDD5AF227}"/>
    <cellStyle name="Percent 3 3 4 3 18" xfId="33866" xr:uid="{DCB85A8C-3B7E-48E6-95C5-60B202E3BBF2}"/>
    <cellStyle name="Percent 3 3 4 3 19" xfId="35756" xr:uid="{1A3E009E-CAC5-4961-8F90-08860496F645}"/>
    <cellStyle name="Percent 3 3 4 3 2" xfId="3626" xr:uid="{B134F8B9-5ACD-439F-A833-BDD800A2874F}"/>
    <cellStyle name="Percent 3 3 4 3 20" xfId="37646" xr:uid="{62665FEE-E957-4010-9B64-C1600010B8AD}"/>
    <cellStyle name="Percent 3 3 4 3 21" xfId="39536" xr:uid="{915EF416-36D3-4B1A-81E3-F317357CA940}"/>
    <cellStyle name="Percent 3 3 4 3 22" xfId="41427" xr:uid="{901A15ED-A321-4C1D-9D0B-10DE16132040}"/>
    <cellStyle name="Percent 3 3 4 3 3" xfId="5516" xr:uid="{9A739075-EA6D-4266-9270-BD000B37890F}"/>
    <cellStyle name="Percent 3 3 4 3 4" xfId="7406" xr:uid="{46C9147A-6B22-4A20-8ED1-05B7DB5E33F2}"/>
    <cellStyle name="Percent 3 3 4 3 5" xfId="9296" xr:uid="{4A9A17F4-938E-4D23-96D1-30638685528C}"/>
    <cellStyle name="Percent 3 3 4 3 6" xfId="11186" xr:uid="{29E27EA6-4BA4-47D9-BD08-3F922C5188AF}"/>
    <cellStyle name="Percent 3 3 4 3 7" xfId="13076" xr:uid="{1F5FB64D-CBA9-4690-BEA3-E7B235018DD6}"/>
    <cellStyle name="Percent 3 3 4 3 8" xfId="14966" xr:uid="{0378E4CA-FDBB-4937-905B-0998EC34D4DF}"/>
    <cellStyle name="Percent 3 3 4 3 9" xfId="16856" xr:uid="{A50F8AFC-8CAC-4190-A4C9-98CBC1E8493C}"/>
    <cellStyle name="Percent 3 3 4 4" xfId="2366" xr:uid="{8FCCF5F8-3EA0-479A-8BFA-D9E5BA9FAFB1}"/>
    <cellStyle name="Percent 3 3 4 5" xfId="4256" xr:uid="{78938294-4755-4E92-B542-BBB576D4C96F}"/>
    <cellStyle name="Percent 3 3 4 6" xfId="6146" xr:uid="{C7FB2E41-6989-418B-A89A-DE85B174601A}"/>
    <cellStyle name="Percent 3 3 4 7" xfId="8036" xr:uid="{B0E153A7-1A4E-4E27-84C5-AFA930858737}"/>
    <cellStyle name="Percent 3 3 4 8" xfId="9926" xr:uid="{3FD89BA0-59A4-4C42-B026-CB11773602C8}"/>
    <cellStyle name="Percent 3 3 4 9" xfId="11816" xr:uid="{E0D73C0A-0670-457A-AE7D-EC7DE7B3A62E}"/>
    <cellStyle name="Percent 3 3 5" xfId="686" xr:uid="{522DC74C-2562-4A17-AE80-8439D756274A}"/>
    <cellStyle name="Percent 3 3 5 10" xfId="17696" xr:uid="{7D44621A-4053-4C49-9F7B-1CEB540C11C9}"/>
    <cellStyle name="Percent 3 3 5 11" xfId="19586" xr:uid="{94B913D6-E7DB-4886-9876-774A882CD3F3}"/>
    <cellStyle name="Percent 3 3 5 12" xfId="21476" xr:uid="{5CE2EE77-F5B0-45E9-B8D0-BA2E51726BEE}"/>
    <cellStyle name="Percent 3 3 5 13" xfId="23366" xr:uid="{A572A059-D368-45DA-BADA-66E29FB934B8}"/>
    <cellStyle name="Percent 3 3 5 14" xfId="25256" xr:uid="{51D72418-6683-4BA0-B028-89E8DBC7C307}"/>
    <cellStyle name="Percent 3 3 5 15" xfId="27146" xr:uid="{A4715A42-022E-4851-BE58-A3EF920F0134}"/>
    <cellStyle name="Percent 3 3 5 16" xfId="29036" xr:uid="{485FE195-757A-4AEB-89B9-4B33D2768891}"/>
    <cellStyle name="Percent 3 3 5 17" xfId="30926" xr:uid="{ABC5C3DB-E41C-46D4-9663-568EC7E99A30}"/>
    <cellStyle name="Percent 3 3 5 18" xfId="32816" xr:uid="{E2E779A0-CC68-4E5A-BE88-BC8AAE9CC437}"/>
    <cellStyle name="Percent 3 3 5 19" xfId="34706" xr:uid="{FBF6103E-FE72-4432-BD90-42490C6FD14F}"/>
    <cellStyle name="Percent 3 3 5 2" xfId="2576" xr:uid="{6612A8A1-5A82-4FD2-972C-9A1E2D120707}"/>
    <cellStyle name="Percent 3 3 5 20" xfId="36596" xr:uid="{E5B8B600-9289-479E-BDFB-464B2679C21C}"/>
    <cellStyle name="Percent 3 3 5 21" xfId="38486" xr:uid="{E5073CA6-1185-4F2D-B920-902ED9AE3C15}"/>
    <cellStyle name="Percent 3 3 5 22" xfId="40377" xr:uid="{2E09502A-200C-4845-96A2-C5895F687E9C}"/>
    <cellStyle name="Percent 3 3 5 3" xfId="4466" xr:uid="{D4F651C3-CAF0-4699-9AD9-C33E056D01D0}"/>
    <cellStyle name="Percent 3 3 5 4" xfId="6356" xr:uid="{4EEBDEB2-63EA-47C5-B8E5-4CF44D5A1FBB}"/>
    <cellStyle name="Percent 3 3 5 5" xfId="8246" xr:uid="{CF0E4536-2CFF-4C7A-A139-AB2F16133C51}"/>
    <cellStyle name="Percent 3 3 5 6" xfId="10136" xr:uid="{4723544E-AECA-442B-BDF7-B0DA26DE7083}"/>
    <cellStyle name="Percent 3 3 5 7" xfId="12026" xr:uid="{4023EDFE-E699-497D-9FBE-D02E5AA91814}"/>
    <cellStyle name="Percent 3 3 5 8" xfId="13916" xr:uid="{081B8011-51EB-40C5-A66E-2E785BE7E8D1}"/>
    <cellStyle name="Percent 3 3 5 9" xfId="15806" xr:uid="{FED044AD-2D80-46B5-87C4-99F97767A90A}"/>
    <cellStyle name="Percent 3 3 6" xfId="1316" xr:uid="{15E230DC-5D48-4418-A5E2-62F47D0A5A78}"/>
    <cellStyle name="Percent 3 3 6 10" xfId="18326" xr:uid="{3E4366DB-9412-4F39-9769-3D62C18B865B}"/>
    <cellStyle name="Percent 3 3 6 11" xfId="20216" xr:uid="{2784F61E-6B82-4401-81BA-D7351EBD5884}"/>
    <cellStyle name="Percent 3 3 6 12" xfId="22106" xr:uid="{7E3639A5-8553-48E3-B85A-511845DCA349}"/>
    <cellStyle name="Percent 3 3 6 13" xfId="23996" xr:uid="{481798EA-7E2C-4F1F-B922-2A7D75DFBCF6}"/>
    <cellStyle name="Percent 3 3 6 14" xfId="25886" xr:uid="{913091D7-8E8F-424B-B324-E94CE49BA9D0}"/>
    <cellStyle name="Percent 3 3 6 15" xfId="27776" xr:uid="{AF736FDF-D4F4-4727-B8AD-81612A77455F}"/>
    <cellStyle name="Percent 3 3 6 16" xfId="29666" xr:uid="{A37BD8F6-ED30-49C7-A36C-0CE97C1847F7}"/>
    <cellStyle name="Percent 3 3 6 17" xfId="31556" xr:uid="{48AAEA23-8EA1-419E-9FCC-F49D670D60C2}"/>
    <cellStyle name="Percent 3 3 6 18" xfId="33446" xr:uid="{3BAC8EB2-2BD0-45B3-8BCE-413C59DCDA28}"/>
    <cellStyle name="Percent 3 3 6 19" xfId="35336" xr:uid="{CE99BCBC-96A5-42E3-A4E2-73202E450645}"/>
    <cellStyle name="Percent 3 3 6 2" xfId="3206" xr:uid="{E6951331-1170-4DFF-B26D-E71ABFBE157E}"/>
    <cellStyle name="Percent 3 3 6 20" xfId="37226" xr:uid="{89FF9E6A-FBC1-4DD7-B473-B717E0A08258}"/>
    <cellStyle name="Percent 3 3 6 21" xfId="39116" xr:uid="{292E5B73-3A95-41FD-B05A-C562FEEDBA26}"/>
    <cellStyle name="Percent 3 3 6 22" xfId="41007" xr:uid="{40F13D3D-DB79-4321-B3F8-CEDE576BC9B1}"/>
    <cellStyle name="Percent 3 3 6 3" xfId="5096" xr:uid="{F64058F3-8120-40F3-9FA0-58AADA75D4F1}"/>
    <cellStyle name="Percent 3 3 6 4" xfId="6986" xr:uid="{B590444B-5606-48EC-9A5D-6A95201FF270}"/>
    <cellStyle name="Percent 3 3 6 5" xfId="8876" xr:uid="{19F248E4-A39C-4977-9A94-A45B91AA3E83}"/>
    <cellStyle name="Percent 3 3 6 6" xfId="10766" xr:uid="{B0533D36-2523-4E6D-BBC9-5588257462F2}"/>
    <cellStyle name="Percent 3 3 6 7" xfId="12656" xr:uid="{99909044-A5E0-41BE-AC17-1907919AC741}"/>
    <cellStyle name="Percent 3 3 6 8" xfId="14546" xr:uid="{53E326BD-0828-46E8-AA74-C5ACE3183D7E}"/>
    <cellStyle name="Percent 3 3 6 9" xfId="16436" xr:uid="{4362412E-D13B-4E1C-BC66-236E470008C8}"/>
    <cellStyle name="Percent 3 3 7" xfId="1946" xr:uid="{BC4E766F-2134-40F2-9301-E55BBD1CB2BF}"/>
    <cellStyle name="Percent 3 3 8" xfId="3836" xr:uid="{078506C5-5779-485D-B438-BDC852B72729}"/>
    <cellStyle name="Percent 3 3 9" xfId="5726" xr:uid="{75370CC8-5516-4107-91DC-709FB3D0DC55}"/>
    <cellStyle name="Percent 3 30" xfId="37839" xr:uid="{7B647B9F-8967-455F-88E5-FBEFAD9FD393}"/>
    <cellStyle name="Percent 3 31" xfId="39730" xr:uid="{1C3B65C9-DC33-4E66-B2EE-283B67304A1C}"/>
    <cellStyle name="Percent 3 4" xfId="43" xr:uid="{7DCD6B99-56EC-4DF7-9693-702D5F87119F}"/>
    <cellStyle name="Percent 3 4 10" xfId="7625" xr:uid="{56BB4612-90FD-4BCE-A3C8-979C6C6F88FC}"/>
    <cellStyle name="Percent 3 4 11" xfId="9515" xr:uid="{37BCDA70-592E-431A-987B-81EA96411494}"/>
    <cellStyle name="Percent 3 4 12" xfId="11405" xr:uid="{3AA20A1D-48B5-4856-A81F-A49A5EAD8754}"/>
    <cellStyle name="Percent 3 4 13" xfId="13295" xr:uid="{532D0694-8A56-43BE-AEDC-BAB8011745AC}"/>
    <cellStyle name="Percent 3 4 14" xfId="15185" xr:uid="{2CDD3415-62CD-4702-BF3F-9C17C51E8FE7}"/>
    <cellStyle name="Percent 3 4 15" xfId="17075" xr:uid="{7DCB78D3-FE8A-4710-9E3E-1FA04503A876}"/>
    <cellStyle name="Percent 3 4 16" xfId="18965" xr:uid="{048F9C15-302C-4950-88FA-610535353B55}"/>
    <cellStyle name="Percent 3 4 17" xfId="20855" xr:uid="{D401A730-2C54-495B-B059-7A148A60FFBD}"/>
    <cellStyle name="Percent 3 4 18" xfId="22745" xr:uid="{1A049986-1594-4FCC-9E85-C8CE4A8EFF64}"/>
    <cellStyle name="Percent 3 4 19" xfId="24635" xr:uid="{9CE0C06C-263D-4C88-9A7A-C230390DD137}"/>
    <cellStyle name="Percent 3 4 2" xfId="170" xr:uid="{54D10904-50AD-41EF-AD4E-0FA4350D07CF}"/>
    <cellStyle name="Percent 3 4 2 10" xfId="9620" xr:uid="{89BB2FBE-8333-4613-B6EC-FB49C2CCE38A}"/>
    <cellStyle name="Percent 3 4 2 11" xfId="11510" xr:uid="{E7CEB3A9-59D4-4D72-B7EA-C0B574CB5D8C}"/>
    <cellStyle name="Percent 3 4 2 12" xfId="13400" xr:uid="{015E51CA-241B-4C7E-A594-5D624F58F6DD}"/>
    <cellStyle name="Percent 3 4 2 13" xfId="15290" xr:uid="{114514E4-FC3C-45EA-94D6-1B484E590747}"/>
    <cellStyle name="Percent 3 4 2 14" xfId="17180" xr:uid="{CB9149F4-6EC5-4134-BFDB-1FE5B796BAEC}"/>
    <cellStyle name="Percent 3 4 2 15" xfId="19070" xr:uid="{F326191C-BADB-4D17-BB67-D83E5C194DC2}"/>
    <cellStyle name="Percent 3 4 2 16" xfId="20960" xr:uid="{E22EAB67-D770-487D-9AD0-49C9726DDA61}"/>
    <cellStyle name="Percent 3 4 2 17" xfId="22850" xr:uid="{BAB7850F-2FDF-4406-8D2C-422F61E072D2}"/>
    <cellStyle name="Percent 3 4 2 18" xfId="24740" xr:uid="{0015942E-4E49-4066-AE1B-21461B89AFB8}"/>
    <cellStyle name="Percent 3 4 2 19" xfId="26630" xr:uid="{10D9F306-ADED-4AC2-9034-0A9FB26B937D}"/>
    <cellStyle name="Percent 3 4 2 2" xfId="380" xr:uid="{BA7DE061-6BC7-4BEF-9F1D-2D6A57D69193}"/>
    <cellStyle name="Percent 3 4 2 2 10" xfId="13610" xr:uid="{62C5C456-5D47-4B92-B310-CD5B85F2674C}"/>
    <cellStyle name="Percent 3 4 2 2 11" xfId="15500" xr:uid="{612FFF72-C620-42C5-BBBB-0241E34852C9}"/>
    <cellStyle name="Percent 3 4 2 2 12" xfId="17390" xr:uid="{AEFB364C-0DB5-4726-B745-9704B52A45F7}"/>
    <cellStyle name="Percent 3 4 2 2 13" xfId="19280" xr:uid="{1CD03DF0-0866-460F-9EFA-0EAB31FB6A00}"/>
    <cellStyle name="Percent 3 4 2 2 14" xfId="21170" xr:uid="{076A77A9-D555-45E2-91D9-77FA863249AF}"/>
    <cellStyle name="Percent 3 4 2 2 15" xfId="23060" xr:uid="{78CBE168-499C-439B-9E54-1790B3D83C64}"/>
    <cellStyle name="Percent 3 4 2 2 16" xfId="24950" xr:uid="{9AE1B959-155D-4B1C-8F62-E53F0CAD6CAE}"/>
    <cellStyle name="Percent 3 4 2 2 17" xfId="26840" xr:uid="{D3A8827C-C61A-46FA-BDA4-C43081CFF3D8}"/>
    <cellStyle name="Percent 3 4 2 2 18" xfId="28730" xr:uid="{A16CF7EF-7579-43FF-A5C3-BD9250CA7B6E}"/>
    <cellStyle name="Percent 3 4 2 2 19" xfId="30620" xr:uid="{65311BBC-1115-4ADD-99CB-15C76C834D12}"/>
    <cellStyle name="Percent 3 4 2 2 2" xfId="1010" xr:uid="{F887DD23-22E2-4DEA-B850-88CA4A2C42B5}"/>
    <cellStyle name="Percent 3 4 2 2 2 10" xfId="18020" xr:uid="{3A47C6B4-7FD8-46F6-880C-786C99B79795}"/>
    <cellStyle name="Percent 3 4 2 2 2 11" xfId="19910" xr:uid="{776763DB-D748-4611-AE6D-FD1DD097B44B}"/>
    <cellStyle name="Percent 3 4 2 2 2 12" xfId="21800" xr:uid="{6EE15BF7-6E53-4B3B-B45E-80220C138470}"/>
    <cellStyle name="Percent 3 4 2 2 2 13" xfId="23690" xr:uid="{02605F49-CF25-436E-9225-0B75142F7DDD}"/>
    <cellStyle name="Percent 3 4 2 2 2 14" xfId="25580" xr:uid="{90A2B19B-2854-481C-922D-27DEECCD6ACE}"/>
    <cellStyle name="Percent 3 4 2 2 2 15" xfId="27470" xr:uid="{E8D1A049-52C0-4FC1-807F-CF3F82844C53}"/>
    <cellStyle name="Percent 3 4 2 2 2 16" xfId="29360" xr:uid="{CAAF23F4-CB64-4E95-A171-76749B4039B3}"/>
    <cellStyle name="Percent 3 4 2 2 2 17" xfId="31250" xr:uid="{DA554075-7235-4BE3-9818-4F8E2EEF3605}"/>
    <cellStyle name="Percent 3 4 2 2 2 18" xfId="33140" xr:uid="{085449DC-8BE7-42BC-B567-F2DFACC65B1F}"/>
    <cellStyle name="Percent 3 4 2 2 2 19" xfId="35030" xr:uid="{ACB1A01B-0195-4B02-A662-C97CDB8D0C19}"/>
    <cellStyle name="Percent 3 4 2 2 2 2" xfId="2900" xr:uid="{120E69F4-FD42-46DC-B514-8CF2CF9B7C38}"/>
    <cellStyle name="Percent 3 4 2 2 2 20" xfId="36920" xr:uid="{461A3BDB-4C14-4653-8FD8-B4967E006769}"/>
    <cellStyle name="Percent 3 4 2 2 2 21" xfId="38810" xr:uid="{D49B66AE-1228-4B86-A972-2A4A2BCC3947}"/>
    <cellStyle name="Percent 3 4 2 2 2 22" xfId="40701" xr:uid="{CDAB530C-9132-47F8-980D-335D777117DD}"/>
    <cellStyle name="Percent 3 4 2 2 2 3" xfId="4790" xr:uid="{3EA909F4-BCD5-4A7F-9BC0-6E8CFFBF0644}"/>
    <cellStyle name="Percent 3 4 2 2 2 4" xfId="6680" xr:uid="{F478271D-63E9-4984-978A-E2F5EC71C5AE}"/>
    <cellStyle name="Percent 3 4 2 2 2 5" xfId="8570" xr:uid="{1B2B1A75-FDD0-4757-A2A4-A35052FD7C3E}"/>
    <cellStyle name="Percent 3 4 2 2 2 6" xfId="10460" xr:uid="{15209592-048F-4A51-9B31-35A85C19F560}"/>
    <cellStyle name="Percent 3 4 2 2 2 7" xfId="12350" xr:uid="{42BE7D93-DEE5-4FC0-AD3E-3A4FC17B4D9B}"/>
    <cellStyle name="Percent 3 4 2 2 2 8" xfId="14240" xr:uid="{E475B1C8-2E95-4B04-9D3E-3ADDCBED9C64}"/>
    <cellStyle name="Percent 3 4 2 2 2 9" xfId="16130" xr:uid="{29E9F25C-A78A-4109-B678-B8600C6FB2E2}"/>
    <cellStyle name="Percent 3 4 2 2 20" xfId="32510" xr:uid="{9D3264AC-6FC7-49E9-8818-7AE6C583BDEF}"/>
    <cellStyle name="Percent 3 4 2 2 21" xfId="34400" xr:uid="{3F94D435-4004-4AA6-9C0F-E6BE42F2D311}"/>
    <cellStyle name="Percent 3 4 2 2 22" xfId="36290" xr:uid="{1275A28A-F090-4A04-8343-79DBE36E23AA}"/>
    <cellStyle name="Percent 3 4 2 2 23" xfId="38180" xr:uid="{A37B38B6-5E1A-4297-89F1-D57FCF2AA8EA}"/>
    <cellStyle name="Percent 3 4 2 2 24" xfId="40071" xr:uid="{23F6A530-DCF3-4BCA-8AEB-580CCE7EC053}"/>
    <cellStyle name="Percent 3 4 2 2 3" xfId="1640" xr:uid="{9F18AF0C-309B-46F6-A02F-24E14CD7DD23}"/>
    <cellStyle name="Percent 3 4 2 2 3 10" xfId="18650" xr:uid="{28BCF686-1456-4A0B-A38E-930FB73B7EC5}"/>
    <cellStyle name="Percent 3 4 2 2 3 11" xfId="20540" xr:uid="{DB69E367-4E57-4E1F-A2BE-D117F5211A56}"/>
    <cellStyle name="Percent 3 4 2 2 3 12" xfId="22430" xr:uid="{E36D0E44-D5D6-4942-A1CD-1E243072B229}"/>
    <cellStyle name="Percent 3 4 2 2 3 13" xfId="24320" xr:uid="{E4277328-2E72-407E-8A45-F00612DEF7FA}"/>
    <cellStyle name="Percent 3 4 2 2 3 14" xfId="26210" xr:uid="{3B8C201F-5EE3-4755-8421-AA182BE68384}"/>
    <cellStyle name="Percent 3 4 2 2 3 15" xfId="28100" xr:uid="{A44EF92F-F0D9-4C57-9A48-296529E984E1}"/>
    <cellStyle name="Percent 3 4 2 2 3 16" xfId="29990" xr:uid="{26859ABB-371B-4DE0-AEA5-B16DCA3D4BEC}"/>
    <cellStyle name="Percent 3 4 2 2 3 17" xfId="31880" xr:uid="{EA7AF6A2-45C7-45BA-970C-E34FC51A5251}"/>
    <cellStyle name="Percent 3 4 2 2 3 18" xfId="33770" xr:uid="{48692008-59FD-4507-BB0B-8792CB1FD99C}"/>
    <cellStyle name="Percent 3 4 2 2 3 19" xfId="35660" xr:uid="{CFC78BF2-1E6F-4081-BA05-7BC3F2103D64}"/>
    <cellStyle name="Percent 3 4 2 2 3 2" xfId="3530" xr:uid="{9A381928-B426-47C1-9820-00911FE21C36}"/>
    <cellStyle name="Percent 3 4 2 2 3 20" xfId="37550" xr:uid="{C9042797-ACB2-4CCF-BF91-8855DA85E2DB}"/>
    <cellStyle name="Percent 3 4 2 2 3 21" xfId="39440" xr:uid="{836931F9-15F9-4D69-A048-1C93B279DEEA}"/>
    <cellStyle name="Percent 3 4 2 2 3 22" xfId="41331" xr:uid="{4AF58998-AE75-4D79-85CC-E34B077E1CF2}"/>
    <cellStyle name="Percent 3 4 2 2 3 3" xfId="5420" xr:uid="{242BFE11-545C-413B-8F6F-866783F36D1E}"/>
    <cellStyle name="Percent 3 4 2 2 3 4" xfId="7310" xr:uid="{1F24A2FA-97C1-4C81-ADF9-218E50275A35}"/>
    <cellStyle name="Percent 3 4 2 2 3 5" xfId="9200" xr:uid="{A6DB8251-9330-4161-B2B3-7093AA23A6BF}"/>
    <cellStyle name="Percent 3 4 2 2 3 6" xfId="11090" xr:uid="{08090536-385E-4050-89EA-4277F0DC2EFF}"/>
    <cellStyle name="Percent 3 4 2 2 3 7" xfId="12980" xr:uid="{0521BA78-4CF3-49DA-9866-D449A8F8DB29}"/>
    <cellStyle name="Percent 3 4 2 2 3 8" xfId="14870" xr:uid="{A6E8EF4B-993E-43C7-BFB4-C91CA4C941BE}"/>
    <cellStyle name="Percent 3 4 2 2 3 9" xfId="16760" xr:uid="{C5AB1B55-5CAE-4ECE-95F8-3A9EB347EF52}"/>
    <cellStyle name="Percent 3 4 2 2 4" xfId="2270" xr:uid="{81C99F89-22F3-4B28-9D37-54BEAEB69782}"/>
    <cellStyle name="Percent 3 4 2 2 5" xfId="4160" xr:uid="{2562848D-F920-4275-8367-360B6DFD0A31}"/>
    <cellStyle name="Percent 3 4 2 2 6" xfId="6050" xr:uid="{FF66E5AF-838C-4E9C-9DD5-9A690A846AF1}"/>
    <cellStyle name="Percent 3 4 2 2 7" xfId="7940" xr:uid="{AA967493-6C4B-4FAF-98F4-1976B1AEB7ED}"/>
    <cellStyle name="Percent 3 4 2 2 8" xfId="9830" xr:uid="{6F5B880A-1057-4F38-B134-278ABDDA3F41}"/>
    <cellStyle name="Percent 3 4 2 2 9" xfId="11720" xr:uid="{AE17E55E-0B94-4D8A-86AD-DE3FA1161D19}"/>
    <cellStyle name="Percent 3 4 2 20" xfId="28520" xr:uid="{70DDA1CA-2FD0-4208-94F2-7F42FE633FB3}"/>
    <cellStyle name="Percent 3 4 2 21" xfId="30410" xr:uid="{039FB157-3A0D-4CBE-B31B-F2AC653DB265}"/>
    <cellStyle name="Percent 3 4 2 22" xfId="32300" xr:uid="{B4E7387A-F60F-42A5-BC9F-F7B6A8332B1D}"/>
    <cellStyle name="Percent 3 4 2 23" xfId="34190" xr:uid="{A2F8B96E-01B4-473B-9443-E2F50E03F58B}"/>
    <cellStyle name="Percent 3 4 2 24" xfId="36080" xr:uid="{D03B0289-93CB-421A-8EB8-E05301175D12}"/>
    <cellStyle name="Percent 3 4 2 25" xfId="37970" xr:uid="{CAA16124-0EB9-4CE5-93B4-5C1282C6716A}"/>
    <cellStyle name="Percent 3 4 2 26" xfId="39861" xr:uid="{5C26E148-E47B-4A4D-8C51-D4CB348D3B36}"/>
    <cellStyle name="Percent 3 4 2 3" xfId="590" xr:uid="{861967B6-CB1D-4EBD-8747-AD48AC77D9BE}"/>
    <cellStyle name="Percent 3 4 2 3 10" xfId="13820" xr:uid="{76CD633E-B13D-40B4-9C92-705B4A0C5C31}"/>
    <cellStyle name="Percent 3 4 2 3 11" xfId="15710" xr:uid="{35C4D59B-2AD4-4B70-BE58-FBD75869DA96}"/>
    <cellStyle name="Percent 3 4 2 3 12" xfId="17600" xr:uid="{3B623609-D68F-496F-82D1-4B9993AE6410}"/>
    <cellStyle name="Percent 3 4 2 3 13" xfId="19490" xr:uid="{B4166164-5084-4633-B054-0E1CC81759FE}"/>
    <cellStyle name="Percent 3 4 2 3 14" xfId="21380" xr:uid="{7B89CB54-0B45-427B-8D10-9D33DF28AC50}"/>
    <cellStyle name="Percent 3 4 2 3 15" xfId="23270" xr:uid="{3D4627AE-3FC5-479F-88D4-A69B19E80236}"/>
    <cellStyle name="Percent 3 4 2 3 16" xfId="25160" xr:uid="{C8783F36-2131-4D93-B972-CCDC28915CAC}"/>
    <cellStyle name="Percent 3 4 2 3 17" xfId="27050" xr:uid="{28987A44-2D32-4A4C-AF41-027EAFC0F415}"/>
    <cellStyle name="Percent 3 4 2 3 18" xfId="28940" xr:uid="{690D7D48-6D97-483E-AB17-0394900F74B4}"/>
    <cellStyle name="Percent 3 4 2 3 19" xfId="30830" xr:uid="{623B1FF9-8843-4BFB-B12D-25C43D9E010D}"/>
    <cellStyle name="Percent 3 4 2 3 2" xfId="1220" xr:uid="{D06128FB-ABD2-4195-A48B-37B4659B5B9D}"/>
    <cellStyle name="Percent 3 4 2 3 2 10" xfId="18230" xr:uid="{36EEAF18-9A61-4DD5-B5A3-49FE1C34C291}"/>
    <cellStyle name="Percent 3 4 2 3 2 11" xfId="20120" xr:uid="{989F73B9-8629-4C24-9757-8119EAB53851}"/>
    <cellStyle name="Percent 3 4 2 3 2 12" xfId="22010" xr:uid="{4E76552E-14A5-43B3-92A6-DBA3B1A746A6}"/>
    <cellStyle name="Percent 3 4 2 3 2 13" xfId="23900" xr:uid="{DEB6F499-B7C8-448B-959E-59A938E3B7D9}"/>
    <cellStyle name="Percent 3 4 2 3 2 14" xfId="25790" xr:uid="{D72F5AB3-9C0C-41E3-B5D4-AC400F5BF621}"/>
    <cellStyle name="Percent 3 4 2 3 2 15" xfId="27680" xr:uid="{A2A17B5B-9DD0-4721-95CD-5687FE7F4A6E}"/>
    <cellStyle name="Percent 3 4 2 3 2 16" xfId="29570" xr:uid="{F4395F45-4AE7-4DD0-B283-C7B338744FA4}"/>
    <cellStyle name="Percent 3 4 2 3 2 17" xfId="31460" xr:uid="{42D5CAE2-45A0-4FE2-B693-FD87832B2B15}"/>
    <cellStyle name="Percent 3 4 2 3 2 18" xfId="33350" xr:uid="{CC778EBB-9C2B-4C91-AB14-518D05AFE41B}"/>
    <cellStyle name="Percent 3 4 2 3 2 19" xfId="35240" xr:uid="{2E94577D-20A2-471B-99C0-402559ED9544}"/>
    <cellStyle name="Percent 3 4 2 3 2 2" xfId="3110" xr:uid="{B4C719D2-BA9C-44EB-84F9-25CEFF10A5E0}"/>
    <cellStyle name="Percent 3 4 2 3 2 20" xfId="37130" xr:uid="{7D870262-CF7B-4D00-BBF3-9FB94B266289}"/>
    <cellStyle name="Percent 3 4 2 3 2 21" xfId="39020" xr:uid="{62B5D913-34D0-444A-9393-1960E3316E2D}"/>
    <cellStyle name="Percent 3 4 2 3 2 22" xfId="40911" xr:uid="{BBCF1394-5C6F-4ECE-B128-53A47E8E63F7}"/>
    <cellStyle name="Percent 3 4 2 3 2 3" xfId="5000" xr:uid="{1D10CA3B-8736-46F9-BACD-548F9E413E87}"/>
    <cellStyle name="Percent 3 4 2 3 2 4" xfId="6890" xr:uid="{D6401C9B-EB49-4585-A05C-FE22DB2D5D17}"/>
    <cellStyle name="Percent 3 4 2 3 2 5" xfId="8780" xr:uid="{B26D8729-117D-4EE4-8F78-4E214A7B843C}"/>
    <cellStyle name="Percent 3 4 2 3 2 6" xfId="10670" xr:uid="{AE96AE3F-DD28-4F58-BE97-B5B56533D426}"/>
    <cellStyle name="Percent 3 4 2 3 2 7" xfId="12560" xr:uid="{B48D1C27-3B4F-48F8-9CB5-31E30B7D8A12}"/>
    <cellStyle name="Percent 3 4 2 3 2 8" xfId="14450" xr:uid="{6A16887C-CD41-4AFC-963F-77353B3DDE1B}"/>
    <cellStyle name="Percent 3 4 2 3 2 9" xfId="16340" xr:uid="{EFB3FCED-2150-45D0-BE69-B7448FE7B93A}"/>
    <cellStyle name="Percent 3 4 2 3 20" xfId="32720" xr:uid="{ED8D0FFE-135F-4615-B074-6C05B7D5BF1E}"/>
    <cellStyle name="Percent 3 4 2 3 21" xfId="34610" xr:uid="{A1313CDA-B9C6-48B1-9C3E-3CB1F3911539}"/>
    <cellStyle name="Percent 3 4 2 3 22" xfId="36500" xr:uid="{E115F8D7-7D17-43DA-A099-9FF1735F156C}"/>
    <cellStyle name="Percent 3 4 2 3 23" xfId="38390" xr:uid="{28C38BC1-A134-4FFF-979E-4CA074D5FD94}"/>
    <cellStyle name="Percent 3 4 2 3 24" xfId="40281" xr:uid="{F80A19F6-5DC1-4747-9274-DC6AE0E1C6F9}"/>
    <cellStyle name="Percent 3 4 2 3 3" xfId="1850" xr:uid="{9F2223AA-2EB6-4D9C-A9C5-6209A4A12B06}"/>
    <cellStyle name="Percent 3 4 2 3 3 10" xfId="18860" xr:uid="{2BEA8844-E175-46EC-A1F4-497EEC2DBC9E}"/>
    <cellStyle name="Percent 3 4 2 3 3 11" xfId="20750" xr:uid="{97135B24-4C7D-4DE3-9398-DF0A25A974B3}"/>
    <cellStyle name="Percent 3 4 2 3 3 12" xfId="22640" xr:uid="{535D1B55-F473-4BFB-8A3B-A01BA9E0E9EA}"/>
    <cellStyle name="Percent 3 4 2 3 3 13" xfId="24530" xr:uid="{EB41D15F-D1EA-4C14-B3BE-89DA3672EEEA}"/>
    <cellStyle name="Percent 3 4 2 3 3 14" xfId="26420" xr:uid="{EAA662A5-9236-4F13-B7DF-0F53E83993A9}"/>
    <cellStyle name="Percent 3 4 2 3 3 15" xfId="28310" xr:uid="{24BAA873-1B79-48CB-AE77-36C277A7F874}"/>
    <cellStyle name="Percent 3 4 2 3 3 16" xfId="30200" xr:uid="{297B1F7F-1C32-4A98-9CA9-A7C003DF53E9}"/>
    <cellStyle name="Percent 3 4 2 3 3 17" xfId="32090" xr:uid="{A0E67564-8B0F-4A88-95EB-BE0D55074F67}"/>
    <cellStyle name="Percent 3 4 2 3 3 18" xfId="33980" xr:uid="{977C8871-7DBB-410D-AE09-E69425071FCE}"/>
    <cellStyle name="Percent 3 4 2 3 3 19" xfId="35870" xr:uid="{AAB13AB2-114E-4717-8948-E98FBCE054CD}"/>
    <cellStyle name="Percent 3 4 2 3 3 2" xfId="3740" xr:uid="{23D38FB9-5C0B-4CBD-BA17-5270A2F6FD34}"/>
    <cellStyle name="Percent 3 4 2 3 3 20" xfId="37760" xr:uid="{554F875E-BD64-4304-BBA7-BF57389D2FEF}"/>
    <cellStyle name="Percent 3 4 2 3 3 21" xfId="39650" xr:uid="{C53B58AF-7B56-497F-B96D-55B13348C9ED}"/>
    <cellStyle name="Percent 3 4 2 3 3 22" xfId="41541" xr:uid="{AC162982-C870-42E8-BB4C-EA9820919F40}"/>
    <cellStyle name="Percent 3 4 2 3 3 3" xfId="5630" xr:uid="{AB3F754E-B12D-41D5-934C-5A196AB47E43}"/>
    <cellStyle name="Percent 3 4 2 3 3 4" xfId="7520" xr:uid="{73F2BAA1-F088-4A81-B96F-DE5B98839E92}"/>
    <cellStyle name="Percent 3 4 2 3 3 5" xfId="9410" xr:uid="{72F5376A-D645-47D9-A82C-49C0C7560FDE}"/>
    <cellStyle name="Percent 3 4 2 3 3 6" xfId="11300" xr:uid="{9800CA5C-FE89-4E8E-B6C7-3CE5655EB794}"/>
    <cellStyle name="Percent 3 4 2 3 3 7" xfId="13190" xr:uid="{8D454100-0965-4C86-90DE-9713255078C9}"/>
    <cellStyle name="Percent 3 4 2 3 3 8" xfId="15080" xr:uid="{02B6CC2E-4026-4CA6-9AF5-8E28D66CD4A6}"/>
    <cellStyle name="Percent 3 4 2 3 3 9" xfId="16970" xr:uid="{3D618685-21A8-482C-8AB3-8670FFBB93F4}"/>
    <cellStyle name="Percent 3 4 2 3 4" xfId="2480" xr:uid="{DE2A3320-0529-4D50-A530-C57133EEC2D7}"/>
    <cellStyle name="Percent 3 4 2 3 5" xfId="4370" xr:uid="{C0B85834-69D1-4DEB-A44D-001D8DFF7241}"/>
    <cellStyle name="Percent 3 4 2 3 6" xfId="6260" xr:uid="{0D4F7D21-EF18-4907-9180-D1BA3D27429A}"/>
    <cellStyle name="Percent 3 4 2 3 7" xfId="8150" xr:uid="{8AD5743D-92F3-4E88-85B4-B2A7D08287EC}"/>
    <cellStyle name="Percent 3 4 2 3 8" xfId="10040" xr:uid="{43811DB4-6F6D-410D-8204-48C55D82D220}"/>
    <cellStyle name="Percent 3 4 2 3 9" xfId="11930" xr:uid="{D2BFA6D0-8866-4BE0-AFC3-11F4A2E02971}"/>
    <cellStyle name="Percent 3 4 2 4" xfId="800" xr:uid="{F1971525-6666-4F81-B2E8-8DCB0EF15F68}"/>
    <cellStyle name="Percent 3 4 2 4 10" xfId="17810" xr:uid="{75DA8EA3-0972-4B09-B99E-F349F5B1D71A}"/>
    <cellStyle name="Percent 3 4 2 4 11" xfId="19700" xr:uid="{45654DA5-C7C6-492D-AEC7-46C0097AC64C}"/>
    <cellStyle name="Percent 3 4 2 4 12" xfId="21590" xr:uid="{CC2364B7-B125-4756-B959-7F88806434A5}"/>
    <cellStyle name="Percent 3 4 2 4 13" xfId="23480" xr:uid="{96C8C6CC-076F-4777-B844-075797BA49EE}"/>
    <cellStyle name="Percent 3 4 2 4 14" xfId="25370" xr:uid="{7A95009D-29DB-401E-89D6-1630F6C8E6D8}"/>
    <cellStyle name="Percent 3 4 2 4 15" xfId="27260" xr:uid="{5ACF8DCB-1DA8-4106-938A-781CF06C0C9A}"/>
    <cellStyle name="Percent 3 4 2 4 16" xfId="29150" xr:uid="{AE7C921B-6AB6-4881-81E9-277AA73E8362}"/>
    <cellStyle name="Percent 3 4 2 4 17" xfId="31040" xr:uid="{722091E5-31CE-44DE-9DF5-83D56411F538}"/>
    <cellStyle name="Percent 3 4 2 4 18" xfId="32930" xr:uid="{65509C66-6165-47AC-BF4E-5CF3CDB88988}"/>
    <cellStyle name="Percent 3 4 2 4 19" xfId="34820" xr:uid="{14CC97FD-FE77-4857-87EB-0FD756FE325B}"/>
    <cellStyle name="Percent 3 4 2 4 2" xfId="2690" xr:uid="{0C0B25AA-DAA9-4995-83B3-A6ADA4AD76A7}"/>
    <cellStyle name="Percent 3 4 2 4 20" xfId="36710" xr:uid="{206A097C-7590-4821-8E4C-75462700A71C}"/>
    <cellStyle name="Percent 3 4 2 4 21" xfId="38600" xr:uid="{2646B782-7688-498B-A273-F03FC2EB18E8}"/>
    <cellStyle name="Percent 3 4 2 4 22" xfId="40491" xr:uid="{FED7B59C-BA42-4DB4-81A5-394699BDBD13}"/>
    <cellStyle name="Percent 3 4 2 4 3" xfId="4580" xr:uid="{1D9AEC64-1236-444C-9804-B8C1DBA4CE94}"/>
    <cellStyle name="Percent 3 4 2 4 4" xfId="6470" xr:uid="{0106A7A6-D641-4AFB-B96B-64443F8EDA63}"/>
    <cellStyle name="Percent 3 4 2 4 5" xfId="8360" xr:uid="{48513475-FAD5-4355-9D55-F119F036B529}"/>
    <cellStyle name="Percent 3 4 2 4 6" xfId="10250" xr:uid="{93A151C7-73C9-46E0-8113-E0372D3CAE88}"/>
    <cellStyle name="Percent 3 4 2 4 7" xfId="12140" xr:uid="{152EAE31-A50D-4245-B72E-AD84543A43C7}"/>
    <cellStyle name="Percent 3 4 2 4 8" xfId="14030" xr:uid="{771F3F4B-66D1-47CB-BF3B-E5E3A9A92EB9}"/>
    <cellStyle name="Percent 3 4 2 4 9" xfId="15920" xr:uid="{DABFE0A9-BD9C-4885-A64C-1810952AA114}"/>
    <cellStyle name="Percent 3 4 2 5" xfId="1430" xr:uid="{42D86A0F-B1A7-48F8-975A-9CECD74163C8}"/>
    <cellStyle name="Percent 3 4 2 5 10" xfId="18440" xr:uid="{641791AC-DFE6-4BE2-88BB-34557AE0BE03}"/>
    <cellStyle name="Percent 3 4 2 5 11" xfId="20330" xr:uid="{ACFA7A53-70F0-4B48-ACBF-917C58E2129A}"/>
    <cellStyle name="Percent 3 4 2 5 12" xfId="22220" xr:uid="{2D0AE558-241F-4ABE-805C-A456855CADCF}"/>
    <cellStyle name="Percent 3 4 2 5 13" xfId="24110" xr:uid="{A98D3A10-8DA4-4813-93E4-747540211B14}"/>
    <cellStyle name="Percent 3 4 2 5 14" xfId="26000" xr:uid="{B0F95A45-FCFF-40CE-80AC-71A93C2EF60C}"/>
    <cellStyle name="Percent 3 4 2 5 15" xfId="27890" xr:uid="{D35F2DA3-EC75-406C-A56C-B698C8CCA5DB}"/>
    <cellStyle name="Percent 3 4 2 5 16" xfId="29780" xr:uid="{2D353421-1116-4E81-8AB1-95264BB6B192}"/>
    <cellStyle name="Percent 3 4 2 5 17" xfId="31670" xr:uid="{53658FB2-B804-4446-930F-E3B90C1FF128}"/>
    <cellStyle name="Percent 3 4 2 5 18" xfId="33560" xr:uid="{59C77673-10DB-43C2-873C-0FC9672D00FE}"/>
    <cellStyle name="Percent 3 4 2 5 19" xfId="35450" xr:uid="{767D8753-99A0-45B0-BE07-FCA64C6C35B6}"/>
    <cellStyle name="Percent 3 4 2 5 2" xfId="3320" xr:uid="{46B90D99-8705-44B2-8700-5290483272F8}"/>
    <cellStyle name="Percent 3 4 2 5 20" xfId="37340" xr:uid="{35B66102-95DD-42D7-8130-0C97334EC08A}"/>
    <cellStyle name="Percent 3 4 2 5 21" xfId="39230" xr:uid="{762A9DE9-A2FA-4889-B259-634D2983E68A}"/>
    <cellStyle name="Percent 3 4 2 5 22" xfId="41121" xr:uid="{DDC31487-AD93-4312-AA29-3FA81516CD26}"/>
    <cellStyle name="Percent 3 4 2 5 3" xfId="5210" xr:uid="{F6882E3A-2EA0-4DC1-B5DA-C405B4C7DA46}"/>
    <cellStyle name="Percent 3 4 2 5 4" xfId="7100" xr:uid="{4D6CB820-7FE7-4990-89BB-631D5CC62C8E}"/>
    <cellStyle name="Percent 3 4 2 5 5" xfId="8990" xr:uid="{5B5984DC-1DEE-4A04-B41C-BC2A5D6C9387}"/>
    <cellStyle name="Percent 3 4 2 5 6" xfId="10880" xr:uid="{6BB067B9-78C1-40CC-9D58-F4F09CBC209B}"/>
    <cellStyle name="Percent 3 4 2 5 7" xfId="12770" xr:uid="{445AAD94-5037-4C67-BC62-18EB8D1B3DD8}"/>
    <cellStyle name="Percent 3 4 2 5 8" xfId="14660" xr:uid="{18582B43-148B-489C-9969-019BD4C7AB94}"/>
    <cellStyle name="Percent 3 4 2 5 9" xfId="16550" xr:uid="{ED014E6C-C287-414F-85DB-DD8A9C5B3276}"/>
    <cellStyle name="Percent 3 4 2 6" xfId="2060" xr:uid="{A641D799-C673-43D8-9D37-ACEAC2B8637A}"/>
    <cellStyle name="Percent 3 4 2 7" xfId="3950" xr:uid="{60E9890F-B228-42E7-A5C4-F019426F028D}"/>
    <cellStyle name="Percent 3 4 2 8" xfId="5840" xr:uid="{315D0DE3-CAB6-4C35-8EA9-E6599B8AF44C}"/>
    <cellStyle name="Percent 3 4 2 9" xfId="7730" xr:uid="{E03D15BF-D992-461D-A834-DC49B89FAD76}"/>
    <cellStyle name="Percent 3 4 20" xfId="26525" xr:uid="{D8E82C80-08B4-401D-A84C-E20DB024732E}"/>
    <cellStyle name="Percent 3 4 21" xfId="28415" xr:uid="{9D4FBBC3-20D9-428E-A87E-5C75374B037B}"/>
    <cellStyle name="Percent 3 4 22" xfId="30305" xr:uid="{33096BF9-980B-4F57-B9C6-28E2700ECDA0}"/>
    <cellStyle name="Percent 3 4 23" xfId="32195" xr:uid="{20934144-C9DC-4F7B-B85E-310891A0E67B}"/>
    <cellStyle name="Percent 3 4 24" xfId="34085" xr:uid="{838C9FB7-CA45-4BC2-A751-216E4CA51A92}"/>
    <cellStyle name="Percent 3 4 25" xfId="35975" xr:uid="{487CA48C-0292-47C4-A32D-2D66AC1B62F4}"/>
    <cellStyle name="Percent 3 4 26" xfId="37865" xr:uid="{DEE9A526-ABF3-43D5-A7C6-772EF485D9AB}"/>
    <cellStyle name="Percent 3 4 27" xfId="39756" xr:uid="{49A5CF7C-3D0B-451F-B1E5-654104AB3349}"/>
    <cellStyle name="Percent 3 4 3" xfId="275" xr:uid="{16CA029A-0E02-448A-ADD5-273478D89F4C}"/>
    <cellStyle name="Percent 3 4 3 10" xfId="13505" xr:uid="{C093182F-1F99-4576-A037-86CAB7D290E8}"/>
    <cellStyle name="Percent 3 4 3 11" xfId="15395" xr:uid="{D25BCCA1-E2C0-4003-A3A1-745778E67F55}"/>
    <cellStyle name="Percent 3 4 3 12" xfId="17285" xr:uid="{8D69FD43-ADE9-4A1B-87E5-279E65887772}"/>
    <cellStyle name="Percent 3 4 3 13" xfId="19175" xr:uid="{E3EFFD70-6B08-47E4-AE11-42C7EFAFD0F3}"/>
    <cellStyle name="Percent 3 4 3 14" xfId="21065" xr:uid="{661BB43D-F528-40F0-B2A0-521D08BC69B1}"/>
    <cellStyle name="Percent 3 4 3 15" xfId="22955" xr:uid="{F425D18C-A135-4357-80F6-EB125D581393}"/>
    <cellStyle name="Percent 3 4 3 16" xfId="24845" xr:uid="{8F4DAFEB-AE22-48A4-B9F2-1CD6C2BC8174}"/>
    <cellStyle name="Percent 3 4 3 17" xfId="26735" xr:uid="{B583C6C3-2B24-438D-97EB-6BF10D5C790A}"/>
    <cellStyle name="Percent 3 4 3 18" xfId="28625" xr:uid="{7401F891-54C7-4D46-8C7D-A578D9AC0F51}"/>
    <cellStyle name="Percent 3 4 3 19" xfId="30515" xr:uid="{EA2E6536-7E4F-4749-BDD1-340121900D35}"/>
    <cellStyle name="Percent 3 4 3 2" xfId="905" xr:uid="{43B41815-A2CB-4BEE-8C14-66440039AC4A}"/>
    <cellStyle name="Percent 3 4 3 2 10" xfId="17915" xr:uid="{DDECDE01-E88A-4B7E-9FC4-D57C9B90D50C}"/>
    <cellStyle name="Percent 3 4 3 2 11" xfId="19805" xr:uid="{0FF9690C-5523-4CF2-8DE5-AB33EEB03CAF}"/>
    <cellStyle name="Percent 3 4 3 2 12" xfId="21695" xr:uid="{6E61ACD1-B52D-45EB-B535-C60AE48ADF8C}"/>
    <cellStyle name="Percent 3 4 3 2 13" xfId="23585" xr:uid="{FE638D31-65A2-4824-8A08-0AEF2E977E3A}"/>
    <cellStyle name="Percent 3 4 3 2 14" xfId="25475" xr:uid="{02B93BAF-2B40-446D-92B7-DD6FAFB1DA16}"/>
    <cellStyle name="Percent 3 4 3 2 15" xfId="27365" xr:uid="{13E711AA-C98A-4F81-870D-A850353FB4BC}"/>
    <cellStyle name="Percent 3 4 3 2 16" xfId="29255" xr:uid="{861C8899-AA9B-4822-BDF3-C6659911FDBC}"/>
    <cellStyle name="Percent 3 4 3 2 17" xfId="31145" xr:uid="{1CEEB99D-649B-42A7-84A8-748ACBADCAA8}"/>
    <cellStyle name="Percent 3 4 3 2 18" xfId="33035" xr:uid="{47C56325-A562-4BEF-AD95-A09687F623CF}"/>
    <cellStyle name="Percent 3 4 3 2 19" xfId="34925" xr:uid="{7CED3120-279B-464E-8BE3-A1401E7FC230}"/>
    <cellStyle name="Percent 3 4 3 2 2" xfId="2795" xr:uid="{C34B7F6C-C03B-43FD-BDF0-824A78286479}"/>
    <cellStyle name="Percent 3 4 3 2 20" xfId="36815" xr:uid="{DCF9FBF2-3A64-45C2-976A-A51ACE1CBA03}"/>
    <cellStyle name="Percent 3 4 3 2 21" xfId="38705" xr:uid="{2A5A3F62-99D0-4C2E-A0DF-7B7A7E00CB1C}"/>
    <cellStyle name="Percent 3 4 3 2 22" xfId="40596" xr:uid="{187CF895-A056-4AF8-82CB-3FE559D74936}"/>
    <cellStyle name="Percent 3 4 3 2 3" xfId="4685" xr:uid="{70D2AE50-40FA-4FD4-956A-6DDA580ECA6A}"/>
    <cellStyle name="Percent 3 4 3 2 4" xfId="6575" xr:uid="{91513743-491D-4298-9B07-35813B3A8EE8}"/>
    <cellStyle name="Percent 3 4 3 2 5" xfId="8465" xr:uid="{7C92ACA8-8A4E-49BE-8ABA-7B3677959A9D}"/>
    <cellStyle name="Percent 3 4 3 2 6" xfId="10355" xr:uid="{C7DE4ADE-7501-444A-A674-F81BC658A4B5}"/>
    <cellStyle name="Percent 3 4 3 2 7" xfId="12245" xr:uid="{31C81A71-EF57-497D-8375-B9E529AF3B35}"/>
    <cellStyle name="Percent 3 4 3 2 8" xfId="14135" xr:uid="{602D326D-C019-43B3-A4FF-F6471BE01714}"/>
    <cellStyle name="Percent 3 4 3 2 9" xfId="16025" xr:uid="{D381A291-DC7F-4A23-B818-7C4F3D257E50}"/>
    <cellStyle name="Percent 3 4 3 20" xfId="32405" xr:uid="{B7C9054A-F006-48FC-A979-D1B7B7BD90CB}"/>
    <cellStyle name="Percent 3 4 3 21" xfId="34295" xr:uid="{B3A1C19E-6F4E-4736-918C-5FB738E7A48D}"/>
    <cellStyle name="Percent 3 4 3 22" xfId="36185" xr:uid="{A44553E1-D627-40EA-BDAE-548280111479}"/>
    <cellStyle name="Percent 3 4 3 23" xfId="38075" xr:uid="{3B0F7B2C-FB95-4E24-A8B9-ACF4F03F9FA5}"/>
    <cellStyle name="Percent 3 4 3 24" xfId="39966" xr:uid="{6B36C1A7-9F11-48F2-9B30-009D2C393A26}"/>
    <cellStyle name="Percent 3 4 3 3" xfId="1535" xr:uid="{6595E2A6-57A7-4F49-887C-65FCA3DF1643}"/>
    <cellStyle name="Percent 3 4 3 3 10" xfId="18545" xr:uid="{19EB299C-9594-4F33-82A7-E0B6A1AC23A7}"/>
    <cellStyle name="Percent 3 4 3 3 11" xfId="20435" xr:uid="{924B7793-1965-4B80-BA75-556C70F9C04C}"/>
    <cellStyle name="Percent 3 4 3 3 12" xfId="22325" xr:uid="{AD6E47EE-1ADC-4D18-AED5-C0C39ED77B0A}"/>
    <cellStyle name="Percent 3 4 3 3 13" xfId="24215" xr:uid="{335C1F49-9725-440E-A589-EB74B87D74DC}"/>
    <cellStyle name="Percent 3 4 3 3 14" xfId="26105" xr:uid="{2C808944-FA91-4EB8-989D-3A0B6333A53A}"/>
    <cellStyle name="Percent 3 4 3 3 15" xfId="27995" xr:uid="{774B9AC2-E504-4AF1-8758-652AD3645C52}"/>
    <cellStyle name="Percent 3 4 3 3 16" xfId="29885" xr:uid="{E68CD797-7812-454F-A38F-A61354DCB091}"/>
    <cellStyle name="Percent 3 4 3 3 17" xfId="31775" xr:uid="{3F934C3E-BCC1-47F2-8E6C-8E0A164E4F49}"/>
    <cellStyle name="Percent 3 4 3 3 18" xfId="33665" xr:uid="{EF2EB202-C2DC-40E0-9C6D-EF0B1DABEC83}"/>
    <cellStyle name="Percent 3 4 3 3 19" xfId="35555" xr:uid="{1A62DF0D-97FA-40A8-984C-81A2CCD24E9D}"/>
    <cellStyle name="Percent 3 4 3 3 2" xfId="3425" xr:uid="{6D444338-65F6-4057-A869-547591994B56}"/>
    <cellStyle name="Percent 3 4 3 3 20" xfId="37445" xr:uid="{B301C5EC-1242-4E95-832B-CB7D1F536D8F}"/>
    <cellStyle name="Percent 3 4 3 3 21" xfId="39335" xr:uid="{879FF7AB-4E16-46A6-AAA4-E1FDD86243D4}"/>
    <cellStyle name="Percent 3 4 3 3 22" xfId="41226" xr:uid="{6BFD5923-38D1-4CCD-9C72-E5578B59BB20}"/>
    <cellStyle name="Percent 3 4 3 3 3" xfId="5315" xr:uid="{9B2F0274-860C-4189-B893-2B830B73BC35}"/>
    <cellStyle name="Percent 3 4 3 3 4" xfId="7205" xr:uid="{325E74F7-E877-436C-8454-A42F63E12701}"/>
    <cellStyle name="Percent 3 4 3 3 5" xfId="9095" xr:uid="{D38AE222-8B43-465D-9A86-2732091509F2}"/>
    <cellStyle name="Percent 3 4 3 3 6" xfId="10985" xr:uid="{EA31021F-695F-49AA-A757-41EC67298A34}"/>
    <cellStyle name="Percent 3 4 3 3 7" xfId="12875" xr:uid="{28984E80-5B45-48B0-BC6F-006D3D9CBFEA}"/>
    <cellStyle name="Percent 3 4 3 3 8" xfId="14765" xr:uid="{822D19CF-D4E9-4A8C-BD48-7B58243615EF}"/>
    <cellStyle name="Percent 3 4 3 3 9" xfId="16655" xr:uid="{1CB31303-55B6-4A55-84B1-21B13EDE0C17}"/>
    <cellStyle name="Percent 3 4 3 4" xfId="2165" xr:uid="{F0B3FD03-83EA-4E37-B95B-64374E13A143}"/>
    <cellStyle name="Percent 3 4 3 5" xfId="4055" xr:uid="{143BF956-CE1E-4EDF-97BD-EC1DA8D04A76}"/>
    <cellStyle name="Percent 3 4 3 6" xfId="5945" xr:uid="{9BED9E4A-898D-44DD-B6E8-47C1BDDB878B}"/>
    <cellStyle name="Percent 3 4 3 7" xfId="7835" xr:uid="{BBEC98E0-8FBA-4514-A533-6F8917871CD8}"/>
    <cellStyle name="Percent 3 4 3 8" xfId="9725" xr:uid="{BAB4F40D-2076-4C85-9F1B-86E53E205234}"/>
    <cellStyle name="Percent 3 4 3 9" xfId="11615" xr:uid="{A03D70DD-87C0-4486-98B2-98E2057FD95F}"/>
    <cellStyle name="Percent 3 4 4" xfId="485" xr:uid="{161E3E37-5A23-4F20-8D82-D41411CBFBB0}"/>
    <cellStyle name="Percent 3 4 4 10" xfId="13715" xr:uid="{87000B02-7A9D-4EF2-A138-84F66A9206C9}"/>
    <cellStyle name="Percent 3 4 4 11" xfId="15605" xr:uid="{36020A3B-F459-4C69-89B3-9CBA04C129AD}"/>
    <cellStyle name="Percent 3 4 4 12" xfId="17495" xr:uid="{E92F94B4-685C-424F-AD8B-E7C105A25620}"/>
    <cellStyle name="Percent 3 4 4 13" xfId="19385" xr:uid="{39A26BBF-4D64-4B7F-B869-BA960EEC37EA}"/>
    <cellStyle name="Percent 3 4 4 14" xfId="21275" xr:uid="{3E827C3D-D4F4-41B0-B6F3-71CC1EEC8C01}"/>
    <cellStyle name="Percent 3 4 4 15" xfId="23165" xr:uid="{5BDAE4BA-7767-446E-955B-845FE027AAE0}"/>
    <cellStyle name="Percent 3 4 4 16" xfId="25055" xr:uid="{F7493BB4-926A-4903-A1DD-BC9490E1814A}"/>
    <cellStyle name="Percent 3 4 4 17" xfId="26945" xr:uid="{187DB79D-6BC3-443A-A5AD-8170EA2C0B2F}"/>
    <cellStyle name="Percent 3 4 4 18" xfId="28835" xr:uid="{30C834A6-27A1-4D39-8B16-D6B2EC2AF774}"/>
    <cellStyle name="Percent 3 4 4 19" xfId="30725" xr:uid="{32C64189-7656-483E-B67C-8E425CA4FECE}"/>
    <cellStyle name="Percent 3 4 4 2" xfId="1115" xr:uid="{E356A3CC-D08F-4C9D-BB7B-E235A7A748C0}"/>
    <cellStyle name="Percent 3 4 4 2 10" xfId="18125" xr:uid="{3758F8FE-1B19-4109-A101-FCE3A4199220}"/>
    <cellStyle name="Percent 3 4 4 2 11" xfId="20015" xr:uid="{F4AE0EC6-7A40-49F0-8C6A-C06D83D9F8BB}"/>
    <cellStyle name="Percent 3 4 4 2 12" xfId="21905" xr:uid="{900E3987-48BB-4282-9A02-7159DFA86E90}"/>
    <cellStyle name="Percent 3 4 4 2 13" xfId="23795" xr:uid="{F7E9E751-E136-40BC-A26E-30A8E569684D}"/>
    <cellStyle name="Percent 3 4 4 2 14" xfId="25685" xr:uid="{B5615F84-F243-47E3-8283-B3119AB7B024}"/>
    <cellStyle name="Percent 3 4 4 2 15" xfId="27575" xr:uid="{44121374-8D9E-4189-8A59-C80BE1FE7C2D}"/>
    <cellStyle name="Percent 3 4 4 2 16" xfId="29465" xr:uid="{3429F9DA-DB03-41FF-9F16-E52467062B3E}"/>
    <cellStyle name="Percent 3 4 4 2 17" xfId="31355" xr:uid="{0E4F22DC-3F58-45A3-A242-AED235B97468}"/>
    <cellStyle name="Percent 3 4 4 2 18" xfId="33245" xr:uid="{2D4DFA3B-9403-4E36-94BF-44690590EE10}"/>
    <cellStyle name="Percent 3 4 4 2 19" xfId="35135" xr:uid="{5DC7FB2A-B364-486B-9804-301C7944ED9E}"/>
    <cellStyle name="Percent 3 4 4 2 2" xfId="3005" xr:uid="{AFE6E4B5-88E0-4D11-8481-E1B3C74C1DCB}"/>
    <cellStyle name="Percent 3 4 4 2 20" xfId="37025" xr:uid="{11DAB40B-3752-47B1-B83F-37847EA503C4}"/>
    <cellStyle name="Percent 3 4 4 2 21" xfId="38915" xr:uid="{EEBD3AD2-F4D8-4B39-906C-FC9AB8E4B1ED}"/>
    <cellStyle name="Percent 3 4 4 2 22" xfId="40806" xr:uid="{A5965CAF-735E-4306-AA68-AA35A306D038}"/>
    <cellStyle name="Percent 3 4 4 2 3" xfId="4895" xr:uid="{79932C1B-9AAE-47EA-8620-5655956DC1C7}"/>
    <cellStyle name="Percent 3 4 4 2 4" xfId="6785" xr:uid="{8A7E9717-3748-42FC-A56F-F9C8AE5D475F}"/>
    <cellStyle name="Percent 3 4 4 2 5" xfId="8675" xr:uid="{49C2666D-CDFE-4643-AA82-28DF47907A7A}"/>
    <cellStyle name="Percent 3 4 4 2 6" xfId="10565" xr:uid="{06BE4AAA-56A9-4DEC-AB9B-DC25AFB942AE}"/>
    <cellStyle name="Percent 3 4 4 2 7" xfId="12455" xr:uid="{86DA9FE6-A7AD-4759-992D-8D42360FD650}"/>
    <cellStyle name="Percent 3 4 4 2 8" xfId="14345" xr:uid="{3C785627-08DB-4659-8C7F-E68FA81BCD05}"/>
    <cellStyle name="Percent 3 4 4 2 9" xfId="16235" xr:uid="{C4B88236-1E6D-40BD-A386-766E76031E58}"/>
    <cellStyle name="Percent 3 4 4 20" xfId="32615" xr:uid="{3257B9A8-1E0D-46B9-9371-63AC2876FF01}"/>
    <cellStyle name="Percent 3 4 4 21" xfId="34505" xr:uid="{466A68AE-E263-4C2E-8305-A29DCF441B9A}"/>
    <cellStyle name="Percent 3 4 4 22" xfId="36395" xr:uid="{D316694E-7BC6-4FC2-9BAB-F292A61355AC}"/>
    <cellStyle name="Percent 3 4 4 23" xfId="38285" xr:uid="{E1DD20D0-3A23-42EA-82EA-438F24886C5C}"/>
    <cellStyle name="Percent 3 4 4 24" xfId="40176" xr:uid="{0ACC94DD-5BC2-4D11-AD07-5063C1D7054C}"/>
    <cellStyle name="Percent 3 4 4 3" xfId="1745" xr:uid="{9BD6C292-BB78-45BE-B2A8-F54E02608648}"/>
    <cellStyle name="Percent 3 4 4 3 10" xfId="18755" xr:uid="{AF08308E-5461-4F47-A0ED-6138010C6364}"/>
    <cellStyle name="Percent 3 4 4 3 11" xfId="20645" xr:uid="{8A2D3B41-5DDC-4B83-A942-25363D35E026}"/>
    <cellStyle name="Percent 3 4 4 3 12" xfId="22535" xr:uid="{61FA4A17-E7A0-48CF-879A-B61DBCE09CC9}"/>
    <cellStyle name="Percent 3 4 4 3 13" xfId="24425" xr:uid="{234D5231-2405-40DF-B847-8BCB551BEC9D}"/>
    <cellStyle name="Percent 3 4 4 3 14" xfId="26315" xr:uid="{9FA48803-58B2-4C43-9F9D-39C9B136A93C}"/>
    <cellStyle name="Percent 3 4 4 3 15" xfId="28205" xr:uid="{9C54AEED-A55E-4B79-B61B-B45B4F406A68}"/>
    <cellStyle name="Percent 3 4 4 3 16" xfId="30095" xr:uid="{4236C168-9DB8-4F03-AF01-F76AC9D8ADF5}"/>
    <cellStyle name="Percent 3 4 4 3 17" xfId="31985" xr:uid="{B7E29C25-02EC-44AC-99F6-A97FF0791324}"/>
    <cellStyle name="Percent 3 4 4 3 18" xfId="33875" xr:uid="{9E03B2F8-70D1-410C-8EBD-ECED1042D82E}"/>
    <cellStyle name="Percent 3 4 4 3 19" xfId="35765" xr:uid="{F6B63933-6E79-48CB-A4C2-31530CE6CC83}"/>
    <cellStyle name="Percent 3 4 4 3 2" xfId="3635" xr:uid="{F7D069FB-A2A2-4886-B79D-FA29E68D3DCC}"/>
    <cellStyle name="Percent 3 4 4 3 20" xfId="37655" xr:uid="{6DB687B3-E0A9-480B-94DA-73DA91AED817}"/>
    <cellStyle name="Percent 3 4 4 3 21" xfId="39545" xr:uid="{36793722-75CF-4DE5-AE9E-F2BC3B102336}"/>
    <cellStyle name="Percent 3 4 4 3 22" xfId="41436" xr:uid="{ADA486C3-8411-4026-97A7-9C15D3042BFB}"/>
    <cellStyle name="Percent 3 4 4 3 3" xfId="5525" xr:uid="{B031C90F-8BBC-4FFB-B77B-190D33160B7B}"/>
    <cellStyle name="Percent 3 4 4 3 4" xfId="7415" xr:uid="{3B3DB642-A6CD-426A-8226-49707873DC90}"/>
    <cellStyle name="Percent 3 4 4 3 5" xfId="9305" xr:uid="{4F580673-2806-474E-9050-6EDCCFF7E73E}"/>
    <cellStyle name="Percent 3 4 4 3 6" xfId="11195" xr:uid="{BC71AD27-F129-4010-A579-1F63720EDC4A}"/>
    <cellStyle name="Percent 3 4 4 3 7" xfId="13085" xr:uid="{12C48153-FA80-4995-BBBE-6B184EBA3947}"/>
    <cellStyle name="Percent 3 4 4 3 8" xfId="14975" xr:uid="{8FAE961C-8F98-4FE3-85C0-38B2E4D7EA5B}"/>
    <cellStyle name="Percent 3 4 4 3 9" xfId="16865" xr:uid="{5D93DA6A-B54B-4C86-9F43-676613709EAE}"/>
    <cellStyle name="Percent 3 4 4 4" xfId="2375" xr:uid="{267C6D1E-7475-469F-9C2F-3FCEBAC3DAD6}"/>
    <cellStyle name="Percent 3 4 4 5" xfId="4265" xr:uid="{1066DDCF-ABE4-4CDC-9A38-B340E7F90F5F}"/>
    <cellStyle name="Percent 3 4 4 6" xfId="6155" xr:uid="{97B8E45A-B328-4004-8DDD-139601DB6A02}"/>
    <cellStyle name="Percent 3 4 4 7" xfId="8045" xr:uid="{40979AA1-E63C-41E5-B126-003114AE68A0}"/>
    <cellStyle name="Percent 3 4 4 8" xfId="9935" xr:uid="{8AA7EF46-1FC6-4CF9-8D26-96180C122808}"/>
    <cellStyle name="Percent 3 4 4 9" xfId="11825" xr:uid="{D9F24EE0-8BC6-46BB-8DEF-E31E6C2FB5E7}"/>
    <cellStyle name="Percent 3 4 5" xfId="695" xr:uid="{E79F3060-7168-4BD5-8378-26D0A1C08D66}"/>
    <cellStyle name="Percent 3 4 5 10" xfId="17705" xr:uid="{2F47C717-F1CC-4EA7-839A-C05A60F5668C}"/>
    <cellStyle name="Percent 3 4 5 11" xfId="19595" xr:uid="{372AFC17-A726-45DC-8118-12A1483A35E3}"/>
    <cellStyle name="Percent 3 4 5 12" xfId="21485" xr:uid="{D4CFDEEA-BCCF-43ED-890B-D8B359D6AD88}"/>
    <cellStyle name="Percent 3 4 5 13" xfId="23375" xr:uid="{2F1AFDE3-A94D-4809-A888-DC3B86023521}"/>
    <cellStyle name="Percent 3 4 5 14" xfId="25265" xr:uid="{BCEA481C-C622-43DF-AE36-9A75F3346707}"/>
    <cellStyle name="Percent 3 4 5 15" xfId="27155" xr:uid="{06C3E54B-CD1A-4DB5-B64C-6326DC8DC76E}"/>
    <cellStyle name="Percent 3 4 5 16" xfId="29045" xr:uid="{ADACEFA7-1A12-4FB3-9472-B3532EB658AA}"/>
    <cellStyle name="Percent 3 4 5 17" xfId="30935" xr:uid="{F8001BEA-4B9C-4DD5-ACC4-4050D9BC5D80}"/>
    <cellStyle name="Percent 3 4 5 18" xfId="32825" xr:uid="{C7C4491A-156E-4FDC-A85A-CA2016F22976}"/>
    <cellStyle name="Percent 3 4 5 19" xfId="34715" xr:uid="{DE081199-5154-4E7F-ABD7-2F13712AD4B9}"/>
    <cellStyle name="Percent 3 4 5 2" xfId="2585" xr:uid="{3A534F07-211C-420A-8CD3-CC22AAD24450}"/>
    <cellStyle name="Percent 3 4 5 20" xfId="36605" xr:uid="{113B0089-E89C-4EBE-A6C0-96879E6ACE28}"/>
    <cellStyle name="Percent 3 4 5 21" xfId="38495" xr:uid="{3BA42FE2-B4A1-45B2-9D0C-56EF51A958E1}"/>
    <cellStyle name="Percent 3 4 5 22" xfId="40386" xr:uid="{AF5C7A81-50D6-4897-89A1-69F2EFB632B8}"/>
    <cellStyle name="Percent 3 4 5 3" xfId="4475" xr:uid="{C6A8E4FC-41A9-4ED5-B2B6-2ACD2F9F2741}"/>
    <cellStyle name="Percent 3 4 5 4" xfId="6365" xr:uid="{35DD575F-EB03-411B-BB61-373D3BBF756E}"/>
    <cellStyle name="Percent 3 4 5 5" xfId="8255" xr:uid="{A036079C-582E-4AD9-99FD-12BAA1C989EB}"/>
    <cellStyle name="Percent 3 4 5 6" xfId="10145" xr:uid="{E4E0EA2C-94CE-4D77-B161-2F84D8B58B95}"/>
    <cellStyle name="Percent 3 4 5 7" xfId="12035" xr:uid="{3FB53FB5-7D8C-4244-9162-9E536508FE92}"/>
    <cellStyle name="Percent 3 4 5 8" xfId="13925" xr:uid="{05CBCFBF-E2D8-4CAA-BE05-D9E34D1CCA10}"/>
    <cellStyle name="Percent 3 4 5 9" xfId="15815" xr:uid="{F51C29BC-21D8-4670-94CE-F7075E0C7E41}"/>
    <cellStyle name="Percent 3 4 6" xfId="1325" xr:uid="{8165C643-8416-4DDC-95D6-16A98EB87CE6}"/>
    <cellStyle name="Percent 3 4 6 10" xfId="18335" xr:uid="{47B938BB-FB95-48AD-A231-2B7CBF380D2D}"/>
    <cellStyle name="Percent 3 4 6 11" xfId="20225" xr:uid="{F288557C-4813-4338-B90B-736E53C3F12D}"/>
    <cellStyle name="Percent 3 4 6 12" xfId="22115" xr:uid="{50929A44-6346-417D-BC06-DFC499E5EB7F}"/>
    <cellStyle name="Percent 3 4 6 13" xfId="24005" xr:uid="{66042BF7-A3B1-4B80-8D6D-E1AB1211913A}"/>
    <cellStyle name="Percent 3 4 6 14" xfId="25895" xr:uid="{F8D945F2-E5AD-4FCD-8C08-4BB1C1822151}"/>
    <cellStyle name="Percent 3 4 6 15" xfId="27785" xr:uid="{BA4CD610-D3C9-41F6-9BF8-9B0FE7481DCD}"/>
    <cellStyle name="Percent 3 4 6 16" xfId="29675" xr:uid="{E0443095-DAB2-4F9B-920E-19865DF03BAC}"/>
    <cellStyle name="Percent 3 4 6 17" xfId="31565" xr:uid="{161AF6DE-D743-406A-A17E-07637D663D24}"/>
    <cellStyle name="Percent 3 4 6 18" xfId="33455" xr:uid="{7664C4E7-C9EA-404A-877C-694AB3AB759A}"/>
    <cellStyle name="Percent 3 4 6 19" xfId="35345" xr:uid="{F71B7D6E-321E-4161-9443-F997BFB33BCF}"/>
    <cellStyle name="Percent 3 4 6 2" xfId="3215" xr:uid="{7A168538-E6F3-4973-BF45-1D9DA6508C2B}"/>
    <cellStyle name="Percent 3 4 6 20" xfId="37235" xr:uid="{56553C2E-8159-47AE-A833-CF4730CFEB55}"/>
    <cellStyle name="Percent 3 4 6 21" xfId="39125" xr:uid="{30C316CF-3A32-4F6F-99E8-4C5B1661B7F4}"/>
    <cellStyle name="Percent 3 4 6 22" xfId="41016" xr:uid="{F9E3F5CE-8139-466C-9015-70769CF39D28}"/>
    <cellStyle name="Percent 3 4 6 3" xfId="5105" xr:uid="{F4951B9C-01AB-47B2-9C18-1D053AF0255B}"/>
    <cellStyle name="Percent 3 4 6 4" xfId="6995" xr:uid="{B72F0AF2-9F9B-42D4-A503-E2CCE36C464E}"/>
    <cellStyle name="Percent 3 4 6 5" xfId="8885" xr:uid="{87F1F5EC-4774-4902-9DED-5BAB26F4513F}"/>
    <cellStyle name="Percent 3 4 6 6" xfId="10775" xr:uid="{BCEE1491-1C8F-4AB5-AAE2-ABECEDA8ACCC}"/>
    <cellStyle name="Percent 3 4 6 7" xfId="12665" xr:uid="{6FB1770C-B98A-40D8-B548-E9C09AC30C75}"/>
    <cellStyle name="Percent 3 4 6 8" xfId="14555" xr:uid="{ADF7903D-D3A5-41F1-AD2F-287513B9371F}"/>
    <cellStyle name="Percent 3 4 6 9" xfId="16445" xr:uid="{8B7BC9C1-CA3B-4BE3-9F7B-EA023519420E}"/>
    <cellStyle name="Percent 3 4 7" xfId="1955" xr:uid="{71B09ED9-385D-4712-9C93-FEDE60AAAF5B}"/>
    <cellStyle name="Percent 3 4 8" xfId="3845" xr:uid="{3642947D-BFFA-4FB2-9E7E-76652ACFE640}"/>
    <cellStyle name="Percent 3 4 9" xfId="5735" xr:uid="{DC1D7C62-A3C5-4C44-A992-43024BB5A710}"/>
    <cellStyle name="Percent 3 5" xfId="52" xr:uid="{8DABD491-FF73-45F4-A87F-22CF61400656}"/>
    <cellStyle name="Percent 3 5 10" xfId="7634" xr:uid="{AB1C955C-B7B5-4909-B340-845DB5038B42}"/>
    <cellStyle name="Percent 3 5 11" xfId="9524" xr:uid="{C5B447F3-E3D8-4086-9632-8DFD8AC5ECA9}"/>
    <cellStyle name="Percent 3 5 12" xfId="11414" xr:uid="{18BE3EA3-190C-4219-B1AC-89C0E9F38B04}"/>
    <cellStyle name="Percent 3 5 13" xfId="13304" xr:uid="{3D3432B4-78C5-4A53-B211-0E854B38CA0A}"/>
    <cellStyle name="Percent 3 5 14" xfId="15194" xr:uid="{40C3B3B9-B69E-4217-AA48-F732A63B58FA}"/>
    <cellStyle name="Percent 3 5 15" xfId="17084" xr:uid="{20E06E85-7B6F-4F53-9896-D913E3563413}"/>
    <cellStyle name="Percent 3 5 16" xfId="18974" xr:uid="{5AC5D16B-8DA6-49BD-99C3-DE0856022DE8}"/>
    <cellStyle name="Percent 3 5 17" xfId="20864" xr:uid="{F34769DE-58DC-4898-B1BE-6B9177F20909}"/>
    <cellStyle name="Percent 3 5 18" xfId="22754" xr:uid="{30D87479-F6E2-4CC9-A1EB-889DA6A1FD65}"/>
    <cellStyle name="Percent 3 5 19" xfId="24644" xr:uid="{0F6C8C89-43F6-41AE-8830-9ECE1B5CFCC5}"/>
    <cellStyle name="Percent 3 5 2" xfId="179" xr:uid="{4A8F35FC-B330-42A4-9D63-9C9413C19F01}"/>
    <cellStyle name="Percent 3 5 2 10" xfId="9629" xr:uid="{6D44CF4A-20C1-4350-AC3E-0BC03D808FED}"/>
    <cellStyle name="Percent 3 5 2 11" xfId="11519" xr:uid="{25CA7193-DDC2-4FC3-8E64-7248308C9647}"/>
    <cellStyle name="Percent 3 5 2 12" xfId="13409" xr:uid="{747C0DCD-439A-4D9D-9C08-D9A5B31F081D}"/>
    <cellStyle name="Percent 3 5 2 13" xfId="15299" xr:uid="{F0480D7F-2EAB-4F3B-A8C6-356AF82C1088}"/>
    <cellStyle name="Percent 3 5 2 14" xfId="17189" xr:uid="{E92C5075-FB0E-418E-A21E-06BCDE2B6637}"/>
    <cellStyle name="Percent 3 5 2 15" xfId="19079" xr:uid="{9828918F-4D99-4A10-A73F-73318CC2AAA4}"/>
    <cellStyle name="Percent 3 5 2 16" xfId="20969" xr:uid="{16266718-317E-4FE7-B5D4-511AE38BE733}"/>
    <cellStyle name="Percent 3 5 2 17" xfId="22859" xr:uid="{E2939086-15E0-437D-9FB6-5E6AB2C6978F}"/>
    <cellStyle name="Percent 3 5 2 18" xfId="24749" xr:uid="{82884BF3-887A-4CEA-A54B-5AC69A9F5B1B}"/>
    <cellStyle name="Percent 3 5 2 19" xfId="26639" xr:uid="{8A09FE24-57E2-4F90-83BB-0F070E7C6FC9}"/>
    <cellStyle name="Percent 3 5 2 2" xfId="389" xr:uid="{0EEEEF9D-BCD4-4543-928A-433EB052392B}"/>
    <cellStyle name="Percent 3 5 2 2 10" xfId="13619" xr:uid="{0525CA87-2C05-4D60-BBE1-34D5F22E99BB}"/>
    <cellStyle name="Percent 3 5 2 2 11" xfId="15509" xr:uid="{9D03D430-061A-40CE-8E96-1982ED8221C8}"/>
    <cellStyle name="Percent 3 5 2 2 12" xfId="17399" xr:uid="{9F08EA4D-E088-4A4B-8026-0B86B08E6890}"/>
    <cellStyle name="Percent 3 5 2 2 13" xfId="19289" xr:uid="{36784CC9-0939-470D-9E62-4EF975444E89}"/>
    <cellStyle name="Percent 3 5 2 2 14" xfId="21179" xr:uid="{D9864A3A-B70D-4EF8-8A30-CD92240DBFA9}"/>
    <cellStyle name="Percent 3 5 2 2 15" xfId="23069" xr:uid="{7132BD0B-31D0-450C-8856-5C5BD8B24714}"/>
    <cellStyle name="Percent 3 5 2 2 16" xfId="24959" xr:uid="{50EE4E57-7DBA-4591-BA13-B4860E611FBA}"/>
    <cellStyle name="Percent 3 5 2 2 17" xfId="26849" xr:uid="{BFB85D8B-8F0C-41D9-A84C-907C682646B3}"/>
    <cellStyle name="Percent 3 5 2 2 18" xfId="28739" xr:uid="{17921DFB-C011-45A3-919A-AFC4369AE4FB}"/>
    <cellStyle name="Percent 3 5 2 2 19" xfId="30629" xr:uid="{E32AE7F7-A91F-4D63-92F5-2DE815E7FF0D}"/>
    <cellStyle name="Percent 3 5 2 2 2" xfId="1019" xr:uid="{88F126F7-9FA7-415F-985E-A4E1CA1D3EB8}"/>
    <cellStyle name="Percent 3 5 2 2 2 10" xfId="18029" xr:uid="{3FCE1102-CF4A-4B8E-BEB1-4269E0DEFA17}"/>
    <cellStyle name="Percent 3 5 2 2 2 11" xfId="19919" xr:uid="{F8234023-3946-4BDA-82D0-C063AEF7AF45}"/>
    <cellStyle name="Percent 3 5 2 2 2 12" xfId="21809" xr:uid="{46BC25DE-40A3-404B-B489-B3D0D451394C}"/>
    <cellStyle name="Percent 3 5 2 2 2 13" xfId="23699" xr:uid="{8D23227B-14F7-4A99-AC2C-86B859216B6F}"/>
    <cellStyle name="Percent 3 5 2 2 2 14" xfId="25589" xr:uid="{214436AD-7746-4E64-AFD5-EA97C9B7628C}"/>
    <cellStyle name="Percent 3 5 2 2 2 15" xfId="27479" xr:uid="{03199A76-17FA-4DFB-B9BA-C277724A571A}"/>
    <cellStyle name="Percent 3 5 2 2 2 16" xfId="29369" xr:uid="{92BD5119-EEBF-4890-86DE-88F8407ED4E2}"/>
    <cellStyle name="Percent 3 5 2 2 2 17" xfId="31259" xr:uid="{81F8E507-AC54-49C0-8C06-6C7F406F70FB}"/>
    <cellStyle name="Percent 3 5 2 2 2 18" xfId="33149" xr:uid="{9BB6C126-38CB-4A69-A500-25F9F268B021}"/>
    <cellStyle name="Percent 3 5 2 2 2 19" xfId="35039" xr:uid="{6451C3FB-5B5A-4081-9A29-7551DE6EE310}"/>
    <cellStyle name="Percent 3 5 2 2 2 2" xfId="2909" xr:uid="{F0A42063-97AA-46FC-9125-982B95F918A8}"/>
    <cellStyle name="Percent 3 5 2 2 2 20" xfId="36929" xr:uid="{F2B0B60B-EE96-451B-AAE0-73D862F6496C}"/>
    <cellStyle name="Percent 3 5 2 2 2 21" xfId="38819" xr:uid="{081FFB35-233B-4992-A1CA-FC0A3BD9E3C6}"/>
    <cellStyle name="Percent 3 5 2 2 2 22" xfId="40710" xr:uid="{9199AC83-0A6F-4514-BE81-1F5A438F686C}"/>
    <cellStyle name="Percent 3 5 2 2 2 3" xfId="4799" xr:uid="{9FB741F1-DFA5-43E3-A673-F2109BE08BA1}"/>
    <cellStyle name="Percent 3 5 2 2 2 4" xfId="6689" xr:uid="{782A7087-88A1-4F4B-8652-06BF3E257F24}"/>
    <cellStyle name="Percent 3 5 2 2 2 5" xfId="8579" xr:uid="{AB7B3F40-86E5-4F9D-9F34-042EF7F8764E}"/>
    <cellStyle name="Percent 3 5 2 2 2 6" xfId="10469" xr:uid="{777BC586-24C0-472E-AB72-F4C84A400388}"/>
    <cellStyle name="Percent 3 5 2 2 2 7" xfId="12359" xr:uid="{812C339F-9760-4B00-9D0A-E4520C3D19D8}"/>
    <cellStyle name="Percent 3 5 2 2 2 8" xfId="14249" xr:uid="{A064CE4A-21AB-4D30-88A8-EDA93264364D}"/>
    <cellStyle name="Percent 3 5 2 2 2 9" xfId="16139" xr:uid="{C5B8413A-83C7-4B22-B598-54769282F82F}"/>
    <cellStyle name="Percent 3 5 2 2 20" xfId="32519" xr:uid="{02D2B827-99B7-4486-A04F-9E0F6389A690}"/>
    <cellStyle name="Percent 3 5 2 2 21" xfId="34409" xr:uid="{98A0E522-0201-4ECA-B08A-025EA45759FB}"/>
    <cellStyle name="Percent 3 5 2 2 22" xfId="36299" xr:uid="{AEDA21DB-D8A5-40E0-9B42-64D823E81B82}"/>
    <cellStyle name="Percent 3 5 2 2 23" xfId="38189" xr:uid="{F3071547-E129-4B21-B90E-DA484F1BC3EC}"/>
    <cellStyle name="Percent 3 5 2 2 24" xfId="40080" xr:uid="{93AE3B28-55DF-4889-92E1-9C4FA3150B46}"/>
    <cellStyle name="Percent 3 5 2 2 3" xfId="1649" xr:uid="{FCC25C61-5200-4A7C-B596-DB73A0EFA039}"/>
    <cellStyle name="Percent 3 5 2 2 3 10" xfId="18659" xr:uid="{617B8CFB-3C10-441A-9290-5B9F4F389C7A}"/>
    <cellStyle name="Percent 3 5 2 2 3 11" xfId="20549" xr:uid="{046A5B2F-8E32-4190-9817-4180D311AF0D}"/>
    <cellStyle name="Percent 3 5 2 2 3 12" xfId="22439" xr:uid="{005F85C0-94EE-4539-8E50-B6279822F241}"/>
    <cellStyle name="Percent 3 5 2 2 3 13" xfId="24329" xr:uid="{26D5531F-7E20-45AE-9E4D-11F4BC11FE2B}"/>
    <cellStyle name="Percent 3 5 2 2 3 14" xfId="26219" xr:uid="{4FF6901C-0227-4A90-8EDC-45C019AF2DEE}"/>
    <cellStyle name="Percent 3 5 2 2 3 15" xfId="28109" xr:uid="{0EB1FD87-2637-4EE3-96BE-AC220CD6BA8F}"/>
    <cellStyle name="Percent 3 5 2 2 3 16" xfId="29999" xr:uid="{0F5D4F64-48EF-40F5-A7E2-5F59BBDD255B}"/>
    <cellStyle name="Percent 3 5 2 2 3 17" xfId="31889" xr:uid="{38F6B60B-FDB3-407B-BA34-B661C5928074}"/>
    <cellStyle name="Percent 3 5 2 2 3 18" xfId="33779" xr:uid="{B02CAB55-D2F3-42C0-8E56-31E279C49DF6}"/>
    <cellStyle name="Percent 3 5 2 2 3 19" xfId="35669" xr:uid="{28A6AD94-999C-4742-AD6C-3EE1EFDA4DDA}"/>
    <cellStyle name="Percent 3 5 2 2 3 2" xfId="3539" xr:uid="{30551EF0-8552-4F64-A4F7-EFB1D21A0A07}"/>
    <cellStyle name="Percent 3 5 2 2 3 20" xfId="37559" xr:uid="{76F04EB3-B423-46DD-AFD9-B9B74993DF44}"/>
    <cellStyle name="Percent 3 5 2 2 3 21" xfId="39449" xr:uid="{947FD186-1709-4970-ABA5-792040B1C528}"/>
    <cellStyle name="Percent 3 5 2 2 3 22" xfId="41340" xr:uid="{8A3B28B0-A1C9-4A3D-AD4F-8FE8BFF39476}"/>
    <cellStyle name="Percent 3 5 2 2 3 3" xfId="5429" xr:uid="{2860467C-1E9E-46F7-900A-4FAEE84B2963}"/>
    <cellStyle name="Percent 3 5 2 2 3 4" xfId="7319" xr:uid="{26AEDD6E-47C7-4142-B43A-D66064E7E703}"/>
    <cellStyle name="Percent 3 5 2 2 3 5" xfId="9209" xr:uid="{4764897C-1F55-4B48-8D51-46F210C069AA}"/>
    <cellStyle name="Percent 3 5 2 2 3 6" xfId="11099" xr:uid="{3FDAB831-5BAB-4F58-8DC6-40356EE2FED3}"/>
    <cellStyle name="Percent 3 5 2 2 3 7" xfId="12989" xr:uid="{AB99E732-9A26-4DBD-805B-2999E221258E}"/>
    <cellStyle name="Percent 3 5 2 2 3 8" xfId="14879" xr:uid="{B838BE63-C3B5-4B49-92E5-4E1E7833DE4E}"/>
    <cellStyle name="Percent 3 5 2 2 3 9" xfId="16769" xr:uid="{806A8394-6C97-4479-9F65-A490E45517EE}"/>
    <cellStyle name="Percent 3 5 2 2 4" xfId="2279" xr:uid="{8F60E30B-A318-4AF5-BC90-A6997F163DFC}"/>
    <cellStyle name="Percent 3 5 2 2 5" xfId="4169" xr:uid="{54CC1A9B-0B87-43AD-B590-2196BA9DDEB1}"/>
    <cellStyle name="Percent 3 5 2 2 6" xfId="6059" xr:uid="{30ADB3AE-0ABF-4E04-A17C-3F7FFB33BC30}"/>
    <cellStyle name="Percent 3 5 2 2 7" xfId="7949" xr:uid="{7F9674DA-E8E0-4063-9E29-A927EF364A09}"/>
    <cellStyle name="Percent 3 5 2 2 8" xfId="9839" xr:uid="{9141D203-76EE-4B11-B3E0-8FEBF8DA8CB9}"/>
    <cellStyle name="Percent 3 5 2 2 9" xfId="11729" xr:uid="{2AF6C08D-B3F8-4B4E-890E-E5B735854464}"/>
    <cellStyle name="Percent 3 5 2 20" xfId="28529" xr:uid="{B12C794D-C9A6-4064-9AD4-42AA831B463F}"/>
    <cellStyle name="Percent 3 5 2 21" xfId="30419" xr:uid="{9A366999-27DE-42BF-B6F9-705143D94E8A}"/>
    <cellStyle name="Percent 3 5 2 22" xfId="32309" xr:uid="{33848E0E-D05E-49CB-A478-AABCA86C284C}"/>
    <cellStyle name="Percent 3 5 2 23" xfId="34199" xr:uid="{2BBD293B-B990-4AE6-B782-6D8DABDF71EA}"/>
    <cellStyle name="Percent 3 5 2 24" xfId="36089" xr:uid="{9E2196A8-6428-4DF1-9CBC-BF264E8DC0EC}"/>
    <cellStyle name="Percent 3 5 2 25" xfId="37979" xr:uid="{2AE715A0-2A56-463D-B17A-E5F205FC88D9}"/>
    <cellStyle name="Percent 3 5 2 26" xfId="39870" xr:uid="{D1FBF6A8-7E38-4CCF-8564-3E77122DBE09}"/>
    <cellStyle name="Percent 3 5 2 3" xfId="599" xr:uid="{C3AA8877-8AD6-44B0-8EF6-A2143F00B9E4}"/>
    <cellStyle name="Percent 3 5 2 3 10" xfId="13829" xr:uid="{BD271C01-59CA-4C1A-9DF2-2D6F1E7BE4B5}"/>
    <cellStyle name="Percent 3 5 2 3 11" xfId="15719" xr:uid="{7395ABB0-6090-4DDB-9A5E-796520D949C9}"/>
    <cellStyle name="Percent 3 5 2 3 12" xfId="17609" xr:uid="{4FCE0D8E-D06B-417C-80C3-8203702F13C8}"/>
    <cellStyle name="Percent 3 5 2 3 13" xfId="19499" xr:uid="{20DF1596-A7AA-43C5-A8B5-3F9759C46630}"/>
    <cellStyle name="Percent 3 5 2 3 14" xfId="21389" xr:uid="{63850E12-8460-4BCF-8507-010E2294377A}"/>
    <cellStyle name="Percent 3 5 2 3 15" xfId="23279" xr:uid="{A1F73657-6C71-4665-98C7-90CE6A1475E6}"/>
    <cellStyle name="Percent 3 5 2 3 16" xfId="25169" xr:uid="{98A90FE3-E673-4783-AD26-0EFC45D93DC6}"/>
    <cellStyle name="Percent 3 5 2 3 17" xfId="27059" xr:uid="{DD2A4744-9FA0-479F-94B2-BBEA72C67EE8}"/>
    <cellStyle name="Percent 3 5 2 3 18" xfId="28949" xr:uid="{F66909C4-C9EA-43E6-80C3-97DB5F50ACB5}"/>
    <cellStyle name="Percent 3 5 2 3 19" xfId="30839" xr:uid="{B1E58430-02C2-457A-981C-DBDDCA4F49D9}"/>
    <cellStyle name="Percent 3 5 2 3 2" xfId="1229" xr:uid="{0658E0A8-3347-45C6-8643-65B3AC4C81E3}"/>
    <cellStyle name="Percent 3 5 2 3 2 10" xfId="18239" xr:uid="{FD0324E4-E35F-4EAD-BC3A-9012BF54C292}"/>
    <cellStyle name="Percent 3 5 2 3 2 11" xfId="20129" xr:uid="{B32BD321-289C-4180-9D91-506FB36565C3}"/>
    <cellStyle name="Percent 3 5 2 3 2 12" xfId="22019" xr:uid="{3CB09457-4F76-470B-B412-6C31271BD261}"/>
    <cellStyle name="Percent 3 5 2 3 2 13" xfId="23909" xr:uid="{5217D561-3282-4E57-919C-A59BA3A8E61B}"/>
    <cellStyle name="Percent 3 5 2 3 2 14" xfId="25799" xr:uid="{2D58EB08-DF8E-4AF3-B812-5942420C6269}"/>
    <cellStyle name="Percent 3 5 2 3 2 15" xfId="27689" xr:uid="{949CA88E-A88F-45D2-9DE3-0E6998F9A743}"/>
    <cellStyle name="Percent 3 5 2 3 2 16" xfId="29579" xr:uid="{EAC4AED4-EE31-4EB3-9F6A-52D1C7E4FD8F}"/>
    <cellStyle name="Percent 3 5 2 3 2 17" xfId="31469" xr:uid="{11F534CC-52BC-4449-A571-C1DD72DD047C}"/>
    <cellStyle name="Percent 3 5 2 3 2 18" xfId="33359" xr:uid="{D8D771D2-0E67-477B-8929-6DAF89B40E18}"/>
    <cellStyle name="Percent 3 5 2 3 2 19" xfId="35249" xr:uid="{335E7E78-FC23-4623-8F93-B4FF8E2594A7}"/>
    <cellStyle name="Percent 3 5 2 3 2 2" xfId="3119" xr:uid="{3ACAE894-925F-4487-B906-B13781C17E26}"/>
    <cellStyle name="Percent 3 5 2 3 2 20" xfId="37139" xr:uid="{7D5393E4-7683-4C1D-923B-B47613BA2690}"/>
    <cellStyle name="Percent 3 5 2 3 2 21" xfId="39029" xr:uid="{EA7ABDDE-62F3-40C7-BD56-AEFD51CFFD35}"/>
    <cellStyle name="Percent 3 5 2 3 2 22" xfId="40920" xr:uid="{78D99EEC-8A0C-4235-83E4-013640029C34}"/>
    <cellStyle name="Percent 3 5 2 3 2 3" xfId="5009" xr:uid="{30D6BA4D-A619-4838-A19B-BE2C344A3F5E}"/>
    <cellStyle name="Percent 3 5 2 3 2 4" xfId="6899" xr:uid="{F4CB0194-E61C-4EF9-9256-60CB5C98F8E8}"/>
    <cellStyle name="Percent 3 5 2 3 2 5" xfId="8789" xr:uid="{7CFD1D26-BFB7-4744-950D-A30910956AA6}"/>
    <cellStyle name="Percent 3 5 2 3 2 6" xfId="10679" xr:uid="{24FF5054-88EF-4C8C-A0CB-8D82BF33E28D}"/>
    <cellStyle name="Percent 3 5 2 3 2 7" xfId="12569" xr:uid="{1D0EDE6B-CAF4-4360-9DA6-04EC555BD1E4}"/>
    <cellStyle name="Percent 3 5 2 3 2 8" xfId="14459" xr:uid="{508A10F7-A976-4C00-8D70-73D485E769C9}"/>
    <cellStyle name="Percent 3 5 2 3 2 9" xfId="16349" xr:uid="{2587E872-C631-4EC9-B816-404C6CFD3C1E}"/>
    <cellStyle name="Percent 3 5 2 3 20" xfId="32729" xr:uid="{5C64BB32-913B-4873-AAC8-D3718E38BEEB}"/>
    <cellStyle name="Percent 3 5 2 3 21" xfId="34619" xr:uid="{B85A1411-C72F-44BA-9D4E-7363FE73E559}"/>
    <cellStyle name="Percent 3 5 2 3 22" xfId="36509" xr:uid="{9AB135D7-A8C3-4E9E-B191-0B5B03FD6218}"/>
    <cellStyle name="Percent 3 5 2 3 23" xfId="38399" xr:uid="{BECC6865-D09B-4C66-9CD6-461F5A45D625}"/>
    <cellStyle name="Percent 3 5 2 3 24" xfId="40290" xr:uid="{91EE4400-6F77-4B46-8452-9CC5582F8146}"/>
    <cellStyle name="Percent 3 5 2 3 3" xfId="1859" xr:uid="{D497F62A-7415-48B0-8DFC-FF775ACC86D1}"/>
    <cellStyle name="Percent 3 5 2 3 3 10" xfId="18869" xr:uid="{DCABC87F-80F3-4482-881B-84E3D236DB07}"/>
    <cellStyle name="Percent 3 5 2 3 3 11" xfId="20759" xr:uid="{B3623EC0-26F8-4B34-A789-1BD691EAA3D3}"/>
    <cellStyle name="Percent 3 5 2 3 3 12" xfId="22649" xr:uid="{A1F0E2CB-5387-4417-A940-1C7804597B76}"/>
    <cellStyle name="Percent 3 5 2 3 3 13" xfId="24539" xr:uid="{77137485-557B-486E-B5BB-5F838E2B8B72}"/>
    <cellStyle name="Percent 3 5 2 3 3 14" xfId="26429" xr:uid="{EAB9E589-D5F5-4194-A8DF-9EC378771A98}"/>
    <cellStyle name="Percent 3 5 2 3 3 15" xfId="28319" xr:uid="{E0C05546-A289-4CF4-871E-C1A14D4C2B4D}"/>
    <cellStyle name="Percent 3 5 2 3 3 16" xfId="30209" xr:uid="{D28BAC1C-D70E-4CDD-8352-E34EAD798BE2}"/>
    <cellStyle name="Percent 3 5 2 3 3 17" xfId="32099" xr:uid="{7EA9243A-1DA0-4D89-B15F-D5195766F593}"/>
    <cellStyle name="Percent 3 5 2 3 3 18" xfId="33989" xr:uid="{C339FB77-388D-4112-80CC-9ABF70C04785}"/>
    <cellStyle name="Percent 3 5 2 3 3 19" xfId="35879" xr:uid="{F2179D0E-3F10-4FFA-9595-099453894B54}"/>
    <cellStyle name="Percent 3 5 2 3 3 2" xfId="3749" xr:uid="{FD4506DD-9981-4FC7-95DF-744F5C2BFE9F}"/>
    <cellStyle name="Percent 3 5 2 3 3 20" xfId="37769" xr:uid="{30C8B1B3-4D4D-4981-A5A2-0B822AA8892C}"/>
    <cellStyle name="Percent 3 5 2 3 3 21" xfId="39659" xr:uid="{C931A8CB-2F33-4C2B-8598-72A1789D91E5}"/>
    <cellStyle name="Percent 3 5 2 3 3 22" xfId="41550" xr:uid="{25B38AD3-38A9-44FD-90B1-08185D724F90}"/>
    <cellStyle name="Percent 3 5 2 3 3 3" xfId="5639" xr:uid="{EF22A7AE-1742-4BD1-A794-9EB97D745BAD}"/>
    <cellStyle name="Percent 3 5 2 3 3 4" xfId="7529" xr:uid="{9A29F429-C8AF-4A0E-A3BB-E5EE512B3232}"/>
    <cellStyle name="Percent 3 5 2 3 3 5" xfId="9419" xr:uid="{291E4910-C5C6-46F6-8EE1-805C5E76F002}"/>
    <cellStyle name="Percent 3 5 2 3 3 6" xfId="11309" xr:uid="{53B2E3EA-43A5-403E-A2DA-1A8B5B00B661}"/>
    <cellStyle name="Percent 3 5 2 3 3 7" xfId="13199" xr:uid="{44D6D14D-A399-4DE8-AB77-319D69B91789}"/>
    <cellStyle name="Percent 3 5 2 3 3 8" xfId="15089" xr:uid="{2C8F55FA-6B71-45B5-B0F9-6E5B408704EF}"/>
    <cellStyle name="Percent 3 5 2 3 3 9" xfId="16979" xr:uid="{B4341463-8B5B-4C3D-8808-8438DE617AE1}"/>
    <cellStyle name="Percent 3 5 2 3 4" xfId="2489" xr:uid="{6C4CAFC1-3C92-4735-BB9D-EFE9E8027FD4}"/>
    <cellStyle name="Percent 3 5 2 3 5" xfId="4379" xr:uid="{ED27C2D9-07D8-4291-9101-61756AA6C459}"/>
    <cellStyle name="Percent 3 5 2 3 6" xfId="6269" xr:uid="{64635397-2EA2-47CE-9A0A-120363F32425}"/>
    <cellStyle name="Percent 3 5 2 3 7" xfId="8159" xr:uid="{A1B9FEAD-4078-4B19-AA9B-8CFC3B0540FB}"/>
    <cellStyle name="Percent 3 5 2 3 8" xfId="10049" xr:uid="{67EF7932-FB99-4D52-8E27-A21A2D0B09F7}"/>
    <cellStyle name="Percent 3 5 2 3 9" xfId="11939" xr:uid="{E344D7D4-2878-4AB5-9DC0-F35B9F97DEA6}"/>
    <cellStyle name="Percent 3 5 2 4" xfId="809" xr:uid="{584C3C6A-9467-4654-8BD2-5805F66A1DDD}"/>
    <cellStyle name="Percent 3 5 2 4 10" xfId="17819" xr:uid="{E188B3D7-EBB9-404F-A585-E4C22466109C}"/>
    <cellStyle name="Percent 3 5 2 4 11" xfId="19709" xr:uid="{B4ACD430-DF91-450F-A8A3-2ED15AA12F90}"/>
    <cellStyle name="Percent 3 5 2 4 12" xfId="21599" xr:uid="{1CA3B445-E70F-4FEA-A578-C54F2F10F475}"/>
    <cellStyle name="Percent 3 5 2 4 13" xfId="23489" xr:uid="{24F88791-0003-41A0-8798-AA72F2A2C01A}"/>
    <cellStyle name="Percent 3 5 2 4 14" xfId="25379" xr:uid="{E76BDE97-F118-4D7E-ADF7-B35E11B51447}"/>
    <cellStyle name="Percent 3 5 2 4 15" xfId="27269" xr:uid="{D22DF724-8C32-49F9-9D11-A26D3EA27328}"/>
    <cellStyle name="Percent 3 5 2 4 16" xfId="29159" xr:uid="{60E75988-0F04-4D34-8E9A-60CCD36CF321}"/>
    <cellStyle name="Percent 3 5 2 4 17" xfId="31049" xr:uid="{D698DAAA-4155-4CD5-A40B-8AA0D8FC3D10}"/>
    <cellStyle name="Percent 3 5 2 4 18" xfId="32939" xr:uid="{9D5BEBE3-8F52-4A80-834C-152249BBF33B}"/>
    <cellStyle name="Percent 3 5 2 4 19" xfId="34829" xr:uid="{18AE2618-4561-49A2-A729-AA9E80E5DD92}"/>
    <cellStyle name="Percent 3 5 2 4 2" xfId="2699" xr:uid="{786F4B68-6F83-4716-9762-1567F315636F}"/>
    <cellStyle name="Percent 3 5 2 4 20" xfId="36719" xr:uid="{613F4DCE-44B6-4417-87EF-13E3252C0B5F}"/>
    <cellStyle name="Percent 3 5 2 4 21" xfId="38609" xr:uid="{91FA58AA-DD43-400F-B7CF-09684336B38E}"/>
    <cellStyle name="Percent 3 5 2 4 22" xfId="40500" xr:uid="{3AF9207B-B530-4AB6-B737-758DEA753615}"/>
    <cellStyle name="Percent 3 5 2 4 3" xfId="4589" xr:uid="{0CE9B7BD-0D13-4B39-8DA7-79E1D0AB1B5B}"/>
    <cellStyle name="Percent 3 5 2 4 4" xfId="6479" xr:uid="{B2FAAD5C-9319-4DEB-8F07-EC6F1A15B0B9}"/>
    <cellStyle name="Percent 3 5 2 4 5" xfId="8369" xr:uid="{E190AC83-0BFA-4081-87CA-EB86D3E41D09}"/>
    <cellStyle name="Percent 3 5 2 4 6" xfId="10259" xr:uid="{F78FD3CA-69A0-40DC-9745-772462BF6A74}"/>
    <cellStyle name="Percent 3 5 2 4 7" xfId="12149" xr:uid="{A24BF762-9263-42A7-A711-FF57E469E944}"/>
    <cellStyle name="Percent 3 5 2 4 8" xfId="14039" xr:uid="{A5F505B2-964D-47A2-80CF-5F2DC013F0E5}"/>
    <cellStyle name="Percent 3 5 2 4 9" xfId="15929" xr:uid="{6E0ABDD6-EBD5-486E-8AE0-CCB7E2C84998}"/>
    <cellStyle name="Percent 3 5 2 5" xfId="1439" xr:uid="{E73EB4B3-0C60-455A-9D65-683B074B7259}"/>
    <cellStyle name="Percent 3 5 2 5 10" xfId="18449" xr:uid="{CB512C7C-5C5F-4867-8BE6-F4E027245A79}"/>
    <cellStyle name="Percent 3 5 2 5 11" xfId="20339" xr:uid="{03094E64-C2E8-432F-84E6-6EC1EC8128D2}"/>
    <cellStyle name="Percent 3 5 2 5 12" xfId="22229" xr:uid="{BF89536B-0AE3-4EFB-BB5B-44B87E52975D}"/>
    <cellStyle name="Percent 3 5 2 5 13" xfId="24119" xr:uid="{8CD868BC-DAE1-4777-A801-FE12437510C7}"/>
    <cellStyle name="Percent 3 5 2 5 14" xfId="26009" xr:uid="{F81C5315-73B0-4AC5-8A89-6625EBF0A3CF}"/>
    <cellStyle name="Percent 3 5 2 5 15" xfId="27899" xr:uid="{732C2287-FCB2-4D1E-99BB-0C1EBE9A5110}"/>
    <cellStyle name="Percent 3 5 2 5 16" xfId="29789" xr:uid="{F69ADD38-312D-466B-BED2-057C8E0F42EF}"/>
    <cellStyle name="Percent 3 5 2 5 17" xfId="31679" xr:uid="{EFBC8EB9-E12D-4B25-94C5-83F0845FBE86}"/>
    <cellStyle name="Percent 3 5 2 5 18" xfId="33569" xr:uid="{8C691894-079B-488B-9748-48A3F22F476B}"/>
    <cellStyle name="Percent 3 5 2 5 19" xfId="35459" xr:uid="{3F1B8D0F-0798-4549-B1E6-8B77E9E562C3}"/>
    <cellStyle name="Percent 3 5 2 5 2" xfId="3329" xr:uid="{4E8AA171-F55A-4A50-A97C-D0D8E3FDA64C}"/>
    <cellStyle name="Percent 3 5 2 5 20" xfId="37349" xr:uid="{065CF0DD-1708-44B2-B94F-C2CB985A1328}"/>
    <cellStyle name="Percent 3 5 2 5 21" xfId="39239" xr:uid="{FA83113E-12A9-4EF5-BD4F-CAD8DBAEEA28}"/>
    <cellStyle name="Percent 3 5 2 5 22" xfId="41130" xr:uid="{A6C74E3C-1A38-4E9F-94F3-BAFB80775FC0}"/>
    <cellStyle name="Percent 3 5 2 5 3" xfId="5219" xr:uid="{8050A030-B048-4A85-AA76-5C4C342AA8C4}"/>
    <cellStyle name="Percent 3 5 2 5 4" xfId="7109" xr:uid="{240C49D6-4DBE-4D5C-A45A-22E608646BFE}"/>
    <cellStyle name="Percent 3 5 2 5 5" xfId="8999" xr:uid="{33A324DF-4044-4537-8C2C-22DC2AFBF12E}"/>
    <cellStyle name="Percent 3 5 2 5 6" xfId="10889" xr:uid="{07CDC984-A888-41BF-B5B8-A193F0B2D5E9}"/>
    <cellStyle name="Percent 3 5 2 5 7" xfId="12779" xr:uid="{426910CE-8BFE-4AA8-B1E0-01E13F83B05E}"/>
    <cellStyle name="Percent 3 5 2 5 8" xfId="14669" xr:uid="{B729595B-4928-438C-8E61-682996795256}"/>
    <cellStyle name="Percent 3 5 2 5 9" xfId="16559" xr:uid="{782F26BF-0564-4685-9988-43870EBFEA8A}"/>
    <cellStyle name="Percent 3 5 2 6" xfId="2069" xr:uid="{D0A933F9-1BFC-4B87-859A-C2210DDF5C41}"/>
    <cellStyle name="Percent 3 5 2 7" xfId="3959" xr:uid="{21F9B59B-CCC4-4184-80F5-BF52036549CB}"/>
    <cellStyle name="Percent 3 5 2 8" xfId="5849" xr:uid="{1F6CF69E-411E-4C48-8012-8ED849F76144}"/>
    <cellStyle name="Percent 3 5 2 9" xfId="7739" xr:uid="{5591CD4E-C555-4609-B341-4398F4E0734E}"/>
    <cellStyle name="Percent 3 5 20" xfId="26534" xr:uid="{454C3D4E-E471-46E0-A0A9-BD22AB1332AF}"/>
    <cellStyle name="Percent 3 5 21" xfId="28424" xr:uid="{A76891FC-322F-4A1E-9C33-060171BDE8F3}"/>
    <cellStyle name="Percent 3 5 22" xfId="30314" xr:uid="{47D86CAD-9B84-4CA6-983C-3FE02A873AD0}"/>
    <cellStyle name="Percent 3 5 23" xfId="32204" xr:uid="{D97AA377-0252-439D-AFB0-A2914F6B5629}"/>
    <cellStyle name="Percent 3 5 24" xfId="34094" xr:uid="{58255A9A-97AD-43A6-B5D1-8A6909CD311C}"/>
    <cellStyle name="Percent 3 5 25" xfId="35984" xr:uid="{3CC12BDC-813C-42D0-A0D8-00104F8BCE57}"/>
    <cellStyle name="Percent 3 5 26" xfId="37874" xr:uid="{B9BAD3A4-44A9-4323-8C2B-76002E5DEC39}"/>
    <cellStyle name="Percent 3 5 27" xfId="39765" xr:uid="{C56ED0BB-1C7C-45BE-A445-58F0266AB905}"/>
    <cellStyle name="Percent 3 5 3" xfId="284" xr:uid="{9051F4D9-E5BB-4302-AE26-A07E60F01475}"/>
    <cellStyle name="Percent 3 5 3 10" xfId="13514" xr:uid="{780AB416-B6F6-4461-884B-6D6833EFD6E4}"/>
    <cellStyle name="Percent 3 5 3 11" xfId="15404" xr:uid="{A87AA445-B7C2-4152-B535-1815B91E1095}"/>
    <cellStyle name="Percent 3 5 3 12" xfId="17294" xr:uid="{8B89467F-1C4F-475E-9913-20AFABF6B811}"/>
    <cellStyle name="Percent 3 5 3 13" xfId="19184" xr:uid="{1F1F396F-D1E4-454C-89B3-8924BA2515B0}"/>
    <cellStyle name="Percent 3 5 3 14" xfId="21074" xr:uid="{3EB81982-7BD9-42AC-B442-0A59DF7CC6C0}"/>
    <cellStyle name="Percent 3 5 3 15" xfId="22964" xr:uid="{B4D3F01F-28B0-42B9-812C-3E10587085C7}"/>
    <cellStyle name="Percent 3 5 3 16" xfId="24854" xr:uid="{07638F52-C1D0-4578-A6FB-904A62076B5F}"/>
    <cellStyle name="Percent 3 5 3 17" xfId="26744" xr:uid="{42B7046A-D06B-44C4-8C92-C0284318D38D}"/>
    <cellStyle name="Percent 3 5 3 18" xfId="28634" xr:uid="{F344E729-CD38-4FBE-8763-A85CB2D54E18}"/>
    <cellStyle name="Percent 3 5 3 19" xfId="30524" xr:uid="{007795F1-BB2D-4649-B8CE-08E712A1FD9E}"/>
    <cellStyle name="Percent 3 5 3 2" xfId="914" xr:uid="{14337B5A-59F9-49A4-951C-F18E78421FDC}"/>
    <cellStyle name="Percent 3 5 3 2 10" xfId="17924" xr:uid="{374DE01D-3C65-46CA-AFCD-A5FB37B302A7}"/>
    <cellStyle name="Percent 3 5 3 2 11" xfId="19814" xr:uid="{A7281E0D-1F69-401C-9F77-5B2399C5FA6E}"/>
    <cellStyle name="Percent 3 5 3 2 12" xfId="21704" xr:uid="{4154A479-064D-40C3-92AC-F09797A5B6CA}"/>
    <cellStyle name="Percent 3 5 3 2 13" xfId="23594" xr:uid="{B7AA3004-86B2-4F13-859F-3CCC31758EBB}"/>
    <cellStyle name="Percent 3 5 3 2 14" xfId="25484" xr:uid="{930BB3A2-ACBE-4DF8-B1F4-671010E0BD6E}"/>
    <cellStyle name="Percent 3 5 3 2 15" xfId="27374" xr:uid="{1EA3C552-DB06-4BE7-A23D-28D5F39B7C43}"/>
    <cellStyle name="Percent 3 5 3 2 16" xfId="29264" xr:uid="{F0873F22-85C8-485C-9B91-2983CB2F8188}"/>
    <cellStyle name="Percent 3 5 3 2 17" xfId="31154" xr:uid="{C27BCC6B-592D-4EFE-8384-BD57D34585DA}"/>
    <cellStyle name="Percent 3 5 3 2 18" xfId="33044" xr:uid="{C8986A73-E042-4CEC-A29C-9DFB502E4DBD}"/>
    <cellStyle name="Percent 3 5 3 2 19" xfId="34934" xr:uid="{2F07BAA9-7D26-4035-8661-3CEB9559B514}"/>
    <cellStyle name="Percent 3 5 3 2 2" xfId="2804" xr:uid="{16304000-F499-49FF-85C8-8630AFE64DF2}"/>
    <cellStyle name="Percent 3 5 3 2 20" xfId="36824" xr:uid="{68CDAA79-137D-4022-9A90-19841AC426A0}"/>
    <cellStyle name="Percent 3 5 3 2 21" xfId="38714" xr:uid="{6CA02CB6-AF84-4389-AB6B-670AA2298F79}"/>
    <cellStyle name="Percent 3 5 3 2 22" xfId="40605" xr:uid="{CD24E0AB-A235-4CD8-9F9F-D6B6152D08FE}"/>
    <cellStyle name="Percent 3 5 3 2 3" xfId="4694" xr:uid="{8D32FD53-CCFF-44B7-BD62-BD315B87DCA3}"/>
    <cellStyle name="Percent 3 5 3 2 4" xfId="6584" xr:uid="{F199A848-8EED-45B4-9EA1-5C8D36093DAB}"/>
    <cellStyle name="Percent 3 5 3 2 5" xfId="8474" xr:uid="{3B383D94-B705-4712-9A81-E0731798F3A1}"/>
    <cellStyle name="Percent 3 5 3 2 6" xfId="10364" xr:uid="{D36827AE-20AE-4074-8966-E2B5E2986C1B}"/>
    <cellStyle name="Percent 3 5 3 2 7" xfId="12254" xr:uid="{FA928E19-C9EB-485C-B1D1-D193D4F8B7FF}"/>
    <cellStyle name="Percent 3 5 3 2 8" xfId="14144" xr:uid="{49BD568E-E44A-4200-89D9-8136DD092040}"/>
    <cellStyle name="Percent 3 5 3 2 9" xfId="16034" xr:uid="{2A3BC05D-6E48-407C-8418-B9236357C6DA}"/>
    <cellStyle name="Percent 3 5 3 20" xfId="32414" xr:uid="{64F24A8B-8518-4781-8A54-D5867AC9F298}"/>
    <cellStyle name="Percent 3 5 3 21" xfId="34304" xr:uid="{B996772C-4BC7-40CC-A90E-DAEED09552F6}"/>
    <cellStyle name="Percent 3 5 3 22" xfId="36194" xr:uid="{AA58047E-A547-4D91-B91C-0040EA1AD0B1}"/>
    <cellStyle name="Percent 3 5 3 23" xfId="38084" xr:uid="{EC695775-C60E-4058-B646-A84792927823}"/>
    <cellStyle name="Percent 3 5 3 24" xfId="39975" xr:uid="{6831403F-B148-48A9-AB82-6F69D9FB147D}"/>
    <cellStyle name="Percent 3 5 3 3" xfId="1544" xr:uid="{74A3387F-22E1-49E2-BBB7-E17FF85D0504}"/>
    <cellStyle name="Percent 3 5 3 3 10" xfId="18554" xr:uid="{BCB3D77F-1A26-44F4-8E4B-32897CA2CDBE}"/>
    <cellStyle name="Percent 3 5 3 3 11" xfId="20444" xr:uid="{F9709C75-EEDC-4186-86C3-57A908E47300}"/>
    <cellStyle name="Percent 3 5 3 3 12" xfId="22334" xr:uid="{D1D9BB28-0539-44DA-B134-48B4DF50EE60}"/>
    <cellStyle name="Percent 3 5 3 3 13" xfId="24224" xr:uid="{9A9EFDA6-5A2E-4B13-A284-6ED870C1C3A2}"/>
    <cellStyle name="Percent 3 5 3 3 14" xfId="26114" xr:uid="{D4366C9B-BF6C-49AE-9B97-7F59A775567B}"/>
    <cellStyle name="Percent 3 5 3 3 15" xfId="28004" xr:uid="{F07BF1B2-A5FE-4A22-B6F9-A24F52343354}"/>
    <cellStyle name="Percent 3 5 3 3 16" xfId="29894" xr:uid="{E67EF7BC-2400-4F4E-A1CB-F05DD1B11519}"/>
    <cellStyle name="Percent 3 5 3 3 17" xfId="31784" xr:uid="{8ED761B9-66A7-45D9-9C1C-2482B9158180}"/>
    <cellStyle name="Percent 3 5 3 3 18" xfId="33674" xr:uid="{8A1CAE38-E521-4744-8BF1-852BBD7995AD}"/>
    <cellStyle name="Percent 3 5 3 3 19" xfId="35564" xr:uid="{EAA0C9E3-7F52-42BA-999F-E00478DE0C05}"/>
    <cellStyle name="Percent 3 5 3 3 2" xfId="3434" xr:uid="{CCDECC60-D675-4731-A42B-B9367E8872BE}"/>
    <cellStyle name="Percent 3 5 3 3 20" xfId="37454" xr:uid="{F4BD2742-6F5D-4E91-9561-E4773BDE067D}"/>
    <cellStyle name="Percent 3 5 3 3 21" xfId="39344" xr:uid="{2FC5AA1E-1C3C-47C6-93E9-60D3E28D5111}"/>
    <cellStyle name="Percent 3 5 3 3 22" xfId="41235" xr:uid="{790AB39A-E29F-49A2-8E0F-358EA3EA3D8F}"/>
    <cellStyle name="Percent 3 5 3 3 3" xfId="5324" xr:uid="{CFA0D4F2-6877-4A05-87D0-7974BA0C4219}"/>
    <cellStyle name="Percent 3 5 3 3 4" xfId="7214" xr:uid="{D497CECF-AE62-487B-9E98-02E53E144FBB}"/>
    <cellStyle name="Percent 3 5 3 3 5" xfId="9104" xr:uid="{0417C7EF-31AB-4323-80AB-13FA7E9B1D87}"/>
    <cellStyle name="Percent 3 5 3 3 6" xfId="10994" xr:uid="{39A9453A-C4D6-490A-816C-47B3BE2DDE9A}"/>
    <cellStyle name="Percent 3 5 3 3 7" xfId="12884" xr:uid="{5D2DA395-E767-4FF0-AE33-9C56A48D12ED}"/>
    <cellStyle name="Percent 3 5 3 3 8" xfId="14774" xr:uid="{60484357-B03C-4B59-ADB9-B99EC399AA3F}"/>
    <cellStyle name="Percent 3 5 3 3 9" xfId="16664" xr:uid="{B9228865-127A-41F0-9A18-C5591FF60865}"/>
    <cellStyle name="Percent 3 5 3 4" xfId="2174" xr:uid="{8724CC6C-1ED4-4B11-858D-CCF009453CAC}"/>
    <cellStyle name="Percent 3 5 3 5" xfId="4064" xr:uid="{19A493D3-C7E7-4E63-A1FB-05CCC4A43C96}"/>
    <cellStyle name="Percent 3 5 3 6" xfId="5954" xr:uid="{96BEB126-41CD-491B-BE8D-D10ECC8A8A59}"/>
    <cellStyle name="Percent 3 5 3 7" xfId="7844" xr:uid="{B32A63D2-08A9-41A4-BF40-D6728E327633}"/>
    <cellStyle name="Percent 3 5 3 8" xfId="9734" xr:uid="{174BFD54-643D-4551-B197-FF36D897B7E0}"/>
    <cellStyle name="Percent 3 5 3 9" xfId="11624" xr:uid="{DD5B8BC7-C3A6-43CD-B179-DEA67C25426C}"/>
    <cellStyle name="Percent 3 5 4" xfId="494" xr:uid="{FF6C6452-2288-4D21-BAC0-76597EBDBDF8}"/>
    <cellStyle name="Percent 3 5 4 10" xfId="13724" xr:uid="{C5CB9F17-3E2A-41A6-9AEE-E3E4D9D15A01}"/>
    <cellStyle name="Percent 3 5 4 11" xfId="15614" xr:uid="{D59326E7-838C-4604-BF2E-819FD8432CD2}"/>
    <cellStyle name="Percent 3 5 4 12" xfId="17504" xr:uid="{5624E3DE-9756-4D26-B2EF-69FBEC0FB303}"/>
    <cellStyle name="Percent 3 5 4 13" xfId="19394" xr:uid="{F7A98C5C-E515-4319-B6C1-49132D128B9F}"/>
    <cellStyle name="Percent 3 5 4 14" xfId="21284" xr:uid="{C711C385-519C-49A9-9CEB-14224B23879D}"/>
    <cellStyle name="Percent 3 5 4 15" xfId="23174" xr:uid="{90D5BF11-756A-49B1-ADAA-333FAA319363}"/>
    <cellStyle name="Percent 3 5 4 16" xfId="25064" xr:uid="{3FC24AFA-E8CE-4847-AC36-C8D3C4F97A6D}"/>
    <cellStyle name="Percent 3 5 4 17" xfId="26954" xr:uid="{4F49CCE5-2B61-41C2-ABC6-AF75E9896920}"/>
    <cellStyle name="Percent 3 5 4 18" xfId="28844" xr:uid="{89CDDE55-C6B2-4BD1-A0A1-B1F61761361E}"/>
    <cellStyle name="Percent 3 5 4 19" xfId="30734" xr:uid="{1DEAE4EA-B7FF-4A0D-89BC-4BF75E2FD7E9}"/>
    <cellStyle name="Percent 3 5 4 2" xfId="1124" xr:uid="{65D386B2-343F-4F75-8643-F83A4D28BD32}"/>
    <cellStyle name="Percent 3 5 4 2 10" xfId="18134" xr:uid="{E3ABFB42-38B0-4D25-812F-5792E4674962}"/>
    <cellStyle name="Percent 3 5 4 2 11" xfId="20024" xr:uid="{0F3769FD-AAC0-4094-BA3C-02E83C813A2C}"/>
    <cellStyle name="Percent 3 5 4 2 12" xfId="21914" xr:uid="{A2997915-1B38-4A19-B75A-573F96FD22F1}"/>
    <cellStyle name="Percent 3 5 4 2 13" xfId="23804" xr:uid="{B73EF6F2-5A21-4AFF-BA5D-29B2928BE156}"/>
    <cellStyle name="Percent 3 5 4 2 14" xfId="25694" xr:uid="{3EF2BAEC-285E-4351-BEBA-1EE77A00E99F}"/>
    <cellStyle name="Percent 3 5 4 2 15" xfId="27584" xr:uid="{D9B0177E-05CD-46C4-8817-DC5AEC3AC602}"/>
    <cellStyle name="Percent 3 5 4 2 16" xfId="29474" xr:uid="{308E493E-BA87-4F55-A047-F4141C1F3DF1}"/>
    <cellStyle name="Percent 3 5 4 2 17" xfId="31364" xr:uid="{1DD5F477-39A7-4122-8CAE-ED1A9B30F634}"/>
    <cellStyle name="Percent 3 5 4 2 18" xfId="33254" xr:uid="{9C2E8124-F117-4F27-B0D6-F518B511C21F}"/>
    <cellStyle name="Percent 3 5 4 2 19" xfId="35144" xr:uid="{B0348328-1234-4B22-B486-409DA9FAEDAA}"/>
    <cellStyle name="Percent 3 5 4 2 2" xfId="3014" xr:uid="{2823A150-5892-4B00-AF38-E736CAB3CC44}"/>
    <cellStyle name="Percent 3 5 4 2 20" xfId="37034" xr:uid="{C48E18B9-272C-48CC-A5A6-ACBEA48CB636}"/>
    <cellStyle name="Percent 3 5 4 2 21" xfId="38924" xr:uid="{8B6247C3-A74D-4136-B097-E22C77AD2B67}"/>
    <cellStyle name="Percent 3 5 4 2 22" xfId="40815" xr:uid="{896EA2C4-9781-4160-A023-3EE23DE3CE87}"/>
    <cellStyle name="Percent 3 5 4 2 3" xfId="4904" xr:uid="{EC710CCE-149E-4ABB-866C-4B6ACBB65657}"/>
    <cellStyle name="Percent 3 5 4 2 4" xfId="6794" xr:uid="{5DE193B5-E832-4672-877E-D2C31D4CA530}"/>
    <cellStyle name="Percent 3 5 4 2 5" xfId="8684" xr:uid="{A9F93696-76C8-46AC-981E-E55142E4BCFB}"/>
    <cellStyle name="Percent 3 5 4 2 6" xfId="10574" xr:uid="{E48B9A26-9B52-4A56-A598-79D327247FA1}"/>
    <cellStyle name="Percent 3 5 4 2 7" xfId="12464" xr:uid="{FCD7D757-D425-4421-B598-677FEDDFC749}"/>
    <cellStyle name="Percent 3 5 4 2 8" xfId="14354" xr:uid="{C7BD67CD-1BE7-4515-8A42-23F8B37918E5}"/>
    <cellStyle name="Percent 3 5 4 2 9" xfId="16244" xr:uid="{56B52347-0A76-4AB2-A6D7-2D9685BA2EEA}"/>
    <cellStyle name="Percent 3 5 4 20" xfId="32624" xr:uid="{7E075BA1-0D09-44DB-A4F3-7A9DAA795912}"/>
    <cellStyle name="Percent 3 5 4 21" xfId="34514" xr:uid="{D75B1186-9E4A-459A-8970-2B85DCEC776B}"/>
    <cellStyle name="Percent 3 5 4 22" xfId="36404" xr:uid="{ED50EFE1-9D07-4CCF-A906-699CE02D4E08}"/>
    <cellStyle name="Percent 3 5 4 23" xfId="38294" xr:uid="{EAC889E6-4850-4ED0-9AF4-32DAD8F6443B}"/>
    <cellStyle name="Percent 3 5 4 24" xfId="40185" xr:uid="{0F945AC7-68F8-4742-91E7-BF28635F17D1}"/>
    <cellStyle name="Percent 3 5 4 3" xfId="1754" xr:uid="{0A76CDE9-FE83-484D-8E63-AAD4076678AF}"/>
    <cellStyle name="Percent 3 5 4 3 10" xfId="18764" xr:uid="{367DB738-7975-4976-A90E-46B450BB69E3}"/>
    <cellStyle name="Percent 3 5 4 3 11" xfId="20654" xr:uid="{587A3579-41D7-47D1-B5DA-AD0101E015BD}"/>
    <cellStyle name="Percent 3 5 4 3 12" xfId="22544" xr:uid="{50B15A2A-29CD-4BE3-A684-67EB8B00CB7A}"/>
    <cellStyle name="Percent 3 5 4 3 13" xfId="24434" xr:uid="{8410AF2F-F352-41C8-BB83-B5A08EF5104C}"/>
    <cellStyle name="Percent 3 5 4 3 14" xfId="26324" xr:uid="{A273AF08-8DD4-4FCA-8F6E-198C96EFB6DA}"/>
    <cellStyle name="Percent 3 5 4 3 15" xfId="28214" xr:uid="{89DD2455-39CE-45D0-AE3B-E9C3C5CED256}"/>
    <cellStyle name="Percent 3 5 4 3 16" xfId="30104" xr:uid="{BE5C9A09-8DC3-4B0C-8B62-88E836958FA6}"/>
    <cellStyle name="Percent 3 5 4 3 17" xfId="31994" xr:uid="{D879F8AA-F08B-437D-93F9-40E1B3C1D1A7}"/>
    <cellStyle name="Percent 3 5 4 3 18" xfId="33884" xr:uid="{186E6371-7BF0-4798-9101-C6F1769D2A93}"/>
    <cellStyle name="Percent 3 5 4 3 19" xfId="35774" xr:uid="{33207218-D4F2-4DB2-AA2B-C5499F1D0044}"/>
    <cellStyle name="Percent 3 5 4 3 2" xfId="3644" xr:uid="{1E419227-F6C6-49ED-9DCE-EA95E1AF1C1A}"/>
    <cellStyle name="Percent 3 5 4 3 20" xfId="37664" xr:uid="{426DA9B7-12E2-46BF-8942-0C2C3724DEF0}"/>
    <cellStyle name="Percent 3 5 4 3 21" xfId="39554" xr:uid="{D4A0C59F-9723-4263-8661-A8EDA7D8B399}"/>
    <cellStyle name="Percent 3 5 4 3 22" xfId="41445" xr:uid="{08C51F1E-D095-42B8-95A3-9BE4251CB45A}"/>
    <cellStyle name="Percent 3 5 4 3 3" xfId="5534" xr:uid="{6FE80B51-EF97-450D-A713-18D364BE0D8B}"/>
    <cellStyle name="Percent 3 5 4 3 4" xfId="7424" xr:uid="{7CE0739C-DAD8-40C2-B1CD-6EF9B16A186A}"/>
    <cellStyle name="Percent 3 5 4 3 5" xfId="9314" xr:uid="{814DF270-3B6C-457F-B732-86575FA7F21D}"/>
    <cellStyle name="Percent 3 5 4 3 6" xfId="11204" xr:uid="{40FD6044-3CF1-496B-878F-CF156BE74BA9}"/>
    <cellStyle name="Percent 3 5 4 3 7" xfId="13094" xr:uid="{291B1D5D-DB6F-4F41-B684-E3F96525762D}"/>
    <cellStyle name="Percent 3 5 4 3 8" xfId="14984" xr:uid="{E2E43476-9CF7-4384-B58B-B20241C71065}"/>
    <cellStyle name="Percent 3 5 4 3 9" xfId="16874" xr:uid="{86F815D5-8588-4DC8-8C37-A7EAD55172B5}"/>
    <cellStyle name="Percent 3 5 4 4" xfId="2384" xr:uid="{8E208B9C-C010-4F05-AAB3-F5BF4701822F}"/>
    <cellStyle name="Percent 3 5 4 5" xfId="4274" xr:uid="{EDF5EFDE-4477-4C6C-BD0F-3172F3B7BC60}"/>
    <cellStyle name="Percent 3 5 4 6" xfId="6164" xr:uid="{B9316ABA-7F72-4FDA-A957-C2EFDBC388F0}"/>
    <cellStyle name="Percent 3 5 4 7" xfId="8054" xr:uid="{7B8D880D-252C-4C02-B731-4972DF4233B3}"/>
    <cellStyle name="Percent 3 5 4 8" xfId="9944" xr:uid="{1FCCC7D0-ABB9-4D85-AA77-7BB108674A8C}"/>
    <cellStyle name="Percent 3 5 4 9" xfId="11834" xr:uid="{5B4CD3A5-7EB4-4BA2-B4EC-90491DC705B0}"/>
    <cellStyle name="Percent 3 5 5" xfId="704" xr:uid="{8E4D851F-2BD0-465F-B880-1A086CA8773A}"/>
    <cellStyle name="Percent 3 5 5 10" xfId="17714" xr:uid="{2FEABF94-8EED-4DBA-AD60-D62850B90961}"/>
    <cellStyle name="Percent 3 5 5 11" xfId="19604" xr:uid="{09782C3E-765B-4AE0-9620-5ECC4AE4EEF7}"/>
    <cellStyle name="Percent 3 5 5 12" xfId="21494" xr:uid="{CD6D15A9-DD23-451B-BEF7-F24C050AE85D}"/>
    <cellStyle name="Percent 3 5 5 13" xfId="23384" xr:uid="{664B899C-20CC-4207-B49E-A3946D8F78EF}"/>
    <cellStyle name="Percent 3 5 5 14" xfId="25274" xr:uid="{98819B94-30AA-47D9-87FF-420B7F09D5AC}"/>
    <cellStyle name="Percent 3 5 5 15" xfId="27164" xr:uid="{284F7161-CDA0-46F6-A5F9-DC821E9A4731}"/>
    <cellStyle name="Percent 3 5 5 16" xfId="29054" xr:uid="{675B563B-A9F3-4118-8845-D219BF7EF438}"/>
    <cellStyle name="Percent 3 5 5 17" xfId="30944" xr:uid="{79C17D85-6227-4F36-B47F-4406C79DA957}"/>
    <cellStyle name="Percent 3 5 5 18" xfId="32834" xr:uid="{AA164F16-5996-4957-BC51-9C6C0158C377}"/>
    <cellStyle name="Percent 3 5 5 19" xfId="34724" xr:uid="{FD8347DF-0025-44FE-860A-9F834511C314}"/>
    <cellStyle name="Percent 3 5 5 2" xfId="2594" xr:uid="{A0E56ECD-A05D-47A2-AF0D-63FBF1124468}"/>
    <cellStyle name="Percent 3 5 5 20" xfId="36614" xr:uid="{337229DE-4E0F-47FA-A938-2EE4AFCF42F9}"/>
    <cellStyle name="Percent 3 5 5 21" xfId="38504" xr:uid="{806119A8-9F0C-42DE-BAAD-41C8437C7F24}"/>
    <cellStyle name="Percent 3 5 5 22" xfId="40395" xr:uid="{12577A68-EE6A-430D-9640-F4AD670609BE}"/>
    <cellStyle name="Percent 3 5 5 3" xfId="4484" xr:uid="{545AC3AF-1A10-44C0-B5A3-BF703EA5FA29}"/>
    <cellStyle name="Percent 3 5 5 4" xfId="6374" xr:uid="{57CDE73B-B9A0-4066-9196-72E31782DCDA}"/>
    <cellStyle name="Percent 3 5 5 5" xfId="8264" xr:uid="{317F8D01-4625-48E4-BF31-575676417DC7}"/>
    <cellStyle name="Percent 3 5 5 6" xfId="10154" xr:uid="{414391B8-16FA-491A-8B45-C614DB7FAA01}"/>
    <cellStyle name="Percent 3 5 5 7" xfId="12044" xr:uid="{6018C5E2-533F-42FA-820C-F69EA5CE1BE8}"/>
    <cellStyle name="Percent 3 5 5 8" xfId="13934" xr:uid="{146448C1-D766-4DE5-AD6A-789AC1C6BAC0}"/>
    <cellStyle name="Percent 3 5 5 9" xfId="15824" xr:uid="{252E3A3B-2F5F-472D-873A-F9AAB4ADFF19}"/>
    <cellStyle name="Percent 3 5 6" xfId="1334" xr:uid="{2EC951BE-5F64-4707-95B9-B625824633D8}"/>
    <cellStyle name="Percent 3 5 6 10" xfId="18344" xr:uid="{87E50798-6BFA-462B-A9CD-F9E703DBC17F}"/>
    <cellStyle name="Percent 3 5 6 11" xfId="20234" xr:uid="{BF279532-0F65-44B7-B292-5E9EEFD1405B}"/>
    <cellStyle name="Percent 3 5 6 12" xfId="22124" xr:uid="{9289B2B6-3D42-4251-AC42-CD6B6EDAF452}"/>
    <cellStyle name="Percent 3 5 6 13" xfId="24014" xr:uid="{CB160112-387E-453F-90EE-E65777635DB0}"/>
    <cellStyle name="Percent 3 5 6 14" xfId="25904" xr:uid="{11E906AD-7113-4C1C-9EA2-174AF62D7B8E}"/>
    <cellStyle name="Percent 3 5 6 15" xfId="27794" xr:uid="{059E98DA-8C21-445A-80E9-CB3A8F294029}"/>
    <cellStyle name="Percent 3 5 6 16" xfId="29684" xr:uid="{C77EF2A3-3300-4433-9FC6-0653A3399F12}"/>
    <cellStyle name="Percent 3 5 6 17" xfId="31574" xr:uid="{ECF5DF23-EB74-4D82-B473-9B58044B2B9B}"/>
    <cellStyle name="Percent 3 5 6 18" xfId="33464" xr:uid="{26DEF2B0-7229-46F4-AC4B-4B5526FFB6F7}"/>
    <cellStyle name="Percent 3 5 6 19" xfId="35354" xr:uid="{20C2D0CA-2F50-414B-9BA8-4D2037D6A76B}"/>
    <cellStyle name="Percent 3 5 6 2" xfId="3224" xr:uid="{C175D92D-2FDC-4244-B85A-54B7FF9F222A}"/>
    <cellStyle name="Percent 3 5 6 20" xfId="37244" xr:uid="{A2F147DB-5337-45B0-BFA7-F94F4F81FA51}"/>
    <cellStyle name="Percent 3 5 6 21" xfId="39134" xr:uid="{59076C23-AABB-4826-A4EC-4AE397D36A97}"/>
    <cellStyle name="Percent 3 5 6 22" xfId="41025" xr:uid="{43157601-723A-4DCB-9E84-BC379536C486}"/>
    <cellStyle name="Percent 3 5 6 3" xfId="5114" xr:uid="{FA26FB7C-BE3A-434A-A445-F2EDCDEEBEC1}"/>
    <cellStyle name="Percent 3 5 6 4" xfId="7004" xr:uid="{2F5C927A-6BD9-461E-A856-90113FD534EF}"/>
    <cellStyle name="Percent 3 5 6 5" xfId="8894" xr:uid="{FB4B21FA-8DF0-4533-89F8-619F47297217}"/>
    <cellStyle name="Percent 3 5 6 6" xfId="10784" xr:uid="{4E3F98B2-80A1-466C-B075-25454B17FA3C}"/>
    <cellStyle name="Percent 3 5 6 7" xfId="12674" xr:uid="{49E6BEC3-DD4D-48A6-93AB-F1B4ADE8CFCD}"/>
    <cellStyle name="Percent 3 5 6 8" xfId="14564" xr:uid="{D71EC933-9308-486E-B935-09744E7B0AF2}"/>
    <cellStyle name="Percent 3 5 6 9" xfId="16454" xr:uid="{CD426D09-CE0D-406D-B9A1-7B143CAF81A6}"/>
    <cellStyle name="Percent 3 5 7" xfId="1964" xr:uid="{ABC8C4B2-C458-457D-8CD3-282AEB29AC25}"/>
    <cellStyle name="Percent 3 5 8" xfId="3854" xr:uid="{D6982809-9C2C-4474-B281-35C84E1FD1B5}"/>
    <cellStyle name="Percent 3 5 9" xfId="5744" xr:uid="{5B954B3C-E9F1-47BA-998B-C22064B0CC00}"/>
    <cellStyle name="Percent 3 6" xfId="144" xr:uid="{0E4AF09F-C33F-44D0-B973-FD560BD3D658}"/>
    <cellStyle name="Percent 3 6 10" xfId="9594" xr:uid="{D173408E-19A2-4C6A-82BB-9EA33B0C1BEF}"/>
    <cellStyle name="Percent 3 6 11" xfId="11484" xr:uid="{45BAC20E-5BF6-4C84-A8E5-4087D1FCF665}"/>
    <cellStyle name="Percent 3 6 12" xfId="13374" xr:uid="{84360D94-14ED-41CF-BDBA-4D03D627CC03}"/>
    <cellStyle name="Percent 3 6 13" xfId="15264" xr:uid="{121D399A-9051-4ADA-B150-84714770CF58}"/>
    <cellStyle name="Percent 3 6 14" xfId="17154" xr:uid="{9DFBE3DA-D66D-46C0-BCC5-938D5A10051E}"/>
    <cellStyle name="Percent 3 6 15" xfId="19044" xr:uid="{3340D90B-B89F-4EBC-9B95-D8E39EE7C537}"/>
    <cellStyle name="Percent 3 6 16" xfId="20934" xr:uid="{3DE43C54-C607-4F86-8435-CF3F1C25A12B}"/>
    <cellStyle name="Percent 3 6 17" xfId="22824" xr:uid="{4EF2FD01-B661-4247-B553-D8A574BFB980}"/>
    <cellStyle name="Percent 3 6 18" xfId="24714" xr:uid="{DC9D5E31-F365-4C80-AE70-9B39DB315037}"/>
    <cellStyle name="Percent 3 6 19" xfId="26604" xr:uid="{7B6CC7B3-2726-4D4C-8122-FE65AEC8D51B}"/>
    <cellStyle name="Percent 3 6 2" xfId="354" xr:uid="{15AD4046-6808-4F0F-891F-32788F5666A8}"/>
    <cellStyle name="Percent 3 6 2 10" xfId="13584" xr:uid="{0B450B57-222A-4131-8B7D-1BEBC0C7FD7B}"/>
    <cellStyle name="Percent 3 6 2 11" xfId="15474" xr:uid="{361B1F29-F1A8-422A-A678-51E1676D9632}"/>
    <cellStyle name="Percent 3 6 2 12" xfId="17364" xr:uid="{07653F13-1000-4E02-874B-B7E9827CC273}"/>
    <cellStyle name="Percent 3 6 2 13" xfId="19254" xr:uid="{CB36F8CB-C000-460B-89D1-220C12B9391F}"/>
    <cellStyle name="Percent 3 6 2 14" xfId="21144" xr:uid="{D749A98F-3CB6-484C-8071-72D55CF69312}"/>
    <cellStyle name="Percent 3 6 2 15" xfId="23034" xr:uid="{F0D4F488-1036-41E2-8637-D7333917D1B7}"/>
    <cellStyle name="Percent 3 6 2 16" xfId="24924" xr:uid="{1AB3292D-0E34-4DF2-93ED-D34D851F1CA9}"/>
    <cellStyle name="Percent 3 6 2 17" xfId="26814" xr:uid="{A27B872B-831A-410D-A789-935707E896F2}"/>
    <cellStyle name="Percent 3 6 2 18" xfId="28704" xr:uid="{FBD88343-E409-49A4-AC3E-F926B9CDD0CE}"/>
    <cellStyle name="Percent 3 6 2 19" xfId="30594" xr:uid="{64294799-DC07-4BA6-AC2D-560D4FEC8C7C}"/>
    <cellStyle name="Percent 3 6 2 2" xfId="984" xr:uid="{8DC04EDC-6399-4A5A-92E8-CF72AE16FCE4}"/>
    <cellStyle name="Percent 3 6 2 2 10" xfId="17994" xr:uid="{75A42DED-02F9-4060-AF3B-6C5FC7A0A49C}"/>
    <cellStyle name="Percent 3 6 2 2 11" xfId="19884" xr:uid="{F797A6A9-EF15-45BD-95D0-E68D016A027D}"/>
    <cellStyle name="Percent 3 6 2 2 12" xfId="21774" xr:uid="{AD636D4B-E95F-4E15-AC49-094C47577DF8}"/>
    <cellStyle name="Percent 3 6 2 2 13" xfId="23664" xr:uid="{5D366182-E2C3-4347-8768-A7E2B040FFA4}"/>
    <cellStyle name="Percent 3 6 2 2 14" xfId="25554" xr:uid="{A59B06B9-537E-42A7-BD87-1177E1070A0B}"/>
    <cellStyle name="Percent 3 6 2 2 15" xfId="27444" xr:uid="{509D1E4C-6E7D-4A9C-9F8F-8FDC62179B11}"/>
    <cellStyle name="Percent 3 6 2 2 16" xfId="29334" xr:uid="{08A47645-2B50-47D4-ADA1-53F1DFE02398}"/>
    <cellStyle name="Percent 3 6 2 2 17" xfId="31224" xr:uid="{36BF94AF-3C47-4E3E-975A-35A6C30BAE9A}"/>
    <cellStyle name="Percent 3 6 2 2 18" xfId="33114" xr:uid="{A63A69BC-870A-4C75-A3CA-D6D76BB5EABA}"/>
    <cellStyle name="Percent 3 6 2 2 19" xfId="35004" xr:uid="{6AFC16CF-F775-4EED-A61D-EB1BE40A1B08}"/>
    <cellStyle name="Percent 3 6 2 2 2" xfId="2874" xr:uid="{BCB4D5D6-26C2-4392-8BC5-A642FE79AF03}"/>
    <cellStyle name="Percent 3 6 2 2 20" xfId="36894" xr:uid="{CB964AC0-DBAC-4DBF-815E-A42667DD9584}"/>
    <cellStyle name="Percent 3 6 2 2 21" xfId="38784" xr:uid="{F11F086F-790C-4D98-A221-3D46FCAF91CE}"/>
    <cellStyle name="Percent 3 6 2 2 22" xfId="40675" xr:uid="{6F1DFB8D-8ED2-4370-AAB2-E3BE27AFF062}"/>
    <cellStyle name="Percent 3 6 2 2 3" xfId="4764" xr:uid="{7773E470-F5FE-4715-8902-A3F34045B796}"/>
    <cellStyle name="Percent 3 6 2 2 4" xfId="6654" xr:uid="{3A478C24-678B-4753-B5F9-56D55E142431}"/>
    <cellStyle name="Percent 3 6 2 2 5" xfId="8544" xr:uid="{D75829E2-B4DF-4B2A-B21C-97C19C505C2B}"/>
    <cellStyle name="Percent 3 6 2 2 6" xfId="10434" xr:uid="{5D10D740-AB02-4F0B-AC43-1740E2046BCA}"/>
    <cellStyle name="Percent 3 6 2 2 7" xfId="12324" xr:uid="{302F9A15-D69F-48FE-82A0-DDE47B8FEE74}"/>
    <cellStyle name="Percent 3 6 2 2 8" xfId="14214" xr:uid="{66F792B2-8AE7-4135-BF79-E25F8FBCD8FD}"/>
    <cellStyle name="Percent 3 6 2 2 9" xfId="16104" xr:uid="{094A9D09-B8DF-4E61-A70A-59700207C5D2}"/>
    <cellStyle name="Percent 3 6 2 20" xfId="32484" xr:uid="{D86070FB-164D-47C9-8993-CCA73441F160}"/>
    <cellStyle name="Percent 3 6 2 21" xfId="34374" xr:uid="{2AE1FDE9-32AA-4FEB-A2E3-0FDD0EFC4167}"/>
    <cellStyle name="Percent 3 6 2 22" xfId="36264" xr:uid="{531CB635-0FDC-4639-B416-D5A61016225B}"/>
    <cellStyle name="Percent 3 6 2 23" xfId="38154" xr:uid="{AB237415-F61E-475C-8AE6-DBCA6BF4DD0A}"/>
    <cellStyle name="Percent 3 6 2 24" xfId="40045" xr:uid="{73D3568E-F2FD-4640-9F5D-F0F37465CC06}"/>
    <cellStyle name="Percent 3 6 2 3" xfId="1614" xr:uid="{F67242DE-D4A9-4AD8-9C8B-043B8AF389EC}"/>
    <cellStyle name="Percent 3 6 2 3 10" xfId="18624" xr:uid="{D2B242AC-544F-4CB9-8E14-A9D3927EB30C}"/>
    <cellStyle name="Percent 3 6 2 3 11" xfId="20514" xr:uid="{DC9625BB-CCC9-440B-9F47-B39738035E9A}"/>
    <cellStyle name="Percent 3 6 2 3 12" xfId="22404" xr:uid="{BFA678BE-4FFE-4352-BFD8-A97914CAD697}"/>
    <cellStyle name="Percent 3 6 2 3 13" xfId="24294" xr:uid="{A69941AC-27E1-404A-A94A-A41E7E9EA4A7}"/>
    <cellStyle name="Percent 3 6 2 3 14" xfId="26184" xr:uid="{9B2C3388-77A6-4209-9513-2BD48082C8D7}"/>
    <cellStyle name="Percent 3 6 2 3 15" xfId="28074" xr:uid="{75790B85-FBEA-4064-BEF7-54CD6B370597}"/>
    <cellStyle name="Percent 3 6 2 3 16" xfId="29964" xr:uid="{41F87504-5DFD-45E8-9904-DD820395E526}"/>
    <cellStyle name="Percent 3 6 2 3 17" xfId="31854" xr:uid="{35BA9010-77AC-452A-8D43-0C82286C5C8D}"/>
    <cellStyle name="Percent 3 6 2 3 18" xfId="33744" xr:uid="{3D70157D-3124-424B-83A5-9B156BABB979}"/>
    <cellStyle name="Percent 3 6 2 3 19" xfId="35634" xr:uid="{31CB5C93-3AEB-44AB-AF59-D7FE4B1A9147}"/>
    <cellStyle name="Percent 3 6 2 3 2" xfId="3504" xr:uid="{B7869E78-0F51-4FDD-8BB3-C59F1AD53EB1}"/>
    <cellStyle name="Percent 3 6 2 3 20" xfId="37524" xr:uid="{DED25A29-1D6D-49FB-A8CF-659A38C9326E}"/>
    <cellStyle name="Percent 3 6 2 3 21" xfId="39414" xr:uid="{CC10BBB4-F7A6-4501-870C-F93741052861}"/>
    <cellStyle name="Percent 3 6 2 3 22" xfId="41305" xr:uid="{5CBC23DE-DB76-41CC-BC55-C13C001C2487}"/>
    <cellStyle name="Percent 3 6 2 3 3" xfId="5394" xr:uid="{31F73848-9E5A-4868-AFC2-E736AE3CB72F}"/>
    <cellStyle name="Percent 3 6 2 3 4" xfId="7284" xr:uid="{1975B18F-9ED7-4B00-832F-F195670CE902}"/>
    <cellStyle name="Percent 3 6 2 3 5" xfId="9174" xr:uid="{CE9D73FA-80D3-452B-A565-8C0A9EA781D9}"/>
    <cellStyle name="Percent 3 6 2 3 6" xfId="11064" xr:uid="{019C3298-6F4C-4F60-999D-7C656D451D34}"/>
    <cellStyle name="Percent 3 6 2 3 7" xfId="12954" xr:uid="{603CCFD3-2C7D-43C7-B9E2-908F1A86C5D0}"/>
    <cellStyle name="Percent 3 6 2 3 8" xfId="14844" xr:uid="{42F0814E-613F-4BC6-BAC2-FEDED90151ED}"/>
    <cellStyle name="Percent 3 6 2 3 9" xfId="16734" xr:uid="{31E45D19-DCA5-4354-A034-08517FFDAAF0}"/>
    <cellStyle name="Percent 3 6 2 4" xfId="2244" xr:uid="{93C369F9-7810-4136-AA83-8DE296DAC478}"/>
    <cellStyle name="Percent 3 6 2 5" xfId="4134" xr:uid="{4D693D51-2D42-4F91-882E-2DD86D4E04C6}"/>
    <cellStyle name="Percent 3 6 2 6" xfId="6024" xr:uid="{5A79500E-A7AF-480B-9467-202C2E3EB535}"/>
    <cellStyle name="Percent 3 6 2 7" xfId="7914" xr:uid="{D78C4D96-980B-4F9D-ABE3-81911621CB03}"/>
    <cellStyle name="Percent 3 6 2 8" xfId="9804" xr:uid="{C7958255-E311-4985-9D9D-4C18EDE1BE72}"/>
    <cellStyle name="Percent 3 6 2 9" xfId="11694" xr:uid="{FB1D1F72-3E8C-477E-91FC-F74B43A3798F}"/>
    <cellStyle name="Percent 3 6 20" xfId="28494" xr:uid="{4A11D88F-0945-4A92-A2E3-5F43CE0782CB}"/>
    <cellStyle name="Percent 3 6 21" xfId="30384" xr:uid="{BFCC8AD1-ACA6-414A-98C0-0C15BA44B678}"/>
    <cellStyle name="Percent 3 6 22" xfId="32274" xr:uid="{0D57E35F-91F1-4157-950F-5C5E29F2671F}"/>
    <cellStyle name="Percent 3 6 23" xfId="34164" xr:uid="{0019517D-20DF-463C-AF87-1C0B9DB08EDA}"/>
    <cellStyle name="Percent 3 6 24" xfId="36054" xr:uid="{6B9A9A52-A631-406E-A8C7-6AF9C31AEBC9}"/>
    <cellStyle name="Percent 3 6 25" xfId="37944" xr:uid="{3C4D5BB6-F55F-4773-97E7-C25B70A6FCEF}"/>
    <cellStyle name="Percent 3 6 26" xfId="39835" xr:uid="{931BD1C2-BDD7-4863-A623-5111CE09E5C4}"/>
    <cellStyle name="Percent 3 6 3" xfId="564" xr:uid="{8CD85977-F3B1-4634-861D-377C7791BE85}"/>
    <cellStyle name="Percent 3 6 3 10" xfId="13794" xr:uid="{69079049-BB5F-4157-8A0B-7F3E0DAA890E}"/>
    <cellStyle name="Percent 3 6 3 11" xfId="15684" xr:uid="{42E3FE06-587B-47FA-855E-7303864F28DC}"/>
    <cellStyle name="Percent 3 6 3 12" xfId="17574" xr:uid="{843B6A33-2C18-438C-861E-6F07B9CE519C}"/>
    <cellStyle name="Percent 3 6 3 13" xfId="19464" xr:uid="{CD617ED6-6A23-4E3B-9E32-666997A44C57}"/>
    <cellStyle name="Percent 3 6 3 14" xfId="21354" xr:uid="{8B742A85-F0CA-48E0-8B5F-6CFAE67C9E9F}"/>
    <cellStyle name="Percent 3 6 3 15" xfId="23244" xr:uid="{9E62BB59-459E-4C78-8505-32C11760EF37}"/>
    <cellStyle name="Percent 3 6 3 16" xfId="25134" xr:uid="{BED5D3B6-34CF-4888-A370-E411C7A1E3D9}"/>
    <cellStyle name="Percent 3 6 3 17" xfId="27024" xr:uid="{AA5D4091-B58B-4963-A2FA-09753EF9B8F9}"/>
    <cellStyle name="Percent 3 6 3 18" xfId="28914" xr:uid="{2A57ED68-C22F-4A74-AA99-32B2E391CE1C}"/>
    <cellStyle name="Percent 3 6 3 19" xfId="30804" xr:uid="{197F6EE4-306A-4475-95D5-1ED107361456}"/>
    <cellStyle name="Percent 3 6 3 2" xfId="1194" xr:uid="{65FC2FC8-1059-4D67-8CC9-22A388A53077}"/>
    <cellStyle name="Percent 3 6 3 2 10" xfId="18204" xr:uid="{16B097F3-E529-4A02-8522-6E7C9BFAEBB0}"/>
    <cellStyle name="Percent 3 6 3 2 11" xfId="20094" xr:uid="{5EB4D084-7388-4F18-A3E5-806BCFE0251C}"/>
    <cellStyle name="Percent 3 6 3 2 12" xfId="21984" xr:uid="{96A74BAA-3150-4828-9210-64515382766E}"/>
    <cellStyle name="Percent 3 6 3 2 13" xfId="23874" xr:uid="{D4A24072-9901-435D-9E69-BA0F8314A92E}"/>
    <cellStyle name="Percent 3 6 3 2 14" xfId="25764" xr:uid="{3372F07D-3583-4822-AAA3-32A8CB2EA827}"/>
    <cellStyle name="Percent 3 6 3 2 15" xfId="27654" xr:uid="{EBEB22E1-3307-436E-8E41-CE8849117EBA}"/>
    <cellStyle name="Percent 3 6 3 2 16" xfId="29544" xr:uid="{70D94C5D-2B2B-4967-B428-D264BD5E1B5D}"/>
    <cellStyle name="Percent 3 6 3 2 17" xfId="31434" xr:uid="{BEE19CCB-C067-454E-A82E-511E5C360810}"/>
    <cellStyle name="Percent 3 6 3 2 18" xfId="33324" xr:uid="{C065D042-A4C6-4D2B-8505-1012E837E9A3}"/>
    <cellStyle name="Percent 3 6 3 2 19" xfId="35214" xr:uid="{9950FEAB-FD2F-4A14-B38E-FDF305283521}"/>
    <cellStyle name="Percent 3 6 3 2 2" xfId="3084" xr:uid="{A3A67C07-BBE0-4A66-9E31-DF0EE6096754}"/>
    <cellStyle name="Percent 3 6 3 2 20" xfId="37104" xr:uid="{91A8D301-B3EE-456A-9B5A-7700BA1A48B9}"/>
    <cellStyle name="Percent 3 6 3 2 21" xfId="38994" xr:uid="{EE4819F8-3D49-4A4F-BF48-1C0F8A8DBC42}"/>
    <cellStyle name="Percent 3 6 3 2 22" xfId="40885" xr:uid="{2CF65A27-DA5C-49A2-B61F-92BBC7F6A018}"/>
    <cellStyle name="Percent 3 6 3 2 3" xfId="4974" xr:uid="{FBC8B12C-9AB0-4DA5-8AC6-609FCE4C80FB}"/>
    <cellStyle name="Percent 3 6 3 2 4" xfId="6864" xr:uid="{1EC0139B-0D81-42BD-9604-E5CB6615838A}"/>
    <cellStyle name="Percent 3 6 3 2 5" xfId="8754" xr:uid="{FF81CC97-8F3E-481A-B1C6-1867E9C047E5}"/>
    <cellStyle name="Percent 3 6 3 2 6" xfId="10644" xr:uid="{57AF17C5-A61E-400A-BAEF-3F63FEBD2D7C}"/>
    <cellStyle name="Percent 3 6 3 2 7" xfId="12534" xr:uid="{72254FB9-2EF4-4DC5-96E8-C3372C85F4C6}"/>
    <cellStyle name="Percent 3 6 3 2 8" xfId="14424" xr:uid="{A168DA10-EC76-4C31-ACF8-53AD446F5DA5}"/>
    <cellStyle name="Percent 3 6 3 2 9" xfId="16314" xr:uid="{FC9A667B-0E6A-4424-A108-14223ACC70FD}"/>
    <cellStyle name="Percent 3 6 3 20" xfId="32694" xr:uid="{928AE65F-1243-4108-BC90-1531179459B4}"/>
    <cellStyle name="Percent 3 6 3 21" xfId="34584" xr:uid="{04277AE3-9762-447B-9228-A1E67A8F9D46}"/>
    <cellStyle name="Percent 3 6 3 22" xfId="36474" xr:uid="{FA15EB65-6AC3-49BB-8DF5-E6BAC7015A27}"/>
    <cellStyle name="Percent 3 6 3 23" xfId="38364" xr:uid="{E0238ED8-E11B-4CCD-B0A7-2279C6175129}"/>
    <cellStyle name="Percent 3 6 3 24" xfId="40255" xr:uid="{872271AF-1A6B-4997-BCC9-4403385B1768}"/>
    <cellStyle name="Percent 3 6 3 3" xfId="1824" xr:uid="{A37AA949-1ACA-4F28-A645-F7DF8BA06DE1}"/>
    <cellStyle name="Percent 3 6 3 3 10" xfId="18834" xr:uid="{455E59E5-C91A-42D1-92DC-0F8702EAFF1C}"/>
    <cellStyle name="Percent 3 6 3 3 11" xfId="20724" xr:uid="{7B920A0C-CB21-4A55-BDC8-BCA49252D75B}"/>
    <cellStyle name="Percent 3 6 3 3 12" xfId="22614" xr:uid="{1269BC0E-A080-46B1-A3D1-62DA29DD862C}"/>
    <cellStyle name="Percent 3 6 3 3 13" xfId="24504" xr:uid="{6CBDFE63-F659-434B-B9D3-FE310DD7EE0A}"/>
    <cellStyle name="Percent 3 6 3 3 14" xfId="26394" xr:uid="{F9CCBF6F-24EF-4A9A-97EA-B829820C7184}"/>
    <cellStyle name="Percent 3 6 3 3 15" xfId="28284" xr:uid="{EA9A0CEC-F084-4229-B2AD-13E22077AFA1}"/>
    <cellStyle name="Percent 3 6 3 3 16" xfId="30174" xr:uid="{845C7B1E-B3CD-4523-8F6F-F0B7E5AFC5B2}"/>
    <cellStyle name="Percent 3 6 3 3 17" xfId="32064" xr:uid="{6229BE13-2391-494B-97E7-AAA9C00F41CF}"/>
    <cellStyle name="Percent 3 6 3 3 18" xfId="33954" xr:uid="{127EBFAE-367E-4BDA-B85B-B3520D6C4AE1}"/>
    <cellStyle name="Percent 3 6 3 3 19" xfId="35844" xr:uid="{A8F02636-5142-4F1F-B353-A68B91F3E7CE}"/>
    <cellStyle name="Percent 3 6 3 3 2" xfId="3714" xr:uid="{B11C3628-BDC8-45B8-9CAD-151CB5FDF0B6}"/>
    <cellStyle name="Percent 3 6 3 3 20" xfId="37734" xr:uid="{7D086EE0-7D7A-4AC3-9F67-88DE0AFED7CE}"/>
    <cellStyle name="Percent 3 6 3 3 21" xfId="39624" xr:uid="{34C0C690-F3CC-43A5-8D6C-C8F583797A90}"/>
    <cellStyle name="Percent 3 6 3 3 22" xfId="41515" xr:uid="{F5D9B503-7E2E-4DCE-9836-842721A09A00}"/>
    <cellStyle name="Percent 3 6 3 3 3" xfId="5604" xr:uid="{E9B2BE3C-BFA5-4F43-AF84-D18E72424FFE}"/>
    <cellStyle name="Percent 3 6 3 3 4" xfId="7494" xr:uid="{32B63CD6-F462-4D01-B6B9-6721B165F6B2}"/>
    <cellStyle name="Percent 3 6 3 3 5" xfId="9384" xr:uid="{966E7436-251B-403C-8C7B-69AF8512FF17}"/>
    <cellStyle name="Percent 3 6 3 3 6" xfId="11274" xr:uid="{DEEF5825-FE1B-4A49-B0F1-EF9745272DDF}"/>
    <cellStyle name="Percent 3 6 3 3 7" xfId="13164" xr:uid="{1CCA829D-BAC9-49A6-9151-1D02CF373061}"/>
    <cellStyle name="Percent 3 6 3 3 8" xfId="15054" xr:uid="{14F5646A-9BB8-473B-AB06-F961A6235948}"/>
    <cellStyle name="Percent 3 6 3 3 9" xfId="16944" xr:uid="{17615D5A-15F7-44B6-BCE7-7E5854E94D40}"/>
    <cellStyle name="Percent 3 6 3 4" xfId="2454" xr:uid="{581F2405-8FCC-4F16-BC5D-04CBD276C04A}"/>
    <cellStyle name="Percent 3 6 3 5" xfId="4344" xr:uid="{1FFAC1A6-956C-43BD-AC9A-5894F9F2072A}"/>
    <cellStyle name="Percent 3 6 3 6" xfId="6234" xr:uid="{69FE2332-E01F-4734-B99B-F41AEC3B789B}"/>
    <cellStyle name="Percent 3 6 3 7" xfId="8124" xr:uid="{4593DEEA-1BFA-49FB-A0CF-5EF65E5EA731}"/>
    <cellStyle name="Percent 3 6 3 8" xfId="10014" xr:uid="{2AE38DB3-B983-4D03-BF57-E0C026C36C68}"/>
    <cellStyle name="Percent 3 6 3 9" xfId="11904" xr:uid="{71A386F4-1CB0-4E89-8660-EA367538A039}"/>
    <cellStyle name="Percent 3 6 4" xfId="774" xr:uid="{AD1CAF98-E9CF-4314-8633-D02D13657B84}"/>
    <cellStyle name="Percent 3 6 4 10" xfId="17784" xr:uid="{4AE54558-2779-4986-BEF1-23BEC375DD35}"/>
    <cellStyle name="Percent 3 6 4 11" xfId="19674" xr:uid="{E7EFA3CB-A543-4838-A383-6676DCFF8386}"/>
    <cellStyle name="Percent 3 6 4 12" xfId="21564" xr:uid="{AC402390-B419-4633-8C44-C7DB1E9BDE10}"/>
    <cellStyle name="Percent 3 6 4 13" xfId="23454" xr:uid="{98C33ADD-D417-4491-B665-C1FAF5B99C95}"/>
    <cellStyle name="Percent 3 6 4 14" xfId="25344" xr:uid="{77EBBAC6-79C5-41D4-BE8E-1F058DEF4306}"/>
    <cellStyle name="Percent 3 6 4 15" xfId="27234" xr:uid="{E49E761C-074A-4C32-BB19-A1DF95272A72}"/>
    <cellStyle name="Percent 3 6 4 16" xfId="29124" xr:uid="{739924FA-0517-40DE-8519-7BBAC943F964}"/>
    <cellStyle name="Percent 3 6 4 17" xfId="31014" xr:uid="{CE3B2A70-D222-4477-87E3-6363A809F251}"/>
    <cellStyle name="Percent 3 6 4 18" xfId="32904" xr:uid="{8BE37197-5AC0-4C1D-8C95-CD40E216F097}"/>
    <cellStyle name="Percent 3 6 4 19" xfId="34794" xr:uid="{9F03F533-193C-4624-9DA9-9B5F2F35E99A}"/>
    <cellStyle name="Percent 3 6 4 2" xfId="2664" xr:uid="{9F4E2570-6D7A-4F46-A17C-90F8B1BDD4D7}"/>
    <cellStyle name="Percent 3 6 4 20" xfId="36684" xr:uid="{4B6B663B-B30A-45B7-B2EA-81923A8B83C9}"/>
    <cellStyle name="Percent 3 6 4 21" xfId="38574" xr:uid="{AE61428A-3266-4972-926B-00D5FBDED07A}"/>
    <cellStyle name="Percent 3 6 4 22" xfId="40465" xr:uid="{CA36DF22-B515-428B-9D46-301130238126}"/>
    <cellStyle name="Percent 3 6 4 3" xfId="4554" xr:uid="{24B21248-1391-4AFA-BD1B-27D5BBD02285}"/>
    <cellStyle name="Percent 3 6 4 4" xfId="6444" xr:uid="{F2D69EAD-ED77-473F-B046-2E1AFFBD043D}"/>
    <cellStyle name="Percent 3 6 4 5" xfId="8334" xr:uid="{3C135448-CC8F-4AF1-A80B-063A388D98EB}"/>
    <cellStyle name="Percent 3 6 4 6" xfId="10224" xr:uid="{4FFA0651-B61B-41BE-9954-7CE3AAD057E9}"/>
    <cellStyle name="Percent 3 6 4 7" xfId="12114" xr:uid="{C9291974-E9F6-4531-AE49-CCD3B1F48581}"/>
    <cellStyle name="Percent 3 6 4 8" xfId="14004" xr:uid="{DB5E700E-5319-402E-8358-73448BD08C22}"/>
    <cellStyle name="Percent 3 6 4 9" xfId="15894" xr:uid="{8E4BB895-450D-4B50-948A-6F6423B8DF77}"/>
    <cellStyle name="Percent 3 6 5" xfId="1404" xr:uid="{674CBE94-36DE-42CA-AE36-4F899D03A2E6}"/>
    <cellStyle name="Percent 3 6 5 10" xfId="18414" xr:uid="{A317227B-1AF1-4549-BD2B-E341550ABE2F}"/>
    <cellStyle name="Percent 3 6 5 11" xfId="20304" xr:uid="{9B6EB0D4-CCD8-44FE-8F53-87E71A28F74D}"/>
    <cellStyle name="Percent 3 6 5 12" xfId="22194" xr:uid="{0F6CAE83-D0C0-4DBE-8737-EB3C0D129876}"/>
    <cellStyle name="Percent 3 6 5 13" xfId="24084" xr:uid="{4D8AA133-17F1-4A03-9D1B-02626DE2AD7C}"/>
    <cellStyle name="Percent 3 6 5 14" xfId="25974" xr:uid="{AA9611D8-81D3-4264-9F99-7D30BCA90089}"/>
    <cellStyle name="Percent 3 6 5 15" xfId="27864" xr:uid="{3F7DF77B-B5A8-479F-A101-D7CD83D3130A}"/>
    <cellStyle name="Percent 3 6 5 16" xfId="29754" xr:uid="{5CFA5FE9-BD61-4F65-B8B8-F3202B7125B2}"/>
    <cellStyle name="Percent 3 6 5 17" xfId="31644" xr:uid="{7133340A-97E8-4A78-A29E-C1AA4E982F46}"/>
    <cellStyle name="Percent 3 6 5 18" xfId="33534" xr:uid="{03C1F4BB-1C27-48FE-BEFD-380A930E9BE8}"/>
    <cellStyle name="Percent 3 6 5 19" xfId="35424" xr:uid="{7C73E568-F1F4-4493-9458-58536139825F}"/>
    <cellStyle name="Percent 3 6 5 2" xfId="3294" xr:uid="{62BD36D2-C693-4F19-A5DA-FAF95E072393}"/>
    <cellStyle name="Percent 3 6 5 20" xfId="37314" xr:uid="{F00E5A52-8135-4EA1-9F94-C4F2720FEFDA}"/>
    <cellStyle name="Percent 3 6 5 21" xfId="39204" xr:uid="{547EE9A1-1A99-4EEA-9D2A-2E9AEC45BC5F}"/>
    <cellStyle name="Percent 3 6 5 22" xfId="41095" xr:uid="{F9E0031A-A3F9-4B44-8F6A-20BB428F0C01}"/>
    <cellStyle name="Percent 3 6 5 3" xfId="5184" xr:uid="{671D6DF8-977D-44DA-8C72-9323E39B3D32}"/>
    <cellStyle name="Percent 3 6 5 4" xfId="7074" xr:uid="{8D0FA837-A7D2-4616-9DC6-E6032971E19C}"/>
    <cellStyle name="Percent 3 6 5 5" xfId="8964" xr:uid="{F52746BF-CC47-4CF5-B7CA-7BD2A22A5F52}"/>
    <cellStyle name="Percent 3 6 5 6" xfId="10854" xr:uid="{89179E5F-64F7-478D-89B4-5F382CE7CB66}"/>
    <cellStyle name="Percent 3 6 5 7" xfId="12744" xr:uid="{CD12B1FE-E88C-474A-8F70-BFFFD89DD3C2}"/>
    <cellStyle name="Percent 3 6 5 8" xfId="14634" xr:uid="{984124D6-78CB-495E-9F24-409282DE6BB0}"/>
    <cellStyle name="Percent 3 6 5 9" xfId="16524" xr:uid="{5F622F36-ED42-486F-9F2C-AEF3DA6E26A6}"/>
    <cellStyle name="Percent 3 6 6" xfId="2034" xr:uid="{9EC46787-6EC0-4653-A3D4-E214DC36A8E3}"/>
    <cellStyle name="Percent 3 6 7" xfId="3924" xr:uid="{9C1DA95F-2491-4B36-BF39-012A0E6742CB}"/>
    <cellStyle name="Percent 3 6 8" xfId="5814" xr:uid="{1A573675-DA0E-48CF-A011-8064EA3E0049}"/>
    <cellStyle name="Percent 3 6 9" xfId="7704" xr:uid="{9FCF6F18-A5BE-4D7B-89B1-06252378C7C5}"/>
    <cellStyle name="Percent 3 7" xfId="249" xr:uid="{C5474DAD-030F-4765-99A0-7F89D7003FF9}"/>
    <cellStyle name="Percent 3 7 10" xfId="13479" xr:uid="{CB1164D7-98A0-4155-853C-7A2E7BF829FF}"/>
    <cellStyle name="Percent 3 7 11" xfId="15369" xr:uid="{364C6BCE-D78F-47C1-B57D-CC5A179B1014}"/>
    <cellStyle name="Percent 3 7 12" xfId="17259" xr:uid="{7D126050-5ABB-4D5E-9A62-11C32ADD3B26}"/>
    <cellStyle name="Percent 3 7 13" xfId="19149" xr:uid="{525F2D5F-C472-421D-8078-608A4DB014B2}"/>
    <cellStyle name="Percent 3 7 14" xfId="21039" xr:uid="{30B2772E-B9AB-4DFC-9BF5-5D30F59FD349}"/>
    <cellStyle name="Percent 3 7 15" xfId="22929" xr:uid="{35E2DFBF-942A-4800-87FC-F52E4020002F}"/>
    <cellStyle name="Percent 3 7 16" xfId="24819" xr:uid="{94A2F68E-F769-4057-9961-8BF6197C4C30}"/>
    <cellStyle name="Percent 3 7 17" xfId="26709" xr:uid="{656588D0-48EE-4D47-A360-99E5E4023340}"/>
    <cellStyle name="Percent 3 7 18" xfId="28599" xr:uid="{47FA0F44-8C2A-4AAC-9FAB-7D8A4403E9BF}"/>
    <cellStyle name="Percent 3 7 19" xfId="30489" xr:uid="{D5AD6E2A-46AB-4628-ACEA-0D60FCCF9861}"/>
    <cellStyle name="Percent 3 7 2" xfId="879" xr:uid="{CA379B0F-902A-4B52-8656-01E61042D4C5}"/>
    <cellStyle name="Percent 3 7 2 10" xfId="17889" xr:uid="{C86070F6-28B4-456F-82A0-1D0B6C3722CD}"/>
    <cellStyle name="Percent 3 7 2 11" xfId="19779" xr:uid="{3447E4F5-E420-4BBF-A337-0D21296234C2}"/>
    <cellStyle name="Percent 3 7 2 12" xfId="21669" xr:uid="{4F167718-BA06-4C3A-AD5B-BAECB59A2F96}"/>
    <cellStyle name="Percent 3 7 2 13" xfId="23559" xr:uid="{19D984A4-9C39-4B87-964A-FB9A4256CBEE}"/>
    <cellStyle name="Percent 3 7 2 14" xfId="25449" xr:uid="{F98821DE-ACD7-4E2C-9AD1-EC3ACB3A070D}"/>
    <cellStyle name="Percent 3 7 2 15" xfId="27339" xr:uid="{51902A1D-21A9-4199-9382-1E2CB8AAC96A}"/>
    <cellStyle name="Percent 3 7 2 16" xfId="29229" xr:uid="{05FE271C-AE74-44C4-9AB2-3ED26CF7FD41}"/>
    <cellStyle name="Percent 3 7 2 17" xfId="31119" xr:uid="{74F1C313-2EC2-4371-8E29-A0426EC4E0F1}"/>
    <cellStyle name="Percent 3 7 2 18" xfId="33009" xr:uid="{C439C145-8D09-4B3C-97A7-4D9783B5975A}"/>
    <cellStyle name="Percent 3 7 2 19" xfId="34899" xr:uid="{AF2196BC-03D6-41D0-9C05-E17698E41664}"/>
    <cellStyle name="Percent 3 7 2 2" xfId="2769" xr:uid="{99C38BE6-CDF2-4952-BB9F-AAE837864FF2}"/>
    <cellStyle name="Percent 3 7 2 20" xfId="36789" xr:uid="{E92FD68B-712A-4B68-AC53-34A1BDFA4C21}"/>
    <cellStyle name="Percent 3 7 2 21" xfId="38679" xr:uid="{E186F148-FD81-4A93-BB66-9340B8121830}"/>
    <cellStyle name="Percent 3 7 2 22" xfId="40570" xr:uid="{E2294CB0-C24A-48A9-A8C3-1A4F014CB8CD}"/>
    <cellStyle name="Percent 3 7 2 3" xfId="4659" xr:uid="{2C584085-EDE1-42ED-8D0A-A21FC68B0B03}"/>
    <cellStyle name="Percent 3 7 2 4" xfId="6549" xr:uid="{3B1F226B-D0FD-4305-AD16-C3E71B7EF4A0}"/>
    <cellStyle name="Percent 3 7 2 5" xfId="8439" xr:uid="{D1705CD1-12F3-42A2-AF68-B3DB7EE41B7D}"/>
    <cellStyle name="Percent 3 7 2 6" xfId="10329" xr:uid="{ABCD9DFF-C3EA-4E0E-9667-80E93F563409}"/>
    <cellStyle name="Percent 3 7 2 7" xfId="12219" xr:uid="{81081F08-DBFA-4AA7-AE36-92872238A8E2}"/>
    <cellStyle name="Percent 3 7 2 8" xfId="14109" xr:uid="{5772995A-8A88-421C-8102-62FB5DBF67D3}"/>
    <cellStyle name="Percent 3 7 2 9" xfId="15999" xr:uid="{9731D963-D1B6-456A-8C5C-8A4E4859A338}"/>
    <cellStyle name="Percent 3 7 20" xfId="32379" xr:uid="{85D3B05C-47F8-41A9-B830-0AE391C2FFE9}"/>
    <cellStyle name="Percent 3 7 21" xfId="34269" xr:uid="{B651315A-F1F9-4B0F-90FB-27EF62233A93}"/>
    <cellStyle name="Percent 3 7 22" xfId="36159" xr:uid="{8C00065A-5656-4A91-A76C-92863264275B}"/>
    <cellStyle name="Percent 3 7 23" xfId="38049" xr:uid="{8E5F7056-6E9A-4349-8269-8ECFE2FD03EF}"/>
    <cellStyle name="Percent 3 7 24" xfId="39940" xr:uid="{9A67C311-6BB7-45D8-A696-154D9CE7B38B}"/>
    <cellStyle name="Percent 3 7 3" xfId="1509" xr:uid="{DBD81034-7F15-4702-8CFA-3E1C0BECE347}"/>
    <cellStyle name="Percent 3 7 3 10" xfId="18519" xr:uid="{82BBDE61-2901-4EDD-A8AE-C7998E99D8BD}"/>
    <cellStyle name="Percent 3 7 3 11" xfId="20409" xr:uid="{00F6B677-0995-44B5-9E7A-951C12B3E5B4}"/>
    <cellStyle name="Percent 3 7 3 12" xfId="22299" xr:uid="{97F21CA9-99A7-44EF-9C5D-FA901E3BB3BC}"/>
    <cellStyle name="Percent 3 7 3 13" xfId="24189" xr:uid="{AE5DCF44-6020-4611-A104-3D6B61644E55}"/>
    <cellStyle name="Percent 3 7 3 14" xfId="26079" xr:uid="{24B3AC31-F042-44AA-A4C9-F44AD33675C0}"/>
    <cellStyle name="Percent 3 7 3 15" xfId="27969" xr:uid="{781F10F9-7AB9-4AC5-A5AD-BD1DBF1C4578}"/>
    <cellStyle name="Percent 3 7 3 16" xfId="29859" xr:uid="{C2A2945D-A6F5-40B2-9492-B87067EC95F5}"/>
    <cellStyle name="Percent 3 7 3 17" xfId="31749" xr:uid="{A9C3502A-94DA-4165-8A59-5F5D8CA3157A}"/>
    <cellStyle name="Percent 3 7 3 18" xfId="33639" xr:uid="{00CF420B-F0F6-497F-B821-0B761F9DA470}"/>
    <cellStyle name="Percent 3 7 3 19" xfId="35529" xr:uid="{370DD2F8-5DF9-4F09-AEE9-D880586DD580}"/>
    <cellStyle name="Percent 3 7 3 2" xfId="3399" xr:uid="{3223A44B-F86A-4497-BD94-B2027DAF7FAC}"/>
    <cellStyle name="Percent 3 7 3 20" xfId="37419" xr:uid="{32428F7E-F38F-4536-872F-4A7596DD30D6}"/>
    <cellStyle name="Percent 3 7 3 21" xfId="39309" xr:uid="{D7BE6D99-13DB-4AC4-B2F7-1F03DEA969C6}"/>
    <cellStyle name="Percent 3 7 3 22" xfId="41200" xr:uid="{C33994E2-F826-48F9-96BD-6E74E0A8E742}"/>
    <cellStyle name="Percent 3 7 3 3" xfId="5289" xr:uid="{9EA0481E-56F9-48BF-AC03-E97CB5DDFD13}"/>
    <cellStyle name="Percent 3 7 3 4" xfId="7179" xr:uid="{A925B858-AB18-4E27-ABC2-FE861C35E9A3}"/>
    <cellStyle name="Percent 3 7 3 5" xfId="9069" xr:uid="{57C0DF1B-0A0E-4165-818B-468147505FE9}"/>
    <cellStyle name="Percent 3 7 3 6" xfId="10959" xr:uid="{34FD66C9-9761-4E4E-865D-701609137DB5}"/>
    <cellStyle name="Percent 3 7 3 7" xfId="12849" xr:uid="{0DADAF0F-3E48-445C-98EB-8221FC9B48A3}"/>
    <cellStyle name="Percent 3 7 3 8" xfId="14739" xr:uid="{4AB50DBD-392A-4B9C-8B81-6F2AFC5128A1}"/>
    <cellStyle name="Percent 3 7 3 9" xfId="16629" xr:uid="{13B9036C-2A7C-4334-B331-AACF39E26A8B}"/>
    <cellStyle name="Percent 3 7 4" xfId="2139" xr:uid="{7E180244-4ADA-466C-B465-7BE7D93DE028}"/>
    <cellStyle name="Percent 3 7 5" xfId="4029" xr:uid="{0A6286F4-4B39-4C18-BDD4-17BEE8D19A3A}"/>
    <cellStyle name="Percent 3 7 6" xfId="5919" xr:uid="{11690BF1-B78A-4B6F-9ACF-00BBFAFA333B}"/>
    <cellStyle name="Percent 3 7 7" xfId="7809" xr:uid="{5571EC28-D3DC-4697-884D-A734CD3D7B6B}"/>
    <cellStyle name="Percent 3 7 8" xfId="9699" xr:uid="{F58B0F84-60BF-4978-AE44-2DC73B8BA203}"/>
    <cellStyle name="Percent 3 7 9" xfId="11589" xr:uid="{AF500329-1BAF-4E08-85C7-7F9EA5944DA0}"/>
    <cellStyle name="Percent 3 8" xfId="459" xr:uid="{D91652AA-E6DF-4C01-B167-61D4DE50E866}"/>
    <cellStyle name="Percent 3 8 10" xfId="13689" xr:uid="{ED7FBBDF-618C-4808-9D7D-653ADF8AD048}"/>
    <cellStyle name="Percent 3 8 11" xfId="15579" xr:uid="{B8BAA73C-4768-411C-A0D8-153192DBFC68}"/>
    <cellStyle name="Percent 3 8 12" xfId="17469" xr:uid="{4850E2FF-6301-4AC8-A452-E4B87EC5F210}"/>
    <cellStyle name="Percent 3 8 13" xfId="19359" xr:uid="{7F5FB84C-DAAE-4A53-8171-5B724F95E2B5}"/>
    <cellStyle name="Percent 3 8 14" xfId="21249" xr:uid="{03DC1DC4-13A6-4B6F-B385-31224B1AC8F0}"/>
    <cellStyle name="Percent 3 8 15" xfId="23139" xr:uid="{1AAA1C81-283D-4FBF-80C0-07A9CA6AFB4E}"/>
    <cellStyle name="Percent 3 8 16" xfId="25029" xr:uid="{AEFCD8D2-7D2D-4838-B588-AD8F5C93D5E9}"/>
    <cellStyle name="Percent 3 8 17" xfId="26919" xr:uid="{F73165C3-402E-4B51-8FB9-7E9C8CD6D68A}"/>
    <cellStyle name="Percent 3 8 18" xfId="28809" xr:uid="{B2E309B9-CF2B-4B46-BB63-110645667B9E}"/>
    <cellStyle name="Percent 3 8 19" xfId="30699" xr:uid="{D388B3CD-AEF1-4D09-8052-514D27589951}"/>
    <cellStyle name="Percent 3 8 2" xfId="1089" xr:uid="{226A573E-74BF-43AC-8557-19FA910FA629}"/>
    <cellStyle name="Percent 3 8 2 10" xfId="18099" xr:uid="{BD622654-BA45-4DA3-9FB2-4987531518A9}"/>
    <cellStyle name="Percent 3 8 2 11" xfId="19989" xr:uid="{4D47D802-27B5-4CF8-A2AE-FDAB2FF927D6}"/>
    <cellStyle name="Percent 3 8 2 12" xfId="21879" xr:uid="{A47140D8-9BD3-45F3-AD1D-FA9449546A22}"/>
    <cellStyle name="Percent 3 8 2 13" xfId="23769" xr:uid="{3F46AA17-6AA6-4A83-97D2-4DFB0E8270A0}"/>
    <cellStyle name="Percent 3 8 2 14" xfId="25659" xr:uid="{3D10BE57-E0B7-4128-A594-365C9FF3C726}"/>
    <cellStyle name="Percent 3 8 2 15" xfId="27549" xr:uid="{9E5641D7-60E6-4B39-883E-00B7F4D8489B}"/>
    <cellStyle name="Percent 3 8 2 16" xfId="29439" xr:uid="{18334813-59A3-4056-8671-A1DFCBC15B66}"/>
    <cellStyle name="Percent 3 8 2 17" xfId="31329" xr:uid="{E19F1EE5-7422-49A9-83AF-11BBC99B4EDD}"/>
    <cellStyle name="Percent 3 8 2 18" xfId="33219" xr:uid="{2B40993B-9DB0-4C15-915C-D657A67CA798}"/>
    <cellStyle name="Percent 3 8 2 19" xfId="35109" xr:uid="{AB3B8E4F-BF8D-429E-8B29-7A111F9154DE}"/>
    <cellStyle name="Percent 3 8 2 2" xfId="2979" xr:uid="{68D90DBB-4585-4F70-9131-F1A9F931CE02}"/>
    <cellStyle name="Percent 3 8 2 20" xfId="36999" xr:uid="{0EDBF5C6-1110-4123-8C7A-58192E148B19}"/>
    <cellStyle name="Percent 3 8 2 21" xfId="38889" xr:uid="{5C76D182-BA45-4529-8C22-5E502EA8F493}"/>
    <cellStyle name="Percent 3 8 2 22" xfId="40780" xr:uid="{947CF97D-4849-4194-B560-6E0A64903618}"/>
    <cellStyle name="Percent 3 8 2 3" xfId="4869" xr:uid="{3B2892D4-13D2-4DA8-89DA-6408FD6DD5AD}"/>
    <cellStyle name="Percent 3 8 2 4" xfId="6759" xr:uid="{B5EE84FF-C398-4E3C-BB0D-B5DD31592ABA}"/>
    <cellStyle name="Percent 3 8 2 5" xfId="8649" xr:uid="{525A8BA7-4FAF-492A-B3D1-7E599FE2FB0C}"/>
    <cellStyle name="Percent 3 8 2 6" xfId="10539" xr:uid="{BB62A068-54EE-4237-9CCC-D005FF6DD82E}"/>
    <cellStyle name="Percent 3 8 2 7" xfId="12429" xr:uid="{6F9211B6-6B7F-42BC-97E3-CD8507D7CD5B}"/>
    <cellStyle name="Percent 3 8 2 8" xfId="14319" xr:uid="{71939C24-E485-4492-AC88-545C2EB50A75}"/>
    <cellStyle name="Percent 3 8 2 9" xfId="16209" xr:uid="{BD1DF831-EA01-4BCB-8BFA-9283E94C8E3D}"/>
    <cellStyle name="Percent 3 8 20" xfId="32589" xr:uid="{ACE2B837-E49B-4191-AE11-72C3561DB21A}"/>
    <cellStyle name="Percent 3 8 21" xfId="34479" xr:uid="{ACD4100D-1981-406F-8651-905545FF2A16}"/>
    <cellStyle name="Percent 3 8 22" xfId="36369" xr:uid="{BA9A2A7C-A941-4BA7-9495-6F1019C3C2BF}"/>
    <cellStyle name="Percent 3 8 23" xfId="38259" xr:uid="{83A1616C-9CAB-4521-BF43-099FFFB69C56}"/>
    <cellStyle name="Percent 3 8 24" xfId="40150" xr:uid="{621036BD-7A63-4AD7-AADE-4FA8F7E32C98}"/>
    <cellStyle name="Percent 3 8 3" xfId="1719" xr:uid="{D53124A4-6C59-4BC2-9718-6FB9DC05498C}"/>
    <cellStyle name="Percent 3 8 3 10" xfId="18729" xr:uid="{07D409EA-E754-4225-9A59-5FDE7E17114C}"/>
    <cellStyle name="Percent 3 8 3 11" xfId="20619" xr:uid="{60186A08-707E-4C19-AC29-5F720ADC5C95}"/>
    <cellStyle name="Percent 3 8 3 12" xfId="22509" xr:uid="{BD2DF119-21CF-4F24-AB8A-143E1400E174}"/>
    <cellStyle name="Percent 3 8 3 13" xfId="24399" xr:uid="{06097DB3-2779-49FB-B8A0-AE9065EC9617}"/>
    <cellStyle name="Percent 3 8 3 14" xfId="26289" xr:uid="{58B330D0-DA7E-4D2F-A66A-D0CB939F6FDF}"/>
    <cellStyle name="Percent 3 8 3 15" xfId="28179" xr:uid="{057DBF57-B92C-4C99-9AA6-7AEAA51E034C}"/>
    <cellStyle name="Percent 3 8 3 16" xfId="30069" xr:uid="{05A7DD3C-5955-4CBA-92B1-CAFD704FD858}"/>
    <cellStyle name="Percent 3 8 3 17" xfId="31959" xr:uid="{EDE1AB49-08C3-48C5-9123-BE25C1BADDAC}"/>
    <cellStyle name="Percent 3 8 3 18" xfId="33849" xr:uid="{57EC4F40-BF5A-4883-8A69-2D8D0C8BCFA7}"/>
    <cellStyle name="Percent 3 8 3 19" xfId="35739" xr:uid="{0489F74A-4300-4ECE-9DE9-21089526E5F2}"/>
    <cellStyle name="Percent 3 8 3 2" xfId="3609" xr:uid="{BB690826-6E3D-4948-92F7-70E23F330DC3}"/>
    <cellStyle name="Percent 3 8 3 20" xfId="37629" xr:uid="{B0AD13D4-EFAB-4194-9E0F-A2E87F711C55}"/>
    <cellStyle name="Percent 3 8 3 21" xfId="39519" xr:uid="{0FF34034-AB61-41ED-B67F-61F56C7B2F2D}"/>
    <cellStyle name="Percent 3 8 3 22" xfId="41410" xr:uid="{DA2B918A-EB91-407E-B342-0F69D445D620}"/>
    <cellStyle name="Percent 3 8 3 3" xfId="5499" xr:uid="{CF29A204-FFA2-4E95-840E-3B31ACE6AF96}"/>
    <cellStyle name="Percent 3 8 3 4" xfId="7389" xr:uid="{4596F581-C745-433E-82B7-B93C14EFE005}"/>
    <cellStyle name="Percent 3 8 3 5" xfId="9279" xr:uid="{EAA222BC-3ECB-414E-A1E3-9391F8F5FDA9}"/>
    <cellStyle name="Percent 3 8 3 6" xfId="11169" xr:uid="{4D9460DD-2BFB-45B6-8EAF-6214F91682E7}"/>
    <cellStyle name="Percent 3 8 3 7" xfId="13059" xr:uid="{B862159E-3172-47E2-89B6-D39D208FD234}"/>
    <cellStyle name="Percent 3 8 3 8" xfId="14949" xr:uid="{CCAA3E48-E0C4-444F-9ADA-C1E35F03B41C}"/>
    <cellStyle name="Percent 3 8 3 9" xfId="16839" xr:uid="{27B755AE-CEC4-4193-B786-04B34FF4D5C1}"/>
    <cellStyle name="Percent 3 8 4" xfId="2349" xr:uid="{3A0D262E-F715-47B3-97A1-C14E7CE0DF0C}"/>
    <cellStyle name="Percent 3 8 5" xfId="4239" xr:uid="{17D9BF5E-D2E6-46BB-82DD-4F968200779E}"/>
    <cellStyle name="Percent 3 8 6" xfId="6129" xr:uid="{C43E1A9B-EA04-49EE-9198-94113FA3BFB5}"/>
    <cellStyle name="Percent 3 8 7" xfId="8019" xr:uid="{5D29069B-F992-49DE-9BE8-A6044E6CDF0A}"/>
    <cellStyle name="Percent 3 8 8" xfId="9909" xr:uid="{5A1F6B27-6432-4486-9323-8A51462E4775}"/>
    <cellStyle name="Percent 3 8 9" xfId="11799" xr:uid="{A37EF93A-C28D-455F-BD36-3BF1FCDE668F}"/>
    <cellStyle name="Percent 3 9" xfId="669" xr:uid="{1449905E-5963-4606-9232-E1CAF37C4604}"/>
    <cellStyle name="Percent 3 9 10" xfId="17679" xr:uid="{4396EE87-AB84-4E92-839D-23ED3A6AC601}"/>
    <cellStyle name="Percent 3 9 11" xfId="19569" xr:uid="{60F89B8A-3879-43C9-90A1-8AD7CF044416}"/>
    <cellStyle name="Percent 3 9 12" xfId="21459" xr:uid="{E9B64E19-45BA-486A-849B-C4AF05225F00}"/>
    <cellStyle name="Percent 3 9 13" xfId="23349" xr:uid="{C5788B41-A108-4B7E-A0D9-F9FFBE73C4D9}"/>
    <cellStyle name="Percent 3 9 14" xfId="25239" xr:uid="{2DEEECB9-4900-4249-A069-5660292E3EC3}"/>
    <cellStyle name="Percent 3 9 15" xfId="27129" xr:uid="{C07AB478-7C45-4DD9-AD0A-FF55CAFBF4C3}"/>
    <cellStyle name="Percent 3 9 16" xfId="29019" xr:uid="{CD2CF29F-E634-42CF-B987-6217DD40D29B}"/>
    <cellStyle name="Percent 3 9 17" xfId="30909" xr:uid="{2C5D64F8-56F6-4EF6-9CED-ADA391684A01}"/>
    <cellStyle name="Percent 3 9 18" xfId="32799" xr:uid="{00C97D81-BC32-4FBB-9D42-E6C734416388}"/>
    <cellStyle name="Percent 3 9 19" xfId="34689" xr:uid="{5C72F707-0D6F-4E08-BA58-5D8BBF70C9D4}"/>
    <cellStyle name="Percent 3 9 2" xfId="2559" xr:uid="{42E72002-5F54-40DE-BC84-A2BF4018E118}"/>
    <cellStyle name="Percent 3 9 20" xfId="36579" xr:uid="{27A2814B-EFE8-464F-9A10-0CFD4CD8A041}"/>
    <cellStyle name="Percent 3 9 21" xfId="38469" xr:uid="{79204C08-24B7-4960-9350-AFFE44D93AF3}"/>
    <cellStyle name="Percent 3 9 22" xfId="40360" xr:uid="{D99BA82C-0631-4814-9131-F4F1EFDB16B7}"/>
    <cellStyle name="Percent 3 9 3" xfId="4449" xr:uid="{F69B7D45-D330-4E28-842A-2D75FFAAF114}"/>
    <cellStyle name="Percent 3 9 4" xfId="6339" xr:uid="{98B26119-D17E-4DA8-B0FD-FA826ED81E96}"/>
    <cellStyle name="Percent 3 9 5" xfId="8229" xr:uid="{BD90520A-599D-4330-AA1F-B03F4E9B714F}"/>
    <cellStyle name="Percent 3 9 6" xfId="10119" xr:uid="{AC5870AB-9158-4DE0-8F8D-20FCA9C4DFE8}"/>
    <cellStyle name="Percent 3 9 7" xfId="12009" xr:uid="{E9FC4A94-A723-4C03-B9B2-E44E03883D08}"/>
    <cellStyle name="Percent 3 9 8" xfId="13899" xr:uid="{7C189B62-E16F-4DEC-BAC1-E9FDF758DFDF}"/>
    <cellStyle name="Percent 3 9 9" xfId="15789" xr:uid="{B5464E7C-ACBA-4049-998B-0A7D60DAFE1F}"/>
    <cellStyle name="Percent 30" xfId="32162" xr:uid="{ECEC3007-ED66-489A-BF16-593F86E04EA7}"/>
    <cellStyle name="Percent 31" xfId="34052" xr:uid="{76145007-F03A-49C3-B049-FFBCA7D07E9B}"/>
    <cellStyle name="Percent 32" xfId="35942" xr:uid="{F721B3C9-BB8F-4AB4-9001-CDFA6F02BB15}"/>
    <cellStyle name="Percent 33" xfId="37832" xr:uid="{FE1F2FEA-00BC-49FC-ACF2-694819A01BE1}"/>
    <cellStyle name="Percent 34" xfId="39723" xr:uid="{4537BD19-A0A6-4226-9DCA-6BA16ABDE607}"/>
    <cellStyle name="Percent 35" xfId="41619" xr:uid="{9E1D2BB0-F89E-424B-83B7-B04766BB3FAA}"/>
    <cellStyle name="Percent 4" xfId="15" xr:uid="{00000000-0005-0000-0000-00003C000000}"/>
    <cellStyle name="Percent 4 2" xfId="18" xr:uid="{0A3CB101-32E6-45F0-AB8B-8A10CF6034FE}"/>
    <cellStyle name="Percent 43" xfId="41620" xr:uid="{62918C38-5E07-42D0-B217-AB054ABAE01A}"/>
    <cellStyle name="Percent 5" xfId="21" xr:uid="{7556F1D6-231A-47BD-B405-0CB1291A6460}"/>
    <cellStyle name="Percent 5 10" xfId="7603" xr:uid="{287F33E3-4934-487B-9538-A1FA03E953FA}"/>
    <cellStyle name="Percent 5 11" xfId="9493" xr:uid="{A2F04C9E-C4FD-4C56-A97D-1D0AC41AA06C}"/>
    <cellStyle name="Percent 5 12" xfId="11383" xr:uid="{024C6566-DD8A-4A82-819B-37A9EC398676}"/>
    <cellStyle name="Percent 5 13" xfId="13273" xr:uid="{130178EA-6C0C-43F5-80EC-68606BC102D1}"/>
    <cellStyle name="Percent 5 14" xfId="15163" xr:uid="{A8FCC4FF-8B4C-4E2A-8478-32D94675828E}"/>
    <cellStyle name="Percent 5 15" xfId="17053" xr:uid="{15C9AF03-5B98-4C49-9FCC-B3968D021EF9}"/>
    <cellStyle name="Percent 5 16" xfId="18943" xr:uid="{F924CF3D-F313-45F5-ABB0-AB356BC9041C}"/>
    <cellStyle name="Percent 5 17" xfId="20833" xr:uid="{459FC232-6AFA-48BB-80C9-27F75AA4F565}"/>
    <cellStyle name="Percent 5 18" xfId="22723" xr:uid="{1B19735D-8434-44F3-90CD-83BC9D1D8D86}"/>
    <cellStyle name="Percent 5 19" xfId="24613" xr:uid="{43B576EF-DDAB-441E-ABE2-EBAFB3C26B63}"/>
    <cellStyle name="Percent 5 2" xfId="148" xr:uid="{59D20A0A-547C-4A56-BF15-6617771E6478}"/>
    <cellStyle name="Percent 5 2 10" xfId="9598" xr:uid="{1735E4D1-5BEE-4B13-908B-316D12EF9655}"/>
    <cellStyle name="Percent 5 2 11" xfId="11488" xr:uid="{F2C73060-AE8B-4B30-BF4A-6A2B45E58099}"/>
    <cellStyle name="Percent 5 2 12" xfId="13378" xr:uid="{6671DA31-39DB-4F47-AA23-7B0E069FE3F2}"/>
    <cellStyle name="Percent 5 2 13" xfId="15268" xr:uid="{F650E771-0AE9-4B4E-A6AB-DEA2DB64CE7D}"/>
    <cellStyle name="Percent 5 2 14" xfId="17158" xr:uid="{B5B38F55-BED3-4DBC-8A52-0DB49B079EB5}"/>
    <cellStyle name="Percent 5 2 15" xfId="19048" xr:uid="{DB8314D2-8B01-4CF3-B0AA-90B8D859BD40}"/>
    <cellStyle name="Percent 5 2 16" xfId="20938" xr:uid="{39609E15-C5A7-42B7-8707-30D179D91184}"/>
    <cellStyle name="Percent 5 2 17" xfId="22828" xr:uid="{A0EDD63D-537A-44F0-AAEA-2A75BFA85536}"/>
    <cellStyle name="Percent 5 2 18" xfId="24718" xr:uid="{2C822492-DF18-4169-879E-73013CC3BCFE}"/>
    <cellStyle name="Percent 5 2 19" xfId="26608" xr:uid="{1C459D2E-D35E-48CF-9CDF-8ED8C4BD48C6}"/>
    <cellStyle name="Percent 5 2 2" xfId="358" xr:uid="{13BD5E28-374A-4CBC-B39B-5D6F4CB753F3}"/>
    <cellStyle name="Percent 5 2 2 10" xfId="13588" xr:uid="{97ECA0B9-5F15-4A21-BF39-BA39BA7A91A7}"/>
    <cellStyle name="Percent 5 2 2 11" xfId="15478" xr:uid="{5E1570B5-0D5D-4EFB-B1CF-95DF02DD484D}"/>
    <cellStyle name="Percent 5 2 2 12" xfId="17368" xr:uid="{185E6573-9A5B-4114-ABCC-AB4E74C43082}"/>
    <cellStyle name="Percent 5 2 2 13" xfId="19258" xr:uid="{AE31DA9C-843D-476E-9D19-8D8E6209301E}"/>
    <cellStyle name="Percent 5 2 2 14" xfId="21148" xr:uid="{D7BE4ADE-B0EE-4E28-851C-8BC04F243D8A}"/>
    <cellStyle name="Percent 5 2 2 15" xfId="23038" xr:uid="{0D4D5BCA-887E-42D5-B8DC-7AEEC9FF9F74}"/>
    <cellStyle name="Percent 5 2 2 16" xfId="24928" xr:uid="{70E9C69D-2E27-4FCD-8D2F-B43D538B6FE5}"/>
    <cellStyle name="Percent 5 2 2 17" xfId="26818" xr:uid="{FEDEF89C-43AD-4E70-AD5D-EB1A4DD301D8}"/>
    <cellStyle name="Percent 5 2 2 18" xfId="28708" xr:uid="{45BB3811-96A6-4642-AE3D-DF2CD47DE7C5}"/>
    <cellStyle name="Percent 5 2 2 19" xfId="30598" xr:uid="{F58997D9-199F-4CB6-8463-156D6173F5E5}"/>
    <cellStyle name="Percent 5 2 2 2" xfId="988" xr:uid="{2179992A-5FF5-47AD-9092-60FE64A279EF}"/>
    <cellStyle name="Percent 5 2 2 2 10" xfId="17998" xr:uid="{FF916157-7B84-4145-A916-FDFB6ECCDA6A}"/>
    <cellStyle name="Percent 5 2 2 2 11" xfId="19888" xr:uid="{DFD51FDD-C8D4-4CAE-943D-F72414AB7D35}"/>
    <cellStyle name="Percent 5 2 2 2 12" xfId="21778" xr:uid="{5E426EC3-7F63-4D04-8031-351883E2D003}"/>
    <cellStyle name="Percent 5 2 2 2 13" xfId="23668" xr:uid="{00477B63-0F05-4E10-A3B7-1656394A8CAA}"/>
    <cellStyle name="Percent 5 2 2 2 14" xfId="25558" xr:uid="{754953A2-578C-4A55-94D8-1B1A4D9973F8}"/>
    <cellStyle name="Percent 5 2 2 2 15" xfId="27448" xr:uid="{F24871E9-C532-4DE6-AB22-73BD6AECC440}"/>
    <cellStyle name="Percent 5 2 2 2 16" xfId="29338" xr:uid="{4EDA5326-FC9B-471C-8A8D-E7D2AF2B8ACC}"/>
    <cellStyle name="Percent 5 2 2 2 17" xfId="31228" xr:uid="{92BD1907-EC16-4E3A-8E89-99EAF7B57234}"/>
    <cellStyle name="Percent 5 2 2 2 18" xfId="33118" xr:uid="{12CCDA4D-44E2-4D28-AB10-85C7BCB73925}"/>
    <cellStyle name="Percent 5 2 2 2 19" xfId="35008" xr:uid="{5AB7C228-F436-45B0-BC1E-32C8275980BA}"/>
    <cellStyle name="Percent 5 2 2 2 2" xfId="2878" xr:uid="{E4A21D90-5C0C-4C25-8F78-87BE5230E674}"/>
    <cellStyle name="Percent 5 2 2 2 20" xfId="36898" xr:uid="{B908851F-C41D-4A80-8FD4-FB49D198B132}"/>
    <cellStyle name="Percent 5 2 2 2 21" xfId="38788" xr:uid="{BB3F464E-B42B-4E24-BC11-55854B9A1337}"/>
    <cellStyle name="Percent 5 2 2 2 22" xfId="40679" xr:uid="{C8500589-72C4-421B-A79C-B365F0195A06}"/>
    <cellStyle name="Percent 5 2 2 2 3" xfId="4768" xr:uid="{5C461061-954F-4CB7-AF6A-187823E55C8A}"/>
    <cellStyle name="Percent 5 2 2 2 4" xfId="6658" xr:uid="{91B8FC0D-639D-4746-92A0-7D323BC24F9F}"/>
    <cellStyle name="Percent 5 2 2 2 5" xfId="8548" xr:uid="{997F4985-97B5-4A56-A6F0-D64AACFCE66D}"/>
    <cellStyle name="Percent 5 2 2 2 6" xfId="10438" xr:uid="{25D590B9-997C-4DE1-BCAE-28AA0DED2DAD}"/>
    <cellStyle name="Percent 5 2 2 2 7" xfId="12328" xr:uid="{7082E62A-3D59-4866-ABF6-C20CC555FE6B}"/>
    <cellStyle name="Percent 5 2 2 2 8" xfId="14218" xr:uid="{39A1AC2F-C047-417C-A3C9-54FF992FB2E1}"/>
    <cellStyle name="Percent 5 2 2 2 9" xfId="16108" xr:uid="{AAAAE277-E202-4569-9737-B6A66C59F1E3}"/>
    <cellStyle name="Percent 5 2 2 20" xfId="32488" xr:uid="{29D97C5E-A613-47DC-A1C6-5700D8B8180B}"/>
    <cellStyle name="Percent 5 2 2 21" xfId="34378" xr:uid="{54540936-9DC1-44EE-BB5E-4091CEBD6E59}"/>
    <cellStyle name="Percent 5 2 2 22" xfId="36268" xr:uid="{61803524-2F58-4F43-B23D-9617E471FD86}"/>
    <cellStyle name="Percent 5 2 2 23" xfId="38158" xr:uid="{6186E98D-19DE-4949-9E5B-81447E618837}"/>
    <cellStyle name="Percent 5 2 2 24" xfId="40049" xr:uid="{0B08FA31-C11D-4E22-A804-F260F8B015C0}"/>
    <cellStyle name="Percent 5 2 2 3" xfId="1618" xr:uid="{D5C06665-5C1E-45A2-AE3C-D2FAE6B6735F}"/>
    <cellStyle name="Percent 5 2 2 3 10" xfId="18628" xr:uid="{68450A3F-9C01-4DB0-BF13-E717DD41FEC7}"/>
    <cellStyle name="Percent 5 2 2 3 11" xfId="20518" xr:uid="{646A8FF3-9E2E-4C97-98B6-3B57EE7CEACB}"/>
    <cellStyle name="Percent 5 2 2 3 12" xfId="22408" xr:uid="{B2C2DDAA-DB80-4755-AC7F-8892FEB4339C}"/>
    <cellStyle name="Percent 5 2 2 3 13" xfId="24298" xr:uid="{3F202610-7529-479D-85CB-DDAECC224C3D}"/>
    <cellStyle name="Percent 5 2 2 3 14" xfId="26188" xr:uid="{CF1B3554-7A07-4753-A803-F7A9787A2D17}"/>
    <cellStyle name="Percent 5 2 2 3 15" xfId="28078" xr:uid="{5A560FF9-9038-4EE9-91C2-394752BD2162}"/>
    <cellStyle name="Percent 5 2 2 3 16" xfId="29968" xr:uid="{60F0111F-C57B-436A-A47E-D206FF4B5E33}"/>
    <cellStyle name="Percent 5 2 2 3 17" xfId="31858" xr:uid="{9DAD7292-7A34-417B-BB71-98E42D3C1CB7}"/>
    <cellStyle name="Percent 5 2 2 3 18" xfId="33748" xr:uid="{1B167EBF-2DD7-44A4-946B-5386E2B1E4EF}"/>
    <cellStyle name="Percent 5 2 2 3 19" xfId="35638" xr:uid="{E7415A1B-EB58-4D80-8312-640A458B0FA4}"/>
    <cellStyle name="Percent 5 2 2 3 2" xfId="3508" xr:uid="{BACE52E3-B021-4672-B278-0D2B254452AD}"/>
    <cellStyle name="Percent 5 2 2 3 20" xfId="37528" xr:uid="{44AADE1E-46CA-4D0B-805D-3BDE1F8410EC}"/>
    <cellStyle name="Percent 5 2 2 3 21" xfId="39418" xr:uid="{3087C2A8-BF9C-4EB7-8B4E-EC2451A78988}"/>
    <cellStyle name="Percent 5 2 2 3 22" xfId="41309" xr:uid="{07305642-F4BD-41F3-A800-22773EAF17DB}"/>
    <cellStyle name="Percent 5 2 2 3 3" xfId="5398" xr:uid="{A888C459-2771-4CAC-AAB1-2A6765F00515}"/>
    <cellStyle name="Percent 5 2 2 3 4" xfId="7288" xr:uid="{565F8C53-2CE2-4E4B-9318-D89AAE0D2B36}"/>
    <cellStyle name="Percent 5 2 2 3 5" xfId="9178" xr:uid="{3888416A-68D8-4544-A5FF-043C5B0116C5}"/>
    <cellStyle name="Percent 5 2 2 3 6" xfId="11068" xr:uid="{0760EC55-0D6E-4D62-846B-6655DAA1221F}"/>
    <cellStyle name="Percent 5 2 2 3 7" xfId="12958" xr:uid="{2A24F769-63CC-40DA-97CF-21336ACAFD48}"/>
    <cellStyle name="Percent 5 2 2 3 8" xfId="14848" xr:uid="{656AF906-7B4D-46AE-A454-9B2F29807B90}"/>
    <cellStyle name="Percent 5 2 2 3 9" xfId="16738" xr:uid="{02E962BF-141A-48A4-ACC9-505003DFCED6}"/>
    <cellStyle name="Percent 5 2 2 4" xfId="2248" xr:uid="{0B4B4D68-5E0E-4268-9957-943F141480B1}"/>
    <cellStyle name="Percent 5 2 2 5" xfId="4138" xr:uid="{CA084A08-81E7-4FEF-A3DD-E4A60C4203C4}"/>
    <cellStyle name="Percent 5 2 2 6" xfId="6028" xr:uid="{C9DDE574-5C05-4D84-87A4-6C7573C0A806}"/>
    <cellStyle name="Percent 5 2 2 7" xfId="7918" xr:uid="{32CC88E7-90D6-4CB2-BB13-F2F18D5594DC}"/>
    <cellStyle name="Percent 5 2 2 8" xfId="9808" xr:uid="{B282287E-4657-466A-9ED4-B25D73DE7E74}"/>
    <cellStyle name="Percent 5 2 2 9" xfId="11698" xr:uid="{D929F1E5-3932-4A8D-B6BB-DF0FB5936B43}"/>
    <cellStyle name="Percent 5 2 20" xfId="28498" xr:uid="{3F598476-10FE-490C-96BC-5F003DD410B3}"/>
    <cellStyle name="Percent 5 2 21" xfId="30388" xr:uid="{06C4782B-4DD8-46AA-BA3A-3951DFB4B25C}"/>
    <cellStyle name="Percent 5 2 22" xfId="32278" xr:uid="{3C409590-A0D4-4061-8BA7-22A2D9AD2A97}"/>
    <cellStyle name="Percent 5 2 23" xfId="34168" xr:uid="{E2EEBCAB-0839-47EF-9771-89A8C837F9E5}"/>
    <cellStyle name="Percent 5 2 24" xfId="36058" xr:uid="{76E4CAE8-51B4-4876-9F19-F47EB8D68EDC}"/>
    <cellStyle name="Percent 5 2 25" xfId="37948" xr:uid="{2C2F7DBE-B344-4483-A865-B7EB3911DFD2}"/>
    <cellStyle name="Percent 5 2 26" xfId="39839" xr:uid="{508F3DDE-1DE0-46D8-A953-534DB25F03D9}"/>
    <cellStyle name="Percent 5 2 3" xfId="568" xr:uid="{A3BDDBE3-F9B5-40F4-B843-3D7815AB9175}"/>
    <cellStyle name="Percent 5 2 3 10" xfId="13798" xr:uid="{4E86763A-214F-445C-9829-A879982F9989}"/>
    <cellStyle name="Percent 5 2 3 11" xfId="15688" xr:uid="{F539DE3C-6D3F-4549-A53E-53FBC373D270}"/>
    <cellStyle name="Percent 5 2 3 12" xfId="17578" xr:uid="{68112F1C-9292-45DB-A4C9-95B9283649C1}"/>
    <cellStyle name="Percent 5 2 3 13" xfId="19468" xr:uid="{474B6522-70A0-4757-9E06-6ADF2CAED06C}"/>
    <cellStyle name="Percent 5 2 3 14" xfId="21358" xr:uid="{E6EEB30C-C8E0-442B-B2B3-9A3928D169A7}"/>
    <cellStyle name="Percent 5 2 3 15" xfId="23248" xr:uid="{A9099C21-922F-408D-B79E-A3BB654CF172}"/>
    <cellStyle name="Percent 5 2 3 16" xfId="25138" xr:uid="{8D60C68B-7629-4EC9-B7FF-10F82B868D5C}"/>
    <cellStyle name="Percent 5 2 3 17" xfId="27028" xr:uid="{EC12466C-F935-4EEF-849E-8D59CB2F4847}"/>
    <cellStyle name="Percent 5 2 3 18" xfId="28918" xr:uid="{FFA6F72C-7C5D-4C73-8A45-EAB080DCA41F}"/>
    <cellStyle name="Percent 5 2 3 19" xfId="30808" xr:uid="{F8ECE660-B0F8-4B85-80AC-46DE46A3F1C5}"/>
    <cellStyle name="Percent 5 2 3 2" xfId="1198" xr:uid="{1D687A3B-264C-43DD-84B6-9341E791D270}"/>
    <cellStyle name="Percent 5 2 3 2 10" xfId="18208" xr:uid="{DA9F2DA7-C249-41D3-AB60-3A864F4049F9}"/>
    <cellStyle name="Percent 5 2 3 2 11" xfId="20098" xr:uid="{AF982358-8E19-4D15-94A9-EBA7FB0C123B}"/>
    <cellStyle name="Percent 5 2 3 2 12" xfId="21988" xr:uid="{A9F26688-D923-4B6F-9A0A-7719F0FD8D71}"/>
    <cellStyle name="Percent 5 2 3 2 13" xfId="23878" xr:uid="{E4F355FF-7621-4EBA-90C3-B290C802EBF8}"/>
    <cellStyle name="Percent 5 2 3 2 14" xfId="25768" xr:uid="{1447F8D9-D3A7-4BE0-BD55-87B1EF6D5A9C}"/>
    <cellStyle name="Percent 5 2 3 2 15" xfId="27658" xr:uid="{37BB8CD5-7CED-41F9-B2EC-FB005667CD91}"/>
    <cellStyle name="Percent 5 2 3 2 16" xfId="29548" xr:uid="{199B0233-997A-47DE-95CA-4CAEC45BA83B}"/>
    <cellStyle name="Percent 5 2 3 2 17" xfId="31438" xr:uid="{00060B1E-3B68-4BC0-80BC-591E2544A2A1}"/>
    <cellStyle name="Percent 5 2 3 2 18" xfId="33328" xr:uid="{1FE1FB9F-20C0-400D-88FA-85AAFD77AE45}"/>
    <cellStyle name="Percent 5 2 3 2 19" xfId="35218" xr:uid="{E1647B41-5AC2-4F69-8DE4-84B48FCE5CB2}"/>
    <cellStyle name="Percent 5 2 3 2 2" xfId="3088" xr:uid="{77105AC9-EFFA-4772-9CAB-4089DE1D6EA6}"/>
    <cellStyle name="Percent 5 2 3 2 20" xfId="37108" xr:uid="{C730F935-CFA0-4A7A-913C-744332A384FE}"/>
    <cellStyle name="Percent 5 2 3 2 21" xfId="38998" xr:uid="{EDD9D7DF-88CE-4218-AB84-D9BF35AEDEF0}"/>
    <cellStyle name="Percent 5 2 3 2 22" xfId="40889" xr:uid="{074D0992-60DB-4022-A072-1BF44EED5545}"/>
    <cellStyle name="Percent 5 2 3 2 3" xfId="4978" xr:uid="{D549658E-0CF0-4E72-BC56-609ECFCC0706}"/>
    <cellStyle name="Percent 5 2 3 2 4" xfId="6868" xr:uid="{11F5FC6D-FCD0-4C56-A954-2224E5BD52C7}"/>
    <cellStyle name="Percent 5 2 3 2 5" xfId="8758" xr:uid="{6BCC1B4A-D501-411F-AC90-23E725D6F46A}"/>
    <cellStyle name="Percent 5 2 3 2 6" xfId="10648" xr:uid="{0AC2CDA8-0898-4578-8E32-C622E01AEBB0}"/>
    <cellStyle name="Percent 5 2 3 2 7" xfId="12538" xr:uid="{7AC0F11F-389D-4E95-BD26-1E2873854599}"/>
    <cellStyle name="Percent 5 2 3 2 8" xfId="14428" xr:uid="{6C2D12C6-4D9A-467F-89A2-0B9BAFC50780}"/>
    <cellStyle name="Percent 5 2 3 2 9" xfId="16318" xr:uid="{094D84D1-D2C8-4388-B847-343D4225D05B}"/>
    <cellStyle name="Percent 5 2 3 20" xfId="32698" xr:uid="{A82CAE4F-59C5-4D0E-8C17-5F350F6A8FF7}"/>
    <cellStyle name="Percent 5 2 3 21" xfId="34588" xr:uid="{EBEE32DD-8364-4196-86E5-FF8D3F634929}"/>
    <cellStyle name="Percent 5 2 3 22" xfId="36478" xr:uid="{AEAD6B8B-C759-440E-A1E8-3FEE826DD401}"/>
    <cellStyle name="Percent 5 2 3 23" xfId="38368" xr:uid="{4A16121C-CCDF-46A7-8CB4-B0E92F49F381}"/>
    <cellStyle name="Percent 5 2 3 24" xfId="40259" xr:uid="{28896D64-C60A-47C4-81F8-017193050FC2}"/>
    <cellStyle name="Percent 5 2 3 3" xfId="1828" xr:uid="{D9F203C3-1BD6-4A19-8095-FBB70D4ED42B}"/>
    <cellStyle name="Percent 5 2 3 3 10" xfId="18838" xr:uid="{3707D2FD-94D5-4C36-A5AA-7A15B5B186DF}"/>
    <cellStyle name="Percent 5 2 3 3 11" xfId="20728" xr:uid="{179C54DF-B642-49E5-ADBF-A54AF7D32719}"/>
    <cellStyle name="Percent 5 2 3 3 12" xfId="22618" xr:uid="{C83A9943-4DB8-4FF8-9255-F94AAC877793}"/>
    <cellStyle name="Percent 5 2 3 3 13" xfId="24508" xr:uid="{3CC527FE-2A40-4FA6-A0EA-837B24873B71}"/>
    <cellStyle name="Percent 5 2 3 3 14" xfId="26398" xr:uid="{8C39F6DC-62EB-4EF4-BDA5-FF951D48C676}"/>
    <cellStyle name="Percent 5 2 3 3 15" xfId="28288" xr:uid="{593DEF30-2324-47A6-A696-34E190FEBDA3}"/>
    <cellStyle name="Percent 5 2 3 3 16" xfId="30178" xr:uid="{D3FA30CE-6336-4EAA-9037-43CE28D179FB}"/>
    <cellStyle name="Percent 5 2 3 3 17" xfId="32068" xr:uid="{CE97D469-6370-495C-B867-E505FFA70D3B}"/>
    <cellStyle name="Percent 5 2 3 3 18" xfId="33958" xr:uid="{C04EED75-1107-4C95-92D8-2245606C906F}"/>
    <cellStyle name="Percent 5 2 3 3 19" xfId="35848" xr:uid="{AD98A5B1-CD10-4CEB-8004-AC3D3808FF37}"/>
    <cellStyle name="Percent 5 2 3 3 2" xfId="3718" xr:uid="{263AFF68-EF27-47B3-B974-A968D16A655A}"/>
    <cellStyle name="Percent 5 2 3 3 20" xfId="37738" xr:uid="{707D8436-AC34-4DB6-AD7D-F4DFFA805E7D}"/>
    <cellStyle name="Percent 5 2 3 3 21" xfId="39628" xr:uid="{0DDA8360-9E57-41BB-AB4A-6ABD4C132718}"/>
    <cellStyle name="Percent 5 2 3 3 22" xfId="41519" xr:uid="{C99F0E40-74F2-48B2-BB13-CADDAA992216}"/>
    <cellStyle name="Percent 5 2 3 3 3" xfId="5608" xr:uid="{5A9035A0-B1D8-4A4C-9EC1-E906904D7D3F}"/>
    <cellStyle name="Percent 5 2 3 3 4" xfId="7498" xr:uid="{05AAB37A-883D-4285-9E8B-3462E9D38C45}"/>
    <cellStyle name="Percent 5 2 3 3 5" xfId="9388" xr:uid="{2972D806-F6CE-4B63-AB81-5944B7888299}"/>
    <cellStyle name="Percent 5 2 3 3 6" xfId="11278" xr:uid="{989C30B6-1A6B-4423-AA96-44F1E0D7A719}"/>
    <cellStyle name="Percent 5 2 3 3 7" xfId="13168" xr:uid="{4C3AE5E8-26C7-44E7-8166-DC29437CAA95}"/>
    <cellStyle name="Percent 5 2 3 3 8" xfId="15058" xr:uid="{241DBD57-4650-4A97-8C95-9ABAF2B9C2EF}"/>
    <cellStyle name="Percent 5 2 3 3 9" xfId="16948" xr:uid="{650588CF-A2C1-4CDB-9FA6-61A79270F6DF}"/>
    <cellStyle name="Percent 5 2 3 4" xfId="2458" xr:uid="{2D479840-8A25-4855-B6BA-E7EC1ACA1202}"/>
    <cellStyle name="Percent 5 2 3 5" xfId="4348" xr:uid="{AA20A59E-A975-458B-AA13-F93E6D126B97}"/>
    <cellStyle name="Percent 5 2 3 6" xfId="6238" xr:uid="{37A83018-4A2F-4C93-A2F1-7D7A691E333D}"/>
    <cellStyle name="Percent 5 2 3 7" xfId="8128" xr:uid="{3DB61D64-8E91-408E-B815-C0A2533DCF6B}"/>
    <cellStyle name="Percent 5 2 3 8" xfId="10018" xr:uid="{26171914-E03C-4C2A-90A2-8BB4C04CB5CF}"/>
    <cellStyle name="Percent 5 2 3 9" xfId="11908" xr:uid="{2FBD5087-0B68-4242-A985-D0F73676623D}"/>
    <cellStyle name="Percent 5 2 4" xfId="778" xr:uid="{C6E451C0-9256-499A-A4AC-4BF5A28877D4}"/>
    <cellStyle name="Percent 5 2 4 10" xfId="17788" xr:uid="{BAD52921-3715-4442-AEA9-C956F822C62C}"/>
    <cellStyle name="Percent 5 2 4 11" xfId="19678" xr:uid="{B88153BB-4AFE-45E1-A79E-4ECB5BF8D629}"/>
    <cellStyle name="Percent 5 2 4 12" xfId="21568" xr:uid="{B221DD60-9AF1-4257-AF6F-E7DE3CB5FABB}"/>
    <cellStyle name="Percent 5 2 4 13" xfId="23458" xr:uid="{66886BAF-7A35-4D0D-9A6F-F4E34B7ADFD1}"/>
    <cellStyle name="Percent 5 2 4 14" xfId="25348" xr:uid="{B58DB1F4-D61B-4770-A954-0C9CAA178A4C}"/>
    <cellStyle name="Percent 5 2 4 15" xfId="27238" xr:uid="{2D692AFC-7E22-438B-9E15-CA6163B0425C}"/>
    <cellStyle name="Percent 5 2 4 16" xfId="29128" xr:uid="{324BE28A-742A-46E4-A12C-EA8CCB6B6FE6}"/>
    <cellStyle name="Percent 5 2 4 17" xfId="31018" xr:uid="{314BAB1A-1BAA-4016-A68F-D5CC2E2B8BC5}"/>
    <cellStyle name="Percent 5 2 4 18" xfId="32908" xr:uid="{15C8DCFB-981D-44C6-A3FE-770695F537DE}"/>
    <cellStyle name="Percent 5 2 4 19" xfId="34798" xr:uid="{59541ABD-6833-4717-9E33-D029B622B8A1}"/>
    <cellStyle name="Percent 5 2 4 2" xfId="2668" xr:uid="{50A77066-6631-4702-925C-1D61819A3529}"/>
    <cellStyle name="Percent 5 2 4 20" xfId="36688" xr:uid="{C73EF82C-E113-4729-BA9C-33A64CDA7B76}"/>
    <cellStyle name="Percent 5 2 4 21" xfId="38578" xr:uid="{7FB792B9-A7C3-4730-8344-53CD66F6EAB0}"/>
    <cellStyle name="Percent 5 2 4 22" xfId="40469" xr:uid="{D4AC0D04-6A6E-4F8D-A4FC-2B7501E9ED4E}"/>
    <cellStyle name="Percent 5 2 4 3" xfId="4558" xr:uid="{777D5BEF-14A6-4E4D-8A5F-C34E813A139B}"/>
    <cellStyle name="Percent 5 2 4 4" xfId="6448" xr:uid="{A26E5ED8-02FE-4A4E-87F4-BC12BF035E16}"/>
    <cellStyle name="Percent 5 2 4 5" xfId="8338" xr:uid="{D432BC4C-BE27-4FD8-B008-1A74F88C542D}"/>
    <cellStyle name="Percent 5 2 4 6" xfId="10228" xr:uid="{5B3C76E3-02DD-4DAF-BF01-D9917EFC92FC}"/>
    <cellStyle name="Percent 5 2 4 7" xfId="12118" xr:uid="{A2D38CE0-40B9-47A2-AE5A-413E5D994EFA}"/>
    <cellStyle name="Percent 5 2 4 8" xfId="14008" xr:uid="{13B0FB21-FBBD-4761-B2A1-F4DDFE5B6D3F}"/>
    <cellStyle name="Percent 5 2 4 9" xfId="15898" xr:uid="{EA1A89D6-5BD5-4169-AA82-DE0907AD6E0C}"/>
    <cellStyle name="Percent 5 2 5" xfId="1408" xr:uid="{9567BA34-BF39-44C6-B5BE-21620B0B357F}"/>
    <cellStyle name="Percent 5 2 5 10" xfId="18418" xr:uid="{2FB9978D-364E-4DDE-A576-CC66A976B28C}"/>
    <cellStyle name="Percent 5 2 5 11" xfId="20308" xr:uid="{62B005FC-5E01-420A-95FB-BED1306C4CDC}"/>
    <cellStyle name="Percent 5 2 5 12" xfId="22198" xr:uid="{B2592D7C-3237-4669-93FF-1F56CD2326CB}"/>
    <cellStyle name="Percent 5 2 5 13" xfId="24088" xr:uid="{2025606B-6849-4F92-8EF3-F546F6584FBF}"/>
    <cellStyle name="Percent 5 2 5 14" xfId="25978" xr:uid="{12B97661-38B3-4F2A-9164-DD655A590544}"/>
    <cellStyle name="Percent 5 2 5 15" xfId="27868" xr:uid="{2F4E9969-EA52-4CA0-B5C1-F0232FD4A99E}"/>
    <cellStyle name="Percent 5 2 5 16" xfId="29758" xr:uid="{D9550D09-E1B1-4658-A679-EA2E455A6E97}"/>
    <cellStyle name="Percent 5 2 5 17" xfId="31648" xr:uid="{DB0C0A17-82A1-43AE-BC06-0F92521E0AB8}"/>
    <cellStyle name="Percent 5 2 5 18" xfId="33538" xr:uid="{E6C36C22-BBF9-411A-8276-BF72495D302B}"/>
    <cellStyle name="Percent 5 2 5 19" xfId="35428" xr:uid="{A2EB79AA-FE6B-42C4-A440-3F9CBED5A730}"/>
    <cellStyle name="Percent 5 2 5 2" xfId="3298" xr:uid="{19589B3F-E8F5-4663-87F0-3B52D6A7A7D9}"/>
    <cellStyle name="Percent 5 2 5 20" xfId="37318" xr:uid="{F5DB086B-C497-4CF2-AD5C-29158E7DA18C}"/>
    <cellStyle name="Percent 5 2 5 21" xfId="39208" xr:uid="{24DF5875-9BB2-4CCD-885B-1A2C782BF73D}"/>
    <cellStyle name="Percent 5 2 5 22" xfId="41099" xr:uid="{ABF3A3CE-0E7D-4423-A7FC-654D27A03402}"/>
    <cellStyle name="Percent 5 2 5 3" xfId="5188" xr:uid="{491D25EA-EB37-4487-A8E7-EF031BCDD5FF}"/>
    <cellStyle name="Percent 5 2 5 4" xfId="7078" xr:uid="{DF49777D-293F-4A72-85B2-20A47B4D5A66}"/>
    <cellStyle name="Percent 5 2 5 5" xfId="8968" xr:uid="{E8768DBC-9D06-4C8F-B374-67039668FEAD}"/>
    <cellStyle name="Percent 5 2 5 6" xfId="10858" xr:uid="{186497CD-52EE-4CC1-A3BD-D3D290C96282}"/>
    <cellStyle name="Percent 5 2 5 7" xfId="12748" xr:uid="{9E2AFB51-F97F-4E4E-981B-B7B7752403E0}"/>
    <cellStyle name="Percent 5 2 5 8" xfId="14638" xr:uid="{74931906-3FA8-42AB-A1A9-FBD62C2CEA68}"/>
    <cellStyle name="Percent 5 2 5 9" xfId="16528" xr:uid="{A11E8A9A-2B1B-480A-B395-E3BED803BF4A}"/>
    <cellStyle name="Percent 5 2 6" xfId="2038" xr:uid="{0D640D03-BBB0-44CF-B0FC-8F74B92CFD31}"/>
    <cellStyle name="Percent 5 2 7" xfId="3928" xr:uid="{6D14CC25-3A6E-4625-8885-493938AA485C}"/>
    <cellStyle name="Percent 5 2 8" xfId="5818" xr:uid="{C1976889-8281-4DB5-8998-6E7E97E66CA3}"/>
    <cellStyle name="Percent 5 2 9" xfId="7708" xr:uid="{B458A782-2E09-4C6F-ACCC-2760866AD32E}"/>
    <cellStyle name="Percent 5 20" xfId="26503" xr:uid="{8D4CCEA7-6E10-411A-B163-6B04AC83EC29}"/>
    <cellStyle name="Percent 5 21" xfId="28393" xr:uid="{162272FD-7394-4EDB-AC63-9D7F259A572F}"/>
    <cellStyle name="Percent 5 22" xfId="30283" xr:uid="{F673A68D-19DE-44CD-8C2C-A0334373E824}"/>
    <cellStyle name="Percent 5 23" xfId="32173" xr:uid="{3378FCDA-5A80-4F71-B333-A5DC858D60EA}"/>
    <cellStyle name="Percent 5 24" xfId="34063" xr:uid="{D421822A-0BDB-4753-8854-3166A90EDCBC}"/>
    <cellStyle name="Percent 5 25" xfId="35953" xr:uid="{69BAA10F-97F6-4EAC-B056-952538C54924}"/>
    <cellStyle name="Percent 5 26" xfId="37843" xr:uid="{54747318-7D4B-4431-9DAE-0AC31AF36E57}"/>
    <cellStyle name="Percent 5 27" xfId="39734" xr:uid="{18455D5C-614B-4511-8CD3-88E68CDCE290}"/>
    <cellStyle name="Percent 5 3" xfId="253" xr:uid="{5F94645E-5B88-4CA9-9D2E-118D7BA69FA0}"/>
    <cellStyle name="Percent 5 3 10" xfId="13483" xr:uid="{3DFF1F76-67E3-4FE3-A3B7-F6D5AE040904}"/>
    <cellStyle name="Percent 5 3 11" xfId="15373" xr:uid="{EA1EF766-4A65-4F86-BA80-7EBD15976316}"/>
    <cellStyle name="Percent 5 3 12" xfId="17263" xr:uid="{DE4EA16B-8CEC-4914-8664-519E55334F73}"/>
    <cellStyle name="Percent 5 3 13" xfId="19153" xr:uid="{9C9487AD-29E0-479F-8725-CDF1D8F6D882}"/>
    <cellStyle name="Percent 5 3 14" xfId="21043" xr:uid="{52207D74-B9FE-4A20-AFA3-A262EA76453F}"/>
    <cellStyle name="Percent 5 3 15" xfId="22933" xr:uid="{664DC583-99BD-45E6-8694-17D19196572A}"/>
    <cellStyle name="Percent 5 3 16" xfId="24823" xr:uid="{E4E39BF5-64BD-4216-BEF8-205F38E5E270}"/>
    <cellStyle name="Percent 5 3 17" xfId="26713" xr:uid="{9AFB07BC-3C9B-473D-9362-F0809FC0DEAF}"/>
    <cellStyle name="Percent 5 3 18" xfId="28603" xr:uid="{19FD672B-DD85-4203-8CEF-BFDEA653007D}"/>
    <cellStyle name="Percent 5 3 19" xfId="30493" xr:uid="{708A9413-E2B3-4B1B-9443-31DC73B3DADB}"/>
    <cellStyle name="Percent 5 3 2" xfId="883" xr:uid="{4004C0EA-1D8D-4D27-BAEA-93FAB64DD24C}"/>
    <cellStyle name="Percent 5 3 2 10" xfId="17893" xr:uid="{A95F28C4-C447-45D7-9891-3F317E8CE0C6}"/>
    <cellStyle name="Percent 5 3 2 11" xfId="19783" xr:uid="{6634052C-A3E4-4108-BB37-7EB5D9AD83CF}"/>
    <cellStyle name="Percent 5 3 2 12" xfId="21673" xr:uid="{B4E2A9C7-3DD5-4EF7-BC39-D0AD1A756C08}"/>
    <cellStyle name="Percent 5 3 2 13" xfId="23563" xr:uid="{CD2BC57C-7C90-416F-B0DE-D886644495D5}"/>
    <cellStyle name="Percent 5 3 2 14" xfId="25453" xr:uid="{B4EF3132-F502-4BCB-8501-5ED5806E63F0}"/>
    <cellStyle name="Percent 5 3 2 15" xfId="27343" xr:uid="{9646E82D-559F-417B-8D09-2A541FC1136C}"/>
    <cellStyle name="Percent 5 3 2 16" xfId="29233" xr:uid="{EEF3F040-83ED-481F-8848-3B43A10FC2FC}"/>
    <cellStyle name="Percent 5 3 2 17" xfId="31123" xr:uid="{6E57669B-631B-469F-B136-635F67D57AC3}"/>
    <cellStyle name="Percent 5 3 2 18" xfId="33013" xr:uid="{88293A4F-6408-4E4B-AA26-42E9D8FE6BF4}"/>
    <cellStyle name="Percent 5 3 2 19" xfId="34903" xr:uid="{68F37B73-3260-4918-9DF5-738313CA1196}"/>
    <cellStyle name="Percent 5 3 2 2" xfId="2773" xr:uid="{871A656F-4AEB-42D4-8DBB-08682A57C8AE}"/>
    <cellStyle name="Percent 5 3 2 20" xfId="36793" xr:uid="{E42C9802-B07B-49F9-A076-DAA58DF9BAFB}"/>
    <cellStyle name="Percent 5 3 2 21" xfId="38683" xr:uid="{A38A9C8A-74CA-43A6-8F28-3BE29F6E4F6D}"/>
    <cellStyle name="Percent 5 3 2 22" xfId="40574" xr:uid="{F7742E88-FEEB-4CCB-A053-93B996F829BD}"/>
    <cellStyle name="Percent 5 3 2 3" xfId="4663" xr:uid="{2AD5CB4F-B267-4D49-8548-3EBEE9D731A1}"/>
    <cellStyle name="Percent 5 3 2 4" xfId="6553" xr:uid="{5E9E595A-DE3C-4B91-B4C4-FF7017D639DF}"/>
    <cellStyle name="Percent 5 3 2 5" xfId="8443" xr:uid="{DE9F4395-AFB5-4F5F-9CA8-4A86C0393D67}"/>
    <cellStyle name="Percent 5 3 2 6" xfId="10333" xr:uid="{92F2D2CF-01C8-458A-9CF0-F13C59E5DD5E}"/>
    <cellStyle name="Percent 5 3 2 7" xfId="12223" xr:uid="{4E64A6F2-CB75-4459-AA84-8C2D775BF92B}"/>
    <cellStyle name="Percent 5 3 2 8" xfId="14113" xr:uid="{F3FECD30-3E24-4D06-8C31-BD3B87D936F5}"/>
    <cellStyle name="Percent 5 3 2 9" xfId="16003" xr:uid="{3DCE839F-BBA6-4D8C-B682-128102931980}"/>
    <cellStyle name="Percent 5 3 20" xfId="32383" xr:uid="{79B9839F-F376-4DBE-AF24-1206A540E9B7}"/>
    <cellStyle name="Percent 5 3 21" xfId="34273" xr:uid="{6EE2352F-5BFC-45F2-9662-D144B4DB81E1}"/>
    <cellStyle name="Percent 5 3 22" xfId="36163" xr:uid="{9F61A9A3-50C8-445D-B29A-FACCBFB7523C}"/>
    <cellStyle name="Percent 5 3 23" xfId="38053" xr:uid="{F336A5B0-C2B8-4BF4-BB45-C3CA34E50B4A}"/>
    <cellStyle name="Percent 5 3 24" xfId="39944" xr:uid="{BC47AFD3-8A60-46E1-BC27-2652D7B9CF5A}"/>
    <cellStyle name="Percent 5 3 3" xfId="1513" xr:uid="{F3EA0C77-CBD0-43C6-A42E-4E73162970D4}"/>
    <cellStyle name="Percent 5 3 3 10" xfId="18523" xr:uid="{8BEE9006-639D-4343-B59F-4A8F12EB776C}"/>
    <cellStyle name="Percent 5 3 3 11" xfId="20413" xr:uid="{60901154-00C0-4E09-B47E-9EE1AB7B1C2F}"/>
    <cellStyle name="Percent 5 3 3 12" xfId="22303" xr:uid="{3FC9BCFD-C45C-483B-B903-C666312F7383}"/>
    <cellStyle name="Percent 5 3 3 13" xfId="24193" xr:uid="{32FFF06F-3632-4DB3-9209-F37AEC2AFE87}"/>
    <cellStyle name="Percent 5 3 3 14" xfId="26083" xr:uid="{AB83C029-5583-463D-B9E3-8B6E673B9B8E}"/>
    <cellStyle name="Percent 5 3 3 15" xfId="27973" xr:uid="{DBEE9524-420D-436E-9FB4-B7817616ACAA}"/>
    <cellStyle name="Percent 5 3 3 16" xfId="29863" xr:uid="{8F574507-BC91-49AD-9C3B-81493D337476}"/>
    <cellStyle name="Percent 5 3 3 17" xfId="31753" xr:uid="{6209D2A4-372E-43A1-B463-DC24B997A3B9}"/>
    <cellStyle name="Percent 5 3 3 18" xfId="33643" xr:uid="{46F17665-D26A-443A-AE76-0DBEAD7D9CFD}"/>
    <cellStyle name="Percent 5 3 3 19" xfId="35533" xr:uid="{CE886081-3753-440D-AFC9-DE602735550C}"/>
    <cellStyle name="Percent 5 3 3 2" xfId="3403" xr:uid="{31697905-E68E-4343-A5C9-6AECC24FDD75}"/>
    <cellStyle name="Percent 5 3 3 20" xfId="37423" xr:uid="{6EFB26D2-E426-41B9-959A-80205AD3BC0A}"/>
    <cellStyle name="Percent 5 3 3 21" xfId="39313" xr:uid="{600CD422-1D9C-4FFC-ACDD-3281E6375F0A}"/>
    <cellStyle name="Percent 5 3 3 22" xfId="41204" xr:uid="{4DADEFCD-D97A-4F72-A301-7B2881735484}"/>
    <cellStyle name="Percent 5 3 3 3" xfId="5293" xr:uid="{A4195899-A0CC-4379-97A3-88BAC5321F10}"/>
    <cellStyle name="Percent 5 3 3 4" xfId="7183" xr:uid="{45250898-B9A9-488E-AE36-BFA959C44BB4}"/>
    <cellStyle name="Percent 5 3 3 5" xfId="9073" xr:uid="{354DC454-76E4-4BB6-9B71-973527C2CB71}"/>
    <cellStyle name="Percent 5 3 3 6" xfId="10963" xr:uid="{1022135B-FB7B-4965-869F-F8DA69177E18}"/>
    <cellStyle name="Percent 5 3 3 7" xfId="12853" xr:uid="{34083B4F-4F4F-4DDF-9698-469415D5766E}"/>
    <cellStyle name="Percent 5 3 3 8" xfId="14743" xr:uid="{17AFC0B9-3431-405C-AB19-7E809B4B7EE3}"/>
    <cellStyle name="Percent 5 3 3 9" xfId="16633" xr:uid="{FA940310-024C-44DA-BB1A-956D19697651}"/>
    <cellStyle name="Percent 5 3 4" xfId="2143" xr:uid="{52CD857D-A633-430B-8DD7-AFFD8220DC87}"/>
    <cellStyle name="Percent 5 3 5" xfId="4033" xr:uid="{39E4064A-EAEB-4C31-948F-7D039077BC3A}"/>
    <cellStyle name="Percent 5 3 6" xfId="5923" xr:uid="{911EF50B-F423-4043-B986-95751B796BC3}"/>
    <cellStyle name="Percent 5 3 7" xfId="7813" xr:uid="{C6FB61ED-8520-4892-8379-E063B971E314}"/>
    <cellStyle name="Percent 5 3 8" xfId="9703" xr:uid="{C9A990B6-86AE-4CA0-A499-A7AE15EF8A0D}"/>
    <cellStyle name="Percent 5 3 9" xfId="11593" xr:uid="{1BDC32DA-1225-480F-8AE0-7CC90A67A12D}"/>
    <cellStyle name="Percent 5 4" xfId="463" xr:uid="{34B959B2-D6F2-4CE1-BC36-6D1365CE7EA4}"/>
    <cellStyle name="Percent 5 4 10" xfId="13693" xr:uid="{192255D0-3392-43B0-ABBC-037E6B39C19C}"/>
    <cellStyle name="Percent 5 4 11" xfId="15583" xr:uid="{31F9B144-C00A-4084-B961-6561BFCA0919}"/>
    <cellStyle name="Percent 5 4 12" xfId="17473" xr:uid="{47089BD5-DF82-4C00-9900-F43B29F617B8}"/>
    <cellStyle name="Percent 5 4 13" xfId="19363" xr:uid="{520E52E8-90D5-4D45-8F71-0672E6ABFFE6}"/>
    <cellStyle name="Percent 5 4 14" xfId="21253" xr:uid="{DA13814D-1457-474D-A902-D2B86F2C7C1F}"/>
    <cellStyle name="Percent 5 4 15" xfId="23143" xr:uid="{B6B48A14-49BE-48A3-9B8E-586F60519133}"/>
    <cellStyle name="Percent 5 4 16" xfId="25033" xr:uid="{34995724-C1D0-4CB7-AD95-771A0A7A54E9}"/>
    <cellStyle name="Percent 5 4 17" xfId="26923" xr:uid="{1070CBDF-AFEC-4849-A5F0-BC9784E4668B}"/>
    <cellStyle name="Percent 5 4 18" xfId="28813" xr:uid="{B14867D2-66D4-4F10-844B-37919E55F858}"/>
    <cellStyle name="Percent 5 4 19" xfId="30703" xr:uid="{D639B2B4-4DE5-4F23-8820-54EBD3C51677}"/>
    <cellStyle name="Percent 5 4 2" xfId="1093" xr:uid="{C62A57DE-F60B-4103-A54A-E722202A663B}"/>
    <cellStyle name="Percent 5 4 2 10" xfId="18103" xr:uid="{498976FC-3565-45A8-AC04-FA9DBD10B23D}"/>
    <cellStyle name="Percent 5 4 2 11" xfId="19993" xr:uid="{C93EA0E2-8773-4655-8E10-8B42EC15AA0B}"/>
    <cellStyle name="Percent 5 4 2 12" xfId="21883" xr:uid="{F2426ABB-411F-4280-82BE-A13D20F8451E}"/>
    <cellStyle name="Percent 5 4 2 13" xfId="23773" xr:uid="{91867271-DA79-41D5-BE85-F256B92D0CA8}"/>
    <cellStyle name="Percent 5 4 2 14" xfId="25663" xr:uid="{D1ABFBD7-854C-4BDF-9CAC-16E5B3DF0B4A}"/>
    <cellStyle name="Percent 5 4 2 15" xfId="27553" xr:uid="{E71D921C-B27F-420B-ACEC-D414C4643432}"/>
    <cellStyle name="Percent 5 4 2 16" xfId="29443" xr:uid="{A670ABA1-DECD-4543-A9DC-4BB5252EF972}"/>
    <cellStyle name="Percent 5 4 2 17" xfId="31333" xr:uid="{45AF00E8-7CD6-49C9-BF6A-F88518A85930}"/>
    <cellStyle name="Percent 5 4 2 18" xfId="33223" xr:uid="{CB8C83C6-09B1-4656-8158-C542232EB3A4}"/>
    <cellStyle name="Percent 5 4 2 19" xfId="35113" xr:uid="{C30C4037-9404-4434-81F7-C27468C4077B}"/>
    <cellStyle name="Percent 5 4 2 2" xfId="2983" xr:uid="{50CB9E97-AF5A-4389-9514-29686BE1429B}"/>
    <cellStyle name="Percent 5 4 2 20" xfId="37003" xr:uid="{8949F128-1ACC-4DA4-93F1-880E14E977AC}"/>
    <cellStyle name="Percent 5 4 2 21" xfId="38893" xr:uid="{7E6D5E2C-C3A5-4E12-A8D5-6CAB1C51B488}"/>
    <cellStyle name="Percent 5 4 2 22" xfId="40784" xr:uid="{367ACFCB-A937-4E16-B1FD-1B3D3288D493}"/>
    <cellStyle name="Percent 5 4 2 3" xfId="4873" xr:uid="{9B805151-8E6C-4E05-9B8E-576E05E95FC4}"/>
    <cellStyle name="Percent 5 4 2 4" xfId="6763" xr:uid="{99F88D1A-102D-444B-B3CA-4E39235FF75A}"/>
    <cellStyle name="Percent 5 4 2 5" xfId="8653" xr:uid="{D079D5F1-1DB3-4B1A-BAEE-3F43B3A4750A}"/>
    <cellStyle name="Percent 5 4 2 6" xfId="10543" xr:uid="{1895EE40-CC3F-4AD7-91D4-3EAA0E46F969}"/>
    <cellStyle name="Percent 5 4 2 7" xfId="12433" xr:uid="{1E150FFD-7D02-40C0-B4B8-D1A3E9314D91}"/>
    <cellStyle name="Percent 5 4 2 8" xfId="14323" xr:uid="{0749F650-2A16-4054-859B-0B5FB933C7F2}"/>
    <cellStyle name="Percent 5 4 2 9" xfId="16213" xr:uid="{8E651B49-B7E8-4082-9A48-5AC6B4290033}"/>
    <cellStyle name="Percent 5 4 20" xfId="32593" xr:uid="{7866914B-EAC2-4673-93AA-14571C70D6AA}"/>
    <cellStyle name="Percent 5 4 21" xfId="34483" xr:uid="{7C724219-6CDE-411B-920B-2737C52E63A2}"/>
    <cellStyle name="Percent 5 4 22" xfId="36373" xr:uid="{EBC48E55-9DAE-4A69-8982-2E77F0B262BE}"/>
    <cellStyle name="Percent 5 4 23" xfId="38263" xr:uid="{9AEA60CE-137B-45D5-96EE-41B62D6654C2}"/>
    <cellStyle name="Percent 5 4 24" xfId="40154" xr:uid="{7008D35A-84EB-44C8-9506-6C1B96B0A821}"/>
    <cellStyle name="Percent 5 4 3" xfId="1723" xr:uid="{1D570DD7-CF4A-4BE9-A02F-530228206A68}"/>
    <cellStyle name="Percent 5 4 3 10" xfId="18733" xr:uid="{52A26A51-2964-4A10-AF79-42F21956CCB0}"/>
    <cellStyle name="Percent 5 4 3 11" xfId="20623" xr:uid="{FFD19BD6-CA9A-480B-9B86-CAB290DC9459}"/>
    <cellStyle name="Percent 5 4 3 12" xfId="22513" xr:uid="{DA8DB1CF-6689-4A4C-89EF-778349C9BFC0}"/>
    <cellStyle name="Percent 5 4 3 13" xfId="24403" xr:uid="{272360E5-1F3C-4845-ACFD-F92E97E9030E}"/>
    <cellStyle name="Percent 5 4 3 14" xfId="26293" xr:uid="{34AFBEBA-A34D-4052-8A1D-D04523724CD7}"/>
    <cellStyle name="Percent 5 4 3 15" xfId="28183" xr:uid="{96CBBFF5-4C25-4059-93B5-137429AE0130}"/>
    <cellStyle name="Percent 5 4 3 16" xfId="30073" xr:uid="{59DB05EC-F73C-4258-862D-840E32A263B4}"/>
    <cellStyle name="Percent 5 4 3 17" xfId="31963" xr:uid="{30B6DCE9-AC8E-4AAB-B2FD-772B2CB7393E}"/>
    <cellStyle name="Percent 5 4 3 18" xfId="33853" xr:uid="{E71A1B9A-DAAD-4F67-93F7-6F489D272F6D}"/>
    <cellStyle name="Percent 5 4 3 19" xfId="35743" xr:uid="{7C0A2861-0097-4130-8089-B47834490658}"/>
    <cellStyle name="Percent 5 4 3 2" xfId="3613" xr:uid="{D3A0E1A4-69CA-4185-9AF2-358225FB6884}"/>
    <cellStyle name="Percent 5 4 3 20" xfId="37633" xr:uid="{985188F5-509B-4B90-BAB7-511D1FE9F6BB}"/>
    <cellStyle name="Percent 5 4 3 21" xfId="39523" xr:uid="{BEB4424B-F495-4C68-BCCB-E543BC3E06F7}"/>
    <cellStyle name="Percent 5 4 3 22" xfId="41414" xr:uid="{7F980672-3381-4E37-ABB1-76BA470AF599}"/>
    <cellStyle name="Percent 5 4 3 3" xfId="5503" xr:uid="{898A95E6-BFDA-4934-AFED-87310E0A6D97}"/>
    <cellStyle name="Percent 5 4 3 4" xfId="7393" xr:uid="{2AFD9B23-8726-4C63-B600-78F3C20009A9}"/>
    <cellStyle name="Percent 5 4 3 5" xfId="9283" xr:uid="{6DB19EF3-9DE2-4446-8874-FD2368E0C21A}"/>
    <cellStyle name="Percent 5 4 3 6" xfId="11173" xr:uid="{1FB8DBBA-9CB7-46BE-8004-AD41B3E2E373}"/>
    <cellStyle name="Percent 5 4 3 7" xfId="13063" xr:uid="{37ED28E9-4EA6-4157-ACC2-6DDED2BA5731}"/>
    <cellStyle name="Percent 5 4 3 8" xfId="14953" xr:uid="{B43C4D35-4F5B-44CE-995E-F9FD469A2991}"/>
    <cellStyle name="Percent 5 4 3 9" xfId="16843" xr:uid="{E7A0C977-8E60-48A2-97D4-C7029768F0C5}"/>
    <cellStyle name="Percent 5 4 4" xfId="2353" xr:uid="{8D339CA1-872F-4FB2-898F-FCC924B7F2C3}"/>
    <cellStyle name="Percent 5 4 5" xfId="4243" xr:uid="{83FCAAC6-EE87-45F3-83A5-058042B1A605}"/>
    <cellStyle name="Percent 5 4 6" xfId="6133" xr:uid="{57D32EF9-AAD5-43BC-9565-1D73904D078A}"/>
    <cellStyle name="Percent 5 4 7" xfId="8023" xr:uid="{0947B611-D018-4A2A-AA41-42A56B1A5279}"/>
    <cellStyle name="Percent 5 4 8" xfId="9913" xr:uid="{3B96CD4F-F426-4410-A19B-4A8A6A6370AC}"/>
    <cellStyle name="Percent 5 4 9" xfId="11803" xr:uid="{049BEA53-CBDD-495E-9D4D-096BF66F1FA0}"/>
    <cellStyle name="Percent 5 5" xfId="673" xr:uid="{9E6C326D-C535-4DE1-8FC8-421822D4C048}"/>
    <cellStyle name="Percent 5 5 10" xfId="17683" xr:uid="{A63699CC-DC59-4BFF-B9B1-66E402D316FB}"/>
    <cellStyle name="Percent 5 5 11" xfId="19573" xr:uid="{D42D49BE-0B2F-4C7C-99DA-E647D18D69F6}"/>
    <cellStyle name="Percent 5 5 12" xfId="21463" xr:uid="{9B68E109-BA7B-481A-9449-2F3BDB66C10E}"/>
    <cellStyle name="Percent 5 5 13" xfId="23353" xr:uid="{73B94915-7C46-4F7F-B65F-62FBA966255E}"/>
    <cellStyle name="Percent 5 5 14" xfId="25243" xr:uid="{3B84C5D9-40A6-41C1-8F6D-83E7AB899186}"/>
    <cellStyle name="Percent 5 5 15" xfId="27133" xr:uid="{ABF2C17C-70CA-441F-8064-C0645D434EC7}"/>
    <cellStyle name="Percent 5 5 16" xfId="29023" xr:uid="{B980741E-7EB9-4894-BAFD-3238DDA33A4D}"/>
    <cellStyle name="Percent 5 5 17" xfId="30913" xr:uid="{9A36B804-86BD-4060-A7FC-784AE81947B4}"/>
    <cellStyle name="Percent 5 5 18" xfId="32803" xr:uid="{BCE164E2-9D79-402A-8B2A-EAB669C54AE8}"/>
    <cellStyle name="Percent 5 5 19" xfId="34693" xr:uid="{478DF082-4364-4210-8A30-9C5EB7D152AC}"/>
    <cellStyle name="Percent 5 5 2" xfId="2563" xr:uid="{77F65958-A9ED-4525-9231-4776F1CF8DA5}"/>
    <cellStyle name="Percent 5 5 20" xfId="36583" xr:uid="{66B71C23-4A86-42BB-83A3-8D483A6937C0}"/>
    <cellStyle name="Percent 5 5 21" xfId="38473" xr:uid="{E04F5BA6-9F7F-457E-878E-BFD4051A6DBA}"/>
    <cellStyle name="Percent 5 5 22" xfId="40364" xr:uid="{6E3B8496-6731-461C-9A69-B8C174D79C96}"/>
    <cellStyle name="Percent 5 5 3" xfId="4453" xr:uid="{637FDC0F-131E-4C9D-B6F4-0B898EF4EC0B}"/>
    <cellStyle name="Percent 5 5 4" xfId="6343" xr:uid="{D7C6885A-7CCB-4A57-823D-EE5122BC9946}"/>
    <cellStyle name="Percent 5 5 5" xfId="8233" xr:uid="{1F54EF03-9B47-4722-BF63-0FA3833F96DF}"/>
    <cellStyle name="Percent 5 5 6" xfId="10123" xr:uid="{308B47F1-DD84-4154-A144-45FD822CD309}"/>
    <cellStyle name="Percent 5 5 7" xfId="12013" xr:uid="{A8A5A3DE-BFA7-4597-AF74-C32656DB9FC0}"/>
    <cellStyle name="Percent 5 5 8" xfId="13903" xr:uid="{C53ADF11-9C52-4D71-99CF-0FCE5EFD1880}"/>
    <cellStyle name="Percent 5 5 9" xfId="15793" xr:uid="{78EA9387-9829-4F68-9EC3-A8F8F888D1BA}"/>
    <cellStyle name="Percent 5 6" xfId="1303" xr:uid="{6374A528-2761-4916-BC99-24536B6187F3}"/>
    <cellStyle name="Percent 5 6 10" xfId="18313" xr:uid="{DDED64CA-DD32-487B-A004-869DC0F5F3D4}"/>
    <cellStyle name="Percent 5 6 11" xfId="20203" xr:uid="{CEB681EA-EA01-4749-A97F-6227D6BFD370}"/>
    <cellStyle name="Percent 5 6 12" xfId="22093" xr:uid="{7098A312-F41D-4062-9EDE-74874150AF46}"/>
    <cellStyle name="Percent 5 6 13" xfId="23983" xr:uid="{C1688CEE-5923-4C36-9919-CFB15E33FDA4}"/>
    <cellStyle name="Percent 5 6 14" xfId="25873" xr:uid="{441F2521-48CB-40F8-8D65-0E07636A2C57}"/>
    <cellStyle name="Percent 5 6 15" xfId="27763" xr:uid="{FCB8DF75-7F20-4A6F-8FF2-4B7241D597E4}"/>
    <cellStyle name="Percent 5 6 16" xfId="29653" xr:uid="{A776F12D-2BD8-43D8-A533-9F94B96E8C15}"/>
    <cellStyle name="Percent 5 6 17" xfId="31543" xr:uid="{26B30E68-1E2E-4063-856C-09BD7A97F6AB}"/>
    <cellStyle name="Percent 5 6 18" xfId="33433" xr:uid="{9C56D48C-3D59-4757-A07A-FA867EBA1A7F}"/>
    <cellStyle name="Percent 5 6 19" xfId="35323" xr:uid="{59CCD0EC-265D-42B3-8E39-EC2A576FA6C9}"/>
    <cellStyle name="Percent 5 6 2" xfId="3193" xr:uid="{8B39E6AA-8EDC-45A3-A1B4-84C68C3C2EAD}"/>
    <cellStyle name="Percent 5 6 20" xfId="37213" xr:uid="{C34ED187-1340-4C14-B2FC-63D6026057E2}"/>
    <cellStyle name="Percent 5 6 21" xfId="39103" xr:uid="{2A911B9E-350C-455C-B4E2-F1BAD64F0101}"/>
    <cellStyle name="Percent 5 6 22" xfId="40994" xr:uid="{0C0E8FB7-2ACD-47CF-800F-FF104D6C51B3}"/>
    <cellStyle name="Percent 5 6 3" xfId="5083" xr:uid="{368E409C-B57F-4321-8D23-7889665DEAEE}"/>
    <cellStyle name="Percent 5 6 4" xfId="6973" xr:uid="{9256F76B-2B27-4862-992D-EB0B641F6892}"/>
    <cellStyle name="Percent 5 6 5" xfId="8863" xr:uid="{AB4E0B60-6B37-4CB3-8F65-DEF26A566E29}"/>
    <cellStyle name="Percent 5 6 6" xfId="10753" xr:uid="{355E6193-BB02-4FCC-B174-57EC3EFF4C2E}"/>
    <cellStyle name="Percent 5 6 7" xfId="12643" xr:uid="{E5C0E1F1-9F05-48C7-AE78-53E25D1DFE04}"/>
    <cellStyle name="Percent 5 6 8" xfId="14533" xr:uid="{F91FF5E6-8D47-4B84-9AB9-4BD3429A56C3}"/>
    <cellStyle name="Percent 5 6 9" xfId="16423" xr:uid="{E57F7AB8-D624-4D9F-9370-399BC61B17F6}"/>
    <cellStyle name="Percent 5 7" xfId="1933" xr:uid="{CB35B779-F98C-472E-852B-E481F576E9A4}"/>
    <cellStyle name="Percent 5 8" xfId="3823" xr:uid="{A5092BE0-BE12-4336-821E-B2A283888391}"/>
    <cellStyle name="Percent 5 9" xfId="5713" xr:uid="{928D82A0-B776-4947-8612-68ADD9C5BD24}"/>
    <cellStyle name="Percent 6" xfId="30" xr:uid="{95E82D9B-6182-4554-8469-E989DD6B8D88}"/>
    <cellStyle name="Percent 6 10" xfId="7612" xr:uid="{DFF0270A-7052-436F-B829-3F4AC01A275D}"/>
    <cellStyle name="Percent 6 11" xfId="9502" xr:uid="{AA81AECF-1822-4683-9FC5-DF83ACB51522}"/>
    <cellStyle name="Percent 6 12" xfId="11392" xr:uid="{CF1B2E62-3434-4DE6-9188-4F9BAB09EFF5}"/>
    <cellStyle name="Percent 6 13" xfId="13282" xr:uid="{7981C246-40A9-4790-868F-F0C65FD2AC5C}"/>
    <cellStyle name="Percent 6 14" xfId="15172" xr:uid="{5EA67CCF-9FC6-4A6D-8B94-4944D92308D4}"/>
    <cellStyle name="Percent 6 15" xfId="17062" xr:uid="{103B510B-4771-4E03-9A86-970E70F0D05A}"/>
    <cellStyle name="Percent 6 16" xfId="18952" xr:uid="{260DA64F-9F4E-49B6-B57E-CFF1ED942B42}"/>
    <cellStyle name="Percent 6 17" xfId="20842" xr:uid="{FC2EBBE4-9C36-4857-A4D6-BE630B766DF9}"/>
    <cellStyle name="Percent 6 18" xfId="22732" xr:uid="{C12E2EB9-856C-4826-AD54-FDC3DBC6A4BF}"/>
    <cellStyle name="Percent 6 19" xfId="24622" xr:uid="{F93C9DF8-9EA4-49F0-BC1E-F5F4B68D1647}"/>
    <cellStyle name="Percent 6 2" xfId="157" xr:uid="{CA9026A5-F92F-4029-9960-EE91032CF84C}"/>
    <cellStyle name="Percent 6 2 10" xfId="9607" xr:uid="{58735BFF-691D-4F96-81BA-BCC1B376438A}"/>
    <cellStyle name="Percent 6 2 11" xfId="11497" xr:uid="{E80FA251-1FF7-400E-8D4A-49A8293BC469}"/>
    <cellStyle name="Percent 6 2 12" xfId="13387" xr:uid="{47B94751-3C64-40F7-823B-4EE1E3040EAC}"/>
    <cellStyle name="Percent 6 2 13" xfId="15277" xr:uid="{C69205CB-C8A9-4210-B4A0-CFD0E3727B80}"/>
    <cellStyle name="Percent 6 2 14" xfId="17167" xr:uid="{BCF00FE6-79CB-41E0-8FA7-422562297EFC}"/>
    <cellStyle name="Percent 6 2 15" xfId="19057" xr:uid="{49E5B2B8-BE9F-4E17-B886-32E9BCE446F3}"/>
    <cellStyle name="Percent 6 2 16" xfId="20947" xr:uid="{BDA5CD7D-5F83-43E0-8165-EB3CE1364825}"/>
    <cellStyle name="Percent 6 2 17" xfId="22837" xr:uid="{E1F7D502-710F-4406-8157-5B7E14D598DF}"/>
    <cellStyle name="Percent 6 2 18" xfId="24727" xr:uid="{30B078B8-16DD-4692-8842-EDC4BEC07202}"/>
    <cellStyle name="Percent 6 2 19" xfId="26617" xr:uid="{A4D57114-0A7E-4F07-AC37-091E6BE25902}"/>
    <cellStyle name="Percent 6 2 2" xfId="367" xr:uid="{A0ADB2D5-C082-493B-9A54-1641FFFD9B2F}"/>
    <cellStyle name="Percent 6 2 2 10" xfId="13597" xr:uid="{CD2FEEFA-F8A7-4577-A526-D5BD5EC9F674}"/>
    <cellStyle name="Percent 6 2 2 11" xfId="15487" xr:uid="{65EE9935-9FD0-4F0F-8CF4-814B184ACB7D}"/>
    <cellStyle name="Percent 6 2 2 12" xfId="17377" xr:uid="{1B4E367C-5BB8-4885-A615-C65D0C75A358}"/>
    <cellStyle name="Percent 6 2 2 13" xfId="19267" xr:uid="{A30C4164-4A99-4F7F-A36D-CEF0F8CD663C}"/>
    <cellStyle name="Percent 6 2 2 14" xfId="21157" xr:uid="{C5AE3885-5608-4274-97A2-7B07F4AF3DEC}"/>
    <cellStyle name="Percent 6 2 2 15" xfId="23047" xr:uid="{5E5B1BFD-AC24-4C13-B31D-8C086736D6E5}"/>
    <cellStyle name="Percent 6 2 2 16" xfId="24937" xr:uid="{4E1160E4-9373-470B-AFE9-658212062CA2}"/>
    <cellStyle name="Percent 6 2 2 17" xfId="26827" xr:uid="{89938C63-5B66-4228-8F55-1B43E3019CC9}"/>
    <cellStyle name="Percent 6 2 2 18" xfId="28717" xr:uid="{23001C44-D696-452E-9DF8-6FEFF90A72A0}"/>
    <cellStyle name="Percent 6 2 2 19" xfId="30607" xr:uid="{1E590D8F-AC38-432D-893C-D4343010DACD}"/>
    <cellStyle name="Percent 6 2 2 2" xfId="997" xr:uid="{4CCCB698-8457-4548-851F-3EF19B259E06}"/>
    <cellStyle name="Percent 6 2 2 2 10" xfId="18007" xr:uid="{75CF2C5A-1E9F-4776-AC64-D7CD156C3D05}"/>
    <cellStyle name="Percent 6 2 2 2 11" xfId="19897" xr:uid="{AD701533-E10F-4EAA-BA29-5D37EE953319}"/>
    <cellStyle name="Percent 6 2 2 2 12" xfId="21787" xr:uid="{8DF252F6-90A1-42B7-83FA-6C98A8C27DB7}"/>
    <cellStyle name="Percent 6 2 2 2 13" xfId="23677" xr:uid="{D25A3B89-0F6F-45EA-A38E-55989A90F943}"/>
    <cellStyle name="Percent 6 2 2 2 14" xfId="25567" xr:uid="{629FD868-8338-468D-85B8-65159B97D3F5}"/>
    <cellStyle name="Percent 6 2 2 2 15" xfId="27457" xr:uid="{B41E222B-CCF1-41E0-A69F-979D674F92CE}"/>
    <cellStyle name="Percent 6 2 2 2 16" xfId="29347" xr:uid="{6935C2D7-302A-4230-9FD5-53763444E54B}"/>
    <cellStyle name="Percent 6 2 2 2 17" xfId="31237" xr:uid="{F986774F-B441-4467-BC3E-0EED66FD668A}"/>
    <cellStyle name="Percent 6 2 2 2 18" xfId="33127" xr:uid="{7B0D4384-8869-4FF5-A084-135DD73596C6}"/>
    <cellStyle name="Percent 6 2 2 2 19" xfId="35017" xr:uid="{002EDB9E-FB50-43B5-8B15-DC135129D0D2}"/>
    <cellStyle name="Percent 6 2 2 2 2" xfId="2887" xr:uid="{F3B5CF45-0D29-43BC-80E4-7C3D429CFA9C}"/>
    <cellStyle name="Percent 6 2 2 2 20" xfId="36907" xr:uid="{6FA69AC1-3C34-4A54-A896-6F82840309F6}"/>
    <cellStyle name="Percent 6 2 2 2 21" xfId="38797" xr:uid="{27A855D1-6673-49B7-9E69-3FCC3E7C3D48}"/>
    <cellStyle name="Percent 6 2 2 2 22" xfId="40688" xr:uid="{FDAF537D-831C-4145-95D5-07144F4B87C5}"/>
    <cellStyle name="Percent 6 2 2 2 3" xfId="4777" xr:uid="{C541E588-D6F8-40E2-A4DB-2DB6A501EEDC}"/>
    <cellStyle name="Percent 6 2 2 2 4" xfId="6667" xr:uid="{B9B52CA8-08B1-4EDA-BEF3-65F3C84E27FF}"/>
    <cellStyle name="Percent 6 2 2 2 5" xfId="8557" xr:uid="{F5DA4C0F-85A3-4E95-ABB9-A07F64698298}"/>
    <cellStyle name="Percent 6 2 2 2 6" xfId="10447" xr:uid="{6E4EACDA-C4C3-4873-B803-E06D1FD77D22}"/>
    <cellStyle name="Percent 6 2 2 2 7" xfId="12337" xr:uid="{B68C835D-FDC8-40CC-896A-2128ADDB882B}"/>
    <cellStyle name="Percent 6 2 2 2 8" xfId="14227" xr:uid="{2451C225-631E-46BA-86FE-FD6B415A2650}"/>
    <cellStyle name="Percent 6 2 2 2 9" xfId="16117" xr:uid="{CAD41AB7-ED35-4802-842A-581687F840E7}"/>
    <cellStyle name="Percent 6 2 2 20" xfId="32497" xr:uid="{49461D2F-0E37-4AF3-8CA4-532272B4C903}"/>
    <cellStyle name="Percent 6 2 2 21" xfId="34387" xr:uid="{951219A2-22DE-4409-8146-E14873F8820F}"/>
    <cellStyle name="Percent 6 2 2 22" xfId="36277" xr:uid="{D3C0335F-8664-48F4-A6FC-F2502F2F1AE4}"/>
    <cellStyle name="Percent 6 2 2 23" xfId="38167" xr:uid="{554EEB5F-0AB2-43CE-9826-BBAC90AFB02F}"/>
    <cellStyle name="Percent 6 2 2 24" xfId="40058" xr:uid="{556D4070-48B0-4E46-9977-618E23B39EB2}"/>
    <cellStyle name="Percent 6 2 2 3" xfId="1627" xr:uid="{7C89392D-4BAA-47BB-BA5A-23415F19C886}"/>
    <cellStyle name="Percent 6 2 2 3 10" xfId="18637" xr:uid="{979A1C89-4295-48B7-A177-EACE13651E44}"/>
    <cellStyle name="Percent 6 2 2 3 11" xfId="20527" xr:uid="{899ADDA6-2B37-47E0-B03B-FC31860085AD}"/>
    <cellStyle name="Percent 6 2 2 3 12" xfId="22417" xr:uid="{1058A65A-241D-44FF-9112-804799F93564}"/>
    <cellStyle name="Percent 6 2 2 3 13" xfId="24307" xr:uid="{68A8D392-8CBD-4A2A-95E3-76D3767871E8}"/>
    <cellStyle name="Percent 6 2 2 3 14" xfId="26197" xr:uid="{D5E744FA-F10C-4086-AABF-C633BE914E3A}"/>
    <cellStyle name="Percent 6 2 2 3 15" xfId="28087" xr:uid="{68A7042F-B496-4739-8C22-3037023612F9}"/>
    <cellStyle name="Percent 6 2 2 3 16" xfId="29977" xr:uid="{6D6D4D4A-58E0-4F00-9FA1-91681181B670}"/>
    <cellStyle name="Percent 6 2 2 3 17" xfId="31867" xr:uid="{CFF81E50-5F95-497F-9FD7-525F60CBDCFB}"/>
    <cellStyle name="Percent 6 2 2 3 18" xfId="33757" xr:uid="{ABFC7430-9C42-4684-B71B-8271B1DE0F5B}"/>
    <cellStyle name="Percent 6 2 2 3 19" xfId="35647" xr:uid="{E47C8425-940F-467F-B22E-F6EB2FE8477A}"/>
    <cellStyle name="Percent 6 2 2 3 2" xfId="3517" xr:uid="{0E8AE5D3-76E9-4D28-A31A-4C5F7FD4D523}"/>
    <cellStyle name="Percent 6 2 2 3 20" xfId="37537" xr:uid="{737B5DC5-5F32-437F-A9DB-910EA2D328A1}"/>
    <cellStyle name="Percent 6 2 2 3 21" xfId="39427" xr:uid="{C8AC3EC6-F8AF-45CB-8060-8251D66E12E8}"/>
    <cellStyle name="Percent 6 2 2 3 22" xfId="41318" xr:uid="{5FD3AE6A-D0FE-457C-AA01-704AC43BDBE5}"/>
    <cellStyle name="Percent 6 2 2 3 3" xfId="5407" xr:uid="{18038350-65CE-4376-B274-2EB8540060B9}"/>
    <cellStyle name="Percent 6 2 2 3 4" xfId="7297" xr:uid="{52D00EF5-CB81-48F2-B12E-17BEA1573B2D}"/>
    <cellStyle name="Percent 6 2 2 3 5" xfId="9187" xr:uid="{2DFF998F-4135-4FAB-A054-406D5D7129A3}"/>
    <cellStyle name="Percent 6 2 2 3 6" xfId="11077" xr:uid="{327FC265-E116-4A59-AA87-4E4DA8AE361D}"/>
    <cellStyle name="Percent 6 2 2 3 7" xfId="12967" xr:uid="{2271211D-D3EF-47DD-897C-9306BE6636DE}"/>
    <cellStyle name="Percent 6 2 2 3 8" xfId="14857" xr:uid="{FEFC2042-B609-40B5-9970-FDF8754C5F04}"/>
    <cellStyle name="Percent 6 2 2 3 9" xfId="16747" xr:uid="{8611FF97-00F2-4042-BE01-079E195260AA}"/>
    <cellStyle name="Percent 6 2 2 4" xfId="2257" xr:uid="{D8335B1E-0E17-4059-814C-21BEF2B1136D}"/>
    <cellStyle name="Percent 6 2 2 5" xfId="4147" xr:uid="{67D3937B-7D21-454C-AE77-F1B21225D3DB}"/>
    <cellStyle name="Percent 6 2 2 6" xfId="6037" xr:uid="{38E69B49-6364-4534-B691-F0581A093A22}"/>
    <cellStyle name="Percent 6 2 2 7" xfId="7927" xr:uid="{2272571E-D727-42F7-87E6-1F4915B76EF6}"/>
    <cellStyle name="Percent 6 2 2 8" xfId="9817" xr:uid="{D4474EE8-64CD-4E99-9C84-174F4104D59F}"/>
    <cellStyle name="Percent 6 2 2 9" xfId="11707" xr:uid="{8F5CB8A4-434C-4ACD-9AD2-A685169E4606}"/>
    <cellStyle name="Percent 6 2 20" xfId="28507" xr:uid="{6A3E116D-352D-4F30-96EE-9BB888234DF3}"/>
    <cellStyle name="Percent 6 2 21" xfId="30397" xr:uid="{22EF4197-C814-48BD-9BC8-390631D73EAC}"/>
    <cellStyle name="Percent 6 2 22" xfId="32287" xr:uid="{214A0845-CDA3-4FF1-8547-145D139619BF}"/>
    <cellStyle name="Percent 6 2 23" xfId="34177" xr:uid="{BB6FAEC5-EC9E-4D59-ABCF-3DA2EA015F36}"/>
    <cellStyle name="Percent 6 2 24" xfId="36067" xr:uid="{B2780FBA-75AF-4079-95CC-0B9CFF76BEC6}"/>
    <cellStyle name="Percent 6 2 25" xfId="37957" xr:uid="{7CE71ED6-D40D-4BCA-915D-C4A48B3D7AB9}"/>
    <cellStyle name="Percent 6 2 26" xfId="39848" xr:uid="{CAAF11F7-D24B-488B-A83C-CDA2574B64C3}"/>
    <cellStyle name="Percent 6 2 3" xfId="577" xr:uid="{D57DCCFB-F3E9-4F96-B4D7-2C9B326599C4}"/>
    <cellStyle name="Percent 6 2 3 10" xfId="13807" xr:uid="{C602FA3B-9279-4615-A38A-AE0A6A28D6F8}"/>
    <cellStyle name="Percent 6 2 3 11" xfId="15697" xr:uid="{14B49974-B527-49B1-9350-3CA4B19FE1EF}"/>
    <cellStyle name="Percent 6 2 3 12" xfId="17587" xr:uid="{1AABDE4C-FDCD-436F-9831-C48607956B3C}"/>
    <cellStyle name="Percent 6 2 3 13" xfId="19477" xr:uid="{B71BB56A-4096-4C43-B9D4-0C3133BCA6DB}"/>
    <cellStyle name="Percent 6 2 3 14" xfId="21367" xr:uid="{853AE275-25F8-40E3-93A8-C3FE928E5410}"/>
    <cellStyle name="Percent 6 2 3 15" xfId="23257" xr:uid="{0C38C7E5-AC6D-4536-B781-89B812FC740A}"/>
    <cellStyle name="Percent 6 2 3 16" xfId="25147" xr:uid="{4DA7F39B-E652-4409-B1A2-62EBC94784B0}"/>
    <cellStyle name="Percent 6 2 3 17" xfId="27037" xr:uid="{0DA7F74E-EA4C-452F-878B-2A5F2B3FF7A5}"/>
    <cellStyle name="Percent 6 2 3 18" xfId="28927" xr:uid="{62DC4661-75DA-4D67-ACA9-742884C1CE30}"/>
    <cellStyle name="Percent 6 2 3 19" xfId="30817" xr:uid="{601E8863-9049-439A-8355-73349BF65FA6}"/>
    <cellStyle name="Percent 6 2 3 2" xfId="1207" xr:uid="{39BC37C2-41A4-4873-AF81-D0C340629BB6}"/>
    <cellStyle name="Percent 6 2 3 2 10" xfId="18217" xr:uid="{BEC02793-0765-4FC9-B332-08C727EEFEA2}"/>
    <cellStyle name="Percent 6 2 3 2 11" xfId="20107" xr:uid="{9C93723C-74EC-4A09-9AAA-B41AA6F03924}"/>
    <cellStyle name="Percent 6 2 3 2 12" xfId="21997" xr:uid="{3C63FDE5-CF34-4EC3-A8DF-A4C7FA1D0C44}"/>
    <cellStyle name="Percent 6 2 3 2 13" xfId="23887" xr:uid="{5813E883-EED1-4681-AAF6-8A10D19419FC}"/>
    <cellStyle name="Percent 6 2 3 2 14" xfId="25777" xr:uid="{89A32E91-E03A-4814-A5CB-4180E2B3EB97}"/>
    <cellStyle name="Percent 6 2 3 2 15" xfId="27667" xr:uid="{C1FC4057-AEE6-4E41-8973-58BC13A99EE4}"/>
    <cellStyle name="Percent 6 2 3 2 16" xfId="29557" xr:uid="{39C33014-50A8-4AE7-AE64-420A8BD7B85B}"/>
    <cellStyle name="Percent 6 2 3 2 17" xfId="31447" xr:uid="{87A7CCCA-F9E0-44D2-AA7F-CFEF23B1FEE0}"/>
    <cellStyle name="Percent 6 2 3 2 18" xfId="33337" xr:uid="{3852EFEA-0C1B-4CEA-98CB-E0CC84146770}"/>
    <cellStyle name="Percent 6 2 3 2 19" xfId="35227" xr:uid="{B590D3DB-49DC-4806-B30B-1CBD391D1A35}"/>
    <cellStyle name="Percent 6 2 3 2 2" xfId="3097" xr:uid="{17F5D8EB-858C-423A-BDDF-93FCD1BAF527}"/>
    <cellStyle name="Percent 6 2 3 2 20" xfId="37117" xr:uid="{E6A68DB2-60FA-474C-BECB-84B9E235B2FD}"/>
    <cellStyle name="Percent 6 2 3 2 21" xfId="39007" xr:uid="{7C50E2CF-0C59-4B64-B495-97B22C1525CD}"/>
    <cellStyle name="Percent 6 2 3 2 22" xfId="40898" xr:uid="{F596D48D-CB75-4EEC-ADC4-F9F3D7B1851E}"/>
    <cellStyle name="Percent 6 2 3 2 3" xfId="4987" xr:uid="{8879918B-0CAE-4C4C-B230-436894AAE700}"/>
    <cellStyle name="Percent 6 2 3 2 4" xfId="6877" xr:uid="{D933A521-DD85-4310-A78A-17E87C467646}"/>
    <cellStyle name="Percent 6 2 3 2 5" xfId="8767" xr:uid="{57227EA3-58BF-4265-A913-4BD24E8C7125}"/>
    <cellStyle name="Percent 6 2 3 2 6" xfId="10657" xr:uid="{2174108F-2045-4491-B930-F8201285AC75}"/>
    <cellStyle name="Percent 6 2 3 2 7" xfId="12547" xr:uid="{430CD1CD-F46B-4D72-A7B2-856F0F41D755}"/>
    <cellStyle name="Percent 6 2 3 2 8" xfId="14437" xr:uid="{103E2896-23EB-4FD4-B751-ADAB00A5A084}"/>
    <cellStyle name="Percent 6 2 3 2 9" xfId="16327" xr:uid="{8DF8F504-4BCA-4818-BB86-405F91EF6AC4}"/>
    <cellStyle name="Percent 6 2 3 20" xfId="32707" xr:uid="{DA87D6C6-6712-473F-861C-666AEF96462F}"/>
    <cellStyle name="Percent 6 2 3 21" xfId="34597" xr:uid="{BB0357C6-8EAD-4BF5-9C23-31CCA0F01F4C}"/>
    <cellStyle name="Percent 6 2 3 22" xfId="36487" xr:uid="{D280818B-D2B4-4797-8AC3-B2D857B85A01}"/>
    <cellStyle name="Percent 6 2 3 23" xfId="38377" xr:uid="{C0BD3334-0783-4B00-B8E2-D7F37479B6B5}"/>
    <cellStyle name="Percent 6 2 3 24" xfId="40268" xr:uid="{42D70B8A-2DBA-41DA-B2CC-57D861B38612}"/>
    <cellStyle name="Percent 6 2 3 3" xfId="1837" xr:uid="{661739E0-8E9E-452E-B576-45A4191B0DDB}"/>
    <cellStyle name="Percent 6 2 3 3 10" xfId="18847" xr:uid="{E12099CA-AB05-444E-AA21-BBE2B979AA4B}"/>
    <cellStyle name="Percent 6 2 3 3 11" xfId="20737" xr:uid="{8FAFE7AA-E15C-495F-BF1C-7A541627B773}"/>
    <cellStyle name="Percent 6 2 3 3 12" xfId="22627" xr:uid="{134330F7-0D02-4CF9-911D-81038C1CB081}"/>
    <cellStyle name="Percent 6 2 3 3 13" xfId="24517" xr:uid="{69DF2444-3163-40DC-85E4-D1BF0B25D48C}"/>
    <cellStyle name="Percent 6 2 3 3 14" xfId="26407" xr:uid="{DE1EA9B2-80FF-4A68-821C-AD53C362612F}"/>
    <cellStyle name="Percent 6 2 3 3 15" xfId="28297" xr:uid="{F9C314A4-2ED3-43D6-BF7B-FE4700E91A5A}"/>
    <cellStyle name="Percent 6 2 3 3 16" xfId="30187" xr:uid="{010FE385-4F37-48B3-B792-C793CD753680}"/>
    <cellStyle name="Percent 6 2 3 3 17" xfId="32077" xr:uid="{1A8D04B3-0625-497B-8F7C-F9C099EB547E}"/>
    <cellStyle name="Percent 6 2 3 3 18" xfId="33967" xr:uid="{4C06E3A0-E946-4D18-98BD-C91F84B491E6}"/>
    <cellStyle name="Percent 6 2 3 3 19" xfId="35857" xr:uid="{DD6E677F-14D4-473D-9032-3B07905E8444}"/>
    <cellStyle name="Percent 6 2 3 3 2" xfId="3727" xr:uid="{BA240C01-8E4F-4EF9-BE12-B7436474AF19}"/>
    <cellStyle name="Percent 6 2 3 3 20" xfId="37747" xr:uid="{1808861B-34D4-4895-8EC7-8877101C2C39}"/>
    <cellStyle name="Percent 6 2 3 3 21" xfId="39637" xr:uid="{422F1ECC-6606-4DFE-81C4-79FB1A593C4B}"/>
    <cellStyle name="Percent 6 2 3 3 22" xfId="41528" xr:uid="{E86AAD33-9A16-4B0A-8395-392EC6BDF459}"/>
    <cellStyle name="Percent 6 2 3 3 3" xfId="5617" xr:uid="{82AA26C2-4BC4-40D9-B1C9-1EC413FE00F8}"/>
    <cellStyle name="Percent 6 2 3 3 4" xfId="7507" xr:uid="{F4EDE4AE-0154-4370-94D9-4E811DCE6014}"/>
    <cellStyle name="Percent 6 2 3 3 5" xfId="9397" xr:uid="{87135D88-95D5-49EB-B567-3936B3C5734B}"/>
    <cellStyle name="Percent 6 2 3 3 6" xfId="11287" xr:uid="{DC8C6D54-C1FC-4644-8CAD-607C7B9C2C96}"/>
    <cellStyle name="Percent 6 2 3 3 7" xfId="13177" xr:uid="{03185354-D8D3-41A0-922B-34A0B16F7E6C}"/>
    <cellStyle name="Percent 6 2 3 3 8" xfId="15067" xr:uid="{EE2E7047-35AE-4E96-933E-A1841E1B35B2}"/>
    <cellStyle name="Percent 6 2 3 3 9" xfId="16957" xr:uid="{34482096-5B7C-4E5A-97C3-BA20451CD54F}"/>
    <cellStyle name="Percent 6 2 3 4" xfId="2467" xr:uid="{6179935C-4DCD-4973-8A5A-F020FA9DE18B}"/>
    <cellStyle name="Percent 6 2 3 5" xfId="4357" xr:uid="{6705DAF9-0BAE-43E2-8FEE-C5A5B790352A}"/>
    <cellStyle name="Percent 6 2 3 6" xfId="6247" xr:uid="{1E3A9E40-71BD-4E09-BE7F-12E3F2468B5B}"/>
    <cellStyle name="Percent 6 2 3 7" xfId="8137" xr:uid="{FF5E8BB8-CE7A-456B-8148-44DA58846947}"/>
    <cellStyle name="Percent 6 2 3 8" xfId="10027" xr:uid="{A0A30ED6-2A2D-4BB2-A93C-5D5B93E59D32}"/>
    <cellStyle name="Percent 6 2 3 9" xfId="11917" xr:uid="{DD4A92A6-E9AD-4088-9A0B-91B8C31295E4}"/>
    <cellStyle name="Percent 6 2 4" xfId="787" xr:uid="{B9171415-3696-492C-893D-6C86C860158D}"/>
    <cellStyle name="Percent 6 2 4 10" xfId="17797" xr:uid="{795E112B-6CE9-4E3A-8A91-50D60755B297}"/>
    <cellStyle name="Percent 6 2 4 11" xfId="19687" xr:uid="{17CF0C60-99DA-4DA8-96B8-966B3E08CAC3}"/>
    <cellStyle name="Percent 6 2 4 12" xfId="21577" xr:uid="{73B7584F-3C6D-4334-AF8E-6ED14A5EF157}"/>
    <cellStyle name="Percent 6 2 4 13" xfId="23467" xr:uid="{5B1ECB0A-CC63-4D48-A809-E3DA8B900F7E}"/>
    <cellStyle name="Percent 6 2 4 14" xfId="25357" xr:uid="{2B9E9BF3-EC97-461B-B6CE-36A3A023DE2F}"/>
    <cellStyle name="Percent 6 2 4 15" xfId="27247" xr:uid="{8D8E5BF9-6DCB-45DD-9938-E3CB56E27B8C}"/>
    <cellStyle name="Percent 6 2 4 16" xfId="29137" xr:uid="{940BD048-07D3-48B1-91E8-82C6713F9685}"/>
    <cellStyle name="Percent 6 2 4 17" xfId="31027" xr:uid="{3D1211E5-6E6D-42E3-A0DD-15501F877A8C}"/>
    <cellStyle name="Percent 6 2 4 18" xfId="32917" xr:uid="{C12857FB-71A4-4C0E-AAA1-225B99A8BB6F}"/>
    <cellStyle name="Percent 6 2 4 19" xfId="34807" xr:uid="{79D4D114-2CFA-44D9-9463-0274A898C730}"/>
    <cellStyle name="Percent 6 2 4 2" xfId="2677" xr:uid="{D7D53C3F-C86F-44E5-8DF4-11E49916896A}"/>
    <cellStyle name="Percent 6 2 4 20" xfId="36697" xr:uid="{02807F27-CD84-4A5E-907D-3B5A79C7301F}"/>
    <cellStyle name="Percent 6 2 4 21" xfId="38587" xr:uid="{FB30AA56-D5C1-463D-9401-C1E645E20B5E}"/>
    <cellStyle name="Percent 6 2 4 22" xfId="40478" xr:uid="{A7246B85-5B8A-439D-9BF5-F256A3FADDDE}"/>
    <cellStyle name="Percent 6 2 4 3" xfId="4567" xr:uid="{F13BDFA7-C4CB-4816-A106-54BE29AA9933}"/>
    <cellStyle name="Percent 6 2 4 4" xfId="6457" xr:uid="{4F49E785-8678-4993-B218-4F90E8608520}"/>
    <cellStyle name="Percent 6 2 4 5" xfId="8347" xr:uid="{F9159DF3-64A3-4F6D-AD16-6A5567B2FE34}"/>
    <cellStyle name="Percent 6 2 4 6" xfId="10237" xr:uid="{8E7EC7C6-210B-44D0-A57F-61FFFE37480F}"/>
    <cellStyle name="Percent 6 2 4 7" xfId="12127" xr:uid="{B73944F6-BBCA-40F9-B843-AC11A40E3348}"/>
    <cellStyle name="Percent 6 2 4 8" xfId="14017" xr:uid="{7AA3148D-2E5C-47DF-A6A7-EA20C3D26AE6}"/>
    <cellStyle name="Percent 6 2 4 9" xfId="15907" xr:uid="{1D624A1C-A24A-460E-95EB-DF2867EAC922}"/>
    <cellStyle name="Percent 6 2 5" xfId="1417" xr:uid="{7A7E362B-5244-43FA-9313-18BB63FA1497}"/>
    <cellStyle name="Percent 6 2 5 10" xfId="18427" xr:uid="{EBC03389-C44D-49FF-8BFE-02D405684E3A}"/>
    <cellStyle name="Percent 6 2 5 11" xfId="20317" xr:uid="{A5A8094D-186E-4AAF-823C-62B8103530FA}"/>
    <cellStyle name="Percent 6 2 5 12" xfId="22207" xr:uid="{9E499928-0F8F-4BA2-B55C-01713CA4E24C}"/>
    <cellStyle name="Percent 6 2 5 13" xfId="24097" xr:uid="{15A54453-90E6-4629-B6BB-6459A16AC937}"/>
    <cellStyle name="Percent 6 2 5 14" xfId="25987" xr:uid="{5631B980-D040-4533-81BD-91D9C59E538B}"/>
    <cellStyle name="Percent 6 2 5 15" xfId="27877" xr:uid="{435E2EDF-35CA-49BB-976A-82087AE9BE66}"/>
    <cellStyle name="Percent 6 2 5 16" xfId="29767" xr:uid="{B0D8EC57-D051-4C4E-9B59-968BB5E890D5}"/>
    <cellStyle name="Percent 6 2 5 17" xfId="31657" xr:uid="{BA4A4A47-1446-4A4E-A7F8-FFBC5DB8ADBD}"/>
    <cellStyle name="Percent 6 2 5 18" xfId="33547" xr:uid="{AC80F312-17CE-4A4F-8DAF-79E1047A056D}"/>
    <cellStyle name="Percent 6 2 5 19" xfId="35437" xr:uid="{7AAADD87-D8E8-4390-8DE2-2FC921E15A0B}"/>
    <cellStyle name="Percent 6 2 5 2" xfId="3307" xr:uid="{65F7FDD5-ED18-414E-BE54-9D758B3FF948}"/>
    <cellStyle name="Percent 6 2 5 20" xfId="37327" xr:uid="{80FB52AE-49CF-40C2-9218-64DB038D7383}"/>
    <cellStyle name="Percent 6 2 5 21" xfId="39217" xr:uid="{50B51746-F729-4D95-8826-1F9C6120977F}"/>
    <cellStyle name="Percent 6 2 5 22" xfId="41108" xr:uid="{4CCC60E3-73F2-4479-B96D-382CC369A8F9}"/>
    <cellStyle name="Percent 6 2 5 3" xfId="5197" xr:uid="{4FEEBFE2-156C-4C84-8D23-1CF333EF0022}"/>
    <cellStyle name="Percent 6 2 5 4" xfId="7087" xr:uid="{3F78BDAB-97BE-4F11-ABD7-56604735F45E}"/>
    <cellStyle name="Percent 6 2 5 5" xfId="8977" xr:uid="{5B082508-413D-4762-A6CD-6FF97C2DB0B5}"/>
    <cellStyle name="Percent 6 2 5 6" xfId="10867" xr:uid="{EA2CFD9F-ADA5-43E8-9596-0CB7CC62DB01}"/>
    <cellStyle name="Percent 6 2 5 7" xfId="12757" xr:uid="{33283B63-9908-4837-BD47-AC54FC938345}"/>
    <cellStyle name="Percent 6 2 5 8" xfId="14647" xr:uid="{9F4E1142-1A53-4F26-9F25-E35709053043}"/>
    <cellStyle name="Percent 6 2 5 9" xfId="16537" xr:uid="{9EA407EB-3E57-4352-947D-5A75526E1537}"/>
    <cellStyle name="Percent 6 2 6" xfId="2047" xr:uid="{6F021840-A6A8-496A-A729-181CE34F666D}"/>
    <cellStyle name="Percent 6 2 7" xfId="3937" xr:uid="{D8C301E0-097F-4F97-A689-73C712C36562}"/>
    <cellStyle name="Percent 6 2 8" xfId="5827" xr:uid="{D2BA19FA-628E-4F5B-B3CD-A1839E9D0A0B}"/>
    <cellStyle name="Percent 6 2 9" xfId="7717" xr:uid="{64E6BD65-7A1C-4A24-821F-FB4F7876198C}"/>
    <cellStyle name="Percent 6 20" xfId="26512" xr:uid="{5C6F6F3C-E272-4AE3-B8BC-32AA71C65158}"/>
    <cellStyle name="Percent 6 21" xfId="28402" xr:uid="{59AF4ADE-FA72-4AFE-8931-DEFC09F01E24}"/>
    <cellStyle name="Percent 6 22" xfId="30292" xr:uid="{B04C78C3-1768-4BA0-B4E1-D5B6969C5D39}"/>
    <cellStyle name="Percent 6 23" xfId="32182" xr:uid="{D2D24828-92D7-4D73-BEEE-F181D917A886}"/>
    <cellStyle name="Percent 6 24" xfId="34072" xr:uid="{AFF35CA9-61EC-4065-AF13-78B809E7D0C0}"/>
    <cellStyle name="Percent 6 25" xfId="35962" xr:uid="{B0F6E151-9538-4B72-884D-BEC3A6575A20}"/>
    <cellStyle name="Percent 6 26" xfId="37852" xr:uid="{AD9FC7A9-B94F-4E6B-8081-09C9C455FEB9}"/>
    <cellStyle name="Percent 6 27" xfId="39743" xr:uid="{B98A9873-9921-434A-8790-2D0061B221B9}"/>
    <cellStyle name="Percent 6 3" xfId="262" xr:uid="{2DEAA830-9C3F-4CA7-928D-E723F6B40230}"/>
    <cellStyle name="Percent 6 3 10" xfId="13492" xr:uid="{AFDE8B1D-EE96-457A-A054-3EBEFBB5479E}"/>
    <cellStyle name="Percent 6 3 11" xfId="15382" xr:uid="{43F9E9F9-5F87-4C10-AFDC-12E631A4B783}"/>
    <cellStyle name="Percent 6 3 12" xfId="17272" xr:uid="{E1A1C53F-2BA6-4841-B385-C90FA14F7C0C}"/>
    <cellStyle name="Percent 6 3 13" xfId="19162" xr:uid="{E8C7B491-A0D9-4074-B7D4-A27CDEC12E9A}"/>
    <cellStyle name="Percent 6 3 14" xfId="21052" xr:uid="{E31C6A30-9C11-4049-9E97-A9B31B8D4D0D}"/>
    <cellStyle name="Percent 6 3 15" xfId="22942" xr:uid="{92F777E7-862C-42D5-94FE-C1B865F14DE2}"/>
    <cellStyle name="Percent 6 3 16" xfId="24832" xr:uid="{30A83BB9-12EE-4EFB-A19A-0AB87A62D5EA}"/>
    <cellStyle name="Percent 6 3 17" xfId="26722" xr:uid="{47DEC8AE-93C7-44E0-8801-A34916853044}"/>
    <cellStyle name="Percent 6 3 18" xfId="28612" xr:uid="{E39EE76D-E5B6-4710-A66A-2145FB351489}"/>
    <cellStyle name="Percent 6 3 19" xfId="30502" xr:uid="{7A9D67A5-F25D-4F19-B7B1-6EFBC762AB3F}"/>
    <cellStyle name="Percent 6 3 2" xfId="892" xr:uid="{2CE64CE4-7748-4E9A-B51B-460DAAA5FCF6}"/>
    <cellStyle name="Percent 6 3 2 10" xfId="17902" xr:uid="{B2206FE7-31D1-441C-90E9-3B9A623605A4}"/>
    <cellStyle name="Percent 6 3 2 11" xfId="19792" xr:uid="{C1F107BF-C4AE-404F-9D57-8B48790E3683}"/>
    <cellStyle name="Percent 6 3 2 12" xfId="21682" xr:uid="{EEAF6E91-DCEB-4468-9A6A-C807FB9BFAA5}"/>
    <cellStyle name="Percent 6 3 2 13" xfId="23572" xr:uid="{25922262-2C61-4CD9-BE77-CB721E9A5EED}"/>
    <cellStyle name="Percent 6 3 2 14" xfId="25462" xr:uid="{EBCE6B47-CB9B-4204-A9BC-359FC2A6292A}"/>
    <cellStyle name="Percent 6 3 2 15" xfId="27352" xr:uid="{68A8D000-AF86-48EE-A6CB-C78300DF5922}"/>
    <cellStyle name="Percent 6 3 2 16" xfId="29242" xr:uid="{8AECE94F-3B67-4CC9-986F-0AD8B1A78D0D}"/>
    <cellStyle name="Percent 6 3 2 17" xfId="31132" xr:uid="{CAFFE7A3-048C-4817-8BB7-8005D025E715}"/>
    <cellStyle name="Percent 6 3 2 18" xfId="33022" xr:uid="{A4E0B004-62C8-4FF7-BC92-024618CF0F6E}"/>
    <cellStyle name="Percent 6 3 2 19" xfId="34912" xr:uid="{CA30BE20-F2D1-4502-A8AD-45418A854ACF}"/>
    <cellStyle name="Percent 6 3 2 2" xfId="2782" xr:uid="{E9A64D28-F982-4F26-A5D0-3404A89FAA4A}"/>
    <cellStyle name="Percent 6 3 2 20" xfId="36802" xr:uid="{0EC9D7AF-B1EE-400E-B4D5-9617AB30694A}"/>
    <cellStyle name="Percent 6 3 2 21" xfId="38692" xr:uid="{046CCE62-F154-4FAD-AFC3-556A456F2F17}"/>
    <cellStyle name="Percent 6 3 2 22" xfId="40583" xr:uid="{2EE44661-6281-47C2-B016-D983668DC3AD}"/>
    <cellStyle name="Percent 6 3 2 3" xfId="4672" xr:uid="{691EF45C-DA3F-4C93-8E53-D3A35FEC53B7}"/>
    <cellStyle name="Percent 6 3 2 4" xfId="6562" xr:uid="{8F58A6B6-9B0B-4878-8777-8A753F24897E}"/>
    <cellStyle name="Percent 6 3 2 5" xfId="8452" xr:uid="{4EC872B8-6338-4ED4-B447-C206613EAD6F}"/>
    <cellStyle name="Percent 6 3 2 6" xfId="10342" xr:uid="{2310D8E9-A0BF-4801-BBF3-969904E0F939}"/>
    <cellStyle name="Percent 6 3 2 7" xfId="12232" xr:uid="{D0FB6ABF-4183-4159-859E-1A4565928A81}"/>
    <cellStyle name="Percent 6 3 2 8" xfId="14122" xr:uid="{7F372BAE-21A0-4F7F-ABE5-7B09073C5A54}"/>
    <cellStyle name="Percent 6 3 2 9" xfId="16012" xr:uid="{D0D3E979-FDDD-48DF-9DC0-681629302904}"/>
    <cellStyle name="Percent 6 3 20" xfId="32392" xr:uid="{30D633EE-30DA-44D4-BD45-44896DADEC1D}"/>
    <cellStyle name="Percent 6 3 21" xfId="34282" xr:uid="{2559871E-7285-4C47-A610-B896A2298C26}"/>
    <cellStyle name="Percent 6 3 22" xfId="36172" xr:uid="{C07F4369-F0B6-405A-9B11-4B970E54E6D4}"/>
    <cellStyle name="Percent 6 3 23" xfId="38062" xr:uid="{E0500BAB-9D4E-4568-8542-902017561B27}"/>
    <cellStyle name="Percent 6 3 24" xfId="39953" xr:uid="{7505F669-FFE6-458B-9104-73426BBB25FB}"/>
    <cellStyle name="Percent 6 3 3" xfId="1522" xr:uid="{7948AF13-D840-4D10-9BD5-99FD3B3E8AD0}"/>
    <cellStyle name="Percent 6 3 3 10" xfId="18532" xr:uid="{59C7873C-64A7-44FC-9E6E-409143AA3436}"/>
    <cellStyle name="Percent 6 3 3 11" xfId="20422" xr:uid="{4C9047BB-23CF-4589-8BB7-0C04BEA5788C}"/>
    <cellStyle name="Percent 6 3 3 12" xfId="22312" xr:uid="{AD2FF7D0-E665-43F2-B385-86113AE2F2D9}"/>
    <cellStyle name="Percent 6 3 3 13" xfId="24202" xr:uid="{DE144228-3207-4288-81A6-C8EAE5814656}"/>
    <cellStyle name="Percent 6 3 3 14" xfId="26092" xr:uid="{F6DE1337-5E74-4791-85F8-CEE603926893}"/>
    <cellStyle name="Percent 6 3 3 15" xfId="27982" xr:uid="{DC0BAF21-6AAC-4CAC-929E-00FBB2C536AE}"/>
    <cellStyle name="Percent 6 3 3 16" xfId="29872" xr:uid="{D0435712-4B8C-4EA1-AC93-DC84D3640F61}"/>
    <cellStyle name="Percent 6 3 3 17" xfId="31762" xr:uid="{4B927314-6A3B-4700-BDD7-3DA5E3A0958A}"/>
    <cellStyle name="Percent 6 3 3 18" xfId="33652" xr:uid="{AF71463A-7C57-4D59-A283-A3F007DC8B2F}"/>
    <cellStyle name="Percent 6 3 3 19" xfId="35542" xr:uid="{E44FD34C-3AB9-41E5-A7FD-499B6B254833}"/>
    <cellStyle name="Percent 6 3 3 2" xfId="3412" xr:uid="{20E20B72-99F8-4F4F-95C8-701E8F90BD83}"/>
    <cellStyle name="Percent 6 3 3 20" xfId="37432" xr:uid="{F911BDB4-B25A-4B95-A862-908C82C9265B}"/>
    <cellStyle name="Percent 6 3 3 21" xfId="39322" xr:uid="{902B27BE-A7A7-4DB0-871A-180724EDD669}"/>
    <cellStyle name="Percent 6 3 3 22" xfId="41213" xr:uid="{33958AE7-442A-4728-B07F-5D467F64E63E}"/>
    <cellStyle name="Percent 6 3 3 3" xfId="5302" xr:uid="{B80A439E-E9B8-4B01-AB3D-E2CE354F50F6}"/>
    <cellStyle name="Percent 6 3 3 4" xfId="7192" xr:uid="{AEC212E8-B73E-41D4-A873-202A9E2139F4}"/>
    <cellStyle name="Percent 6 3 3 5" xfId="9082" xr:uid="{56E222BB-3551-4CF7-A322-3DD6BD59F350}"/>
    <cellStyle name="Percent 6 3 3 6" xfId="10972" xr:uid="{805824E0-146F-438C-BC9A-B0F7642B9093}"/>
    <cellStyle name="Percent 6 3 3 7" xfId="12862" xr:uid="{CBC00C57-FFE0-4ECC-A029-784291B186CA}"/>
    <cellStyle name="Percent 6 3 3 8" xfId="14752" xr:uid="{8FBF6541-FE9E-4B5A-9CDE-774346D936B2}"/>
    <cellStyle name="Percent 6 3 3 9" xfId="16642" xr:uid="{B6451270-4EB4-462A-B7EC-A5E1CDCD0F28}"/>
    <cellStyle name="Percent 6 3 4" xfId="2152" xr:uid="{8A2FA084-D18F-48C2-94A9-FCBCC4E8D10B}"/>
    <cellStyle name="Percent 6 3 5" xfId="4042" xr:uid="{66ADEA7C-8E47-4216-9F4B-109B3C07445D}"/>
    <cellStyle name="Percent 6 3 6" xfId="5932" xr:uid="{764E4CF9-388E-4AFC-B975-123292DF1348}"/>
    <cellStyle name="Percent 6 3 7" xfId="7822" xr:uid="{F96CD3F4-F760-4328-A3BA-892AEBDFBB46}"/>
    <cellStyle name="Percent 6 3 8" xfId="9712" xr:uid="{88B6D676-402C-4600-93E4-613C30EBC860}"/>
    <cellStyle name="Percent 6 3 9" xfId="11602" xr:uid="{9F738CA1-BECA-458C-9675-B286A0E7B065}"/>
    <cellStyle name="Percent 6 4" xfId="472" xr:uid="{308015D5-693B-49C9-8403-86D05BBA9064}"/>
    <cellStyle name="Percent 6 4 10" xfId="13702" xr:uid="{B30A51D6-1C07-4AF2-965B-C30FF7A0EBD6}"/>
    <cellStyle name="Percent 6 4 11" xfId="15592" xr:uid="{C7E6803E-F742-4F1F-B244-BD9C5D50DF66}"/>
    <cellStyle name="Percent 6 4 12" xfId="17482" xr:uid="{0F4B57AC-B054-41EA-B8D5-4E018B57334B}"/>
    <cellStyle name="Percent 6 4 13" xfId="19372" xr:uid="{8E9BAB6F-B11D-47BE-AF7E-CDB500934580}"/>
    <cellStyle name="Percent 6 4 14" xfId="21262" xr:uid="{67BD8C13-2493-4EF4-9EC9-525D99838A2D}"/>
    <cellStyle name="Percent 6 4 15" xfId="23152" xr:uid="{87D059BE-DF7F-4F59-AABD-42C8FE8E73F6}"/>
    <cellStyle name="Percent 6 4 16" xfId="25042" xr:uid="{7125B85E-B34B-4344-BCD4-845F24725CA3}"/>
    <cellStyle name="Percent 6 4 17" xfId="26932" xr:uid="{C1265470-152C-4278-846A-ACC1AFCC16A5}"/>
    <cellStyle name="Percent 6 4 18" xfId="28822" xr:uid="{83422546-BC67-4D2D-98AC-B7DECE3238A0}"/>
    <cellStyle name="Percent 6 4 19" xfId="30712" xr:uid="{06F97199-CFD8-489B-99D6-7DC69E046BC8}"/>
    <cellStyle name="Percent 6 4 2" xfId="1102" xr:uid="{D68A0207-7DF5-4E19-A763-888325F9542A}"/>
    <cellStyle name="Percent 6 4 2 10" xfId="18112" xr:uid="{D4B26C21-191D-45E5-B634-B2F7AB6F6F43}"/>
    <cellStyle name="Percent 6 4 2 11" xfId="20002" xr:uid="{97E70813-1DB8-4B2A-8FA5-D4D940671F62}"/>
    <cellStyle name="Percent 6 4 2 12" xfId="21892" xr:uid="{0E3DED51-712A-4ED6-9BE7-59CA97166EF3}"/>
    <cellStyle name="Percent 6 4 2 13" xfId="23782" xr:uid="{A38DDFD7-F2DE-4C72-ABE9-AA1249CF1F1C}"/>
    <cellStyle name="Percent 6 4 2 14" xfId="25672" xr:uid="{01ECCE67-046E-43C8-B73A-2B3D06C4DB45}"/>
    <cellStyle name="Percent 6 4 2 15" xfId="27562" xr:uid="{0AACD5F7-40EE-4654-A951-60488BB4CDBB}"/>
    <cellStyle name="Percent 6 4 2 16" xfId="29452" xr:uid="{9F9AD3E8-5F97-44DA-AC02-61ABF24A72D2}"/>
    <cellStyle name="Percent 6 4 2 17" xfId="31342" xr:uid="{C03D6369-6DAA-4214-B94E-1540ADB8E529}"/>
    <cellStyle name="Percent 6 4 2 18" xfId="33232" xr:uid="{71EED7FC-4E6C-483F-98D6-E825D67C8D46}"/>
    <cellStyle name="Percent 6 4 2 19" xfId="35122" xr:uid="{DBF07154-A1AD-4893-A757-6F528186ACBF}"/>
    <cellStyle name="Percent 6 4 2 2" xfId="2992" xr:uid="{219D63DF-F677-483C-862B-3B5C8771AA65}"/>
    <cellStyle name="Percent 6 4 2 20" xfId="37012" xr:uid="{DA77E580-F9D2-483C-B80E-A79C1746B917}"/>
    <cellStyle name="Percent 6 4 2 21" xfId="38902" xr:uid="{B160A414-986E-4B46-9420-AF910EC90EBA}"/>
    <cellStyle name="Percent 6 4 2 22" xfId="40793" xr:uid="{D9E22E9F-3190-4F8B-9E6C-629D7A3C9258}"/>
    <cellStyle name="Percent 6 4 2 3" xfId="4882" xr:uid="{D94A2DE9-3DD5-41A7-9D6A-2BEDE19E55A6}"/>
    <cellStyle name="Percent 6 4 2 4" xfId="6772" xr:uid="{4BC889B4-5D7B-4B59-AAF3-E3536C29C6C5}"/>
    <cellStyle name="Percent 6 4 2 5" xfId="8662" xr:uid="{C925D441-B288-4FF4-80B6-52C5910E2A2E}"/>
    <cellStyle name="Percent 6 4 2 6" xfId="10552" xr:uid="{A907AC7A-5D46-481F-AC49-A353F712E164}"/>
    <cellStyle name="Percent 6 4 2 7" xfId="12442" xr:uid="{564A721F-9BC4-427C-B04C-866BEB46520E}"/>
    <cellStyle name="Percent 6 4 2 8" xfId="14332" xr:uid="{AA0A7CBA-DB6B-4963-84EC-0AA1916965B5}"/>
    <cellStyle name="Percent 6 4 2 9" xfId="16222" xr:uid="{703C28D6-D563-448A-87AF-AAF3D754285B}"/>
    <cellStyle name="Percent 6 4 20" xfId="32602" xr:uid="{FB83D86B-FF53-4903-B64C-E88EF77BE96D}"/>
    <cellStyle name="Percent 6 4 21" xfId="34492" xr:uid="{8E6C152B-18F6-4CE4-A1EC-333BF1394FE3}"/>
    <cellStyle name="Percent 6 4 22" xfId="36382" xr:uid="{B7576987-7FF8-4020-A496-C34373AF5627}"/>
    <cellStyle name="Percent 6 4 23" xfId="38272" xr:uid="{EEB66F8C-2AB2-4C0B-8507-5C7C4B0E165B}"/>
    <cellStyle name="Percent 6 4 24" xfId="40163" xr:uid="{7F2A6B89-207A-40E2-9752-4E9E1631497C}"/>
    <cellStyle name="Percent 6 4 3" xfId="1732" xr:uid="{215A6B69-4124-4CEE-97BF-81EA9B0FC701}"/>
    <cellStyle name="Percent 6 4 3 10" xfId="18742" xr:uid="{7645D768-90C1-4FE8-B5E0-BBAF18BC0B85}"/>
    <cellStyle name="Percent 6 4 3 11" xfId="20632" xr:uid="{3DE69177-8C1D-4C40-A85E-639539B4EF7B}"/>
    <cellStyle name="Percent 6 4 3 12" xfId="22522" xr:uid="{2CF2CF1F-77DC-4581-AD91-BF1749E9D1A8}"/>
    <cellStyle name="Percent 6 4 3 13" xfId="24412" xr:uid="{F868EAFC-9D46-4E40-A683-6120145F88CA}"/>
    <cellStyle name="Percent 6 4 3 14" xfId="26302" xr:uid="{5CA5A590-F167-45B5-A8C8-0BAB7D10E735}"/>
    <cellStyle name="Percent 6 4 3 15" xfId="28192" xr:uid="{CBC67831-AD49-46FD-8114-408FC7F5FFC4}"/>
    <cellStyle name="Percent 6 4 3 16" xfId="30082" xr:uid="{830E01BE-50BA-4B3D-B36C-180C1EC58487}"/>
    <cellStyle name="Percent 6 4 3 17" xfId="31972" xr:uid="{AC6A0106-F5DA-4C03-8A47-A02AF958527A}"/>
    <cellStyle name="Percent 6 4 3 18" xfId="33862" xr:uid="{D3A763CA-23EC-4F13-8AE9-7D9C52F5F782}"/>
    <cellStyle name="Percent 6 4 3 19" xfId="35752" xr:uid="{A93573D7-1D79-4897-866B-7D3296411F21}"/>
    <cellStyle name="Percent 6 4 3 2" xfId="3622" xr:uid="{0A03AD6C-7E1A-41CE-B7C8-ACBB6AF02120}"/>
    <cellStyle name="Percent 6 4 3 20" xfId="37642" xr:uid="{9D0B3350-2EC2-4088-9982-3779AA9BC2B3}"/>
    <cellStyle name="Percent 6 4 3 21" xfId="39532" xr:uid="{2698170E-1A21-42A9-9B2A-06FF47081B32}"/>
    <cellStyle name="Percent 6 4 3 22" xfId="41423" xr:uid="{DE1FC0BC-5553-4125-B00B-A1E6226CA6E2}"/>
    <cellStyle name="Percent 6 4 3 3" xfId="5512" xr:uid="{CF6EE8F5-C704-400D-B210-8D019B21EC18}"/>
    <cellStyle name="Percent 6 4 3 4" xfId="7402" xr:uid="{F8CC4182-1CFC-49EE-BBD5-022FE3E9A6E1}"/>
    <cellStyle name="Percent 6 4 3 5" xfId="9292" xr:uid="{15F1F36B-2352-4491-A63B-B8F6040CF813}"/>
    <cellStyle name="Percent 6 4 3 6" xfId="11182" xr:uid="{2081919E-2AFA-4388-943E-3B4B257D01B3}"/>
    <cellStyle name="Percent 6 4 3 7" xfId="13072" xr:uid="{9B414830-408A-4B3C-AEB4-45E04F07D8AD}"/>
    <cellStyle name="Percent 6 4 3 8" xfId="14962" xr:uid="{E442D975-83AF-4F54-A6B3-ED40EC3DDEE4}"/>
    <cellStyle name="Percent 6 4 3 9" xfId="16852" xr:uid="{202C0153-0D49-475C-B42C-03DDCECC0BB2}"/>
    <cellStyle name="Percent 6 4 4" xfId="2362" xr:uid="{51EFC0D2-F765-434D-A4CF-42FA1862E701}"/>
    <cellStyle name="Percent 6 4 5" xfId="4252" xr:uid="{4FF246E8-B224-4703-A386-ED42FD6103AE}"/>
    <cellStyle name="Percent 6 4 6" xfId="6142" xr:uid="{7F74FA7B-9DAF-4915-B882-6F53E12F6F22}"/>
    <cellStyle name="Percent 6 4 7" xfId="8032" xr:uid="{1D74AC39-075E-4EA3-B5B8-D3E839607F17}"/>
    <cellStyle name="Percent 6 4 8" xfId="9922" xr:uid="{42D89764-8929-4F33-82CF-F1EEACAA4D11}"/>
    <cellStyle name="Percent 6 4 9" xfId="11812" xr:uid="{56094DA2-BF33-44A9-AD08-DDE100DF0744}"/>
    <cellStyle name="Percent 6 5" xfId="682" xr:uid="{B092745F-635D-4BE9-84F5-DC37082786C4}"/>
    <cellStyle name="Percent 6 5 10" xfId="17692" xr:uid="{4652F14D-3B43-4A9B-AD96-8DEF4B808FA4}"/>
    <cellStyle name="Percent 6 5 11" xfId="19582" xr:uid="{BB785EEA-986B-44A9-A575-01DCA8D1FC71}"/>
    <cellStyle name="Percent 6 5 12" xfId="21472" xr:uid="{71B0CA69-88A2-4A97-BEA4-C6ED7111A10F}"/>
    <cellStyle name="Percent 6 5 13" xfId="23362" xr:uid="{853465EA-6D01-4DD9-BDA7-92ACF0E62D48}"/>
    <cellStyle name="Percent 6 5 14" xfId="25252" xr:uid="{A4B198A5-55DD-4B92-9D94-B46A14C6D0F1}"/>
    <cellStyle name="Percent 6 5 15" xfId="27142" xr:uid="{8E1A018B-5E66-4672-B0E8-67B91883AAAA}"/>
    <cellStyle name="Percent 6 5 16" xfId="29032" xr:uid="{9FC5043C-F1BB-43D5-BB80-B8E4A5788A4E}"/>
    <cellStyle name="Percent 6 5 17" xfId="30922" xr:uid="{81AC8DE6-8C64-4343-B66E-397D2AD2113D}"/>
    <cellStyle name="Percent 6 5 18" xfId="32812" xr:uid="{23933BD1-C86B-4640-A95D-C5F5A001ABBE}"/>
    <cellStyle name="Percent 6 5 19" xfId="34702" xr:uid="{C698457C-F465-4FA8-AB5B-B3EC2571B940}"/>
    <cellStyle name="Percent 6 5 2" xfId="2572" xr:uid="{0CDC38F2-A23B-4050-A1F9-997A87CD98BF}"/>
    <cellStyle name="Percent 6 5 20" xfId="36592" xr:uid="{7B48636E-833D-4E52-98F0-8C0FA7F1F271}"/>
    <cellStyle name="Percent 6 5 21" xfId="38482" xr:uid="{B6E546F7-5030-4FD3-A1BD-ABCB1FFC73F3}"/>
    <cellStyle name="Percent 6 5 22" xfId="40373" xr:uid="{1294F079-BF65-4A11-A5EC-8FC7E628972C}"/>
    <cellStyle name="Percent 6 5 3" xfId="4462" xr:uid="{9F72E59C-0E4A-4BBE-9D1E-D02CAABF36DC}"/>
    <cellStyle name="Percent 6 5 4" xfId="6352" xr:uid="{CB266BEB-02F8-47FC-BEC5-8F691EBB17EA}"/>
    <cellStyle name="Percent 6 5 5" xfId="8242" xr:uid="{1D0EB95B-7123-4C7D-92F9-5F91B97739DA}"/>
    <cellStyle name="Percent 6 5 6" xfId="10132" xr:uid="{ED714CBD-B78C-4575-814F-F05887494087}"/>
    <cellStyle name="Percent 6 5 7" xfId="12022" xr:uid="{50DD03D1-2EF2-492B-AF4A-25C8E2EF342D}"/>
    <cellStyle name="Percent 6 5 8" xfId="13912" xr:uid="{B49117FF-DC08-4D0C-A11E-C7F92A3F7ED8}"/>
    <cellStyle name="Percent 6 5 9" xfId="15802" xr:uid="{2956D8E1-2416-4EA8-B02F-FC3F651FBC13}"/>
    <cellStyle name="Percent 6 6" xfId="1312" xr:uid="{BA7573CF-830B-4DCF-8AA2-CE1684DDA9D2}"/>
    <cellStyle name="Percent 6 6 10" xfId="18322" xr:uid="{66C1403B-8865-4E5D-9829-0E99BEB2F955}"/>
    <cellStyle name="Percent 6 6 11" xfId="20212" xr:uid="{0649EB8B-0ED8-4D14-8ADD-38B5AF069010}"/>
    <cellStyle name="Percent 6 6 12" xfId="22102" xr:uid="{F61A53AE-62F6-41F1-8F25-D693BCE1CE94}"/>
    <cellStyle name="Percent 6 6 13" xfId="23992" xr:uid="{DA8FF20D-40E8-4EA9-BFD5-A931381FA790}"/>
    <cellStyle name="Percent 6 6 14" xfId="25882" xr:uid="{0892A398-2166-4EEC-8AC1-6E1B189A1612}"/>
    <cellStyle name="Percent 6 6 15" xfId="27772" xr:uid="{D6CCD6CD-2057-4D90-8BEC-5BD2D4ED5E21}"/>
    <cellStyle name="Percent 6 6 16" xfId="29662" xr:uid="{107554A6-DD66-47FB-9AAC-68E6ECA37FC5}"/>
    <cellStyle name="Percent 6 6 17" xfId="31552" xr:uid="{172A62DB-1747-495B-A113-4B48BE47399F}"/>
    <cellStyle name="Percent 6 6 18" xfId="33442" xr:uid="{9196C47F-CDA2-4A15-8DF3-08000AB68115}"/>
    <cellStyle name="Percent 6 6 19" xfId="35332" xr:uid="{049736CF-70EC-48E1-8A78-06BAADFB63C5}"/>
    <cellStyle name="Percent 6 6 2" xfId="3202" xr:uid="{A4883B61-3126-4C00-84A5-95BF2ED7D3D0}"/>
    <cellStyle name="Percent 6 6 20" xfId="37222" xr:uid="{13A312B0-5414-4D98-970F-C7D4A0A8E439}"/>
    <cellStyle name="Percent 6 6 21" xfId="39112" xr:uid="{688E2174-4081-4788-AE87-8DF019A10EA7}"/>
    <cellStyle name="Percent 6 6 22" xfId="41003" xr:uid="{1049C4E8-7ADD-4949-9EF3-BA69FD3597C9}"/>
    <cellStyle name="Percent 6 6 3" xfId="5092" xr:uid="{0EA3754E-232D-4D64-A7C2-362A91ECD9FC}"/>
    <cellStyle name="Percent 6 6 4" xfId="6982" xr:uid="{47CDDCC7-22BC-44E1-B51E-9E7620313E58}"/>
    <cellStyle name="Percent 6 6 5" xfId="8872" xr:uid="{E25E29C5-4AA7-404D-ACCD-8318C824EDCC}"/>
    <cellStyle name="Percent 6 6 6" xfId="10762" xr:uid="{59297458-9DC7-4150-A02D-8242229E88F2}"/>
    <cellStyle name="Percent 6 6 7" xfId="12652" xr:uid="{83631C4A-FBC4-436E-B122-09DBB2103FFF}"/>
    <cellStyle name="Percent 6 6 8" xfId="14542" xr:uid="{7293DD50-E09E-418C-9CD8-420DDF60CE60}"/>
    <cellStyle name="Percent 6 6 9" xfId="16432" xr:uid="{522F7396-FD1A-40DD-BE23-C1D0DB817A62}"/>
    <cellStyle name="Percent 6 7" xfId="1942" xr:uid="{5B26883E-DF6C-4C8E-A87D-0E6FA79AADD2}"/>
    <cellStyle name="Percent 6 8" xfId="3832" xr:uid="{882FB7C8-2EEB-416D-94FC-548496C087F1}"/>
    <cellStyle name="Percent 6 9" xfId="5722" xr:uid="{7DE9C8D5-A6B5-4865-85F8-10CD5090792C}"/>
    <cellStyle name="Percent 7" xfId="39" xr:uid="{34450546-A9C2-42B0-884E-40029E1883A4}"/>
    <cellStyle name="Percent 7 10" xfId="7621" xr:uid="{B70FCE32-2564-49B3-8AC2-265A2FD3645A}"/>
    <cellStyle name="Percent 7 11" xfId="9511" xr:uid="{97A30D19-7A4F-4459-9E74-2D301AFE459B}"/>
    <cellStyle name="Percent 7 12" xfId="11401" xr:uid="{B53A5F81-0E16-4DBD-BE22-939D1AB15233}"/>
    <cellStyle name="Percent 7 13" xfId="13291" xr:uid="{5BF1F3FC-7425-4705-A504-446BC82CCCB9}"/>
    <cellStyle name="Percent 7 14" xfId="15181" xr:uid="{07C8D4E8-6A73-4410-96D5-355FBDA91EFB}"/>
    <cellStyle name="Percent 7 15" xfId="17071" xr:uid="{0FBAFA62-A342-482B-8CD0-773D48CC19E3}"/>
    <cellStyle name="Percent 7 16" xfId="18961" xr:uid="{AB8AB763-75A4-4D6D-B4F2-5EADA5DB7F60}"/>
    <cellStyle name="Percent 7 17" xfId="20851" xr:uid="{74FE4087-4BEE-4415-93C1-445FCA1E9274}"/>
    <cellStyle name="Percent 7 18" xfId="22741" xr:uid="{B2F9129A-40E1-4C2C-B4DC-8CDA62C1943E}"/>
    <cellStyle name="Percent 7 19" xfId="24631" xr:uid="{5CEECFF3-AA05-48D1-AF5B-C6E88A255F0E}"/>
    <cellStyle name="Percent 7 2" xfId="166" xr:uid="{ECC15868-CBCC-44B1-ABCE-F0EFE12E1BC8}"/>
    <cellStyle name="Percent 7 2 10" xfId="9616" xr:uid="{4F6B8FA9-D11E-408B-8FD0-8B341433EFD7}"/>
    <cellStyle name="Percent 7 2 11" xfId="11506" xr:uid="{A6FD94F4-6E4D-4D90-833B-8CE1AA08624D}"/>
    <cellStyle name="Percent 7 2 12" xfId="13396" xr:uid="{527ED006-B397-4A75-A17E-0EB24623BC6B}"/>
    <cellStyle name="Percent 7 2 13" xfId="15286" xr:uid="{C6511A62-55A2-4853-8A3D-9F04B570705B}"/>
    <cellStyle name="Percent 7 2 14" xfId="17176" xr:uid="{833E3B5E-FC53-4775-A414-1A64019BC78E}"/>
    <cellStyle name="Percent 7 2 15" xfId="19066" xr:uid="{798ECD7F-EEE3-4055-BBD7-55D1DAA3BE04}"/>
    <cellStyle name="Percent 7 2 16" xfId="20956" xr:uid="{418F0DDF-771B-4EC8-A041-FE29F3573136}"/>
    <cellStyle name="Percent 7 2 17" xfId="22846" xr:uid="{58893472-1F2C-4185-820E-072F618A201D}"/>
    <cellStyle name="Percent 7 2 18" xfId="24736" xr:uid="{5E9F186F-8C35-4033-84E6-6DC6CDE986B9}"/>
    <cellStyle name="Percent 7 2 19" xfId="26626" xr:uid="{47734078-5310-4A46-A746-5B1A2F203998}"/>
    <cellStyle name="Percent 7 2 2" xfId="376" xr:uid="{2A85A88D-0D45-44A5-953D-638A1C294146}"/>
    <cellStyle name="Percent 7 2 2 10" xfId="13606" xr:uid="{E039DCFD-22C8-473B-8401-BC4A901906C4}"/>
    <cellStyle name="Percent 7 2 2 11" xfId="15496" xr:uid="{CBD664EC-4AFB-4B0E-9D00-A4F1B1565134}"/>
    <cellStyle name="Percent 7 2 2 12" xfId="17386" xr:uid="{0FC5FF29-BBDD-48F1-8170-01E6282BFEB9}"/>
    <cellStyle name="Percent 7 2 2 13" xfId="19276" xr:uid="{884BB79F-E3FF-4725-82FC-91D50E0740F8}"/>
    <cellStyle name="Percent 7 2 2 14" xfId="21166" xr:uid="{9496EB7D-7283-4DB7-9F12-768D203FAE82}"/>
    <cellStyle name="Percent 7 2 2 15" xfId="23056" xr:uid="{A30FBEDE-C2FC-4AD8-8E15-89930FAF6432}"/>
    <cellStyle name="Percent 7 2 2 16" xfId="24946" xr:uid="{44CDB123-04E6-4E7A-AEC7-8457C7489611}"/>
    <cellStyle name="Percent 7 2 2 17" xfId="26836" xr:uid="{B305E500-8876-4DEA-90C2-75D3C3D57630}"/>
    <cellStyle name="Percent 7 2 2 18" xfId="28726" xr:uid="{83191129-3811-4EA6-957B-28202EC2F1DF}"/>
    <cellStyle name="Percent 7 2 2 19" xfId="30616" xr:uid="{980CB09B-F042-4423-A49F-30ADDB7B8737}"/>
    <cellStyle name="Percent 7 2 2 2" xfId="1006" xr:uid="{5FC0C805-9B99-47E1-8D3C-31AFBFECE618}"/>
    <cellStyle name="Percent 7 2 2 2 10" xfId="18016" xr:uid="{DDDD65AE-21F0-4EE8-8EAB-6437FC6A0AA8}"/>
    <cellStyle name="Percent 7 2 2 2 11" xfId="19906" xr:uid="{028D3282-B1D4-4550-B698-18F2B3980799}"/>
    <cellStyle name="Percent 7 2 2 2 12" xfId="21796" xr:uid="{74ACD77E-B000-4F90-80BF-75165788AEC9}"/>
    <cellStyle name="Percent 7 2 2 2 13" xfId="23686" xr:uid="{2FA252C8-7727-404F-B4C9-4BD9AF540B16}"/>
    <cellStyle name="Percent 7 2 2 2 14" xfId="25576" xr:uid="{14E2106F-197A-448B-9A6A-91B9FC5D4C75}"/>
    <cellStyle name="Percent 7 2 2 2 15" xfId="27466" xr:uid="{4F331000-5398-4A61-A05B-20B5E688BABA}"/>
    <cellStyle name="Percent 7 2 2 2 16" xfId="29356" xr:uid="{3199280D-CE31-4549-B562-FF08D6754411}"/>
    <cellStyle name="Percent 7 2 2 2 17" xfId="31246" xr:uid="{AE9B3A36-E191-4FC8-8549-7D315DE5093C}"/>
    <cellStyle name="Percent 7 2 2 2 18" xfId="33136" xr:uid="{C1B629AD-D6F6-44BE-B435-682E0701B286}"/>
    <cellStyle name="Percent 7 2 2 2 19" xfId="35026" xr:uid="{8A7F18EE-7102-4FBE-B707-2F4A9D3C871F}"/>
    <cellStyle name="Percent 7 2 2 2 2" xfId="2896" xr:uid="{368A796F-14E4-4AE0-96D8-E4DD360A1C92}"/>
    <cellStyle name="Percent 7 2 2 2 20" xfId="36916" xr:uid="{F64E986B-B582-4201-AABB-34B999B6A961}"/>
    <cellStyle name="Percent 7 2 2 2 21" xfId="38806" xr:uid="{A21E2D16-AB82-4CA8-8991-43490FB77D0A}"/>
    <cellStyle name="Percent 7 2 2 2 22" xfId="40697" xr:uid="{4EDA196D-6BEC-4433-B2AA-4E6A579D11B3}"/>
    <cellStyle name="Percent 7 2 2 2 3" xfId="4786" xr:uid="{597F705D-8CBB-4605-8206-225AB64E5F4C}"/>
    <cellStyle name="Percent 7 2 2 2 4" xfId="6676" xr:uid="{20306316-7290-4225-ABB0-850068F02496}"/>
    <cellStyle name="Percent 7 2 2 2 5" xfId="8566" xr:uid="{CFF7C568-A141-4C37-95E2-EFEE4446788A}"/>
    <cellStyle name="Percent 7 2 2 2 6" xfId="10456" xr:uid="{1BFB4B92-9410-4997-B2ED-3E05EF4620CF}"/>
    <cellStyle name="Percent 7 2 2 2 7" xfId="12346" xr:uid="{0CE4F19E-161F-4346-BE51-35EEDF282B60}"/>
    <cellStyle name="Percent 7 2 2 2 8" xfId="14236" xr:uid="{B7C337BA-AD5B-4EB5-BB22-ECE2E02C84C1}"/>
    <cellStyle name="Percent 7 2 2 2 9" xfId="16126" xr:uid="{71C94572-470C-4F7A-85F3-AEF68E8877D4}"/>
    <cellStyle name="Percent 7 2 2 20" xfId="32506" xr:uid="{E71CAD1D-BB8A-4CD7-97EE-9DC162BE2F95}"/>
    <cellStyle name="Percent 7 2 2 21" xfId="34396" xr:uid="{3A9A79C1-0E3E-45B7-B54D-B1F5E2188D9B}"/>
    <cellStyle name="Percent 7 2 2 22" xfId="36286" xr:uid="{62EBE2F7-F816-4D2C-9079-072C0D78AED5}"/>
    <cellStyle name="Percent 7 2 2 23" xfId="38176" xr:uid="{4F8DE27E-117D-4C5A-BD1E-514505419EC3}"/>
    <cellStyle name="Percent 7 2 2 24" xfId="40067" xr:uid="{E6071340-D557-4BB4-AA47-4174D77D8358}"/>
    <cellStyle name="Percent 7 2 2 3" xfId="1636" xr:uid="{7C8460EC-A17C-41D4-9D66-326130622290}"/>
    <cellStyle name="Percent 7 2 2 3 10" xfId="18646" xr:uid="{F0BA5437-1A37-4235-BF19-307A8F5347C8}"/>
    <cellStyle name="Percent 7 2 2 3 11" xfId="20536" xr:uid="{1DC9C3C1-6AE9-4D81-B573-7FC4DBA2DDF4}"/>
    <cellStyle name="Percent 7 2 2 3 12" xfId="22426" xr:uid="{03C1B315-5E1D-48BC-BCD0-CD0930AEE47A}"/>
    <cellStyle name="Percent 7 2 2 3 13" xfId="24316" xr:uid="{29AD4F69-E247-45B8-9B5B-6B0B30556AEE}"/>
    <cellStyle name="Percent 7 2 2 3 14" xfId="26206" xr:uid="{17889547-EBA5-429E-BC4E-61CA8309C8C6}"/>
    <cellStyle name="Percent 7 2 2 3 15" xfId="28096" xr:uid="{FC7518AE-510C-466A-B2AA-25A9F772847A}"/>
    <cellStyle name="Percent 7 2 2 3 16" xfId="29986" xr:uid="{6ADEE089-CBEF-454B-9B21-77069967306C}"/>
    <cellStyle name="Percent 7 2 2 3 17" xfId="31876" xr:uid="{14DC38D4-EFD4-428F-AB4E-E791D3FDFD27}"/>
    <cellStyle name="Percent 7 2 2 3 18" xfId="33766" xr:uid="{A8533696-3045-48C0-B380-46A5879DD0B6}"/>
    <cellStyle name="Percent 7 2 2 3 19" xfId="35656" xr:uid="{ACA3701D-814E-423C-9ED1-02E208607DF0}"/>
    <cellStyle name="Percent 7 2 2 3 2" xfId="3526" xr:uid="{9FC04D61-49B5-4766-B182-68C72386BA18}"/>
    <cellStyle name="Percent 7 2 2 3 20" xfId="37546" xr:uid="{CBC39693-A611-4447-8B97-1EA41E5351D2}"/>
    <cellStyle name="Percent 7 2 2 3 21" xfId="39436" xr:uid="{4FC2E4AE-0A8A-44EE-96D3-D30CA9BB49E9}"/>
    <cellStyle name="Percent 7 2 2 3 22" xfId="41327" xr:uid="{5B4D3C81-260F-4A14-9B6B-7AF1FDDAA993}"/>
    <cellStyle name="Percent 7 2 2 3 3" xfId="5416" xr:uid="{FDEA62B2-4B9A-41A0-9015-4EFB8F23E613}"/>
    <cellStyle name="Percent 7 2 2 3 4" xfId="7306" xr:uid="{F0998E92-C3A7-40A6-BADC-15F7A52F757A}"/>
    <cellStyle name="Percent 7 2 2 3 5" xfId="9196" xr:uid="{F5191FAD-4546-44F2-A077-557E41DE6E33}"/>
    <cellStyle name="Percent 7 2 2 3 6" xfId="11086" xr:uid="{CC6505C5-B61D-48C3-AE63-1AB3E47CDCF4}"/>
    <cellStyle name="Percent 7 2 2 3 7" xfId="12976" xr:uid="{779D9179-F19D-46F5-A86B-415935447769}"/>
    <cellStyle name="Percent 7 2 2 3 8" xfId="14866" xr:uid="{A207AD74-42F3-451E-971C-0EBF6F17D935}"/>
    <cellStyle name="Percent 7 2 2 3 9" xfId="16756" xr:uid="{EB884686-158E-470B-ADFB-3EAEB6651FB4}"/>
    <cellStyle name="Percent 7 2 2 4" xfId="2266" xr:uid="{BF7F7C73-FC73-4140-863E-3FADE0FA43A5}"/>
    <cellStyle name="Percent 7 2 2 5" xfId="4156" xr:uid="{6557D739-8FAF-424A-A040-EE48C2BBD58E}"/>
    <cellStyle name="Percent 7 2 2 6" xfId="6046" xr:uid="{0420C748-9092-49EE-89EE-9A6ED2254282}"/>
    <cellStyle name="Percent 7 2 2 7" xfId="7936" xr:uid="{D078CE76-B96C-454D-A7BA-38CC446DBE92}"/>
    <cellStyle name="Percent 7 2 2 8" xfId="9826" xr:uid="{F2518A59-4FAA-4018-A799-97119F1CACCC}"/>
    <cellStyle name="Percent 7 2 2 9" xfId="11716" xr:uid="{105CC907-6E2E-43F1-9455-11646D659C94}"/>
    <cellStyle name="Percent 7 2 20" xfId="28516" xr:uid="{557EE9CB-8E22-4C1E-BA94-A8E01292C985}"/>
    <cellStyle name="Percent 7 2 21" xfId="30406" xr:uid="{0D130DA9-8018-4BB4-8753-A67A4BDBBC21}"/>
    <cellStyle name="Percent 7 2 22" xfId="32296" xr:uid="{C1D8388E-F3EC-4D35-9532-3AB3D75B7954}"/>
    <cellStyle name="Percent 7 2 23" xfId="34186" xr:uid="{FC25DE59-81CE-40F5-90E2-7A3336F35D81}"/>
    <cellStyle name="Percent 7 2 24" xfId="36076" xr:uid="{585EE9AC-DAC2-41C7-8B0B-F5DD040DC68C}"/>
    <cellStyle name="Percent 7 2 25" xfId="37966" xr:uid="{48C43FB5-B480-4EA0-A4EF-1D9C15DFC9DE}"/>
    <cellStyle name="Percent 7 2 26" xfId="39857" xr:uid="{8F921762-641B-4449-843A-66123C5B3AC4}"/>
    <cellStyle name="Percent 7 2 3" xfId="586" xr:uid="{E3A52F8F-E4AB-41C4-9DB1-CE7869F9C86E}"/>
    <cellStyle name="Percent 7 2 3 10" xfId="13816" xr:uid="{2014F2BD-1C2E-472F-B35F-372B336087F8}"/>
    <cellStyle name="Percent 7 2 3 11" xfId="15706" xr:uid="{FE7D2C1D-E2D8-421F-8AF4-804258CEA7BD}"/>
    <cellStyle name="Percent 7 2 3 12" xfId="17596" xr:uid="{206432AB-671A-4E0B-90BF-F6E190B9EF2E}"/>
    <cellStyle name="Percent 7 2 3 13" xfId="19486" xr:uid="{9CE1FB7F-9E43-4A9B-9500-61F67F7F1D0E}"/>
    <cellStyle name="Percent 7 2 3 14" xfId="21376" xr:uid="{95DA5E96-A23C-4812-A0B0-FC27508549DF}"/>
    <cellStyle name="Percent 7 2 3 15" xfId="23266" xr:uid="{CAD39442-C228-48F7-ACA3-83B551B8A58D}"/>
    <cellStyle name="Percent 7 2 3 16" xfId="25156" xr:uid="{FA1821E5-A23A-43DC-932C-3A19DE218D9C}"/>
    <cellStyle name="Percent 7 2 3 17" xfId="27046" xr:uid="{76BF5B24-875E-4CD2-BE25-E6658828A815}"/>
    <cellStyle name="Percent 7 2 3 18" xfId="28936" xr:uid="{A783E2FD-F23B-4586-8D8D-5F324C5BCBFC}"/>
    <cellStyle name="Percent 7 2 3 19" xfId="30826" xr:uid="{22D1C9A6-67EE-4F9C-84A9-E483C59D8C2B}"/>
    <cellStyle name="Percent 7 2 3 2" xfId="1216" xr:uid="{D4D78842-69B9-4A1B-A5C5-4217820844E8}"/>
    <cellStyle name="Percent 7 2 3 2 10" xfId="18226" xr:uid="{59FD6F30-35EA-4B26-A5C8-3E3BC1D02B1B}"/>
    <cellStyle name="Percent 7 2 3 2 11" xfId="20116" xr:uid="{E7A15B59-2DB9-460E-A563-5530CCEC2FE1}"/>
    <cellStyle name="Percent 7 2 3 2 12" xfId="22006" xr:uid="{8D86AB21-3CE5-46CE-99EC-7E888FA9D47E}"/>
    <cellStyle name="Percent 7 2 3 2 13" xfId="23896" xr:uid="{0417F992-3607-45AE-88C1-743311B01031}"/>
    <cellStyle name="Percent 7 2 3 2 14" xfId="25786" xr:uid="{18D3D4A4-43A1-497B-B5EB-860D8A5A533E}"/>
    <cellStyle name="Percent 7 2 3 2 15" xfId="27676" xr:uid="{1F74E9F0-214D-4B20-88E5-A380ADB81AE3}"/>
    <cellStyle name="Percent 7 2 3 2 16" xfId="29566" xr:uid="{54A78CF9-FE16-484A-8AB7-FB887328EF5C}"/>
    <cellStyle name="Percent 7 2 3 2 17" xfId="31456" xr:uid="{3CC94C81-95AA-44BF-99F8-5E9AC8A76C6B}"/>
    <cellStyle name="Percent 7 2 3 2 18" xfId="33346" xr:uid="{B83376C0-4723-44F6-9514-57BB6A20D4DB}"/>
    <cellStyle name="Percent 7 2 3 2 19" xfId="35236" xr:uid="{7BD35D91-B120-48A8-B8AF-A74B1D353650}"/>
    <cellStyle name="Percent 7 2 3 2 2" xfId="3106" xr:uid="{D86BFD22-472B-4D8B-9407-DEBED8CB4AFA}"/>
    <cellStyle name="Percent 7 2 3 2 20" xfId="37126" xr:uid="{E2DA30BF-97DD-48CE-A716-A17A97DBEB93}"/>
    <cellStyle name="Percent 7 2 3 2 21" xfId="39016" xr:uid="{7133A05D-6138-4C4B-B08B-4413FE6B9BEB}"/>
    <cellStyle name="Percent 7 2 3 2 22" xfId="40907" xr:uid="{BD086369-F6D8-491C-86EF-93C52F05F5DA}"/>
    <cellStyle name="Percent 7 2 3 2 3" xfId="4996" xr:uid="{2E876CA8-DE85-46EB-B0CF-E318B2F99C3F}"/>
    <cellStyle name="Percent 7 2 3 2 4" xfId="6886" xr:uid="{119258E2-19C1-40AF-A255-C53A89CF1D0B}"/>
    <cellStyle name="Percent 7 2 3 2 5" xfId="8776" xr:uid="{41B636E6-F936-4D35-89CB-7BDB2FBE1C3F}"/>
    <cellStyle name="Percent 7 2 3 2 6" xfId="10666" xr:uid="{EA719AB5-7E0C-48BE-A0CB-52E835EB1C33}"/>
    <cellStyle name="Percent 7 2 3 2 7" xfId="12556" xr:uid="{B8FDDCAB-848C-4DC3-AD6B-57C36255984C}"/>
    <cellStyle name="Percent 7 2 3 2 8" xfId="14446" xr:uid="{C1D4D82B-370E-4AAF-ADEE-24714F705185}"/>
    <cellStyle name="Percent 7 2 3 2 9" xfId="16336" xr:uid="{DE805746-4FB6-4471-AFAE-B6C91C527281}"/>
    <cellStyle name="Percent 7 2 3 20" xfId="32716" xr:uid="{8EC40FD6-8E76-4961-914E-4E82D698457E}"/>
    <cellStyle name="Percent 7 2 3 21" xfId="34606" xr:uid="{10252137-86CA-45A4-BB88-424B3A2F7CA7}"/>
    <cellStyle name="Percent 7 2 3 22" xfId="36496" xr:uid="{7B131C51-79C8-49E5-86FC-AC164597488C}"/>
    <cellStyle name="Percent 7 2 3 23" xfId="38386" xr:uid="{8C53F802-9155-45E9-8D4F-80269CDC6599}"/>
    <cellStyle name="Percent 7 2 3 24" xfId="40277" xr:uid="{A7A6A934-F875-44AF-AB7A-D0FD02DAEA44}"/>
    <cellStyle name="Percent 7 2 3 3" xfId="1846" xr:uid="{118B0489-ED01-437E-A5C6-D3A613F181A9}"/>
    <cellStyle name="Percent 7 2 3 3 10" xfId="18856" xr:uid="{69A3EB2C-AB3B-4D16-88F7-72323D193E3A}"/>
    <cellStyle name="Percent 7 2 3 3 11" xfId="20746" xr:uid="{06809118-D5F1-493D-A19F-E345E4070532}"/>
    <cellStyle name="Percent 7 2 3 3 12" xfId="22636" xr:uid="{2CF97824-801D-4A5E-BBCE-FFBB7E961140}"/>
    <cellStyle name="Percent 7 2 3 3 13" xfId="24526" xr:uid="{978971B8-D7C7-4943-B71E-CC0A9A83D165}"/>
    <cellStyle name="Percent 7 2 3 3 14" xfId="26416" xr:uid="{12928A42-2C55-453C-9D0E-DEA563AFBD98}"/>
    <cellStyle name="Percent 7 2 3 3 15" xfId="28306" xr:uid="{B8CC31C3-210C-457B-A368-6AE2C4C53D44}"/>
    <cellStyle name="Percent 7 2 3 3 16" xfId="30196" xr:uid="{9A3BEC5E-99DC-4373-B0EC-A167DFA7A15C}"/>
    <cellStyle name="Percent 7 2 3 3 17" xfId="32086" xr:uid="{27CF95B9-9AFA-49D1-9984-B6BB87466D7F}"/>
    <cellStyle name="Percent 7 2 3 3 18" xfId="33976" xr:uid="{37A98B34-B3CC-4E47-93A7-03EF8B0090D4}"/>
    <cellStyle name="Percent 7 2 3 3 19" xfId="35866" xr:uid="{CC57622D-F28F-4A58-966F-A52634633C0A}"/>
    <cellStyle name="Percent 7 2 3 3 2" xfId="3736" xr:uid="{5E5BC537-0D35-4C97-85A5-2157D7D99F69}"/>
    <cellStyle name="Percent 7 2 3 3 20" xfId="37756" xr:uid="{67816469-A6DE-4BE5-883D-3A34F4D3E7D1}"/>
    <cellStyle name="Percent 7 2 3 3 21" xfId="39646" xr:uid="{65D148ED-2CD2-44E3-9903-B9ECD14C5164}"/>
    <cellStyle name="Percent 7 2 3 3 22" xfId="41537" xr:uid="{BA0E9DEF-9FA2-4E33-BA9F-4F840BC0DA5C}"/>
    <cellStyle name="Percent 7 2 3 3 3" xfId="5626" xr:uid="{40A5A167-43BB-4A66-AEF1-362C1ADF67E9}"/>
    <cellStyle name="Percent 7 2 3 3 4" xfId="7516" xr:uid="{66E6A10D-E77A-465D-A4BA-EFC5EBC548A5}"/>
    <cellStyle name="Percent 7 2 3 3 5" xfId="9406" xr:uid="{797E5036-2420-48D9-A1B0-E59614199CF7}"/>
    <cellStyle name="Percent 7 2 3 3 6" xfId="11296" xr:uid="{70766239-D173-4259-BFCC-719474604D77}"/>
    <cellStyle name="Percent 7 2 3 3 7" xfId="13186" xr:uid="{36EE660A-A9CA-47FF-AA5F-53D1412F7FCB}"/>
    <cellStyle name="Percent 7 2 3 3 8" xfId="15076" xr:uid="{3F9B26E9-C361-46BF-BDD3-2399DD7FA024}"/>
    <cellStyle name="Percent 7 2 3 3 9" xfId="16966" xr:uid="{8870080A-7921-412B-BEAF-D7F6910E1DDA}"/>
    <cellStyle name="Percent 7 2 3 4" xfId="2476" xr:uid="{77621913-7553-4D63-B2B7-B4988C2BA4A4}"/>
    <cellStyle name="Percent 7 2 3 5" xfId="4366" xr:uid="{D577FB67-C214-49F7-92CE-8ED25E67B878}"/>
    <cellStyle name="Percent 7 2 3 6" xfId="6256" xr:uid="{7B4B4F81-9B87-44CB-859A-63A27BEA5AAC}"/>
    <cellStyle name="Percent 7 2 3 7" xfId="8146" xr:uid="{D7D1FE00-964D-4B72-82BF-A8BA16B2CAA9}"/>
    <cellStyle name="Percent 7 2 3 8" xfId="10036" xr:uid="{7B5AB61F-2D44-4406-AC1A-96B64C8F273D}"/>
    <cellStyle name="Percent 7 2 3 9" xfId="11926" xr:uid="{FC55E05C-797D-4A18-9F88-20359E67D35D}"/>
    <cellStyle name="Percent 7 2 4" xfId="796" xr:uid="{E087D3C8-110D-4591-AAC9-358CEB631FF7}"/>
    <cellStyle name="Percent 7 2 4 10" xfId="17806" xr:uid="{6C91DD6E-3BC3-47C7-A295-9233E77303DD}"/>
    <cellStyle name="Percent 7 2 4 11" xfId="19696" xr:uid="{E6D4C3BB-1B3D-4298-BE9C-A9FF09373375}"/>
    <cellStyle name="Percent 7 2 4 12" xfId="21586" xr:uid="{F5E763AF-FFB7-4AB0-AF8C-F6DA9E4D8DFD}"/>
    <cellStyle name="Percent 7 2 4 13" xfId="23476" xr:uid="{F662B3DA-1533-4347-9472-1A1C68CF9A37}"/>
    <cellStyle name="Percent 7 2 4 14" xfId="25366" xr:uid="{013D9EB9-5209-4DA3-A43E-35248135B748}"/>
    <cellStyle name="Percent 7 2 4 15" xfId="27256" xr:uid="{E57BA71A-9E72-4612-8B98-AAFB0230F9F1}"/>
    <cellStyle name="Percent 7 2 4 16" xfId="29146" xr:uid="{15698978-43D9-4527-ACF0-C9EDFCC6FC7B}"/>
    <cellStyle name="Percent 7 2 4 17" xfId="31036" xr:uid="{16938737-0DBC-49B1-B197-F8F00BE0771D}"/>
    <cellStyle name="Percent 7 2 4 18" xfId="32926" xr:uid="{DB390EE4-0169-47DD-A4E1-4762AA6ABC29}"/>
    <cellStyle name="Percent 7 2 4 19" xfId="34816" xr:uid="{04048CC4-2F53-4676-948A-3F9F6D8B85A6}"/>
    <cellStyle name="Percent 7 2 4 2" xfId="2686" xr:uid="{8300E30C-8F88-448F-85A3-D8195BF36A7E}"/>
    <cellStyle name="Percent 7 2 4 20" xfId="36706" xr:uid="{2F809532-3977-4D50-93CD-E5E0888CDFCB}"/>
    <cellStyle name="Percent 7 2 4 21" xfId="38596" xr:uid="{19FF24E7-301D-4DFE-B4B2-622A8EB9CB0A}"/>
    <cellStyle name="Percent 7 2 4 22" xfId="40487" xr:uid="{6F9FC67C-4AB2-4646-A51D-492C67926CA6}"/>
    <cellStyle name="Percent 7 2 4 3" xfId="4576" xr:uid="{20590D89-FE45-4E88-A294-1935B418B634}"/>
    <cellStyle name="Percent 7 2 4 4" xfId="6466" xr:uid="{A78F0562-9FCE-47A0-9EDF-ACDF9D03B550}"/>
    <cellStyle name="Percent 7 2 4 5" xfId="8356" xr:uid="{2EA3B879-8272-4A06-9D0C-864605CE2D4B}"/>
    <cellStyle name="Percent 7 2 4 6" xfId="10246" xr:uid="{823244BB-511B-47F0-B73E-649BD423AB50}"/>
    <cellStyle name="Percent 7 2 4 7" xfId="12136" xr:uid="{43983FF3-196C-4DE3-BBB6-A88DDB272B77}"/>
    <cellStyle name="Percent 7 2 4 8" xfId="14026" xr:uid="{74FCCFBD-9FF0-4F5F-8A15-25400C280B30}"/>
    <cellStyle name="Percent 7 2 4 9" xfId="15916" xr:uid="{0AEDD232-C0EC-48D0-A80D-5D85612162E6}"/>
    <cellStyle name="Percent 7 2 5" xfId="1426" xr:uid="{CE4327B4-7387-452F-B1D1-DF3E3C342A3B}"/>
    <cellStyle name="Percent 7 2 5 10" xfId="18436" xr:uid="{0D8B3BBE-87F0-41B8-83A9-A149F5E5D3CD}"/>
    <cellStyle name="Percent 7 2 5 11" xfId="20326" xr:uid="{494A6D15-2877-4E8B-8530-28BA0C8061F5}"/>
    <cellStyle name="Percent 7 2 5 12" xfId="22216" xr:uid="{603356F2-F246-4D28-A5F7-D88AB0165075}"/>
    <cellStyle name="Percent 7 2 5 13" xfId="24106" xr:uid="{3BC75B70-F073-48A3-8E77-346582361A0D}"/>
    <cellStyle name="Percent 7 2 5 14" xfId="25996" xr:uid="{FB1E8442-F1C9-41E0-92A5-52C259E58678}"/>
    <cellStyle name="Percent 7 2 5 15" xfId="27886" xr:uid="{5F62FDB8-7E4D-4EB0-A50D-6989A65BE420}"/>
    <cellStyle name="Percent 7 2 5 16" xfId="29776" xr:uid="{FD282F6A-B470-4C7F-B691-966ABDD914DF}"/>
    <cellStyle name="Percent 7 2 5 17" xfId="31666" xr:uid="{8F973CA9-D660-49B4-9EB6-BAAF5965B803}"/>
    <cellStyle name="Percent 7 2 5 18" xfId="33556" xr:uid="{672DD3DC-8E52-4C52-8AD8-7C3AB92B5688}"/>
    <cellStyle name="Percent 7 2 5 19" xfId="35446" xr:uid="{4644EEA3-2F88-4024-A4E4-157CCA00E8EF}"/>
    <cellStyle name="Percent 7 2 5 2" xfId="3316" xr:uid="{BCDE730D-31E1-4A75-AB8A-E14029CB667B}"/>
    <cellStyle name="Percent 7 2 5 20" xfId="37336" xr:uid="{66B05A50-C074-4887-9102-596438AA9668}"/>
    <cellStyle name="Percent 7 2 5 21" xfId="39226" xr:uid="{1989A210-B1E5-4548-995F-DC665204E920}"/>
    <cellStyle name="Percent 7 2 5 22" xfId="41117" xr:uid="{BD0E83A1-49AB-4CD7-91C6-47F65CC6729C}"/>
    <cellStyle name="Percent 7 2 5 3" xfId="5206" xr:uid="{ED3FA863-9B02-4D4E-BE48-B2B4775A6F66}"/>
    <cellStyle name="Percent 7 2 5 4" xfId="7096" xr:uid="{ECAC8238-7505-41CA-BA3A-C62A6BBC8624}"/>
    <cellStyle name="Percent 7 2 5 5" xfId="8986" xr:uid="{1981D93E-6356-4574-B898-6E8BF9DC6E5F}"/>
    <cellStyle name="Percent 7 2 5 6" xfId="10876" xr:uid="{52AC4630-8B24-47BB-8AA5-34E31FB36066}"/>
    <cellStyle name="Percent 7 2 5 7" xfId="12766" xr:uid="{8D37742B-443C-46D9-B4B0-96E3CD6ADD5C}"/>
    <cellStyle name="Percent 7 2 5 8" xfId="14656" xr:uid="{5E1BE8E3-3BFC-47CF-92DB-864334FC92FE}"/>
    <cellStyle name="Percent 7 2 5 9" xfId="16546" xr:uid="{9E4AA7F6-5B59-477B-A8A4-B223750BB21F}"/>
    <cellStyle name="Percent 7 2 6" xfId="2056" xr:uid="{312F46D4-E168-4643-A3FF-42EC2A449323}"/>
    <cellStyle name="Percent 7 2 7" xfId="3946" xr:uid="{ACE27CA6-9E34-4651-8B5C-F8A184BF21AE}"/>
    <cellStyle name="Percent 7 2 8" xfId="5836" xr:uid="{CF29E69D-3FB1-43DC-8BB1-F2D66FB9B9F9}"/>
    <cellStyle name="Percent 7 2 9" xfId="7726" xr:uid="{762EF82B-DA21-4BE1-8B82-EC77F9C430ED}"/>
    <cellStyle name="Percent 7 20" xfId="26521" xr:uid="{760FFC9F-6500-46F3-B630-A83F29B8E665}"/>
    <cellStyle name="Percent 7 21" xfId="28411" xr:uid="{3A1F641D-1CC9-467F-9F6D-938A631F5233}"/>
    <cellStyle name="Percent 7 22" xfId="30301" xr:uid="{05468386-AFC6-4F73-AC3F-9298C90728E6}"/>
    <cellStyle name="Percent 7 23" xfId="32191" xr:uid="{16E8262E-0F29-4399-8E99-CC10F54D62DE}"/>
    <cellStyle name="Percent 7 24" xfId="34081" xr:uid="{D8863285-0431-467B-98EB-F5938862D032}"/>
    <cellStyle name="Percent 7 25" xfId="35971" xr:uid="{0FBDA183-6B48-4D06-9EDB-F7F13B029B9F}"/>
    <cellStyle name="Percent 7 26" xfId="37861" xr:uid="{5DF459B9-059B-4E7A-9045-E308E9386F1B}"/>
    <cellStyle name="Percent 7 27" xfId="39752" xr:uid="{5A47DF79-6FCE-4C7F-B883-2BB35BA92687}"/>
    <cellStyle name="Percent 7 3" xfId="271" xr:uid="{0981D807-FA09-4DA2-B82D-308BD79683D7}"/>
    <cellStyle name="Percent 7 3 10" xfId="13501" xr:uid="{11DB8EBD-08FF-4525-A4F8-31DEFD95F150}"/>
    <cellStyle name="Percent 7 3 11" xfId="15391" xr:uid="{55D98923-0BEA-4359-9631-1E84EFADD7D2}"/>
    <cellStyle name="Percent 7 3 12" xfId="17281" xr:uid="{DFD691F8-F32E-41E0-8068-39ADCD1041C7}"/>
    <cellStyle name="Percent 7 3 13" xfId="19171" xr:uid="{E2820791-9E42-4443-878E-5D6F632CD201}"/>
    <cellStyle name="Percent 7 3 14" xfId="21061" xr:uid="{8E5ABA37-F984-4C2D-845D-B13E94C8D94C}"/>
    <cellStyle name="Percent 7 3 15" xfId="22951" xr:uid="{C294E35D-8283-45B6-B138-EC4111BC6F48}"/>
    <cellStyle name="Percent 7 3 16" xfId="24841" xr:uid="{35CE99D8-3105-4E67-8269-9956D3292A88}"/>
    <cellStyle name="Percent 7 3 17" xfId="26731" xr:uid="{458F0DF5-C3DC-4718-8C5E-F9F2A533E047}"/>
    <cellStyle name="Percent 7 3 18" xfId="28621" xr:uid="{FD9CD9FE-172D-4AC7-B926-DDB05BEE27DD}"/>
    <cellStyle name="Percent 7 3 19" xfId="30511" xr:uid="{FDB42396-1802-4F65-9843-403CE63D8008}"/>
    <cellStyle name="Percent 7 3 2" xfId="901" xr:uid="{F13F9A5E-D870-4E79-A4FB-2EA26484CDE5}"/>
    <cellStyle name="Percent 7 3 2 10" xfId="17911" xr:uid="{9AD2A6E8-97C1-4A1B-982D-B471A6DC061C}"/>
    <cellStyle name="Percent 7 3 2 11" xfId="19801" xr:uid="{EA1FB254-204C-480A-A49F-177997CCD784}"/>
    <cellStyle name="Percent 7 3 2 12" xfId="21691" xr:uid="{FA372AEA-EFD4-4989-AAB2-D1675D57F9A4}"/>
    <cellStyle name="Percent 7 3 2 13" xfId="23581" xr:uid="{C9221448-2CA8-4BC8-84B2-CF8269A9356E}"/>
    <cellStyle name="Percent 7 3 2 14" xfId="25471" xr:uid="{39E2C8A0-803E-4AD5-BE7D-B251C7C047C8}"/>
    <cellStyle name="Percent 7 3 2 15" xfId="27361" xr:uid="{940E8F24-DEBB-4B22-B99B-2B027A375520}"/>
    <cellStyle name="Percent 7 3 2 16" xfId="29251" xr:uid="{387BE82F-4D5A-4EF6-9EB9-EF9573245040}"/>
    <cellStyle name="Percent 7 3 2 17" xfId="31141" xr:uid="{70644941-149A-420A-A9B9-059FAAD8D338}"/>
    <cellStyle name="Percent 7 3 2 18" xfId="33031" xr:uid="{7E809BBC-8854-4784-A4C6-73AB68191EF5}"/>
    <cellStyle name="Percent 7 3 2 19" xfId="34921" xr:uid="{AFA1A398-AD9E-4CAE-BFEA-633529A0839D}"/>
    <cellStyle name="Percent 7 3 2 2" xfId="2791" xr:uid="{4A5E613C-D798-48B0-86D8-F8E3746354DC}"/>
    <cellStyle name="Percent 7 3 2 20" xfId="36811" xr:uid="{98F64BD0-8D8D-4997-B852-8D47889904ED}"/>
    <cellStyle name="Percent 7 3 2 21" xfId="38701" xr:uid="{B7CF0A63-5A70-44BC-9488-D280F612891C}"/>
    <cellStyle name="Percent 7 3 2 22" xfId="40592" xr:uid="{CA11A98F-C00E-477A-B37F-EEB7D9D0CC2B}"/>
    <cellStyle name="Percent 7 3 2 3" xfId="4681" xr:uid="{201F4A64-8226-4E2F-AF30-6DDE438103C1}"/>
    <cellStyle name="Percent 7 3 2 4" xfId="6571" xr:uid="{B26BD4BA-2F1D-48AB-9CEF-638C71EA72F1}"/>
    <cellStyle name="Percent 7 3 2 5" xfId="8461" xr:uid="{006F013B-4A96-461D-8067-4E7B00AB3326}"/>
    <cellStyle name="Percent 7 3 2 6" xfId="10351" xr:uid="{0DAC8B56-2C38-480D-B6C9-8CCF75DD055D}"/>
    <cellStyle name="Percent 7 3 2 7" xfId="12241" xr:uid="{7C1C1ADF-0C15-49E1-9971-C0AFC6ED98F6}"/>
    <cellStyle name="Percent 7 3 2 8" xfId="14131" xr:uid="{8CE2A3AC-E3EC-4DF1-81C9-8307C6E0A0C3}"/>
    <cellStyle name="Percent 7 3 2 9" xfId="16021" xr:uid="{04FA4CC2-37F6-4AD3-A0E9-F0255B26A409}"/>
    <cellStyle name="Percent 7 3 20" xfId="32401" xr:uid="{85FA4822-D162-42C1-BBFC-8EB6799C5B71}"/>
    <cellStyle name="Percent 7 3 21" xfId="34291" xr:uid="{DCBBBFC2-04B8-4C33-86A1-6B3352D05E05}"/>
    <cellStyle name="Percent 7 3 22" xfId="36181" xr:uid="{ADEA0AF4-2A44-4CAC-ABF8-529DD23E1A0C}"/>
    <cellStyle name="Percent 7 3 23" xfId="38071" xr:uid="{F2E2D9D8-5112-48FF-A919-E6B16766644C}"/>
    <cellStyle name="Percent 7 3 24" xfId="39962" xr:uid="{CC367985-F7D6-4277-98A4-0949CE3B91DA}"/>
    <cellStyle name="Percent 7 3 3" xfId="1531" xr:uid="{9C6F2571-D73D-4BC0-9A38-29B08DF11750}"/>
    <cellStyle name="Percent 7 3 3 10" xfId="18541" xr:uid="{3EB1D470-73A5-469E-9339-478D10EB449B}"/>
    <cellStyle name="Percent 7 3 3 11" xfId="20431" xr:uid="{45128AD5-72AB-4FC9-81D7-C86E1A73F831}"/>
    <cellStyle name="Percent 7 3 3 12" xfId="22321" xr:uid="{83C9111E-1B32-4D96-9139-2F200EBF1341}"/>
    <cellStyle name="Percent 7 3 3 13" xfId="24211" xr:uid="{C08EF406-C83F-4FD3-A525-0FAA9898A6CE}"/>
    <cellStyle name="Percent 7 3 3 14" xfId="26101" xr:uid="{B16B395F-41B4-4D1D-8E90-07C0E158DF53}"/>
    <cellStyle name="Percent 7 3 3 15" xfId="27991" xr:uid="{A228B542-7233-4890-A4A4-16858B2409E2}"/>
    <cellStyle name="Percent 7 3 3 16" xfId="29881" xr:uid="{401FFA90-397E-4E9E-92C6-4C32CF6E4044}"/>
    <cellStyle name="Percent 7 3 3 17" xfId="31771" xr:uid="{58691783-C3D3-4025-885D-9944153CF17E}"/>
    <cellStyle name="Percent 7 3 3 18" xfId="33661" xr:uid="{AA7072BF-7661-4697-8144-D10EE1CCE872}"/>
    <cellStyle name="Percent 7 3 3 19" xfId="35551" xr:uid="{188164A8-8FBB-4CBF-BDD0-3B4BF8C1D78E}"/>
    <cellStyle name="Percent 7 3 3 2" xfId="3421" xr:uid="{80D3FBFA-84FC-4D92-B939-17776322F26B}"/>
    <cellStyle name="Percent 7 3 3 20" xfId="37441" xr:uid="{7E60A2AD-7988-45CA-89E5-8CC5948073CA}"/>
    <cellStyle name="Percent 7 3 3 21" xfId="39331" xr:uid="{0B76B65E-5EE5-4E4C-97F9-2B21350622FF}"/>
    <cellStyle name="Percent 7 3 3 22" xfId="41222" xr:uid="{B506FA08-C20A-483A-BD45-B1871496328C}"/>
    <cellStyle name="Percent 7 3 3 3" xfId="5311" xr:uid="{77C2236F-3EEF-4341-9F08-7805050229F2}"/>
    <cellStyle name="Percent 7 3 3 4" xfId="7201" xr:uid="{C9D166C4-44C5-49FD-AF02-0D6766EA10C0}"/>
    <cellStyle name="Percent 7 3 3 5" xfId="9091" xr:uid="{42D29107-726D-45D9-AAA1-BB2D03C9100B}"/>
    <cellStyle name="Percent 7 3 3 6" xfId="10981" xr:uid="{92B4EEEB-61F9-40A3-AA20-1B6C4B654568}"/>
    <cellStyle name="Percent 7 3 3 7" xfId="12871" xr:uid="{4046227C-5100-4E6F-B02B-375D242511D2}"/>
    <cellStyle name="Percent 7 3 3 8" xfId="14761" xr:uid="{6376795A-1E17-476F-A370-C54D4BF5ED82}"/>
    <cellStyle name="Percent 7 3 3 9" xfId="16651" xr:uid="{08205BEC-F50D-4275-950C-F0235F70D7DF}"/>
    <cellStyle name="Percent 7 3 4" xfId="2161" xr:uid="{D59B52C8-9F1C-4608-A8CF-58777D106A3A}"/>
    <cellStyle name="Percent 7 3 5" xfId="4051" xr:uid="{3C1276B1-F1F6-4315-BEA9-B8E58C614998}"/>
    <cellStyle name="Percent 7 3 6" xfId="5941" xr:uid="{D8D3122E-847D-4040-9FB2-B306C32F59A0}"/>
    <cellStyle name="Percent 7 3 7" xfId="7831" xr:uid="{881BE961-1755-40E9-AA5D-ED445FCBCFE8}"/>
    <cellStyle name="Percent 7 3 8" xfId="9721" xr:uid="{60FADBB9-5ECC-49C2-AD58-B04713A1534D}"/>
    <cellStyle name="Percent 7 3 9" xfId="11611" xr:uid="{E577901A-00C1-4636-8327-F1B4A0FE71BB}"/>
    <cellStyle name="Percent 7 4" xfId="481" xr:uid="{CA482B3C-3D2A-4D38-8ABD-ED2BC9827A48}"/>
    <cellStyle name="Percent 7 4 10" xfId="13711" xr:uid="{7A32678B-80CE-41B6-9F7F-0669875E6384}"/>
    <cellStyle name="Percent 7 4 11" xfId="15601" xr:uid="{D3AA714F-21F5-4B53-B5E9-EBC387D6EDD2}"/>
    <cellStyle name="Percent 7 4 12" xfId="17491" xr:uid="{7031043F-E407-4C33-AD27-CA454C340E09}"/>
    <cellStyle name="Percent 7 4 13" xfId="19381" xr:uid="{CAF2810C-CAE1-426A-82FC-BF4136DDC75C}"/>
    <cellStyle name="Percent 7 4 14" xfId="21271" xr:uid="{B68B62EF-608F-405C-956F-87C112683064}"/>
    <cellStyle name="Percent 7 4 15" xfId="23161" xr:uid="{540FD692-8FA5-403E-80DD-9CFFDDAFE562}"/>
    <cellStyle name="Percent 7 4 16" xfId="25051" xr:uid="{521420A4-33F6-4408-9347-F284868E5743}"/>
    <cellStyle name="Percent 7 4 17" xfId="26941" xr:uid="{E9AB7C9B-B174-49AF-89D0-C4E98E9DC73F}"/>
    <cellStyle name="Percent 7 4 18" xfId="28831" xr:uid="{3BF6B05B-2DFC-4CD5-A7FD-39A027272350}"/>
    <cellStyle name="Percent 7 4 19" xfId="30721" xr:uid="{CF654750-4A68-4E89-AA04-DA3A845FD097}"/>
    <cellStyle name="Percent 7 4 2" xfId="1111" xr:uid="{E2C19035-4E00-4427-BA6A-B3FB421558A4}"/>
    <cellStyle name="Percent 7 4 2 10" xfId="18121" xr:uid="{1632D89C-C321-4C00-A5D7-F11751572AE2}"/>
    <cellStyle name="Percent 7 4 2 11" xfId="20011" xr:uid="{C1A94DD7-121A-4727-8065-17EBB191A592}"/>
    <cellStyle name="Percent 7 4 2 12" xfId="21901" xr:uid="{8DA61294-F9AB-43D8-9F51-CB51C4EDE933}"/>
    <cellStyle name="Percent 7 4 2 13" xfId="23791" xr:uid="{13D5660F-C636-408F-96BE-9447B6C5F037}"/>
    <cellStyle name="Percent 7 4 2 14" xfId="25681" xr:uid="{D2C053BE-6378-4695-A0DA-B405527EC2F3}"/>
    <cellStyle name="Percent 7 4 2 15" xfId="27571" xr:uid="{69498DF9-158F-4BA7-8482-03041AA970F7}"/>
    <cellStyle name="Percent 7 4 2 16" xfId="29461" xr:uid="{4C02FDA0-89E4-4C67-AF21-EC32AAA6B779}"/>
    <cellStyle name="Percent 7 4 2 17" xfId="31351" xr:uid="{7AD59BEA-C9E5-4951-8EA0-841AFF6951F5}"/>
    <cellStyle name="Percent 7 4 2 18" xfId="33241" xr:uid="{4BEEC5B0-2764-4817-9E58-CCF0D7A2C2D2}"/>
    <cellStyle name="Percent 7 4 2 19" xfId="35131" xr:uid="{BD13451D-07FA-4436-AA9B-315DD0C5B5F9}"/>
    <cellStyle name="Percent 7 4 2 2" xfId="3001" xr:uid="{3EDC2434-9111-4E8A-9FA2-749A62D24B55}"/>
    <cellStyle name="Percent 7 4 2 20" xfId="37021" xr:uid="{95AB2F2C-0E26-4319-A4E3-56BD150872DC}"/>
    <cellStyle name="Percent 7 4 2 21" xfId="38911" xr:uid="{960EF4D3-B68E-48F7-B79C-1A54F5D59CC0}"/>
    <cellStyle name="Percent 7 4 2 22" xfId="40802" xr:uid="{FC461F16-B34C-4EF8-9A92-0F7492F45589}"/>
    <cellStyle name="Percent 7 4 2 3" xfId="4891" xr:uid="{F8E238F0-40B1-42CB-9D35-89E70B14071A}"/>
    <cellStyle name="Percent 7 4 2 4" xfId="6781" xr:uid="{0FA87D19-E5BA-4809-ACBF-5855266F2215}"/>
    <cellStyle name="Percent 7 4 2 5" xfId="8671" xr:uid="{2104DF74-7C39-4166-A30E-3F1F41514771}"/>
    <cellStyle name="Percent 7 4 2 6" xfId="10561" xr:uid="{3590DC9F-E4A4-4693-AECD-F05E8E50ABE2}"/>
    <cellStyle name="Percent 7 4 2 7" xfId="12451" xr:uid="{1D6AB9D1-B6F0-4BD1-BE20-959530C52052}"/>
    <cellStyle name="Percent 7 4 2 8" xfId="14341" xr:uid="{CD7FB982-D844-4469-9DCE-501318F0984B}"/>
    <cellStyle name="Percent 7 4 2 9" xfId="16231" xr:uid="{2CCA41F8-07C5-41B5-BE54-995E2E4E1107}"/>
    <cellStyle name="Percent 7 4 20" xfId="32611" xr:uid="{DA4FD5F8-9DCC-4520-BD13-D380A8575E40}"/>
    <cellStyle name="Percent 7 4 21" xfId="34501" xr:uid="{1FD6E243-FF1A-4BD2-844D-A075631C395D}"/>
    <cellStyle name="Percent 7 4 22" xfId="36391" xr:uid="{2A82A92A-A375-4695-83C2-2B713C25DCAE}"/>
    <cellStyle name="Percent 7 4 23" xfId="38281" xr:uid="{AF189176-CA58-43C2-8951-C0C3525AD595}"/>
    <cellStyle name="Percent 7 4 24" xfId="40172" xr:uid="{6806BDED-42BB-4D9F-9A68-53289A008F17}"/>
    <cellStyle name="Percent 7 4 3" xfId="1741" xr:uid="{960ED612-F1E9-4ADF-A619-CD299327CB1D}"/>
    <cellStyle name="Percent 7 4 3 10" xfId="18751" xr:uid="{A870656F-555C-4576-992B-4CECCAE6A39F}"/>
    <cellStyle name="Percent 7 4 3 11" xfId="20641" xr:uid="{0E518B2E-6435-4063-9E0E-1CFEA8BF5A6E}"/>
    <cellStyle name="Percent 7 4 3 12" xfId="22531" xr:uid="{552BA496-AFB2-45F7-BA2F-33B7090FF10A}"/>
    <cellStyle name="Percent 7 4 3 13" xfId="24421" xr:uid="{47C3C8B6-C75B-45BD-936E-FF15522EC6E4}"/>
    <cellStyle name="Percent 7 4 3 14" xfId="26311" xr:uid="{91965D1F-2907-4778-A993-4C65BD32B71E}"/>
    <cellStyle name="Percent 7 4 3 15" xfId="28201" xr:uid="{F8AE5070-5515-4221-8425-378C95107BAA}"/>
    <cellStyle name="Percent 7 4 3 16" xfId="30091" xr:uid="{304E3BF9-3350-401B-9CD7-38F898D28DA5}"/>
    <cellStyle name="Percent 7 4 3 17" xfId="31981" xr:uid="{E05DC596-1353-465E-AC97-5C09E0B73F23}"/>
    <cellStyle name="Percent 7 4 3 18" xfId="33871" xr:uid="{B841C01B-8A7B-4029-AE55-AF4D6831DA6B}"/>
    <cellStyle name="Percent 7 4 3 19" xfId="35761" xr:uid="{200C8907-ADD4-4BD2-9732-DAC040B1E8A5}"/>
    <cellStyle name="Percent 7 4 3 2" xfId="3631" xr:uid="{270B2CE3-D5D0-4D84-BE33-F2873809B79F}"/>
    <cellStyle name="Percent 7 4 3 20" xfId="37651" xr:uid="{9B79142E-D8A8-47FA-8D6F-2BB120EFE892}"/>
    <cellStyle name="Percent 7 4 3 21" xfId="39541" xr:uid="{9B7979F2-BAD9-474E-B382-F0D77FE14FE1}"/>
    <cellStyle name="Percent 7 4 3 22" xfId="41432" xr:uid="{A78E13E3-E0B8-4212-9DD8-90C6E7630CE0}"/>
    <cellStyle name="Percent 7 4 3 3" xfId="5521" xr:uid="{86240121-7B23-4958-AB7F-C2DDEA0CF141}"/>
    <cellStyle name="Percent 7 4 3 4" xfId="7411" xr:uid="{67AC0477-B1FC-4CB4-9B45-79CBAEA3D84D}"/>
    <cellStyle name="Percent 7 4 3 5" xfId="9301" xr:uid="{5F0210AE-1540-4DBF-99DF-BCBEBBBE2230}"/>
    <cellStyle name="Percent 7 4 3 6" xfId="11191" xr:uid="{9E7F68D3-0539-43F6-9528-EF6B9BC21CDC}"/>
    <cellStyle name="Percent 7 4 3 7" xfId="13081" xr:uid="{618C13BA-0A73-4208-B2B6-E09E5A75D1B9}"/>
    <cellStyle name="Percent 7 4 3 8" xfId="14971" xr:uid="{50264B5C-38C7-4DF1-B3B2-FDBDB9BE7D12}"/>
    <cellStyle name="Percent 7 4 3 9" xfId="16861" xr:uid="{D81DE2EF-04D7-4576-A3BB-3ACC411BF05D}"/>
    <cellStyle name="Percent 7 4 4" xfId="2371" xr:uid="{127A84A0-0051-43AA-9E02-1AB53ECB055B}"/>
    <cellStyle name="Percent 7 4 5" xfId="4261" xr:uid="{7D4DDB47-BBDA-41A7-AA1A-8D0AC118CC9B}"/>
    <cellStyle name="Percent 7 4 6" xfId="6151" xr:uid="{4FF2C892-9E87-46DD-A2AF-A678DD1C2D1D}"/>
    <cellStyle name="Percent 7 4 7" xfId="8041" xr:uid="{7832FCB1-D2FF-4364-9F11-CF116BF6BBC4}"/>
    <cellStyle name="Percent 7 4 8" xfId="9931" xr:uid="{9B7119F0-A6B8-4F9E-8596-F6827CDC0E4B}"/>
    <cellStyle name="Percent 7 4 9" xfId="11821" xr:uid="{69B38E27-545A-46D1-AE2D-9E0F590C1E5A}"/>
    <cellStyle name="Percent 7 5" xfId="691" xr:uid="{603AC4AE-9E4B-404D-8E3D-01F148D12837}"/>
    <cellStyle name="Percent 7 5 10" xfId="17701" xr:uid="{201EFC7C-40DD-449C-B230-1A6D9FD4B3DA}"/>
    <cellStyle name="Percent 7 5 11" xfId="19591" xr:uid="{50FD76DD-9BA8-4B6B-B688-8073F9906190}"/>
    <cellStyle name="Percent 7 5 12" xfId="21481" xr:uid="{15D3B5BD-0B58-455F-9A70-FC3FE16F53F2}"/>
    <cellStyle name="Percent 7 5 13" xfId="23371" xr:uid="{8407FA22-0F32-4612-8F0D-57FAA22EAF49}"/>
    <cellStyle name="Percent 7 5 14" xfId="25261" xr:uid="{2719AF61-AC50-4254-A52A-E871517735C2}"/>
    <cellStyle name="Percent 7 5 15" xfId="27151" xr:uid="{0E07FCFD-8926-4F43-996E-21795BB3A644}"/>
    <cellStyle name="Percent 7 5 16" xfId="29041" xr:uid="{F0492C85-129A-4521-9D9F-76D254732660}"/>
    <cellStyle name="Percent 7 5 17" xfId="30931" xr:uid="{479F8860-22F7-47E0-B694-E5497EE518F7}"/>
    <cellStyle name="Percent 7 5 18" xfId="32821" xr:uid="{E3FF47CD-AF21-4B06-BFA5-33573480FED5}"/>
    <cellStyle name="Percent 7 5 19" xfId="34711" xr:uid="{E2ABA2AF-E1C6-41A7-9987-DAE1592B35BA}"/>
    <cellStyle name="Percent 7 5 2" xfId="2581" xr:uid="{55BA3A71-E818-4406-BD29-376CBB3ED41D}"/>
    <cellStyle name="Percent 7 5 20" xfId="36601" xr:uid="{3F8AB17B-72F4-46E0-9F27-41DF35CE3705}"/>
    <cellStyle name="Percent 7 5 21" xfId="38491" xr:uid="{AC8880EA-D3C0-4BD6-BF8B-86388AFD5B0A}"/>
    <cellStyle name="Percent 7 5 22" xfId="40382" xr:uid="{25522125-EEC2-40CE-84E7-9FD9D5BB15B8}"/>
    <cellStyle name="Percent 7 5 3" xfId="4471" xr:uid="{33BF994B-F6ED-43B6-8030-1D36369A5FBE}"/>
    <cellStyle name="Percent 7 5 4" xfId="6361" xr:uid="{307CF605-1802-4E36-88CB-68615D2931D8}"/>
    <cellStyle name="Percent 7 5 5" xfId="8251" xr:uid="{7348ADFF-FD39-4A25-976E-9D978AD3BB8E}"/>
    <cellStyle name="Percent 7 5 6" xfId="10141" xr:uid="{FB9A3CFE-AB29-4E93-9846-094EE66B98FC}"/>
    <cellStyle name="Percent 7 5 7" xfId="12031" xr:uid="{0980A988-A4BF-4549-9ED1-77168664EDFE}"/>
    <cellStyle name="Percent 7 5 8" xfId="13921" xr:uid="{A4E43AA0-4D32-420F-84B0-A34A6B8A79DB}"/>
    <cellStyle name="Percent 7 5 9" xfId="15811" xr:uid="{2B955FB9-0454-4164-9C62-95A31032E5FA}"/>
    <cellStyle name="Percent 7 6" xfId="1321" xr:uid="{C363298F-EEAF-46FA-8B7E-7BE93FC3B08C}"/>
    <cellStyle name="Percent 7 6 10" xfId="18331" xr:uid="{D9DC7B53-0077-4330-B02B-BC7D8D25A3AC}"/>
    <cellStyle name="Percent 7 6 11" xfId="20221" xr:uid="{9D1C4431-3F04-49F2-ADBE-4AC0527B0CC2}"/>
    <cellStyle name="Percent 7 6 12" xfId="22111" xr:uid="{E3203B10-CECE-4ACE-896A-1A78EE1CA7F6}"/>
    <cellStyle name="Percent 7 6 13" xfId="24001" xr:uid="{7BB94F6B-E161-4D6E-97C9-7A66EF4EC4B6}"/>
    <cellStyle name="Percent 7 6 14" xfId="25891" xr:uid="{D7E84A73-C7D9-437E-9CA2-C3B3957F2C65}"/>
    <cellStyle name="Percent 7 6 15" xfId="27781" xr:uid="{0AD74C87-34D7-4B9D-BEEE-E219DDE3456B}"/>
    <cellStyle name="Percent 7 6 16" xfId="29671" xr:uid="{DF89A661-88FB-430B-A764-34D8AA0A032A}"/>
    <cellStyle name="Percent 7 6 17" xfId="31561" xr:uid="{4E21638C-43FA-44C2-AE19-B97AD009C3F9}"/>
    <cellStyle name="Percent 7 6 18" xfId="33451" xr:uid="{7E2EC167-39B1-441B-8BBD-177728C347EF}"/>
    <cellStyle name="Percent 7 6 19" xfId="35341" xr:uid="{91F0592D-9360-4102-AE47-23D58C3F8BD2}"/>
    <cellStyle name="Percent 7 6 2" xfId="3211" xr:uid="{0813186B-030B-44DF-BFD4-024B233DF985}"/>
    <cellStyle name="Percent 7 6 20" xfId="37231" xr:uid="{AF443442-38A3-44CC-8647-BA2BD2CD1B74}"/>
    <cellStyle name="Percent 7 6 21" xfId="39121" xr:uid="{51E7FE75-C1B8-468D-B0AF-18D8C1779E7E}"/>
    <cellStyle name="Percent 7 6 22" xfId="41012" xr:uid="{EEDF34CC-5E8D-4398-8A4B-271120FB5E41}"/>
    <cellStyle name="Percent 7 6 3" xfId="5101" xr:uid="{E8CACD77-E030-4730-BB47-9969BF94DF0A}"/>
    <cellStyle name="Percent 7 6 4" xfId="6991" xr:uid="{8B58470A-ABC6-4058-B2F5-FF709E4BFF87}"/>
    <cellStyle name="Percent 7 6 5" xfId="8881" xr:uid="{C978F5E1-5551-4DA5-83FE-148AD1653B1A}"/>
    <cellStyle name="Percent 7 6 6" xfId="10771" xr:uid="{71E577BF-F1DE-4E0A-AA1D-F68585F23ECC}"/>
    <cellStyle name="Percent 7 6 7" xfId="12661" xr:uid="{67B59338-F09B-4F30-B203-DA72FA3D7C39}"/>
    <cellStyle name="Percent 7 6 8" xfId="14551" xr:uid="{15F0063E-5A89-4FCB-A784-2FECF7D27F33}"/>
    <cellStyle name="Percent 7 6 9" xfId="16441" xr:uid="{849B6FDA-1CA2-4A24-B496-A73C215FFE1E}"/>
    <cellStyle name="Percent 7 7" xfId="1951" xr:uid="{95B5D59B-A263-4CCF-B4AE-D22FF2FA3992}"/>
    <cellStyle name="Percent 7 8" xfId="3841" xr:uid="{C9701F97-AFC5-480D-A663-B39DF19968DB}"/>
    <cellStyle name="Percent 7 9" xfId="5731" xr:uid="{FBD4B625-BD86-48BC-BAF9-9A2CA5F3A414}"/>
    <cellStyle name="Percent 8" xfId="48" xr:uid="{A795CA55-7692-4666-902E-09EA25F8BBDB}"/>
    <cellStyle name="Percent 8 10" xfId="7630" xr:uid="{06C0A6FF-FE28-4183-BDF8-D061D4EA7FF4}"/>
    <cellStyle name="Percent 8 11" xfId="9520" xr:uid="{60119BC6-11FB-4904-8EC2-D3175A2C8D77}"/>
    <cellStyle name="Percent 8 12" xfId="11410" xr:uid="{8B8D8A34-9B95-457A-AE78-C4FEA9DFB557}"/>
    <cellStyle name="Percent 8 13" xfId="13300" xr:uid="{D0F2EC10-7DAA-4F88-B01C-EEE8E4A12E6E}"/>
    <cellStyle name="Percent 8 14" xfId="15190" xr:uid="{07FBEC87-0D9D-448F-884D-736D2A3C84E2}"/>
    <cellStyle name="Percent 8 15" xfId="17080" xr:uid="{F886B7EA-2BE3-4BD3-A657-8186A4BC106A}"/>
    <cellStyle name="Percent 8 16" xfId="18970" xr:uid="{4001DFE5-269C-4604-AD6A-67776F7E1880}"/>
    <cellStyle name="Percent 8 17" xfId="20860" xr:uid="{0E780E77-9E6C-4F8C-9A28-DEE16D204D93}"/>
    <cellStyle name="Percent 8 18" xfId="22750" xr:uid="{720DDA95-48A5-4E0A-97D3-2D5E6053DB05}"/>
    <cellStyle name="Percent 8 19" xfId="24640" xr:uid="{5472471C-E185-424F-BB68-8BDDC06B2CA7}"/>
    <cellStyle name="Percent 8 2" xfId="175" xr:uid="{CFE4A623-0EA9-4C21-9E41-6A069A282052}"/>
    <cellStyle name="Percent 8 2 10" xfId="9625" xr:uid="{A152DC07-3A3F-4D50-ACC7-201B4F6E7B74}"/>
    <cellStyle name="Percent 8 2 11" xfId="11515" xr:uid="{620DF503-AA26-4AFE-A980-E7B63E0737E8}"/>
    <cellStyle name="Percent 8 2 12" xfId="13405" xr:uid="{4B53CD22-7D35-4D68-B265-6E459CD34964}"/>
    <cellStyle name="Percent 8 2 13" xfId="15295" xr:uid="{EA3F9420-ADA4-423A-9AD4-84E9A8A2A8B9}"/>
    <cellStyle name="Percent 8 2 14" xfId="17185" xr:uid="{A1ED3629-6306-405A-8FD1-4870906CCEB6}"/>
    <cellStyle name="Percent 8 2 15" xfId="19075" xr:uid="{90E26DB0-BDCE-483D-8418-050424EC98C5}"/>
    <cellStyle name="Percent 8 2 16" xfId="20965" xr:uid="{80D87AA3-87CB-40E3-A339-8795705BA540}"/>
    <cellStyle name="Percent 8 2 17" xfId="22855" xr:uid="{921CA1AF-4910-4638-9392-7B725BA11411}"/>
    <cellStyle name="Percent 8 2 18" xfId="24745" xr:uid="{BA1A172D-82BE-4304-A96D-B9A24227F5B8}"/>
    <cellStyle name="Percent 8 2 19" xfId="26635" xr:uid="{B273FBE9-B905-4183-A190-F4C1A91A4FE3}"/>
    <cellStyle name="Percent 8 2 2" xfId="385" xr:uid="{9B3EDD68-DD62-40EB-ACA1-E2DA585F4CE9}"/>
    <cellStyle name="Percent 8 2 2 10" xfId="13615" xr:uid="{657F088C-647D-4C08-BE38-D90B1796DD63}"/>
    <cellStyle name="Percent 8 2 2 11" xfId="15505" xr:uid="{58BE8D26-6668-4CB2-B290-85990375F98D}"/>
    <cellStyle name="Percent 8 2 2 12" xfId="17395" xr:uid="{11EC631F-C2B3-4EEC-9816-5816976D069D}"/>
    <cellStyle name="Percent 8 2 2 13" xfId="19285" xr:uid="{9EF54CD0-BB9A-4293-AA07-00EB329D3FEF}"/>
    <cellStyle name="Percent 8 2 2 14" xfId="21175" xr:uid="{1D4ACFAB-44C3-4E2E-9538-576BE6D93A9F}"/>
    <cellStyle name="Percent 8 2 2 15" xfId="23065" xr:uid="{7D66FA3F-5B86-4854-BA60-A09B0A12B9D8}"/>
    <cellStyle name="Percent 8 2 2 16" xfId="24955" xr:uid="{B0EE91C7-E90C-497D-B801-2C3C21522097}"/>
    <cellStyle name="Percent 8 2 2 17" xfId="26845" xr:uid="{D85F7017-36EB-47E3-95C4-EA2BD0468F1B}"/>
    <cellStyle name="Percent 8 2 2 18" xfId="28735" xr:uid="{2B4F95C8-AE20-4D17-A5F9-DBD8D237FAE7}"/>
    <cellStyle name="Percent 8 2 2 19" xfId="30625" xr:uid="{7F17995A-119C-4024-8ED3-32296F39C83F}"/>
    <cellStyle name="Percent 8 2 2 2" xfId="1015" xr:uid="{A4692C6E-0D7F-4597-AB1D-C7BD7E35A000}"/>
    <cellStyle name="Percent 8 2 2 2 10" xfId="18025" xr:uid="{1135C74E-C4CC-4A6A-81F1-10F91CAC9EEE}"/>
    <cellStyle name="Percent 8 2 2 2 11" xfId="19915" xr:uid="{95C66864-77BB-4DFC-B99D-C98F675420B1}"/>
    <cellStyle name="Percent 8 2 2 2 12" xfId="21805" xr:uid="{99717645-88A2-4CF7-B364-C2274E6BBF95}"/>
    <cellStyle name="Percent 8 2 2 2 13" xfId="23695" xr:uid="{1CD7BBF2-AC0F-49E8-956D-C9810FF70FDD}"/>
    <cellStyle name="Percent 8 2 2 2 14" xfId="25585" xr:uid="{2A9D33FE-9A98-4EA9-B818-6B3732D7DAB8}"/>
    <cellStyle name="Percent 8 2 2 2 15" xfId="27475" xr:uid="{F960DFF2-3DF1-4ACB-BCAA-3E7B9EC71A29}"/>
    <cellStyle name="Percent 8 2 2 2 16" xfId="29365" xr:uid="{1E18B18F-3694-408B-81D1-D120AAA4B91F}"/>
    <cellStyle name="Percent 8 2 2 2 17" xfId="31255" xr:uid="{93DF0509-225E-489D-8232-A9EB952C8E33}"/>
    <cellStyle name="Percent 8 2 2 2 18" xfId="33145" xr:uid="{7BA70389-4011-48E1-AD26-CB9F75BA97D4}"/>
    <cellStyle name="Percent 8 2 2 2 19" xfId="35035" xr:uid="{667BC3A8-F4E1-43C1-8EC6-261185F26B17}"/>
    <cellStyle name="Percent 8 2 2 2 2" xfId="2905" xr:uid="{95B3A223-84F1-4850-9F3A-CF9DCB38DF46}"/>
    <cellStyle name="Percent 8 2 2 2 20" xfId="36925" xr:uid="{626F95C2-0FC4-4025-8C86-F968D9E3D0BB}"/>
    <cellStyle name="Percent 8 2 2 2 21" xfId="38815" xr:uid="{2276B799-2B44-448F-BA5A-6203F487F683}"/>
    <cellStyle name="Percent 8 2 2 2 22" xfId="40706" xr:uid="{D0245F05-D143-4CC7-8C7F-87D18F30C789}"/>
    <cellStyle name="Percent 8 2 2 2 3" xfId="4795" xr:uid="{AD1EFB04-1F1C-4099-9505-4EFC625F0606}"/>
    <cellStyle name="Percent 8 2 2 2 4" xfId="6685" xr:uid="{6A628C51-8534-4427-8B90-F40CCF3FBA92}"/>
    <cellStyle name="Percent 8 2 2 2 5" xfId="8575" xr:uid="{3FF39FD9-853F-4757-AE54-DDCC08EE8D0A}"/>
    <cellStyle name="Percent 8 2 2 2 6" xfId="10465" xr:uid="{082613AC-019A-4C21-895E-9F7FC0167C8C}"/>
    <cellStyle name="Percent 8 2 2 2 7" xfId="12355" xr:uid="{812CC280-D1D7-476F-91F5-3E143882EC22}"/>
    <cellStyle name="Percent 8 2 2 2 8" xfId="14245" xr:uid="{7599C22D-9C68-49FA-A5C4-2093800FF2B5}"/>
    <cellStyle name="Percent 8 2 2 2 9" xfId="16135" xr:uid="{D76FA867-E415-42B9-874C-C0CE27675B3D}"/>
    <cellStyle name="Percent 8 2 2 20" xfId="32515" xr:uid="{F9B6A764-7671-4C08-A65B-C12023998ECE}"/>
    <cellStyle name="Percent 8 2 2 21" xfId="34405" xr:uid="{B3EEFBB2-7C78-47E6-9A9C-5F4BBEBED36C}"/>
    <cellStyle name="Percent 8 2 2 22" xfId="36295" xr:uid="{4C7E7548-670E-4DB6-A159-2F666BDA108D}"/>
    <cellStyle name="Percent 8 2 2 23" xfId="38185" xr:uid="{2F735717-A240-4D64-BD32-E2C9A0A3E1E6}"/>
    <cellStyle name="Percent 8 2 2 24" xfId="40076" xr:uid="{DBAFF4FF-5F08-4AD5-9161-36E7EBB5614F}"/>
    <cellStyle name="Percent 8 2 2 3" xfId="1645" xr:uid="{92628CE1-A1F3-4621-9A73-FECD41BDF1E4}"/>
    <cellStyle name="Percent 8 2 2 3 10" xfId="18655" xr:uid="{88C52BDE-D7EF-416C-B174-0D1D561AFB0E}"/>
    <cellStyle name="Percent 8 2 2 3 11" xfId="20545" xr:uid="{21759120-27E4-43FB-919A-F3BB98FC1E69}"/>
    <cellStyle name="Percent 8 2 2 3 12" xfId="22435" xr:uid="{8ECD8450-7B19-490A-BE99-AAFB3639671B}"/>
    <cellStyle name="Percent 8 2 2 3 13" xfId="24325" xr:uid="{D04D4077-497E-4BD9-B178-5F76A6D1FBAC}"/>
    <cellStyle name="Percent 8 2 2 3 14" xfId="26215" xr:uid="{CA0EFD51-8E9A-4319-A676-B34363CDD10F}"/>
    <cellStyle name="Percent 8 2 2 3 15" xfId="28105" xr:uid="{3359A740-0EE3-4A43-8085-A50FBAB3A733}"/>
    <cellStyle name="Percent 8 2 2 3 16" xfId="29995" xr:uid="{EF631837-3C42-41E7-8FB5-18EEDC78E78A}"/>
    <cellStyle name="Percent 8 2 2 3 17" xfId="31885" xr:uid="{ECA93190-104F-4776-904F-774044E3F293}"/>
    <cellStyle name="Percent 8 2 2 3 18" xfId="33775" xr:uid="{6C930FC0-E957-4A05-A1D1-B2111ABB3571}"/>
    <cellStyle name="Percent 8 2 2 3 19" xfId="35665" xr:uid="{CAF798CF-6CA7-448F-A389-7C89D8879A40}"/>
    <cellStyle name="Percent 8 2 2 3 2" xfId="3535" xr:uid="{E3725C53-1AAD-48E8-A9B8-8A6BE9ABAA74}"/>
    <cellStyle name="Percent 8 2 2 3 20" xfId="37555" xr:uid="{E14DABCA-D36F-40C1-A115-D0C01ECA0D75}"/>
    <cellStyle name="Percent 8 2 2 3 21" xfId="39445" xr:uid="{A171840D-90D2-436C-BE19-7FD7A8EF7044}"/>
    <cellStyle name="Percent 8 2 2 3 22" xfId="41336" xr:uid="{2677C4B9-530E-42B6-8EDE-FEDD12BC2521}"/>
    <cellStyle name="Percent 8 2 2 3 3" xfId="5425" xr:uid="{FF4AF627-7F82-4ED4-BDFA-894C7D7E59FA}"/>
    <cellStyle name="Percent 8 2 2 3 4" xfId="7315" xr:uid="{9D341E8C-94D0-4567-8F2F-68D0DF3DA09C}"/>
    <cellStyle name="Percent 8 2 2 3 5" xfId="9205" xr:uid="{7DAA0AE1-81A3-4D8B-B8E8-39510327D358}"/>
    <cellStyle name="Percent 8 2 2 3 6" xfId="11095" xr:uid="{0CA57CED-7E9B-4909-81C8-6176F709FDA8}"/>
    <cellStyle name="Percent 8 2 2 3 7" xfId="12985" xr:uid="{518D8329-713B-46E1-8523-12C1D079B039}"/>
    <cellStyle name="Percent 8 2 2 3 8" xfId="14875" xr:uid="{BF3656D6-36B5-40E8-B160-99DC174FB0B1}"/>
    <cellStyle name="Percent 8 2 2 3 9" xfId="16765" xr:uid="{D7D8CE86-2D6A-43C2-91A1-6683F76188AC}"/>
    <cellStyle name="Percent 8 2 2 4" xfId="2275" xr:uid="{53C7D00D-E99B-4BFC-9606-1CA768AA79D4}"/>
    <cellStyle name="Percent 8 2 2 5" xfId="4165" xr:uid="{DB777638-B0BC-4B63-B41D-69069C526D54}"/>
    <cellStyle name="Percent 8 2 2 6" xfId="6055" xr:uid="{3F58DD1D-C51A-4D24-A037-5E5401CCF76C}"/>
    <cellStyle name="Percent 8 2 2 7" xfId="7945" xr:uid="{4BBBE6AB-83AC-4A02-97BD-C52CF9D3E8B6}"/>
    <cellStyle name="Percent 8 2 2 8" xfId="9835" xr:uid="{2D35C2B9-51E0-4B07-AA99-52984EE43E12}"/>
    <cellStyle name="Percent 8 2 2 9" xfId="11725" xr:uid="{3D117969-606C-462C-908A-AADFFE53FCE2}"/>
    <cellStyle name="Percent 8 2 20" xfId="28525" xr:uid="{D2545FB7-58D9-44F0-BA73-2AA677FDD83E}"/>
    <cellStyle name="Percent 8 2 21" xfId="30415" xr:uid="{7B1E30A3-9825-4736-8208-76D70889B3B2}"/>
    <cellStyle name="Percent 8 2 22" xfId="32305" xr:uid="{5A47015A-936F-4AF9-AF7A-03F8F472475D}"/>
    <cellStyle name="Percent 8 2 23" xfId="34195" xr:uid="{FC64DDAE-3DC0-41BA-829E-77C37065D4ED}"/>
    <cellStyle name="Percent 8 2 24" xfId="36085" xr:uid="{F3F45928-0317-4140-BD6F-827B66E27F0E}"/>
    <cellStyle name="Percent 8 2 25" xfId="37975" xr:uid="{04D83AE0-65F2-4916-825C-8EFB7843A171}"/>
    <cellStyle name="Percent 8 2 26" xfId="39866" xr:uid="{00D1084A-B042-4087-8594-52CEB1C5ED57}"/>
    <cellStyle name="Percent 8 2 3" xfId="595" xr:uid="{08ECAC13-EE28-45AE-BFA8-DEC44818229D}"/>
    <cellStyle name="Percent 8 2 3 10" xfId="13825" xr:uid="{41FDCD8F-C6D3-476A-9FE9-AACA018D9827}"/>
    <cellStyle name="Percent 8 2 3 11" xfId="15715" xr:uid="{010E724E-76E7-49AA-AD4D-B150115B8DAB}"/>
    <cellStyle name="Percent 8 2 3 12" xfId="17605" xr:uid="{A5D39E8D-B239-4C57-93C0-7418F5A536B9}"/>
    <cellStyle name="Percent 8 2 3 13" xfId="19495" xr:uid="{33355881-E929-4F33-BBAA-6FB07F63C599}"/>
    <cellStyle name="Percent 8 2 3 14" xfId="21385" xr:uid="{27B8121A-3EB1-4275-A5B3-6B77E17168C3}"/>
    <cellStyle name="Percent 8 2 3 15" xfId="23275" xr:uid="{70E526A3-8F80-4CBF-9377-D458BC328348}"/>
    <cellStyle name="Percent 8 2 3 16" xfId="25165" xr:uid="{C5D92781-BFFB-4DD5-B6C3-19202980CC10}"/>
    <cellStyle name="Percent 8 2 3 17" xfId="27055" xr:uid="{D5B94951-D629-431C-A8A7-FAB144706E76}"/>
    <cellStyle name="Percent 8 2 3 18" xfId="28945" xr:uid="{2BE02956-06FA-4695-BF04-71F6D1D245B9}"/>
    <cellStyle name="Percent 8 2 3 19" xfId="30835" xr:uid="{A92F9A07-9A32-4530-AD04-FFAEA85B2348}"/>
    <cellStyle name="Percent 8 2 3 2" xfId="1225" xr:uid="{25694632-426E-400B-B89E-D49893917B4A}"/>
    <cellStyle name="Percent 8 2 3 2 10" xfId="18235" xr:uid="{FD3B9458-CD46-4272-B4A6-99D64461E538}"/>
    <cellStyle name="Percent 8 2 3 2 11" xfId="20125" xr:uid="{48C6B86E-1CDD-401B-A0CE-F392BFD89E1B}"/>
    <cellStyle name="Percent 8 2 3 2 12" xfId="22015" xr:uid="{3E537A7A-316B-4334-8804-CA738B6F57C0}"/>
    <cellStyle name="Percent 8 2 3 2 13" xfId="23905" xr:uid="{8A731D1D-0EAD-4C9C-A214-98310CF80F1E}"/>
    <cellStyle name="Percent 8 2 3 2 14" xfId="25795" xr:uid="{5DBB6D9F-841A-4B9A-B296-B10E39E2B383}"/>
    <cellStyle name="Percent 8 2 3 2 15" xfId="27685" xr:uid="{1A22A99B-8330-4357-BFBD-7FF78A19DA6C}"/>
    <cellStyle name="Percent 8 2 3 2 16" xfId="29575" xr:uid="{B452E77A-E677-4FC8-8F48-56A95CAF5013}"/>
    <cellStyle name="Percent 8 2 3 2 17" xfId="31465" xr:uid="{53CDE9E3-2197-4320-8C42-9AF25309058A}"/>
    <cellStyle name="Percent 8 2 3 2 18" xfId="33355" xr:uid="{F92AB81B-FF9E-4EE7-BF16-40F4A2372C5A}"/>
    <cellStyle name="Percent 8 2 3 2 19" xfId="35245" xr:uid="{E5C9F7CD-E59E-423A-B9ED-E0D6860D5DD6}"/>
    <cellStyle name="Percent 8 2 3 2 2" xfId="3115" xr:uid="{66233C8E-419E-4719-8E2C-BE9F02E8510D}"/>
    <cellStyle name="Percent 8 2 3 2 20" xfId="37135" xr:uid="{BCA5A3ED-519D-43A5-AD58-C3A9C7FAC995}"/>
    <cellStyle name="Percent 8 2 3 2 21" xfId="39025" xr:uid="{B0B7B2B2-1F38-4D77-9627-029F67331A9C}"/>
    <cellStyle name="Percent 8 2 3 2 22" xfId="40916" xr:uid="{B8EB48D9-5D45-4679-AAAB-E96B4955E3F5}"/>
    <cellStyle name="Percent 8 2 3 2 3" xfId="5005" xr:uid="{EC6B80F9-D7B0-4CE2-9F69-1C9C17153776}"/>
    <cellStyle name="Percent 8 2 3 2 4" xfId="6895" xr:uid="{737640E4-9E43-4887-BB03-66E73D621BF1}"/>
    <cellStyle name="Percent 8 2 3 2 5" xfId="8785" xr:uid="{E53CD6A7-22C5-4A7C-94A3-34863DB0EAA7}"/>
    <cellStyle name="Percent 8 2 3 2 6" xfId="10675" xr:uid="{023935A6-3D76-4B8E-8865-084A35D21F77}"/>
    <cellStyle name="Percent 8 2 3 2 7" xfId="12565" xr:uid="{0D4989B4-C1BA-42F3-A179-63F8B6B8F835}"/>
    <cellStyle name="Percent 8 2 3 2 8" xfId="14455" xr:uid="{3D6840B2-2A19-4128-A8E0-251EAA6D282A}"/>
    <cellStyle name="Percent 8 2 3 2 9" xfId="16345" xr:uid="{2908EE5A-6729-4D89-82A1-211F01FF62AC}"/>
    <cellStyle name="Percent 8 2 3 20" xfId="32725" xr:uid="{4181416D-58CA-42E5-BB1F-8605814F767C}"/>
    <cellStyle name="Percent 8 2 3 21" xfId="34615" xr:uid="{CE1F828A-4A9C-458D-B007-48E595B24125}"/>
    <cellStyle name="Percent 8 2 3 22" xfId="36505" xr:uid="{AADEF771-30B6-428B-B780-A765AE5AA05C}"/>
    <cellStyle name="Percent 8 2 3 23" xfId="38395" xr:uid="{3ECC1724-24F6-4FCB-BC2F-00E522602EA1}"/>
    <cellStyle name="Percent 8 2 3 24" xfId="40286" xr:uid="{2DE1D5BE-FC27-4967-AF17-06A4C477E784}"/>
    <cellStyle name="Percent 8 2 3 3" xfId="1855" xr:uid="{A430801A-4B8A-4C37-8E04-5111136293CB}"/>
    <cellStyle name="Percent 8 2 3 3 10" xfId="18865" xr:uid="{DCF22E3B-B69C-4E66-89CE-4145893D03C5}"/>
    <cellStyle name="Percent 8 2 3 3 11" xfId="20755" xr:uid="{AFE7130E-9D16-4096-A760-C42D455EB428}"/>
    <cellStyle name="Percent 8 2 3 3 12" xfId="22645" xr:uid="{14592C81-F85D-48BB-B661-4F8D8E0E599E}"/>
    <cellStyle name="Percent 8 2 3 3 13" xfId="24535" xr:uid="{039354A2-3ED1-4B7B-838C-36FA6E8BFFA1}"/>
    <cellStyle name="Percent 8 2 3 3 14" xfId="26425" xr:uid="{6F6F9248-4204-46E3-8ABC-F0FF56EC8404}"/>
    <cellStyle name="Percent 8 2 3 3 15" xfId="28315" xr:uid="{B4D8167B-90B4-43C6-82B2-5A65EFC17EE9}"/>
    <cellStyle name="Percent 8 2 3 3 16" xfId="30205" xr:uid="{CD5990E9-7264-46EF-A1A7-FD3C4F4F3011}"/>
    <cellStyle name="Percent 8 2 3 3 17" xfId="32095" xr:uid="{A9B58930-C87A-4773-8058-528A83F5ABCC}"/>
    <cellStyle name="Percent 8 2 3 3 18" xfId="33985" xr:uid="{57678C8C-4475-4463-8A6E-D9256E980D43}"/>
    <cellStyle name="Percent 8 2 3 3 19" xfId="35875" xr:uid="{C4993498-17D7-4072-AC25-CA23725A9F26}"/>
    <cellStyle name="Percent 8 2 3 3 2" xfId="3745" xr:uid="{98CA0B0F-87A4-41ED-AC26-58BFB7B694D5}"/>
    <cellStyle name="Percent 8 2 3 3 20" xfId="37765" xr:uid="{A223B0E4-F31B-4EFA-ABF2-835139AAF74C}"/>
    <cellStyle name="Percent 8 2 3 3 21" xfId="39655" xr:uid="{8C20BBAC-4440-41C9-89AD-D284C409B85F}"/>
    <cellStyle name="Percent 8 2 3 3 22" xfId="41546" xr:uid="{E32E258D-7A20-4037-B6D2-4E9C566314FA}"/>
    <cellStyle name="Percent 8 2 3 3 3" xfId="5635" xr:uid="{3079806C-CB00-4900-B0E6-E7FC0ABF4B0A}"/>
    <cellStyle name="Percent 8 2 3 3 4" xfId="7525" xr:uid="{BECF51B8-02F1-4BF5-8967-6AF761FED34D}"/>
    <cellStyle name="Percent 8 2 3 3 5" xfId="9415" xr:uid="{6C15747C-6A29-4681-A1AF-8D9F5865F025}"/>
    <cellStyle name="Percent 8 2 3 3 6" xfId="11305" xr:uid="{D70B5617-6073-40D5-9DBA-5E3183EA461E}"/>
    <cellStyle name="Percent 8 2 3 3 7" xfId="13195" xr:uid="{3215D693-3114-43D5-9492-57AFFD886631}"/>
    <cellStyle name="Percent 8 2 3 3 8" xfId="15085" xr:uid="{8DBEB316-D118-47BA-8885-F00FA7C6E10C}"/>
    <cellStyle name="Percent 8 2 3 3 9" xfId="16975" xr:uid="{E320D428-BAF9-49CE-945B-AC6DC4A8AADC}"/>
    <cellStyle name="Percent 8 2 3 4" xfId="2485" xr:uid="{B230FE50-7774-45AA-83D8-B0974D972655}"/>
    <cellStyle name="Percent 8 2 3 5" xfId="4375" xr:uid="{D7011955-4135-45F6-BABC-92B3FBD6481D}"/>
    <cellStyle name="Percent 8 2 3 6" xfId="6265" xr:uid="{524D8464-A575-4935-BFB9-1FF24DD7AD4C}"/>
    <cellStyle name="Percent 8 2 3 7" xfId="8155" xr:uid="{B6C7A297-1A48-4EF9-8C91-26C54531F8E6}"/>
    <cellStyle name="Percent 8 2 3 8" xfId="10045" xr:uid="{769B7E88-5C6C-4EDD-B988-1D268E98B114}"/>
    <cellStyle name="Percent 8 2 3 9" xfId="11935" xr:uid="{11111137-33D9-4AFB-8069-2416F7751107}"/>
    <cellStyle name="Percent 8 2 4" xfId="805" xr:uid="{25FAF4D6-1757-4C80-8432-40DC862758F1}"/>
    <cellStyle name="Percent 8 2 4 10" xfId="17815" xr:uid="{DB37DA20-C216-4D33-9387-743A5154B5DA}"/>
    <cellStyle name="Percent 8 2 4 11" xfId="19705" xr:uid="{F7BF51F5-D1E1-49D9-B9AE-B3BF4C1DB48A}"/>
    <cellStyle name="Percent 8 2 4 12" xfId="21595" xr:uid="{ACABA9B2-76B4-4B41-90E7-328219FB3569}"/>
    <cellStyle name="Percent 8 2 4 13" xfId="23485" xr:uid="{3CDAA95C-B48A-46C4-8464-954013A87B76}"/>
    <cellStyle name="Percent 8 2 4 14" xfId="25375" xr:uid="{D4C136B2-8B0F-4ADA-902E-2F11158196A3}"/>
    <cellStyle name="Percent 8 2 4 15" xfId="27265" xr:uid="{3C179E4D-C648-42CE-9D78-C25605C77E28}"/>
    <cellStyle name="Percent 8 2 4 16" xfId="29155" xr:uid="{91032A08-24A2-4F3A-BB9D-8DA9AF5078DA}"/>
    <cellStyle name="Percent 8 2 4 17" xfId="31045" xr:uid="{5AB62C68-D370-477E-B40D-9BC28383DCD9}"/>
    <cellStyle name="Percent 8 2 4 18" xfId="32935" xr:uid="{FF97A8C0-61F3-43B9-9DCD-B455A9F29E33}"/>
    <cellStyle name="Percent 8 2 4 19" xfId="34825" xr:uid="{42765569-7A3A-4531-AA47-1B9CA65AE2AE}"/>
    <cellStyle name="Percent 8 2 4 2" xfId="2695" xr:uid="{D0F52F5A-5C56-4603-956E-979CF4A6F54D}"/>
    <cellStyle name="Percent 8 2 4 20" xfId="36715" xr:uid="{A2930926-B6C2-407F-960A-74C24E6CD656}"/>
    <cellStyle name="Percent 8 2 4 21" xfId="38605" xr:uid="{E4719822-C6AD-473D-A6F6-D48EAAF3533D}"/>
    <cellStyle name="Percent 8 2 4 22" xfId="40496" xr:uid="{CDFD7AC7-73DD-45D3-9F86-8B91B744D13C}"/>
    <cellStyle name="Percent 8 2 4 3" xfId="4585" xr:uid="{6AECDAE8-D93A-4B8D-8DE7-395DDDA3C549}"/>
    <cellStyle name="Percent 8 2 4 4" xfId="6475" xr:uid="{C2A23F1A-AD1B-4305-8C89-1AD40917A00B}"/>
    <cellStyle name="Percent 8 2 4 5" xfId="8365" xr:uid="{752CF8D2-E1B7-4C17-AD7E-C48D2A3546FC}"/>
    <cellStyle name="Percent 8 2 4 6" xfId="10255" xr:uid="{E7FFD662-C62C-4204-BC64-592546308E1E}"/>
    <cellStyle name="Percent 8 2 4 7" xfId="12145" xr:uid="{66C6B944-1547-4C0E-8C85-D714DF1EDE1B}"/>
    <cellStyle name="Percent 8 2 4 8" xfId="14035" xr:uid="{75D0E1A8-3A97-4B3D-B6FF-845A5130CCD7}"/>
    <cellStyle name="Percent 8 2 4 9" xfId="15925" xr:uid="{9BCE7D2E-BDF6-4964-BFEE-18485E9B6427}"/>
    <cellStyle name="Percent 8 2 5" xfId="1435" xr:uid="{DAE8E3A4-C30D-43CA-AEE3-92CAF5D35537}"/>
    <cellStyle name="Percent 8 2 5 10" xfId="18445" xr:uid="{2CBFA312-E9C6-4006-BFBA-5CAD7CA802ED}"/>
    <cellStyle name="Percent 8 2 5 11" xfId="20335" xr:uid="{F9ACF278-0244-4EEB-9AA2-BA26801964C0}"/>
    <cellStyle name="Percent 8 2 5 12" xfId="22225" xr:uid="{7273C198-126F-4B06-AA77-8DDA279CD850}"/>
    <cellStyle name="Percent 8 2 5 13" xfId="24115" xr:uid="{45505CCF-4193-40EF-B77D-6D7A85A22365}"/>
    <cellStyle name="Percent 8 2 5 14" xfId="26005" xr:uid="{7582AC3C-CE70-47FE-BB68-84DA8C58ED11}"/>
    <cellStyle name="Percent 8 2 5 15" xfId="27895" xr:uid="{ADF565E2-2B7C-4791-BADE-54BE0222CF6C}"/>
    <cellStyle name="Percent 8 2 5 16" xfId="29785" xr:uid="{86BB946B-2ADA-435A-B44A-65BC589A8663}"/>
    <cellStyle name="Percent 8 2 5 17" xfId="31675" xr:uid="{D4B4800A-9C6D-4EB2-897A-D3367A67CEE3}"/>
    <cellStyle name="Percent 8 2 5 18" xfId="33565" xr:uid="{53B38090-5A7E-4476-A146-CF0248E0F919}"/>
    <cellStyle name="Percent 8 2 5 19" xfId="35455" xr:uid="{C1EB0263-0392-47F2-9A04-96A81333EB42}"/>
    <cellStyle name="Percent 8 2 5 2" xfId="3325" xr:uid="{4433D7CE-1770-4E47-B92D-EC7FCE09A717}"/>
    <cellStyle name="Percent 8 2 5 20" xfId="37345" xr:uid="{08B828E2-4608-486E-967D-DD656D7A1AC8}"/>
    <cellStyle name="Percent 8 2 5 21" xfId="39235" xr:uid="{D3C925AD-8525-460B-BA0B-B69065A4AF5A}"/>
    <cellStyle name="Percent 8 2 5 22" xfId="41126" xr:uid="{7C4914AC-BD5A-4283-A0A8-6F08F9FB5204}"/>
    <cellStyle name="Percent 8 2 5 3" xfId="5215" xr:uid="{56D4D06D-457D-4F38-B9C1-569AEC748129}"/>
    <cellStyle name="Percent 8 2 5 4" xfId="7105" xr:uid="{7E3BBE4B-27AD-45EF-AEBE-D0D5D3A6E970}"/>
    <cellStyle name="Percent 8 2 5 5" xfId="8995" xr:uid="{64A82CB4-E932-4068-951D-1FBCF5C23CA4}"/>
    <cellStyle name="Percent 8 2 5 6" xfId="10885" xr:uid="{72003EF9-E5E6-4289-914C-7886B369BB81}"/>
    <cellStyle name="Percent 8 2 5 7" xfId="12775" xr:uid="{69F09C23-720D-4174-9782-80920FD0E6EC}"/>
    <cellStyle name="Percent 8 2 5 8" xfId="14665" xr:uid="{9B4EB2EE-B29E-466B-AB17-831D48DD3F19}"/>
    <cellStyle name="Percent 8 2 5 9" xfId="16555" xr:uid="{189B4E4F-2460-4534-8939-8F17116850B4}"/>
    <cellStyle name="Percent 8 2 6" xfId="2065" xr:uid="{75340DA4-C3BB-43E1-AD28-67DA4F7D26B5}"/>
    <cellStyle name="Percent 8 2 7" xfId="3955" xr:uid="{1EFBEBE2-3F3E-4051-A47A-B528EEC6EB22}"/>
    <cellStyle name="Percent 8 2 8" xfId="5845" xr:uid="{9F6A2C98-F798-4CCF-AC54-077C6BBF0B07}"/>
    <cellStyle name="Percent 8 2 9" xfId="7735" xr:uid="{A363A846-A165-4F93-B6CF-CAB59657E234}"/>
    <cellStyle name="Percent 8 20" xfId="26530" xr:uid="{3A029272-9DAD-444C-9A50-15FD5541FA96}"/>
    <cellStyle name="Percent 8 21" xfId="28420" xr:uid="{D41BCAFB-4501-43CF-B0C7-FA16FFF541C3}"/>
    <cellStyle name="Percent 8 22" xfId="30310" xr:uid="{13A482E4-C73F-46F8-AECD-2BFE2AA98A22}"/>
    <cellStyle name="Percent 8 23" xfId="32200" xr:uid="{03D7BE04-B715-4DB0-92CC-729CF839CABC}"/>
    <cellStyle name="Percent 8 24" xfId="34090" xr:uid="{CAEB8779-B336-45FF-8C0F-2613FB37B827}"/>
    <cellStyle name="Percent 8 25" xfId="35980" xr:uid="{3634D63D-91A9-4B9D-BFC0-514D77BF5840}"/>
    <cellStyle name="Percent 8 26" xfId="37870" xr:uid="{A1DB28C4-4F4A-4F8D-BF68-88CB3BA62E51}"/>
    <cellStyle name="Percent 8 27" xfId="39761" xr:uid="{C823AE59-6084-4E66-B5A9-572A2FFF07F7}"/>
    <cellStyle name="Percent 8 3" xfId="280" xr:uid="{1D21E846-1060-4C49-BEC4-320EEB9055D2}"/>
    <cellStyle name="Percent 8 3 10" xfId="13510" xr:uid="{E237AD73-A80A-44DD-B73E-558A32282E24}"/>
    <cellStyle name="Percent 8 3 11" xfId="15400" xr:uid="{D017FF33-A7C7-4D92-92FB-8441A6FA7B7C}"/>
    <cellStyle name="Percent 8 3 12" xfId="17290" xr:uid="{3497966C-16F0-42EE-84C4-A63D94A2EB31}"/>
    <cellStyle name="Percent 8 3 13" xfId="19180" xr:uid="{ABDCCB32-CF47-427A-9863-680A8133DF38}"/>
    <cellStyle name="Percent 8 3 14" xfId="21070" xr:uid="{46CFC9F7-F814-4BE1-8D3C-E97E8F471D71}"/>
    <cellStyle name="Percent 8 3 15" xfId="22960" xr:uid="{5AA48D13-BD8D-4C45-A6D4-6B72D835DC79}"/>
    <cellStyle name="Percent 8 3 16" xfId="24850" xr:uid="{16D0EB65-06CE-4366-BD23-9CFA037AB8FF}"/>
    <cellStyle name="Percent 8 3 17" xfId="26740" xr:uid="{2205783F-C099-4BFD-8058-451EBF911CD5}"/>
    <cellStyle name="Percent 8 3 18" xfId="28630" xr:uid="{3E369FCC-D150-4D9F-ACC6-1EB8DBAB1C8C}"/>
    <cellStyle name="Percent 8 3 19" xfId="30520" xr:uid="{842CA108-3C46-4315-B006-9758F1635217}"/>
    <cellStyle name="Percent 8 3 2" xfId="910" xr:uid="{5EA10359-5B0D-47BE-96F7-73D0D8E5EB11}"/>
    <cellStyle name="Percent 8 3 2 10" xfId="17920" xr:uid="{91948BAD-8C57-45CA-A52C-9D3438161DE1}"/>
    <cellStyle name="Percent 8 3 2 11" xfId="19810" xr:uid="{48933596-DB45-4D67-A055-09AF3EC44556}"/>
    <cellStyle name="Percent 8 3 2 12" xfId="21700" xr:uid="{DA02A61F-A18F-4373-A206-88DE0F1EEE6E}"/>
    <cellStyle name="Percent 8 3 2 13" xfId="23590" xr:uid="{5BADA3EF-5F6F-41A8-A1EC-7644BDC54820}"/>
    <cellStyle name="Percent 8 3 2 14" xfId="25480" xr:uid="{1E65D433-67CF-4703-A474-A1AEECC90F00}"/>
    <cellStyle name="Percent 8 3 2 15" xfId="27370" xr:uid="{8CD28DE3-A143-41F6-BD76-3E583D38C9DD}"/>
    <cellStyle name="Percent 8 3 2 16" xfId="29260" xr:uid="{087AF80A-D25B-4C71-9E70-63B034820245}"/>
    <cellStyle name="Percent 8 3 2 17" xfId="31150" xr:uid="{C259D3FB-CDB6-4719-8986-D1CB85C328D2}"/>
    <cellStyle name="Percent 8 3 2 18" xfId="33040" xr:uid="{A28BBE35-ADB8-4C32-9690-A1A9A1A9D0D1}"/>
    <cellStyle name="Percent 8 3 2 19" xfId="34930" xr:uid="{3066A2B9-96E9-4D19-A75B-9DE76F2AD001}"/>
    <cellStyle name="Percent 8 3 2 2" xfId="2800" xr:uid="{386B9F2F-A562-4E5F-9790-DDF7E2C98B00}"/>
    <cellStyle name="Percent 8 3 2 20" xfId="36820" xr:uid="{C5301BE3-1F74-42EC-80C3-5FB6361CE993}"/>
    <cellStyle name="Percent 8 3 2 21" xfId="38710" xr:uid="{01775127-E56B-49E3-9367-0806D0E752F5}"/>
    <cellStyle name="Percent 8 3 2 22" xfId="40601" xr:uid="{D47F3A3E-73D3-43EF-8AEE-B146C8C52D67}"/>
    <cellStyle name="Percent 8 3 2 3" xfId="4690" xr:uid="{C26671A2-0220-40BE-B0B0-D5E75804E441}"/>
    <cellStyle name="Percent 8 3 2 4" xfId="6580" xr:uid="{92F2B094-9111-43CA-B8F5-15EA16928634}"/>
    <cellStyle name="Percent 8 3 2 5" xfId="8470" xr:uid="{49A1403E-D714-4C0A-9A10-45A5169A6969}"/>
    <cellStyle name="Percent 8 3 2 6" xfId="10360" xr:uid="{F94BE3A5-6AE5-4D69-B1D7-3AB587D1D9BA}"/>
    <cellStyle name="Percent 8 3 2 7" xfId="12250" xr:uid="{06040B51-8FAC-41DF-8E8B-195CA8B26632}"/>
    <cellStyle name="Percent 8 3 2 8" xfId="14140" xr:uid="{3B40CB27-D3C1-4A45-B691-0EF40DF1B4B5}"/>
    <cellStyle name="Percent 8 3 2 9" xfId="16030" xr:uid="{810189AE-14EB-49DD-B324-9014C2E28B5C}"/>
    <cellStyle name="Percent 8 3 20" xfId="32410" xr:uid="{29F6D80A-A26D-41AE-A522-97B5B77B2298}"/>
    <cellStyle name="Percent 8 3 21" xfId="34300" xr:uid="{6C222A0E-E213-4A9D-87B3-EA1620D314BE}"/>
    <cellStyle name="Percent 8 3 22" xfId="36190" xr:uid="{FD851C00-8C8C-404B-BEB4-A0C091D3C5DE}"/>
    <cellStyle name="Percent 8 3 23" xfId="38080" xr:uid="{DF3D2D46-9D49-4FDD-96F1-C4D8269F7042}"/>
    <cellStyle name="Percent 8 3 24" xfId="39971" xr:uid="{A18009D1-B42F-4ADC-A8B1-2EDC267C4C4C}"/>
    <cellStyle name="Percent 8 3 3" xfId="1540" xr:uid="{461B190D-03CE-429D-A98F-991B7CAB88E0}"/>
    <cellStyle name="Percent 8 3 3 10" xfId="18550" xr:uid="{D4B9D28C-0780-4FA9-B438-E2741E976839}"/>
    <cellStyle name="Percent 8 3 3 11" xfId="20440" xr:uid="{E04C83EB-47A4-4AE0-AD6F-BDD6DE364461}"/>
    <cellStyle name="Percent 8 3 3 12" xfId="22330" xr:uid="{C4E65B12-3376-42AA-A360-DE0307B1EEB3}"/>
    <cellStyle name="Percent 8 3 3 13" xfId="24220" xr:uid="{32460511-A70B-4C3D-A226-4EA0B3045EEF}"/>
    <cellStyle name="Percent 8 3 3 14" xfId="26110" xr:uid="{FB48C9F9-D351-4D97-B383-52A4D5CF18C5}"/>
    <cellStyle name="Percent 8 3 3 15" xfId="28000" xr:uid="{56357257-2B59-4DB0-AF8C-E86B98208319}"/>
    <cellStyle name="Percent 8 3 3 16" xfId="29890" xr:uid="{331EA4DA-1649-4FCB-A707-5F5CB20AB822}"/>
    <cellStyle name="Percent 8 3 3 17" xfId="31780" xr:uid="{4C460AE7-7881-47F1-B0F7-5AD888D72D8E}"/>
    <cellStyle name="Percent 8 3 3 18" xfId="33670" xr:uid="{DD77340D-B8FF-45F4-80B1-3BBCE267870F}"/>
    <cellStyle name="Percent 8 3 3 19" xfId="35560" xr:uid="{709F1220-F598-4983-B04A-9879F60AC520}"/>
    <cellStyle name="Percent 8 3 3 2" xfId="3430" xr:uid="{2D956D63-F5DB-4190-B5AE-38D0BD02FC7B}"/>
    <cellStyle name="Percent 8 3 3 20" xfId="37450" xr:uid="{A415D786-4861-48FA-9B40-CD83FCB15E9E}"/>
    <cellStyle name="Percent 8 3 3 21" xfId="39340" xr:uid="{5448B4A4-88BE-4842-A3DD-708CED367F96}"/>
    <cellStyle name="Percent 8 3 3 22" xfId="41231" xr:uid="{B51CE972-6D29-4778-B4DB-5700FBAB3611}"/>
    <cellStyle name="Percent 8 3 3 3" xfId="5320" xr:uid="{9CFA5FD9-773F-4DE9-82B4-84DA16CCB32B}"/>
    <cellStyle name="Percent 8 3 3 4" xfId="7210" xr:uid="{C70979B9-7B1B-424C-8367-F7E582401188}"/>
    <cellStyle name="Percent 8 3 3 5" xfId="9100" xr:uid="{5EE077AC-0C86-48A6-93C4-D09C0A754E45}"/>
    <cellStyle name="Percent 8 3 3 6" xfId="10990" xr:uid="{FFC57A3C-F3FC-4BC6-A016-7377FD4ABCC9}"/>
    <cellStyle name="Percent 8 3 3 7" xfId="12880" xr:uid="{AA468A46-2641-4FA5-9820-C587E68F319B}"/>
    <cellStyle name="Percent 8 3 3 8" xfId="14770" xr:uid="{766E43FA-515A-4A2E-A501-5E85976852AA}"/>
    <cellStyle name="Percent 8 3 3 9" xfId="16660" xr:uid="{61CEA3C0-1CDA-4ACF-8E52-00DD341771AA}"/>
    <cellStyle name="Percent 8 3 4" xfId="2170" xr:uid="{FFD2CB88-862E-4F6A-B42E-AA28F75482A4}"/>
    <cellStyle name="Percent 8 3 5" xfId="4060" xr:uid="{F08EE728-7B0A-4DCB-975A-7974D3180FA8}"/>
    <cellStyle name="Percent 8 3 6" xfId="5950" xr:uid="{DBFBB98E-A460-42E8-A5C7-EBC72F4960B5}"/>
    <cellStyle name="Percent 8 3 7" xfId="7840" xr:uid="{71C9AF39-67A9-46BC-9EFC-E7CE3CEAC27C}"/>
    <cellStyle name="Percent 8 3 8" xfId="9730" xr:uid="{7F35848B-96FE-4619-9016-2CF1D112EF7F}"/>
    <cellStyle name="Percent 8 3 9" xfId="11620" xr:uid="{5ECCABE8-61A5-4E68-96C6-C1506E375CB9}"/>
    <cellStyle name="Percent 8 4" xfId="490" xr:uid="{CCA4168F-1A5E-43A1-9F48-DEF48C42C2F3}"/>
    <cellStyle name="Percent 8 4 10" xfId="13720" xr:uid="{E9FE3C5A-CD68-4839-A29C-E670AB85DEC4}"/>
    <cellStyle name="Percent 8 4 11" xfId="15610" xr:uid="{F5582A5A-CE42-493A-B4AD-D7B38E1B164E}"/>
    <cellStyle name="Percent 8 4 12" xfId="17500" xr:uid="{B401528C-6F5A-405B-A36C-A69D58DAE3D9}"/>
    <cellStyle name="Percent 8 4 13" xfId="19390" xr:uid="{46ABF3ED-2079-4F8B-95B8-09E79EB54C11}"/>
    <cellStyle name="Percent 8 4 14" xfId="21280" xr:uid="{FA9D7479-2EFD-462B-A3CA-731B5AB45103}"/>
    <cellStyle name="Percent 8 4 15" xfId="23170" xr:uid="{946FFAE5-FEEE-4A37-8717-298EF24CFFA5}"/>
    <cellStyle name="Percent 8 4 16" xfId="25060" xr:uid="{66D86A05-5675-431B-8125-4BCAB953BD58}"/>
    <cellStyle name="Percent 8 4 17" xfId="26950" xr:uid="{379EF2D1-4375-4FAA-85FC-967C50BC2D4C}"/>
    <cellStyle name="Percent 8 4 18" xfId="28840" xr:uid="{43FFF6F3-BC4B-434E-942E-2C7712C58571}"/>
    <cellStyle name="Percent 8 4 19" xfId="30730" xr:uid="{64A08436-E836-4FA0-9F32-F6AEE6DBF685}"/>
    <cellStyle name="Percent 8 4 2" xfId="1120" xr:uid="{8CBAF9EA-588F-454A-ABC6-514325F14CB9}"/>
    <cellStyle name="Percent 8 4 2 10" xfId="18130" xr:uid="{1123DD72-3B9C-4487-BB00-2CA635CF9B04}"/>
    <cellStyle name="Percent 8 4 2 11" xfId="20020" xr:uid="{485EFE75-5B05-4BE8-913E-D38ED4A8214D}"/>
    <cellStyle name="Percent 8 4 2 12" xfId="21910" xr:uid="{33D230BE-E733-45FD-AAB2-0A1EFEBEE3E4}"/>
    <cellStyle name="Percent 8 4 2 13" xfId="23800" xr:uid="{7B7396A4-25B0-45EC-B58B-BA1AD8874A74}"/>
    <cellStyle name="Percent 8 4 2 14" xfId="25690" xr:uid="{7F94F672-515E-4BDD-94F3-9450EECA4289}"/>
    <cellStyle name="Percent 8 4 2 15" xfId="27580" xr:uid="{7926C345-ABE6-472A-9CC4-23717050BD6C}"/>
    <cellStyle name="Percent 8 4 2 16" xfId="29470" xr:uid="{334B70BA-8E08-489B-9D46-9DBFA45938FB}"/>
    <cellStyle name="Percent 8 4 2 17" xfId="31360" xr:uid="{C3600AF1-598F-4B87-8EA5-C50DB722B44A}"/>
    <cellStyle name="Percent 8 4 2 18" xfId="33250" xr:uid="{AB4B9E55-71C8-4E92-A257-30E232A6E0F6}"/>
    <cellStyle name="Percent 8 4 2 19" xfId="35140" xr:uid="{97B79280-DA99-40AD-9F00-6F53E39782F6}"/>
    <cellStyle name="Percent 8 4 2 2" xfId="3010" xr:uid="{B856B006-2BD3-4C63-9BFD-5686FD5BF77A}"/>
    <cellStyle name="Percent 8 4 2 20" xfId="37030" xr:uid="{6B4A219A-1B4F-47A9-B0A9-BCF9328FF22D}"/>
    <cellStyle name="Percent 8 4 2 21" xfId="38920" xr:uid="{497CF501-F863-4ADD-A05F-7031FE3D5C92}"/>
    <cellStyle name="Percent 8 4 2 22" xfId="40811" xr:uid="{248C862D-125D-4F4A-98AC-E1EF7308DCC4}"/>
    <cellStyle name="Percent 8 4 2 3" xfId="4900" xr:uid="{E9657D3B-EDA3-4D89-8558-F2AB40298B16}"/>
    <cellStyle name="Percent 8 4 2 4" xfId="6790" xr:uid="{F1DD8FA0-8230-4F93-B463-DD2838F63EAA}"/>
    <cellStyle name="Percent 8 4 2 5" xfId="8680" xr:uid="{B4BAB487-C3A3-4C40-9620-1B5AF4AC1C7E}"/>
    <cellStyle name="Percent 8 4 2 6" xfId="10570" xr:uid="{5462349D-CD9E-4156-8664-D9C58BE04FA5}"/>
    <cellStyle name="Percent 8 4 2 7" xfId="12460" xr:uid="{585CBD09-E9EE-44F3-85FB-8F402B74B712}"/>
    <cellStyle name="Percent 8 4 2 8" xfId="14350" xr:uid="{2AFFFDC3-DFBA-4CED-8842-21B1D1B087EB}"/>
    <cellStyle name="Percent 8 4 2 9" xfId="16240" xr:uid="{63A18FFB-E34E-4473-AEC3-3D338B8C3661}"/>
    <cellStyle name="Percent 8 4 20" xfId="32620" xr:uid="{0265CB9C-6C92-4575-A217-28EB1AEF5CEC}"/>
    <cellStyle name="Percent 8 4 21" xfId="34510" xr:uid="{78D1FA77-AACC-4098-BE19-2D790A0CF2B0}"/>
    <cellStyle name="Percent 8 4 22" xfId="36400" xr:uid="{9FBAFF63-3D1F-4F35-B5E9-7BE1DA449F89}"/>
    <cellStyle name="Percent 8 4 23" xfId="38290" xr:uid="{D865CDB0-6190-4905-9B8F-693413093C54}"/>
    <cellStyle name="Percent 8 4 24" xfId="40181" xr:uid="{C5DB2C91-70D2-42BC-AA1D-CF8D27F59F27}"/>
    <cellStyle name="Percent 8 4 3" xfId="1750" xr:uid="{01985CF2-3F23-4CA6-BC29-4D05A3738ED2}"/>
    <cellStyle name="Percent 8 4 3 10" xfId="18760" xr:uid="{68D8ECFD-94A5-49F6-AD2C-39B806CA9E3D}"/>
    <cellStyle name="Percent 8 4 3 11" xfId="20650" xr:uid="{12EFC6D5-2005-4BD8-AA28-9E84765EA4B0}"/>
    <cellStyle name="Percent 8 4 3 12" xfId="22540" xr:uid="{C1394273-D49A-4644-A85F-7A7874359C62}"/>
    <cellStyle name="Percent 8 4 3 13" xfId="24430" xr:uid="{0EF430DF-5402-46CD-9035-5E4D3B7894B4}"/>
    <cellStyle name="Percent 8 4 3 14" xfId="26320" xr:uid="{D0EB8C6B-01C2-4A65-B654-18BBBE4CABF4}"/>
    <cellStyle name="Percent 8 4 3 15" xfId="28210" xr:uid="{F57678BC-8048-4E86-B8B1-7C3D71C24D46}"/>
    <cellStyle name="Percent 8 4 3 16" xfId="30100" xr:uid="{1D0600C6-877F-4E98-8838-4BE727A9F09B}"/>
    <cellStyle name="Percent 8 4 3 17" xfId="31990" xr:uid="{2FFB332B-424D-48F9-933D-12FE08592ECF}"/>
    <cellStyle name="Percent 8 4 3 18" xfId="33880" xr:uid="{0CF7282B-6288-470F-8FC1-3DBFC555372D}"/>
    <cellStyle name="Percent 8 4 3 19" xfId="35770" xr:uid="{57B7EFE7-1333-46BD-A889-8652AC71D740}"/>
    <cellStyle name="Percent 8 4 3 2" xfId="3640" xr:uid="{D04E9416-E4B7-4FC2-AB3F-F6DAA66E789B}"/>
    <cellStyle name="Percent 8 4 3 20" xfId="37660" xr:uid="{33741280-4218-4661-A20C-AB529A048404}"/>
    <cellStyle name="Percent 8 4 3 21" xfId="39550" xr:uid="{C3A970CA-0AD5-40FC-9409-05E8F68B098B}"/>
    <cellStyle name="Percent 8 4 3 22" xfId="41441" xr:uid="{F47B65BD-5F7A-41F8-A8DC-F58EB23C08B2}"/>
    <cellStyle name="Percent 8 4 3 3" xfId="5530" xr:uid="{3A5F3A2B-4BA4-4127-935A-36D88817C704}"/>
    <cellStyle name="Percent 8 4 3 4" xfId="7420" xr:uid="{1EFC5BE7-CB1C-46DD-9116-BDB4295AF984}"/>
    <cellStyle name="Percent 8 4 3 5" xfId="9310" xr:uid="{3290F463-7091-43E3-B6CC-91FC938B668A}"/>
    <cellStyle name="Percent 8 4 3 6" xfId="11200" xr:uid="{4CDB686E-E183-4BDD-BB2D-315109CD4E35}"/>
    <cellStyle name="Percent 8 4 3 7" xfId="13090" xr:uid="{65AB59A0-FDC0-44EC-869D-6F0260806770}"/>
    <cellStyle name="Percent 8 4 3 8" xfId="14980" xr:uid="{7CD6DF42-F3FC-42A9-B4AC-1C97BD78D67B}"/>
    <cellStyle name="Percent 8 4 3 9" xfId="16870" xr:uid="{45A1BEFC-803E-44D8-B3F0-1F2A6CE03379}"/>
    <cellStyle name="Percent 8 4 4" xfId="2380" xr:uid="{41761C52-6695-447F-B313-E150EDCB923D}"/>
    <cellStyle name="Percent 8 4 5" xfId="4270" xr:uid="{EC166841-ECDB-4C93-A53D-B6DF58A1C6C0}"/>
    <cellStyle name="Percent 8 4 6" xfId="6160" xr:uid="{797A7A27-BA92-4F38-9B42-8E7ADDD22A53}"/>
    <cellStyle name="Percent 8 4 7" xfId="8050" xr:uid="{6A8FAA34-BE54-48EB-8BE2-27D7E4F64D6C}"/>
    <cellStyle name="Percent 8 4 8" xfId="9940" xr:uid="{E088C3F7-1916-4B9C-BD0B-A18D25303591}"/>
    <cellStyle name="Percent 8 4 9" xfId="11830" xr:uid="{86B735AC-4CD3-4621-83B5-4CE1FB71FD33}"/>
    <cellStyle name="Percent 8 5" xfId="700" xr:uid="{37E4213C-EE22-4A5A-AB4A-24E50E772C7D}"/>
    <cellStyle name="Percent 8 5 10" xfId="17710" xr:uid="{06474D61-1931-44F3-BEB9-A0E98E407E42}"/>
    <cellStyle name="Percent 8 5 11" xfId="19600" xr:uid="{24EDA0F3-1CEF-4E24-912B-F637BCF4AFFE}"/>
    <cellStyle name="Percent 8 5 12" xfId="21490" xr:uid="{AEE72640-13CE-48A7-AB0B-D2163464BC7F}"/>
    <cellStyle name="Percent 8 5 13" xfId="23380" xr:uid="{66534EFB-DC19-43EF-BA0A-4DFDFBB4C65D}"/>
    <cellStyle name="Percent 8 5 14" xfId="25270" xr:uid="{5EEA5A88-C5F0-44FC-B5D3-929E8A13A6D9}"/>
    <cellStyle name="Percent 8 5 15" xfId="27160" xr:uid="{38EDEAC1-39A8-4553-8CBC-D76F15109E2E}"/>
    <cellStyle name="Percent 8 5 16" xfId="29050" xr:uid="{0DB24C6F-55FF-481D-9476-19C83B5B24B5}"/>
    <cellStyle name="Percent 8 5 17" xfId="30940" xr:uid="{408C0447-1313-46F8-8655-51FE38D70D01}"/>
    <cellStyle name="Percent 8 5 18" xfId="32830" xr:uid="{2FEBDED3-6149-431C-B5D1-62C2344B143A}"/>
    <cellStyle name="Percent 8 5 19" xfId="34720" xr:uid="{21B2C179-CFFB-4216-A91C-B8FC90BAB635}"/>
    <cellStyle name="Percent 8 5 2" xfId="2590" xr:uid="{EE667664-793A-41FF-9B1E-93D084030160}"/>
    <cellStyle name="Percent 8 5 20" xfId="36610" xr:uid="{9A3A7C67-25E8-4AFE-A645-E9908530F8A8}"/>
    <cellStyle name="Percent 8 5 21" xfId="38500" xr:uid="{69B04FC6-D638-4C03-B2E6-0782830E6FCE}"/>
    <cellStyle name="Percent 8 5 22" xfId="40391" xr:uid="{2098662C-C8CE-4263-B14D-D4FD832E70F6}"/>
    <cellStyle name="Percent 8 5 3" xfId="4480" xr:uid="{06CBE2E9-C0B7-42A3-A0ED-013CD4825E3E}"/>
    <cellStyle name="Percent 8 5 4" xfId="6370" xr:uid="{212A1618-B138-4945-84DA-E767979B4062}"/>
    <cellStyle name="Percent 8 5 5" xfId="8260" xr:uid="{9080E552-7B70-465B-978B-936FA9457748}"/>
    <cellStyle name="Percent 8 5 6" xfId="10150" xr:uid="{74E68BA8-C138-4F80-B60F-69A6C0344E29}"/>
    <cellStyle name="Percent 8 5 7" xfId="12040" xr:uid="{26ED5E92-DB17-4D85-8BC5-5EE23CCF77FB}"/>
    <cellStyle name="Percent 8 5 8" xfId="13930" xr:uid="{D98707C4-7D95-4463-B7C6-DB7EAB3C064B}"/>
    <cellStyle name="Percent 8 5 9" xfId="15820" xr:uid="{F369408B-BDC9-449C-9D30-24323EFB6BC5}"/>
    <cellStyle name="Percent 8 6" xfId="1330" xr:uid="{1DDF0DAA-D19D-44EC-BDE9-2797594A6608}"/>
    <cellStyle name="Percent 8 6 10" xfId="18340" xr:uid="{7671B750-AB84-4021-94A2-0F30050BC75F}"/>
    <cellStyle name="Percent 8 6 11" xfId="20230" xr:uid="{0AFB4C24-C236-44AC-A047-0C62F5782746}"/>
    <cellStyle name="Percent 8 6 12" xfId="22120" xr:uid="{AB8CABBF-49AA-421E-B765-C8E84271961A}"/>
    <cellStyle name="Percent 8 6 13" xfId="24010" xr:uid="{C298A426-5D87-4544-91A5-48ABC9E3D2B7}"/>
    <cellStyle name="Percent 8 6 14" xfId="25900" xr:uid="{0B0FB87C-7C5F-46C2-A6D6-DE85D80A106F}"/>
    <cellStyle name="Percent 8 6 15" xfId="27790" xr:uid="{AE0E886A-BDBB-4515-A3A2-23B50C5C04EA}"/>
    <cellStyle name="Percent 8 6 16" xfId="29680" xr:uid="{D945A8E6-675B-45C1-86E3-C50446D3B6FF}"/>
    <cellStyle name="Percent 8 6 17" xfId="31570" xr:uid="{F80C8DFB-E943-4F3C-B99D-347820EEB74D}"/>
    <cellStyle name="Percent 8 6 18" xfId="33460" xr:uid="{9C4AEAF6-2872-4DB5-994C-83ABFC63F3D4}"/>
    <cellStyle name="Percent 8 6 19" xfId="35350" xr:uid="{F6CC2671-FACE-4393-9C68-034BBA9472D2}"/>
    <cellStyle name="Percent 8 6 2" xfId="3220" xr:uid="{656CA99B-40CD-4267-8890-4B32F762D8B6}"/>
    <cellStyle name="Percent 8 6 20" xfId="37240" xr:uid="{E717E9EA-D766-45A1-8106-3113F1E5A646}"/>
    <cellStyle name="Percent 8 6 21" xfId="39130" xr:uid="{7F2A5904-4D61-484D-8C0D-DD90A549B0B3}"/>
    <cellStyle name="Percent 8 6 22" xfId="41021" xr:uid="{E2D68F28-A80F-4A30-A262-FC8A20F457F8}"/>
    <cellStyle name="Percent 8 6 3" xfId="5110" xr:uid="{286B82BB-1F67-48FD-BB60-7BAE1548C867}"/>
    <cellStyle name="Percent 8 6 4" xfId="7000" xr:uid="{F09A9B6D-F2B6-48D8-A9A5-25F5289FE71B}"/>
    <cellStyle name="Percent 8 6 5" xfId="8890" xr:uid="{3F1218DB-6E7E-4C3C-AEAA-2DD4536A1EF6}"/>
    <cellStyle name="Percent 8 6 6" xfId="10780" xr:uid="{FE7ED2F8-CFB3-4756-BB11-226ED6DE3A7D}"/>
    <cellStyle name="Percent 8 6 7" xfId="12670" xr:uid="{F4864913-B0BA-48DD-B6F9-1BFCDBEA0F08}"/>
    <cellStyle name="Percent 8 6 8" xfId="14560" xr:uid="{D7AD0786-AFF4-451E-9F6E-42452D29EFD3}"/>
    <cellStyle name="Percent 8 6 9" xfId="16450" xr:uid="{4F0475D4-0B11-4964-B316-BE4A144B5161}"/>
    <cellStyle name="Percent 8 7" xfId="1960" xr:uid="{C8A8F646-A59C-469B-83A6-EDA2E860574E}"/>
    <cellStyle name="Percent 8 8" xfId="3850" xr:uid="{0EF493AA-9628-4A02-9F0B-602EF3145305}"/>
    <cellStyle name="Percent 8 9" xfId="5740" xr:uid="{D078B9D7-950F-42C8-A82C-2D4B68ABB2B5}"/>
    <cellStyle name="Percent 9" xfId="137" xr:uid="{5BB2129B-DEF1-4593-925C-8ACA1800537D}"/>
    <cellStyle name="Percent 9 10" xfId="9587" xr:uid="{404F5675-268C-4C3C-9711-044EC33AC273}"/>
    <cellStyle name="Percent 9 11" xfId="11477" xr:uid="{521C89C5-23FD-46BC-B5DD-E3EF89D2351B}"/>
    <cellStyle name="Percent 9 12" xfId="13367" xr:uid="{8F373EB0-5AD0-448C-B786-5CCB1FAF6218}"/>
    <cellStyle name="Percent 9 13" xfId="15257" xr:uid="{AF883094-FAC0-4390-A474-A8CC77DE04E8}"/>
    <cellStyle name="Percent 9 14" xfId="17147" xr:uid="{F0487351-F592-4E61-B707-4939F4CF2336}"/>
    <cellStyle name="Percent 9 15" xfId="19037" xr:uid="{D02D9247-147A-4291-8428-74A9170C2F90}"/>
    <cellStyle name="Percent 9 16" xfId="20927" xr:uid="{B5C4F9EE-D656-4799-BEBD-29FC3653B59F}"/>
    <cellStyle name="Percent 9 17" xfId="22817" xr:uid="{FBE543F0-68F6-43B8-A18D-8A25D37055D5}"/>
    <cellStyle name="Percent 9 18" xfId="24707" xr:uid="{AC05F3F5-943A-4357-8228-C378A2916DD6}"/>
    <cellStyle name="Percent 9 19" xfId="26597" xr:uid="{F8F788BB-6168-4CC5-B48A-155E134881AB}"/>
    <cellStyle name="Percent 9 2" xfId="347" xr:uid="{F6E10BF3-CC11-49A2-8E35-7B7C9BF36A38}"/>
    <cellStyle name="Percent 9 2 10" xfId="13577" xr:uid="{E552F999-95EC-4404-A554-A257DC94A47E}"/>
    <cellStyle name="Percent 9 2 11" xfId="15467" xr:uid="{2C8FE4EE-1152-459F-9D88-7F63A1E729D2}"/>
    <cellStyle name="Percent 9 2 12" xfId="17357" xr:uid="{88929F46-C079-4CA7-A5AF-F2B0B23958C4}"/>
    <cellStyle name="Percent 9 2 13" xfId="19247" xr:uid="{DCECB023-DA0F-4CF3-8B19-254C9C4B4783}"/>
    <cellStyle name="Percent 9 2 14" xfId="21137" xr:uid="{3FB03409-7B2C-42FF-8534-62A4D8EE5647}"/>
    <cellStyle name="Percent 9 2 15" xfId="23027" xr:uid="{582D8484-04DC-4EE1-9DCA-932FFA11B987}"/>
    <cellStyle name="Percent 9 2 16" xfId="24917" xr:uid="{B6684607-BE27-4F54-B644-0F45588A71D0}"/>
    <cellStyle name="Percent 9 2 17" xfId="26807" xr:uid="{BF2167C3-808E-4628-83F9-1BAD9D7066F5}"/>
    <cellStyle name="Percent 9 2 18" xfId="28697" xr:uid="{788F31D5-DF37-480C-8294-D8690FE6303F}"/>
    <cellStyle name="Percent 9 2 19" xfId="30587" xr:uid="{DCE6F7DA-F552-4295-A6DE-A98345BEAB96}"/>
    <cellStyle name="Percent 9 2 2" xfId="977" xr:uid="{F7426413-488D-47B4-890F-927670D010D0}"/>
    <cellStyle name="Percent 9 2 2 10" xfId="17987" xr:uid="{1E2BEE8A-D01C-482E-9199-2D18D31661C0}"/>
    <cellStyle name="Percent 9 2 2 11" xfId="19877" xr:uid="{18DA4B88-C4A8-45F6-93B0-588B579BFDE1}"/>
    <cellStyle name="Percent 9 2 2 12" xfId="21767" xr:uid="{B6129B8B-EE45-415F-9CF2-DB38DB9E8524}"/>
    <cellStyle name="Percent 9 2 2 13" xfId="23657" xr:uid="{CE1DA20C-3D39-4A13-8628-FCD081FCFBA3}"/>
    <cellStyle name="Percent 9 2 2 14" xfId="25547" xr:uid="{E7810DD1-A9F2-48FF-B8F2-91CC7C2057C6}"/>
    <cellStyle name="Percent 9 2 2 15" xfId="27437" xr:uid="{A1BD3120-A927-4BAB-A0AE-D57C18B91A1D}"/>
    <cellStyle name="Percent 9 2 2 16" xfId="29327" xr:uid="{EAB93716-5363-4E29-8227-B43F397EE1AC}"/>
    <cellStyle name="Percent 9 2 2 17" xfId="31217" xr:uid="{DD84E224-7EC8-49AA-970C-43F61EA9CF04}"/>
    <cellStyle name="Percent 9 2 2 18" xfId="33107" xr:uid="{0A9F2270-A92F-4EC2-85DE-032A7B41010A}"/>
    <cellStyle name="Percent 9 2 2 19" xfId="34997" xr:uid="{8542DF96-AA1C-4223-9A39-776223E999AB}"/>
    <cellStyle name="Percent 9 2 2 2" xfId="2867" xr:uid="{3BC808CA-60EE-4BFF-A9CC-AB7F1F2F0375}"/>
    <cellStyle name="Percent 9 2 2 20" xfId="36887" xr:uid="{777E3B47-61DF-43D3-AE40-6834C7B1BEC2}"/>
    <cellStyle name="Percent 9 2 2 21" xfId="38777" xr:uid="{A7CAB5D9-1FCF-49AC-BFF3-6880F0F3267D}"/>
    <cellStyle name="Percent 9 2 2 22" xfId="40668" xr:uid="{962B9996-D49D-4B81-9B4D-D1F4242438A1}"/>
    <cellStyle name="Percent 9 2 2 3" xfId="4757" xr:uid="{1612F492-9AD0-4028-AB8E-E137F89C9BC9}"/>
    <cellStyle name="Percent 9 2 2 4" xfId="6647" xr:uid="{48B24ABD-6B46-4617-BCBB-CEC2547F158D}"/>
    <cellStyle name="Percent 9 2 2 5" xfId="8537" xr:uid="{73E111A2-98F2-4A58-A01D-66D3F0DF8B93}"/>
    <cellStyle name="Percent 9 2 2 6" xfId="10427" xr:uid="{029FBAE9-0083-4F2D-853B-AC55CE338333}"/>
    <cellStyle name="Percent 9 2 2 7" xfId="12317" xr:uid="{8A22323B-2E85-4937-B79F-383C61D3925A}"/>
    <cellStyle name="Percent 9 2 2 8" xfId="14207" xr:uid="{9A3B4837-EB6A-447D-AF25-9EEFD8E429FE}"/>
    <cellStyle name="Percent 9 2 2 9" xfId="16097" xr:uid="{A04809C3-9A2F-478D-A76A-4A10E75C506D}"/>
    <cellStyle name="Percent 9 2 20" xfId="32477" xr:uid="{26045874-0877-442E-AE8E-AEEB8C5A96C4}"/>
    <cellStyle name="Percent 9 2 21" xfId="34367" xr:uid="{ECE5FD98-7AAE-4AF4-8F8E-9EB7C8C04CC2}"/>
    <cellStyle name="Percent 9 2 22" xfId="36257" xr:uid="{1D949535-628C-4F5E-8111-8DF9107BC5AF}"/>
    <cellStyle name="Percent 9 2 23" xfId="38147" xr:uid="{C67E4D31-2EDE-4C15-82CC-483D5404E651}"/>
    <cellStyle name="Percent 9 2 24" xfId="40038" xr:uid="{EBEE955B-E490-4750-9DBE-4EE3D21D607C}"/>
    <cellStyle name="Percent 9 2 3" xfId="1607" xr:uid="{71D53D99-EE9D-4D65-B7E3-09CFC017975D}"/>
    <cellStyle name="Percent 9 2 3 10" xfId="18617" xr:uid="{2CC66BD2-0549-45E2-A13A-887F4960F1FA}"/>
    <cellStyle name="Percent 9 2 3 11" xfId="20507" xr:uid="{82C12931-C958-4AA7-982C-CE781AE1AD3F}"/>
    <cellStyle name="Percent 9 2 3 12" xfId="22397" xr:uid="{F1C2541D-ECDA-46A1-9847-D9F9870302B5}"/>
    <cellStyle name="Percent 9 2 3 13" xfId="24287" xr:uid="{A727E5B1-6C4D-4408-B7A4-F4679F395E9E}"/>
    <cellStyle name="Percent 9 2 3 14" xfId="26177" xr:uid="{8A4FDF89-683C-4889-BF01-97D1E37BACDB}"/>
    <cellStyle name="Percent 9 2 3 15" xfId="28067" xr:uid="{2CE806BF-FE66-494E-981B-554EB828E358}"/>
    <cellStyle name="Percent 9 2 3 16" xfId="29957" xr:uid="{1B02FF71-C116-4553-A091-1AC402FACA89}"/>
    <cellStyle name="Percent 9 2 3 17" xfId="31847" xr:uid="{7D12802A-153F-47E1-84EA-8924F3B74DC6}"/>
    <cellStyle name="Percent 9 2 3 18" xfId="33737" xr:uid="{753C250B-8A97-4034-BFA9-05E619807598}"/>
    <cellStyle name="Percent 9 2 3 19" xfId="35627" xr:uid="{3C4535D4-2510-4595-9EA7-01A998B2D58A}"/>
    <cellStyle name="Percent 9 2 3 2" xfId="3497" xr:uid="{36600CFA-1268-4E18-8373-211BB37CC3E4}"/>
    <cellStyle name="Percent 9 2 3 20" xfId="37517" xr:uid="{C9B9FC9F-37C3-4586-ABA1-BBA0E96D3BB9}"/>
    <cellStyle name="Percent 9 2 3 21" xfId="39407" xr:uid="{953473E2-F244-461F-AB75-08EE4979B40D}"/>
    <cellStyle name="Percent 9 2 3 22" xfId="41298" xr:uid="{B54241E2-1D96-4E35-8256-C090B31FCDEA}"/>
    <cellStyle name="Percent 9 2 3 3" xfId="5387" xr:uid="{5FBA3395-322C-48C3-8885-F2E8A0615CBD}"/>
    <cellStyle name="Percent 9 2 3 4" xfId="7277" xr:uid="{D0E88214-8E02-44CF-A553-2E9A7810580A}"/>
    <cellStyle name="Percent 9 2 3 5" xfId="9167" xr:uid="{D5838196-1BF5-4112-BB0D-9958FA2581A3}"/>
    <cellStyle name="Percent 9 2 3 6" xfId="11057" xr:uid="{B348F220-9A29-45B8-A621-045A1F56E794}"/>
    <cellStyle name="Percent 9 2 3 7" xfId="12947" xr:uid="{B91DD46B-A6D3-47E3-8E78-D460548DB4D8}"/>
    <cellStyle name="Percent 9 2 3 8" xfId="14837" xr:uid="{8E05E7B2-1571-4C8B-B8F6-99D2BF2AC4AA}"/>
    <cellStyle name="Percent 9 2 3 9" xfId="16727" xr:uid="{EF5E0C24-9C24-4745-9235-AD9B543F838B}"/>
    <cellStyle name="Percent 9 2 4" xfId="2237" xr:uid="{F3985A9D-7AB4-494A-A7DC-B977DBA8AFB4}"/>
    <cellStyle name="Percent 9 2 5" xfId="4127" xr:uid="{B794E297-8619-4703-AFFE-2DF1AD43337E}"/>
    <cellStyle name="Percent 9 2 6" xfId="6017" xr:uid="{1285008B-AF2F-4F97-B141-AA7F0E711FAF}"/>
    <cellStyle name="Percent 9 2 7" xfId="7907" xr:uid="{1F6BEC0B-F0E2-431D-B9E7-FB90421D3F92}"/>
    <cellStyle name="Percent 9 2 8" xfId="9797" xr:uid="{F3CEA5DA-8015-4C03-B8B9-DA0BF0C47A64}"/>
    <cellStyle name="Percent 9 2 9" xfId="11687" xr:uid="{DB366CE8-3612-4CC3-8E13-848075FB4264}"/>
    <cellStyle name="Percent 9 20" xfId="28487" xr:uid="{1DF9A0FF-FA3D-4E01-8589-BED4AB5B17FE}"/>
    <cellStyle name="Percent 9 21" xfId="30377" xr:uid="{488291C6-BD54-4DB9-87B5-30776AAE84F2}"/>
    <cellStyle name="Percent 9 22" xfId="32267" xr:uid="{1231AF9B-6270-426D-8CFB-F56B6553EFF5}"/>
    <cellStyle name="Percent 9 23" xfId="34157" xr:uid="{8F3F4393-A178-446E-A7C2-CA3C6C703DDC}"/>
    <cellStyle name="Percent 9 24" xfId="36047" xr:uid="{396ADFFD-282C-4628-A825-4F0CDE37F680}"/>
    <cellStyle name="Percent 9 25" xfId="37937" xr:uid="{09A88771-5644-44A1-B668-E137F32ADDD3}"/>
    <cellStyle name="Percent 9 26" xfId="39828" xr:uid="{B295A73C-EAF8-4B57-836A-0AE29DB97797}"/>
    <cellStyle name="Percent 9 3" xfId="557" xr:uid="{C8832FC6-4407-4487-A23A-A07A7C1BDB44}"/>
    <cellStyle name="Percent 9 3 10" xfId="13787" xr:uid="{A8674B6D-CFDF-43F0-B525-97EDDDA0FB41}"/>
    <cellStyle name="Percent 9 3 11" xfId="15677" xr:uid="{B6EF7C3D-E0DE-4A73-8A04-1F58CC22535F}"/>
    <cellStyle name="Percent 9 3 12" xfId="17567" xr:uid="{7E4B2FBE-5E99-4185-A673-E7C8165F13B6}"/>
    <cellStyle name="Percent 9 3 13" xfId="19457" xr:uid="{2513BCF1-0B1B-41C0-8018-44C9985EFA18}"/>
    <cellStyle name="Percent 9 3 14" xfId="21347" xr:uid="{B95342D4-1515-415F-9102-ED0459E39ABD}"/>
    <cellStyle name="Percent 9 3 15" xfId="23237" xr:uid="{43CD50FA-C3C7-447E-BED9-04B29324165C}"/>
    <cellStyle name="Percent 9 3 16" xfId="25127" xr:uid="{694ECD75-D1FF-46D3-8E3C-DBFF026B887A}"/>
    <cellStyle name="Percent 9 3 17" xfId="27017" xr:uid="{A681B0BD-2640-4369-878B-E847F8550B68}"/>
    <cellStyle name="Percent 9 3 18" xfId="28907" xr:uid="{1666594B-8B67-41F8-AFC2-357406178623}"/>
    <cellStyle name="Percent 9 3 19" xfId="30797" xr:uid="{88EC5246-8374-4BB4-9BD2-8842C5631410}"/>
    <cellStyle name="Percent 9 3 2" xfId="1187" xr:uid="{AE8A779A-9FA0-4449-B2F0-1C4498A152C1}"/>
    <cellStyle name="Percent 9 3 2 10" xfId="18197" xr:uid="{E3403452-BE80-4671-8F63-319EE9793D76}"/>
    <cellStyle name="Percent 9 3 2 11" xfId="20087" xr:uid="{337356C4-5EA4-4C08-B9FF-038FEC714D8E}"/>
    <cellStyle name="Percent 9 3 2 12" xfId="21977" xr:uid="{94334380-471B-4096-8ED9-59D780A9D610}"/>
    <cellStyle name="Percent 9 3 2 13" xfId="23867" xr:uid="{E9BB78D9-5FF3-48DF-93CB-2B9B8625B2E5}"/>
    <cellStyle name="Percent 9 3 2 14" xfId="25757" xr:uid="{39F9C6DE-A2CC-4582-8EA2-EB24D19063A9}"/>
    <cellStyle name="Percent 9 3 2 15" xfId="27647" xr:uid="{026029BE-C853-453B-BFC0-6543A9A0AE47}"/>
    <cellStyle name="Percent 9 3 2 16" xfId="29537" xr:uid="{438E6F49-7EEA-406A-B71E-D16CE4A6A23E}"/>
    <cellStyle name="Percent 9 3 2 17" xfId="31427" xr:uid="{F8917A0A-FB39-42D6-B078-3EA19921E897}"/>
    <cellStyle name="Percent 9 3 2 18" xfId="33317" xr:uid="{9681D077-716D-4C85-B63D-67DA925BBAE2}"/>
    <cellStyle name="Percent 9 3 2 19" xfId="35207" xr:uid="{9555B8AE-5CDD-40B0-B2A8-7A6315E576D6}"/>
    <cellStyle name="Percent 9 3 2 2" xfId="3077" xr:uid="{BFD26EC8-972D-4FCA-A361-4EC30AC31909}"/>
    <cellStyle name="Percent 9 3 2 20" xfId="37097" xr:uid="{44C8BC04-28B6-4D5C-84E1-E980A44FDCEE}"/>
    <cellStyle name="Percent 9 3 2 21" xfId="38987" xr:uid="{EAC2FC88-A353-4814-9B84-A423CC4B88F1}"/>
    <cellStyle name="Percent 9 3 2 22" xfId="40878" xr:uid="{CB9FB989-E6CC-44D6-9DEE-025CE75789D9}"/>
    <cellStyle name="Percent 9 3 2 3" xfId="4967" xr:uid="{0B3CF448-F93F-4061-AC7B-F2E50A65C998}"/>
    <cellStyle name="Percent 9 3 2 4" xfId="6857" xr:uid="{A44045DA-9146-4433-9CE5-CDB8827DDAB5}"/>
    <cellStyle name="Percent 9 3 2 5" xfId="8747" xr:uid="{56C7ADA7-492E-408C-9DD1-41A19326DD26}"/>
    <cellStyle name="Percent 9 3 2 6" xfId="10637" xr:uid="{6AD5BB8C-0032-4D4C-9E14-6BDA830426D6}"/>
    <cellStyle name="Percent 9 3 2 7" xfId="12527" xr:uid="{C4C3DD57-1542-4616-8342-2B47B457A463}"/>
    <cellStyle name="Percent 9 3 2 8" xfId="14417" xr:uid="{E0E5778E-ED26-4B3A-BB77-9C5DE401FDB7}"/>
    <cellStyle name="Percent 9 3 2 9" xfId="16307" xr:uid="{9439A414-A5CB-4EE9-B708-024262687487}"/>
    <cellStyle name="Percent 9 3 20" xfId="32687" xr:uid="{76753B91-213C-46CC-B99C-11617C520FF7}"/>
    <cellStyle name="Percent 9 3 21" xfId="34577" xr:uid="{94129D2A-EBB3-4128-A2AF-0A9C5F1D1684}"/>
    <cellStyle name="Percent 9 3 22" xfId="36467" xr:uid="{83AD444A-D99A-4D8D-A605-CC3B2878D9A6}"/>
    <cellStyle name="Percent 9 3 23" xfId="38357" xr:uid="{E4CF3AD1-D66E-4DEC-B56C-91C9BE1113CF}"/>
    <cellStyle name="Percent 9 3 24" xfId="40248" xr:uid="{26BFD0E0-E624-48F8-B1CE-A5A316ACB158}"/>
    <cellStyle name="Percent 9 3 3" xfId="1817" xr:uid="{3AAACA3E-0627-4DF3-8BCC-4AE51FBE398F}"/>
    <cellStyle name="Percent 9 3 3 10" xfId="18827" xr:uid="{62517585-3C35-405F-8281-86D275D8814A}"/>
    <cellStyle name="Percent 9 3 3 11" xfId="20717" xr:uid="{0E6E2A25-7C61-4511-A0A8-45C6FC0C4DEA}"/>
    <cellStyle name="Percent 9 3 3 12" xfId="22607" xr:uid="{1A998D56-C586-41E4-A704-90B5E9EA84F0}"/>
    <cellStyle name="Percent 9 3 3 13" xfId="24497" xr:uid="{AC546764-7BDB-4B89-B718-8EC915B2D4BA}"/>
    <cellStyle name="Percent 9 3 3 14" xfId="26387" xr:uid="{C7C4508D-56B8-4705-8FEF-2DCB6AB3884F}"/>
    <cellStyle name="Percent 9 3 3 15" xfId="28277" xr:uid="{1152BC87-E7AF-41B9-8F21-0BA142922D47}"/>
    <cellStyle name="Percent 9 3 3 16" xfId="30167" xr:uid="{F6A914F0-33CB-4DFA-BD10-B575F7CEFFDF}"/>
    <cellStyle name="Percent 9 3 3 17" xfId="32057" xr:uid="{F6114194-F8D1-4CEE-9C6E-4714185C0C52}"/>
    <cellStyle name="Percent 9 3 3 18" xfId="33947" xr:uid="{6623A96E-C320-4124-80B8-F1D8107EC230}"/>
    <cellStyle name="Percent 9 3 3 19" xfId="35837" xr:uid="{8AB53EFB-3D12-431B-A208-B97CDA0728FA}"/>
    <cellStyle name="Percent 9 3 3 2" xfId="3707" xr:uid="{CADC5A34-A1BD-453C-91CE-318571D13E51}"/>
    <cellStyle name="Percent 9 3 3 20" xfId="37727" xr:uid="{C0E899FE-DB38-4A16-AEEB-421066BF11E5}"/>
    <cellStyle name="Percent 9 3 3 21" xfId="39617" xr:uid="{919A69F4-FF21-4DE5-A7C9-10F97E38EAD2}"/>
    <cellStyle name="Percent 9 3 3 22" xfId="41508" xr:uid="{82A5DFA6-4413-4EC9-BDC1-572F97D77665}"/>
    <cellStyle name="Percent 9 3 3 3" xfId="5597" xr:uid="{1778B162-8E99-47FE-B703-8C497B3CC67C}"/>
    <cellStyle name="Percent 9 3 3 4" xfId="7487" xr:uid="{A739AFDA-5AA0-4A46-9E4B-725205E6EE9E}"/>
    <cellStyle name="Percent 9 3 3 5" xfId="9377" xr:uid="{F2260B8C-812D-4400-8E28-2F0221ABD720}"/>
    <cellStyle name="Percent 9 3 3 6" xfId="11267" xr:uid="{97554E69-9EA7-4482-A5CA-0748981256EC}"/>
    <cellStyle name="Percent 9 3 3 7" xfId="13157" xr:uid="{F37575CE-D231-49CF-BC5F-38322F55C82C}"/>
    <cellStyle name="Percent 9 3 3 8" xfId="15047" xr:uid="{D8760498-7814-4D56-BB4B-864205C290DC}"/>
    <cellStyle name="Percent 9 3 3 9" xfId="16937" xr:uid="{53998792-B0FC-4403-81E1-9449EB27A5BA}"/>
    <cellStyle name="Percent 9 3 4" xfId="2447" xr:uid="{59B00975-897E-47A3-8603-3D2B97206A6F}"/>
    <cellStyle name="Percent 9 3 5" xfId="4337" xr:uid="{CDADECAA-9AA0-43C5-9C73-1714912D0245}"/>
    <cellStyle name="Percent 9 3 6" xfId="6227" xr:uid="{50886AA4-32CF-441F-87F6-53F986B2DDAB}"/>
    <cellStyle name="Percent 9 3 7" xfId="8117" xr:uid="{7FCA104A-3EFD-484E-885D-7CB3E748E5C3}"/>
    <cellStyle name="Percent 9 3 8" xfId="10007" xr:uid="{84B46E1A-683A-4630-9788-EF2536C2C9A6}"/>
    <cellStyle name="Percent 9 3 9" xfId="11897" xr:uid="{F68A6A54-5F49-485A-8590-67D3E988625A}"/>
    <cellStyle name="Percent 9 4" xfId="767" xr:uid="{13C71028-D11D-4D7E-8E54-D5A5600A68F4}"/>
    <cellStyle name="Percent 9 4 10" xfId="17777" xr:uid="{AEFB5136-9130-45CC-B617-13120E0120EB}"/>
    <cellStyle name="Percent 9 4 11" xfId="19667" xr:uid="{4F63388E-D414-4163-90CC-754672E8898B}"/>
    <cellStyle name="Percent 9 4 12" xfId="21557" xr:uid="{6F9EAD8D-9826-4612-894D-E03C43A28880}"/>
    <cellStyle name="Percent 9 4 13" xfId="23447" xr:uid="{613019C2-F5F2-4C46-A39C-BBE3D891C88F}"/>
    <cellStyle name="Percent 9 4 14" xfId="25337" xr:uid="{722C8C7F-9CCD-4584-B355-8AB195A266CE}"/>
    <cellStyle name="Percent 9 4 15" xfId="27227" xr:uid="{901D4E4D-D6E9-4758-8894-41034AACD28B}"/>
    <cellStyle name="Percent 9 4 16" xfId="29117" xr:uid="{878CAAC5-245C-4E2C-B881-EC49CB9775FF}"/>
    <cellStyle name="Percent 9 4 17" xfId="31007" xr:uid="{44302DC5-6FE6-4626-A6CB-E22E694CFEA4}"/>
    <cellStyle name="Percent 9 4 18" xfId="32897" xr:uid="{1FEB4AD2-AE41-4DB8-BEA4-0EEA619B3B4A}"/>
    <cellStyle name="Percent 9 4 19" xfId="34787" xr:uid="{9C45A645-072A-466B-AB91-B7CADEC86E86}"/>
    <cellStyle name="Percent 9 4 2" xfId="2657" xr:uid="{324F268E-014B-4347-B36E-FAE0D7255F89}"/>
    <cellStyle name="Percent 9 4 20" xfId="36677" xr:uid="{059F3CFD-443F-4F4B-B9B8-96E620B232D4}"/>
    <cellStyle name="Percent 9 4 21" xfId="38567" xr:uid="{D57C2418-2491-4099-9B9E-D88DD6404E29}"/>
    <cellStyle name="Percent 9 4 22" xfId="40458" xr:uid="{35FE3F29-B151-454B-B5F0-BC9E35CD74E3}"/>
    <cellStyle name="Percent 9 4 3" xfId="4547" xr:uid="{7B19858D-B7E8-4B66-ACCC-DFE2A92D8E27}"/>
    <cellStyle name="Percent 9 4 4" xfId="6437" xr:uid="{7AA54D21-AC73-4324-870A-F64EA0F89400}"/>
    <cellStyle name="Percent 9 4 5" xfId="8327" xr:uid="{F94FA176-FFB2-428A-AF51-662F306DC435}"/>
    <cellStyle name="Percent 9 4 6" xfId="10217" xr:uid="{1ECFC04B-91D9-4187-A863-FEF04797FA8F}"/>
    <cellStyle name="Percent 9 4 7" xfId="12107" xr:uid="{A9948337-18D6-46D3-98C7-AA13CD2E2BAA}"/>
    <cellStyle name="Percent 9 4 8" xfId="13997" xr:uid="{1366C407-39FD-415F-89C4-C38D13110798}"/>
    <cellStyle name="Percent 9 4 9" xfId="15887" xr:uid="{15D10038-06C2-41E7-A8EA-7BC7364F6FAB}"/>
    <cellStyle name="Percent 9 5" xfId="1397" xr:uid="{C65F38E5-47A5-45E5-A51F-19F5E89F7A76}"/>
    <cellStyle name="Percent 9 5 10" xfId="18407" xr:uid="{0265DD69-2028-4328-8DA3-DF99CF48B9AE}"/>
    <cellStyle name="Percent 9 5 11" xfId="20297" xr:uid="{B7A40A42-C6F8-476C-8297-653BB0FFDFA9}"/>
    <cellStyle name="Percent 9 5 12" xfId="22187" xr:uid="{A56F6355-97F6-4C0B-B043-CFAF241371DF}"/>
    <cellStyle name="Percent 9 5 13" xfId="24077" xr:uid="{7CC5EB4E-6293-44E0-89F6-4A3123E8773E}"/>
    <cellStyle name="Percent 9 5 14" xfId="25967" xr:uid="{64F3FD8A-67C8-445B-848E-0A7580C8F2E3}"/>
    <cellStyle name="Percent 9 5 15" xfId="27857" xr:uid="{6C6DD5FE-1F97-49DE-9CBA-5740DC3829DA}"/>
    <cellStyle name="Percent 9 5 16" xfId="29747" xr:uid="{3D595BD6-BB40-4AF0-9583-1548162A9CE6}"/>
    <cellStyle name="Percent 9 5 17" xfId="31637" xr:uid="{585CB296-D8EF-48C0-8935-FABB952BA608}"/>
    <cellStyle name="Percent 9 5 18" xfId="33527" xr:uid="{2B02B61F-F3D0-4177-8815-8880477FA998}"/>
    <cellStyle name="Percent 9 5 19" xfId="35417" xr:uid="{41C0AC19-2E78-4BC7-BBB4-C07605AC30F3}"/>
    <cellStyle name="Percent 9 5 2" xfId="3287" xr:uid="{40E0FC9F-65E9-48E7-A2F2-559C077EA7CB}"/>
    <cellStyle name="Percent 9 5 20" xfId="37307" xr:uid="{3978146F-5753-4DBE-BAF0-C571681F90ED}"/>
    <cellStyle name="Percent 9 5 21" xfId="39197" xr:uid="{933B2FDB-7FC8-4143-8C75-4738C39FA38E}"/>
    <cellStyle name="Percent 9 5 22" xfId="41088" xr:uid="{62EBC888-89BB-48CB-9B7B-10B507DBB39A}"/>
    <cellStyle name="Percent 9 5 3" xfId="5177" xr:uid="{C21F65F3-66ED-4C0B-9730-96748B7FDA6D}"/>
    <cellStyle name="Percent 9 5 4" xfId="7067" xr:uid="{48DB5C7B-5FF4-4D20-8E0C-14EDFB5BC762}"/>
    <cellStyle name="Percent 9 5 5" xfId="8957" xr:uid="{5DCA983F-ED4C-41B1-A0E0-AF135935B1FD}"/>
    <cellStyle name="Percent 9 5 6" xfId="10847" xr:uid="{FA280A93-957E-4129-BF7E-BAFCCA77746B}"/>
    <cellStyle name="Percent 9 5 7" xfId="12737" xr:uid="{8B881C67-1400-42AC-BEE5-74C25A6DBFEE}"/>
    <cellStyle name="Percent 9 5 8" xfId="14627" xr:uid="{7883BD4A-4837-406E-8B64-57B8EC4FA473}"/>
    <cellStyle name="Percent 9 5 9" xfId="16517" xr:uid="{805B20CA-EA2B-489D-BAFF-8C2BF8189EBB}"/>
    <cellStyle name="Percent 9 6" xfId="2027" xr:uid="{98643857-AEF5-4086-8A68-F1E225CE7B74}"/>
    <cellStyle name="Percent 9 7" xfId="3917" xr:uid="{EA6C6D2A-BFF0-4B79-A787-85C9F045394C}"/>
    <cellStyle name="Percent 9 8" xfId="5807" xr:uid="{16FC48D4-45E7-4143-8225-219649FDD8F7}"/>
    <cellStyle name="Percent 9 9" xfId="7697" xr:uid="{5B21D1E8-6647-45AC-80B0-D7C5161896D2}"/>
    <cellStyle name="Title" xfId="54" builtinId="15" customBuiltin="1"/>
    <cellStyle name="Total" xfId="69" builtinId="25" customBuiltin="1"/>
    <cellStyle name="Warning Text" xfId="67" builtinId="11" customBuiltin="1"/>
  </cellStyles>
  <dxfs count="751">
    <dxf>
      <fill>
        <patternFill>
          <bgColor rgb="FFDE787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2" formatCode="m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/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2" formatCode="m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/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4" formatCode="0.00%"/>
    </dxf>
    <dxf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25" formatCode="hh:mm"/>
    </dxf>
    <dxf>
      <numFmt numFmtId="25" formatCode="hh:mm"/>
    </dxf>
    <dxf>
      <numFmt numFmtId="25" formatCode="hh:mm"/>
    </dxf>
    <dxf>
      <alignment horizontal="general" textRotation="0" indent="0" justifyLastLine="0" shrinkToFit="0" readingOrder="0"/>
    </dxf>
    <dxf>
      <numFmt numFmtId="165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0" formatCode="dd/mmm/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4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8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8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8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4" formatCode="0.00%"/>
      <alignment horizontal="center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4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4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2" formatCode="mmm/yy"/>
      <fill>
        <patternFill patternType="solid">
          <fgColor indexed="64"/>
          <bgColor theme="0"/>
        </patternFill>
      </fill>
      <alignment horizontal="center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6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9" formatCode="0.000"/>
      <alignment horizontal="center" vertical="bottom" textRotation="0" wrapText="0" indent="0" justifyLastLine="0" shrinkToFit="0" readingOrder="0"/>
    </dxf>
    <dxf>
      <numFmt numFmtId="0" formatCode="General"/>
      <fill>
        <patternFill patternType="none"/>
      </fill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" formatCode="0"/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0" formatCode="dd/mmm/yy"/>
      <fill>
        <patternFill patternType="solid">
          <fgColor theme="9" tint="0.59999389629810485"/>
          <bgColor theme="9" tint="0.59999389629810485"/>
        </patternFill>
      </fill>
      <alignment horizontal="center" vertical="center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font>
        <b val="0"/>
        <i val="0"/>
        <strike val="0"/>
        <u val="none"/>
        <sz val="11"/>
        <color auto="1"/>
        <name val="Calibri"/>
        <scheme val="none"/>
      </font>
      <numFmt numFmtId="0" formatCode="General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35" formatCode="_ * #,##0.00_ ;_ * \-#,##0.0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6" formatCode="_ * #,##0_ ;_ * \-#,##0_ ;_ * &quot;-&quot;??_ ;_ @_ "/>
      <fill>
        <patternFill patternType="none"/>
      </fill>
      <alignment horizontal="center"/>
      <border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/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/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_ * #,##0_ ;_ * \-#,##0_ ;_ * &quot;-&quot;??_ ;_ @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family val="1"/>
        <charset val="134"/>
        <scheme val="none"/>
      </font>
      <numFmt numFmtId="174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0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family val="1"/>
        <scheme val="none"/>
      </font>
      <numFmt numFmtId="171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7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none"/>
      </fill>
    </dxf>
  </dxfs>
  <tableStyles count="4" defaultTableStyle="TableStyleMedium2" defaultPivotStyle="PivotStyleLight16">
    <tableStyle name="DailyKPI-style" pivot="0" count="3" xr9:uid="{04D2EC43-20BC-4B2E-AB1A-C934E202E28B}">
      <tableStyleElement type="headerRow" dxfId="750"/>
      <tableStyleElement type="firstRowStripe" dxfId="749"/>
      <tableStyleElement type="secondRowStripe" dxfId="748"/>
    </tableStyle>
    <tableStyle name="IGA_BD-style" pivot="0" count="3" xr9:uid="{24E55DCC-034F-431F-A64D-BC932FECD41B}">
      <tableStyleElement type="headerRow" dxfId="747"/>
      <tableStyleElement type="firstRowStripe" dxfId="746"/>
      <tableStyleElement type="secondRowStripe" dxfId="745"/>
    </tableStyle>
    <tableStyle name="Grid_BD-style" pivot="0" count="3" xr9:uid="{89ACD0AA-B592-4FA3-B063-F1DF7DACD1FC}">
      <tableStyleElement type="headerRow" dxfId="744"/>
      <tableStyleElement type="firstRowStripe" dxfId="743"/>
      <tableStyleElement type="secondRowStripe" dxfId="742"/>
    </tableStyle>
    <tableStyle name="Modelling-style" pivot="0" count="3" xr9:uid="{2B55722F-A1E0-4363-B1D3-A7D4BF877887}">
      <tableStyleElement type="headerRow" dxfId="741"/>
      <tableStyleElement type="firstRowStripe" dxfId="740"/>
      <tableStyleElement type="secondRowStripe" dxfId="7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28CF67-0FA4-4099-B083-839D00573457}" name="Table13" displayName="Table13" ref="A1:AS369" totalsRowShown="0" headerRowDxfId="738" dataDxfId="736" totalsRowDxfId="734" headerRowBorderDxfId="737" tableBorderDxfId="735" totalsRowBorderDxfId="733">
  <autoFilter ref="A1:AS369" xr:uid="{3B203726-2095-49D8-A694-A659B4A14C0A}"/>
  <tableColumns count="45">
    <tableColumn id="1" xr3:uid="{6061667D-9250-46A5-BD49-1802B68309E8}" name="Date" dataDxfId="732" totalsRowDxfId="731" dataCellStyle="Normal 26"/>
    <tableColumn id="2" xr3:uid="{CBEB7FBF-4D1A-4902-8D4D-564C2A61AB7A}" name="Financial Year" dataDxfId="730" totalsRowDxfId="729" dataCellStyle="Normal 26">
      <calculatedColumnFormula>YEAR(Table13[[#This Row],[Date]])+IF(MONTH(Table13[[#This Row],[Date]])&gt;=4,1,0)</calculatedColumnFormula>
    </tableColumn>
    <tableColumn id="3" xr3:uid="{CC088799-66D9-4317-AD01-6C9CE4D252BD}" name="Calendar Year" dataDxfId="728" totalsRowDxfId="727" dataCellStyle="Normal 26">
      <calculatedColumnFormula>YEAR(Table13[[#This Row],[Date]])</calculatedColumnFormula>
    </tableColumn>
    <tableColumn id="4" xr3:uid="{F5B50366-973D-4705-A9DF-BE8C8CCB9861}" name="Month Year" dataDxfId="726" totalsRowDxfId="725" dataCellStyle="Normal 26">
      <calculatedColumnFormula>Table13[[#This Row],[Date]]-DAY(Table13[[#This Row],[Date]])+1</calculatedColumnFormula>
    </tableColumn>
    <tableColumn id="5" xr3:uid="{F33A9A57-683D-4191-BFC7-889CA1E9894D}" name="Days" dataDxfId="724" totalsRowDxfId="723" dataCellStyle="Normal 26">
      <calculatedColumnFormula>DAY(EOMONTH(A2,0))</calculatedColumnFormula>
    </tableColumn>
    <tableColumn id="6" xr3:uid="{8D6C8107-AEEA-4487-833A-5D6A91BC3889}" name="Operating Hours" dataDxfId="722">
      <calculatedColumnFormula>IFERROR(_xlfn.XLOOKUP($A2,Input_Raw!$A:$A,Input_Raw!$FC:$FC),"")</calculatedColumnFormula>
    </tableColumn>
    <tableColumn id="7" xr3:uid="{173C7A5B-AF7D-4DEB-8029-4D53E88421FA}" name="GHI-UP (KWh/m2)" dataDxfId="721" totalsRowDxfId="720">
      <calculatedColumnFormula>IFERROR(_xlfn.XLOOKUP($A2,Input_Raw!$A:$A,Input_Raw!$CY:$CY),"")</calculatedColumnFormula>
    </tableColumn>
    <tableColumn id="8" xr3:uid="{90C19EDA-C5BF-4871-BC97-4EE3867665A3}" name="GHI-Down(KWh/m2)" dataDxfId="719" totalsRowDxfId="718">
      <calculatedColumnFormula>IFERROR(_xlfn.XLOOKUP($A2,Input_Raw!$A:$A,Input_Raw!$DA:$DA),"")</calculatedColumnFormula>
    </tableColumn>
    <tableColumn id="9" xr3:uid="{2F4A9CF6-4099-472C-9788-72B39A13508C}" name="POA-UP(KWh/m2)" dataDxfId="717" totalsRowDxfId="716">
      <calculatedColumnFormula>IFERROR(_xlfn.XLOOKUP($A2,Input_Raw!$A:$A,Input_Raw!$CX:$CX),"")</calculatedColumnFormula>
    </tableColumn>
    <tableColumn id="10" xr3:uid="{139297C1-22D2-4B34-A7DF-CB5A9034987A}" name="POA-Down(KWh/m2)" dataDxfId="715" totalsRowDxfId="714">
      <calculatedColumnFormula>IFERROR(_xlfn.XLOOKUP($A2,Input_Raw!$A:$A,Input_Raw!$CZ:$CZ),"")</calculatedColumnFormula>
    </tableColumn>
    <tableColumn id="11" xr3:uid="{533045FB-6B90-40AD-A98E-30060B311850}" name="Amb_Temp(°C)" dataDxfId="713" totalsRowDxfId="712">
      <calculatedColumnFormula>IFERROR(_xlfn.XLOOKUP($A2,Input_Raw!$A:$A,Input_Raw!$DB:$DB),"")</calculatedColumnFormula>
    </tableColumn>
    <tableColumn id="12" xr3:uid="{AD6A647E-0F14-44BE-89CD-35B71A895195}" name="Mod_Temp(°C)" dataDxfId="711" totalsRowDxfId="710">
      <calculatedColumnFormula>IFERROR(_xlfn.XLOOKUP($A2,Input_Raw!$A:$A,Input_Raw!$DC:$DC),"")</calculatedColumnFormula>
    </tableColumn>
    <tableColumn id="13" xr3:uid="{E3BD3240-5E3E-41C7-8420-1E3A2FC784E6}" name="WS_Avg(m/s)" dataDxfId="709" totalsRowDxfId="708">
      <calculatedColumnFormula>IFERROR(_xlfn.XLOOKUP($A2,Input_Raw!$A:$A,Input_Raw!$DF:$DF),"")</calculatedColumnFormula>
    </tableColumn>
    <tableColumn id="14" xr3:uid="{CC407D8B-FCE6-43D6-A3C5-D33819365812}" name="WS_Max(m/s)" dataDxfId="707" totalsRowDxfId="706">
      <calculatedColumnFormula>IFERROR(_xlfn.XLOOKUP($A2,Input_Raw!$A:$A,Input_Raw!$DG:$DG),"")</calculatedColumnFormula>
    </tableColumn>
    <tableColumn id="15" xr3:uid="{8A00ECC7-82B1-446E-8A09-0FC64ACA3AB2}" name="PA(%)" dataDxfId="705" totalsRowDxfId="704">
      <calculatedColumnFormula>IFERROR(1-(SUMIF(Plant_BD!$B:$B,$A2,Plant_BD!$AL:$AL)/($AA2+SUMIF(Plant_BD!$B:$B,$A2,Plant_BD!$AL:$AL))),"")</calculatedColumnFormula>
    </tableColumn>
    <tableColumn id="16" xr3:uid="{B4FB7C4D-4536-40A8-AF70-90542F9192A8}" name="MA (%)" dataDxfId="703" totalsRowDxfId="702"/>
    <tableColumn id="17" xr3:uid="{EB1D4093-6C74-4026-8D54-CFBE375E733A}" name="IGA (%)" dataDxfId="701" totalsRowDxfId="700">
      <calculatedColumnFormula>IFERROR(1-(SUMIF(Grid_BD!$B:$B,$A2,Grid_BD!$V:$V)/($AA2+SUMIF(Grid_BD!$B:$B,$A2,Grid_BD!$V:$V))),"")</calculatedColumnFormula>
    </tableColumn>
    <tableColumn id="18" xr3:uid="{A77270B7-D662-47B4-8CC9-32A0F57FE4D0}" name="EGA(%)" dataDxfId="699" totalsRowDxfId="698">
      <calculatedColumnFormula>IFERROR(1-(SUMIF(Grid_BD!$B:$B,$A2,Grid_BD!$V:$V)/($AA2+SUMIF(Grid_BD!$B:$B,$A2,Grid_BD!$V:$V))),"")</calculatedColumnFormula>
    </tableColumn>
    <tableColumn id="19" xr3:uid="{F0FD2752-6EDC-414C-B33A-53D144FA9292}" name="EMA (%)" dataDxfId="697" totalsRowDxfId="696"/>
    <tableColumn id="20" xr3:uid="{A53667A0-617F-414C-8552-5BB0B3DB58CE}" name="TA (%)" dataDxfId="695" totalsRowDxfId="694"/>
    <tableColumn id="21" xr3:uid="{22888606-CC7E-4A2C-A0F2-1D02BA7945F3}" name="PR(%)" dataDxfId="693" totalsRowDxfId="692">
      <calculatedColumnFormula>IFERROR(AA2/I2/AB2/1000,"")</calculatedColumnFormula>
    </tableColumn>
    <tableColumn id="22" xr3:uid="{3212A9C0-5471-4813-B374-CD2DEBCF2268}" name="WPR(%)" dataDxfId="691" totalsRowDxfId="690" dataCellStyle="Percent 43">
      <calculatedColumnFormula>IFERROR(_xlfn.XLOOKUP($A2,Input_Raw!$A:$A,Input_Raw!$FG:$FG),"")</calculatedColumnFormula>
    </tableColumn>
    <tableColumn id="23" xr3:uid="{3EF00EC9-F4CC-4859-BA4F-641BC60B9081}" name="CUF(%)" dataDxfId="689" totalsRowDxfId="688">
      <calculatedColumnFormula>IFERROR(AA2/(24*AR2*1000),"")</calculatedColumnFormula>
    </tableColumn>
    <tableColumn id="24" xr3:uid="{5471BFDE-15D6-4FB8-A9B2-76E7A84093E6}" name="Gen_Exp (kWh)" dataDxfId="687" totalsRowDxfId="686">
      <calculatedColumnFormula>IFERROR(_xlfn.XLOOKUP($A2,Input_Raw!$A:$A,Input_Raw!$DP:$DP),"")</calculatedColumnFormula>
    </tableColumn>
    <tableColumn id="25" xr3:uid="{D8B318D0-3F87-4C66-BCAA-0F9C927259AD}" name="Mtr_Export (kWh)" dataDxfId="685" totalsRowDxfId="684">
      <calculatedColumnFormula>IFERROR(_xlfn.XLOOKUP($A2,Input_Raw!$A:$A,Input_Raw!EW:EW),"")</calculatedColumnFormula>
    </tableColumn>
    <tableColumn id="26" xr3:uid="{4320A314-3E92-47D3-912F-CAA9D23B0EFD}" name="Mtr_Import (kWh)" dataDxfId="683" totalsRowDxfId="682">
      <calculatedColumnFormula>IFERROR(_xlfn.XLOOKUP($A2,Input_Raw!$A:$A,Input_Raw!EX:EX),"")</calculatedColumnFormula>
    </tableColumn>
    <tableColumn id="27" xr3:uid="{6577E2E2-C6B1-46A5-A8B0-92DE8C366EBF}" name="Mtr_Net_Exp (KWh)" dataDxfId="681" totalsRowDxfId="680">
      <calculatedColumnFormula>IFERROR(_xlfn.XLOOKUP($A2,Input_Raw!$A:$A,Input_Raw!FA:FA),"")</calculatedColumnFormula>
    </tableColumn>
    <tableColumn id="28" xr3:uid="{4B82756E-4093-4989-AF77-51CC966AFF96}" name="Operational Capacity (MW)" dataDxfId="679" totalsRowDxfId="678">
      <calculatedColumnFormula>IFERROR(_xlfn.XLOOKUP($A2,Input_Raw!$A:$A,Input_Raw!FD:FD),"")</calculatedColumnFormula>
    </tableColumn>
    <tableColumn id="29" xr3:uid="{F8BD7E28-87DE-4866-B757-533FD77C9C7C}" name="Bugt_Resource" dataDxfId="677" totalsRowDxfId="676">
      <calculatedColumnFormula>IFERROR(_xlfn.XLOOKUP($D2,'Modelling New'!$D:$D,'Modelling New'!P:P),"")</calculatedColumnFormula>
    </tableColumn>
    <tableColumn id="30" xr3:uid="{152A3BF9-558F-4701-A73A-1F5EE88F9004}" name="Bugt_Energy" dataDxfId="675" totalsRowDxfId="674">
      <calculatedColumnFormula>IFERROR(_xlfn.XLOOKUP($D2,'Modelling New'!$D:$D,'Modelling New'!T:T)*1000,"")</calculatedColumnFormula>
    </tableColumn>
    <tableColumn id="43" xr3:uid="{F06F9241-CF2A-485F-A434-B162AAF20F79}" name="Bugt PR" dataDxfId="673" totalsRowDxfId="672">
      <calculatedColumnFormula>IFERROR(_xlfn.XLOOKUP($D2,'Modelling New'!$D:$D,'Modelling New'!O:O),"")</calculatedColumnFormula>
    </tableColumn>
    <tableColumn id="42" xr3:uid="{CCEAF39D-9746-4869-BB7B-0C68B0CF228C}" name="Bugt CUF" dataDxfId="671" totalsRowDxfId="670">
      <calculatedColumnFormula>IFERROR(_xlfn.XLOOKUP($D2,'Modelling New'!$D:$D,'Modelling New'!W:W),"")</calculatedColumnFormula>
    </tableColumn>
    <tableColumn id="31" xr3:uid="{E64B733D-AD26-4AEE-BFBA-8E5857241697}" name="Bugt_PA" dataDxfId="669" totalsRowDxfId="668">
      <calculatedColumnFormula>IFERROR(_xlfn.XLOOKUP($D2,'Modelling New'!$D:$D,'Modelling New'!AE:AE),"")</calculatedColumnFormula>
    </tableColumn>
    <tableColumn id="32" xr3:uid="{B5277B8F-EC95-4F59-B2A1-CF96BE54DDFC}" name="Bugt_EGA" dataDxfId="667" totalsRowDxfId="666">
      <calculatedColumnFormula>IFERROR(_xlfn.XLOOKUP($D2,'Modelling New'!$D:$D,'Modelling New'!AF:AF),"")</calculatedColumnFormula>
    </tableColumn>
    <tableColumn id="33" xr3:uid="{A24BAD5C-1952-4BE6-B764-30E4C983494D}" name="Expected Energy" dataDxfId="665" totalsRowDxfId="664"/>
    <tableColumn id="34" xr3:uid="{B7011453-987E-420B-9AAC-F7C62AB62879}" name="Actual Energy WPR" dataDxfId="663" totalsRowDxfId="662"/>
    <tableColumn id="35" xr3:uid="{4D398EB9-235B-4701-BAFF-69980B5B0C1F}" name="RA (%)" dataDxfId="661" totalsRowDxfId="660"/>
    <tableColumn id="36" xr3:uid="{42FBA6C1-68A8-4499-A770-16723AD20253}" name="Mod Clean Dry (Num)" dataDxfId="659" totalsRowDxfId="658"/>
    <tableColumn id="37" xr3:uid="{B434E686-A621-4232-95E3-6A4428946438}" name="Mod Clean Wet (Num)" dataDxfId="657" totalsRowDxfId="656"/>
    <tableColumn id="38" xr3:uid="{067DE875-F5CA-4763-AABB-C97D92B0A0BB}" name="Line Loss(%)" dataDxfId="655" totalsRowDxfId="654"/>
    <tableColumn id="39" xr3:uid="{D324F659-9FF0-4872-AD1C-BFCC6CAC68F4}" name="Reactive Power (%)" dataDxfId="653"/>
    <tableColumn id="40" xr3:uid="{19420BC8-176B-4D54-8347-88783AB917A8}" name="Bugt Line loss (%) (Wind)" dataDxfId="652" totalsRowDxfId="651"/>
    <tableColumn id="41" xr3:uid="{544B330B-521A-4D05-9FC7-FF99309E7D58}" name="Bugt Reactive Power (%) (Wind)" dataDxfId="650" totalsRowDxfId="649"/>
    <tableColumn id="44" xr3:uid="{60DC0A69-4E36-402D-BC06-70D5A6822C25}" name="Bugt Capacity" dataDxfId="648" totalsRowDxfId="647" dataCellStyle="Normal 53">
      <calculatedColumnFormula>_xlfn.XLOOKUP(D2,'Modelling New'!$D:$D,'Modelling New'!$N:$N)</calculatedColumnFormula>
    </tableColumn>
    <tableColumn id="45" xr3:uid="{9368DBF9-6842-4B86-B8C7-7B0DF221A912}" name="CC*Bugt" dataDxfId="646" totalsRowDxfId="645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FF4B9F-2D81-4635-BC60-4BF3B7DBAC6D}" name="GC" displayName="GC" ref="A2:AO270" totalsRowShown="0" headerRowDxfId="135" headerRowBorderDxfId="134" headerRowCellStyle="Normal 26">
  <tableColumns count="41">
    <tableColumn id="1" xr3:uid="{60DE39AC-2A4B-49DC-B368-B3E0FFDD9055}" name="Sr. No." dataDxfId="133"/>
    <tableColumn id="8" xr3:uid="{CBA33D32-248B-4487-B387-BB1F1FEDAD86}" name="Date" dataDxfId="132"/>
    <tableColumn id="2" xr3:uid="{F5946774-8DB2-41DC-ABE8-9A47152BF795}" name="Finacial Year" dataDxfId="131">
      <calculatedColumnFormula>YEAR(GC[[#This Row],[Date]])+IF(MONTH(GC[[#This Row],[Date]])&gt;=4,1,0)</calculatedColumnFormula>
    </tableColumn>
    <tableColumn id="3" xr3:uid="{0C063C4A-5E31-4680-B9F5-EED9858583FC}" name="Calendor Year" dataDxfId="130">
      <calculatedColumnFormula>YEAR(GC[[#This Row],[Date]])</calculatedColumnFormula>
    </tableColumn>
    <tableColumn id="4" xr3:uid="{2A5FCD91-94BB-4C41-A047-0DEA19432059}" name="Contrcatual Year" dataDxfId="129"/>
    <tableColumn id="5" xr3:uid="{AF178D31-BC24-4F57-A7C6-C82D4CEC251E}" name="Operating Year" dataDxfId="128"/>
    <tableColumn id="6" xr3:uid="{8CDE70CE-087C-49D4-AE3D-32D94FD16FAE}" name="Month Year" dataDxfId="127">
      <calculatedColumnFormula>TEXT(GC[[#This Row],[Date]],"mmm-yy")</calculatedColumnFormula>
    </tableColumn>
    <tableColumn id="7" xr3:uid="{F883407B-0A1D-4CF4-82BE-6E93F5FFA227}" name="Days" dataDxfId="126">
      <calculatedColumnFormula>DAY(EOMONTH(GC[[#This Row],[Month Year]],0))</calculatedColumnFormula>
    </tableColumn>
    <tableColumn id="9" xr3:uid="{64BFE0CB-ACBB-4A0A-B600-5EC6DBB6FE65}" name="Cycle Number" dataDxfId="125"/>
    <tableColumn id="10" xr3:uid="{7FD5ACD6-F5E0-4AB3-AB0B-DAF925A009FC}" name="Resources" dataDxfId="124"/>
    <tableColumn id="34" xr3:uid="{55CB8AB8-A58B-4934-9353-7B52A28E8385}" name="IS1Inv1M1" dataDxfId="123"/>
    <tableColumn id="35" xr3:uid="{036B587C-3710-424B-BEA6-A5CD903F3005}" name="IS1Inv1M2" dataDxfId="122"/>
    <tableColumn id="36" xr3:uid="{98330D6C-CEA4-4B02-9004-A978F1C5E439}" name="IS1Inv1M3" dataDxfId="121"/>
    <tableColumn id="37" xr3:uid="{5107929B-427C-466A-AD95-A1CFC6152522}" name="IS1Inv1M4" dataDxfId="120"/>
    <tableColumn id="38" xr3:uid="{350A27E9-9FF9-45EE-B081-DA8CBEFD6F60}" name="IS1Inv2M1" dataDxfId="119"/>
    <tableColumn id="39" xr3:uid="{A35B349E-BE82-4E5F-90E4-346ED4659056}" name="IS1Inv2M2" dataDxfId="118"/>
    <tableColumn id="40" xr3:uid="{687F9220-513E-4005-896A-3146F69FD48F}" name="IS1Inv2M3" dataDxfId="117"/>
    <tableColumn id="41" xr3:uid="{504B5CD8-56A2-4F49-A95D-AAF2F75AF840}" name="IS1Inv2M4" dataDxfId="116"/>
    <tableColumn id="22" xr3:uid="{2EF6E3FE-B592-46D9-851E-44F0F446DEBE}" name="IS2Inv3M1" dataDxfId="115"/>
    <tableColumn id="25" xr3:uid="{184B4B1A-2E9A-48DB-9532-4397F6FF4200}" name="IS2Inv3M2" dataDxfId="114"/>
    <tableColumn id="26" xr3:uid="{BA3704B1-39EA-41C9-AA2D-C35AF1D91AD8}" name="IS2Inv3M3" dataDxfId="113"/>
    <tableColumn id="27" xr3:uid="{63DCC496-93B9-4257-BAB2-AD5E2FAF7962}" name="IS2Inv3M4" dataDxfId="112"/>
    <tableColumn id="28" xr3:uid="{4DDF5B1E-36D4-4591-B846-D39C713D22E9}" name="IS2Inv4M1" dataDxfId="111"/>
    <tableColumn id="29" xr3:uid="{B142C470-C662-4C9C-AC37-FFDF340B1F06}" name="IS2Inv4M2" dataDxfId="110"/>
    <tableColumn id="30" xr3:uid="{31C2EE83-A2BF-495E-BAF7-27E96CB38CD3}" name="IS2Inv4M3" dataDxfId="109"/>
    <tableColumn id="31" xr3:uid="{A0474BBE-C20E-4EBC-8D0C-F4C471327578}" name="IS2Inv4M4" dataDxfId="108"/>
    <tableColumn id="32" xr3:uid="{C0999558-E6FD-4A8D-A97B-8E09FC318C36}" name="IS3Inv5M1" dataDxfId="107"/>
    <tableColumn id="33" xr3:uid="{45BDD4AB-0425-43AF-8EE3-308127F8B30B}" name="IS3Inv5M2" dataDxfId="106"/>
    <tableColumn id="16" xr3:uid="{BBDEA515-1F47-4F2D-B85E-01E6EDE1A139}" name="IS3Inv6M1" dataDxfId="105"/>
    <tableColumn id="18" xr3:uid="{9BE4BC16-B669-408D-96DD-03251D3FDC26}" name="IS3Inv6M2" dataDxfId="104"/>
    <tableColumn id="19" xr3:uid="{DCF335AE-0F2D-4C0C-A8B4-E4A8C8AC2335}" name="IS4Inv7M1" dataDxfId="103"/>
    <tableColumn id="20" xr3:uid="{685F75D0-1B2F-4770-8399-2AE596503900}" name="IS4Inv7M2" dataDxfId="102"/>
    <tableColumn id="21" xr3:uid="{592BE199-F9C7-4B15-8CEF-FA3424948298}" name="IS4Inv8M1" dataDxfId="101"/>
    <tableColumn id="11" xr3:uid="{AD8EEF0E-4392-4657-A4C4-D593B4D64FC8}" name="IS4Inv8M2" dataDxfId="100"/>
    <tableColumn id="12" xr3:uid="{567A881E-9954-4316-99A3-08E200088E12}" name="IS4Inv9M1" dataDxfId="99"/>
    <tableColumn id="13" xr3:uid="{948DC166-46BA-42B2-934A-C28E3228E9B6}" name="IS4Inv9M2" dataDxfId="98"/>
    <tableColumn id="14" xr3:uid="{A8607F8D-BC98-4220-A033-7533F23352E5}" name="IS4Inv10M1" dataDxfId="97"/>
    <tableColumn id="15" xr3:uid="{6FCBFE10-6284-44AA-894F-D85060494834}" name="IS4Inv10M2" dataDxfId="96"/>
    <tableColumn id="17" xr3:uid="{0227B304-F94C-4A5E-8A92-DB3C08772F03}" name="Total No.Table GC done" dataDxfId="95">
      <calculatedColumnFormula>SUM(GC[[#This Row],[IS1Inv1M1]:[IS4Inv10M2]])</calculatedColumnFormula>
    </tableColumn>
    <tableColumn id="24" xr3:uid="{D235A722-33FD-44FA-9E60-53511A4C360B}" name="Mrthod of Cutting" dataDxfId="94"/>
    <tableColumn id="23" xr3:uid="{B4B64453-1F89-4BE0-9C93-93512420BA69}" name="Remarks for the day" dataDxfId="9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CCAE98-2EBC-4A43-BFF9-EFDE9F0DC81E}" name="Table14" displayName="Table14" ref="A1:AN26" totalsRowCount="1" headerRowDxfId="92" dataDxfId="90" totalsRowDxfId="88" headerRowBorderDxfId="91" tableBorderDxfId="89" totalsRowBorderDxfId="87" totalsRowCellStyle="Percent 43">
  <tableColumns count="40">
    <tableColumn id="1" xr3:uid="{127CA0E0-906B-4781-9936-92100FABFB50}" name="Sr. No." dataDxfId="86" totalsRowDxfId="85"/>
    <tableColumn id="2" xr3:uid="{7203C6FD-D70A-4A23-B320-CE38D3F39DB0}" name="Month Name" dataDxfId="84" totalsRowDxfId="83" dataCellStyle="Comma 42"/>
    <tableColumn id="3" xr3:uid="{CC68D9F9-1A56-4DBA-BD14-823D8C355EFC}" name="Month Number" dataDxfId="82" totalsRowDxfId="81"/>
    <tableColumn id="4" xr3:uid="{26152948-0725-49D9-8821-D2C1E621CBA8}" name="Month" dataDxfId="80" totalsRowDxfId="79" dataCellStyle="Comma 42"/>
    <tableColumn id="5" xr3:uid="{CE6762DE-5A75-4779-ABCD-08C47968D56B}" name="CY" dataDxfId="78" totalsRowDxfId="77" dataCellStyle="Comma 42">
      <calculatedColumnFormula>YEAR(D2)</calculatedColumnFormula>
    </tableColumn>
    <tableColumn id="6" xr3:uid="{6892BA6A-36F7-4936-990D-B00FF002B6AB}" name="FY" dataDxfId="76" totalsRowDxfId="75" dataCellStyle="Comma 42"/>
    <tableColumn id="7" xr3:uid="{EB75A830-CC83-4E82-AA77-5FA84259C36C}" name="No. of Days in Month" dataDxfId="74" totalsRowDxfId="73">
      <calculatedColumnFormula>DAY(EOMONTH(D2,0))</calculatedColumnFormula>
    </tableColumn>
    <tableColumn id="8" xr3:uid="{DD26849B-B7BC-497F-940E-673BCFA7E139}" name="GHI" dataDxfId="72" totalsRowDxfId="71"/>
    <tableColumn id="9" xr3:uid="{298037A4-AF69-43D3-9151-2B29DA343E0A}" name="POA" dataDxfId="70" totalsRowDxfId="69"/>
    <tableColumn id="10" xr3:uid="{80F9C29F-90A4-4715-B489-4052082B0CF6}" name="WS" dataDxfId="68" totalsRowDxfId="67"/>
    <tableColumn id="11" xr3:uid="{F887BEED-4147-4CAA-A39A-CBA0CC039480}" name="Tamb" dataDxfId="66" totalsRowDxfId="65"/>
    <tableColumn id="12" xr3:uid="{89562E71-BB65-46E2-8BD2-286876AE1107}" name="Tmod" dataDxfId="64" totalsRowDxfId="63"/>
    <tableColumn id="13" xr3:uid="{B522ADA6-19A1-4055-B5C2-F4B8682AAD68}" name="Egrid (MWh)" dataDxfId="62" totalsRowDxfId="61"/>
    <tableColumn id="14" xr3:uid="{88743640-4B7D-4A05-A9D6-2E59E554985E}" name="Bugt_Capacity" dataDxfId="60" totalsRowDxfId="59"/>
    <tableColumn id="15" xr3:uid="{5F490BF7-2BB3-41E8-9087-1110BB79EC9C}" name="PR" dataDxfId="58" totalsRowDxfId="57" dataCellStyle="Percent 43">
      <calculatedColumnFormula>IFERROR(M2/I2/N2,"")</calculatedColumnFormula>
    </tableColumn>
    <tableColumn id="16" xr3:uid="{2D9EED6B-B22F-47F4-A50A-7043AA0002D8}" name="Daily POA" dataDxfId="56" totalsRowDxfId="55">
      <calculatedColumnFormula>IFERROR(I2/G2,"")</calculatedColumnFormula>
    </tableColumn>
    <tableColumn id="17" xr3:uid="{3227DA48-F62F-4CCD-A8FD-210281A33BEC}" name="Days Operated" dataDxfId="54" totalsRowDxfId="53">
      <calculatedColumnFormula>COUNTIFS('Daily KPI'!$D:$D,D2,'Daily KPI'!$K:$K,"&gt;0")</calculatedColumnFormula>
    </tableColumn>
    <tableColumn id="18" xr3:uid="{718E4B5C-14C6-4968-9EF8-E05891ED9B6B}" name="MTD POA" dataDxfId="52" totalsRowDxfId="51">
      <calculatedColumnFormula>I2/G2*Q2</calculatedColumnFormula>
    </tableColumn>
    <tableColumn id="27" xr3:uid="{E177B0E0-08DA-4C9F-9ED2-50C1B9402409}" name="YTD POA" dataDxfId="50" totalsRowDxfId="49">
      <calculatedColumnFormula>SUMIF($F$2:F2,F2,$R$2:R2)</calculatedColumnFormula>
    </tableColumn>
    <tableColumn id="19" xr3:uid="{3E8D61EB-B2CD-4499-968D-AFF5A7ECD57E}" name="Daily Energy (MWh)" dataDxfId="48" totalsRowDxfId="47">
      <calculatedColumnFormula>M2/G2</calculatedColumnFormula>
    </tableColumn>
    <tableColumn id="20" xr3:uid="{1098DA65-2D17-4EA5-AB41-2CB76B55E552}" name="MTD Energy (MWh)" dataDxfId="46" totalsRowDxfId="45">
      <calculatedColumnFormula>M2/G2*Q2</calculatedColumnFormula>
    </tableColumn>
    <tableColumn id="28" xr3:uid="{901A87D4-EDEB-49E4-9A66-E5F253F08573}" name="YTD Energy (MWh)" dataDxfId="44" totalsRowDxfId="43">
      <calculatedColumnFormula>SUMIF($F$2:F2,F2,$U$2:U2)</calculatedColumnFormula>
    </tableColumn>
    <tableColumn id="38" xr3:uid="{43EEDB5F-1FB8-4A05-B253-792AACE8C190}" name="Bugt CUF (%)" dataDxfId="42" totalsRowDxfId="41" dataCellStyle="Percent 43">
      <calculatedColumnFormula>IFERROR(T2/(24*N2),"")</calculatedColumnFormula>
    </tableColumn>
    <tableColumn id="37" xr3:uid="{FB721145-6758-45EE-8A7D-E8D242779369}" name="Bugt CUF (%) MTD" dataDxfId="40" totalsRowDxfId="39" dataCellStyle="Percent 43">
      <calculatedColumnFormula>IFERROR(U2/(24*N2*Q2),"")</calculatedColumnFormula>
    </tableColumn>
    <tableColumn id="36" xr3:uid="{C784843A-5FC0-4F7D-8AAF-C75592FDEDE2}" name="Bugt CUF (%)YTD" dataDxfId="38" totalsRowDxfId="37" dataCellStyle="Percent 43">
      <calculatedColumnFormula>IFERROR(V2/(24*N2*SUMIFS($Q:$Q,$F:$F,$F2,$D:$D,"&lt;="&amp;D2)),"")</calculatedColumnFormula>
    </tableColumn>
    <tableColumn id="21" xr3:uid="{8E9FE457-A6C0-48E3-A306-ECB01325DFDB}" name="Ave. Cap MTD" dataDxfId="36" totalsRowDxfId="35">
      <calculatedColumnFormula>IFERROR(AVERAGEIF('Daily KPI'!D:D,Table14[[#This Row],[Month]],'Daily KPI'!AB:AB),0)</calculatedColumnFormula>
    </tableColumn>
    <tableColumn id="29" xr3:uid="{FD3ADF26-4E14-413C-830B-AC5DD5C7F6F1}" name="Ave. Cap YTD" dataDxfId="34" totalsRowDxfId="33">
      <calculatedColumnFormula>IFERROR(AVERAGEIF($F$2:F2,F2,$Z$2:Z2),"")</calculatedColumnFormula>
    </tableColumn>
    <tableColumn id="22" xr3:uid="{5CFD8ACA-3A74-4547-B8BD-E0A4E08B99DF}" name="CC Energy MTD" dataDxfId="32" totalsRowDxfId="31"/>
    <tableColumn id="31" xr3:uid="{F9BD3937-04EA-41E6-AD0E-B2AF0A929CD8}" name="WS MTD" dataDxfId="30" totalsRowDxfId="29"/>
    <tableColumn id="23" xr3:uid="{1D896DDA-6848-4802-B53A-CB5BC00880FE}" name="WS YTD" dataDxfId="28" totalsRowDxfId="27"/>
    <tableColumn id="24" xr3:uid="{96EB1E8B-0CF2-4FAA-8321-B21D2B0DCAB0}" name="Bugt PA" dataDxfId="26" totalsRowDxfId="25" dataCellStyle="Percent 43">
      <calculatedColumnFormula>IFERROR(AF2*AH2*AI2,"")</calculatedColumnFormula>
    </tableColumn>
    <tableColumn id="25" xr3:uid="{E1054CA5-6777-4DD1-948F-9F5D09EBC1A3}" name="Bugt EGA" dataDxfId="24" totalsRowDxfId="23" dataCellStyle="Percent 43"/>
    <tableColumn id="35" xr3:uid="{AEBC90D8-A40F-4FB3-8CC1-17A824BCF062}" name="Bugt TA" dataDxfId="22" totalsRowDxfId="21" dataCellStyle="Percent 43"/>
    <tableColumn id="26" xr3:uid="{96959E93-CC11-4E07-817C-7F0AA706C2DE}" name="Bugt MA" dataDxfId="20" totalsRowDxfId="19" dataCellStyle="Percent 43"/>
    <tableColumn id="30" xr3:uid="{8112CF74-8801-4D0B-B2E8-08FAFD6DB2F8}" name="Bugt IGA" dataDxfId="18" totalsRowDxfId="17" dataCellStyle="Percent 43"/>
    <tableColumn id="32" xr3:uid="{2205618B-2842-4806-ABC6-09649B026DC8}" name="Corelation" dataDxfId="16" totalsRowDxfId="15" dataCellStyle="Percent 43"/>
    <tableColumn id="33" xr3:uid="{92736A64-DAD0-4351-BE43-D25E80BAD5F1}" name="Bugt Line loss" dataDxfId="14" totalsRowDxfId="13" dataCellStyle="Percent 43"/>
    <tableColumn id="34" xr3:uid="{85777FF7-9842-4BE3-8EF4-2A239EA04550}" name="Bugt Reactive Power" dataDxfId="12" totalsRowDxfId="11" dataCellStyle="Percent 43"/>
    <tableColumn id="39" xr3:uid="{316E7A69-6464-42A0-977B-0D0C9E52627B}" name="CC*Bugt (MTD)" dataDxfId="10" totalsRowDxfId="9">
      <calculatedColumnFormula>SUMIF('Daily KPI'!$D:$D,$D2,'Daily KPI'!AS:AS)</calculatedColumnFormula>
    </tableColumn>
    <tableColumn id="40" xr3:uid="{D31FE466-F1CA-444F-B44B-D77971ECC009}" name="CC*Bugt (YTD)" dataDxfId="8" totalsRowDxfId="7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FG136" totalsRowShown="0" headerRowDxfId="644">
  <tableColumns count="163">
    <tableColumn id="5" xr3:uid="{00000000-0010-0000-0100-000005000000}" name="Date" dataDxfId="643" dataCellStyle="Normal 27">
      <calculatedColumnFormula>A4+1</calculatedColumnFormula>
    </tableColumn>
    <tableColumn id="1" xr3:uid="{00000000-0010-0000-0100-000001000000}" name="Finacial Year" dataDxfId="642">
      <calculatedColumnFormula>YEAR(RD[[#This Row],[Date]])+IF(MONTH(RD[[#This Row],[Date]])&gt;=4,1,0)</calculatedColumnFormula>
    </tableColumn>
    <tableColumn id="2" xr3:uid="{00000000-0010-0000-0100-000002000000}" name="Calendor Year" dataDxfId="641">
      <calculatedColumnFormula>YEAR(RD[[#This Row],[Date]])</calculatedColumnFormula>
    </tableColumn>
    <tableColumn id="3" xr3:uid="{00000000-0010-0000-0100-000003000000}" name="Month Year" dataDxfId="640">
      <calculatedColumnFormula>A5-DAY(A5)+1</calculatedColumnFormula>
    </tableColumn>
    <tableColumn id="4" xr3:uid="{00000000-0010-0000-0100-000004000000}" name="Days" dataDxfId="639">
      <calculatedColumnFormula>DAY(EOMONTH(RD[[#This Row],[Date]],0))</calculatedColumnFormula>
    </tableColumn>
    <tableColumn id="149" xr3:uid="{00000000-0010-0000-0100-000095000000}" name="Sunrise Time (POA&gt;20 W/m2)" dataDxfId="638"/>
    <tableColumn id="148" xr3:uid="{00000000-0010-0000-0100-000094000000}" name="Sunset Time (POA&lt;20 W/m2)" dataDxfId="637"/>
    <tableColumn id="11" xr3:uid="{775489D4-51E5-48F0-8C70-E5E8C43B9876}" name="IS1Inv1M1" dataDxfId="636"/>
    <tableColumn id="12" xr3:uid="{84B7B479-49D0-4BDB-AA65-D7BCB9273070}" name="IS1Inv1M2" dataDxfId="635"/>
    <tableColumn id="13" xr3:uid="{038F787D-DAAA-4712-A82B-C7D4AADC1553}" name="IS1Inv1M3" dataDxfId="634"/>
    <tableColumn id="14" xr3:uid="{5FEBFC36-2123-4147-B734-AE2A42DD29A9}" name="IS1Inv1M4" dataDxfId="633"/>
    <tableColumn id="15" xr3:uid="{5AF56C06-ED74-4D9D-8236-6E42998E0A31}" name="IS1Inv2M1" dataDxfId="632"/>
    <tableColumn id="16" xr3:uid="{DC4ED453-2517-41EE-85C2-5C5BE3CDF88A}" name="IS1Inv2M2" dataDxfId="631"/>
    <tableColumn id="17" xr3:uid="{D0807946-EAA4-41CB-922B-343595F0D662}" name="IS1Inv2M3" dataDxfId="630"/>
    <tableColumn id="18" xr3:uid="{D3D0E893-6E5C-48F4-B8C1-9B7DEDB3EDE1}" name="IS1Inv2M4" dataDxfId="629"/>
    <tableColumn id="19" xr3:uid="{FCB2CC18-9FF3-4B78-B3F7-19BA8210B428}" name="IS2Inv1M1" dataDxfId="628"/>
    <tableColumn id="20" xr3:uid="{841B8E06-63EF-400E-ABCA-2199960817D7}" name="IS2Inv1M2" dataDxfId="627"/>
    <tableColumn id="21" xr3:uid="{4ADEF8CF-A3AF-46E7-AB19-C8F85E3ECB4A}" name="IS2Inv1M3" dataDxfId="626"/>
    <tableColumn id="22" xr3:uid="{0485F657-FFB6-4117-81A2-C20690116D07}" name="IS2Inv1M4" dataDxfId="625"/>
    <tableColumn id="23" xr3:uid="{459BF5BF-C7F4-4E17-9129-1CD29FBCFDF6}" name="IS2Inv2M1" dataDxfId="624"/>
    <tableColumn id="24" xr3:uid="{E182142C-E424-4011-A308-A26F225167A3}" name="IS2Inv2M2" dataDxfId="623"/>
    <tableColumn id="25" xr3:uid="{44701232-BE62-47D5-ACAF-CC1E8B0F8B89}" name="IS2Inv2M3" dataDxfId="622"/>
    <tableColumn id="26" xr3:uid="{B2DF58AC-9255-42BD-B50B-04C1A7E5F91F}" name="IS2Inv2M4" dataDxfId="621"/>
    <tableColumn id="125" xr3:uid="{00000000-0010-0000-0100-00007D000000}" name="IS3Inv1M1" dataDxfId="620"/>
    <tableColumn id="126" xr3:uid="{00000000-0010-0000-0100-00007E000000}" name="IS3Inv1M2" dataDxfId="619"/>
    <tableColumn id="127" xr3:uid="{00000000-0010-0000-0100-00007F000000}" name="IS3Inv2M1" dataDxfId="618"/>
    <tableColumn id="128" xr3:uid="{00000000-0010-0000-0100-000080000000}" name="IS3Inv2M2" dataDxfId="617"/>
    <tableColumn id="129" xr3:uid="{00000000-0010-0000-0100-000081000000}" name="IS4Inv1M1" dataDxfId="616"/>
    <tableColumn id="130" xr3:uid="{00000000-0010-0000-0100-000082000000}" name="IS4Inv1M2" dataDxfId="615"/>
    <tableColumn id="131" xr3:uid="{00000000-0010-0000-0100-000083000000}" name="IS4Inv2M1" dataDxfId="614"/>
    <tableColumn id="132" xr3:uid="{00000000-0010-0000-0100-000084000000}" name="IS4Inv2M2" dataDxfId="613"/>
    <tableColumn id="133" xr3:uid="{00000000-0010-0000-0100-000085000000}" name="IS4Inv3M1" dataDxfId="612"/>
    <tableColumn id="116" xr3:uid="{00000000-0010-0000-0100-000074000000}" name="IS4Inv3M2" dataDxfId="611"/>
    <tableColumn id="117" xr3:uid="{00000000-0010-0000-0100-000075000000}" name="IS4Inv4M1" dataDxfId="610"/>
    <tableColumn id="118" xr3:uid="{00000000-0010-0000-0100-000076000000}" name="IS4Inv4M2" dataDxfId="609"/>
    <tableColumn id="32" xr3:uid="{2D2DF571-4036-4B49-93B7-ACC5BE709E80}" name="IS5Inv1M1" dataDxfId="608" dataCellStyle="Percent 2"/>
    <tableColumn id="40" xr3:uid="{98DE6F5A-BC18-4A0A-9078-B2C3598ECA88}" name="IS5Inv1M2" dataDxfId="607" dataCellStyle="Percent 2"/>
    <tableColumn id="47" xr3:uid="{0CB925DC-CEC3-4560-A570-7EDD1B35DD23}" name="IS5Inv2M1" dataDxfId="606" dataCellStyle="Percent 2"/>
    <tableColumn id="46" xr3:uid="{B4807D17-C913-4F3A-991E-666D1D6CC4CD}" name="IS5Inv2M2" dataDxfId="605" dataCellStyle="Percent 2"/>
    <tableColumn id="45" xr3:uid="{836BCB00-4DC6-4DE9-8DF8-5D58905F94F7}" name="IS6Inv1M1" dataDxfId="604" dataCellStyle="Percent 2"/>
    <tableColumn id="44" xr3:uid="{D876972F-754A-4585-A2A3-11440B8E095E}" name="IS6Inv1M2" dataDxfId="603" dataCellStyle="Percent 2"/>
    <tableColumn id="69" xr3:uid="{5644955D-06CF-4DF7-9DC5-4AAF1100B0DB}" name="IS6Inv2M1" dataDxfId="602" dataCellStyle="Percent 2"/>
    <tableColumn id="68" xr3:uid="{07360E15-0471-4551-91B5-AE5E478E7677}" name="IS6Inv2M2" dataDxfId="601" dataCellStyle="Percent 2"/>
    <tableColumn id="67" xr3:uid="{B1F37881-0C62-4D31-83A9-CCFE309BB1FA}" name="IS7Inv1M1" dataDxfId="600" dataCellStyle="Percent 2"/>
    <tableColumn id="71" xr3:uid="{4CC77047-7132-4F03-95FE-48933BFBA07C}" name="IS7Inv2M1" dataDxfId="599" dataCellStyle="Percent 2"/>
    <tableColumn id="59" xr3:uid="{527FC671-961D-4151-AD25-543EB4C2248D}" name="IS8Inv1M1" dataDxfId="598" dataCellStyle="Percent 2"/>
    <tableColumn id="58" xr3:uid="{DD3095EE-07C6-480D-8389-D0298646D33F}" name="IS8Inv1M2" dataDxfId="597" dataCellStyle="Percent 2"/>
    <tableColumn id="57" xr3:uid="{180991F8-B9D8-4C83-96D2-2807E50B49E3}" name="IS8Inv1M3" dataDxfId="596" dataCellStyle="Percent 2"/>
    <tableColumn id="56" xr3:uid="{9553B8E1-60E8-4ED7-8022-03D53300B15D}" name="IS8Inv1M4" dataDxfId="595" dataCellStyle="Percent 2"/>
    <tableColumn id="51" xr3:uid="{7F3EDC40-36CA-4FC2-8F9B-F5FFC1F9B936}" name="IS9Inv1M1" dataDxfId="594" dataCellStyle="Percent 2"/>
    <tableColumn id="50" xr3:uid="{C8A63ADA-49C8-4840-B2AC-D9BAF1854525}" name="IS9Inv1M2" dataDxfId="593" dataCellStyle="Percent 2"/>
    <tableColumn id="49" xr3:uid="{AC56F0F5-E707-421F-83DF-EF5F16690F79}" name="IS9Inv2M1" dataDxfId="592" dataCellStyle="Percent 2"/>
    <tableColumn id="48" xr3:uid="{A2399281-9D6C-489C-B539-8B0B4D078D1F}" name="IS9Inv2M2" dataDxfId="591" dataCellStyle="Percent 2"/>
    <tableColumn id="76" xr3:uid="{ABEDC1EF-0539-4677-A9F7-DA613426101A}" name="IS10Inv1M1" dataDxfId="590" dataCellStyle="Percent 2"/>
    <tableColumn id="77" xr3:uid="{7BD4375B-8796-4C00-A0C3-F7FB34942A07}" name="IS10Inv1M2" dataDxfId="589" dataCellStyle="Percent 2"/>
    <tableColumn id="78" xr3:uid="{415A1FC0-2436-478A-8C66-897C5B09B12F}" name="IS10Inv2M1" dataDxfId="588" dataCellStyle="Percent 2"/>
    <tableColumn id="79" xr3:uid="{BFF44164-9651-45A6-A931-5525F3A92FF7}" name="IS10Inv2M2" dataDxfId="587" dataCellStyle="Percent 2"/>
    <tableColumn id="72" xr3:uid="{F78A302C-D01E-48F8-8CEC-56A3FEBEBD8F}" name="IS10Inv3M1" dataDxfId="586" dataCellStyle="Percent 2"/>
    <tableColumn id="73" xr3:uid="{F001288C-68A0-4177-AC25-886D6AAB75DC}" name="IS10Inv3M2" dataDxfId="585" dataCellStyle="Percent 2"/>
    <tableColumn id="74" xr3:uid="{60398DBC-0F28-438A-9787-1B689474A46D}" name="IS10Inv4M1" dataDxfId="584" dataCellStyle="Percent 2"/>
    <tableColumn id="75" xr3:uid="{8A61362E-EBB0-47DD-A3DE-0ADCDA7F6CFE}" name="IS10Inv4M2" dataDxfId="583" dataCellStyle="Percent 2"/>
    <tableColumn id="64" xr3:uid="{517FD682-CBBE-4720-89E8-8E14D76A5AB1}" name="IS11Inv1M1" dataDxfId="582" dataCellStyle="Percent 2"/>
    <tableColumn id="70" xr3:uid="{BC1DB0D5-FBDA-4A73-A912-2A67C93BBB62}" name="IS11Inv1M2" dataDxfId="581" dataCellStyle="Percent 2"/>
    <tableColumn id="41" xr3:uid="{94262321-E6AB-4776-8540-6402D32E340C}" name="IS11Inv1M3" dataDxfId="580" dataCellStyle="Percent 2"/>
    <tableColumn id="6" xr3:uid="{CF75897E-9104-4770-865A-A18AFE7E128B}" name="IS11Inv1M4" dataDxfId="579" dataCellStyle="Percent 2"/>
    <tableColumn id="100" xr3:uid="{17021C98-B6BE-48D8-AED7-2393830B05CE}" name="IS12Inv1M1" dataDxfId="578" dataCellStyle="Percent 2"/>
    <tableColumn id="101" xr3:uid="{46ABB0AE-BC33-46FD-8EEB-ADCDD29FB5EF}" name="IS12Inv1M2" dataDxfId="577" dataCellStyle="Percent 2"/>
    <tableColumn id="102" xr3:uid="{D125A1DF-E528-414D-A726-BBEC365181BD}" name="IS12Inv1M3" dataDxfId="576" dataCellStyle="Percent 2"/>
    <tableColumn id="104" xr3:uid="{C4524BDF-659A-4556-A47A-4061691D56C5}" name="IS12Inv1M4" dataDxfId="575" dataCellStyle="Percent 2"/>
    <tableColumn id="88" xr3:uid="{F61783ED-D048-4637-BA2E-DCC4D9768D4B}" name="IS13Inv1M1" dataDxfId="574" dataCellStyle="Percent 2"/>
    <tableColumn id="89" xr3:uid="{E1FB032F-DBC6-4678-B207-62F51EA7C7BE}" name="IS13Inv1M2" dataDxfId="573" dataCellStyle="Percent 2"/>
    <tableColumn id="92" xr3:uid="{31EF91BC-DA33-4F0F-A3EE-1EC8CE6DD60F}" name="IS13Inv2M1" dataDxfId="572" dataCellStyle="Percent 2"/>
    <tableColumn id="93" xr3:uid="{B327A84D-C8DC-421C-9F53-283190F111AD}" name="IS13Inv2M2" dataDxfId="571" dataCellStyle="Percent 2"/>
    <tableColumn id="109" xr3:uid="{E3B10579-D81B-42CC-8DB9-08FE4F7E9E60}" name="IS14Inv1M1" dataDxfId="570" dataCellStyle="Percent 2"/>
    <tableColumn id="111" xr3:uid="{3DBC9284-0F61-49CB-8853-6432A2A69DCE}" name="IS14Inv1M2" dataDxfId="569" dataCellStyle="Percent 2"/>
    <tableColumn id="162" xr3:uid="{FE85585E-8BB9-4DF7-8BB8-755DE68D87CB}" name="IS14Inv1M3" dataDxfId="568" dataCellStyle="Percent 2"/>
    <tableColumn id="163" xr3:uid="{C57B32CA-C3E4-44D2-A26F-2C762C4F8E2A}" name="IS14Inv1M4" dataDxfId="567" dataCellStyle="Percent 2"/>
    <tableColumn id="86" xr3:uid="{58DAB093-4E2E-454E-929B-A00CCAC986C7}" name="IS14Inv2M1" dataDxfId="566" dataCellStyle="Percent 2"/>
    <tableColumn id="87" xr3:uid="{F04B17F6-9A2A-480D-BFC7-6868B6357A37}" name="IS14Inv2M2" dataDxfId="565" dataCellStyle="Percent 2"/>
    <tableColumn id="85" xr3:uid="{61A32025-5CFB-4445-9FEB-3AD2F7BB20F1}" name="IS14Inv2M3" dataDxfId="564" dataCellStyle="Percent 2"/>
    <tableColumn id="84" xr3:uid="{C774397A-D81F-45CA-BC3D-6201C0694A75}" name="IS14Inv2M4" dataDxfId="563" dataCellStyle="Percent 2"/>
    <tableColumn id="134" xr3:uid="{00000000-0010-0000-0100-000086000000}" name="IS1POA1 (KWh/m2)" dataDxfId="562"/>
    <tableColumn id="119" xr3:uid="{7A08F9CF-DE2D-467A-9BB9-9C227509592B}" name="IS7POA2 (KWh/m2)" dataDxfId="561" dataCellStyle="Percent 2"/>
    <tableColumn id="135" xr3:uid="{00000000-0010-0000-0100-000087000000}" name="IS1GHI1 (KWh/m2)" dataDxfId="560"/>
    <tableColumn id="120" xr3:uid="{728AE779-26A4-4740-A249-8183004BAD48}" name="IS7GHI2 (KWh/m2)" dataDxfId="559" dataCellStyle="Percent 2"/>
    <tableColumn id="136" xr3:uid="{00000000-0010-0000-0100-000088000000}" name="IS1POA_BS1 (KWh/m2)" dataDxfId="558"/>
    <tableColumn id="121" xr3:uid="{F5A5B7EF-E2E7-4CAF-BCB9-C5021D7F0CFB}" name="IS7POA_BS2 (KWh/m2)" dataDxfId="557" dataCellStyle="Percent 2"/>
    <tableColumn id="83" xr3:uid="{7D6A8A68-0399-4A26-8975-AD89D5010EE5}" name="IS1GHI_BS1 (KWh/m2)" dataDxfId="556" dataCellStyle="Percent 2"/>
    <tableColumn id="107" xr3:uid="{841FE6AA-1539-4053-A2BE-C60831D98E4F}" name="IS1GHI_BS1 (KWh/m2)2" dataDxfId="555" dataCellStyle="Percent 2"/>
    <tableColumn id="137" xr3:uid="{00000000-0010-0000-0100-000089000000}" name="IS1AT1 (°C)" dataDxfId="554"/>
    <tableColumn id="122" xr3:uid="{8FE954B6-E671-43C9-A056-3AFAD2770295}" name="IS7AT2 (°C)" dataDxfId="553" dataCellStyle="Percent 2"/>
    <tableColumn id="138" xr3:uid="{00000000-0010-0000-0100-00008A000000}" name="IS1MT1 (°C)" dataDxfId="552"/>
    <tableColumn id="123" xr3:uid="{6463D0EF-44C5-46C4-B532-20940737F2D4}" name="IS7MT2 (°C)" dataDxfId="551" dataCellStyle="Percent 2"/>
    <tableColumn id="139" xr3:uid="{00000000-0010-0000-0100-00008B000000}" name="IS1RH1 (%)" dataDxfId="550"/>
    <tableColumn id="124" xr3:uid="{B997E8DF-33CE-4B99-AB04-0AF6F85A41A3}" name="IS7RH2 (%)" dataDxfId="549" dataCellStyle="Percent 2"/>
    <tableColumn id="140" xr3:uid="{00000000-0010-0000-0100-00008C000000}" name="IS1Rain1 (mm)" dataDxfId="548"/>
    <tableColumn id="150" xr3:uid="{6B963A74-8B11-4756-9AFE-2CE8E0E539F9}" name="IS7Rain2 (mm)" dataDxfId="547" dataCellStyle="Percent 2"/>
    <tableColumn id="141" xr3:uid="{00000000-0010-0000-0100-00008D000000}" name="WS_Solar1_Avg (m/s)" dataDxfId="546"/>
    <tableColumn id="151" xr3:uid="{4C62BE76-64E9-45CE-8C8C-D47196BDE4FB}" name="IS7_WS_Solar1_Avg (m/s)" dataDxfId="545" dataCellStyle="Percent 2"/>
    <tableColumn id="142" xr3:uid="{00000000-0010-0000-0100-00008E000000}" name="WS_Solar1_Max (m/s)" dataDxfId="544"/>
    <tableColumn id="110" xr3:uid="{E9A15F03-DDD3-4B4E-A752-56D87AB03644}" name="IS7_WS_Solar1_Max (m/s)" dataDxfId="543" dataCellStyle="Percent 2"/>
    <tableColumn id="153" xr3:uid="{1A9CEFE4-EE80-4888-A924-1705D23AE202}" name="Avg POA (KWh/m2)" dataDxfId="542" dataCellStyle="Comma">
      <calculatedColumnFormula>IFERROR(AVERAGEIF(RD[[#This Row],[IS1POA1 (KWh/m2)]:[IS7POA2 (KWh/m2)]],"&lt;&gt;0",RD[[#This Row],[IS1POA1 (KWh/m2)]:[IS7POA2 (KWh/m2)]]),"")</calculatedColumnFormula>
    </tableColumn>
    <tableColumn id="157" xr3:uid="{A0ACA2A1-6D3B-4600-B68B-66D61FE2A602}" name="Avg GHI (KWh/m2)" dataDxfId="541" dataCellStyle="Comma">
      <calculatedColumnFormula>IFERROR(AVERAGEIF(RD[[#This Row],[IS1GHI1 (KWh/m2)]:[IS7GHI2 (KWh/m2)]],"&lt;&gt;0",RD[[#This Row],[IS1GHI1 (KWh/m2)]:[IS7GHI2 (KWh/m2)]]),"")</calculatedColumnFormula>
    </tableColumn>
    <tableColumn id="158" xr3:uid="{412F6C24-AE55-496A-8AEE-ABA5A41DC199}" name="Avg POA_BS (KWh/m2)" dataDxfId="540" dataCellStyle="Comma">
      <calculatedColumnFormula>IFERROR(AVERAGEIF(RD[[#This Row],[IS1POA_BS1 (KWh/m2)]:[IS7POA_BS2 (KWh/m2)]],"&lt;&gt;0",RD[[#This Row],[IS1POA_BS1 (KWh/m2)]:[IS7POA_BS2 (KWh/m2)]]),"")</calculatedColumnFormula>
    </tableColumn>
    <tableColumn id="159" xr3:uid="{CB784CBA-A00E-4608-8E58-4A15C158D765}" name="Avg GHI_BS (KWh/m2)" dataDxfId="539" dataCellStyle="Comma">
      <calculatedColumnFormula>IFERROR(AVERAGEIF(RD[[#This Row],[IS1GHI_BS1 (KWh/m2)]:[IS1GHI_BS1 (KWh/m2)2]],"&lt;&gt;0",RD[[#This Row],[IS1GHI_BS1 (KWh/m2)]:[IS1GHI_BS1 (KWh/m2)2]]),"")</calculatedColumnFormula>
    </tableColumn>
    <tableColumn id="160" xr3:uid="{30BA59A7-6258-47C5-A25B-D8C9AB372B8D}" name="Avg AT (°C)" dataDxfId="538" dataCellStyle="Comma">
      <calculatedColumnFormula>IFERROR(AVERAGEIF(RD[[#This Row],[IS1AT1 (°C)]:[IS7AT2 (°C)]],"&lt;&gt;0",RD[[#This Row],[IS1AT1 (°C)]:[IS7AT2 (°C)]]),"")</calculatedColumnFormula>
    </tableColumn>
    <tableColumn id="155" xr3:uid="{14866C4D-B59E-4C3F-A5FE-D1CFDAC2BD81}" name="Avg MT (°C)" dataDxfId="537" dataCellStyle="Comma">
      <calculatedColumnFormula>IFERROR(AVERAGEIF(RD[[#This Row],[IS1MT1 (°C)]:[IS7MT2 (°C)]],"&lt;&gt;0",RD[[#This Row],[IS1MT1 (°C)]:[IS7MT2 (°C)]]),"")</calculatedColumnFormula>
    </tableColumn>
    <tableColumn id="156" xr3:uid="{B9265C3C-FAE3-4A4A-915B-94CC53CCD32A}" name="Avg RH (%)" dataDxfId="536" dataCellStyle="Comma">
      <calculatedColumnFormula>IFERROR(AVERAGEIF(RD[[#This Row],[IS1RH1 (%)]:[IS7RH2 (%)]],"&lt;&gt;0",RD[[#This Row],[IS1RH1 (%)]:[IS7RH2 (%)]]),"")</calculatedColumnFormula>
    </tableColumn>
    <tableColumn id="154" xr3:uid="{1C0E7F5F-59CD-4BEE-AC36-1B23CDC04467}" name="Avg Rain (mm)" dataDxfId="535" dataCellStyle="Comma">
      <calculatedColumnFormula>IFERROR(AVERAGEIF(RD[[#This Row],[IS1Rain1 (mm)]:[IS7Rain2 (mm)]],"&lt;&gt;0",RD[[#This Row],[IS1Rain1 (mm)]:[IS7Rain2 (mm)]]),"")</calculatedColumnFormula>
    </tableColumn>
    <tableColumn id="161" xr3:uid="{48D64EDD-82FB-43D9-9128-C8DC28C6576E}" name="WS_Solar Avg (m/s)" dataDxfId="534" dataCellStyle="Comma">
      <calculatedColumnFormula>IFERROR(AVERAGEIF(RD[[#This Row],[WS_Solar1_Avg (m/s)]:[IS7_WS_Solar1_Avg (m/s)]],"&lt;&gt;0",RD[[#This Row],[WS_Solar1_Avg (m/s)]:[IS7_WS_Solar1_Avg (m/s)]]),"")</calculatedColumnFormula>
    </tableColumn>
    <tableColumn id="152" xr3:uid="{611F36B7-8DFC-44C8-B3E4-0CCC6C4FEE29}" name="WS_Solar_Max (m/s)" dataDxfId="533" dataCellStyle="Comma">
      <calculatedColumnFormula>IFERROR(AVERAGEIF(RD[[#This Row],[WS_Solar1_Max (m/s)]:[IS7_WS_Solar1_Max (m/s)]],"&lt;&gt;0",RD[[#This Row],[WS_Solar1_Max (m/s)]:[IS7_WS_Solar1_Max (m/s)]]),"")</calculatedColumnFormula>
    </tableColumn>
    <tableColumn id="143" xr3:uid="{00000000-0010-0000-0100-00008F000000}" name="O2R15" dataDxfId="532">
      <calculatedColumnFormula>SUM(RD[[#This Row],[IS1Inv1M1]:[IS4Inv4M2]])</calculatedColumnFormula>
    </tableColumn>
    <tableColumn id="144" xr3:uid="{00000000-0010-0000-0100-000090000000}" name="O2R6" dataDxfId="531" dataCellStyle="Comma">
      <calculatedColumnFormula>SUM(RD[[#This Row],[IS7Inv1M1]]+RD[[#This Row],[IS7Inv2M1]])</calculatedColumnFormula>
    </tableColumn>
    <tableColumn id="145" xr3:uid="{00000000-0010-0000-0100-000091000000}" name="O2R11" dataDxfId="530">
      <calculatedColumnFormula>SUM(RD[[#This Row],[IS5Inv1M1]:[IS5Inv2M2]])</calculatedColumnFormula>
    </tableColumn>
    <tableColumn id="146" xr3:uid="{00000000-0010-0000-0100-000092000000}" name="O2R12" dataDxfId="529">
      <calculatedColumnFormula>SUM(RD[[#This Row],[IS8Inv1M1]:[IS9Inv2M2]])</calculatedColumnFormula>
    </tableColumn>
    <tableColumn id="27" xr3:uid="{E308E821-9388-43E4-BFB4-447597E88ECB}" name="O2R17" dataDxfId="528">
      <calculatedColumnFormula>SUM(RD[[#This Row],[IS6Inv1M1]:[IS6Inv2M2]])</calculatedColumnFormula>
    </tableColumn>
    <tableColumn id="81" xr3:uid="{03D110F2-F556-427D-A1A4-85D27F184449}" name="O2R14" dataDxfId="527" dataCellStyle="Comma">
      <calculatedColumnFormula>SUM(RD[[#This Row],[IS10Inv1M1]:[IS11Inv1M4]],RD[[#This Row],[IS14Inv1M1]:[IS14Inv2M4]])</calculatedColumnFormula>
    </tableColumn>
    <tableColumn id="108" xr3:uid="{9841ECE7-A752-4052-8CF9-A7B10CCF6E56}" name="O2R24" dataDxfId="526" dataCellStyle="Comma">
      <calculatedColumnFormula>SUM(RD[[#This Row],[IS12Inv1M1]:[IS12Inv1M4]])</calculatedColumnFormula>
    </tableColumn>
    <tableColumn id="106" xr3:uid="{F11C2A69-22D5-4073-BB8E-49CE0C52DD6E}" name="O2R26" dataDxfId="525" dataCellStyle="Comma">
      <calculatedColumnFormula>SUM(RD[[#This Row],[IS13Inv1M1]:[IS13Inv2M2]])</calculatedColumnFormula>
    </tableColumn>
    <tableColumn id="147" xr3:uid="{00000000-0010-0000-0100-000093000000}" name="Inv Total Gneration (MWh)" dataDxfId="524">
      <calculatedColumnFormula>SUM(RD[[#This Row],[O2R15]:[O2R26]])</calculatedColumnFormula>
    </tableColumn>
    <tableColumn id="52" xr3:uid="{00000000-0010-0000-0100-000034000000}" name="33 kV_F3_Ex_x000a_Incomer1" dataDxfId="523"/>
    <tableColumn id="7" xr3:uid="{B55B57F2-7E08-4DF7-AA0C-3606328C56C2}" name="34 kV_F3_Im_x000a_Incomer1" dataDxfId="522"/>
    <tableColumn id="53" xr3:uid="{00000000-0010-0000-0100-000035000000}" name="33 kV_F4_Ex_x000a_Incomer2" dataDxfId="521"/>
    <tableColumn id="54" xr3:uid="{00000000-0010-0000-0100-000036000000}" name="34 kV_F4_Im_x000a_Incomer2" dataDxfId="520"/>
    <tableColumn id="28" xr3:uid="{AB241F6E-2D2F-4263-8D18-CE757432A50D}" name="33 kV_F5_Ex_x000a_Incomer3" dataDxfId="519"/>
    <tableColumn id="29" xr3:uid="{E42C3AD3-55C8-4E4F-8C04-75608AF0CC94}" name="34 kV_F5_Im_x000a_Incomer3" dataDxfId="518"/>
    <tableColumn id="55" xr3:uid="{00000000-0010-0000-0100-000037000000}" name="33 kV_F6_Ex_x000a_Incomer4" dataDxfId="517"/>
    <tableColumn id="30" xr3:uid="{CBF31314-341D-4BB6-BA0B-86F675EF0091}" name="33 kV_F6_Im_x000a_Incomer4" dataDxfId="516"/>
    <tableColumn id="113" xr3:uid="{DC90B3F2-273C-4841-A7A1-FD68287213D2}" name="33 kV_F7_Ex_x000a_Incomer5" dataDxfId="515"/>
    <tableColumn id="112" xr3:uid="{53BA9390-091F-475E-946D-1CC14B945CE9}" name="33 kV_F7_Im_x000a_Incomer5" dataDxfId="514"/>
    <tableColumn id="31" xr3:uid="{D4A30DB4-BEE4-468D-B08C-CDCBD1E4CCCD}" name="33 kV_Aux Trafo" dataDxfId="513"/>
    <tableColumn id="60" xr3:uid="{00000000-0010-0000-0100-00003C000000}" name="33kV_OG1_Ex_" dataDxfId="512"/>
    <tableColumn id="61" xr3:uid="{00000000-0010-0000-0100-00003D000000}" name="33kV_OG1_Im" dataDxfId="511"/>
    <tableColumn id="62" xr3:uid="{00000000-0010-0000-0100-00003E000000}" name="132kV_TX1_EX" dataDxfId="510"/>
    <tableColumn id="63" xr3:uid="{00000000-0010-0000-0100-00003F000000}" name="132 kV_Tx1_Im" dataDxfId="509"/>
    <tableColumn id="65" xr3:uid="{00000000-0010-0000-0100-000041000000}" name="132kV_L1_Ex" dataDxfId="508"/>
    <tableColumn id="66" xr3:uid="{00000000-0010-0000-0100-000042000000}" name="132kV_L1_Im" dataDxfId="507"/>
    <tableColumn id="90" xr3:uid="{00000000-0010-0000-0100-00005A000000}" name="33 kV_F3_Ex (kWh)" dataDxfId="506" dataCellStyle="Comma">
      <calculatedColumnFormula>IF((#REF!-#REF!)*225000&lt;=0,"",(#REF!-#REF!)*225000)</calculatedColumnFormula>
    </tableColumn>
    <tableColumn id="91" xr3:uid="{00000000-0010-0000-0100-00005B000000}" name="33 kV_F3_Im (kWh)" dataDxfId="505" dataCellStyle="Comma"/>
    <tableColumn id="37" xr3:uid="{C85B304A-00CE-426D-938B-CE57066F95D8}" name="33 kV_F4_Ex (kWh)" dataDxfId="504" dataCellStyle="Comma"/>
    <tableColumn id="38" xr3:uid="{8C800812-ECAE-4A39-BA92-6E86A3974D60}" name="33 kV_F4_Im (kWh)" dataDxfId="503" dataCellStyle="Comma"/>
    <tableColumn id="35" xr3:uid="{7F896591-7DCB-4993-9FD3-AAD256E75BAC}" name="33 kV_F5_Ex (kWh)" dataDxfId="502" dataCellStyle="Comma"/>
    <tableColumn id="36" xr3:uid="{96EE4109-12A9-402B-9AA2-BA1DF4D7AAA4}" name="33 kV_F5_Im (kWh)" dataDxfId="501" dataCellStyle="Comma"/>
    <tableColumn id="33" xr3:uid="{A7A03E52-8807-447B-9D02-751484AD104F}" name="33 kV_F6_Ex (kWh)" dataDxfId="500" dataCellStyle="Comma"/>
    <tableColumn id="39" xr3:uid="{7A2B0238-6F96-498B-8205-86E5C32AAC31}" name="33 kV_F6_Im (kWh)" dataDxfId="499" dataCellStyle="Comma"/>
    <tableColumn id="115" xr3:uid="{8FCF6A1B-0F2A-4907-8B36-03977D005297}" name="33 kV_F7_Ex (kWh)" dataDxfId="498" dataCellStyle="Comma">
      <calculatedColumnFormula>IF((RD[[#This Row],[33 kV_F6_Ex
Incomer4]]-#REF!)*1000&lt;0,0,(RD[[#This Row],[33 kV_F6_Ex
Incomer4]]-#REF!)*1000)</calculatedColumnFormula>
    </tableColumn>
    <tableColumn id="114" xr3:uid="{4D8FD731-437D-4F34-9131-C611F5990BF4}" name="33 kV_F7_Im (kWh)" dataDxfId="497" dataCellStyle="Comma">
      <calculatedColumnFormula>IF((RD[[#This Row],[33 kV_F6_Im
Incomer4]]-#REF!)*1000&lt;0,0,(RD[[#This Row],[33 kV_F6_Im
Incomer4]]-#REF!)*1000)</calculatedColumnFormula>
    </tableColumn>
    <tableColumn id="34" xr3:uid="{5B667450-B4C6-471F-8FF5-17A24EF16D1F}" name="33 kV_Aux Trafo_Im (kWh)" dataDxfId="496" dataCellStyle="Comma"/>
    <tableColumn id="94" xr3:uid="{00000000-0010-0000-0100-00005E000000}" name="33kV_OG1_Ex (MWh)" dataDxfId="495" dataCellStyle="Comma">
      <calculatedColumnFormula>IF((RD[[#This Row],[33kV_OG1_Ex_]]-EB4)*1000&lt;=0,0,(RD[[#This Row],[33kV_OG1_Ex_]]-EB4)*1000)</calculatedColumnFormula>
    </tableColumn>
    <tableColumn id="95" xr3:uid="{00000000-0010-0000-0100-00005F000000}" name="33kV_OG1_Im (MWh)" dataDxfId="494" dataCellStyle="Comma">
      <calculatedColumnFormula>IFERROR(IF((RD[[#This Row],[33kV_OG1_Im]]-EC4)*1000&lt;=0,0,(RD[[#This Row],[33kV_OG1_Im]]-EC4)*1000),0)</calculatedColumnFormula>
    </tableColumn>
    <tableColumn id="96" xr3:uid="{00000000-0010-0000-0100-000060000000}" name="132kV_TX1_Ex(MWh)" dataDxfId="493" dataCellStyle="Comma">
      <calculatedColumnFormula>(RD[[#This Row],[132kV_TX1_EX]]-EE2)</calculatedColumnFormula>
    </tableColumn>
    <tableColumn id="97" xr3:uid="{00000000-0010-0000-0100-000061000000}" name="132kV_TX1_Im(MWh)" dataDxfId="492" dataCellStyle="Comma">
      <calculatedColumnFormula>IF((RD[[#This Row],[132 kV_Tx1_Im]]-EE4)*800000&lt;=0,0,(RD[[#This Row],[132 kV_Tx1_Im]]-EE4)*800000)</calculatedColumnFormula>
    </tableColumn>
    <tableColumn id="98" xr3:uid="{00000000-0010-0000-0100-000062000000}" name="132kV_L1_Ex(MWh)" dataDxfId="491" dataCellStyle="Comma">
      <calculatedColumnFormula>IF((RD[[#This Row],[132kV_L1_Ex]]-EF4)*1600000&lt;=0,0,(RD[[#This Row],[132kV_L1_Ex]]-EF4)*1600000)</calculatedColumnFormula>
    </tableColumn>
    <tableColumn id="99" xr3:uid="{00000000-0010-0000-0100-000063000000}" name="132kV_L1_Im(MWh)" dataDxfId="490" dataCellStyle="Comma">
      <calculatedColumnFormula>IF((RD[[#This Row],[132kV_L1_Im]]-EG4)*1600000&lt;=0,"",(RD[[#This Row],[132kV_L1_Im]]-EG4)*1600000)</calculatedColumnFormula>
    </tableColumn>
    <tableColumn id="103" xr3:uid="{00000000-0010-0000-0100-000067000000}" name="33kV_Ex(MWh)" dataDxfId="489" dataCellStyle="Comma">
      <calculatedColumnFormula>IFERROR(RD[[#This Row],[33kV_OG1_Ex (MWh)]]+RD[[#This Row],[33kV_OG1_Im (MWh)]],"")</calculatedColumnFormula>
    </tableColumn>
    <tableColumn id="42" xr3:uid="{F1C79650-62D4-42B8-97BA-CF24EBB85D4D}" name="33kV_Net_Ex (MWh)" dataDxfId="488" dataCellStyle="Comma">
      <calculatedColumnFormula>RD[[#This Row],[33kV_OG1_Ex (MWh)]]-RD[[#This Row],[33kV_OG1_Im (MWh)]]</calculatedColumnFormula>
    </tableColumn>
    <tableColumn id="43" xr3:uid="{111D6125-CBE4-465A-9A1A-932A1438AB47}" name="132kV_Net_Ex (MWh)\" dataDxfId="487" dataCellStyle="Comma">
      <calculatedColumnFormula>IFERROR(RD[[#This Row],[132kV_L1_Ex(MWh)]]-RD[[#This Row],[132kV_L1_Im(MWh)]],"")</calculatedColumnFormula>
    </tableColumn>
    <tableColumn id="105" xr3:uid="{00000000-0010-0000-0100-000069000000}" name="AC System Loss(%)" dataDxfId="486">
      <calculatedColumnFormula>IFERROR(RD[[#This Row],[33kV_Ex(MWh)]]/RD[[#This Row],[Inv Total Gneration (MWh)]]-1,"")</calculatedColumnFormula>
    </tableColumn>
    <tableColumn id="80" xr3:uid="{00000000-0010-0000-0100-000050000000}" name="Solar Operating Hours" dataDxfId="485">
      <calculatedColumnFormula>IFERROR((RD[[#This Row],[Sunset Time (POA&lt;20 W/m2)]]-RD[[#This Row],[Sunrise Time (POA&gt;20 W/m2)]])*24,0)</calculatedColumnFormula>
    </tableColumn>
    <tableColumn id="82" xr3:uid="{00000000-0010-0000-0100-000052000000}" name="Connected DC Capcity (MWp)" dataDxfId="484"/>
    <tableColumn id="8" xr3:uid="{8F7AC06E-FEB9-4AE3-827B-1577A98AC46C}" name="E_AC (WPR)"/>
    <tableColumn id="9" xr3:uid="{672E6A17-7C42-4167-BEFB-66588AD1DA67}" name="E_DC (WPR)"/>
    <tableColumn id="10" xr3:uid="{C718C61C-C397-48B9-8109-BE433EC2FE7F}" name="WPR (%)" dataDxfId="483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71E75-105D-4733-9625-B190A1C89592}" name="Inv_SY_B" displayName="Inv_SY_B" ref="B3:BY35" totalsRowShown="0" headerRowDxfId="482" dataDxfId="480" headerRowBorderDxfId="481" tableBorderDxfId="479" totalsRowBorderDxfId="478" headerRowCellStyle="Normal 26">
  <autoFilter ref="B3:BY35" xr:uid="{F3671E75-105D-4733-9625-B190A1C89592}"/>
  <tableColumns count="76">
    <tableColumn id="1" xr3:uid="{F0938746-5CC3-4ADA-9B0F-8FB1D5902066}" name="Date" dataDxfId="477">
      <calculatedColumnFormula>B3+1</calculatedColumnFormula>
    </tableColumn>
    <tableColumn id="2" xr3:uid="{D9175AA9-0797-4833-AA60-7BE306FED544}" name="IS1Inv1M1" dataDxfId="476">
      <calculatedColumnFormula>IFERROR(VLOOKUP($B4,RD[#All],C$2,0)/C$1,"")</calculatedColumnFormula>
    </tableColumn>
    <tableColumn id="3" xr3:uid="{4798FFEF-E249-497D-AF51-9F3AC0753102}" name="IS1Inv1M2" dataDxfId="475">
      <calculatedColumnFormula>IFERROR(VLOOKUP($B4,RD[#All],D$2,0)/D$1,"")</calculatedColumnFormula>
    </tableColumn>
    <tableColumn id="4" xr3:uid="{A5318069-BF43-4240-8685-9CB9402669BA}" name="IS1Inv1M3" dataDxfId="474">
      <calculatedColumnFormula>IFERROR(VLOOKUP($B4,RD[#All],E$2,0)/E$1,"")</calculatedColumnFormula>
    </tableColumn>
    <tableColumn id="5" xr3:uid="{C9E3B02A-199B-411C-8A93-36B22E13B1BD}" name="IS1Inv1M4" dataDxfId="473">
      <calculatedColumnFormula>IFERROR(VLOOKUP($B4,RD[#All],F$2,0)/F$1,"")</calculatedColumnFormula>
    </tableColumn>
    <tableColumn id="6" xr3:uid="{9CCCF42B-3DCE-4432-A289-5DBFD6D8AEED}" name="IS1Inv2M1" dataDxfId="472">
      <calculatedColumnFormula>IFERROR(VLOOKUP($B4,RD[#All],G$2,0)/G$1,"")</calculatedColumnFormula>
    </tableColumn>
    <tableColumn id="7" xr3:uid="{AB612074-AD7F-4C87-B977-DE15C75D4F40}" name="IS1Inv2M2" dataDxfId="471">
      <calculatedColumnFormula>IFERROR(VLOOKUP($B4,RD[#All],H$2,0)/H$1,"")</calculatedColumnFormula>
    </tableColumn>
    <tableColumn id="8" xr3:uid="{B8F72C8F-4099-45F1-B5B1-4FC92E036C3B}" name="IS1Inv2M3" dataDxfId="470">
      <calculatedColumnFormula>IFERROR(VLOOKUP($B4,RD[#All],I$2,0)/I$1,"")</calculatedColumnFormula>
    </tableColumn>
    <tableColumn id="9" xr3:uid="{A36BE26B-5EE1-4D8A-B5ED-0425FE43708A}" name="IS1Inv2M4" dataDxfId="469">
      <calculatedColumnFormula>IFERROR(VLOOKUP($B4,RD[#All],J$2,0)/J$1,"")</calculatedColumnFormula>
    </tableColumn>
    <tableColumn id="10" xr3:uid="{29C5DF81-FFC7-4507-9E64-3E90B2903AB5}" name="IS2Inv1M1" dataDxfId="468">
      <calculatedColumnFormula>IFERROR(VLOOKUP($B4,RD[#All],K$2,0)/K$1,"")</calculatedColumnFormula>
    </tableColumn>
    <tableColumn id="11" xr3:uid="{A31307A6-E453-4F10-843E-B406FCC35E5B}" name="IS2Inv1M2" dataDxfId="467">
      <calculatedColumnFormula>IFERROR(VLOOKUP($B4,RD[#All],L$2,0)/L$1,"")</calculatedColumnFormula>
    </tableColumn>
    <tableColumn id="12" xr3:uid="{1EFF8765-59F6-4F72-AD62-3AA4BB89A400}" name="IS2Inv1M3" dataDxfId="466">
      <calculatedColumnFormula>IFERROR(VLOOKUP($B4,RD[#All],M$2,0)/M$1,"")</calculatedColumnFormula>
    </tableColumn>
    <tableColumn id="13" xr3:uid="{1D1BE027-5594-4CCD-ABB0-5B589EC3D209}" name="IS2Inv1M4" dataDxfId="465">
      <calculatedColumnFormula>IFERROR(VLOOKUP($B4,RD[#All],N$2,0)/N$1,"")</calculatedColumnFormula>
    </tableColumn>
    <tableColumn id="14" xr3:uid="{8A62AA13-9EF9-4D7C-8A62-3C1C1B23E118}" name="IS2Inv2M1" dataDxfId="464">
      <calculatedColumnFormula>IFERROR(VLOOKUP($B4,RD[#All],O$2,0)/O$1,"")</calculatedColumnFormula>
    </tableColumn>
    <tableColumn id="15" xr3:uid="{D26A34BA-B28E-4F99-8972-0BE1E598943F}" name="IS2Inv2M2" dataDxfId="463">
      <calculatedColumnFormula>IFERROR(VLOOKUP($B4,RD[#All],P$2,0)/P$1,"")</calculatedColumnFormula>
    </tableColumn>
    <tableColumn id="16" xr3:uid="{82909D6D-9FC4-49EE-B2FA-B40F633E7A76}" name="IS2Inv2M3" dataDxfId="462">
      <calculatedColumnFormula>IFERROR(VLOOKUP($B4,RD[#All],Q$2,0)/Q$1,"")</calculatedColumnFormula>
    </tableColumn>
    <tableColumn id="17" xr3:uid="{9663A0D2-7B45-4848-A91C-64EA6B586BEE}" name="IS2Inv2M4" dataDxfId="461">
      <calculatedColumnFormula>IFERROR(VLOOKUP($B4,RD[#All],R$2,0)/R$1,"")</calculatedColumnFormula>
    </tableColumn>
    <tableColumn id="18" xr3:uid="{94C80722-528E-4A43-85F9-4960528E2B0E}" name="IS3Inv1M1" dataDxfId="460">
      <calculatedColumnFormula>IFERROR(VLOOKUP($B4,RD[#All],S$2,0)/S$1,"")</calculatedColumnFormula>
    </tableColumn>
    <tableColumn id="19" xr3:uid="{27D94726-787A-4492-9E5A-7CF9403FCF06}" name="IS3Inv1M2" dataDxfId="459">
      <calculatedColumnFormula>IFERROR(VLOOKUP($B4,RD[#All],T$2,0)/T$1,"")</calculatedColumnFormula>
    </tableColumn>
    <tableColumn id="20" xr3:uid="{C003A260-35CC-4CBB-B547-E5267937BA90}" name="IS3Inv2M1" dataDxfId="458">
      <calculatedColumnFormula>IFERROR(VLOOKUP($B4,RD[#All],U$2,0)/U$1,"")</calculatedColumnFormula>
    </tableColumn>
    <tableColumn id="21" xr3:uid="{D37EBD20-A4CA-4B7C-BCE2-D12E3A919494}" name="IS3Inv2M2" dataDxfId="457">
      <calculatedColumnFormula>IFERROR(VLOOKUP($B4,RD[#All],V$2,0)/V$1,"")</calculatedColumnFormula>
    </tableColumn>
    <tableColumn id="22" xr3:uid="{516FC3B3-355B-462C-838A-0641FF8EFAE7}" name="IS4Inv1M1" dataDxfId="456">
      <calculatedColumnFormula>IFERROR(VLOOKUP($B4,RD[#All],W$2,0)/W$1,"")</calculatedColumnFormula>
    </tableColumn>
    <tableColumn id="23" xr3:uid="{AE9F4EF3-65EE-4843-9DB6-F0E622C6D0AB}" name="IS4Inv1M2" dataDxfId="455">
      <calculatedColumnFormula>IFERROR(VLOOKUP($B4,RD[#All],X$2,0)/X$1,"")</calculatedColumnFormula>
    </tableColumn>
    <tableColumn id="24" xr3:uid="{64F25280-64CB-45EE-A1FF-51F95B963EFA}" name="IS4Inv2M1" dataDxfId="454">
      <calculatedColumnFormula>IFERROR(VLOOKUP($B4,RD[#All],Y$2,0)/Y$1,"")</calculatedColumnFormula>
    </tableColumn>
    <tableColumn id="25" xr3:uid="{6B3BCA9E-20E5-4C7C-87EC-C9094AE73DD5}" name="IS4Inv2M2" dataDxfId="453">
      <calculatedColumnFormula>IFERROR(VLOOKUP($B4,RD[#All],Z$2,0)/Z$1,"")</calculatedColumnFormula>
    </tableColumn>
    <tableColumn id="26" xr3:uid="{2821BCB3-FF53-4883-B1B6-0DF2B5F77366}" name="IS4Inv3M1" dataDxfId="452">
      <calculatedColumnFormula>IFERROR(VLOOKUP($B4,RD[#All],AA$2,0)/AA$1,"")</calculatedColumnFormula>
    </tableColumn>
    <tableColumn id="27" xr3:uid="{ABDCF31D-AEA6-48F4-8F74-AA0DFE550DFF}" name="IS4Inv3M2" dataDxfId="451">
      <calculatedColumnFormula>IFERROR(VLOOKUP($B4,RD[#All],AB$2,0)/AB$1,"")</calculatedColumnFormula>
    </tableColumn>
    <tableColumn id="28" xr3:uid="{6CFE99B6-4724-4E38-8560-3D8FE46B4464}" name="IS4Inv4M1" dataDxfId="450">
      <calculatedColumnFormula>IFERROR(VLOOKUP($B4,RD[#All],AC$2,0)/AC$1,"")</calculatedColumnFormula>
    </tableColumn>
    <tableColumn id="29" xr3:uid="{203011A9-F6F4-42D8-AF4B-47E1B472EC56}" name="IS4Inv4M2" dataDxfId="449">
      <calculatedColumnFormula>IFERROR(VLOOKUP($B4,RD[#All],AD$2,0)/AD$1,"")</calculatedColumnFormula>
    </tableColumn>
    <tableColumn id="30" xr3:uid="{301EF393-65C7-4305-A588-0B49D6AE8EE2}" name="IS5Inv1M1" dataDxfId="448">
      <calculatedColumnFormula>IFERROR(VLOOKUP($B4,RD[#All],AE$2,0)/AE$1,"")</calculatedColumnFormula>
    </tableColumn>
    <tableColumn id="31" xr3:uid="{6B93023E-DFC9-4560-9101-77B02A2E259C}" name="IS5Inv1M2" dataDxfId="447">
      <calculatedColumnFormula>IFERROR(VLOOKUP($B4,RD[#All],AF$2,0)/AF$1,"")</calculatedColumnFormula>
    </tableColumn>
    <tableColumn id="32" xr3:uid="{D00ACC6E-40C6-416C-806C-79B77985ACD8}" name="IS5Inv2M1" dataDxfId="446">
      <calculatedColumnFormula>IFERROR(VLOOKUP($B4,RD[#All],AG$2,0)/AG$1,"")</calculatedColumnFormula>
    </tableColumn>
    <tableColumn id="33" xr3:uid="{632CBDB1-640F-42D1-A1F2-D4733C4B0792}" name="IS5Inv2M2" dataDxfId="445">
      <calculatedColumnFormula>IFERROR(VLOOKUP($B4,RD[#All],AH$2,0)/AH$1,"")</calculatedColumnFormula>
    </tableColumn>
    <tableColumn id="34" xr3:uid="{1B3A920F-A9A0-4DC8-BF7C-8BD8E696A622}" name="IS6Inv1M1" dataDxfId="444">
      <calculatedColumnFormula>IFERROR(VLOOKUP($B4,RD[#All],AI$2,0)/AI$1,"")</calculatedColumnFormula>
    </tableColumn>
    <tableColumn id="35" xr3:uid="{EAF0814E-7A86-43AE-B9FE-0591B4A0EB84}" name="IS6Inv1M2" dataDxfId="443">
      <calculatedColumnFormula>IFERROR(VLOOKUP($B4,RD[#All],AJ$2,0)/AJ$1,"")</calculatedColumnFormula>
    </tableColumn>
    <tableColumn id="36" xr3:uid="{8B992B25-D474-4504-B118-BD7EE8553AC5}" name="IS6Inv2M1" dataDxfId="442">
      <calculatedColumnFormula>IFERROR(VLOOKUP($B4,RD[#All],AK$2,0)/AK$1,"")</calculatedColumnFormula>
    </tableColumn>
    <tableColumn id="37" xr3:uid="{30738F85-96DA-4FD3-9C89-8332DF014146}" name="IS6Inv2M2" dataDxfId="441">
      <calculatedColumnFormula>IFERROR(VLOOKUP($B4,RD[#All],AL$2,0)/AL$1,"")</calculatedColumnFormula>
    </tableColumn>
    <tableColumn id="38" xr3:uid="{FD48198C-5277-43DB-B810-3E5D3F07A63D}" name="IS7Inv1M1" dataDxfId="440">
      <calculatedColumnFormula>IFERROR(VLOOKUP($B4,RD[#All],AM$2,0)/AM$1,"")</calculatedColumnFormula>
    </tableColumn>
    <tableColumn id="39" xr3:uid="{B32E1CA8-0322-4914-B9AA-E6699A9B9031}" name="IS7Inv2M1" dataDxfId="439">
      <calculatedColumnFormula>IFERROR(VLOOKUP($B4,RD[#All],AN$2,0)/AN$1,"")</calculatedColumnFormula>
    </tableColumn>
    <tableColumn id="40" xr3:uid="{1F492E61-0D53-4623-98C1-F44757C08B81}" name="IS8Inv1M1" dataDxfId="438">
      <calculatedColumnFormula>IFERROR(VLOOKUP($B4,RD[#All],AO$2,0)/AO$1,"")</calculatedColumnFormula>
    </tableColumn>
    <tableColumn id="41" xr3:uid="{27718040-6048-4612-91EC-246F8AFED2B6}" name="IS8Inv1M2" dataDxfId="437">
      <calculatedColumnFormula>IFERROR(VLOOKUP($B4,RD[#All],AP$2,0)/AP$1,"")</calculatedColumnFormula>
    </tableColumn>
    <tableColumn id="42" xr3:uid="{81C12B84-508B-41C9-8526-142BAF0631BC}" name="IS8Inv1M3" dataDxfId="436">
      <calculatedColumnFormula>IFERROR(VLOOKUP($B4,RD[#All],AQ$2,0)/AQ$1,"")</calculatedColumnFormula>
    </tableColumn>
    <tableColumn id="43" xr3:uid="{530F1D3F-8E08-4B7B-9AD5-7C40D918B534}" name="IS8Inv1M4" dataDxfId="435">
      <calculatedColumnFormula>IFERROR(VLOOKUP($B4,RD[#All],AR$2,0)/AR$1,"")</calculatedColumnFormula>
    </tableColumn>
    <tableColumn id="44" xr3:uid="{B65156E3-FF52-4C46-A0D5-C5B848A6E468}" name="IS9Inv1M1" dataDxfId="434">
      <calculatedColumnFormula>IFERROR(VLOOKUP($B4,RD[#All],AS$2,0)/AS$1,"")</calculatedColumnFormula>
    </tableColumn>
    <tableColumn id="45" xr3:uid="{88C0951A-5BF4-4C1B-A8A7-CC626FB86F1F}" name="IS9Inv1M2" dataDxfId="433">
      <calculatedColumnFormula>IFERROR(VLOOKUP($B4,RD[#All],AT$2,0)/AT$1,"")</calculatedColumnFormula>
    </tableColumn>
    <tableColumn id="46" xr3:uid="{782BD676-A24F-4442-B79F-0AFEA82879BC}" name="IS9Inv2M1" dataDxfId="432">
      <calculatedColumnFormula>IFERROR(VLOOKUP($B4,RD[#All],AU$2,0)/AU$1,"")</calculatedColumnFormula>
    </tableColumn>
    <tableColumn id="47" xr3:uid="{1795B565-CD8F-4AA6-BCB0-FA10767E234B}" name="IS9Inv2M2" dataDxfId="431">
      <calculatedColumnFormula>IFERROR(VLOOKUP($B4,RD[#All],AV$2,0)/AV$1,"")</calculatedColumnFormula>
    </tableColumn>
    <tableColumn id="58" xr3:uid="{AE4E4B85-2D6F-4076-B333-92B80E3CE5A3}" name="IS10Inv1M1" dataDxfId="430">
      <calculatedColumnFormula>IFERROR(VLOOKUP($B4,RD[#All],AW$2,0)/AW$1,"")</calculatedColumnFormula>
    </tableColumn>
    <tableColumn id="59" xr3:uid="{0170AB5B-E031-4009-B302-50030B242BA7}" name="IS10Inv1M2" dataDxfId="429">
      <calculatedColumnFormula>IFERROR(VLOOKUP($B4,RD[#All],AX$2,0)/AX$1,"")</calculatedColumnFormula>
    </tableColumn>
    <tableColumn id="60" xr3:uid="{36D33D48-1E2E-47EE-9A99-D54F9C3B88F3}" name="IS10Inv2M1" dataDxfId="428">
      <calculatedColumnFormula>IFERROR(VLOOKUP($B4,RD[#All],AY$2,0)/AY$1,"")</calculatedColumnFormula>
    </tableColumn>
    <tableColumn id="61" xr3:uid="{EBA55433-4465-47CF-9B85-F1558BE679E8}" name="IS10Inv2M2" dataDxfId="427">
      <calculatedColumnFormula>IFERROR(VLOOKUP($B4,RD[#All],AZ$2,0)/AZ$1,"")</calculatedColumnFormula>
    </tableColumn>
    <tableColumn id="62" xr3:uid="{FD2A2CF7-0005-4CAB-A6F8-2AC7901CD479}" name="IS10Inv3M1" dataDxfId="426">
      <calculatedColumnFormula>IFERROR(VLOOKUP($B4,RD[#All],BA$2,0)/BA$1,"")</calculatedColumnFormula>
    </tableColumn>
    <tableColumn id="63" xr3:uid="{5C2F75F8-9DAA-40CF-9C3A-97DF14B1C587}" name="IS10Inv3M2" dataDxfId="425">
      <calculatedColumnFormula>IFERROR(VLOOKUP($B4,RD[#All],BB$2,0)/BB$1,"")</calculatedColumnFormula>
    </tableColumn>
    <tableColumn id="64" xr3:uid="{14A130F3-3897-4211-8734-9B2E039E3E27}" name="IS10Inv4M1" dataDxfId="424">
      <calculatedColumnFormula>IFERROR(VLOOKUP($B4,RD[#All],BC$2,0)/BC$1,"")</calculatedColumnFormula>
    </tableColumn>
    <tableColumn id="65" xr3:uid="{62CA1C75-25D6-4D68-BFB8-16A89E90146E}" name="IS10Inv4M2" dataDxfId="423">
      <calculatedColumnFormula>IFERROR(VLOOKUP($B4,RD[#All],BD$2,0)/BD$1,"")</calculatedColumnFormula>
    </tableColumn>
    <tableColumn id="66" xr3:uid="{1D69A5A4-9263-434F-97DC-9BC86134B51C}" name="IS11Inv1M1" dataDxfId="422">
      <calculatedColumnFormula>IFERROR(VLOOKUP($B4,RD[#All],BE$2,0)/BE$1,"")</calculatedColumnFormula>
    </tableColumn>
    <tableColumn id="67" xr3:uid="{17F4AE38-E931-47DB-9BF7-127941476CE8}" name="IS11Inv1M2" dataDxfId="421">
      <calculatedColumnFormula>IFERROR(VLOOKUP($B4,RD[#All],BF$2,0)/BF$1,"")</calculatedColumnFormula>
    </tableColumn>
    <tableColumn id="54" xr3:uid="{F7940FA0-6802-4303-A6BD-C53A9C78ECDD}" name="IS11Inv1M3" dataDxfId="420">
      <calculatedColumnFormula>IFERROR(VLOOKUP($B4,RD[#All],BG$2,0)/BG$1,"")</calculatedColumnFormula>
    </tableColumn>
    <tableColumn id="55" xr3:uid="{BDF39087-242F-4787-B0BD-544068B3C914}" name="IS11Inv1M4" dataDxfId="419">
      <calculatedColumnFormula>IFERROR(VLOOKUP($B4,RD[#All],BH$2,0)/BH$1,"")</calculatedColumnFormula>
    </tableColumn>
    <tableColumn id="56" xr3:uid="{76621558-C2F1-46C7-A58A-107BE0DA8883}" name="IS12Inv1M1" dataDxfId="418">
      <calculatedColumnFormula>IFERROR(VLOOKUP($B4,RD[#All],BI$2,0)/BI$1,"")</calculatedColumnFormula>
    </tableColumn>
    <tableColumn id="57" xr3:uid="{ABE71B18-5643-4890-973F-1F5B2BD9A0FD}" name="IS12Inv1M2" dataDxfId="417">
      <calculatedColumnFormula>IFERROR(VLOOKUP($B4,RD[#All],BJ$2,0)/BJ$1,"")</calculatedColumnFormula>
    </tableColumn>
    <tableColumn id="51" xr3:uid="{65B220C2-CB24-44D8-884C-AACA6305FDC1}" name="IS12Inv1M3" dataDxfId="416">
      <calculatedColumnFormula>IFERROR(VLOOKUP($B4,RD[#All],BK$2,0)/BK$1,"")</calculatedColumnFormula>
    </tableColumn>
    <tableColumn id="52" xr3:uid="{7D7BB364-0811-464D-AEA4-74D214C09725}" name="IS12Inv1M4" dataDxfId="415">
      <calculatedColumnFormula>IFERROR(VLOOKUP($B4,RD[#All],BL$2,0)/BL$1,"")</calculatedColumnFormula>
    </tableColumn>
    <tableColumn id="68" xr3:uid="{19C9B0EA-4951-4284-98E2-197FD0F860D9}" name="IS13Inv1M1" dataDxfId="414">
      <calculatedColumnFormula>IFERROR(VLOOKUP($B4,RD[#All],BM$2,0)/BM$1,"")</calculatedColumnFormula>
    </tableColumn>
    <tableColumn id="69" xr3:uid="{4E354BD1-2EDB-490B-AC95-CA86A04774B0}" name="IS13Inv1M2" dataDxfId="413">
      <calculatedColumnFormula>IFERROR(VLOOKUP($B4,RD[#All],BN$2,0)/BN$1,"")</calculatedColumnFormula>
    </tableColumn>
    <tableColumn id="70" xr3:uid="{A490DF48-A294-4382-8807-31A2FE762941}" name="IS13Inv2M1" dataDxfId="412">
      <calculatedColumnFormula>IFERROR(VLOOKUP($B4,RD[#All],BO$2,0)/BO$1,"")</calculatedColumnFormula>
    </tableColumn>
    <tableColumn id="71" xr3:uid="{05A78684-A88E-4B78-AB03-02E0DF0B4824}" name="IS13Inv2M2" dataDxfId="411">
      <calculatedColumnFormula>IFERROR(VLOOKUP($B4,RD[#All],BP$2,0)/BP$1,"")</calculatedColumnFormula>
    </tableColumn>
    <tableColumn id="53" xr3:uid="{312052EF-8F36-42F6-A706-C07F135FE938}" name="IS14Inv1M1" dataDxfId="410">
      <calculatedColumnFormula>IFERROR(VLOOKUP($B4,RD[#All],BQ$2,0)/BQ$1,"")</calculatedColumnFormula>
    </tableColumn>
    <tableColumn id="50" xr3:uid="{73CBC365-EFEB-4CD1-8376-493E1EE94438}" name="IS14Inv1M2" dataDxfId="409">
      <calculatedColumnFormula>IFERROR(VLOOKUP($B4,RD[#All],BR$2,0)/BR$1,"")</calculatedColumnFormula>
    </tableColumn>
    <tableColumn id="49" xr3:uid="{EE120387-D7DE-4BD6-AFA4-8FB1798FC0F4}" name="IS14Inv1M3" dataDxfId="408">
      <calculatedColumnFormula>IFERROR(VLOOKUP($B4,RD[#All],BS$2,0)/BS$1,"")</calculatedColumnFormula>
    </tableColumn>
    <tableColumn id="48" xr3:uid="{4D7DCA65-9134-4F4E-8D78-CDF059CFDE21}" name="IS14Inv1M4" dataDxfId="407">
      <calculatedColumnFormula>IFERROR(VLOOKUP($B4,RD[#All],BT$2,0)/BT$1,"")</calculatedColumnFormula>
    </tableColumn>
    <tableColumn id="75" xr3:uid="{BD604789-92FF-4BD3-B34C-34F5A77275DA}" name="IS14Inv2M1" dataDxfId="406">
      <calculatedColumnFormula>IFERROR(VLOOKUP($B4,RD[#All],BU$2,0)/BU$1,"")</calculatedColumnFormula>
    </tableColumn>
    <tableColumn id="74" xr3:uid="{F0482577-9776-4B48-BE34-B3974FDEC9DF}" name="IS14Inv2M2" dataDxfId="405">
      <calculatedColumnFormula>IFERROR(VLOOKUP($B4,RD[#All],BV$2,0)/BV$1,"")</calculatedColumnFormula>
    </tableColumn>
    <tableColumn id="73" xr3:uid="{112A92D8-254F-4097-9243-CA3653FCDCE8}" name="IS14Inv2M3" dataDxfId="404">
      <calculatedColumnFormula>IFERROR(VLOOKUP($B4,RD[#All],BW$2,0)/BW$1,"")</calculatedColumnFormula>
    </tableColumn>
    <tableColumn id="72" xr3:uid="{1DE71B35-AC18-4D75-9DE8-C248461577BE}" name="IS14Inv2M4" dataDxfId="403">
      <calculatedColumnFormula>IFERROR(VLOOKUP($B4,RD[#All],BX$2,0)/BX$1,"")</calculatedColumnFormula>
    </tableColumn>
    <tableColumn id="378" xr3:uid="{101B5DC8-8574-450A-99B2-6929DFA0B945}" name="Avg_SY" dataDxfId="402">
      <calculatedColumnFormula>AVERAGEIF(Inv_SY_B[[#This Row],[IS1Inv1M1]:[IS14Inv2M4]],"&gt;="&amp;0.1,Inv_SY_B[[#This Row],[IS1Inv1M1]:[IS14Inv2M4]])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C9D473-560B-484A-BE3A-067DAA289E8E}" name="Inv_SY_B9" displayName="Inv_SY_B9" ref="B3:BX56" totalsRowShown="0" headerRowDxfId="401" dataDxfId="399" headerRowBorderDxfId="400" tableBorderDxfId="398" totalsRowBorderDxfId="397" headerRowCellStyle="Normal 26">
  <autoFilter ref="B3:BX56" xr:uid="{19C9D473-560B-484A-BE3A-067DAA289E8E}"/>
  <tableColumns count="75">
    <tableColumn id="1" xr3:uid="{1AD703A3-3A76-47DC-8F57-4350CA87DFFC}" name="Date" dataDxfId="396">
      <calculatedColumnFormula>B3+1</calculatedColumnFormula>
    </tableColumn>
    <tableColumn id="2" xr3:uid="{D098E9AA-3299-4595-AA48-ADD6117AFDFC}" name="IS1Inv1M1" dataDxfId="395">
      <calculatedColumnFormula>IFERROR(Inv_SY_B!C4/Inv_SY_B!$BY4-1,"")</calculatedColumnFormula>
    </tableColumn>
    <tableColumn id="3" xr3:uid="{D73DAFDD-EE72-4F0F-A787-02D06458A314}" name="IS1Inv1M2" dataDxfId="394">
      <calculatedColumnFormula>IFERROR(Inv_SY_B!D4/Inv_SY_B!$BY4-1,"")</calculatedColumnFormula>
    </tableColumn>
    <tableColumn id="4" xr3:uid="{63CBEC85-7C07-44EA-AB4E-766BE8C2BD9B}" name="IS1Inv1M3" dataDxfId="393">
      <calculatedColumnFormula>IFERROR(Inv_SY_B!E4/Inv_SY_B!$BY4-1,"")</calculatedColumnFormula>
    </tableColumn>
    <tableColumn id="5" xr3:uid="{7CAB2E19-8A18-4191-9B0A-876F389B165A}" name="IS1Inv1M4" dataDxfId="392">
      <calculatedColumnFormula>IFERROR(Inv_SY_B!F4/Inv_SY_B!$BY4-1,"")</calculatedColumnFormula>
    </tableColumn>
    <tableColumn id="6" xr3:uid="{2F23F59F-2089-486C-BAC8-8CDF73F8FDEE}" name="IS1Inv2M1" dataDxfId="391">
      <calculatedColumnFormula>IFERROR(Inv_SY_B!G4/Inv_SY_B!$BY4-1,"")</calculatedColumnFormula>
    </tableColumn>
    <tableColumn id="7" xr3:uid="{99170839-35CF-4B4B-8FF4-B80C50995BD8}" name="IS1Inv2M2" dataDxfId="390">
      <calculatedColumnFormula>IFERROR(Inv_SY_B!H4/Inv_SY_B!$BY4-1,"")</calculatedColumnFormula>
    </tableColumn>
    <tableColumn id="8" xr3:uid="{A532CC37-1AD7-4531-8A56-CC0A96A25FEC}" name="IS1Inv2M3" dataDxfId="389">
      <calculatedColumnFormula>IFERROR(Inv_SY_B!I4/Inv_SY_B!$BY4-1,"")</calculatedColumnFormula>
    </tableColumn>
    <tableColumn id="9" xr3:uid="{9E667E50-8C23-4DC6-BD96-22B64454CE99}" name="IS1Inv2M4" dataDxfId="388">
      <calculatedColumnFormula>IFERROR(Inv_SY_B!J4/Inv_SY_B!$BY4-1,"")</calculatedColumnFormula>
    </tableColumn>
    <tableColumn id="10" xr3:uid="{0F277A13-56A0-40B4-9782-7B2E618B479D}" name="IS2Inv1M1" dataDxfId="387">
      <calculatedColumnFormula>IFERROR(Inv_SY_B!K4/Inv_SY_B!$BY4-1,"")</calculatedColumnFormula>
    </tableColumn>
    <tableColumn id="11" xr3:uid="{E31532B5-AB8A-4D4D-A28C-846B408D80B0}" name="IS2Inv1M2" dataDxfId="386">
      <calculatedColumnFormula>IFERROR(Inv_SY_B!L4/Inv_SY_B!$BY4-1,"")</calculatedColumnFormula>
    </tableColumn>
    <tableColumn id="12" xr3:uid="{5659CB92-D76A-4348-B344-307FBA828E52}" name="IS2Inv1M3" dataDxfId="385">
      <calculatedColumnFormula>IFERROR(Inv_SY_B!M4/Inv_SY_B!$BY4-1,"")</calculatedColumnFormula>
    </tableColumn>
    <tableColumn id="13" xr3:uid="{3F53DE41-0104-415E-8B82-B2258BF6BE18}" name="IS2Inv1M4" dataDxfId="384">
      <calculatedColumnFormula>IFERROR(Inv_SY_B!N4/Inv_SY_B!$BY4-1,"")</calculatedColumnFormula>
    </tableColumn>
    <tableColumn id="14" xr3:uid="{0AA32A30-BF40-4F65-AEE6-9288D31914EC}" name="IS2Inv2M1" dataDxfId="383">
      <calculatedColumnFormula>IFERROR(Inv_SY_B!O4/Inv_SY_B!$BY4-1,"")</calculatedColumnFormula>
    </tableColumn>
    <tableColumn id="15" xr3:uid="{141CF6DA-7466-4835-B91A-959D97F56B81}" name="IS2Inv2M2" dataDxfId="382">
      <calculatedColumnFormula>IFERROR(Inv_SY_B!P4/Inv_SY_B!$BY4-1,"")</calculatedColumnFormula>
    </tableColumn>
    <tableColumn id="16" xr3:uid="{9C2E5DB7-3C15-4220-B3FD-289ED21BF0D3}" name="IS2Inv2M3" dataDxfId="381">
      <calculatedColumnFormula>IFERROR(Inv_SY_B!Q4/Inv_SY_B!$BY4-1,"")</calculatedColumnFormula>
    </tableColumn>
    <tableColumn id="17" xr3:uid="{3C03BB2B-3A0C-4AAD-8060-A6121EAC2332}" name="IS2Inv2M4" dataDxfId="380">
      <calculatedColumnFormula>IFERROR(Inv_SY_B!R4/Inv_SY_B!$BY4-1,"")</calculatedColumnFormula>
    </tableColumn>
    <tableColumn id="18" xr3:uid="{81E5E2D9-C52F-408D-AA73-FD2F0EE64BB4}" name="IS3Inv1M1" dataDxfId="379">
      <calculatedColumnFormula>IFERROR(Inv_SY_B!S4/Inv_SY_B!$BY4-1,"")</calculatedColumnFormula>
    </tableColumn>
    <tableColumn id="19" xr3:uid="{360246A5-CBE9-446A-BB1E-B8BF6617CF5C}" name="IS3Inv1M2" dataDxfId="378">
      <calculatedColumnFormula>IFERROR(Inv_SY_B!T4/Inv_SY_B!$BY4-1,"")</calculatedColumnFormula>
    </tableColumn>
    <tableColumn id="20" xr3:uid="{DFFC86AF-4185-43C2-9586-7D4667513E1E}" name="IS3Inv2M1" dataDxfId="377">
      <calculatedColumnFormula>IFERROR(Inv_SY_B!U4/Inv_SY_B!$BY4-1,"")</calculatedColumnFormula>
    </tableColumn>
    <tableColumn id="21" xr3:uid="{B060D758-6F84-4259-868A-884040A217A0}" name="IS3Inv2M2" dataDxfId="376">
      <calculatedColumnFormula>IFERROR(Inv_SY_B!V4/Inv_SY_B!$BY4-1,"")</calculatedColumnFormula>
    </tableColumn>
    <tableColumn id="22" xr3:uid="{C563554E-BE56-47C7-99FB-5547E39F7377}" name="IS4Inv1M1" dataDxfId="375">
      <calculatedColumnFormula>IFERROR(Inv_SY_B!W4/Inv_SY_B!$BY4-1,"")</calculatedColumnFormula>
    </tableColumn>
    <tableColumn id="23" xr3:uid="{E8E12C1E-E338-415C-916A-BF6CBEB0C4BE}" name="IS4Inv1M2" dataDxfId="374">
      <calculatedColumnFormula>IFERROR(Inv_SY_B!X4/Inv_SY_B!$BY4-1,"")</calculatedColumnFormula>
    </tableColumn>
    <tableColumn id="24" xr3:uid="{22A1DA23-91E5-41CF-87D4-95971F0D25AB}" name="IS4Inv2M1" dataDxfId="373">
      <calculatedColumnFormula>IFERROR(Inv_SY_B!Y4/Inv_SY_B!$BY4-1,"")</calculatedColumnFormula>
    </tableColumn>
    <tableColumn id="25" xr3:uid="{DF2CCE70-197F-45AB-B413-63575495B885}" name="IS4Inv2M2" dataDxfId="372">
      <calculatedColumnFormula>IFERROR(Inv_SY_B!Z4/Inv_SY_B!$BY4-1,"")</calculatedColumnFormula>
    </tableColumn>
    <tableColumn id="26" xr3:uid="{387B813D-0631-419E-9E84-694FB774AD76}" name="IS4Inv3M1" dataDxfId="371">
      <calculatedColumnFormula>IFERROR(Inv_SY_B!AA4/Inv_SY_B!$BY4-1,"")</calculatedColumnFormula>
    </tableColumn>
    <tableColumn id="27" xr3:uid="{743C9DA3-BA82-4F64-A943-26E4608DDAE3}" name="IS4Inv3M2" dataDxfId="370">
      <calculatedColumnFormula>IFERROR(Inv_SY_B!AB4/Inv_SY_B!$BY4-1,"")</calculatedColumnFormula>
    </tableColumn>
    <tableColumn id="28" xr3:uid="{6C1BE3B3-3A38-4E95-BFD8-B8109B7748A5}" name="IS4Inv4M1" dataDxfId="369">
      <calculatedColumnFormula>IFERROR(Inv_SY_B!AC4/Inv_SY_B!$BY4-1,"")</calculatedColumnFormula>
    </tableColumn>
    <tableColumn id="29" xr3:uid="{816FAE09-7613-4948-9A0B-EA559B564447}" name="IS4Inv4M2" dataDxfId="368">
      <calculatedColumnFormula>IFERROR(Inv_SY_B!AD4/Inv_SY_B!$BY4-1,"")</calculatedColumnFormula>
    </tableColumn>
    <tableColumn id="30" xr3:uid="{ABC955C1-2073-408F-A938-7D68DAF7D663}" name="IS5Inv1M1" dataDxfId="367">
      <calculatedColumnFormula>IFERROR(Inv_SY_B!AE4/Inv_SY_B!$BY4-1,"")</calculatedColumnFormula>
    </tableColumn>
    <tableColumn id="31" xr3:uid="{02928FBC-4104-4858-8D13-FC0A0DE563BD}" name="IS5Inv1M2" dataDxfId="366">
      <calculatedColumnFormula>IFERROR(Inv_SY_B!AF4/Inv_SY_B!$BY4-1,"")</calculatedColumnFormula>
    </tableColumn>
    <tableColumn id="32" xr3:uid="{B2AC8C7E-1E32-47B9-97E1-9AFE7AFE4461}" name="IS5Inv2M1" dataDxfId="365">
      <calculatedColumnFormula>IFERROR(Inv_SY_B!AG4/Inv_SY_B!$BY4-1,"")</calculatedColumnFormula>
    </tableColumn>
    <tableColumn id="33" xr3:uid="{D3F6CB59-52A7-4224-AED2-B1692C3C981A}" name="IS5Inv2M2" dataDxfId="364">
      <calculatedColumnFormula>IFERROR(Inv_SY_B!AH4/Inv_SY_B!$BY4-1,"")</calculatedColumnFormula>
    </tableColumn>
    <tableColumn id="34" xr3:uid="{972C7D21-8B89-4335-BF76-FC09D3831BDE}" name="IS6Inv1M1" dataDxfId="363">
      <calculatedColumnFormula>IFERROR(Inv_SY_B!AI4/Inv_SY_B!$BY4-1,"")</calculatedColumnFormula>
    </tableColumn>
    <tableColumn id="35" xr3:uid="{8B475FE1-6680-4347-AF34-14E2AEA9CF2B}" name="IS6Inv1M2" dataDxfId="362">
      <calculatedColumnFormula>IFERROR(Inv_SY_B!AJ4/Inv_SY_B!$BY4-1,"")</calculatedColumnFormula>
    </tableColumn>
    <tableColumn id="36" xr3:uid="{2C09058A-33B3-4A2E-BD29-CAEC441D2D90}" name="IS6Inv2M1" dataDxfId="361">
      <calculatedColumnFormula>IFERROR(Inv_SY_B!AK4/Inv_SY_B!$BY4-1,"")</calculatedColumnFormula>
    </tableColumn>
    <tableColumn id="37" xr3:uid="{C90703E6-C1BE-4C12-93E3-3BFB03635532}" name="IS6Inv2M2" dataDxfId="360">
      <calculatedColumnFormula>IFERROR(Inv_SY_B!AL4/Inv_SY_B!$BY4-1,"")</calculatedColumnFormula>
    </tableColumn>
    <tableColumn id="38" xr3:uid="{E914ACAF-BDD4-466A-984B-E951F8E84113}" name="IS7Inv1M1" dataDxfId="359">
      <calculatedColumnFormula>IFERROR(Inv_SY_B!AM4/Inv_SY_B!$BY4-1,"")</calculatedColumnFormula>
    </tableColumn>
    <tableColumn id="39" xr3:uid="{267C3EE7-E2C3-485C-A1E3-CFBF125E3343}" name="IS7Inv2M1" dataDxfId="358">
      <calculatedColumnFormula>IFERROR(Inv_SY_B!AN4/Inv_SY_B!$BY4-1,"")</calculatedColumnFormula>
    </tableColumn>
    <tableColumn id="40" xr3:uid="{5807A74F-B3BE-4B8E-9214-2B285A560AD5}" name="IS8Inv1M1" dataDxfId="357">
      <calculatedColumnFormula>IFERROR(Inv_SY_B!AO4/Inv_SY_B!$BY4-1,"")</calculatedColumnFormula>
    </tableColumn>
    <tableColumn id="41" xr3:uid="{9832A705-7671-4951-AAEF-959E659D0CD9}" name="IS8Inv1M2" dataDxfId="356">
      <calculatedColumnFormula>IFERROR(Inv_SY_B!AP4/Inv_SY_B!$BY4-1,"")</calculatedColumnFormula>
    </tableColumn>
    <tableColumn id="42" xr3:uid="{07A2610B-14F7-473B-AE48-CC48BBBE99FA}" name="IS8Inv1M3" dataDxfId="355">
      <calculatedColumnFormula>IFERROR(Inv_SY_B!AQ4/Inv_SY_B!$BY4-1,"")</calculatedColumnFormula>
    </tableColumn>
    <tableColumn id="43" xr3:uid="{73208168-26BE-4F60-BEAB-6C93CB87E955}" name="IS8Inv1M4" dataDxfId="354">
      <calculatedColumnFormula>IFERROR(Inv_SY_B!AR4/Inv_SY_B!$BY4-1,"")</calculatedColumnFormula>
    </tableColumn>
    <tableColumn id="44" xr3:uid="{16007618-F3C3-484C-8F1C-16CA74AC67B4}" name="IS9Inv1M1" dataDxfId="353">
      <calculatedColumnFormula>IFERROR(Inv_SY_B!AS4/Inv_SY_B!$BY4-1,"")</calculatedColumnFormula>
    </tableColumn>
    <tableColumn id="45" xr3:uid="{F2775A83-4B25-48F8-B002-95771AABDD3E}" name="IS9Inv1M2" dataDxfId="352">
      <calculatedColumnFormula>IFERROR(Inv_SY_B!AT4/Inv_SY_B!$BY4-1,"")</calculatedColumnFormula>
    </tableColumn>
    <tableColumn id="46" xr3:uid="{D2BC807C-0EAD-4E61-BAAC-95BC5A829D37}" name="IS9Inv2M1" dataDxfId="351">
      <calculatedColumnFormula>IFERROR(Inv_SY_B!AU4/Inv_SY_B!$BY4-1,"")</calculatedColumnFormula>
    </tableColumn>
    <tableColumn id="47" xr3:uid="{E67EBEB9-1CA4-448A-9D19-FCB866B49DA6}" name="IS9Inv2M2" dataDxfId="350">
      <calculatedColumnFormula>IFERROR(Inv_SY_B!AV4/Inv_SY_B!$BY4-1,"")</calculatedColumnFormula>
    </tableColumn>
    <tableColumn id="48" xr3:uid="{D0C28037-AFCF-469C-B4E3-F1B80C851082}" name="IS10Inv1M1" dataDxfId="349">
      <calculatedColumnFormula>IFERROR(Inv_SY_B!AW4/Inv_SY_B!$BY4-1,"")</calculatedColumnFormula>
    </tableColumn>
    <tableColumn id="49" xr3:uid="{16C1917D-BB7B-4D55-8D3C-9CE79AA3E38F}" name="IS10Inv1M2" dataDxfId="348">
      <calculatedColumnFormula>IFERROR(Inv_SY_B!AX4/Inv_SY_B!$BY4-1,"")</calculatedColumnFormula>
    </tableColumn>
    <tableColumn id="50" xr3:uid="{38376737-786D-4553-AA57-DA2B1B88468D}" name="IS10Inv2M1" dataDxfId="347">
      <calculatedColumnFormula>IFERROR(Inv_SY_B!AY4/Inv_SY_B!$BY4-1,"")</calculatedColumnFormula>
    </tableColumn>
    <tableColumn id="51" xr3:uid="{71BC8A31-D6A7-4B5F-B899-35BAC4604E86}" name="IS10Inv2M2" dataDxfId="346">
      <calculatedColumnFormula>IFERROR(Inv_SY_B!AZ4/Inv_SY_B!$BY4-1,"")</calculatedColumnFormula>
    </tableColumn>
    <tableColumn id="52" xr3:uid="{F0E87509-165F-4A5C-A214-0EA7A3EAB517}" name="IS10Inv3M1" dataDxfId="345">
      <calculatedColumnFormula>IFERROR(Inv_SY_B!BA4/Inv_SY_B!$BY4-1,"")</calculatedColumnFormula>
    </tableColumn>
    <tableColumn id="53" xr3:uid="{2160F0FC-FFB1-49C6-A8F3-55716E918C9F}" name="IS10Inv3M2" dataDxfId="344">
      <calculatedColumnFormula>IFERROR(Inv_SY_B!BB4/Inv_SY_B!$BY4-1,"")</calculatedColumnFormula>
    </tableColumn>
    <tableColumn id="54" xr3:uid="{53ED9EC0-1B77-46E1-8951-2AEB63154E9A}" name="IS10Inv4M1" dataDxfId="343">
      <calculatedColumnFormula>IFERROR(Inv_SY_B!BC4/Inv_SY_B!$BY4-1,"")</calculatedColumnFormula>
    </tableColumn>
    <tableColumn id="55" xr3:uid="{E5BAA708-DC2B-4ADA-A37C-4B0C1C7831D1}" name="IS10Inv4M2" dataDxfId="342">
      <calculatedColumnFormula>IFERROR(Inv_SY_B!BD4/Inv_SY_B!$BY4-1,"")</calculatedColumnFormula>
    </tableColumn>
    <tableColumn id="56" xr3:uid="{28A63718-9F6A-4005-AAFF-53E7F59B7523}" name="IS11Inv1M1" dataDxfId="341">
      <calculatedColumnFormula>IFERROR(Inv_SY_B!BE4/Inv_SY_B!$BY4-1,"")</calculatedColumnFormula>
    </tableColumn>
    <tableColumn id="57" xr3:uid="{9CCCDE24-6C3E-49F3-9F1F-D28A8B3E1677}" name="IS11Inv1M2" dataDxfId="340">
      <calculatedColumnFormula>IFERROR(Inv_SY_B!BF4/Inv_SY_B!$BY4-1,"")</calculatedColumnFormula>
    </tableColumn>
    <tableColumn id="58" xr3:uid="{7E97E1FB-5AE8-4293-8467-09983AC2693D}" name="IS11Inv1M3" dataDxfId="339">
      <calculatedColumnFormula>IFERROR(Inv_SY_B!BG4/Inv_SY_B!$BY4-1,"")</calculatedColumnFormula>
    </tableColumn>
    <tableColumn id="59" xr3:uid="{94CA90CB-7806-4363-8F61-01AA6F25D3D5}" name="IS11Inv1M4" dataDxfId="338">
      <calculatedColumnFormula>IFERROR(Inv_SY_B!BH4/Inv_SY_B!$BY4-1,"")</calculatedColumnFormula>
    </tableColumn>
    <tableColumn id="60" xr3:uid="{C92AC8BB-1226-4067-A5CD-0EF091464275}" name="IS12Inv1M1" dataDxfId="337">
      <calculatedColumnFormula>IFERROR(Inv_SY_B!BI4/Inv_SY_B!$BY4-1,"")</calculatedColumnFormula>
    </tableColumn>
    <tableColumn id="61" xr3:uid="{7A532400-1A6F-4FEE-9985-65E593213808}" name="IS12Inv1M2" dataDxfId="336">
      <calculatedColumnFormula>IFERROR(Inv_SY_B!BJ4/Inv_SY_B!$BY4-1,"")</calculatedColumnFormula>
    </tableColumn>
    <tableColumn id="62" xr3:uid="{1EB1CA87-D9E0-43D4-A648-14E4F2A291DD}" name="IS12Inv1M3" dataDxfId="335">
      <calculatedColumnFormula>IFERROR(Inv_SY_B!BK4/Inv_SY_B!$BY4-1,"")</calculatedColumnFormula>
    </tableColumn>
    <tableColumn id="63" xr3:uid="{0B97BF25-FFEC-4552-A32A-851CA22D5BCD}" name="IS12Inv1M4" dataDxfId="334">
      <calculatedColumnFormula>IFERROR(Inv_SY_B!BL4/Inv_SY_B!$BY4-1,"")</calculatedColumnFormula>
    </tableColumn>
    <tableColumn id="64" xr3:uid="{FA3627CF-9E50-4F02-9A71-0785D9C1EFCE}" name="IS13Inv1M1" dataDxfId="333">
      <calculatedColumnFormula>IFERROR(Inv_SY_B!BM4/Inv_SY_B!$BY4-1,"")</calculatedColumnFormula>
    </tableColumn>
    <tableColumn id="65" xr3:uid="{7F433C69-403A-42CF-BB8E-070EEA392991}" name="IS13Inv1M2" dataDxfId="332">
      <calculatedColumnFormula>IFERROR(Inv_SY_B!BN4/Inv_SY_B!$BY4-1,"")</calculatedColumnFormula>
    </tableColumn>
    <tableColumn id="66" xr3:uid="{903D184B-5757-461D-A6B2-A13EC4711488}" name="IS13Inv2M1" dataDxfId="331">
      <calculatedColumnFormula>IFERROR(Inv_SY_B!BO4/Inv_SY_B!$BY4-1,"")</calculatedColumnFormula>
    </tableColumn>
    <tableColumn id="67" xr3:uid="{ED822A70-557D-400C-8322-604D42B75E5B}" name="IS13Inv2M2" dataDxfId="330">
      <calculatedColumnFormula>IFERROR(Inv_SY_B!BP4/Inv_SY_B!$BY4-1,"")</calculatedColumnFormula>
    </tableColumn>
    <tableColumn id="68" xr3:uid="{C00676EF-3832-432F-A3A3-55DB4CD7995C}" name="IS14Inv1M1" dataDxfId="329">
      <calculatedColumnFormula>IFERROR(Inv_SY_B!BQ4/Inv_SY_B!$BY4-1,"")</calculatedColumnFormula>
    </tableColumn>
    <tableColumn id="69" xr3:uid="{9AD3339E-2E1A-4A8D-A2DF-D53EC96EBBA5}" name="IS14Inv1M2" dataDxfId="328">
      <calculatedColumnFormula>IFERROR(Inv_SY_B!BR4/Inv_SY_B!$BY4-1,"")</calculatedColumnFormula>
    </tableColumn>
    <tableColumn id="70" xr3:uid="{E728C577-0C10-4254-9F56-07504F9237B8}" name="IS14Inv1M3" dataDxfId="327">
      <calculatedColumnFormula>IFERROR(Inv_SY_B!BS4/Inv_SY_B!$BY4-1,"")</calculatedColumnFormula>
    </tableColumn>
    <tableColumn id="71" xr3:uid="{5F891D41-9FA2-441D-BBFA-AC5834A7DE41}" name="IS14Inv1M4" dataDxfId="326">
      <calculatedColumnFormula>IFERROR(Inv_SY_B!BT4/Inv_SY_B!$BY4-1,"")</calculatedColumnFormula>
    </tableColumn>
    <tableColumn id="72" xr3:uid="{7DF76AAA-6219-4E58-B14A-5B1B88B99EED}" name="IS14Inv2M1" dataDxfId="325">
      <calculatedColumnFormula>IFERROR(Inv_SY_B!BU4/Inv_SY_B!$BY4-1,"")</calculatedColumnFormula>
    </tableColumn>
    <tableColumn id="73" xr3:uid="{0EEF1E92-33CC-4540-A068-5AA9E5CA0425}" name="IS14Inv2M2" dataDxfId="324">
      <calculatedColumnFormula>IFERROR(Inv_SY_B!BV4/Inv_SY_B!$BY4-1,"")</calculatedColumnFormula>
    </tableColumn>
    <tableColumn id="74" xr3:uid="{3234D0F2-9852-4190-8C31-686BF6E330C2}" name="IS14Inv2M3" dataDxfId="323">
      <calculatedColumnFormula>IFERROR(Inv_SY_B!BW4/Inv_SY_B!$BY4-1,"")</calculatedColumnFormula>
    </tableColumn>
    <tableColumn id="75" xr3:uid="{02DE8546-BC16-4B53-9EEE-C7854A615545}" name="IS14Inv2M4" dataDxfId="322">
      <calculatedColumnFormula>IFERROR(Inv_SY_B!BX4/Inv_SY_B!$BY4-1,"")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IGA_BD" displayName="IGA_BD" ref="A1:U20" totalsRowShown="0">
  <autoFilter ref="A1:U20" xr:uid="{00000000-0009-0000-0100-00000C000000}"/>
  <tableColumns count="21">
    <tableColumn id="1" xr3:uid="{00000000-0010-0000-0400-000001000000}" name="Sr. No." dataDxfId="321"/>
    <tableColumn id="6" xr3:uid="{00000000-0010-0000-0400-000006000000}" name="Date" dataDxfId="320"/>
    <tableColumn id="2" xr3:uid="{00000000-0010-0000-0400-000002000000}" name="Finacial Year" dataDxfId="319">
      <calculatedColumnFormula>YEAR(IGA_BD[[#This Row],[Date]])+IF(MONTH(IGA_BD[[#This Row],[Date]])&gt;=4,1,0)</calculatedColumnFormula>
    </tableColumn>
    <tableColumn id="3" xr3:uid="{00000000-0010-0000-0400-000003000000}" name="Calendor Year" dataDxfId="318">
      <calculatedColumnFormula>YEAR(IGA_BD[[#This Row],[Date]])</calculatedColumnFormula>
    </tableColumn>
    <tableColumn id="5" xr3:uid="{00000000-0010-0000-0400-000005000000}" name="Operating Year" dataDxfId="317"/>
    <tableColumn id="7" xr3:uid="{00000000-0010-0000-0400-000007000000}" name="Affected Feeder "/>
    <tableColumn id="21" xr3:uid="{00000000-0010-0000-0400-000015000000}" name="SPV" dataDxfId="316"/>
    <tableColumn id="10" xr3:uid="{00000000-0010-0000-0400-00000A000000}" name="Consumer" dataDxfId="315"/>
    <tableColumn id="4" xr3:uid="{00000000-0010-0000-0400-000004000000}" name="Plant Equivalent Weightage" dataDxfId="314"/>
    <tableColumn id="11" xr3:uid="{00000000-0010-0000-0400-00000B000000}" name="Breakdown Description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313"/>
    <tableColumn id="16" xr3:uid="{00000000-0010-0000-0400-000010000000}" name="Resolution Time" dataDxfId="312"/>
    <tableColumn id="17" xr3:uid="{00000000-0010-0000-0400-000011000000}" name="Breakdown Time" dataDxfId="311"/>
    <tableColumn id="18" xr3:uid="{00000000-0010-0000-0400-000012000000}" name="Action taken"/>
    <tableColumn id="19" xr3:uid="{00000000-0010-0000-0400-000013000000}" name="Status" dataDxfId="310"/>
    <tableColumn id="22" xr3:uid="{00000000-0010-0000-0400-000016000000}" name="Plant Equivalent breakdown" dataDxfId="309"/>
    <tableColumn id="9" xr3:uid="{E6C7D4D7-4E52-4CA9-A0A8-A700C0330A10}" name="Lost POA(kWh/m2)" dataDxfId="308"/>
    <tableColumn id="8" xr3:uid="{00000000-0010-0000-0400-000008000000}" name="Estimated Energy Loss (kWh)" dataDxfId="307">
      <calculatedColumnFormula>IFERROR(IGA_BD[[#This Row],[Lost POA(kWh/m2)]]*_xlfn.XLOOKUP(IGA_BD[[#This Row],[Date]],#REF!,#REF!)*_xlfn.XLOOKUP(IGA_BD[[#This Row],[Date]],RD[Date],RD[Connected DC Capcity (MWp)])*1000,"")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7404CF-C1A9-423F-BD0F-C93EBDE2E825}" name="PA_8" displayName="PA_8" ref="A1:AM120" totalsRowShown="0">
  <autoFilter ref="A1:AM120" xr:uid="{627404CF-C1A9-423F-BD0F-C93EBDE2E825}"/>
  <tableColumns count="39">
    <tableColumn id="1" xr3:uid="{7DA4F25D-AFCE-45F9-AE66-482D29A38F31}" name="Sr. No." dataDxfId="306"/>
    <tableColumn id="2" xr3:uid="{3A024411-5BCF-4357-9FD4-94DC66CCB5F2}" name="Date" dataDxfId="305"/>
    <tableColumn id="3" xr3:uid="{245D0615-4FF6-4AF7-9918-AF671A09D742}" name="Financial Year" dataDxfId="304">
      <calculatedColumnFormula>YEAR(PA_8[[#This Row],[Date]])+IF(MONTH(PA_8[[#This Row],[Date]])&gt;=4,1,0)</calculatedColumnFormula>
    </tableColumn>
    <tableColumn id="4" xr3:uid="{EAF7A59D-A192-4DBD-B380-6F3404E13CB8}" name="Calendar Year" dataDxfId="303">
      <calculatedColumnFormula>YEAR(PA_8[[#This Row],[Date]])</calculatedColumnFormula>
    </tableColumn>
    <tableColumn id="5" xr3:uid="{8FBC0662-5B03-4DCC-A465-6CB954E908D2}" name="Contractual Year" dataDxfId="302"/>
    <tableColumn id="6" xr3:uid="{B9732224-C276-4746-83C6-FECC4F5A0F27}" name="Operating Year" dataDxfId="301"/>
    <tableColumn id="7" xr3:uid="{5B234209-4E3F-463C-80EB-4B17F5587BB4}" name="Month Year" dataDxfId="300">
      <calculatedColumnFormula>PA_8[[#This Row],[Date]]-DAY(PA_8[[#This Row],[Date]])+1</calculatedColumnFormula>
    </tableColumn>
    <tableColumn id="8" xr3:uid="{484B8939-58B8-4B73-803E-2B001DAE906A}" name="Days" dataDxfId="299">
      <calculatedColumnFormula>DAY(EOMONTH(PA_8[[#This Row],[Month Year]],0))</calculatedColumnFormula>
    </tableColumn>
    <tableColumn id="9" xr3:uid="{45F9CDB3-9421-48D1-ACE9-3FF5794963F9}" name="Sunrise Time (POA&gt;20 W/m2)" dataDxfId="298">
      <calculatedColumnFormula>IFERROR(_xlfn.XLOOKUP(PA_8[[#This Row],[Date]],Input_Raw!$A:$A,Input_Raw!F:F),"")</calculatedColumnFormula>
    </tableColumn>
    <tableColumn id="10" xr3:uid="{2E83C423-1B8C-47B4-B3E7-44E2A7552938}" name="Sunset Time (POA&lt;20 W/m2)" dataDxfId="297">
      <calculatedColumnFormula>IFERROR(_xlfn.XLOOKUP(PA_8[[#This Row],[Date]],Input_Raw!$A:$A,Input_Raw!G:G),"")</calculatedColumnFormula>
    </tableColumn>
    <tableColumn id="11" xr3:uid="{1CD20AE9-0E1B-4571-9612-59BAB9F8840A}" name="Total Generation Time" dataDxfId="296">
      <calculatedColumnFormula>IFERROR((PA_8[[#This Row],[Sunset Time (POA&lt;20 W/m2)]]-PA_8[[#This Row],[Sunrise Time (POA&gt;20 W/m2)]])*24,"")</calculatedColumnFormula>
    </tableColumn>
    <tableColumn id="12" xr3:uid="{EF4502CB-B9A5-40E1-9FDE-48CF3B321BC2}" name="Inverter  Station Number (if Bd in filed)" dataDxfId="295"/>
    <tableColumn id="13" xr3:uid="{1DBE1829-D2CE-4847-B6F3-7C6FDEADB277}" name="Inverter number (If Inv, SCb or Str BD)" dataDxfId="294"/>
    <tableColumn id="14" xr3:uid="{11D58F6A-DF36-4417-A181-9209C511149F}" name="Inverter Module Number (If Inv, SCb or Str BD)" dataDxfId="293"/>
    <tableColumn id="15" xr3:uid="{07F33C22-9246-47FE-8A55-B6A8BB5CEB71}" name="SCB Number (If SCB or Str BD)" dataDxfId="292"/>
    <tableColumn id="16" xr3:uid="{BB0B78F4-E4FA-47C3-A5D7-23A592F7DA48}" name="String Type(If String BD)" dataDxfId="291"/>
    <tableColumn id="17" xr3:uid="{5C967DBE-57C3-418A-81AB-C00E24C672B6}" name="Equipment (If any BD other than PV  array and inv)" dataDxfId="290"/>
    <tableColumn id="18" xr3:uid="{15A8D593-C57A-4A9C-BF36-6277C266B6DE}" name="C1" dataDxfId="289">
      <calculatedColumnFormula>IF((PA_8[[#This Row],[String Type(If String BD)]]&amp;PA_8[[#This Row],[Equipment (If any BD other than PV  array and inv)]])="",1,0)</calculatedColumnFormula>
    </tableColumn>
    <tableColumn id="19" xr3:uid="{D56F5E23-A866-46D0-ACAE-659D486825BA}" name="C2" dataDxfId="288">
      <calculatedColumnFormula>IF(PA_8[[#This Row],[String Type(If String BD)]]="",1,0)</calculatedColumnFormula>
    </tableColumn>
    <tableColumn id="20" xr3:uid="{8A1DF201-A090-43D0-949F-45B33CC76DF8}" name="Affected Equipment " dataDxfId="287">
      <calculatedColumnFormula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calculatedColumnFormula>
    </tableColumn>
    <tableColumn id="21" xr3:uid="{2F5B2312-430F-47F4-A6F4-D3D199064A36}" name="DC Capacity Affected (kW)" dataDxfId="286">
      <calculatedColumnFormula>IFERROR(_xlfn.XLOOKUP(PA_8[[#This Row],[Affected Equipment ]],'Basic Data'!$P:$P,'Basic Data'!$S:$S),"")</calculatedColumnFormula>
    </tableColumn>
    <tableColumn id="22" xr3:uid="{774B67DC-009B-4C2D-A83B-5038D18C48B9}" name="Plant Equivalent Weightage" dataDxfId="285" dataCellStyle="Percent">
      <calculatedColumnFormula>IFERROR(_xlfn.XLOOKUP(PA_8[[#This Row],[Affected Equipment ]],'Basic Data'!$P:$P,'Basic Data'!$T:$T),"")</calculatedColumnFormula>
    </tableColumn>
    <tableColumn id="23" xr3:uid="{DD30DD05-389D-490A-B1FC-A4695BE271AE}" name="Fault Category" dataDxfId="284"/>
    <tableColumn id="24" xr3:uid="{F940ACE9-832A-4222-831E-E3744CC63666}" name="Fault Code (As per HMI)" dataDxfId="283"/>
    <tableColumn id="25" xr3:uid="{717978EE-2851-4B85-9E81-95072DF13623}" name="Breakdown Description" dataDxfId="282"/>
    <tableColumn id="26" xr3:uid="{B6F6CBE5-2788-487C-BCB9-25DC0B3DAF8D}" name="Fault Time" dataDxfId="281"/>
    <tableColumn id="27" xr3:uid="{0463688B-26A8-40C4-BA25-85F845F0A543}" name="Acknowledgement Time " dataDxfId="280"/>
    <tableColumn id="28" xr3:uid="{B1630ACB-351F-4DEB-8F19-8643F91DF098}" name="Work Start time on Fault" dataDxfId="279"/>
    <tableColumn id="29" xr3:uid="{C6F71190-0427-4292-AF65-527735079613}" name="Work Completion time on fault" dataDxfId="278"/>
    <tableColumn id="30" xr3:uid="{0A73DC50-66B3-4743-8904-AAFDC1E9D025}" name="Acknow. time " dataDxfId="277">
      <calculatedColumnFormula>IF(PA_8[[#This Row],[Acknowledgement Time ]]="NA","",(PA_8[[#This Row],[Acknowledgement Time ]]-PA_8[[#This Row],[Fault Time]])*24)</calculatedColumnFormula>
    </tableColumn>
    <tableColumn id="31" xr3:uid="{26228ED9-1101-4852-98F7-67F7D19EF445}" name="Response Time" dataDxfId="276">
      <calculatedColumnFormula>IF(PA_8[[#This Row],[Work Start time on Fault]]="NA","",(PA_8[[#This Row],[Work Start time on Fault]]-PA_8[[#This Row],[Fault Time]])*24)</calculatedColumnFormula>
    </tableColumn>
    <tableColumn id="32" xr3:uid="{0E8E90AA-D7AE-42A2-A480-D9BC500EA2B7}" name="Resolution Time" dataDxfId="275">
      <calculatedColumnFormula>IF(PA_8[[#This Row],[Status]]="Open","",(PA_8[[#This Row],[Work Completion time on fault]]-PA_8[[#This Row],[Fault Time]])*24)</calculatedColumnFormula>
    </tableColumn>
    <tableColumn id="33" xr3:uid="{071CD4C5-58B1-4CBE-B755-46F2896E97F1}" name="Breakdown Time" dataDxfId="274">
      <calculatedColumnFormula>IFERROR((PA_8[[#This Row],[Work Completion time on fault]]-PA_8[[#This Row],[Fault Time]])*24,"")</calculatedColumnFormula>
    </tableColumn>
    <tableColumn id="34" xr3:uid="{552C1531-B461-4A1A-9C03-C74662F6964B}" name="Action taken" dataDxfId="273"/>
    <tableColumn id="35" xr3:uid="{AD74A9F1-0185-45C9-8DE3-AEA96E06165A}" name="Status" dataDxfId="272"/>
    <tableColumn id="36" xr3:uid="{D055E888-1B8E-4440-8608-EFC7270368AE}" name="Plant Equivalent breakdown" dataDxfId="271">
      <calculatedColumnFormula>IFERROR(PA_8[[#This Row],[Breakdown Time]]*PA_8[[#This Row],[Plant Equivalent Weightage]],"")</calculatedColumnFormula>
    </tableColumn>
    <tableColumn id="37" xr3:uid="{4526C7CB-706E-4AF9-AB38-EA8C5BE3BC84}" name="Lost PoA(Wh/m2)" dataDxfId="270"/>
    <tableColumn id="38" xr3:uid="{7F1B4436-E022-42CB-B2BC-644C4C7A2476}" name="Approximate Energy Loss (KWh)" dataDxfId="269"/>
    <tableColumn id="39" xr3:uid="{35957DDE-C4D4-4CBB-A893-A5F6AB9A8CE0}" name="Job Card Number" dataDxfId="26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Grid_BD" displayName="Grid_BD" ref="A1:X15" totalsRowShown="0">
  <autoFilter ref="A1:X15" xr:uid="{00000000-000C-0000-FFFF-FFFF06000000}"/>
  <tableColumns count="24">
    <tableColumn id="1" xr3:uid="{00000000-0010-0000-0600-000001000000}" name="Sr. No." dataDxfId="267">
      <calculatedColumnFormula>A1+1</calculatedColumnFormula>
    </tableColumn>
    <tableColumn id="6" xr3:uid="{00000000-0010-0000-0600-000006000000}" name="Date" dataDxfId="266"/>
    <tableColumn id="2" xr3:uid="{00000000-0010-0000-0600-000002000000}" name="Finacial Year" dataDxfId="265">
      <calculatedColumnFormula>YEAR(Grid_BD[[#This Row],[Date]])+IF(MONTH(Grid_BD[[#This Row],[Date]])&gt;=4,1,0)</calculatedColumnFormula>
    </tableColumn>
    <tableColumn id="3" xr3:uid="{00000000-0010-0000-0600-000003000000}" name="Calendor Year" dataDxfId="264">
      <calculatedColumnFormula>YEAR(Grid_BD[[#This Row],[Date]])</calculatedColumnFormula>
    </tableColumn>
    <tableColumn id="5" xr3:uid="{00000000-0010-0000-0600-000005000000}" name="Operating Year" dataDxfId="263"/>
    <tableColumn id="7" xr3:uid="{00000000-0010-0000-0600-000007000000}" name="Affected Feeder " dataDxfId="262"/>
    <tableColumn id="21" xr3:uid="{00000000-0010-0000-0600-000015000000}" name="Op. Hours" dataDxfId="261">
      <calculatedColumnFormula>IFERROR(_xlfn.XLOOKUP(Grid_BD[[#This Row],[Date]],RD[Date],RD[Solar Operating Hours]),"")</calculatedColumnFormula>
    </tableColumn>
    <tableColumn id="10" xr3:uid="{00000000-0010-0000-0600-00000A000000}" name="Concumaer" dataDxfId="260">
      <calculatedColumnFormula>IFERROR(VLOOKUP(Grid_BD[[#This Row],[Affected Feeder ]],'Basic Data'!#REF!,3,0),"")</calculatedColumnFormula>
    </tableColumn>
    <tableColumn id="4" xr3:uid="{00000000-0010-0000-0600-000004000000}" name="Plant Equivalent Weightage" dataDxfId="259">
      <calculatedColumnFormula>IFERROR(VLOOKUP(Grid_BD[[#This Row],[Affected Feeder ]],'Basic Data'!#REF!,5,0),"")</calculatedColumnFormula>
    </tableColumn>
    <tableColumn id="11" xr3:uid="{00000000-0010-0000-0600-00000B000000}" name="Breakdown Description" dataDxfId="258"/>
    <tableColumn id="8" xr3:uid="{00000000-0010-0000-0600-000008000000}" name="Breakdown Type"/>
    <tableColumn id="12" xr3:uid="{00000000-0010-0000-0600-00000C000000}" name="Fault Start TimeStamp"/>
    <tableColumn id="13" xr3:uid="{00000000-0010-0000-0600-00000D000000}" name="Work Start TimeStamp"/>
    <tableColumn id="14" xr3:uid="{00000000-0010-0000-0600-00000E000000}" name="Fault Clearance time"/>
    <tableColumn id="15" xr3:uid="{00000000-0010-0000-0600-00000F000000}" name="Response Time" dataDxfId="257">
      <calculatedColumnFormula>(Grid_BD[[#This Row],[Work Start TimeStamp]]-Grid_BD[[#This Row],[Fault Start TimeStamp]])*24</calculatedColumnFormula>
    </tableColumn>
    <tableColumn id="16" xr3:uid="{00000000-0010-0000-0600-000010000000}" name="Resolution Time" dataDxfId="256">
      <calculatedColumnFormula>(Grid_BD[[#This Row],[Fault Clearance time]]-Grid_BD[[#This Row],[Work Start TimeStamp]])*24</calculatedColumnFormula>
    </tableColumn>
    <tableColumn id="17" xr3:uid="{00000000-0010-0000-0600-000011000000}" name="Breakdown Time" dataDxfId="255">
      <calculatedColumnFormula>(Grid_BD[[#This Row],[Fault Clearance time]]-Grid_BD[[#This Row],[Fault Start TimeStamp]])*24</calculatedColumnFormula>
    </tableColumn>
    <tableColumn id="18" xr3:uid="{00000000-0010-0000-0600-000012000000}" name="Action taken"/>
    <tableColumn id="19" xr3:uid="{00000000-0010-0000-0600-000013000000}" name="Status" dataDxfId="254"/>
    <tableColumn id="22" xr3:uid="{00000000-0010-0000-0600-000016000000}" name="Plant Equivalent breakdown" dataDxfId="253">
      <calculatedColumnFormula>IFERROR(Grid_BD[[#This Row],[Breakdown Time]]*Grid_BD[[#This Row],[Plant Equivalent Weightage]],"")</calculatedColumnFormula>
    </tableColumn>
    <tableColumn id="24" xr3:uid="{46F58D84-1BF3-4827-89F2-CCAC6E40C25B}" name="POA Lost (kWh/m2)" dataDxfId="252" dataCellStyle="Comma"/>
    <tableColumn id="9" xr3:uid="{00000000-0010-0000-0600-000009000000}" name="Estimated Energy Loss (kWh)" dataDxfId="251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600-000014000000}" name="Curtailment Order imit."/>
    <tableColumn id="23" xr3:uid="{00000000-0010-0000-0600-000017000000}" name="EGA_Including_CurtailmentOrder" dataDxfId="250">
      <calculatedColumnFormula>IF(K2="Curtailment Order",(((100%*(Grid_BD[[#This Row],[Op. Hours]]-T2))+(((W2)/'Basic Data'!$B$2)*T2))/Grid_BD[[#This Row],[Op. Hours]]),1)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8066F1-CB12-43AA-A69D-A4F30D736842}" name="MC" displayName="MC" ref="A2:AT185" totalsRowShown="0" headerRowDxfId="249" headerRowBorderDxfId="248" headerRowCellStyle="Normal 26">
  <tableColumns count="46">
    <tableColumn id="1" xr3:uid="{A7B9FF01-E149-4A33-841E-BFFE574FE7DE}" name="Sr. No." dataDxfId="247"/>
    <tableColumn id="8" xr3:uid="{D9ABFABF-DB1D-40F9-91FA-80B4ADBADDD1}" name="Date" dataDxfId="246"/>
    <tableColumn id="2" xr3:uid="{4D10477A-B488-4271-8D73-AF88089A4570}" name="Finacial Year" dataDxfId="245">
      <calculatedColumnFormula>YEAR(MC[[#This Row],[Date]])+IF(MONTH(MC[[#This Row],[Date]])&gt;=4,1,0)</calculatedColumnFormula>
    </tableColumn>
    <tableColumn id="3" xr3:uid="{6B58CA4A-ED29-438C-A43F-528BD44FDAFC}" name="Calendor Year" dataDxfId="244">
      <calculatedColumnFormula>YEAR(MC[[#This Row],[Date]])</calculatedColumnFormula>
    </tableColumn>
    <tableColumn id="4" xr3:uid="{5D13B529-5536-4D43-A052-FD00CB24E33D}" name="Contrcatual Year" dataDxfId="243"/>
    <tableColumn id="5" xr3:uid="{02DCB2A0-D387-41CE-A75A-71D8847B1AE0}" name="Operating Year" dataDxfId="242"/>
    <tableColumn id="6" xr3:uid="{CBD2CD1C-556F-41B6-8832-A67407032146}" name="Month Year" dataDxfId="241">
      <calculatedColumnFormula>TEXT(MC[[#This Row],[Date]],"mmm-yy")</calculatedColumnFormula>
    </tableColumn>
    <tableColumn id="7" xr3:uid="{2BD29667-6A66-4249-A3CE-F30B68DE5D89}" name="Days" dataDxfId="240">
      <calculatedColumnFormula>DAY(EOMONTH(MC[[#This Row],[Month Year]],0))</calculatedColumnFormula>
    </tableColumn>
    <tableColumn id="9" xr3:uid="{C873C50E-CED9-465C-ABF6-4B721351A449}" name="Cycle Number" dataDxfId="239"/>
    <tableColumn id="10" xr3:uid="{473375F3-0178-4C16-BE50-A48A67975B67}" name="Resources" dataDxfId="238"/>
    <tableColumn id="39" xr3:uid="{A320C8C3-D0B2-4E69-8064-05C254964583}" name="IS1Inv1M1" dataDxfId="237"/>
    <tableColumn id="40" xr3:uid="{0D59ACE8-24AC-4E91-9105-13C72A1C3C50}" name="IS1Inv1M2" dataDxfId="236"/>
    <tableColumn id="41" xr3:uid="{8F648909-19FD-432C-8F68-62502F587878}" name="IS1Inv1M3" dataDxfId="235"/>
    <tableColumn id="42" xr3:uid="{F791CDFD-054B-4EC1-ADC8-95597C22AEAF}" name="IS1Inv1M4" dataDxfId="234"/>
    <tableColumn id="43" xr3:uid="{6A2FAD99-4EAD-412C-88EF-5BCFF2E08C59}" name="IS1Inv2M1" dataDxfId="233"/>
    <tableColumn id="44" xr3:uid="{9E3AB44F-D2B2-46E1-9685-707D8E1293C7}" name="IS1Inv2M2" dataDxfId="232"/>
    <tableColumn id="45" xr3:uid="{B2C0C430-7A8D-40F1-8A1A-3E2E9CA21ED1}" name="IS1Inv2M3" dataDxfId="231"/>
    <tableColumn id="46" xr3:uid="{6654D80A-2B28-49A6-9822-AE0AAC8CBFEB}" name="IS1Inv2M4" dataDxfId="230"/>
    <tableColumn id="47" xr3:uid="{2402B6B0-4F6D-4CD6-891D-8ABF315765C5}" name="IS2Inv3M1" dataDxfId="229"/>
    <tableColumn id="48" xr3:uid="{B1C5C4D5-6F79-4F8D-A437-FE767B894C95}" name="IS2Inv3M2" dataDxfId="228"/>
    <tableColumn id="29" xr3:uid="{BBE44CF4-C4F3-42D4-9F61-143F76747E5F}" name="IS2Inv3M3" dataDxfId="227"/>
    <tableColumn id="30" xr3:uid="{EE0EE4B6-E6DA-4BB3-8618-9B21EFDE3B8D}" name="IS2Inv3M4" dataDxfId="226"/>
    <tableColumn id="31" xr3:uid="{22917AEF-41C2-4A4B-968B-40E55A35F3CD}" name="IS2Inv4M1" dataDxfId="225"/>
    <tableColumn id="32" xr3:uid="{E25075F0-D420-445B-B50A-C6E6A55A1936}" name="IS2Inv4M2" dataDxfId="224"/>
    <tableColumn id="33" xr3:uid="{D89B22A9-736F-472B-9D9D-AC60355F2CDB}" name="IS2Inv4M3" dataDxfId="223"/>
    <tableColumn id="34" xr3:uid="{19848AC9-C17C-4747-B1EA-B42413E6F182}" name="IS2Inv4M4" dataDxfId="222"/>
    <tableColumn id="35" xr3:uid="{7153768C-7B1D-4C74-B21B-8D07E885ED48}" name="IS3Inv5M1" dataDxfId="221"/>
    <tableColumn id="36" xr3:uid="{54F15931-9129-48CB-BBF3-6CE3800FE9C8}" name="IS3Inv5M2" dataDxfId="220"/>
    <tableColumn id="37" xr3:uid="{D49609C6-F140-4FF7-9D5B-E3E6EA98B19D}" name="IS3Inv6M1" dataDxfId="219"/>
    <tableColumn id="38" xr3:uid="{6DB90B5D-D588-45A8-A0AF-7E2E802D2AAF}" name="IS3Inv6M2" dataDxfId="218"/>
    <tableColumn id="16" xr3:uid="{941737F2-FB81-4FEA-8BC2-67EBAFB618D3}" name="IS4Inv7M1" dataDxfId="217"/>
    <tableColumn id="25" xr3:uid="{6C3AD66A-F5A0-435B-8369-5C51CD2CAC9A}" name="IS4Inv7M2" dataDxfId="216"/>
    <tableColumn id="26" xr3:uid="{AB6E505F-75C9-494A-B560-6160B0518894}" name="IS4Inv8M1" dataDxfId="215"/>
    <tableColumn id="27" xr3:uid="{D3CA416F-5F0B-47B0-84A1-5124A4E013E7}" name="IS4Inv8M2" dataDxfId="214"/>
    <tableColumn id="28" xr3:uid="{930B4D74-3C8C-4AD1-86D8-41442F736315}" name="IS4Inv9M1" dataDxfId="213"/>
    <tableColumn id="11" xr3:uid="{93F70AF8-DE57-49C6-BC69-D71891DF9644}" name="IS4Inv9M2" dataDxfId="212"/>
    <tableColumn id="12" xr3:uid="{F2B28FCC-C41C-4A8E-9783-7D1C8BD2155D}" name="IS4Inv10M1" dataDxfId="211"/>
    <tableColumn id="13" xr3:uid="{0FDB8A74-9F30-4A65-BC18-2F2924CE8CC1}" name="IS4Inv10M2" dataDxfId="210"/>
    <tableColumn id="17" xr3:uid="{A7F4E110-C50C-4A96-B753-4C89D747A8EF}" name="Total NO. Module cleaned" dataDxfId="209">
      <calculatedColumnFormula>SUM(MC[[#This Row],[IS1Inv1M1]:[IS4Inv10M2]])</calculatedColumnFormula>
    </tableColumn>
    <tableColumn id="18" xr3:uid="{0E310FC1-C5A1-43E6-B32E-2961DFE3B58A}" name="Morning Start Time" dataDxfId="208"/>
    <tableColumn id="19" xr3:uid="{E2926AAB-7639-4B31-937E-F82BF8FAC020}" name="Morning End Time" dataDxfId="207"/>
    <tableColumn id="20" xr3:uid="{F388D91F-2605-4960-9CC7-EEAC5534DF7A}" name="Evening Start Time" dataDxfId="206"/>
    <tableColumn id="21" xr3:uid="{E8D2D803-D3C0-4AA2-B240-860586B266AB}" name="Evening End time" dataDxfId="205"/>
    <tableColumn id="22" xr3:uid="{98371C30-53BB-4690-9910-5595805AAF43}" name="Brush/MOP Replcemnet" dataDxfId="204"/>
    <tableColumn id="24" xr3:uid="{D5D5A0D2-25E0-421C-8E1C-24C3CBD58857}" name="Water Test Report" dataDxfId="203"/>
    <tableColumn id="23" xr3:uid="{5E59D7C6-67AC-4404-8D96-271220D830A0}" name="Remarks for the day" dataDxfId="20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F7EDC4-9C69-47B4-B97C-70A63D5C5FA0}" name="MC_2" displayName="MC_2" ref="A2:BL502" totalsRowShown="0" headerRowDxfId="201" headerRowBorderDxfId="200" headerRowCellStyle="Normal 26">
  <tableColumns count="64">
    <tableColumn id="1" xr3:uid="{3CC24C2C-754A-4A10-9B77-508F0351CC05}" name="Sr. No." dataDxfId="199"/>
    <tableColumn id="8" xr3:uid="{18E1B81E-3A17-4033-897F-EC2CED2EC501}" name="Date" dataDxfId="198"/>
    <tableColumn id="2" xr3:uid="{CC993072-495C-4FCE-8EC5-7E01DEF4D149}" name="Finacial Year" dataDxfId="197">
      <calculatedColumnFormula>YEAR(MC_2[[#This Row],[Date]])+IF(MONTH(MC_2[[#This Row],[Date]])&gt;=4,1,0)</calculatedColumnFormula>
    </tableColumn>
    <tableColumn id="3" xr3:uid="{E043BABD-80E4-4A87-AE92-EBB97AF2E316}" name="Calendor Year" dataDxfId="196">
      <calculatedColumnFormula>YEAR(MC_2[[#This Row],[Date]])</calculatedColumnFormula>
    </tableColumn>
    <tableColumn id="4" xr3:uid="{97EB0142-8BC4-4120-80BA-FA419E192411}" name="Contrcatual Year" dataDxfId="195"/>
    <tableColumn id="5" xr3:uid="{C4AB85BB-E58F-48A1-98F5-89E2A9991296}" name="Operating Year" dataDxfId="194"/>
    <tableColumn id="6" xr3:uid="{3C064F29-6EBF-49B7-B967-9F06D07DF658}" name="Month Year" dataDxfId="193">
      <calculatedColumnFormula>TEXT(MC_2[[#This Row],[Date]],"mmm-yy")</calculatedColumnFormula>
    </tableColumn>
    <tableColumn id="7" xr3:uid="{E825FA79-A68F-4EC4-A82F-AFCDC07D6347}" name="Days" dataDxfId="192">
      <calculatedColumnFormula>DAY(EOMONTH(MC_2[[#This Row],[Month Year]],0))</calculatedColumnFormula>
    </tableColumn>
    <tableColumn id="9" xr3:uid="{1848EDA1-9281-4D47-9500-C4EAE9178C3C}" name="Cycle Number" dataDxfId="191"/>
    <tableColumn id="10" xr3:uid="{59A8578A-1E66-4F68-9A38-398E64B12C17}" name="Resources" dataDxfId="190"/>
    <tableColumn id="39" xr3:uid="{39CA228E-833E-460A-8B4C-CD5E0599589F}" name="IS1Inv1M1" dataDxfId="189"/>
    <tableColumn id="40" xr3:uid="{D33D61DA-AA9E-44EA-B980-109091E7A29D}" name="IS1Inv1M2" dataDxfId="188"/>
    <tableColumn id="41" xr3:uid="{BEA744F5-DBDD-4F2C-9015-8FC5E314BBA4}" name="IS1Inv1M3" dataDxfId="187"/>
    <tableColumn id="42" xr3:uid="{508B7372-0FE5-427B-AEC7-49CF14E18C5C}" name="IS1Inv1M4" dataDxfId="186"/>
    <tableColumn id="43" xr3:uid="{8E95BF84-25F3-4745-940C-70D593A95485}" name="IS1Inv2M1" dataDxfId="185"/>
    <tableColumn id="44" xr3:uid="{147A86C2-C406-4A30-BD54-C8897EEA8141}" name="IS1Inv2M2" dataDxfId="184"/>
    <tableColumn id="45" xr3:uid="{0B92FFC1-D97E-4F0A-A124-D391A49AE430}" name="IS1Inv2M3" dataDxfId="183"/>
    <tableColumn id="46" xr3:uid="{396A35C6-7C37-4F08-9C9E-C2734DBAED1E}" name="IS1Inv2M4" dataDxfId="182"/>
    <tableColumn id="47" xr3:uid="{5668C48C-F806-45A1-B44F-AB27E85AC13B}" name="IS2Inv3M1" dataDxfId="181"/>
    <tableColumn id="48" xr3:uid="{7D91FB20-4A4D-43BB-8F5B-E292A27CA4C9}" name="IS2Inv3M2" dataDxfId="180"/>
    <tableColumn id="29" xr3:uid="{69E5BA17-832B-4AAD-80F9-351C9E94E93F}" name="IS2Inv3M3" dataDxfId="179"/>
    <tableColumn id="30" xr3:uid="{69FAA5F7-090B-4BC2-B174-A9C0C0B24B4C}" name="IS2Inv3M4" dataDxfId="178"/>
    <tableColumn id="31" xr3:uid="{3FC21A01-5B86-4462-A2B3-759FE12C4E1E}" name="IS2Inv4M1" dataDxfId="177"/>
    <tableColumn id="32" xr3:uid="{879EC464-8BE0-4A3F-8FCF-96586E84A68A}" name="IS2Inv4M2" dataDxfId="176"/>
    <tableColumn id="33" xr3:uid="{3CBB1CD0-ACE8-495D-BD41-5EE170E1227C}" name="IS2Inv4M3" dataDxfId="175"/>
    <tableColumn id="34" xr3:uid="{96CDA1CC-571A-4CEE-864B-D7D43068A963}" name="IS2Inv4M4" dataDxfId="174"/>
    <tableColumn id="35" xr3:uid="{5B1788AC-B838-47C1-B737-20E7BF0F677E}" name="IS3Inv5M1" dataDxfId="173"/>
    <tableColumn id="36" xr3:uid="{12739100-7AF1-4F31-8312-D3D753226616}" name="IS3Inv5M2" dataDxfId="172"/>
    <tableColumn id="37" xr3:uid="{6A19A5E6-AC3F-491D-807F-4A9DA9C3FEC6}" name="IS3Inv6M1" dataDxfId="171"/>
    <tableColumn id="38" xr3:uid="{BE18DF5C-137B-42FA-9DF8-5D90EDF95375}" name="IS3Inv6M2" dataDxfId="170"/>
    <tableColumn id="16" xr3:uid="{78715B53-427E-4D01-ABBC-BCD65484F99D}" name="IS4Inv7M1" dataDxfId="169"/>
    <tableColumn id="25" xr3:uid="{F10CBCEA-FD21-42FA-BB03-347B0B4C2780}" name="IS4Inv7M2" dataDxfId="168"/>
    <tableColumn id="26" xr3:uid="{64B3E773-6BE1-4DA0-BBB4-ABD6C0C4AAB1}" name="IS4Inv8M1" dataDxfId="167"/>
    <tableColumn id="27" xr3:uid="{920CFD2B-7EA5-44D6-85A0-43515D22E99E}" name="IS4Inv8M2" dataDxfId="166"/>
    <tableColumn id="28" xr3:uid="{1C19A323-D8D3-442F-AC74-383744406FDA}" name="IS4Inv9M1" dataDxfId="165"/>
    <tableColumn id="11" xr3:uid="{B293ADA0-D9AA-488B-A02E-BBAFC3C2107F}" name="IS4Inv9M2" dataDxfId="164"/>
    <tableColumn id="12" xr3:uid="{698DB3C5-9EFB-42F8-8105-8FA5842BD40E}" name="IS4Inv10M1" dataDxfId="163"/>
    <tableColumn id="13" xr3:uid="{D43B688D-A107-4E8A-93BD-F201CC348A54}" name="IS4Inv10M2" dataDxfId="162"/>
    <tableColumn id="49" xr3:uid="{384052DB-56F3-4D84-AD19-7F0F88B8B41D}" name="IS5Inv11M1" dataDxfId="161"/>
    <tableColumn id="50" xr3:uid="{31FFA1C7-43D2-40F9-9784-487F0EC93C35}" name="IS5Inv11M2" dataDxfId="160"/>
    <tableColumn id="51" xr3:uid="{D2BFF062-EEDB-4F96-AF2C-3F5169D08BC3}" name="IS5Inv12M1" dataDxfId="159"/>
    <tableColumn id="53" xr3:uid="{97FAA663-BF9A-495B-B661-E72E2B37B345}" name="IS5Inv12M2" dataDxfId="158"/>
    <tableColumn id="52" xr3:uid="{82D1622B-2420-41DC-B1D2-B6534A51773B}" name="IS6Inv13M1" dataDxfId="157"/>
    <tableColumn id="55" xr3:uid="{DEC46C7A-678D-4304-AFFB-B74437DE7CF5}" name="IS6Inv13M2" dataDxfId="156"/>
    <tableColumn id="54" xr3:uid="{1722B717-3B7B-4AC4-9C29-E22BFFCA92E1}" name="IS6Inv14M1" dataDxfId="155"/>
    <tableColumn id="56" xr3:uid="{07B9EFBD-6C0F-46A4-BF35-0C56A6D82D93}" name="IS6Inv14M2" dataDxfId="154"/>
    <tableColumn id="58" xr3:uid="{285E9542-B83E-47A8-891A-5442E30D400A}" name="IS7Inv15M1" dataDxfId="153"/>
    <tableColumn id="59" xr3:uid="{2683FC2A-8BC2-4194-8198-DF26F395AE39}" name="IS7Inv16M1" dataDxfId="152"/>
    <tableColumn id="60" xr3:uid="{1A513FF6-ECA5-44D0-A840-56331AAF7B1E}" name="IS8Inv17M1" dataDxfId="151"/>
    <tableColumn id="65" xr3:uid="{2EB561C2-EEFE-4BD6-8EAF-FEAEC894871B}" name="IS8Inv17M2" dataDxfId="150"/>
    <tableColumn id="67" xr3:uid="{283203EB-B778-480D-AD45-4527E027E860}" name="IS8Inv17M3" dataDxfId="149"/>
    <tableColumn id="66" xr3:uid="{48B012E2-1C7D-43C7-8858-EB9739B197E6}" name="IS8Inv17M4" dataDxfId="148"/>
    <tableColumn id="64" xr3:uid="{6168D8CA-C149-45B6-9723-DCA55D696530}" name="IS9Inv18M1" dataDxfId="147"/>
    <tableColumn id="63" xr3:uid="{746FE1E3-E6BB-4B66-B653-1A85F7A160B7}" name="IS9Inv18M2" dataDxfId="146"/>
    <tableColumn id="62" xr3:uid="{7F7F1911-633A-4B5C-92C0-54C3734BBA13}" name="IS9Inv19M1" dataDxfId="145"/>
    <tableColumn id="61" xr3:uid="{FC8B95B2-F807-4AD4-95F2-A15AE6ECE6DB}" name="IS9Inv19M2" dataDxfId="144"/>
    <tableColumn id="17" xr3:uid="{B3993204-F1CA-4750-B6ED-9EEFF7DCDE86}" name="Total NO. Module cleaned" dataDxfId="143">
      <calculatedColumnFormula>SUM(MC_2[[#This Row],[IS1Inv1M1]:[IS9Inv19M2]])</calculatedColumnFormula>
    </tableColumn>
    <tableColumn id="18" xr3:uid="{7B88BAE1-C463-4FFE-9ED6-AC091B1C9B8C}" name="Morning Start Time" dataDxfId="142"/>
    <tableColumn id="19" xr3:uid="{A0CBA0F0-4490-4552-B1C7-EA78EDEAAF32}" name="Morning End Time" dataDxfId="141"/>
    <tableColumn id="20" xr3:uid="{D25E2EF4-46E1-4363-8052-CA3B6446B346}" name="Evening Start Time" dataDxfId="140"/>
    <tableColumn id="21" xr3:uid="{F8B4811C-D3DB-4F65-BD37-7330FC48609F}" name="Evening End time" dataDxfId="139"/>
    <tableColumn id="22" xr3:uid="{EBE06529-886E-4D94-9837-233252B9168E}" name="Brush/MOP Replcemnet" dataDxfId="138"/>
    <tableColumn id="24" xr3:uid="{F488E365-C838-41BB-A612-234313F6A300}" name="Water Test Report" dataDxfId="137"/>
    <tableColumn id="23" xr3:uid="{78E90398-3A77-427B-A5B6-64F89E15CADD}" name="Remarks for the day" dataDxfId="1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O@R1" TargetMode="External"/><Relationship Id="rId13" Type="http://schemas.openxmlformats.org/officeDocument/2006/relationships/hyperlink" Target="mailto:O@R1" TargetMode="External"/><Relationship Id="rId18" Type="http://schemas.openxmlformats.org/officeDocument/2006/relationships/hyperlink" Target="mailto:O@R1" TargetMode="External"/><Relationship Id="rId3" Type="http://schemas.openxmlformats.org/officeDocument/2006/relationships/hyperlink" Target="mailto:O@R1" TargetMode="External"/><Relationship Id="rId21" Type="http://schemas.openxmlformats.org/officeDocument/2006/relationships/hyperlink" Target="mailto:O@R1" TargetMode="External"/><Relationship Id="rId7" Type="http://schemas.openxmlformats.org/officeDocument/2006/relationships/hyperlink" Target="mailto:O@R1" TargetMode="External"/><Relationship Id="rId12" Type="http://schemas.openxmlformats.org/officeDocument/2006/relationships/hyperlink" Target="mailto:O@R1" TargetMode="External"/><Relationship Id="rId17" Type="http://schemas.openxmlformats.org/officeDocument/2006/relationships/hyperlink" Target="mailto:O@R1" TargetMode="External"/><Relationship Id="rId2" Type="http://schemas.openxmlformats.org/officeDocument/2006/relationships/hyperlink" Target="mailto:O@R1" TargetMode="External"/><Relationship Id="rId16" Type="http://schemas.openxmlformats.org/officeDocument/2006/relationships/hyperlink" Target="mailto:O@R1" TargetMode="External"/><Relationship Id="rId20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11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15" Type="http://schemas.openxmlformats.org/officeDocument/2006/relationships/hyperlink" Target="mailto:O@R1" TargetMode="External"/><Relationship Id="rId10" Type="http://schemas.openxmlformats.org/officeDocument/2006/relationships/hyperlink" Target="mailto:O@R1" TargetMode="External"/><Relationship Id="rId19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Relationship Id="rId9" Type="http://schemas.openxmlformats.org/officeDocument/2006/relationships/hyperlink" Target="mailto:O@R1" TargetMode="External"/><Relationship Id="rId14" Type="http://schemas.openxmlformats.org/officeDocument/2006/relationships/hyperlink" Target="mailto:O@R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" zoomScale="115" zoomScaleNormal="115" workbookViewId="0">
      <selection activeCell="K7" sqref="K7"/>
    </sheetView>
  </sheetViews>
  <sheetFormatPr defaultColWidth="9" defaultRowHeight="15"/>
  <cols>
    <col min="1" max="1" width="17" style="130" customWidth="1"/>
    <col min="2" max="2" width="19.140625" style="131" bestFit="1" customWidth="1"/>
    <col min="3" max="3" width="13.85546875" style="131" customWidth="1"/>
    <col min="4" max="4" width="12.140625" style="132" customWidth="1"/>
    <col min="5" max="5" width="13" style="130" customWidth="1"/>
    <col min="6" max="6" width="32.85546875" style="131" customWidth="1"/>
    <col min="7" max="7" width="18" style="131" hidden="1" customWidth="1"/>
    <col min="8" max="8" width="15.85546875" style="131" hidden="1" customWidth="1"/>
    <col min="9" max="9" width="18" style="131" hidden="1" customWidth="1"/>
    <col min="10" max="16384" width="9" style="131"/>
  </cols>
  <sheetData>
    <row r="1" spans="1:9" ht="3.95" hidden="1" customHeight="1"/>
    <row r="2" spans="1:9" ht="15.75" thickBot="1"/>
    <row r="3" spans="1:9" ht="15.75">
      <c r="A3" s="346" t="s">
        <v>0</v>
      </c>
      <c r="B3" s="347"/>
      <c r="C3" s="347"/>
      <c r="D3" s="347"/>
      <c r="E3" s="347"/>
      <c r="F3" s="348"/>
    </row>
    <row r="4" spans="1:9">
      <c r="A4" s="78" t="s">
        <v>1</v>
      </c>
      <c r="B4" s="252">
        <v>45839</v>
      </c>
      <c r="C4" s="80"/>
      <c r="D4" s="80"/>
      <c r="E4" s="80"/>
      <c r="F4" s="81"/>
    </row>
    <row r="5" spans="1:9">
      <c r="A5" s="78" t="s">
        <v>2</v>
      </c>
      <c r="B5" s="253">
        <v>45853</v>
      </c>
      <c r="C5" s="80"/>
      <c r="D5" s="80"/>
      <c r="E5" s="80"/>
      <c r="F5" s="81"/>
    </row>
    <row r="6" spans="1:9">
      <c r="A6" s="78" t="s">
        <v>3</v>
      </c>
      <c r="B6" s="127">
        <f>YEAR(B5)+IF(MONTH(B5)&gt;=4,1,0)</f>
        <v>2026</v>
      </c>
      <c r="C6" s="80"/>
      <c r="D6" s="80"/>
      <c r="E6" s="80"/>
      <c r="F6" s="81"/>
    </row>
    <row r="7" spans="1:9">
      <c r="A7" s="78" t="s">
        <v>4</v>
      </c>
      <c r="B7" s="82">
        <v>45748</v>
      </c>
      <c r="C7" s="80"/>
      <c r="D7" s="80"/>
      <c r="E7" s="80"/>
      <c r="F7" s="81"/>
    </row>
    <row r="8" spans="1:9" ht="15.75" thickBot="1">
      <c r="A8" s="83" t="s">
        <v>5</v>
      </c>
      <c r="B8" s="84">
        <v>46112</v>
      </c>
      <c r="C8" s="85"/>
      <c r="D8" s="85"/>
      <c r="E8" s="85"/>
      <c r="F8" s="86"/>
      <c r="H8" s="163"/>
    </row>
    <row r="9" spans="1:9" ht="3.95" customHeight="1" thickBot="1">
      <c r="A9" s="87"/>
      <c r="B9" s="88"/>
      <c r="C9" s="88"/>
      <c r="D9" s="88"/>
      <c r="E9" s="88"/>
      <c r="F9" s="88"/>
    </row>
    <row r="10" spans="1:9" ht="15.75" thickBot="1">
      <c r="A10" s="89" t="s">
        <v>6</v>
      </c>
      <c r="B10" s="90" t="s">
        <v>7</v>
      </c>
      <c r="C10" s="90" t="s">
        <v>8</v>
      </c>
      <c r="D10" s="90" t="s">
        <v>9</v>
      </c>
      <c r="E10" s="91" t="s">
        <v>10</v>
      </c>
      <c r="F10" s="91" t="s">
        <v>11</v>
      </c>
      <c r="G10" s="249" t="s">
        <v>12</v>
      </c>
      <c r="H10" s="249" t="s">
        <v>13</v>
      </c>
      <c r="I10" s="250" t="s">
        <v>14</v>
      </c>
    </row>
    <row r="11" spans="1:9">
      <c r="A11" s="349">
        <v>1</v>
      </c>
      <c r="B11" s="92" t="s">
        <v>15</v>
      </c>
      <c r="C11" s="93">
        <f>_xlfn.XLOOKUP($B$5,'Daily KPI'!$A:$A,'Daily KPI'!$AD:$AD)/1000</f>
        <v>421.06181874810642</v>
      </c>
      <c r="D11" s="93">
        <f>_xlfn.XLOOKUP($B$5,'Daily KPI'!$A:$A,'Daily KPI'!$AA:$AA)/1000</f>
        <v>594.79199999999992</v>
      </c>
      <c r="E11" s="94">
        <f>D11/C11-1</f>
        <v>0.41260017773263091</v>
      </c>
      <c r="F11" s="254"/>
      <c r="G11" s="198">
        <f>_xlfn.XLOOKUP($B$5,'Daily KPI'!$A:$A,'Daily KPI'!$AS:$AS)/1000</f>
        <v>414.84305957890365</v>
      </c>
      <c r="H11" s="198">
        <f>_xlfn.XLOOKUP($B$4,'Modelling New'!$D:$D,'Modelling New'!$AM:$AM)/1000</f>
        <v>6222.6458936835552</v>
      </c>
      <c r="I11" s="198">
        <f>_xlfn.XLOOKUP($B$4,'Modelling New'!$D:$D,'Modelling New'!$AN:$AN)/1000</f>
        <v>58253.918009610636</v>
      </c>
    </row>
    <row r="12" spans="1:9">
      <c r="A12" s="350"/>
      <c r="B12" s="95" t="s">
        <v>16</v>
      </c>
      <c r="C12" s="96">
        <f>MonthlyKPI!E4</f>
        <v>6315.9272812215959</v>
      </c>
      <c r="D12" s="97">
        <f>MonthlyKPI!F4</f>
        <v>5811.4080000000013</v>
      </c>
      <c r="E12" s="98">
        <f>D12/C12-1</f>
        <v>-7.9880476572556924E-2</v>
      </c>
      <c r="F12" s="255"/>
    </row>
    <row r="13" spans="1:9" ht="15.75" thickBot="1">
      <c r="A13" s="351"/>
      <c r="B13" s="100" t="s">
        <v>17</v>
      </c>
      <c r="C13" s="101">
        <f>AnnualKPI!E4</f>
        <v>66323.861310265522</v>
      </c>
      <c r="D13" s="102">
        <f>AnnualKPI!F4</f>
        <v>51711.551999999974</v>
      </c>
      <c r="E13" s="103">
        <f>D13/C13-1</f>
        <v>-0.2203175300953697</v>
      </c>
      <c r="F13" s="256"/>
    </row>
    <row r="14" spans="1:9">
      <c r="A14" s="349">
        <v>2</v>
      </c>
      <c r="B14" s="92" t="s">
        <v>18</v>
      </c>
      <c r="C14" s="188">
        <f>_xlfn.XLOOKUP($B$5,'Daily KPI'!$A:$A,'Daily KPI'!$AC:$AC)</f>
        <v>3.7967741935483872</v>
      </c>
      <c r="D14" s="189">
        <f>_xlfn.XLOOKUP($B$5,'Daily KPI'!$A:$A,'Daily KPI'!$I:$I)</f>
        <v>5.493701066666663</v>
      </c>
      <c r="E14" s="94">
        <f t="shared" ref="E14:E25" si="0">(D14-C14)/(C14)</f>
        <v>0.44693910846785512</v>
      </c>
      <c r="F14" s="254"/>
    </row>
    <row r="15" spans="1:9">
      <c r="A15" s="350"/>
      <c r="B15" s="95" t="s">
        <v>19</v>
      </c>
      <c r="C15" s="190">
        <f>MonthlyKPI!C4</f>
        <v>56.951612903225808</v>
      </c>
      <c r="D15" s="191">
        <f>MonthlyKPI!D4</f>
        <v>55.740608699999996</v>
      </c>
      <c r="E15" s="98">
        <f t="shared" si="0"/>
        <v>-2.1263738487680643E-2</v>
      </c>
      <c r="F15" s="255"/>
    </row>
    <row r="16" spans="1:9" ht="15.75" thickBot="1">
      <c r="A16" s="351"/>
      <c r="B16" s="100" t="s">
        <v>20</v>
      </c>
      <c r="C16" s="192">
        <f>AnnualKPI!C4</f>
        <v>633.85161290322583</v>
      </c>
      <c r="D16" s="193">
        <f>AnnualKPI!D4</f>
        <v>567.88133922499981</v>
      </c>
      <c r="E16" s="103">
        <f t="shared" si="0"/>
        <v>-0.10407841888429196</v>
      </c>
      <c r="F16" s="256"/>
    </row>
    <row r="17" spans="1:13">
      <c r="A17" s="349">
        <v>3</v>
      </c>
      <c r="B17" s="92" t="s">
        <v>21</v>
      </c>
      <c r="C17" s="104">
        <f>_xlfn.XLOOKUP($B$5,'Daily KPI'!$A:$A,'Daily KPI'!$AE:$AE)</f>
        <v>0.85307603301688106</v>
      </c>
      <c r="D17" s="105">
        <f>_xlfn.XLOOKUP($B$5,'Daily KPI'!$A:$A,'Daily KPI'!$U:$U)</f>
        <v>0.84531538936329231</v>
      </c>
      <c r="E17" s="94">
        <f t="shared" si="0"/>
        <v>-9.0972473182061361E-3</v>
      </c>
      <c r="F17" s="254"/>
    </row>
    <row r="18" spans="1:13">
      <c r="A18" s="350"/>
      <c r="B18" s="95" t="s">
        <v>22</v>
      </c>
      <c r="C18" s="106">
        <f>MonthlyKPI!M4</f>
        <v>0.85307603301688106</v>
      </c>
      <c r="D18" s="107">
        <f>MonthlyKPI!N4</f>
        <v>0.81400737750298946</v>
      </c>
      <c r="E18" s="98">
        <f t="shared" si="0"/>
        <v>-4.5797389683691292E-2</v>
      </c>
      <c r="F18" s="255"/>
    </row>
    <row r="19" spans="1:13" ht="15.75" thickBot="1">
      <c r="A19" s="351"/>
      <c r="B19" s="100" t="s">
        <v>23</v>
      </c>
      <c r="C19" s="108">
        <f>AnnualKPI!M4</f>
        <v>0.85307603301688106</v>
      </c>
      <c r="D19" s="109">
        <f>AnnualKPI!N4</f>
        <v>0.71096571063782577</v>
      </c>
      <c r="E19" s="103">
        <f t="shared" si="0"/>
        <v>-0.16658576361181532</v>
      </c>
      <c r="F19" s="256"/>
    </row>
    <row r="20" spans="1:13">
      <c r="A20" s="349">
        <v>4</v>
      </c>
      <c r="B20" s="92" t="s">
        <v>24</v>
      </c>
      <c r="C20" s="105">
        <f>_xlfn.XLOOKUP($B$4,'Modelling New'!$D:$D,'Modelling New'!$AE:$AE,0)</f>
        <v>0.995</v>
      </c>
      <c r="D20" s="105">
        <f>_xlfn.XLOOKUP($B$5,'Daily KPI'!A:A,'Daily KPI'!$O:$O,0)</f>
        <v>1</v>
      </c>
      <c r="E20" s="94">
        <f t="shared" si="0"/>
        <v>5.0251256281407079E-3</v>
      </c>
      <c r="F20" s="254"/>
    </row>
    <row r="21" spans="1:13" ht="12" customHeight="1">
      <c r="A21" s="350"/>
      <c r="B21" s="95" t="s">
        <v>25</v>
      </c>
      <c r="C21" s="107">
        <f>_xlfn.XLOOKUP($B$4,'Modelling New'!$D:$D,'Modelling New'!$AE:$AE,0)</f>
        <v>0.995</v>
      </c>
      <c r="D21" s="107">
        <f>MonthlyKPI!L4</f>
        <v>0.99314934985136449</v>
      </c>
      <c r="E21" s="98">
        <f t="shared" si="0"/>
        <v>-1.8599498981261328E-3</v>
      </c>
      <c r="F21" s="255"/>
    </row>
    <row r="22" spans="1:13" ht="15.75" thickBot="1">
      <c r="A22" s="351"/>
      <c r="B22" s="100" t="s">
        <v>26</v>
      </c>
      <c r="C22" s="109">
        <f>_xlfn.XLOOKUP($B$4,'Modelling New'!$D:$D,'Modelling New'!$AE:$AE,0)</f>
        <v>0.995</v>
      </c>
      <c r="D22" s="109">
        <f>AnnualKPI!L4</f>
        <v>0.98632183007452234</v>
      </c>
      <c r="E22" s="103">
        <f t="shared" si="0"/>
        <v>-8.7217788195755302E-3</v>
      </c>
      <c r="F22" s="256"/>
      <c r="M22" s="301" t="s">
        <v>27</v>
      </c>
    </row>
    <row r="23" spans="1:13">
      <c r="A23" s="349">
        <v>5</v>
      </c>
      <c r="B23" s="92" t="s">
        <v>28</v>
      </c>
      <c r="C23" s="105">
        <f>_xlfn.XLOOKUP($B$4,'Modelling New'!$D:$D,'Modelling New'!$AF:$AF,0)</f>
        <v>0.995</v>
      </c>
      <c r="D23" s="105">
        <f>_xlfn.XLOOKUP($B$5,'Daily KPI'!$A:$A,'Daily KPI'!$R:$R)</f>
        <v>1</v>
      </c>
      <c r="E23" s="94">
        <f t="shared" si="0"/>
        <v>5.0251256281407079E-3</v>
      </c>
      <c r="F23" s="254"/>
      <c r="I23" s="131">
        <v>0</v>
      </c>
    </row>
    <row r="24" spans="1:13">
      <c r="A24" s="350"/>
      <c r="B24" s="95" t="s">
        <v>29</v>
      </c>
      <c r="C24" s="107">
        <f>_xlfn.XLOOKUP($B$4,'Modelling New'!$D:$D,'Modelling New'!$AF:$AF,0)</f>
        <v>0.995</v>
      </c>
      <c r="D24" s="107">
        <f>MonthlyKPI!J4</f>
        <v>1</v>
      </c>
      <c r="E24" s="98">
        <f t="shared" si="0"/>
        <v>5.0251256281407079E-3</v>
      </c>
      <c r="F24" s="255"/>
    </row>
    <row r="25" spans="1:13" ht="15.75" thickBot="1">
      <c r="A25" s="351"/>
      <c r="B25" s="100" t="s">
        <v>30</v>
      </c>
      <c r="C25" s="109">
        <f>_xlfn.XLOOKUP($B$4,'Modelling New'!$D:$D,'Modelling New'!$AF:$AF,0)</f>
        <v>0.995</v>
      </c>
      <c r="D25" s="109">
        <f>AnnualKPI!J4</f>
        <v>0.9886772075148974</v>
      </c>
      <c r="E25" s="103">
        <f t="shared" si="0"/>
        <v>-6.3545653116608954E-3</v>
      </c>
      <c r="F25" s="256"/>
    </row>
    <row r="26" spans="1:13">
      <c r="A26" s="349">
        <v>6</v>
      </c>
      <c r="B26" s="92" t="s">
        <v>31</v>
      </c>
      <c r="C26" s="105">
        <f>_xlfn.XLOOKUP($B$5,'Daily KPI'!$A:$A,'Daily KPI'!$AF:$AF)</f>
        <v>0.13495571113721361</v>
      </c>
      <c r="D26" s="105">
        <f>IFERROR(_xlfn.XLOOKUP($B$5,'Daily KPI'!$A:$A,'Daily KPI'!$W:$W),"")</f>
        <v>0.19063846153846151</v>
      </c>
      <c r="E26" s="94">
        <f t="shared" ref="E26:E28" si="1">(D26-C26)/(C26)</f>
        <v>0.41260017773263069</v>
      </c>
      <c r="F26" s="254"/>
    </row>
    <row r="27" spans="1:13">
      <c r="A27" s="350"/>
      <c r="B27" s="95" t="s">
        <v>32</v>
      </c>
      <c r="C27" s="106">
        <f>MonthlyKPI!G4</f>
        <v>0.13495571113721358</v>
      </c>
      <c r="D27" s="107">
        <f>MonthlyKPI!H4</f>
        <v>0.12417538461538465</v>
      </c>
      <c r="E27" s="98">
        <f t="shared" si="1"/>
        <v>-7.9880476572556813E-2</v>
      </c>
      <c r="F27" s="255"/>
    </row>
    <row r="28" spans="1:13" ht="15.75" thickBot="1">
      <c r="A28" s="351"/>
      <c r="B28" s="100" t="s">
        <v>33</v>
      </c>
      <c r="C28" s="108">
        <f>AnnualKPI!G4</f>
        <v>0.200543847696739</v>
      </c>
      <c r="D28" s="109">
        <f>AnnualKPI!H4</f>
        <v>0.15636052249637147</v>
      </c>
      <c r="E28" s="103">
        <f t="shared" si="1"/>
        <v>-0.22031753009536967</v>
      </c>
      <c r="F28" s="256"/>
    </row>
    <row r="30" spans="1:13" ht="15.75" thickBot="1"/>
    <row r="31" spans="1:13" ht="15.75">
      <c r="A31" s="346" t="s">
        <v>34</v>
      </c>
      <c r="B31" s="347"/>
      <c r="C31" s="347"/>
      <c r="D31" s="347"/>
      <c r="E31" s="347"/>
      <c r="F31" s="348"/>
    </row>
    <row r="32" spans="1:13">
      <c r="A32" s="78" t="s">
        <v>1</v>
      </c>
      <c r="B32" s="79">
        <f>B4</f>
        <v>45839</v>
      </c>
      <c r="C32" s="80"/>
      <c r="D32" s="80"/>
      <c r="E32" s="80"/>
      <c r="F32" s="81"/>
    </row>
    <row r="33" spans="1:6">
      <c r="A33" s="78" t="s">
        <v>2</v>
      </c>
      <c r="B33" s="82">
        <f>B5</f>
        <v>45853</v>
      </c>
      <c r="C33" s="80"/>
      <c r="D33" s="80"/>
      <c r="E33" s="80"/>
      <c r="F33" s="81"/>
    </row>
    <row r="34" spans="1:6">
      <c r="A34" s="78" t="s">
        <v>3</v>
      </c>
      <c r="B34" s="127">
        <f>B6</f>
        <v>2026</v>
      </c>
      <c r="C34" s="80"/>
      <c r="D34" s="80"/>
      <c r="E34" s="80"/>
      <c r="F34" s="81"/>
    </row>
    <row r="35" spans="1:6">
      <c r="A35" s="78" t="s">
        <v>4</v>
      </c>
      <c r="B35" s="82">
        <f>B7</f>
        <v>45748</v>
      </c>
      <c r="C35" s="80"/>
      <c r="D35" s="80"/>
      <c r="E35" s="80"/>
      <c r="F35" s="81"/>
    </row>
    <row r="36" spans="1:6" ht="15.75" thickBot="1">
      <c r="A36" s="83" t="s">
        <v>5</v>
      </c>
      <c r="B36" s="166">
        <f>B8</f>
        <v>46112</v>
      </c>
      <c r="C36" s="85"/>
      <c r="D36" s="85"/>
      <c r="E36" s="85"/>
      <c r="F36" s="86"/>
    </row>
    <row r="37" spans="1:6" ht="15.75" thickBot="1"/>
    <row r="38" spans="1:6" ht="15.75" thickBot="1">
      <c r="A38" s="89" t="s">
        <v>35</v>
      </c>
      <c r="B38" s="90" t="s">
        <v>7</v>
      </c>
      <c r="C38" s="90" t="s">
        <v>8</v>
      </c>
      <c r="D38" s="90" t="s">
        <v>9</v>
      </c>
      <c r="E38" s="91" t="s">
        <v>10</v>
      </c>
      <c r="F38" s="91" t="s">
        <v>11</v>
      </c>
    </row>
    <row r="39" spans="1:6">
      <c r="A39" s="165" t="s">
        <v>36</v>
      </c>
      <c r="B39" s="95" t="s">
        <v>16</v>
      </c>
      <c r="C39" s="96">
        <f>$C$12*_xlfn.XLOOKUP(A39,'Basic Data'!AE:AE,'Basic Data'!AH:AH)*1000</f>
        <v>2623751.5584489531</v>
      </c>
      <c r="D39" s="96">
        <f>SUMIFS(RD[O2R15],RD[Month Year],$B$32)</f>
        <v>2338008.1</v>
      </c>
      <c r="E39" s="98">
        <f>D39/C39-1</f>
        <v>-0.10890644639306934</v>
      </c>
      <c r="F39" s="99"/>
    </row>
    <row r="40" spans="1:6">
      <c r="A40" s="165" t="s">
        <v>37</v>
      </c>
      <c r="B40" s="95" t="s">
        <v>16</v>
      </c>
      <c r="C40" s="96">
        <f>$C$12*_xlfn.XLOOKUP(A40,'Basic Data'!AE:AE,'Basic Data'!AH:AH)*1000</f>
        <v>390982.25091132818</v>
      </c>
      <c r="D40" s="96">
        <f>SUMIFS(RD[O2R17],RD[Month Year],$B$32)</f>
        <v>345031.69999999995</v>
      </c>
      <c r="E40" s="98">
        <f t="shared" ref="E40:E43" si="2">D40/C40-1</f>
        <v>-0.11752592554834274</v>
      </c>
      <c r="F40" s="99"/>
    </row>
    <row r="41" spans="1:6">
      <c r="A41" s="165" t="s">
        <v>38</v>
      </c>
      <c r="B41" s="95" t="s">
        <v>16</v>
      </c>
      <c r="C41" s="96">
        <f>$C$12*_xlfn.XLOOKUP(A41,'Basic Data'!AE:AE,'Basic Data'!AH:AH)*1000</f>
        <v>384987.18973068782</v>
      </c>
      <c r="D41" s="96">
        <f>SUMIFS(RD[O2R11],RD[Month Year],$B$32)</f>
        <v>344731.5</v>
      </c>
      <c r="E41" s="98">
        <f t="shared" si="2"/>
        <v>-0.10456371225974581</v>
      </c>
      <c r="F41" s="99"/>
    </row>
    <row r="42" spans="1:6">
      <c r="A42" s="165" t="s">
        <v>39</v>
      </c>
      <c r="B42" s="95" t="s">
        <v>16</v>
      </c>
      <c r="C42" s="96">
        <f>$C$12*_xlfn.XLOOKUP(A42,'Basic Data'!AE:AE,'Basic Data'!AH:AH)*1000</f>
        <v>154828.97136088597</v>
      </c>
      <c r="D42" s="96">
        <f>SUMIFS(RD[O2R6],RD[Month Year],$B$32)</f>
        <v>139524.4</v>
      </c>
      <c r="E42" s="98">
        <f t="shared" si="2"/>
        <v>-9.8848240263852416E-2</v>
      </c>
      <c r="F42" s="99"/>
    </row>
    <row r="43" spans="1:6">
      <c r="A43" s="165" t="s">
        <v>40</v>
      </c>
      <c r="B43" s="95" t="s">
        <v>16</v>
      </c>
      <c r="C43" s="96">
        <f>$C$12*_xlfn.XLOOKUP(A43,'Basic Data'!AE:AE,'Basic Data'!AH:AH)*1000</f>
        <v>748600.68307822302</v>
      </c>
      <c r="D43" s="96">
        <f>SUMIFS(RD[O2R12],RD[Month Year],$B$32)</f>
        <v>666121</v>
      </c>
      <c r="E43" s="98">
        <f t="shared" si="2"/>
        <v>-0.11017847691384552</v>
      </c>
      <c r="F43" s="99"/>
    </row>
    <row r="44" spans="1:6">
      <c r="A44" s="165" t="s">
        <v>41</v>
      </c>
      <c r="B44" s="95" t="s">
        <v>16</v>
      </c>
      <c r="C44" s="96">
        <f>$C$12*_xlfn.XLOOKUP(A44,'Basic Data'!AE:AE,'Basic Data'!AH:AH)*1000</f>
        <v>1363746.0911787129</v>
      </c>
      <c r="D44" s="96">
        <f>SUMIFS(RD[O2R14],RD[Month Year],$B$32)</f>
        <v>1470151.9</v>
      </c>
      <c r="E44" s="98">
        <f t="shared" ref="E44" si="3">D44/C44-1</f>
        <v>7.8024648070168512E-2</v>
      </c>
      <c r="F44" s="99"/>
    </row>
    <row r="45" spans="1:6">
      <c r="A45" s="165" t="s">
        <v>42</v>
      </c>
      <c r="B45" s="95" t="s">
        <v>16</v>
      </c>
      <c r="C45" s="96">
        <f>$C$12*_xlfn.XLOOKUP(A45,'Basic Data'!AE:AE,'Basic Data'!AH:AH)*1000</f>
        <v>323211.99408669799</v>
      </c>
      <c r="D45" s="96">
        <f>SUMIFS(RD[O2R24],RD[Month Year],$B$32)</f>
        <v>297262.40000000002</v>
      </c>
      <c r="E45" s="98">
        <f t="shared" ref="E45:E46" si="4">D45/C45-1</f>
        <v>-8.0286606194871823E-2</v>
      </c>
      <c r="F45" s="99"/>
    </row>
    <row r="46" spans="1:6">
      <c r="A46" s="165" t="s">
        <v>43</v>
      </c>
      <c r="B46" s="95" t="s">
        <v>16</v>
      </c>
      <c r="C46" s="96">
        <f>$C$12*_xlfn.XLOOKUP(A46,'Basic Data'!AE:AE,'Basic Data'!AH:AH)*1000</f>
        <v>325818.54242610681</v>
      </c>
      <c r="D46" s="96">
        <f>SUMIFS(RD[O2R26],RD[Month Year],$B$32)</f>
        <v>327933.60000000003</v>
      </c>
      <c r="E46" s="98">
        <f t="shared" si="4"/>
        <v>6.4915199673538648E-3</v>
      </c>
      <c r="F46" s="99"/>
    </row>
  </sheetData>
  <sheetProtection algorithmName="SHA-512" hashValue="Xj4WQ7Kkkd3B08nYxEeJBTi87WLGtnXvY055PwharxyOgzBMM8O0z17c1gEcK+miYjYk4LFNaQ2u0KaXO01hYg==" saltValue="51aB68OVNEzwKvtyNzmXyg==" spinCount="100000" sheet="1" objects="1" scenarios="1"/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phoneticPr fontId="104" type="noConversion"/>
  <conditionalFormatting sqref="E3:E9 E47:E51">
    <cfRule type="cellIs" dxfId="6" priority="24" operator="greaterThan">
      <formula>0.01</formula>
    </cfRule>
    <cfRule type="cellIs" dxfId="5" priority="25" operator="lessThan">
      <formula>-0.005</formula>
    </cfRule>
    <cfRule type="cellIs" dxfId="4" priority="26" operator="lessThan">
      <formula>-0.01</formula>
    </cfRule>
  </conditionalFormatting>
  <conditionalFormatting sqref="E11:E28">
    <cfRule type="iconSet" priority="8">
      <iconSet iconSet="3Arrows">
        <cfvo type="percent" val="0"/>
        <cfvo type="num" val="-5.0000000000000001E-3"/>
        <cfvo type="num" val="0"/>
      </iconSet>
    </cfRule>
    <cfRule type="dataBar" priority="1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1:E37">
    <cfRule type="cellIs" dxfId="3" priority="3" operator="greaterThan">
      <formula>0.01</formula>
    </cfRule>
    <cfRule type="cellIs" dxfId="2" priority="4" operator="lessThan">
      <formula>-0.005</formula>
    </cfRule>
    <cfRule type="cellIs" dxfId="1" priority="5" operator="lessThan">
      <formula>-0.01</formula>
    </cfRule>
  </conditionalFormatting>
  <conditionalFormatting sqref="E39:E42">
    <cfRule type="iconSet" priority="6">
      <iconSet iconSet="3Arrows">
        <cfvo type="percent" val="0"/>
        <cfvo type="num" val="-5.0000000000000001E-3"/>
        <cfvo type="num" val="0"/>
      </iconSet>
    </cfRule>
    <cfRule type="dataBar" priority="7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{F5D8C31F-FB60-4CA2-A8B4-5BB962752527}</x14:id>
        </ext>
      </extLst>
    </cfRule>
  </conditionalFormatting>
  <conditionalFormatting sqref="E43:E46">
    <cfRule type="iconSet" priority="27">
      <iconSet iconSet="3Arrows">
        <cfvo type="percent" val="0"/>
        <cfvo type="num" val="-5.0000000000000001E-3"/>
        <cfvo type="num" val="0"/>
      </iconSet>
    </cfRule>
    <cfRule type="dataBar" priority="2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{ACC2F752-0AEF-490D-8DF4-1F5AAE2DE4A0}</x14:id>
        </ext>
      </extLst>
    </cfRule>
  </conditionalFormatting>
  <pageMargins left="0.7" right="0.7" top="0.75" bottom="0.75" header="0.3" footer="0.3"/>
  <pageSetup orientation="portrait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F5D8C31F-FB60-4CA2-A8B4-5BB962752527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E39:E42</xm:sqref>
        </x14:conditionalFormatting>
        <x14:conditionalFormatting xmlns:xm="http://schemas.microsoft.com/office/excel/2006/main">
          <x14:cfRule type="dataBar" id="{ACC2F752-0AEF-490D-8DF4-1F5AAE2DE4A0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E43:E46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689"/>
  <sheetViews>
    <sheetView topLeftCell="J1" zoomScaleNormal="100" workbookViewId="0">
      <pane ySplit="1" topLeftCell="A425" activePane="bottomLeft" state="frozen"/>
      <selection activeCell="H1" sqref="H1"/>
      <selection pane="bottomLeft" activeCell="T439" sqref="T439"/>
    </sheetView>
  </sheetViews>
  <sheetFormatPr defaultColWidth="8.85546875" defaultRowHeight="15"/>
  <cols>
    <col min="1" max="1" width="17.140625" bestFit="1" customWidth="1"/>
    <col min="2" max="2" width="8.42578125" style="5" customWidth="1"/>
    <col min="3" max="3" width="2.42578125" customWidth="1"/>
    <col min="4" max="4" width="13.85546875" bestFit="1" customWidth="1"/>
    <col min="5" max="5" width="1.140625" customWidth="1"/>
    <col min="7" max="7" width="1.85546875" customWidth="1"/>
    <col min="9" max="9" width="1" customWidth="1"/>
    <col min="11" max="11" width="1.85546875" customWidth="1"/>
    <col min="12" max="12" width="15.140625" customWidth="1"/>
    <col min="13" max="13" width="2.140625" customWidth="1"/>
    <col min="14" max="14" width="17.85546875" bestFit="1" customWidth="1"/>
    <col min="15" max="15" width="5.85546875" customWidth="1"/>
    <col min="16" max="16" width="29.7109375" bestFit="1" customWidth="1"/>
    <col min="17" max="17" width="12.140625" customWidth="1"/>
    <col min="18" max="18" width="11.140625" customWidth="1"/>
    <col min="19" max="19" width="12" style="5" customWidth="1"/>
    <col min="20" max="20" width="24.85546875" bestFit="1" customWidth="1"/>
    <col min="21" max="21" width="9.42578125" bestFit="1" customWidth="1"/>
    <col min="22" max="22" width="15.140625" customWidth="1"/>
    <col min="25" max="25" width="9.140625" bestFit="1" customWidth="1"/>
    <col min="27" max="27" width="25.85546875" customWidth="1"/>
    <col min="31" max="31" width="10.7109375" bestFit="1" customWidth="1"/>
    <col min="33" max="33" width="15.42578125" customWidth="1"/>
    <col min="34" max="34" width="11.85546875" customWidth="1"/>
  </cols>
  <sheetData>
    <row r="1" spans="1:36">
      <c r="A1" s="12" t="s">
        <v>327</v>
      </c>
      <c r="B1" s="173" t="s">
        <v>328</v>
      </c>
      <c r="D1" s="12" t="s">
        <v>329</v>
      </c>
      <c r="F1" s="12" t="s">
        <v>330</v>
      </c>
      <c r="H1" s="12" t="s">
        <v>331</v>
      </c>
      <c r="J1" s="12" t="s">
        <v>332</v>
      </c>
      <c r="L1" s="12" t="s">
        <v>333</v>
      </c>
      <c r="N1" s="12" t="s">
        <v>334</v>
      </c>
      <c r="P1" s="303" t="s">
        <v>335</v>
      </c>
      <c r="Q1" s="13" t="s">
        <v>336</v>
      </c>
      <c r="R1" s="13" t="s">
        <v>311</v>
      </c>
      <c r="S1" s="125" t="s">
        <v>337</v>
      </c>
      <c r="T1" s="13" t="s">
        <v>338</v>
      </c>
      <c r="U1" s="13" t="s">
        <v>339</v>
      </c>
      <c r="V1" s="13" t="s">
        <v>340</v>
      </c>
      <c r="W1" s="13" t="s">
        <v>341</v>
      </c>
      <c r="X1" s="13" t="s">
        <v>342</v>
      </c>
      <c r="Y1" s="13" t="s">
        <v>343</v>
      </c>
      <c r="AA1" s="13" t="s">
        <v>344</v>
      </c>
      <c r="AC1" s="13" t="s">
        <v>321</v>
      </c>
      <c r="AE1" s="13" t="s">
        <v>35</v>
      </c>
      <c r="AF1" s="13" t="s">
        <v>345</v>
      </c>
      <c r="AG1" s="13" t="s">
        <v>346</v>
      </c>
      <c r="AH1" s="13" t="s">
        <v>347</v>
      </c>
      <c r="AJ1" s="323" t="s">
        <v>1279</v>
      </c>
    </row>
    <row r="2" spans="1:36">
      <c r="A2" t="s">
        <v>348</v>
      </c>
      <c r="B2" s="1">
        <f>AG10*1000</f>
        <v>121155</v>
      </c>
      <c r="D2" t="s">
        <v>349</v>
      </c>
      <c r="F2" t="s">
        <v>350</v>
      </c>
      <c r="H2" t="s">
        <v>351</v>
      </c>
      <c r="J2" t="s">
        <v>352</v>
      </c>
      <c r="L2" t="s">
        <v>353</v>
      </c>
      <c r="N2" t="s">
        <v>354</v>
      </c>
      <c r="P2" s="2" t="s">
        <v>117</v>
      </c>
      <c r="Q2" s="10" t="s">
        <v>36</v>
      </c>
      <c r="R2" s="2" t="s">
        <v>355</v>
      </c>
      <c r="S2" s="3">
        <v>1596.3050000000001</v>
      </c>
      <c r="T2" s="11">
        <f t="shared" ref="T2:T29" si="0">S2/$B$2</f>
        <v>1.3175725310552599E-2</v>
      </c>
      <c r="U2" s="1" t="s">
        <v>356</v>
      </c>
      <c r="V2" s="6"/>
      <c r="W2" s="304" t="s">
        <v>357</v>
      </c>
      <c r="X2" s="6" t="s">
        <v>358</v>
      </c>
      <c r="Y2" s="1" t="s">
        <v>359</v>
      </c>
      <c r="AA2" s="2" t="s">
        <v>331</v>
      </c>
      <c r="AC2" t="s">
        <v>360</v>
      </c>
      <c r="AE2" s="2" t="s">
        <v>39</v>
      </c>
      <c r="AF2" s="2">
        <v>2.2000000000000002</v>
      </c>
      <c r="AG2" s="2">
        <v>2.97</v>
      </c>
      <c r="AH2" s="176">
        <f>AG2/$AG$10</f>
        <v>2.4514052247121457E-2</v>
      </c>
      <c r="AJ2" s="324" t="s">
        <v>358</v>
      </c>
    </row>
    <row r="3" spans="1:36">
      <c r="D3" t="s">
        <v>361</v>
      </c>
      <c r="F3" t="s">
        <v>362</v>
      </c>
      <c r="H3" t="s">
        <v>363</v>
      </c>
      <c r="J3" t="s">
        <v>364</v>
      </c>
      <c r="L3" t="s">
        <v>365</v>
      </c>
      <c r="N3" t="s">
        <v>366</v>
      </c>
      <c r="P3" s="2" t="s">
        <v>118</v>
      </c>
      <c r="Q3" s="10" t="s">
        <v>36</v>
      </c>
      <c r="R3" s="2" t="s">
        <v>355</v>
      </c>
      <c r="S3" s="3">
        <v>1596.3050000000001</v>
      </c>
      <c r="T3" s="11">
        <f t="shared" si="0"/>
        <v>1.3175725310552599E-2</v>
      </c>
      <c r="U3" s="1" t="s">
        <v>356</v>
      </c>
      <c r="V3" s="6"/>
      <c r="W3" s="304" t="s">
        <v>357</v>
      </c>
      <c r="X3" s="6" t="s">
        <v>358</v>
      </c>
      <c r="Y3" s="1" t="s">
        <v>359</v>
      </c>
      <c r="AA3" s="2" t="s">
        <v>367</v>
      </c>
      <c r="AC3" t="s">
        <v>368</v>
      </c>
      <c r="AE3" s="2" t="s">
        <v>38</v>
      </c>
      <c r="AF3" s="2">
        <v>5.45</v>
      </c>
      <c r="AG3" s="2">
        <v>7.3849999999999998</v>
      </c>
      <c r="AH3" s="176">
        <f t="shared" ref="AH3:AH10" si="1">AG3/$AG$10</f>
        <v>6.095497503198382E-2</v>
      </c>
    </row>
    <row r="4" spans="1:36">
      <c r="D4" t="s">
        <v>369</v>
      </c>
      <c r="F4" t="s">
        <v>370</v>
      </c>
      <c r="H4" t="s">
        <v>371</v>
      </c>
      <c r="J4" t="s">
        <v>372</v>
      </c>
      <c r="L4" t="s">
        <v>373</v>
      </c>
      <c r="N4" t="s">
        <v>374</v>
      </c>
      <c r="P4" s="2" t="s">
        <v>119</v>
      </c>
      <c r="Q4" s="10" t="s">
        <v>36</v>
      </c>
      <c r="R4" s="2" t="s">
        <v>355</v>
      </c>
      <c r="S4" s="3">
        <v>1501.4749999999999</v>
      </c>
      <c r="T4" s="11">
        <f t="shared" si="0"/>
        <v>1.2393008955470264E-2</v>
      </c>
      <c r="U4" s="1" t="s">
        <v>356</v>
      </c>
      <c r="V4" s="6"/>
      <c r="W4" s="304" t="s">
        <v>357</v>
      </c>
      <c r="X4" s="6" t="s">
        <v>358</v>
      </c>
      <c r="Y4" s="1" t="s">
        <v>359</v>
      </c>
      <c r="AA4" s="2" t="s">
        <v>375</v>
      </c>
      <c r="AE4" s="2" t="s">
        <v>40</v>
      </c>
      <c r="AF4" s="2">
        <v>10.65</v>
      </c>
      <c r="AG4" s="2">
        <v>14.36</v>
      </c>
      <c r="AH4" s="176">
        <f t="shared" si="1"/>
        <v>0.1185258553093145</v>
      </c>
    </row>
    <row r="5" spans="1:36">
      <c r="D5" t="s">
        <v>376</v>
      </c>
      <c r="F5" t="s">
        <v>377</v>
      </c>
      <c r="H5" t="s">
        <v>378</v>
      </c>
      <c r="J5" t="s">
        <v>379</v>
      </c>
      <c r="L5" t="s">
        <v>380</v>
      </c>
      <c r="N5" s="300" t="s">
        <v>381</v>
      </c>
      <c r="P5" s="2" t="s">
        <v>120</v>
      </c>
      <c r="Q5" s="10" t="s">
        <v>36</v>
      </c>
      <c r="R5" s="2" t="s">
        <v>355</v>
      </c>
      <c r="S5" s="3">
        <v>1515.25</v>
      </c>
      <c r="T5" s="11">
        <f t="shared" si="0"/>
        <v>1.2506706285336965E-2</v>
      </c>
      <c r="U5" s="1" t="s">
        <v>356</v>
      </c>
      <c r="V5" s="6"/>
      <c r="W5" s="304" t="s">
        <v>357</v>
      </c>
      <c r="X5" s="6" t="s">
        <v>358</v>
      </c>
      <c r="Y5" s="1" t="s">
        <v>359</v>
      </c>
      <c r="AA5" s="2" t="s">
        <v>332</v>
      </c>
      <c r="AE5" s="2" t="s">
        <v>36</v>
      </c>
      <c r="AF5" s="2">
        <v>36.35</v>
      </c>
      <c r="AG5" s="2">
        <v>50.33</v>
      </c>
      <c r="AH5" s="176">
        <f t="shared" si="1"/>
        <v>0.41541826585778546</v>
      </c>
    </row>
    <row r="6" spans="1:36">
      <c r="D6" t="s">
        <v>382</v>
      </c>
      <c r="F6" t="s">
        <v>383</v>
      </c>
      <c r="J6" t="s">
        <v>384</v>
      </c>
      <c r="L6" t="s">
        <v>385</v>
      </c>
      <c r="N6" s="300" t="s">
        <v>386</v>
      </c>
      <c r="P6" s="2" t="s">
        <v>121</v>
      </c>
      <c r="Q6" s="10" t="s">
        <v>36</v>
      </c>
      <c r="R6" s="2" t="s">
        <v>355</v>
      </c>
      <c r="S6" s="3">
        <v>1560.49</v>
      </c>
      <c r="T6" s="11">
        <f t="shared" si="0"/>
        <v>1.2880112252899178E-2</v>
      </c>
      <c r="U6" s="1" t="s">
        <v>356</v>
      </c>
      <c r="V6" s="6"/>
      <c r="W6" s="304" t="s">
        <v>357</v>
      </c>
      <c r="X6" s="6" t="s">
        <v>358</v>
      </c>
      <c r="Y6" s="1" t="s">
        <v>359</v>
      </c>
      <c r="AA6" s="2" t="s">
        <v>330</v>
      </c>
      <c r="AE6" s="2" t="s">
        <v>37</v>
      </c>
      <c r="AF6" s="2">
        <v>5.55</v>
      </c>
      <c r="AG6" s="2">
        <v>7.5</v>
      </c>
      <c r="AH6" s="176">
        <f t="shared" si="1"/>
        <v>6.1904172341215799E-2</v>
      </c>
    </row>
    <row r="7" spans="1:36">
      <c r="D7" t="s">
        <v>387</v>
      </c>
      <c r="F7" t="s">
        <v>388</v>
      </c>
      <c r="J7" t="s">
        <v>389</v>
      </c>
      <c r="L7" t="s">
        <v>390</v>
      </c>
      <c r="N7" s="300" t="s">
        <v>391</v>
      </c>
      <c r="P7" s="2" t="s">
        <v>122</v>
      </c>
      <c r="Q7" s="10" t="s">
        <v>36</v>
      </c>
      <c r="R7" s="2" t="s">
        <v>355</v>
      </c>
      <c r="S7" s="3">
        <v>1582.53</v>
      </c>
      <c r="T7" s="11">
        <f t="shared" si="0"/>
        <v>1.3062027980685897E-2</v>
      </c>
      <c r="U7" s="1" t="s">
        <v>356</v>
      </c>
      <c r="V7" s="6"/>
      <c r="W7" s="304" t="s">
        <v>357</v>
      </c>
      <c r="X7" s="6" t="s">
        <v>358</v>
      </c>
      <c r="Y7" s="1" t="s">
        <v>359</v>
      </c>
      <c r="AA7" s="2" t="s">
        <v>392</v>
      </c>
      <c r="AE7" s="2" t="s">
        <v>41</v>
      </c>
      <c r="AF7" s="2">
        <v>25.7</v>
      </c>
      <c r="AG7" s="2">
        <v>26.16</v>
      </c>
      <c r="AH7" s="176">
        <f>AG7/$AG$10</f>
        <v>0.21592175312616071</v>
      </c>
    </row>
    <row r="8" spans="1:36">
      <c r="D8" t="s">
        <v>393</v>
      </c>
      <c r="F8" t="s">
        <v>394</v>
      </c>
      <c r="J8" t="s">
        <v>395</v>
      </c>
      <c r="N8" s="300" t="s">
        <v>396</v>
      </c>
      <c r="P8" s="2" t="s">
        <v>123</v>
      </c>
      <c r="Q8" s="10" t="s">
        <v>36</v>
      </c>
      <c r="R8" s="2" t="s">
        <v>355</v>
      </c>
      <c r="S8" s="3">
        <v>1473.4900000000002</v>
      </c>
      <c r="T8" s="11">
        <f t="shared" si="0"/>
        <v>1.2162023853741077E-2</v>
      </c>
      <c r="U8" s="1" t="s">
        <v>356</v>
      </c>
      <c r="V8" s="6"/>
      <c r="W8" s="304" t="s">
        <v>357</v>
      </c>
      <c r="X8" s="6" t="s">
        <v>358</v>
      </c>
      <c r="Y8" s="1" t="s">
        <v>359</v>
      </c>
      <c r="AA8" s="2" t="s">
        <v>397</v>
      </c>
      <c r="AE8" s="2" t="s">
        <v>42</v>
      </c>
      <c r="AF8" s="2">
        <v>4.4000000000000004</v>
      </c>
      <c r="AG8" s="2">
        <v>6.2</v>
      </c>
      <c r="AH8" s="176">
        <f>AG8/$AG$10</f>
        <v>5.1174115802071728E-2</v>
      </c>
    </row>
    <row r="9" spans="1:36">
      <c r="D9" t="s">
        <v>398</v>
      </c>
      <c r="F9" t="s">
        <v>399</v>
      </c>
      <c r="J9" t="s">
        <v>400</v>
      </c>
      <c r="N9" t="s">
        <v>401</v>
      </c>
      <c r="P9" s="2" t="s">
        <v>124</v>
      </c>
      <c r="Q9" s="10" t="s">
        <v>36</v>
      </c>
      <c r="R9" s="2" t="s">
        <v>355</v>
      </c>
      <c r="S9" s="3">
        <v>1675.33</v>
      </c>
      <c r="T9" s="11">
        <f t="shared" si="0"/>
        <v>1.3827988939787874E-2</v>
      </c>
      <c r="U9" s="1" t="s">
        <v>356</v>
      </c>
      <c r="V9" s="6"/>
      <c r="W9" s="304" t="s">
        <v>357</v>
      </c>
      <c r="X9" s="6" t="s">
        <v>358</v>
      </c>
      <c r="Y9" s="1" t="s">
        <v>359</v>
      </c>
      <c r="AA9" s="2" t="s">
        <v>402</v>
      </c>
      <c r="AE9" s="2" t="s">
        <v>43</v>
      </c>
      <c r="AF9" s="2">
        <v>5.33</v>
      </c>
      <c r="AG9" s="2">
        <v>6.25</v>
      </c>
      <c r="AH9" s="176">
        <f t="shared" si="1"/>
        <v>5.1586810284346495E-2</v>
      </c>
    </row>
    <row r="10" spans="1:36">
      <c r="D10" t="s">
        <v>403</v>
      </c>
      <c r="F10" t="s">
        <v>404</v>
      </c>
      <c r="J10" t="s">
        <v>405</v>
      </c>
      <c r="N10" t="s">
        <v>406</v>
      </c>
      <c r="P10" s="2" t="s">
        <v>125</v>
      </c>
      <c r="Q10" s="10" t="s">
        <v>36</v>
      </c>
      <c r="R10" s="2" t="s">
        <v>355</v>
      </c>
      <c r="S10" s="3">
        <v>1568.2650000000001</v>
      </c>
      <c r="T10" s="11">
        <f t="shared" si="0"/>
        <v>1.2944286244892907E-2</v>
      </c>
      <c r="U10" s="1" t="s">
        <v>356</v>
      </c>
      <c r="V10" s="6"/>
      <c r="W10" s="304" t="s">
        <v>357</v>
      </c>
      <c r="X10" s="6" t="s">
        <v>358</v>
      </c>
      <c r="Y10" s="1" t="s">
        <v>359</v>
      </c>
      <c r="AA10" s="2" t="s">
        <v>407</v>
      </c>
      <c r="AE10" s="2" t="s">
        <v>408</v>
      </c>
      <c r="AF10" s="2">
        <f>SUM(AF2:AF9)</f>
        <v>95.63000000000001</v>
      </c>
      <c r="AG10" s="2">
        <f>SUM(AG2:AG9)</f>
        <v>121.155</v>
      </c>
      <c r="AH10" s="176">
        <f t="shared" si="1"/>
        <v>1</v>
      </c>
    </row>
    <row r="11" spans="1:36">
      <c r="D11" t="s">
        <v>409</v>
      </c>
      <c r="F11" t="s">
        <v>410</v>
      </c>
      <c r="J11" t="s">
        <v>411</v>
      </c>
      <c r="N11" t="s">
        <v>412</v>
      </c>
      <c r="P11" s="2" t="s">
        <v>126</v>
      </c>
      <c r="Q11" s="10" t="s">
        <v>36</v>
      </c>
      <c r="R11" s="2" t="s">
        <v>355</v>
      </c>
      <c r="S11" s="3">
        <v>1522.2</v>
      </c>
      <c r="T11" s="11">
        <f t="shared" si="0"/>
        <v>1.2564070818373159E-2</v>
      </c>
      <c r="U11" s="1" t="s">
        <v>356</v>
      </c>
      <c r="V11" s="6"/>
      <c r="W11" s="304" t="s">
        <v>357</v>
      </c>
      <c r="X11" s="6" t="s">
        <v>358</v>
      </c>
      <c r="Y11" s="1" t="s">
        <v>359</v>
      </c>
      <c r="AA11" s="2" t="s">
        <v>413</v>
      </c>
    </row>
    <row r="12" spans="1:36">
      <c r="D12" t="s">
        <v>414</v>
      </c>
      <c r="F12" t="s">
        <v>415</v>
      </c>
      <c r="J12" t="s">
        <v>416</v>
      </c>
      <c r="P12" s="2" t="s">
        <v>127</v>
      </c>
      <c r="Q12" s="10" t="s">
        <v>36</v>
      </c>
      <c r="R12" s="2" t="s">
        <v>355</v>
      </c>
      <c r="S12" s="3">
        <v>1547.15</v>
      </c>
      <c r="T12" s="11">
        <f t="shared" si="0"/>
        <v>1.2770005365028271E-2</v>
      </c>
      <c r="U12" s="1" t="s">
        <v>356</v>
      </c>
      <c r="V12" s="6"/>
      <c r="W12" s="304" t="s">
        <v>357</v>
      </c>
      <c r="X12" s="6" t="s">
        <v>358</v>
      </c>
      <c r="Y12" s="1" t="s">
        <v>359</v>
      </c>
      <c r="AA12" s="2" t="s">
        <v>417</v>
      </c>
    </row>
    <row r="13" spans="1:36">
      <c r="D13" t="s">
        <v>418</v>
      </c>
      <c r="F13" t="s">
        <v>419</v>
      </c>
      <c r="P13" s="2" t="s">
        <v>128</v>
      </c>
      <c r="Q13" s="10" t="s">
        <v>36</v>
      </c>
      <c r="R13" s="2" t="s">
        <v>355</v>
      </c>
      <c r="S13" s="3">
        <v>1558.46</v>
      </c>
      <c r="T13" s="11">
        <f t="shared" si="0"/>
        <v>1.2863356856918823E-2</v>
      </c>
      <c r="U13" s="1" t="s">
        <v>356</v>
      </c>
      <c r="V13" s="6"/>
      <c r="W13" s="304" t="s">
        <v>357</v>
      </c>
      <c r="X13" s="6" t="s">
        <v>358</v>
      </c>
      <c r="Y13" s="1" t="s">
        <v>359</v>
      </c>
      <c r="AA13" s="2" t="s">
        <v>420</v>
      </c>
    </row>
    <row r="14" spans="1:36">
      <c r="D14" t="s">
        <v>421</v>
      </c>
      <c r="F14" t="s">
        <v>422</v>
      </c>
      <c r="P14" s="2" t="s">
        <v>129</v>
      </c>
      <c r="Q14" s="10" t="s">
        <v>36</v>
      </c>
      <c r="R14" s="2" t="s">
        <v>355</v>
      </c>
      <c r="S14" s="3">
        <v>1622.26</v>
      </c>
      <c r="T14" s="11">
        <f t="shared" si="0"/>
        <v>1.3389955016301433E-2</v>
      </c>
      <c r="U14" s="1" t="s">
        <v>356</v>
      </c>
      <c r="V14" s="6"/>
      <c r="W14" s="304" t="s">
        <v>357</v>
      </c>
      <c r="X14" s="6" t="s">
        <v>358</v>
      </c>
      <c r="Y14" s="1" t="s">
        <v>359</v>
      </c>
      <c r="AA14" s="2" t="s">
        <v>423</v>
      </c>
    </row>
    <row r="15" spans="1:36">
      <c r="D15" t="s">
        <v>424</v>
      </c>
      <c r="F15" t="s">
        <v>425</v>
      </c>
      <c r="P15" s="2" t="s">
        <v>130</v>
      </c>
      <c r="Q15" s="10" t="s">
        <v>36</v>
      </c>
      <c r="R15" s="2" t="s">
        <v>355</v>
      </c>
      <c r="S15" s="3">
        <v>1512.9299999999998</v>
      </c>
      <c r="T15" s="11">
        <f t="shared" si="0"/>
        <v>1.2487557261359415E-2</v>
      </c>
      <c r="U15" s="1" t="s">
        <v>356</v>
      </c>
      <c r="V15" s="6"/>
      <c r="W15" s="304" t="s">
        <v>357</v>
      </c>
      <c r="X15" s="6" t="s">
        <v>358</v>
      </c>
      <c r="Y15" s="1" t="s">
        <v>359</v>
      </c>
      <c r="AA15" s="2" t="s">
        <v>426</v>
      </c>
    </row>
    <row r="16" spans="1:36">
      <c r="D16" t="s">
        <v>427</v>
      </c>
      <c r="F16" t="s">
        <v>428</v>
      </c>
      <c r="P16" s="2" t="s">
        <v>131</v>
      </c>
      <c r="Q16" s="10" t="s">
        <v>36</v>
      </c>
      <c r="R16" s="2" t="s">
        <v>355</v>
      </c>
      <c r="S16" s="3">
        <v>1622.38</v>
      </c>
      <c r="T16" s="11">
        <f t="shared" si="0"/>
        <v>1.3390945483058893E-2</v>
      </c>
      <c r="U16" s="1" t="s">
        <v>356</v>
      </c>
      <c r="V16" s="6"/>
      <c r="W16" s="304" t="s">
        <v>357</v>
      </c>
      <c r="X16" s="6" t="s">
        <v>358</v>
      </c>
      <c r="Y16" s="1" t="s">
        <v>359</v>
      </c>
      <c r="AA16" s="2" t="s">
        <v>429</v>
      </c>
    </row>
    <row r="17" spans="6:27">
      <c r="F17" t="s">
        <v>430</v>
      </c>
      <c r="P17" s="2" t="s">
        <v>132</v>
      </c>
      <c r="Q17" s="10" t="s">
        <v>36</v>
      </c>
      <c r="R17" s="2" t="s">
        <v>355</v>
      </c>
      <c r="S17" s="3">
        <v>1553.5300000000002</v>
      </c>
      <c r="T17" s="11">
        <f t="shared" si="0"/>
        <v>1.2822665180966532E-2</v>
      </c>
      <c r="U17" s="1" t="s">
        <v>356</v>
      </c>
      <c r="V17" s="6"/>
      <c r="W17" s="304" t="s">
        <v>357</v>
      </c>
      <c r="X17" s="6" t="s">
        <v>358</v>
      </c>
      <c r="Y17" s="1" t="s">
        <v>359</v>
      </c>
      <c r="AA17" s="2" t="s">
        <v>431</v>
      </c>
    </row>
    <row r="18" spans="6:27">
      <c r="F18" t="s">
        <v>432</v>
      </c>
      <c r="P18" s="2" t="s">
        <v>133</v>
      </c>
      <c r="Q18" s="10" t="s">
        <v>36</v>
      </c>
      <c r="R18" s="2" t="s">
        <v>355</v>
      </c>
      <c r="S18" s="3">
        <v>2199.0699999999997</v>
      </c>
      <c r="T18" s="11">
        <f t="shared" si="0"/>
        <v>1.8150881102719653E-2</v>
      </c>
      <c r="U18" s="1" t="s">
        <v>356</v>
      </c>
      <c r="V18" s="6"/>
      <c r="W18" s="304" t="s">
        <v>433</v>
      </c>
      <c r="X18" s="6" t="s">
        <v>358</v>
      </c>
      <c r="Y18" s="1" t="s">
        <v>359</v>
      </c>
      <c r="AA18" s="2" t="s">
        <v>434</v>
      </c>
    </row>
    <row r="19" spans="6:27">
      <c r="F19" t="s">
        <v>435</v>
      </c>
      <c r="P19" s="2" t="s">
        <v>134</v>
      </c>
      <c r="Q19" s="10" t="s">
        <v>36</v>
      </c>
      <c r="R19" s="2" t="s">
        <v>355</v>
      </c>
      <c r="S19" s="3">
        <v>2404.5300000000002</v>
      </c>
      <c r="T19" s="11">
        <f t="shared" si="0"/>
        <v>1.984672526928315E-2</v>
      </c>
      <c r="U19" s="1" t="s">
        <v>356</v>
      </c>
      <c r="V19" s="6"/>
      <c r="W19" s="304" t="s">
        <v>433</v>
      </c>
      <c r="X19" s="6" t="s">
        <v>358</v>
      </c>
      <c r="Y19" s="1" t="s">
        <v>359</v>
      </c>
      <c r="AA19" s="2" t="s">
        <v>436</v>
      </c>
    </row>
    <row r="20" spans="6:27">
      <c r="F20" t="s">
        <v>437</v>
      </c>
      <c r="P20" s="2" t="s">
        <v>135</v>
      </c>
      <c r="Q20" s="10" t="s">
        <v>36</v>
      </c>
      <c r="R20" s="2" t="s">
        <v>355</v>
      </c>
      <c r="S20" s="3">
        <v>2126.86</v>
      </c>
      <c r="T20" s="11">
        <f t="shared" si="0"/>
        <v>1.7554867731418431E-2</v>
      </c>
      <c r="U20" s="1" t="s">
        <v>356</v>
      </c>
      <c r="V20" s="6"/>
      <c r="W20" s="304" t="s">
        <v>433</v>
      </c>
      <c r="X20" s="6" t="s">
        <v>358</v>
      </c>
      <c r="Y20" s="1" t="s">
        <v>359</v>
      </c>
      <c r="AA20" s="14" t="s">
        <v>438</v>
      </c>
    </row>
    <row r="21" spans="6:27">
      <c r="F21" t="s">
        <v>439</v>
      </c>
      <c r="P21" s="2" t="s">
        <v>136</v>
      </c>
      <c r="Q21" s="10" t="s">
        <v>36</v>
      </c>
      <c r="R21" s="2" t="s">
        <v>355</v>
      </c>
      <c r="S21" s="3">
        <v>2180.9900000000002</v>
      </c>
      <c r="T21" s="11">
        <f t="shared" si="0"/>
        <v>1.8001650777929101E-2</v>
      </c>
      <c r="U21" s="1" t="s">
        <v>356</v>
      </c>
      <c r="V21" s="6"/>
      <c r="W21" s="304" t="s">
        <v>433</v>
      </c>
      <c r="X21" s="6" t="s">
        <v>358</v>
      </c>
      <c r="Y21" s="1" t="s">
        <v>359</v>
      </c>
      <c r="AA21" s="14" t="s">
        <v>440</v>
      </c>
    </row>
    <row r="22" spans="6:27">
      <c r="F22" t="s">
        <v>441</v>
      </c>
      <c r="P22" s="2" t="s">
        <v>137</v>
      </c>
      <c r="Q22" s="10" t="s">
        <v>36</v>
      </c>
      <c r="R22" s="2" t="s">
        <v>355</v>
      </c>
      <c r="S22" s="3">
        <v>2391.4</v>
      </c>
      <c r="T22" s="11">
        <f t="shared" si="0"/>
        <v>1.9738351698237795E-2</v>
      </c>
      <c r="U22" s="1" t="s">
        <v>356</v>
      </c>
      <c r="V22" s="6"/>
      <c r="W22" s="304" t="s">
        <v>433</v>
      </c>
      <c r="X22" s="6" t="s">
        <v>358</v>
      </c>
      <c r="Y22" s="1" t="s">
        <v>359</v>
      </c>
    </row>
    <row r="23" spans="6:27">
      <c r="F23" t="s">
        <v>442</v>
      </c>
      <c r="P23" s="2" t="s">
        <v>138</v>
      </c>
      <c r="Q23" s="10" t="s">
        <v>36</v>
      </c>
      <c r="R23" s="2" t="s">
        <v>355</v>
      </c>
      <c r="S23" s="3">
        <v>1474.5050000000001</v>
      </c>
      <c r="T23" s="11">
        <f t="shared" si="0"/>
        <v>1.2170401551731254E-2</v>
      </c>
      <c r="U23" s="1" t="s">
        <v>356</v>
      </c>
      <c r="V23" s="6"/>
      <c r="W23" s="304" t="s">
        <v>433</v>
      </c>
      <c r="X23" s="6" t="s">
        <v>358</v>
      </c>
      <c r="Y23" s="1" t="s">
        <v>359</v>
      </c>
    </row>
    <row r="24" spans="6:27">
      <c r="F24" t="s">
        <v>443</v>
      </c>
      <c r="P24" s="2" t="s">
        <v>139</v>
      </c>
      <c r="Q24" s="10" t="s">
        <v>36</v>
      </c>
      <c r="R24" s="2" t="s">
        <v>355</v>
      </c>
      <c r="S24" s="3">
        <v>2181.09</v>
      </c>
      <c r="T24" s="11">
        <f t="shared" si="0"/>
        <v>1.8002476166893648E-2</v>
      </c>
      <c r="U24" s="1" t="s">
        <v>356</v>
      </c>
      <c r="V24" s="6"/>
      <c r="W24" s="304" t="s">
        <v>433</v>
      </c>
      <c r="X24" s="6" t="s">
        <v>358</v>
      </c>
      <c r="Y24" s="1" t="s">
        <v>359</v>
      </c>
    </row>
    <row r="25" spans="6:27">
      <c r="F25" t="s">
        <v>444</v>
      </c>
      <c r="P25" s="2" t="s">
        <v>140</v>
      </c>
      <c r="Q25" s="10" t="s">
        <v>36</v>
      </c>
      <c r="R25" s="2" t="s">
        <v>355</v>
      </c>
      <c r="S25" s="3">
        <v>2227.96</v>
      </c>
      <c r="T25" s="11">
        <f t="shared" si="0"/>
        <v>1.8389335974578019E-2</v>
      </c>
      <c r="U25" s="1" t="s">
        <v>356</v>
      </c>
      <c r="V25" s="6"/>
      <c r="W25" s="304" t="s">
        <v>433</v>
      </c>
      <c r="X25" s="6" t="s">
        <v>358</v>
      </c>
      <c r="Y25" s="1" t="s">
        <v>359</v>
      </c>
    </row>
    <row r="26" spans="6:27">
      <c r="F26" t="s">
        <v>445</v>
      </c>
      <c r="P26" s="2" t="s">
        <v>141</v>
      </c>
      <c r="Q26" s="10" t="s">
        <v>36</v>
      </c>
      <c r="R26" s="2" t="s">
        <v>355</v>
      </c>
      <c r="S26" s="3">
        <v>2149.9500000000003</v>
      </c>
      <c r="T26" s="11">
        <f t="shared" si="0"/>
        <v>1.7745450043332923E-2</v>
      </c>
      <c r="U26" s="1" t="s">
        <v>356</v>
      </c>
      <c r="V26" s="6"/>
      <c r="W26" s="304" t="s">
        <v>433</v>
      </c>
      <c r="X26" s="6" t="s">
        <v>358</v>
      </c>
      <c r="Y26" s="1" t="s">
        <v>359</v>
      </c>
    </row>
    <row r="27" spans="6:27">
      <c r="F27" t="s">
        <v>446</v>
      </c>
      <c r="P27" s="2" t="s">
        <v>142</v>
      </c>
      <c r="Q27" s="10" t="s">
        <v>36</v>
      </c>
      <c r="R27" s="2" t="s">
        <v>355</v>
      </c>
      <c r="S27" s="3">
        <v>2201.1000000000004</v>
      </c>
      <c r="T27" s="11">
        <f t="shared" si="0"/>
        <v>1.8167636498700016E-2</v>
      </c>
      <c r="U27" s="1" t="s">
        <v>356</v>
      </c>
      <c r="V27" s="6"/>
      <c r="W27" s="304" t="s">
        <v>433</v>
      </c>
      <c r="X27" s="6" t="s">
        <v>358</v>
      </c>
      <c r="Y27" s="1" t="s">
        <v>359</v>
      </c>
    </row>
    <row r="28" spans="6:27">
      <c r="F28" t="s">
        <v>447</v>
      </c>
      <c r="P28" s="2" t="s">
        <v>143</v>
      </c>
      <c r="Q28" s="10" t="s">
        <v>36</v>
      </c>
      <c r="R28" s="2" t="s">
        <v>355</v>
      </c>
      <c r="S28" s="3">
        <v>2181.09</v>
      </c>
      <c r="T28" s="11">
        <f t="shared" si="0"/>
        <v>1.8002476166893648E-2</v>
      </c>
      <c r="U28" s="1" t="s">
        <v>356</v>
      </c>
      <c r="V28" s="6"/>
      <c r="W28" s="304" t="s">
        <v>433</v>
      </c>
      <c r="X28" s="6" t="s">
        <v>358</v>
      </c>
      <c r="Y28" s="1" t="s">
        <v>359</v>
      </c>
    </row>
    <row r="29" spans="6:27">
      <c r="F29" t="s">
        <v>448</v>
      </c>
      <c r="P29" s="2" t="s">
        <v>144</v>
      </c>
      <c r="Q29" s="10" t="s">
        <v>36</v>
      </c>
      <c r="R29" s="2" t="s">
        <v>355</v>
      </c>
      <c r="S29" s="3">
        <v>2212.7000000000003</v>
      </c>
      <c r="T29" s="11">
        <f t="shared" si="0"/>
        <v>1.8263381618587763E-2</v>
      </c>
      <c r="U29" s="1" t="s">
        <v>356</v>
      </c>
      <c r="V29" s="6"/>
      <c r="W29" s="304" t="s">
        <v>433</v>
      </c>
      <c r="X29" s="6" t="s">
        <v>358</v>
      </c>
      <c r="Y29" s="1" t="s">
        <v>359</v>
      </c>
    </row>
    <row r="30" spans="6:27">
      <c r="F30" t="s">
        <v>449</v>
      </c>
      <c r="P30" s="2" t="s">
        <v>145</v>
      </c>
      <c r="Q30" s="305" t="s">
        <v>38</v>
      </c>
      <c r="R30" s="305" t="s">
        <v>450</v>
      </c>
      <c r="S30" s="3">
        <v>1818.3000000000002</v>
      </c>
      <c r="T30" s="11">
        <f t="shared" ref="T30:T93" si="2">S30/$B$2</f>
        <v>1.5008047542404359E-2</v>
      </c>
      <c r="U30" s="1" t="s">
        <v>356</v>
      </c>
      <c r="V30" s="2"/>
      <c r="W30" s="305" t="s">
        <v>451</v>
      </c>
      <c r="X30" s="6" t="s">
        <v>358</v>
      </c>
      <c r="Y30" s="1" t="s">
        <v>359</v>
      </c>
    </row>
    <row r="31" spans="6:27">
      <c r="F31" t="s">
        <v>452</v>
      </c>
      <c r="P31" s="2" t="s">
        <v>146</v>
      </c>
      <c r="Q31" s="305" t="s">
        <v>38</v>
      </c>
      <c r="R31" s="305" t="s">
        <v>450</v>
      </c>
      <c r="S31" s="3">
        <v>1898.05</v>
      </c>
      <c r="T31" s="11">
        <f t="shared" si="2"/>
        <v>1.566629524163262E-2</v>
      </c>
      <c r="U31" s="1" t="s">
        <v>356</v>
      </c>
      <c r="V31" s="2"/>
      <c r="W31" s="305" t="s">
        <v>451</v>
      </c>
      <c r="X31" s="6" t="s">
        <v>358</v>
      </c>
      <c r="Y31" s="1" t="s">
        <v>359</v>
      </c>
    </row>
    <row r="32" spans="6:27">
      <c r="P32" s="2" t="s">
        <v>147</v>
      </c>
      <c r="Q32" s="305" t="s">
        <v>38</v>
      </c>
      <c r="R32" s="305" t="s">
        <v>450</v>
      </c>
      <c r="S32" s="3">
        <v>1834.25</v>
      </c>
      <c r="T32" s="11">
        <f t="shared" si="2"/>
        <v>1.5139697082250009E-2</v>
      </c>
      <c r="U32" s="1" t="s">
        <v>356</v>
      </c>
      <c r="V32" s="2"/>
      <c r="W32" s="305" t="s">
        <v>451</v>
      </c>
      <c r="X32" s="6" t="s">
        <v>358</v>
      </c>
      <c r="Y32" s="1" t="s">
        <v>359</v>
      </c>
    </row>
    <row r="33" spans="16:25">
      <c r="P33" s="2" t="s">
        <v>148</v>
      </c>
      <c r="Q33" s="305" t="s">
        <v>38</v>
      </c>
      <c r="R33" s="305" t="s">
        <v>450</v>
      </c>
      <c r="S33" s="3">
        <v>1866.1</v>
      </c>
      <c r="T33" s="11">
        <f t="shared" si="2"/>
        <v>1.5402583467459039E-2</v>
      </c>
      <c r="U33" s="1" t="s">
        <v>356</v>
      </c>
      <c r="V33" s="2"/>
      <c r="W33" s="305" t="s">
        <v>451</v>
      </c>
      <c r="X33" s="6" t="s">
        <v>358</v>
      </c>
      <c r="Y33" s="1" t="s">
        <v>359</v>
      </c>
    </row>
    <row r="34" spans="16:25">
      <c r="P34" s="2" t="s">
        <v>149</v>
      </c>
      <c r="Q34" s="305" t="s">
        <v>37</v>
      </c>
      <c r="R34" s="305" t="s">
        <v>453</v>
      </c>
      <c r="S34" s="3">
        <v>1802.35</v>
      </c>
      <c r="T34" s="11">
        <f t="shared" si="2"/>
        <v>1.4876398002558706E-2</v>
      </c>
      <c r="U34" s="1" t="s">
        <v>356</v>
      </c>
      <c r="V34" s="2"/>
      <c r="W34" s="305" t="s">
        <v>451</v>
      </c>
      <c r="X34" s="6" t="s">
        <v>358</v>
      </c>
      <c r="Y34" s="1" t="s">
        <v>359</v>
      </c>
    </row>
    <row r="35" spans="16:25">
      <c r="P35" s="2" t="s">
        <v>150</v>
      </c>
      <c r="Q35" s="305" t="s">
        <v>37</v>
      </c>
      <c r="R35" s="305" t="s">
        <v>453</v>
      </c>
      <c r="S35" s="3">
        <v>1913.9999999999998</v>
      </c>
      <c r="T35" s="11">
        <f t="shared" si="2"/>
        <v>1.5797944781478269E-2</v>
      </c>
      <c r="U35" s="1" t="s">
        <v>356</v>
      </c>
      <c r="V35" s="2"/>
      <c r="W35" s="305" t="s">
        <v>451</v>
      </c>
      <c r="X35" s="6" t="s">
        <v>358</v>
      </c>
      <c r="Y35" s="1" t="s">
        <v>359</v>
      </c>
    </row>
    <row r="36" spans="16:25">
      <c r="P36" s="2" t="s">
        <v>151</v>
      </c>
      <c r="Q36" s="305" t="s">
        <v>37</v>
      </c>
      <c r="R36" s="305" t="s">
        <v>453</v>
      </c>
      <c r="S36" s="3">
        <v>1882.1</v>
      </c>
      <c r="T36" s="11">
        <f t="shared" si="2"/>
        <v>1.5534645701786967E-2</v>
      </c>
      <c r="U36" s="1" t="s">
        <v>356</v>
      </c>
      <c r="V36" s="2"/>
      <c r="W36" s="305" t="s">
        <v>451</v>
      </c>
      <c r="X36" s="6" t="s">
        <v>358</v>
      </c>
      <c r="Y36" s="1" t="s">
        <v>359</v>
      </c>
    </row>
    <row r="37" spans="16:25">
      <c r="P37" s="2" t="s">
        <v>152</v>
      </c>
      <c r="Q37" s="305" t="s">
        <v>37</v>
      </c>
      <c r="R37" s="305" t="s">
        <v>453</v>
      </c>
      <c r="S37" s="3">
        <v>1850.2</v>
      </c>
      <c r="T37" s="11">
        <f t="shared" si="2"/>
        <v>1.5271346622095663E-2</v>
      </c>
      <c r="U37" s="1" t="s">
        <v>356</v>
      </c>
      <c r="V37" s="2"/>
      <c r="W37" s="305" t="s">
        <v>451</v>
      </c>
      <c r="X37" s="6" t="s">
        <v>358</v>
      </c>
      <c r="Y37" s="1" t="s">
        <v>359</v>
      </c>
    </row>
    <row r="38" spans="16:25">
      <c r="P38" s="2" t="s">
        <v>153</v>
      </c>
      <c r="Q38" s="305" t="s">
        <v>39</v>
      </c>
      <c r="R38" s="305" t="s">
        <v>454</v>
      </c>
      <c r="S38" s="3">
        <v>1485.67</v>
      </c>
      <c r="T38" s="11">
        <f t="shared" si="2"/>
        <v>1.226255622962321E-2</v>
      </c>
      <c r="U38" s="1" t="s">
        <v>356</v>
      </c>
      <c r="V38" s="2"/>
      <c r="W38" s="305" t="s">
        <v>451</v>
      </c>
      <c r="X38" s="6" t="s">
        <v>358</v>
      </c>
      <c r="Y38" s="1" t="s">
        <v>359</v>
      </c>
    </row>
    <row r="39" spans="16:25">
      <c r="P39" s="305" t="s">
        <v>154</v>
      </c>
      <c r="Q39" s="305" t="s">
        <v>39</v>
      </c>
      <c r="R39" s="305" t="s">
        <v>454</v>
      </c>
      <c r="S39" s="3">
        <v>1485.67</v>
      </c>
      <c r="T39" s="11">
        <f t="shared" si="2"/>
        <v>1.226255622962321E-2</v>
      </c>
      <c r="U39" s="1" t="s">
        <v>356</v>
      </c>
      <c r="V39" s="2"/>
      <c r="W39" s="305" t="s">
        <v>451</v>
      </c>
      <c r="X39" s="6" t="s">
        <v>358</v>
      </c>
      <c r="Y39" s="1" t="s">
        <v>359</v>
      </c>
    </row>
    <row r="40" spans="16:25">
      <c r="P40" s="305" t="s">
        <v>155</v>
      </c>
      <c r="Q40" s="305" t="s">
        <v>40</v>
      </c>
      <c r="R40" s="305" t="s">
        <v>455</v>
      </c>
      <c r="S40" s="3">
        <v>1485.67</v>
      </c>
      <c r="T40" s="11">
        <f t="shared" si="2"/>
        <v>1.226255622962321E-2</v>
      </c>
      <c r="U40" s="1" t="s">
        <v>356</v>
      </c>
      <c r="V40" s="2"/>
      <c r="W40" s="305" t="s">
        <v>451</v>
      </c>
      <c r="X40" s="6" t="s">
        <v>358</v>
      </c>
      <c r="Y40" s="1" t="s">
        <v>359</v>
      </c>
    </row>
    <row r="41" spans="16:25">
      <c r="P41" s="305" t="s">
        <v>156</v>
      </c>
      <c r="Q41" s="305" t="s">
        <v>40</v>
      </c>
      <c r="R41" s="305" t="s">
        <v>455</v>
      </c>
      <c r="S41" s="3">
        <v>1485.67</v>
      </c>
      <c r="T41" s="11">
        <f t="shared" si="2"/>
        <v>1.226255622962321E-2</v>
      </c>
      <c r="U41" s="1" t="s">
        <v>356</v>
      </c>
      <c r="V41" s="2"/>
      <c r="W41" s="305" t="s">
        <v>451</v>
      </c>
      <c r="X41" s="6" t="s">
        <v>358</v>
      </c>
      <c r="Y41" s="1" t="s">
        <v>359</v>
      </c>
    </row>
    <row r="42" spans="16:25">
      <c r="P42" s="305" t="s">
        <v>157</v>
      </c>
      <c r="Q42" s="305" t="s">
        <v>40</v>
      </c>
      <c r="R42" s="305" t="s">
        <v>455</v>
      </c>
      <c r="S42" s="3">
        <v>1519.6000000000001</v>
      </c>
      <c r="T42" s="11">
        <f t="shared" si="2"/>
        <v>1.2542610705294872E-2</v>
      </c>
      <c r="U42" s="1" t="s">
        <v>356</v>
      </c>
      <c r="V42" s="2"/>
      <c r="W42" s="305" t="s">
        <v>451</v>
      </c>
      <c r="X42" s="6" t="s">
        <v>358</v>
      </c>
      <c r="Y42" s="1" t="s">
        <v>359</v>
      </c>
    </row>
    <row r="43" spans="16:25">
      <c r="P43" s="305" t="s">
        <v>158</v>
      </c>
      <c r="Q43" s="305" t="s">
        <v>40</v>
      </c>
      <c r="R43" s="305" t="s">
        <v>455</v>
      </c>
      <c r="S43" s="3">
        <v>1501.4749999999999</v>
      </c>
      <c r="T43" s="11">
        <f t="shared" si="2"/>
        <v>1.2393008955470264E-2</v>
      </c>
      <c r="U43" s="1" t="s">
        <v>356</v>
      </c>
      <c r="V43" s="2"/>
      <c r="W43" s="305" t="s">
        <v>451</v>
      </c>
      <c r="X43" s="6" t="s">
        <v>358</v>
      </c>
      <c r="Y43" s="1" t="s">
        <v>359</v>
      </c>
    </row>
    <row r="44" spans="16:25">
      <c r="P44" s="2" t="s">
        <v>159</v>
      </c>
      <c r="Q44" s="305" t="s">
        <v>40</v>
      </c>
      <c r="R44" s="305" t="s">
        <v>455</v>
      </c>
      <c r="S44" s="3">
        <v>2133.6750000000002</v>
      </c>
      <c r="T44" s="11">
        <f t="shared" si="2"/>
        <v>1.7611117989352484E-2</v>
      </c>
      <c r="U44" s="1" t="s">
        <v>356</v>
      </c>
      <c r="V44" s="2"/>
      <c r="W44" s="305" t="s">
        <v>451</v>
      </c>
      <c r="X44" s="6" t="s">
        <v>358</v>
      </c>
      <c r="Y44" s="1" t="s">
        <v>359</v>
      </c>
    </row>
    <row r="45" spans="16:25">
      <c r="P45" s="2" t="s">
        <v>160</v>
      </c>
      <c r="Q45" s="305" t="s">
        <v>40</v>
      </c>
      <c r="R45" s="305" t="s">
        <v>455</v>
      </c>
      <c r="S45" s="3">
        <v>2370.75</v>
      </c>
      <c r="T45" s="11">
        <f t="shared" si="2"/>
        <v>1.9567908877058313E-2</v>
      </c>
      <c r="U45" s="1" t="s">
        <v>356</v>
      </c>
      <c r="V45" s="2"/>
      <c r="W45" s="305" t="s">
        <v>451</v>
      </c>
      <c r="X45" s="6" t="s">
        <v>358</v>
      </c>
      <c r="Y45" s="1" t="s">
        <v>359</v>
      </c>
    </row>
    <row r="46" spans="16:25">
      <c r="P46" s="2" t="s">
        <v>161</v>
      </c>
      <c r="Q46" s="305" t="s">
        <v>40</v>
      </c>
      <c r="R46" s="305" t="s">
        <v>455</v>
      </c>
      <c r="S46" s="3">
        <v>1722.7450000000001</v>
      </c>
      <c r="T46" s="11">
        <f t="shared" si="2"/>
        <v>1.4219347117329043E-2</v>
      </c>
      <c r="U46" s="1" t="s">
        <v>356</v>
      </c>
      <c r="V46" s="2"/>
      <c r="W46" s="305" t="s">
        <v>451</v>
      </c>
      <c r="X46" s="6" t="s">
        <v>358</v>
      </c>
      <c r="Y46" s="1" t="s">
        <v>359</v>
      </c>
    </row>
    <row r="47" spans="16:25">
      <c r="P47" s="2" t="s">
        <v>162</v>
      </c>
      <c r="Q47" s="305" t="s">
        <v>40</v>
      </c>
      <c r="R47" s="305" t="s">
        <v>455</v>
      </c>
      <c r="S47" s="3">
        <v>2117.8700000000003</v>
      </c>
      <c r="T47" s="11">
        <f t="shared" si="2"/>
        <v>1.7480665263505429E-2</v>
      </c>
      <c r="U47" s="1" t="s">
        <v>356</v>
      </c>
      <c r="V47" s="2"/>
      <c r="W47" s="305" t="s">
        <v>451</v>
      </c>
      <c r="X47" s="6" t="s">
        <v>358</v>
      </c>
      <c r="Y47" s="1" t="s">
        <v>359</v>
      </c>
    </row>
    <row r="48" spans="16:25">
      <c r="P48" s="2" t="s">
        <v>456</v>
      </c>
      <c r="Q48" s="305" t="s">
        <v>36</v>
      </c>
      <c r="R48" s="2"/>
      <c r="S48" s="3">
        <v>6209.335</v>
      </c>
      <c r="T48" s="11">
        <f t="shared" si="2"/>
        <v>5.1251165861912425E-2</v>
      </c>
      <c r="U48" s="1" t="s">
        <v>356</v>
      </c>
      <c r="V48" s="2"/>
      <c r="W48" s="305" t="s">
        <v>357</v>
      </c>
      <c r="X48" s="6" t="s">
        <v>358</v>
      </c>
      <c r="Y48" s="1" t="s">
        <v>359</v>
      </c>
    </row>
    <row r="49" spans="16:25">
      <c r="P49" s="2" t="s">
        <v>457</v>
      </c>
      <c r="Q49" s="305" t="s">
        <v>36</v>
      </c>
      <c r="R49" s="2"/>
      <c r="S49" s="3">
        <v>6291.8399999999983</v>
      </c>
      <c r="T49" s="11">
        <f t="shared" si="2"/>
        <v>5.1932153027114014E-2</v>
      </c>
      <c r="U49" s="1" t="s">
        <v>356</v>
      </c>
      <c r="V49" s="2"/>
      <c r="W49" s="305" t="s">
        <v>357</v>
      </c>
      <c r="X49" s="6" t="s">
        <v>358</v>
      </c>
      <c r="Y49" s="1" t="s">
        <v>359</v>
      </c>
    </row>
    <row r="50" spans="16:25">
      <c r="P50" s="2" t="s">
        <v>458</v>
      </c>
      <c r="Q50" s="305" t="s">
        <v>36</v>
      </c>
      <c r="R50" s="2"/>
      <c r="S50" s="3">
        <v>6196.074999999998</v>
      </c>
      <c r="T50" s="11">
        <f t="shared" si="2"/>
        <v>5.114171928521314E-2</v>
      </c>
      <c r="U50" s="1" t="s">
        <v>356</v>
      </c>
      <c r="V50" s="2"/>
      <c r="W50" s="305" t="s">
        <v>357</v>
      </c>
      <c r="X50" s="6" t="s">
        <v>358</v>
      </c>
      <c r="Y50" s="1" t="s">
        <v>359</v>
      </c>
    </row>
    <row r="51" spans="16:25">
      <c r="P51" s="2" t="s">
        <v>459</v>
      </c>
      <c r="Q51" s="305" t="s">
        <v>36</v>
      </c>
      <c r="R51" s="2"/>
      <c r="S51" s="3">
        <v>6311.1</v>
      </c>
      <c r="T51" s="11">
        <f t="shared" si="2"/>
        <v>5.2091122941686274E-2</v>
      </c>
      <c r="U51" s="1" t="s">
        <v>356</v>
      </c>
      <c r="V51" s="2"/>
      <c r="W51" s="305" t="s">
        <v>357</v>
      </c>
      <c r="X51" s="6" t="s">
        <v>358</v>
      </c>
      <c r="Y51" s="1" t="s">
        <v>359</v>
      </c>
    </row>
    <row r="52" spans="16:25">
      <c r="P52" s="2" t="s">
        <v>460</v>
      </c>
      <c r="Q52" s="305" t="s">
        <v>36</v>
      </c>
      <c r="R52" s="2"/>
      <c r="S52" s="3">
        <v>4603.5999999999995</v>
      </c>
      <c r="T52" s="11">
        <f t="shared" si="2"/>
        <v>3.79976063720028E-2</v>
      </c>
      <c r="U52" s="1" t="s">
        <v>356</v>
      </c>
      <c r="V52" s="2"/>
      <c r="W52" s="305" t="s">
        <v>433</v>
      </c>
      <c r="X52" s="6" t="s">
        <v>358</v>
      </c>
      <c r="Y52" s="1" t="s">
        <v>359</v>
      </c>
    </row>
    <row r="53" spans="16:25">
      <c r="P53" s="2" t="s">
        <v>461</v>
      </c>
      <c r="Q53" s="305" t="s">
        <v>36</v>
      </c>
      <c r="R53" s="2"/>
      <c r="S53" s="3">
        <v>4307.8500000000004</v>
      </c>
      <c r="T53" s="11">
        <f t="shared" si="2"/>
        <v>3.5556518509347532E-2</v>
      </c>
      <c r="U53" s="1" t="s">
        <v>356</v>
      </c>
      <c r="V53" s="2"/>
      <c r="W53" s="305" t="s">
        <v>433</v>
      </c>
      <c r="X53" s="6" t="s">
        <v>358</v>
      </c>
      <c r="Y53" s="1" t="s">
        <v>359</v>
      </c>
    </row>
    <row r="54" spans="16:25">
      <c r="P54" s="2" t="s">
        <v>462</v>
      </c>
      <c r="Q54" s="305" t="s">
        <v>36</v>
      </c>
      <c r="R54" s="2"/>
      <c r="S54" s="3">
        <v>3865.9049999999997</v>
      </c>
      <c r="T54" s="11">
        <f t="shared" si="2"/>
        <v>3.1908753249969043E-2</v>
      </c>
      <c r="U54" s="1" t="s">
        <v>356</v>
      </c>
      <c r="V54" s="2"/>
      <c r="W54" s="305" t="s">
        <v>433</v>
      </c>
      <c r="X54" s="6" t="s">
        <v>358</v>
      </c>
      <c r="Y54" s="1" t="s">
        <v>359</v>
      </c>
    </row>
    <row r="55" spans="16:25">
      <c r="P55" s="2" t="s">
        <v>463</v>
      </c>
      <c r="Q55" s="305" t="s">
        <v>36</v>
      </c>
      <c r="R55" s="2"/>
      <c r="S55" s="3">
        <v>4409.0500000000011</v>
      </c>
      <c r="T55" s="11">
        <f t="shared" si="2"/>
        <v>3.6391812141471677E-2</v>
      </c>
      <c r="U55" s="1" t="s">
        <v>356</v>
      </c>
      <c r="V55" s="2"/>
      <c r="W55" s="305" t="s">
        <v>433</v>
      </c>
      <c r="X55" s="6" t="s">
        <v>358</v>
      </c>
      <c r="Y55" s="1" t="s">
        <v>359</v>
      </c>
    </row>
    <row r="56" spans="16:25">
      <c r="P56" s="2" t="s">
        <v>464</v>
      </c>
      <c r="Q56" s="305" t="s">
        <v>36</v>
      </c>
      <c r="R56" s="2"/>
      <c r="S56" s="3">
        <v>4351.05</v>
      </c>
      <c r="T56" s="11">
        <f t="shared" si="2"/>
        <v>3.5913086542032936E-2</v>
      </c>
      <c r="U56" s="1" t="s">
        <v>356</v>
      </c>
      <c r="V56" s="2"/>
      <c r="W56" s="305" t="s">
        <v>433</v>
      </c>
      <c r="X56" s="6" t="s">
        <v>358</v>
      </c>
      <c r="Y56" s="1" t="s">
        <v>359</v>
      </c>
    </row>
    <row r="57" spans="16:25">
      <c r="P57" s="2" t="s">
        <v>465</v>
      </c>
      <c r="Q57" s="305" t="s">
        <v>36</v>
      </c>
      <c r="R57" s="2"/>
      <c r="S57" s="3">
        <v>4393.7900000000009</v>
      </c>
      <c r="T57" s="11">
        <f t="shared" si="2"/>
        <v>3.6265857785481415E-2</v>
      </c>
      <c r="U57" s="1" t="s">
        <v>356</v>
      </c>
      <c r="V57" s="2"/>
      <c r="W57" s="305" t="s">
        <v>433</v>
      </c>
      <c r="X57" s="6" t="s">
        <v>358</v>
      </c>
      <c r="Y57" s="1" t="s">
        <v>359</v>
      </c>
    </row>
    <row r="58" spans="16:25">
      <c r="P58" s="2" t="s">
        <v>466</v>
      </c>
      <c r="Q58" s="305" t="s">
        <v>38</v>
      </c>
      <c r="R58" s="2"/>
      <c r="S58" s="3">
        <v>3716.3500000000004</v>
      </c>
      <c r="T58" s="11">
        <f t="shared" si="2"/>
        <v>3.0674342784036981E-2</v>
      </c>
      <c r="U58" s="1" t="s">
        <v>356</v>
      </c>
      <c r="V58" s="2"/>
      <c r="W58" s="305" t="s">
        <v>451</v>
      </c>
      <c r="X58" s="6" t="s">
        <v>358</v>
      </c>
      <c r="Y58" s="1" t="s">
        <v>359</v>
      </c>
    </row>
    <row r="59" spans="16:25">
      <c r="P59" s="2" t="s">
        <v>467</v>
      </c>
      <c r="Q59" s="305" t="s">
        <v>38</v>
      </c>
      <c r="R59" s="2"/>
      <c r="S59" s="3">
        <v>3700.3500000000004</v>
      </c>
      <c r="T59" s="11">
        <f t="shared" si="2"/>
        <v>3.0542280549709054E-2</v>
      </c>
      <c r="U59" s="1" t="s">
        <v>356</v>
      </c>
      <c r="V59" s="2"/>
      <c r="W59" s="305" t="s">
        <v>451</v>
      </c>
      <c r="X59" s="6" t="s">
        <v>358</v>
      </c>
      <c r="Y59" s="1" t="s">
        <v>359</v>
      </c>
    </row>
    <row r="60" spans="16:25">
      <c r="P60" s="2" t="s">
        <v>468</v>
      </c>
      <c r="Q60" s="305" t="s">
        <v>37</v>
      </c>
      <c r="R60" s="2"/>
      <c r="S60" s="3">
        <v>3716.35</v>
      </c>
      <c r="T60" s="11">
        <f t="shared" si="2"/>
        <v>3.0674342784036978E-2</v>
      </c>
      <c r="U60" s="1" t="s">
        <v>356</v>
      </c>
      <c r="V60" s="2"/>
      <c r="W60" s="305" t="s">
        <v>451</v>
      </c>
      <c r="X60" s="6" t="s">
        <v>358</v>
      </c>
      <c r="Y60" s="1" t="s">
        <v>359</v>
      </c>
    </row>
    <row r="61" spans="16:25">
      <c r="P61" s="2" t="s">
        <v>469</v>
      </c>
      <c r="Q61" s="305" t="s">
        <v>37</v>
      </c>
      <c r="R61" s="2"/>
      <c r="S61" s="3">
        <v>3732.3000000000006</v>
      </c>
      <c r="T61" s="11">
        <f t="shared" si="2"/>
        <v>3.0805992323882633E-2</v>
      </c>
      <c r="U61" s="1" t="s">
        <v>356</v>
      </c>
      <c r="V61" s="2"/>
      <c r="W61" s="305" t="s">
        <v>451</v>
      </c>
      <c r="X61" s="6" t="s">
        <v>358</v>
      </c>
      <c r="Y61" s="1" t="s">
        <v>359</v>
      </c>
    </row>
    <row r="62" spans="16:25">
      <c r="P62" s="2" t="s">
        <v>470</v>
      </c>
      <c r="Q62" s="305" t="s">
        <v>39</v>
      </c>
      <c r="R62" s="2"/>
      <c r="S62" s="3">
        <v>1485.67</v>
      </c>
      <c r="T62" s="11">
        <f t="shared" si="2"/>
        <v>1.226255622962321E-2</v>
      </c>
      <c r="U62" s="1" t="s">
        <v>356</v>
      </c>
      <c r="V62" s="2"/>
      <c r="W62" s="305" t="s">
        <v>451</v>
      </c>
      <c r="X62" s="6" t="s">
        <v>358</v>
      </c>
      <c r="Y62" s="1" t="s">
        <v>359</v>
      </c>
    </row>
    <row r="63" spans="16:25">
      <c r="P63" s="2" t="s">
        <v>471</v>
      </c>
      <c r="Q63" s="305" t="s">
        <v>39</v>
      </c>
      <c r="R63" s="2"/>
      <c r="S63" s="3">
        <v>1485.67</v>
      </c>
      <c r="T63" s="11">
        <f t="shared" si="2"/>
        <v>1.226255622962321E-2</v>
      </c>
      <c r="U63" s="1" t="s">
        <v>356</v>
      </c>
      <c r="V63" s="2"/>
      <c r="W63" s="305" t="s">
        <v>451</v>
      </c>
      <c r="X63" s="6" t="s">
        <v>358</v>
      </c>
      <c r="Y63" s="1" t="s">
        <v>359</v>
      </c>
    </row>
    <row r="64" spans="16:25">
      <c r="P64" s="2" t="s">
        <v>472</v>
      </c>
      <c r="Q64" s="305" t="s">
        <v>40</v>
      </c>
      <c r="R64" s="2"/>
      <c r="S64" s="3">
        <v>5992.4150000000009</v>
      </c>
      <c r="T64" s="11">
        <f t="shared" si="2"/>
        <v>4.9460732120011563E-2</v>
      </c>
      <c r="U64" s="1" t="s">
        <v>356</v>
      </c>
      <c r="V64" s="2"/>
      <c r="W64" s="305" t="s">
        <v>451</v>
      </c>
      <c r="X64" s="6" t="s">
        <v>358</v>
      </c>
      <c r="Y64" s="1" t="s">
        <v>359</v>
      </c>
    </row>
    <row r="65" spans="16:25">
      <c r="P65" s="2" t="s">
        <v>473</v>
      </c>
      <c r="Q65" s="305" t="s">
        <v>40</v>
      </c>
      <c r="R65" s="2"/>
      <c r="S65" s="3">
        <v>4504.4250000000002</v>
      </c>
      <c r="T65" s="11">
        <f t="shared" si="2"/>
        <v>3.7179026866410794E-2</v>
      </c>
      <c r="U65" s="1" t="s">
        <v>356</v>
      </c>
      <c r="V65" s="2"/>
      <c r="W65" s="305" t="s">
        <v>451</v>
      </c>
      <c r="X65" s="6" t="s">
        <v>358</v>
      </c>
      <c r="Y65" s="1" t="s">
        <v>359</v>
      </c>
    </row>
    <row r="66" spans="16:25">
      <c r="P66" s="2" t="s">
        <v>474</v>
      </c>
      <c r="Q66" s="305" t="s">
        <v>40</v>
      </c>
      <c r="R66" s="2"/>
      <c r="S66" s="3">
        <v>3840.6150000000007</v>
      </c>
      <c r="T66" s="11">
        <f t="shared" si="2"/>
        <v>3.1700012380834475E-2</v>
      </c>
      <c r="U66" s="1" t="s">
        <v>356</v>
      </c>
      <c r="V66" s="2"/>
      <c r="W66" s="305" t="s">
        <v>451</v>
      </c>
      <c r="X66" s="6" t="s">
        <v>358</v>
      </c>
      <c r="Y66" s="1" t="s">
        <v>359</v>
      </c>
    </row>
    <row r="67" spans="16:25">
      <c r="P67" s="2" t="s">
        <v>475</v>
      </c>
      <c r="Q67" s="2"/>
      <c r="R67" s="2"/>
      <c r="S67" s="3">
        <v>252.88</v>
      </c>
      <c r="T67" s="11">
        <f t="shared" si="2"/>
        <v>2.0872436135528868E-3</v>
      </c>
      <c r="U67" s="1" t="s">
        <v>356</v>
      </c>
      <c r="V67" s="2"/>
      <c r="W67" s="2"/>
      <c r="X67" s="6" t="s">
        <v>358</v>
      </c>
      <c r="Y67" s="1" t="s">
        <v>359</v>
      </c>
    </row>
    <row r="68" spans="16:25">
      <c r="P68" s="2" t="s">
        <v>476</v>
      </c>
      <c r="Q68" s="2"/>
      <c r="R68" s="2"/>
      <c r="S68" s="3">
        <v>237.07499999999999</v>
      </c>
      <c r="T68" s="11">
        <f t="shared" si="2"/>
        <v>1.9567908877058311E-3</v>
      </c>
      <c r="U68" s="1" t="s">
        <v>356</v>
      </c>
      <c r="V68" s="2"/>
      <c r="W68" s="2"/>
      <c r="X68" s="6" t="s">
        <v>358</v>
      </c>
      <c r="Y68" s="1" t="s">
        <v>359</v>
      </c>
    </row>
    <row r="69" spans="16:25">
      <c r="P69" s="2" t="s">
        <v>477</v>
      </c>
      <c r="Q69" s="2"/>
      <c r="R69" s="2"/>
      <c r="S69" s="3">
        <v>252.88</v>
      </c>
      <c r="T69" s="11">
        <f t="shared" si="2"/>
        <v>2.0872436135528868E-3</v>
      </c>
      <c r="U69" s="1" t="s">
        <v>356</v>
      </c>
      <c r="V69" s="2"/>
      <c r="W69" s="2"/>
      <c r="X69" s="6" t="s">
        <v>358</v>
      </c>
      <c r="Y69" s="1" t="s">
        <v>359</v>
      </c>
    </row>
    <row r="70" spans="16:25">
      <c r="P70" s="2" t="s">
        <v>478</v>
      </c>
      <c r="Q70" s="2"/>
      <c r="R70" s="2"/>
      <c r="S70" s="3">
        <v>284.49</v>
      </c>
      <c r="T70" s="11">
        <f t="shared" si="2"/>
        <v>2.3481490652469978E-3</v>
      </c>
      <c r="U70" s="1" t="s">
        <v>356</v>
      </c>
      <c r="V70" s="2"/>
      <c r="W70" s="2"/>
      <c r="X70" s="6" t="s">
        <v>358</v>
      </c>
      <c r="Y70" s="1" t="s">
        <v>359</v>
      </c>
    </row>
    <row r="71" spans="16:25">
      <c r="P71" s="2" t="s">
        <v>479</v>
      </c>
      <c r="Q71" s="2"/>
      <c r="R71" s="2"/>
      <c r="S71" s="3">
        <v>284.49</v>
      </c>
      <c r="T71" s="11">
        <f t="shared" si="2"/>
        <v>2.3481490652469978E-3</v>
      </c>
      <c r="U71" s="1" t="s">
        <v>356</v>
      </c>
      <c r="V71" s="2"/>
      <c r="W71" s="2"/>
      <c r="X71" s="6" t="s">
        <v>358</v>
      </c>
      <c r="Y71" s="1" t="s">
        <v>359</v>
      </c>
    </row>
    <row r="72" spans="16:25">
      <c r="P72" s="2" t="s">
        <v>480</v>
      </c>
      <c r="Q72" s="2"/>
      <c r="R72" s="2"/>
      <c r="S72" s="3">
        <v>284.49</v>
      </c>
      <c r="T72" s="11">
        <f t="shared" si="2"/>
        <v>2.3481490652469978E-3</v>
      </c>
      <c r="U72" s="1" t="s">
        <v>356</v>
      </c>
      <c r="V72" s="2"/>
      <c r="W72" s="2"/>
      <c r="X72" s="6" t="s">
        <v>358</v>
      </c>
      <c r="Y72" s="1" t="s">
        <v>359</v>
      </c>
    </row>
    <row r="73" spans="16:25">
      <c r="P73" s="2" t="s">
        <v>481</v>
      </c>
      <c r="Q73" s="2"/>
      <c r="R73" s="2"/>
      <c r="S73" s="3">
        <v>268.685</v>
      </c>
      <c r="T73" s="11">
        <f t="shared" si="2"/>
        <v>2.2176963393999421E-3</v>
      </c>
      <c r="U73" s="1" t="s">
        <v>356</v>
      </c>
      <c r="V73" s="2"/>
      <c r="W73" s="2"/>
      <c r="X73" s="6" t="s">
        <v>358</v>
      </c>
      <c r="Y73" s="1" t="s">
        <v>359</v>
      </c>
    </row>
    <row r="74" spans="16:25">
      <c r="P74" s="2" t="s">
        <v>482</v>
      </c>
      <c r="Q74" s="2"/>
      <c r="R74" s="2"/>
      <c r="S74" s="3">
        <v>284.49</v>
      </c>
      <c r="T74" s="11">
        <f t="shared" si="2"/>
        <v>2.3481490652469978E-3</v>
      </c>
      <c r="U74" s="1" t="s">
        <v>356</v>
      </c>
      <c r="V74" s="2"/>
      <c r="W74" s="2"/>
      <c r="X74" s="6" t="s">
        <v>358</v>
      </c>
      <c r="Y74" s="1" t="s">
        <v>359</v>
      </c>
    </row>
    <row r="75" spans="16:25">
      <c r="P75" s="2" t="s">
        <v>483</v>
      </c>
      <c r="Q75" s="2"/>
      <c r="R75" s="2"/>
      <c r="S75" s="3">
        <v>252.88</v>
      </c>
      <c r="T75" s="11">
        <f t="shared" si="2"/>
        <v>2.0872436135528868E-3</v>
      </c>
      <c r="U75" s="1" t="s">
        <v>356</v>
      </c>
      <c r="V75" s="2"/>
      <c r="W75" s="2"/>
      <c r="X75" s="6" t="s">
        <v>358</v>
      </c>
      <c r="Y75" s="1" t="s">
        <v>359</v>
      </c>
    </row>
    <row r="76" spans="16:25">
      <c r="P76" s="2" t="s">
        <v>484</v>
      </c>
      <c r="Q76" s="2"/>
      <c r="R76" s="2"/>
      <c r="S76" s="3">
        <v>252.88</v>
      </c>
      <c r="T76" s="11">
        <f t="shared" si="2"/>
        <v>2.0872436135528868E-3</v>
      </c>
      <c r="U76" s="1" t="s">
        <v>356</v>
      </c>
      <c r="V76" s="2"/>
      <c r="W76" s="2"/>
      <c r="X76" s="6" t="s">
        <v>358</v>
      </c>
      <c r="Y76" s="1" t="s">
        <v>359</v>
      </c>
    </row>
    <row r="77" spans="16:25">
      <c r="P77" s="2" t="s">
        <v>485</v>
      </c>
      <c r="Q77" s="2"/>
      <c r="R77" s="2"/>
      <c r="S77" s="3">
        <v>252.88</v>
      </c>
      <c r="T77" s="11">
        <f t="shared" si="2"/>
        <v>2.0872436135528868E-3</v>
      </c>
      <c r="U77" s="1" t="s">
        <v>356</v>
      </c>
      <c r="V77" s="2"/>
      <c r="W77" s="2"/>
      <c r="X77" s="6" t="s">
        <v>358</v>
      </c>
      <c r="Y77" s="1" t="s">
        <v>359</v>
      </c>
    </row>
    <row r="78" spans="16:25">
      <c r="P78" s="2" t="s">
        <v>486</v>
      </c>
      <c r="Q78" s="2"/>
      <c r="R78" s="2"/>
      <c r="S78" s="3">
        <v>284.49</v>
      </c>
      <c r="T78" s="11">
        <f t="shared" si="2"/>
        <v>2.3481490652469978E-3</v>
      </c>
      <c r="U78" s="1" t="s">
        <v>356</v>
      </c>
      <c r="V78" s="2"/>
      <c r="W78" s="2"/>
      <c r="X78" s="6" t="s">
        <v>358</v>
      </c>
      <c r="Y78" s="1" t="s">
        <v>359</v>
      </c>
    </row>
    <row r="79" spans="16:25">
      <c r="P79" s="2" t="s">
        <v>487</v>
      </c>
      <c r="Q79" s="2"/>
      <c r="R79" s="2"/>
      <c r="S79" s="3">
        <v>284.49</v>
      </c>
      <c r="T79" s="11">
        <f t="shared" si="2"/>
        <v>2.3481490652469978E-3</v>
      </c>
      <c r="U79" s="1" t="s">
        <v>356</v>
      </c>
      <c r="V79" s="2"/>
      <c r="W79" s="2"/>
      <c r="X79" s="6" t="s">
        <v>358</v>
      </c>
      <c r="Y79" s="1" t="s">
        <v>359</v>
      </c>
    </row>
    <row r="80" spans="16:25">
      <c r="P80" s="2" t="s">
        <v>488</v>
      </c>
      <c r="Q80" s="2"/>
      <c r="R80" s="2"/>
      <c r="S80" s="3">
        <v>284.49</v>
      </c>
      <c r="T80" s="11">
        <f t="shared" si="2"/>
        <v>2.3481490652469978E-3</v>
      </c>
      <c r="U80" s="1" t="s">
        <v>356</v>
      </c>
      <c r="V80" s="2"/>
      <c r="W80" s="2"/>
      <c r="X80" s="6" t="s">
        <v>358</v>
      </c>
      <c r="Y80" s="1" t="s">
        <v>359</v>
      </c>
    </row>
    <row r="81" spans="16:25">
      <c r="P81" s="2" t="s">
        <v>489</v>
      </c>
      <c r="Q81" s="2"/>
      <c r="R81" s="2"/>
      <c r="S81" s="3">
        <v>268.685</v>
      </c>
      <c r="T81" s="11">
        <f t="shared" si="2"/>
        <v>2.2176963393999421E-3</v>
      </c>
      <c r="U81" s="1" t="s">
        <v>356</v>
      </c>
      <c r="V81" s="2"/>
      <c r="W81" s="2"/>
      <c r="X81" s="6" t="s">
        <v>358</v>
      </c>
      <c r="Y81" s="1" t="s">
        <v>359</v>
      </c>
    </row>
    <row r="82" spans="16:25">
      <c r="P82" s="2" t="s">
        <v>490</v>
      </c>
      <c r="Q82" s="2"/>
      <c r="R82" s="2"/>
      <c r="S82" s="3">
        <v>189.66</v>
      </c>
      <c r="T82" s="11">
        <f t="shared" si="2"/>
        <v>1.565432710164665E-3</v>
      </c>
      <c r="U82" s="1" t="s">
        <v>356</v>
      </c>
      <c r="V82" s="2"/>
      <c r="W82" s="2"/>
      <c r="X82" s="6" t="s">
        <v>358</v>
      </c>
      <c r="Y82" s="1" t="s">
        <v>359</v>
      </c>
    </row>
    <row r="83" spans="16:25">
      <c r="P83" s="2" t="s">
        <v>491</v>
      </c>
      <c r="Q83" s="2"/>
      <c r="R83" s="2"/>
      <c r="S83" s="3">
        <v>221.27</v>
      </c>
      <c r="T83" s="11">
        <f t="shared" si="2"/>
        <v>1.826338161858776E-3</v>
      </c>
      <c r="U83" s="1" t="s">
        <v>356</v>
      </c>
      <c r="V83" s="2"/>
      <c r="W83" s="2"/>
      <c r="X83" s="6" t="s">
        <v>358</v>
      </c>
      <c r="Y83" s="1" t="s">
        <v>359</v>
      </c>
    </row>
    <row r="84" spans="16:25">
      <c r="P84" s="2" t="s">
        <v>492</v>
      </c>
      <c r="Q84" s="2"/>
      <c r="R84" s="2"/>
      <c r="S84" s="3">
        <v>252.88</v>
      </c>
      <c r="T84" s="11">
        <f t="shared" si="2"/>
        <v>2.0872436135528868E-3</v>
      </c>
      <c r="U84" s="1" t="s">
        <v>356</v>
      </c>
      <c r="V84" s="2"/>
      <c r="W84" s="2"/>
      <c r="X84" s="6" t="s">
        <v>358</v>
      </c>
      <c r="Y84" s="1" t="s">
        <v>359</v>
      </c>
    </row>
    <row r="85" spans="16:25">
      <c r="P85" s="2" t="s">
        <v>493</v>
      </c>
      <c r="Q85" s="2"/>
      <c r="R85" s="2"/>
      <c r="S85" s="3">
        <v>223.3</v>
      </c>
      <c r="T85" s="11">
        <f t="shared" si="2"/>
        <v>1.8430935578391317E-3</v>
      </c>
      <c r="U85" s="1" t="s">
        <v>356</v>
      </c>
      <c r="V85" s="2"/>
      <c r="W85" s="2"/>
      <c r="X85" s="6" t="s">
        <v>358</v>
      </c>
      <c r="Y85" s="1" t="s">
        <v>359</v>
      </c>
    </row>
    <row r="86" spans="16:25">
      <c r="P86" s="2" t="s">
        <v>494</v>
      </c>
      <c r="Q86" s="2"/>
      <c r="R86" s="2"/>
      <c r="S86" s="3">
        <v>255.2</v>
      </c>
      <c r="T86" s="11">
        <f t="shared" si="2"/>
        <v>2.1063926375304363E-3</v>
      </c>
      <c r="U86" s="1" t="s">
        <v>356</v>
      </c>
      <c r="V86" s="2"/>
      <c r="W86" s="2"/>
      <c r="X86" s="6" t="s">
        <v>358</v>
      </c>
      <c r="Y86" s="1" t="s">
        <v>359</v>
      </c>
    </row>
    <row r="87" spans="16:25">
      <c r="P87" s="2" t="s">
        <v>495</v>
      </c>
      <c r="Q87" s="2"/>
      <c r="R87" s="2"/>
      <c r="S87" s="3">
        <v>255.2</v>
      </c>
      <c r="T87" s="11">
        <f t="shared" si="2"/>
        <v>2.1063926375304363E-3</v>
      </c>
      <c r="U87" s="1" t="s">
        <v>356</v>
      </c>
      <c r="V87" s="2"/>
      <c r="W87" s="2"/>
      <c r="X87" s="6" t="s">
        <v>358</v>
      </c>
      <c r="Y87" s="1" t="s">
        <v>359</v>
      </c>
    </row>
    <row r="88" spans="16:25">
      <c r="P88" s="2" t="s">
        <v>496</v>
      </c>
      <c r="Q88" s="2"/>
      <c r="R88" s="2"/>
      <c r="S88" s="3">
        <v>255.2</v>
      </c>
      <c r="T88" s="11">
        <f t="shared" si="2"/>
        <v>2.1063926375304363E-3</v>
      </c>
      <c r="U88" s="1" t="s">
        <v>356</v>
      </c>
      <c r="V88" s="2"/>
      <c r="W88" s="2"/>
      <c r="X88" s="6" t="s">
        <v>358</v>
      </c>
      <c r="Y88" s="1" t="s">
        <v>359</v>
      </c>
    </row>
    <row r="89" spans="16:25">
      <c r="P89" s="2" t="s">
        <v>497</v>
      </c>
      <c r="Q89" s="2"/>
      <c r="R89" s="2"/>
      <c r="S89" s="3">
        <v>255.2</v>
      </c>
      <c r="T89" s="11">
        <f t="shared" si="2"/>
        <v>2.1063926375304363E-3</v>
      </c>
      <c r="U89" s="1" t="s">
        <v>356</v>
      </c>
      <c r="V89" s="2"/>
      <c r="W89" s="2"/>
      <c r="X89" s="6" t="s">
        <v>358</v>
      </c>
      <c r="Y89" s="1" t="s">
        <v>359</v>
      </c>
    </row>
    <row r="90" spans="16:25">
      <c r="P90" s="2" t="s">
        <v>498</v>
      </c>
      <c r="Q90" s="2"/>
      <c r="R90" s="2"/>
      <c r="S90" s="3">
        <v>271.14999999999998</v>
      </c>
      <c r="T90" s="11">
        <f t="shared" si="2"/>
        <v>2.2380421773760882E-3</v>
      </c>
      <c r="U90" s="1" t="s">
        <v>356</v>
      </c>
      <c r="V90" s="2"/>
      <c r="W90" s="2"/>
      <c r="X90" s="6" t="s">
        <v>358</v>
      </c>
      <c r="Y90" s="1" t="s">
        <v>359</v>
      </c>
    </row>
    <row r="91" spans="16:25">
      <c r="P91" s="2" t="s">
        <v>499</v>
      </c>
      <c r="Q91" s="2"/>
      <c r="R91" s="2"/>
      <c r="S91" s="3">
        <v>255.2</v>
      </c>
      <c r="T91" s="11">
        <f t="shared" si="2"/>
        <v>2.1063926375304363E-3</v>
      </c>
      <c r="U91" s="1" t="s">
        <v>356</v>
      </c>
      <c r="V91" s="2"/>
      <c r="W91" s="2"/>
      <c r="X91" s="6" t="s">
        <v>358</v>
      </c>
      <c r="Y91" s="1" t="s">
        <v>359</v>
      </c>
    </row>
    <row r="92" spans="16:25">
      <c r="P92" s="2" t="s">
        <v>500</v>
      </c>
      <c r="Q92" s="2"/>
      <c r="R92" s="2"/>
      <c r="S92" s="3">
        <v>255.2</v>
      </c>
      <c r="T92" s="11">
        <f t="shared" si="2"/>
        <v>2.1063926375304363E-3</v>
      </c>
      <c r="U92" s="1" t="s">
        <v>356</v>
      </c>
      <c r="V92" s="2"/>
      <c r="W92" s="2"/>
      <c r="X92" s="6" t="s">
        <v>358</v>
      </c>
      <c r="Y92" s="1" t="s">
        <v>359</v>
      </c>
    </row>
    <row r="93" spans="16:25">
      <c r="P93" s="2" t="s">
        <v>501</v>
      </c>
      <c r="Q93" s="2"/>
      <c r="R93" s="2"/>
      <c r="S93" s="3">
        <v>255.2</v>
      </c>
      <c r="T93" s="11">
        <f t="shared" si="2"/>
        <v>2.1063926375304363E-3</v>
      </c>
      <c r="U93" s="1" t="s">
        <v>356</v>
      </c>
      <c r="V93" s="2"/>
      <c r="W93" s="2"/>
      <c r="X93" s="6" t="s">
        <v>358</v>
      </c>
      <c r="Y93" s="1" t="s">
        <v>359</v>
      </c>
    </row>
    <row r="94" spans="16:25">
      <c r="P94" s="2" t="s">
        <v>502</v>
      </c>
      <c r="Q94" s="2"/>
      <c r="R94" s="2"/>
      <c r="S94" s="3">
        <v>255.2</v>
      </c>
      <c r="T94" s="11">
        <f t="shared" ref="T94:T157" si="3">S94/$B$2</f>
        <v>2.1063926375304363E-3</v>
      </c>
      <c r="U94" s="1" t="s">
        <v>356</v>
      </c>
      <c r="V94" s="2"/>
      <c r="W94" s="2"/>
      <c r="X94" s="6" t="s">
        <v>358</v>
      </c>
      <c r="Y94" s="1" t="s">
        <v>359</v>
      </c>
    </row>
    <row r="95" spans="16:25">
      <c r="P95" s="2" t="s">
        <v>503</v>
      </c>
      <c r="Q95" s="2"/>
      <c r="R95" s="2"/>
      <c r="S95" s="3">
        <v>255.2</v>
      </c>
      <c r="T95" s="11">
        <f t="shared" si="3"/>
        <v>2.1063926375304363E-3</v>
      </c>
      <c r="U95" s="1" t="s">
        <v>356</v>
      </c>
      <c r="V95" s="2"/>
      <c r="W95" s="2"/>
      <c r="X95" s="6" t="s">
        <v>358</v>
      </c>
      <c r="Y95" s="1" t="s">
        <v>359</v>
      </c>
    </row>
    <row r="96" spans="16:25">
      <c r="P96" s="2" t="s">
        <v>504</v>
      </c>
      <c r="Q96" s="2"/>
      <c r="R96" s="2"/>
      <c r="S96" s="3">
        <v>284.49</v>
      </c>
      <c r="T96" s="11">
        <f t="shared" si="3"/>
        <v>2.3481490652469978E-3</v>
      </c>
      <c r="U96" s="1" t="s">
        <v>356</v>
      </c>
      <c r="V96" s="2"/>
      <c r="W96" s="2"/>
      <c r="X96" s="6" t="s">
        <v>358</v>
      </c>
      <c r="Y96" s="1" t="s">
        <v>359</v>
      </c>
    </row>
    <row r="97" spans="16:25">
      <c r="P97" s="2" t="s">
        <v>505</v>
      </c>
      <c r="Q97" s="2"/>
      <c r="R97" s="2"/>
      <c r="S97" s="3">
        <v>284.49</v>
      </c>
      <c r="T97" s="11">
        <f t="shared" si="3"/>
        <v>2.3481490652469978E-3</v>
      </c>
      <c r="U97" s="1" t="s">
        <v>356</v>
      </c>
      <c r="V97" s="2"/>
      <c r="W97" s="2"/>
      <c r="X97" s="6" t="s">
        <v>358</v>
      </c>
      <c r="Y97" s="1" t="s">
        <v>359</v>
      </c>
    </row>
    <row r="98" spans="16:25">
      <c r="P98" s="2" t="s">
        <v>506</v>
      </c>
      <c r="Q98" s="2"/>
      <c r="R98" s="2"/>
      <c r="S98" s="3">
        <v>284.49</v>
      </c>
      <c r="T98" s="11">
        <f t="shared" si="3"/>
        <v>2.3481490652469978E-3</v>
      </c>
      <c r="U98" s="1" t="s">
        <v>356</v>
      </c>
      <c r="V98" s="2"/>
      <c r="W98" s="2"/>
      <c r="X98" s="6" t="s">
        <v>358</v>
      </c>
      <c r="Y98" s="1" t="s">
        <v>359</v>
      </c>
    </row>
    <row r="99" spans="16:25">
      <c r="P99" s="2" t="s">
        <v>507</v>
      </c>
      <c r="Q99" s="2"/>
      <c r="R99" s="2"/>
      <c r="S99" s="3">
        <v>252.88</v>
      </c>
      <c r="T99" s="11">
        <f t="shared" si="3"/>
        <v>2.0872436135528868E-3</v>
      </c>
      <c r="U99" s="1" t="s">
        <v>356</v>
      </c>
      <c r="V99" s="2"/>
      <c r="W99" s="2"/>
      <c r="X99" s="6" t="s">
        <v>358</v>
      </c>
      <c r="Y99" s="1" t="s">
        <v>359</v>
      </c>
    </row>
    <row r="100" spans="16:25">
      <c r="P100" s="2" t="s">
        <v>508</v>
      </c>
      <c r="Q100" s="2"/>
      <c r="R100" s="2"/>
      <c r="S100" s="3">
        <v>252.88</v>
      </c>
      <c r="T100" s="11">
        <f t="shared" si="3"/>
        <v>2.0872436135528868E-3</v>
      </c>
      <c r="U100" s="1" t="s">
        <v>356</v>
      </c>
      <c r="V100" s="2"/>
      <c r="W100" s="2"/>
      <c r="X100" s="6" t="s">
        <v>358</v>
      </c>
      <c r="Y100" s="1" t="s">
        <v>359</v>
      </c>
    </row>
    <row r="101" spans="16:25">
      <c r="P101" s="2" t="s">
        <v>509</v>
      </c>
      <c r="Q101" s="2"/>
      <c r="R101" s="2"/>
      <c r="S101" s="3">
        <v>284.49</v>
      </c>
      <c r="T101" s="11">
        <f t="shared" si="3"/>
        <v>2.3481490652469978E-3</v>
      </c>
      <c r="U101" s="1" t="s">
        <v>356</v>
      </c>
      <c r="V101" s="2"/>
      <c r="W101" s="2"/>
      <c r="X101" s="6" t="s">
        <v>358</v>
      </c>
      <c r="Y101" s="1" t="s">
        <v>359</v>
      </c>
    </row>
    <row r="102" spans="16:25">
      <c r="P102" s="2" t="s">
        <v>510</v>
      </c>
      <c r="Q102" s="2"/>
      <c r="R102" s="2"/>
      <c r="S102" s="3">
        <v>223.3</v>
      </c>
      <c r="T102" s="11">
        <f t="shared" si="3"/>
        <v>1.8430935578391317E-3</v>
      </c>
      <c r="U102" s="1" t="s">
        <v>356</v>
      </c>
      <c r="V102" s="2"/>
      <c r="W102" s="2"/>
      <c r="X102" s="6" t="s">
        <v>358</v>
      </c>
      <c r="Y102" s="1" t="s">
        <v>359</v>
      </c>
    </row>
    <row r="103" spans="16:25">
      <c r="P103" s="2" t="s">
        <v>511</v>
      </c>
      <c r="Q103" s="2"/>
      <c r="R103" s="2"/>
      <c r="S103" s="3">
        <v>284.49</v>
      </c>
      <c r="T103" s="11">
        <f t="shared" si="3"/>
        <v>2.3481490652469978E-3</v>
      </c>
      <c r="U103" s="1" t="s">
        <v>356</v>
      </c>
      <c r="V103" s="2"/>
      <c r="W103" s="2"/>
      <c r="X103" s="6" t="s">
        <v>358</v>
      </c>
      <c r="Y103" s="1" t="s">
        <v>359</v>
      </c>
    </row>
    <row r="104" spans="16:25">
      <c r="P104" s="2" t="s">
        <v>512</v>
      </c>
      <c r="Q104" s="2"/>
      <c r="R104" s="2"/>
      <c r="S104" s="3">
        <v>284.49</v>
      </c>
      <c r="T104" s="11">
        <f t="shared" si="3"/>
        <v>2.3481490652469978E-3</v>
      </c>
      <c r="U104" s="1" t="s">
        <v>356</v>
      </c>
      <c r="V104" s="2"/>
      <c r="W104" s="2"/>
      <c r="X104" s="6" t="s">
        <v>358</v>
      </c>
      <c r="Y104" s="1" t="s">
        <v>359</v>
      </c>
    </row>
    <row r="105" spans="16:25">
      <c r="P105" s="2" t="s">
        <v>513</v>
      </c>
      <c r="Q105" s="2"/>
      <c r="R105" s="2"/>
      <c r="S105" s="3">
        <v>207.35</v>
      </c>
      <c r="T105" s="11">
        <f t="shared" si="3"/>
        <v>1.7114440179934794E-3</v>
      </c>
      <c r="U105" s="1" t="s">
        <v>356</v>
      </c>
      <c r="V105" s="2"/>
      <c r="W105" s="2"/>
      <c r="X105" s="6" t="s">
        <v>358</v>
      </c>
      <c r="Y105" s="1" t="s">
        <v>359</v>
      </c>
    </row>
    <row r="106" spans="16:25">
      <c r="P106" s="2" t="s">
        <v>514</v>
      </c>
      <c r="Q106" s="2"/>
      <c r="R106" s="2"/>
      <c r="S106" s="3">
        <v>252.88</v>
      </c>
      <c r="T106" s="11">
        <f t="shared" si="3"/>
        <v>2.0872436135528868E-3</v>
      </c>
      <c r="U106" s="1" t="s">
        <v>356</v>
      </c>
      <c r="V106" s="2"/>
      <c r="W106" s="2"/>
      <c r="X106" s="6" t="s">
        <v>358</v>
      </c>
      <c r="Y106" s="1" t="s">
        <v>359</v>
      </c>
    </row>
    <row r="107" spans="16:25">
      <c r="P107" s="2" t="s">
        <v>515</v>
      </c>
      <c r="Q107" s="2"/>
      <c r="R107" s="2"/>
      <c r="S107" s="3">
        <v>191.4</v>
      </c>
      <c r="T107" s="11">
        <f t="shared" si="3"/>
        <v>1.5797944781478271E-3</v>
      </c>
      <c r="U107" s="1" t="s">
        <v>356</v>
      </c>
      <c r="V107" s="2"/>
      <c r="W107" s="2"/>
      <c r="X107" s="6" t="s">
        <v>358</v>
      </c>
      <c r="Y107" s="1" t="s">
        <v>359</v>
      </c>
    </row>
    <row r="108" spans="16:25">
      <c r="P108" s="2" t="s">
        <v>516</v>
      </c>
      <c r="Q108" s="2"/>
      <c r="R108" s="2"/>
      <c r="S108" s="3">
        <v>252.88</v>
      </c>
      <c r="T108" s="11">
        <f t="shared" si="3"/>
        <v>2.0872436135528868E-3</v>
      </c>
      <c r="U108" s="1" t="s">
        <v>356</v>
      </c>
      <c r="V108" s="2"/>
      <c r="W108" s="2"/>
      <c r="X108" s="6" t="s">
        <v>358</v>
      </c>
      <c r="Y108" s="1" t="s">
        <v>359</v>
      </c>
    </row>
    <row r="109" spans="16:25">
      <c r="P109" s="2" t="s">
        <v>517</v>
      </c>
      <c r="Q109" s="2"/>
      <c r="R109" s="2"/>
      <c r="S109" s="3">
        <v>284.49</v>
      </c>
      <c r="T109" s="11">
        <f t="shared" si="3"/>
        <v>2.3481490652469978E-3</v>
      </c>
      <c r="U109" s="1" t="s">
        <v>356</v>
      </c>
      <c r="V109" s="2"/>
      <c r="W109" s="2"/>
      <c r="X109" s="6" t="s">
        <v>358</v>
      </c>
      <c r="Y109" s="1" t="s">
        <v>359</v>
      </c>
    </row>
    <row r="110" spans="16:25">
      <c r="P110" s="2" t="s">
        <v>518</v>
      </c>
      <c r="Q110" s="2"/>
      <c r="R110" s="2"/>
      <c r="S110" s="3">
        <v>284.49</v>
      </c>
      <c r="T110" s="11">
        <f t="shared" si="3"/>
        <v>2.3481490652469978E-3</v>
      </c>
      <c r="U110" s="1" t="s">
        <v>356</v>
      </c>
      <c r="V110" s="2"/>
      <c r="W110" s="2"/>
      <c r="X110" s="6" t="s">
        <v>358</v>
      </c>
      <c r="Y110" s="1" t="s">
        <v>359</v>
      </c>
    </row>
    <row r="111" spans="16:25">
      <c r="P111" s="2" t="s">
        <v>519</v>
      </c>
      <c r="Q111" s="2"/>
      <c r="R111" s="2"/>
      <c r="S111" s="3">
        <v>284.49</v>
      </c>
      <c r="T111" s="11">
        <f t="shared" si="3"/>
        <v>2.3481490652469978E-3</v>
      </c>
      <c r="U111" s="1" t="s">
        <v>356</v>
      </c>
      <c r="V111" s="2"/>
      <c r="W111" s="2"/>
      <c r="X111" s="6" t="s">
        <v>358</v>
      </c>
      <c r="Y111" s="1" t="s">
        <v>359</v>
      </c>
    </row>
    <row r="112" spans="16:25">
      <c r="P112" s="2" t="s">
        <v>520</v>
      </c>
      <c r="Q112" s="2"/>
      <c r="R112" s="2"/>
      <c r="S112" s="3">
        <v>284.49</v>
      </c>
      <c r="T112" s="11">
        <f t="shared" si="3"/>
        <v>2.3481490652469978E-3</v>
      </c>
      <c r="U112" s="1" t="s">
        <v>356</v>
      </c>
      <c r="V112" s="2"/>
      <c r="W112" s="2"/>
      <c r="X112" s="6" t="s">
        <v>358</v>
      </c>
      <c r="Y112" s="1" t="s">
        <v>359</v>
      </c>
    </row>
    <row r="113" spans="16:25">
      <c r="P113" s="2" t="s">
        <v>521</v>
      </c>
      <c r="Q113" s="2"/>
      <c r="R113" s="2"/>
      <c r="S113" s="3">
        <v>284.49</v>
      </c>
      <c r="T113" s="11">
        <f t="shared" si="3"/>
        <v>2.3481490652469978E-3</v>
      </c>
      <c r="U113" s="1" t="s">
        <v>356</v>
      </c>
      <c r="V113" s="2"/>
      <c r="W113" s="2"/>
      <c r="X113" s="6" t="s">
        <v>358</v>
      </c>
      <c r="Y113" s="1" t="s">
        <v>359</v>
      </c>
    </row>
    <row r="114" spans="16:25">
      <c r="P114" s="2" t="s">
        <v>522</v>
      </c>
      <c r="Q114" s="2"/>
      <c r="R114" s="2"/>
      <c r="S114" s="3">
        <v>252.88</v>
      </c>
      <c r="T114" s="11">
        <f t="shared" si="3"/>
        <v>2.0872436135528868E-3</v>
      </c>
      <c r="U114" s="1" t="s">
        <v>356</v>
      </c>
      <c r="V114" s="2"/>
      <c r="W114" s="2"/>
      <c r="X114" s="6" t="s">
        <v>358</v>
      </c>
      <c r="Y114" s="1" t="s">
        <v>359</v>
      </c>
    </row>
    <row r="115" spans="16:25">
      <c r="P115" s="2" t="s">
        <v>523</v>
      </c>
      <c r="Q115" s="2"/>
      <c r="R115" s="2"/>
      <c r="S115" s="3">
        <v>287.10000000000002</v>
      </c>
      <c r="T115" s="11">
        <f t="shared" si="3"/>
        <v>2.3696917172217409E-3</v>
      </c>
      <c r="U115" s="1" t="s">
        <v>356</v>
      </c>
      <c r="V115" s="2"/>
      <c r="W115" s="2"/>
      <c r="X115" s="6" t="s">
        <v>358</v>
      </c>
      <c r="Y115" s="1" t="s">
        <v>359</v>
      </c>
    </row>
    <row r="116" spans="16:25">
      <c r="P116" s="2" t="s">
        <v>524</v>
      </c>
      <c r="Q116" s="2"/>
      <c r="R116" s="2"/>
      <c r="S116" s="3">
        <v>255.2</v>
      </c>
      <c r="T116" s="11">
        <f t="shared" si="3"/>
        <v>2.1063926375304363E-3</v>
      </c>
      <c r="U116" s="1" t="s">
        <v>356</v>
      </c>
      <c r="V116" s="2"/>
      <c r="W116" s="2"/>
      <c r="X116" s="6" t="s">
        <v>358</v>
      </c>
      <c r="Y116" s="1" t="s">
        <v>359</v>
      </c>
    </row>
    <row r="117" spans="16:25">
      <c r="P117" s="2" t="s">
        <v>525</v>
      </c>
      <c r="Q117" s="2"/>
      <c r="R117" s="2"/>
      <c r="S117" s="3">
        <v>252.88</v>
      </c>
      <c r="T117" s="11">
        <f t="shared" si="3"/>
        <v>2.0872436135528868E-3</v>
      </c>
      <c r="U117" s="1" t="s">
        <v>356</v>
      </c>
      <c r="V117" s="2"/>
      <c r="W117" s="2"/>
      <c r="X117" s="6" t="s">
        <v>358</v>
      </c>
      <c r="Y117" s="1" t="s">
        <v>359</v>
      </c>
    </row>
    <row r="118" spans="16:25">
      <c r="P118" s="2" t="s">
        <v>526</v>
      </c>
      <c r="Q118" s="2"/>
      <c r="R118" s="2"/>
      <c r="S118" s="3">
        <v>268.685</v>
      </c>
      <c r="T118" s="11">
        <f t="shared" si="3"/>
        <v>2.2176963393999421E-3</v>
      </c>
      <c r="U118" s="1" t="s">
        <v>356</v>
      </c>
      <c r="V118" s="2"/>
      <c r="W118" s="2"/>
      <c r="X118" s="6" t="s">
        <v>358</v>
      </c>
      <c r="Y118" s="1" t="s">
        <v>359</v>
      </c>
    </row>
    <row r="119" spans="16:25">
      <c r="P119" s="2" t="s">
        <v>527</v>
      </c>
      <c r="Q119" s="2"/>
      <c r="R119" s="2"/>
      <c r="S119" s="3">
        <v>252.2</v>
      </c>
      <c r="T119" s="11">
        <f t="shared" si="3"/>
        <v>2.0816309685939499E-3</v>
      </c>
      <c r="U119" s="1" t="s">
        <v>356</v>
      </c>
      <c r="V119" s="2"/>
      <c r="W119" s="2"/>
      <c r="X119" s="6" t="s">
        <v>358</v>
      </c>
      <c r="Y119" s="1" t="s">
        <v>359</v>
      </c>
    </row>
    <row r="120" spans="16:25">
      <c r="P120" s="2" t="s">
        <v>528</v>
      </c>
      <c r="Q120" s="2"/>
      <c r="R120" s="2"/>
      <c r="S120" s="3">
        <v>252.2</v>
      </c>
      <c r="T120" s="11">
        <f t="shared" si="3"/>
        <v>2.0816309685939499E-3</v>
      </c>
      <c r="U120" s="1" t="s">
        <v>356</v>
      </c>
      <c r="V120" s="2"/>
      <c r="W120" s="2"/>
      <c r="X120" s="6" t="s">
        <v>358</v>
      </c>
      <c r="Y120" s="1" t="s">
        <v>359</v>
      </c>
    </row>
    <row r="121" spans="16:25">
      <c r="P121" s="2" t="s">
        <v>529</v>
      </c>
      <c r="Q121" s="2"/>
      <c r="R121" s="2"/>
      <c r="S121" s="3">
        <v>252.2</v>
      </c>
      <c r="T121" s="11">
        <f t="shared" si="3"/>
        <v>2.0816309685939499E-3</v>
      </c>
      <c r="U121" s="1" t="s">
        <v>356</v>
      </c>
      <c r="V121" s="2"/>
      <c r="W121" s="2"/>
      <c r="X121" s="6" t="s">
        <v>358</v>
      </c>
      <c r="Y121" s="1" t="s">
        <v>359</v>
      </c>
    </row>
    <row r="122" spans="16:25">
      <c r="P122" s="2" t="s">
        <v>530</v>
      </c>
      <c r="Q122" s="2"/>
      <c r="R122" s="2"/>
      <c r="S122" s="3">
        <v>252.2</v>
      </c>
      <c r="T122" s="11">
        <f t="shared" si="3"/>
        <v>2.0816309685939499E-3</v>
      </c>
      <c r="U122" s="1" t="s">
        <v>356</v>
      </c>
      <c r="V122" s="2"/>
      <c r="W122" s="2"/>
      <c r="X122" s="6" t="s">
        <v>358</v>
      </c>
      <c r="Y122" s="1" t="s">
        <v>359</v>
      </c>
    </row>
    <row r="123" spans="16:25">
      <c r="P123" s="2" t="s">
        <v>531</v>
      </c>
      <c r="Q123" s="2"/>
      <c r="R123" s="2"/>
      <c r="S123" s="3">
        <v>252.2</v>
      </c>
      <c r="T123" s="11">
        <f t="shared" si="3"/>
        <v>2.0816309685939499E-3</v>
      </c>
      <c r="U123" s="1" t="s">
        <v>356</v>
      </c>
      <c r="V123" s="2"/>
      <c r="W123" s="2"/>
      <c r="X123" s="6" t="s">
        <v>358</v>
      </c>
      <c r="Y123" s="1" t="s">
        <v>359</v>
      </c>
    </row>
    <row r="124" spans="16:25">
      <c r="P124" s="2" t="s">
        <v>532</v>
      </c>
      <c r="Q124" s="2"/>
      <c r="R124" s="2"/>
      <c r="S124" s="3">
        <v>255.2</v>
      </c>
      <c r="T124" s="11">
        <f t="shared" si="3"/>
        <v>2.1063926375304363E-3</v>
      </c>
      <c r="U124" s="1" t="s">
        <v>356</v>
      </c>
      <c r="V124" s="2"/>
      <c r="W124" s="2"/>
      <c r="X124" s="6" t="s">
        <v>358</v>
      </c>
      <c r="Y124" s="1" t="s">
        <v>359</v>
      </c>
    </row>
    <row r="125" spans="16:25">
      <c r="P125" s="2" t="s">
        <v>533</v>
      </c>
      <c r="Q125" s="2"/>
      <c r="R125" s="2"/>
      <c r="S125" s="3">
        <v>255.2</v>
      </c>
      <c r="T125" s="11">
        <f t="shared" si="3"/>
        <v>2.1063926375304363E-3</v>
      </c>
      <c r="U125" s="1" t="s">
        <v>356</v>
      </c>
      <c r="V125" s="2"/>
      <c r="W125" s="2"/>
      <c r="X125" s="6" t="s">
        <v>358</v>
      </c>
      <c r="Y125" s="1" t="s">
        <v>359</v>
      </c>
    </row>
    <row r="126" spans="16:25">
      <c r="P126" s="2" t="s">
        <v>534</v>
      </c>
      <c r="Q126" s="2"/>
      <c r="R126" s="2"/>
      <c r="S126" s="3">
        <v>255.2</v>
      </c>
      <c r="T126" s="11">
        <f t="shared" si="3"/>
        <v>2.1063926375304363E-3</v>
      </c>
      <c r="U126" s="1" t="s">
        <v>356</v>
      </c>
      <c r="V126" s="2"/>
      <c r="W126" s="2"/>
      <c r="X126" s="6" t="s">
        <v>358</v>
      </c>
      <c r="Y126" s="1" t="s">
        <v>359</v>
      </c>
    </row>
    <row r="127" spans="16:25">
      <c r="P127" s="2" t="s">
        <v>535</v>
      </c>
      <c r="Q127" s="2"/>
      <c r="R127" s="2"/>
      <c r="S127" s="3">
        <v>255.2</v>
      </c>
      <c r="T127" s="11">
        <f t="shared" si="3"/>
        <v>2.1063926375304363E-3</v>
      </c>
      <c r="U127" s="1" t="s">
        <v>356</v>
      </c>
      <c r="V127" s="2"/>
      <c r="W127" s="2"/>
      <c r="X127" s="6" t="s">
        <v>358</v>
      </c>
      <c r="Y127" s="1" t="s">
        <v>359</v>
      </c>
    </row>
    <row r="128" spans="16:25">
      <c r="P128" s="2" t="s">
        <v>536</v>
      </c>
      <c r="Q128" s="2"/>
      <c r="R128" s="2"/>
      <c r="S128" s="3">
        <v>255.2</v>
      </c>
      <c r="T128" s="11">
        <f t="shared" si="3"/>
        <v>2.1063926375304363E-3</v>
      </c>
      <c r="U128" s="1" t="s">
        <v>356</v>
      </c>
      <c r="V128" s="2"/>
      <c r="W128" s="2"/>
      <c r="X128" s="6" t="s">
        <v>358</v>
      </c>
      <c r="Y128" s="1" t="s">
        <v>359</v>
      </c>
    </row>
    <row r="129" spans="16:25">
      <c r="P129" s="2" t="s">
        <v>537</v>
      </c>
      <c r="Q129" s="2"/>
      <c r="R129" s="2"/>
      <c r="S129" s="3">
        <v>255.2</v>
      </c>
      <c r="T129" s="11">
        <f t="shared" si="3"/>
        <v>2.1063926375304363E-3</v>
      </c>
      <c r="U129" s="1" t="s">
        <v>356</v>
      </c>
      <c r="V129" s="2"/>
      <c r="W129" s="2"/>
      <c r="X129" s="6" t="s">
        <v>358</v>
      </c>
      <c r="Y129" s="1" t="s">
        <v>359</v>
      </c>
    </row>
    <row r="130" spans="16:25">
      <c r="P130" s="2" t="s">
        <v>538</v>
      </c>
      <c r="Q130" s="2"/>
      <c r="R130" s="2"/>
      <c r="S130" s="3">
        <v>271.14999999999998</v>
      </c>
      <c r="T130" s="11">
        <f t="shared" si="3"/>
        <v>2.2380421773760882E-3</v>
      </c>
      <c r="U130" s="1" t="s">
        <v>356</v>
      </c>
      <c r="V130" s="2"/>
      <c r="W130" s="2"/>
      <c r="X130" s="6" t="s">
        <v>358</v>
      </c>
      <c r="Y130" s="1" t="s">
        <v>359</v>
      </c>
    </row>
    <row r="131" spans="16:25">
      <c r="P131" s="2" t="s">
        <v>539</v>
      </c>
      <c r="Q131" s="2"/>
      <c r="R131" s="2"/>
      <c r="S131" s="3">
        <v>255.2</v>
      </c>
      <c r="T131" s="11">
        <f t="shared" si="3"/>
        <v>2.1063926375304363E-3</v>
      </c>
      <c r="U131" s="1" t="s">
        <v>356</v>
      </c>
      <c r="V131" s="2"/>
      <c r="W131" s="2"/>
      <c r="X131" s="6" t="s">
        <v>358</v>
      </c>
      <c r="Y131" s="1" t="s">
        <v>359</v>
      </c>
    </row>
    <row r="132" spans="16:25">
      <c r="P132" s="2" t="s">
        <v>540</v>
      </c>
      <c r="Q132" s="2"/>
      <c r="R132" s="2"/>
      <c r="S132" s="3">
        <v>255.2</v>
      </c>
      <c r="T132" s="11">
        <f t="shared" si="3"/>
        <v>2.1063926375304363E-3</v>
      </c>
      <c r="U132" s="1" t="s">
        <v>356</v>
      </c>
      <c r="V132" s="2"/>
      <c r="W132" s="2"/>
      <c r="X132" s="6" t="s">
        <v>358</v>
      </c>
      <c r="Y132" s="1" t="s">
        <v>359</v>
      </c>
    </row>
    <row r="133" spans="16:25">
      <c r="P133" s="2" t="s">
        <v>541</v>
      </c>
      <c r="Q133" s="2"/>
      <c r="R133" s="2"/>
      <c r="S133" s="3">
        <v>287.10000000000002</v>
      </c>
      <c r="T133" s="11">
        <f t="shared" si="3"/>
        <v>2.3696917172217409E-3</v>
      </c>
      <c r="U133" s="1" t="s">
        <v>356</v>
      </c>
      <c r="V133" s="2"/>
      <c r="W133" s="2"/>
      <c r="X133" s="6" t="s">
        <v>358</v>
      </c>
      <c r="Y133" s="1" t="s">
        <v>359</v>
      </c>
    </row>
    <row r="134" spans="16:25">
      <c r="P134" s="2" t="s">
        <v>542</v>
      </c>
      <c r="Q134" s="2"/>
      <c r="R134" s="2"/>
      <c r="S134" s="3">
        <v>255.2</v>
      </c>
      <c r="T134" s="11">
        <f t="shared" si="3"/>
        <v>2.1063926375304363E-3</v>
      </c>
      <c r="U134" s="1" t="s">
        <v>356</v>
      </c>
      <c r="V134" s="2"/>
      <c r="W134" s="2"/>
      <c r="X134" s="6" t="s">
        <v>358</v>
      </c>
      <c r="Y134" s="1" t="s">
        <v>359</v>
      </c>
    </row>
    <row r="135" spans="16:25">
      <c r="P135" s="2" t="s">
        <v>543</v>
      </c>
      <c r="Q135" s="2"/>
      <c r="R135" s="2"/>
      <c r="S135" s="3">
        <v>255.2</v>
      </c>
      <c r="T135" s="11">
        <f t="shared" si="3"/>
        <v>2.1063926375304363E-3</v>
      </c>
      <c r="U135" s="1" t="s">
        <v>356</v>
      </c>
      <c r="V135" s="2"/>
      <c r="W135" s="2"/>
      <c r="X135" s="6" t="s">
        <v>358</v>
      </c>
      <c r="Y135" s="1" t="s">
        <v>359</v>
      </c>
    </row>
    <row r="136" spans="16:25">
      <c r="P136" s="2" t="s">
        <v>544</v>
      </c>
      <c r="Q136" s="2"/>
      <c r="R136" s="2"/>
      <c r="S136" s="3">
        <v>255.2</v>
      </c>
      <c r="T136" s="11">
        <f t="shared" si="3"/>
        <v>2.1063926375304363E-3</v>
      </c>
      <c r="U136" s="1" t="s">
        <v>356</v>
      </c>
      <c r="V136" s="2"/>
      <c r="W136" s="2"/>
      <c r="X136" s="6" t="s">
        <v>358</v>
      </c>
      <c r="Y136" s="1" t="s">
        <v>359</v>
      </c>
    </row>
    <row r="137" spans="16:25">
      <c r="P137" s="2" t="s">
        <v>545</v>
      </c>
      <c r="Q137" s="2"/>
      <c r="R137" s="2"/>
      <c r="S137" s="3">
        <v>252.88</v>
      </c>
      <c r="T137" s="11">
        <f t="shared" si="3"/>
        <v>2.0872436135528868E-3</v>
      </c>
      <c r="U137" s="1" t="s">
        <v>356</v>
      </c>
      <c r="V137" s="2"/>
      <c r="W137" s="2"/>
      <c r="X137" s="6" t="s">
        <v>358</v>
      </c>
      <c r="Y137" s="1" t="s">
        <v>359</v>
      </c>
    </row>
    <row r="138" spans="16:25">
      <c r="P138" s="2" t="s">
        <v>546</v>
      </c>
      <c r="Q138" s="2"/>
      <c r="R138" s="2"/>
      <c r="S138" s="3">
        <v>252.88</v>
      </c>
      <c r="T138" s="11">
        <f t="shared" si="3"/>
        <v>2.0872436135528868E-3</v>
      </c>
      <c r="U138" s="1" t="s">
        <v>356</v>
      </c>
      <c r="V138" s="2"/>
      <c r="W138" s="2"/>
      <c r="X138" s="6" t="s">
        <v>358</v>
      </c>
      <c r="Y138" s="1" t="s">
        <v>359</v>
      </c>
    </row>
    <row r="139" spans="16:25">
      <c r="P139" s="2" t="s">
        <v>547</v>
      </c>
      <c r="Q139" s="2"/>
      <c r="R139" s="2"/>
      <c r="S139" s="3">
        <v>221.27</v>
      </c>
      <c r="T139" s="11">
        <f t="shared" si="3"/>
        <v>1.826338161858776E-3</v>
      </c>
      <c r="U139" s="1" t="s">
        <v>356</v>
      </c>
      <c r="V139" s="2"/>
      <c r="W139" s="2"/>
      <c r="X139" s="6" t="s">
        <v>358</v>
      </c>
      <c r="Y139" s="1" t="s">
        <v>359</v>
      </c>
    </row>
    <row r="140" spans="16:25">
      <c r="P140" s="2" t="s">
        <v>548</v>
      </c>
      <c r="Q140" s="2"/>
      <c r="R140" s="2"/>
      <c r="S140" s="3">
        <v>284.49</v>
      </c>
      <c r="T140" s="11">
        <f t="shared" si="3"/>
        <v>2.3481490652469978E-3</v>
      </c>
      <c r="U140" s="1" t="s">
        <v>356</v>
      </c>
      <c r="V140" s="2"/>
      <c r="W140" s="2"/>
      <c r="X140" s="6" t="s">
        <v>358</v>
      </c>
      <c r="Y140" s="1" t="s">
        <v>359</v>
      </c>
    </row>
    <row r="141" spans="16:25">
      <c r="P141" s="2" t="s">
        <v>549</v>
      </c>
      <c r="Q141" s="2"/>
      <c r="R141" s="2"/>
      <c r="S141" s="3">
        <v>287.10000000000002</v>
      </c>
      <c r="T141" s="11">
        <f t="shared" si="3"/>
        <v>2.3696917172217409E-3</v>
      </c>
      <c r="U141" s="1" t="s">
        <v>356</v>
      </c>
      <c r="V141" s="2"/>
      <c r="W141" s="2"/>
      <c r="X141" s="6" t="s">
        <v>358</v>
      </c>
      <c r="Y141" s="1" t="s">
        <v>359</v>
      </c>
    </row>
    <row r="142" spans="16:25">
      <c r="P142" s="2" t="s">
        <v>550</v>
      </c>
      <c r="Q142" s="2"/>
      <c r="R142" s="2"/>
      <c r="S142" s="3">
        <v>287.10000000000002</v>
      </c>
      <c r="T142" s="11">
        <f t="shared" si="3"/>
        <v>2.3696917172217409E-3</v>
      </c>
      <c r="U142" s="1" t="s">
        <v>356</v>
      </c>
      <c r="V142" s="2"/>
      <c r="W142" s="2"/>
      <c r="X142" s="6" t="s">
        <v>358</v>
      </c>
      <c r="Y142" s="1" t="s">
        <v>359</v>
      </c>
    </row>
    <row r="143" spans="16:25">
      <c r="P143" s="2" t="s">
        <v>551</v>
      </c>
      <c r="Q143" s="2"/>
      <c r="R143" s="2"/>
      <c r="S143" s="3">
        <v>287.10000000000002</v>
      </c>
      <c r="T143" s="11">
        <f t="shared" si="3"/>
        <v>2.3696917172217409E-3</v>
      </c>
      <c r="U143" s="1" t="s">
        <v>356</v>
      </c>
      <c r="V143" s="2"/>
      <c r="W143" s="2"/>
      <c r="X143" s="6" t="s">
        <v>358</v>
      </c>
      <c r="Y143" s="1" t="s">
        <v>359</v>
      </c>
    </row>
    <row r="144" spans="16:25">
      <c r="P144" s="2" t="s">
        <v>552</v>
      </c>
      <c r="Q144" s="2"/>
      <c r="R144" s="2"/>
      <c r="S144" s="3">
        <v>255.2</v>
      </c>
      <c r="T144" s="11">
        <f t="shared" si="3"/>
        <v>2.1063926375304363E-3</v>
      </c>
      <c r="U144" s="1" t="s">
        <v>356</v>
      </c>
      <c r="V144" s="2"/>
      <c r="W144" s="2"/>
      <c r="X144" s="6" t="s">
        <v>358</v>
      </c>
      <c r="Y144" s="1" t="s">
        <v>359</v>
      </c>
    </row>
    <row r="145" spans="16:25">
      <c r="P145" s="2" t="s">
        <v>553</v>
      </c>
      <c r="Q145" s="2"/>
      <c r="R145" s="2"/>
      <c r="S145" s="3">
        <v>239.25</v>
      </c>
      <c r="T145" s="11">
        <f t="shared" si="3"/>
        <v>1.974743097684784E-3</v>
      </c>
      <c r="U145" s="1" t="s">
        <v>356</v>
      </c>
      <c r="V145" s="2"/>
      <c r="W145" s="2"/>
      <c r="X145" s="6" t="s">
        <v>358</v>
      </c>
      <c r="Y145" s="1" t="s">
        <v>359</v>
      </c>
    </row>
    <row r="146" spans="16:25">
      <c r="P146" s="2" t="s">
        <v>554</v>
      </c>
      <c r="Q146" s="2"/>
      <c r="R146" s="2"/>
      <c r="S146" s="3">
        <v>252.88</v>
      </c>
      <c r="T146" s="11">
        <f t="shared" si="3"/>
        <v>2.0872436135528868E-3</v>
      </c>
      <c r="U146" s="1" t="s">
        <v>356</v>
      </c>
      <c r="V146" s="2"/>
      <c r="W146" s="2"/>
      <c r="X146" s="6" t="s">
        <v>358</v>
      </c>
      <c r="Y146" s="1" t="s">
        <v>359</v>
      </c>
    </row>
    <row r="147" spans="16:25">
      <c r="P147" s="2" t="s">
        <v>555</v>
      </c>
      <c r="Q147" s="2"/>
      <c r="R147" s="2"/>
      <c r="S147" s="3">
        <v>255.2</v>
      </c>
      <c r="T147" s="11">
        <f t="shared" si="3"/>
        <v>2.1063926375304363E-3</v>
      </c>
      <c r="U147" s="1" t="s">
        <v>356</v>
      </c>
      <c r="V147" s="2"/>
      <c r="W147" s="2"/>
      <c r="X147" s="6" t="s">
        <v>358</v>
      </c>
      <c r="Y147" s="1" t="s">
        <v>359</v>
      </c>
    </row>
    <row r="148" spans="16:25">
      <c r="P148" s="2" t="s">
        <v>556</v>
      </c>
      <c r="Q148" s="2"/>
      <c r="R148" s="2"/>
      <c r="S148" s="3">
        <v>271.14999999999998</v>
      </c>
      <c r="T148" s="11">
        <f t="shared" si="3"/>
        <v>2.2380421773760882E-3</v>
      </c>
      <c r="U148" s="1" t="s">
        <v>356</v>
      </c>
      <c r="V148" s="2"/>
      <c r="W148" s="2"/>
      <c r="X148" s="6" t="s">
        <v>358</v>
      </c>
      <c r="Y148" s="1" t="s">
        <v>359</v>
      </c>
    </row>
    <row r="149" spans="16:25">
      <c r="P149" s="2" t="s">
        <v>557</v>
      </c>
      <c r="Q149" s="2"/>
      <c r="R149" s="2"/>
      <c r="S149" s="3">
        <v>271.14999999999998</v>
      </c>
      <c r="T149" s="11">
        <f t="shared" si="3"/>
        <v>2.2380421773760882E-3</v>
      </c>
      <c r="U149" s="1" t="s">
        <v>356</v>
      </c>
      <c r="V149" s="2"/>
      <c r="W149" s="2"/>
      <c r="X149" s="6" t="s">
        <v>358</v>
      </c>
      <c r="Y149" s="1" t="s">
        <v>359</v>
      </c>
    </row>
    <row r="150" spans="16:25">
      <c r="P150" s="2" t="s">
        <v>558</v>
      </c>
      <c r="Q150" s="2"/>
      <c r="R150" s="2"/>
      <c r="S150" s="3">
        <v>223.3</v>
      </c>
      <c r="T150" s="11">
        <f t="shared" si="3"/>
        <v>1.8430935578391317E-3</v>
      </c>
      <c r="U150" s="1" t="s">
        <v>356</v>
      </c>
      <c r="V150" s="2"/>
      <c r="W150" s="2"/>
      <c r="X150" s="6" t="s">
        <v>358</v>
      </c>
      <c r="Y150" s="1" t="s">
        <v>359</v>
      </c>
    </row>
    <row r="151" spans="16:25">
      <c r="P151" s="2" t="s">
        <v>559</v>
      </c>
      <c r="Q151" s="2"/>
      <c r="R151" s="2"/>
      <c r="S151" s="3">
        <v>284.89999999999998</v>
      </c>
      <c r="T151" s="11">
        <f t="shared" si="3"/>
        <v>2.3515331600016507E-3</v>
      </c>
      <c r="U151" s="1" t="s">
        <v>356</v>
      </c>
      <c r="V151" s="2"/>
      <c r="W151" s="2"/>
      <c r="X151" s="6" t="s">
        <v>358</v>
      </c>
      <c r="Y151" s="1" t="s">
        <v>359</v>
      </c>
    </row>
    <row r="152" spans="16:25">
      <c r="P152" s="2" t="s">
        <v>560</v>
      </c>
      <c r="Q152" s="2"/>
      <c r="R152" s="2"/>
      <c r="S152" s="3">
        <v>252.88</v>
      </c>
      <c r="T152" s="11">
        <f t="shared" si="3"/>
        <v>2.0872436135528868E-3</v>
      </c>
      <c r="U152" s="1" t="s">
        <v>356</v>
      </c>
      <c r="V152" s="2"/>
      <c r="W152" s="2"/>
      <c r="X152" s="6" t="s">
        <v>358</v>
      </c>
      <c r="Y152" s="1" t="s">
        <v>359</v>
      </c>
    </row>
    <row r="153" spans="16:25">
      <c r="P153" s="2" t="s">
        <v>561</v>
      </c>
      <c r="Q153" s="2"/>
      <c r="R153" s="2"/>
      <c r="S153" s="3">
        <v>255.2</v>
      </c>
      <c r="T153" s="11">
        <f t="shared" si="3"/>
        <v>2.1063926375304363E-3</v>
      </c>
      <c r="U153" s="1" t="s">
        <v>356</v>
      </c>
      <c r="V153" s="2"/>
      <c r="W153" s="2"/>
      <c r="X153" s="6" t="s">
        <v>358</v>
      </c>
      <c r="Y153" s="1" t="s">
        <v>359</v>
      </c>
    </row>
    <row r="154" spans="16:25">
      <c r="P154" s="2" t="s">
        <v>562</v>
      </c>
      <c r="Q154" s="2"/>
      <c r="R154" s="2"/>
      <c r="S154" s="3">
        <v>255.2</v>
      </c>
      <c r="T154" s="11">
        <f t="shared" si="3"/>
        <v>2.1063926375304363E-3</v>
      </c>
      <c r="U154" s="1" t="s">
        <v>356</v>
      </c>
      <c r="V154" s="2"/>
      <c r="W154" s="2"/>
      <c r="X154" s="6" t="s">
        <v>358</v>
      </c>
      <c r="Y154" s="1" t="s">
        <v>359</v>
      </c>
    </row>
    <row r="155" spans="16:25">
      <c r="P155" s="2" t="s">
        <v>563</v>
      </c>
      <c r="Q155" s="2"/>
      <c r="R155" s="2"/>
      <c r="S155" s="3">
        <v>287.10000000000002</v>
      </c>
      <c r="T155" s="11">
        <f t="shared" si="3"/>
        <v>2.3696917172217409E-3</v>
      </c>
      <c r="U155" s="1" t="s">
        <v>356</v>
      </c>
      <c r="V155" s="2"/>
      <c r="W155" s="2"/>
      <c r="X155" s="6" t="s">
        <v>358</v>
      </c>
      <c r="Y155" s="1" t="s">
        <v>359</v>
      </c>
    </row>
    <row r="156" spans="16:25">
      <c r="P156" s="2" t="s">
        <v>564</v>
      </c>
      <c r="Q156" s="2"/>
      <c r="R156" s="2"/>
      <c r="S156" s="3">
        <v>287.10000000000002</v>
      </c>
      <c r="T156" s="11">
        <f t="shared" si="3"/>
        <v>2.3696917172217409E-3</v>
      </c>
      <c r="U156" s="1" t="s">
        <v>356</v>
      </c>
      <c r="V156" s="2"/>
      <c r="W156" s="2"/>
      <c r="X156" s="6" t="s">
        <v>358</v>
      </c>
      <c r="Y156" s="1" t="s">
        <v>359</v>
      </c>
    </row>
    <row r="157" spans="16:25">
      <c r="P157" s="2" t="s">
        <v>565</v>
      </c>
      <c r="Q157" s="2"/>
      <c r="R157" s="2"/>
      <c r="S157" s="3">
        <v>284.49</v>
      </c>
      <c r="T157" s="11">
        <f t="shared" si="3"/>
        <v>2.3481490652469978E-3</v>
      </c>
      <c r="U157" s="1" t="s">
        <v>356</v>
      </c>
      <c r="V157" s="2"/>
      <c r="W157" s="2"/>
      <c r="X157" s="6" t="s">
        <v>358</v>
      </c>
      <c r="Y157" s="1" t="s">
        <v>359</v>
      </c>
    </row>
    <row r="158" spans="16:25">
      <c r="P158" s="2" t="s">
        <v>566</v>
      </c>
      <c r="Q158" s="2"/>
      <c r="R158" s="2"/>
      <c r="S158" s="3">
        <v>252.88</v>
      </c>
      <c r="T158" s="11">
        <f t="shared" ref="T158:T221" si="4">S158/$B$2</f>
        <v>2.0872436135528868E-3</v>
      </c>
      <c r="U158" s="1" t="s">
        <v>356</v>
      </c>
      <c r="V158" s="2"/>
      <c r="W158" s="2"/>
      <c r="X158" s="6" t="s">
        <v>358</v>
      </c>
      <c r="Y158" s="1" t="s">
        <v>359</v>
      </c>
    </row>
    <row r="159" spans="16:25">
      <c r="P159" s="2" t="s">
        <v>567</v>
      </c>
      <c r="Q159" s="2"/>
      <c r="R159" s="2"/>
      <c r="S159" s="3">
        <v>252.88</v>
      </c>
      <c r="T159" s="11">
        <f t="shared" si="4"/>
        <v>2.0872436135528868E-3</v>
      </c>
      <c r="U159" s="1" t="s">
        <v>356</v>
      </c>
      <c r="V159" s="2"/>
      <c r="W159" s="2"/>
      <c r="X159" s="6" t="s">
        <v>358</v>
      </c>
      <c r="Y159" s="1" t="s">
        <v>359</v>
      </c>
    </row>
    <row r="160" spans="16:25">
      <c r="P160" s="2" t="s">
        <v>568</v>
      </c>
      <c r="Q160" s="2"/>
      <c r="R160" s="2"/>
      <c r="S160" s="3">
        <v>255.2</v>
      </c>
      <c r="T160" s="11">
        <f t="shared" si="4"/>
        <v>2.1063926375304363E-3</v>
      </c>
      <c r="U160" s="1" t="s">
        <v>356</v>
      </c>
      <c r="V160" s="2"/>
      <c r="W160" s="2"/>
      <c r="X160" s="6" t="s">
        <v>358</v>
      </c>
      <c r="Y160" s="1" t="s">
        <v>359</v>
      </c>
    </row>
    <row r="161" spans="16:25">
      <c r="P161" s="2" t="s">
        <v>569</v>
      </c>
      <c r="Q161" s="2"/>
      <c r="R161" s="2"/>
      <c r="S161" s="3">
        <v>255.2</v>
      </c>
      <c r="T161" s="11">
        <f t="shared" si="4"/>
        <v>2.1063926375304363E-3</v>
      </c>
      <c r="U161" s="1" t="s">
        <v>356</v>
      </c>
      <c r="V161" s="2"/>
      <c r="W161" s="2"/>
      <c r="X161" s="6" t="s">
        <v>358</v>
      </c>
      <c r="Y161" s="1" t="s">
        <v>359</v>
      </c>
    </row>
    <row r="162" spans="16:25">
      <c r="P162" s="2" t="s">
        <v>570</v>
      </c>
      <c r="Q162" s="2"/>
      <c r="R162" s="2"/>
      <c r="S162" s="3">
        <v>252.88</v>
      </c>
      <c r="T162" s="11">
        <f t="shared" si="4"/>
        <v>2.0872436135528868E-3</v>
      </c>
      <c r="U162" s="1" t="s">
        <v>356</v>
      </c>
      <c r="V162" s="2"/>
      <c r="W162" s="2"/>
      <c r="X162" s="6" t="s">
        <v>358</v>
      </c>
      <c r="Y162" s="1" t="s">
        <v>359</v>
      </c>
    </row>
    <row r="163" spans="16:25">
      <c r="P163" s="2" t="s">
        <v>571</v>
      </c>
      <c r="Q163" s="2"/>
      <c r="R163" s="2"/>
      <c r="S163" s="3">
        <v>287.10000000000002</v>
      </c>
      <c r="T163" s="11">
        <f t="shared" si="4"/>
        <v>2.3696917172217409E-3</v>
      </c>
      <c r="U163" s="1" t="s">
        <v>356</v>
      </c>
      <c r="V163" s="2"/>
      <c r="W163" s="2"/>
      <c r="X163" s="6" t="s">
        <v>358</v>
      </c>
      <c r="Y163" s="1" t="s">
        <v>359</v>
      </c>
    </row>
    <row r="164" spans="16:25">
      <c r="P164" s="2" t="s">
        <v>572</v>
      </c>
      <c r="Q164" s="2"/>
      <c r="R164" s="2"/>
      <c r="S164" s="3">
        <v>287.10000000000002</v>
      </c>
      <c r="T164" s="11">
        <f t="shared" si="4"/>
        <v>2.3696917172217409E-3</v>
      </c>
      <c r="U164" s="1" t="s">
        <v>356</v>
      </c>
      <c r="V164" s="2"/>
      <c r="W164" s="2"/>
      <c r="X164" s="6" t="s">
        <v>358</v>
      </c>
      <c r="Y164" s="1" t="s">
        <v>359</v>
      </c>
    </row>
    <row r="165" spans="16:25">
      <c r="P165" s="2" t="s">
        <v>573</v>
      </c>
      <c r="Q165" s="2"/>
      <c r="R165" s="2"/>
      <c r="S165" s="3">
        <v>223.3</v>
      </c>
      <c r="T165" s="11">
        <f t="shared" si="4"/>
        <v>1.8430935578391317E-3</v>
      </c>
      <c r="U165" s="1" t="s">
        <v>356</v>
      </c>
      <c r="V165" s="2"/>
      <c r="W165" s="2"/>
      <c r="X165" s="6" t="s">
        <v>358</v>
      </c>
      <c r="Y165" s="1" t="s">
        <v>359</v>
      </c>
    </row>
    <row r="166" spans="16:25">
      <c r="P166" s="2" t="s">
        <v>574</v>
      </c>
      <c r="Q166" s="2"/>
      <c r="R166" s="2"/>
      <c r="S166" s="3">
        <v>223.3</v>
      </c>
      <c r="T166" s="11">
        <f t="shared" si="4"/>
        <v>1.8430935578391317E-3</v>
      </c>
      <c r="U166" s="1" t="s">
        <v>356</v>
      </c>
      <c r="V166" s="2"/>
      <c r="W166" s="2"/>
      <c r="X166" s="6" t="s">
        <v>358</v>
      </c>
      <c r="Y166" s="1" t="s">
        <v>359</v>
      </c>
    </row>
    <row r="167" spans="16:25">
      <c r="P167" s="2" t="s">
        <v>575</v>
      </c>
      <c r="Q167" s="2"/>
      <c r="R167" s="2"/>
      <c r="S167" s="3">
        <v>221.27</v>
      </c>
      <c r="T167" s="11">
        <f t="shared" si="4"/>
        <v>1.826338161858776E-3</v>
      </c>
      <c r="U167" s="1" t="s">
        <v>356</v>
      </c>
      <c r="V167" s="2"/>
      <c r="W167" s="2"/>
      <c r="X167" s="6" t="s">
        <v>358</v>
      </c>
      <c r="Y167" s="1" t="s">
        <v>359</v>
      </c>
    </row>
    <row r="168" spans="16:25">
      <c r="P168" s="2" t="s">
        <v>576</v>
      </c>
      <c r="Q168" s="2"/>
      <c r="R168" s="2"/>
      <c r="S168" s="3">
        <v>255.2</v>
      </c>
      <c r="T168" s="11">
        <f t="shared" si="4"/>
        <v>2.1063926375304363E-3</v>
      </c>
      <c r="U168" s="1" t="s">
        <v>356</v>
      </c>
      <c r="V168" s="2"/>
      <c r="W168" s="2"/>
      <c r="X168" s="6" t="s">
        <v>358</v>
      </c>
      <c r="Y168" s="1" t="s">
        <v>359</v>
      </c>
    </row>
    <row r="169" spans="16:25">
      <c r="P169" s="2" t="s">
        <v>577</v>
      </c>
      <c r="Q169" s="2"/>
      <c r="R169" s="2"/>
      <c r="S169" s="3">
        <v>223.3</v>
      </c>
      <c r="T169" s="11">
        <f t="shared" si="4"/>
        <v>1.8430935578391317E-3</v>
      </c>
      <c r="U169" s="1" t="s">
        <v>356</v>
      </c>
      <c r="V169" s="2"/>
      <c r="W169" s="2"/>
      <c r="X169" s="6" t="s">
        <v>358</v>
      </c>
      <c r="Y169" s="1" t="s">
        <v>359</v>
      </c>
    </row>
    <row r="170" spans="16:25">
      <c r="P170" s="2" t="s">
        <v>578</v>
      </c>
      <c r="Q170" s="2"/>
      <c r="R170" s="2"/>
      <c r="S170" s="3">
        <v>223.3</v>
      </c>
      <c r="T170" s="11">
        <f t="shared" si="4"/>
        <v>1.8430935578391317E-3</v>
      </c>
      <c r="U170" s="1" t="s">
        <v>356</v>
      </c>
      <c r="V170" s="2"/>
      <c r="W170" s="2"/>
      <c r="X170" s="6" t="s">
        <v>358</v>
      </c>
      <c r="Y170" s="1" t="s">
        <v>359</v>
      </c>
    </row>
    <row r="171" spans="16:25">
      <c r="P171" s="2" t="s">
        <v>579</v>
      </c>
      <c r="Q171" s="2"/>
      <c r="R171" s="2"/>
      <c r="S171" s="3">
        <v>255.2</v>
      </c>
      <c r="T171" s="11">
        <f t="shared" si="4"/>
        <v>2.1063926375304363E-3</v>
      </c>
      <c r="U171" s="1" t="s">
        <v>356</v>
      </c>
      <c r="V171" s="2"/>
      <c r="W171" s="2"/>
      <c r="X171" s="6" t="s">
        <v>358</v>
      </c>
      <c r="Y171" s="1" t="s">
        <v>359</v>
      </c>
    </row>
    <row r="172" spans="16:25">
      <c r="P172" s="2" t="s">
        <v>580</v>
      </c>
      <c r="Q172" s="2"/>
      <c r="R172" s="2"/>
      <c r="S172" s="3">
        <v>223.3</v>
      </c>
      <c r="T172" s="11">
        <f t="shared" si="4"/>
        <v>1.8430935578391317E-3</v>
      </c>
      <c r="U172" s="1" t="s">
        <v>356</v>
      </c>
      <c r="V172" s="2"/>
      <c r="W172" s="2"/>
      <c r="X172" s="6" t="s">
        <v>358</v>
      </c>
      <c r="Y172" s="1" t="s">
        <v>359</v>
      </c>
    </row>
    <row r="173" spans="16:25">
      <c r="P173" s="2" t="s">
        <v>581</v>
      </c>
      <c r="Q173" s="2"/>
      <c r="R173" s="2"/>
      <c r="S173" s="3">
        <v>287.10000000000002</v>
      </c>
      <c r="T173" s="11">
        <f t="shared" si="4"/>
        <v>2.3696917172217409E-3</v>
      </c>
      <c r="U173" s="1" t="s">
        <v>356</v>
      </c>
      <c r="V173" s="2"/>
      <c r="W173" s="2"/>
      <c r="X173" s="6" t="s">
        <v>358</v>
      </c>
      <c r="Y173" s="1" t="s">
        <v>359</v>
      </c>
    </row>
    <row r="174" spans="16:25">
      <c r="P174" s="2" t="s">
        <v>582</v>
      </c>
      <c r="Q174" s="2"/>
      <c r="R174" s="2"/>
      <c r="S174" s="3">
        <v>287.10000000000002</v>
      </c>
      <c r="T174" s="11">
        <f t="shared" si="4"/>
        <v>2.3696917172217409E-3</v>
      </c>
      <c r="U174" s="1" t="s">
        <v>356</v>
      </c>
      <c r="V174" s="2"/>
      <c r="W174" s="2"/>
      <c r="X174" s="6" t="s">
        <v>358</v>
      </c>
      <c r="Y174" s="1" t="s">
        <v>359</v>
      </c>
    </row>
    <row r="175" spans="16:25">
      <c r="P175" s="2" t="s">
        <v>583</v>
      </c>
      <c r="Q175" s="2"/>
      <c r="R175" s="2"/>
      <c r="S175" s="3">
        <v>221.7</v>
      </c>
      <c r="T175" s="11">
        <f t="shared" si="4"/>
        <v>1.8298873344063389E-3</v>
      </c>
      <c r="U175" s="1" t="s">
        <v>356</v>
      </c>
      <c r="V175" s="2"/>
      <c r="W175" s="2"/>
      <c r="X175" s="6" t="s">
        <v>358</v>
      </c>
      <c r="Y175" s="1" t="s">
        <v>359</v>
      </c>
    </row>
    <row r="176" spans="16:25">
      <c r="P176" s="2" t="s">
        <v>584</v>
      </c>
      <c r="Q176" s="2"/>
      <c r="R176" s="2"/>
      <c r="S176" s="3">
        <v>287.10000000000002</v>
      </c>
      <c r="T176" s="11">
        <f t="shared" si="4"/>
        <v>2.3696917172217409E-3</v>
      </c>
      <c r="U176" s="1" t="s">
        <v>356</v>
      </c>
      <c r="V176" s="2"/>
      <c r="W176" s="2"/>
      <c r="X176" s="6" t="s">
        <v>358</v>
      </c>
      <c r="Y176" s="1" t="s">
        <v>359</v>
      </c>
    </row>
    <row r="177" spans="16:25">
      <c r="P177" s="2" t="s">
        <v>585</v>
      </c>
      <c r="Q177" s="2"/>
      <c r="R177" s="2"/>
      <c r="S177" s="3">
        <v>287.10000000000002</v>
      </c>
      <c r="T177" s="11">
        <f t="shared" si="4"/>
        <v>2.3696917172217409E-3</v>
      </c>
      <c r="U177" s="1" t="s">
        <v>356</v>
      </c>
      <c r="V177" s="2"/>
      <c r="W177" s="2"/>
      <c r="X177" s="6" t="s">
        <v>358</v>
      </c>
      <c r="Y177" s="1" t="s">
        <v>359</v>
      </c>
    </row>
    <row r="178" spans="16:25">
      <c r="P178" s="2" t="s">
        <v>586</v>
      </c>
      <c r="Q178" s="2"/>
      <c r="R178" s="2"/>
      <c r="S178" s="3">
        <v>271.14999999999998</v>
      </c>
      <c r="T178" s="11">
        <f t="shared" si="4"/>
        <v>2.2380421773760882E-3</v>
      </c>
      <c r="U178" s="1" t="s">
        <v>356</v>
      </c>
      <c r="V178" s="2"/>
      <c r="W178" s="2"/>
      <c r="X178" s="6" t="s">
        <v>358</v>
      </c>
      <c r="Y178" s="1" t="s">
        <v>359</v>
      </c>
    </row>
    <row r="179" spans="16:25">
      <c r="P179" s="2" t="s">
        <v>587</v>
      </c>
      <c r="Q179" s="2"/>
      <c r="R179" s="2"/>
      <c r="S179" s="3">
        <v>252.88</v>
      </c>
      <c r="T179" s="11">
        <f t="shared" si="4"/>
        <v>2.0872436135528868E-3</v>
      </c>
      <c r="U179" s="1" t="s">
        <v>356</v>
      </c>
      <c r="V179" s="2"/>
      <c r="W179" s="2"/>
      <c r="X179" s="6" t="s">
        <v>358</v>
      </c>
      <c r="Y179" s="1" t="s">
        <v>359</v>
      </c>
    </row>
    <row r="180" spans="16:25">
      <c r="P180" s="2" t="s">
        <v>588</v>
      </c>
      <c r="Q180" s="2"/>
      <c r="R180" s="2"/>
      <c r="S180" s="3">
        <v>287.10000000000002</v>
      </c>
      <c r="T180" s="11">
        <f t="shared" si="4"/>
        <v>2.3696917172217409E-3</v>
      </c>
      <c r="U180" s="1" t="s">
        <v>356</v>
      </c>
      <c r="V180" s="2"/>
      <c r="W180" s="2"/>
      <c r="X180" s="6" t="s">
        <v>358</v>
      </c>
      <c r="Y180" s="1" t="s">
        <v>359</v>
      </c>
    </row>
    <row r="181" spans="16:25">
      <c r="P181" s="2" t="s">
        <v>589</v>
      </c>
      <c r="Q181" s="2"/>
      <c r="R181" s="2"/>
      <c r="S181" s="3">
        <v>255.2</v>
      </c>
      <c r="T181" s="11">
        <f t="shared" si="4"/>
        <v>2.1063926375304363E-3</v>
      </c>
      <c r="U181" s="1" t="s">
        <v>356</v>
      </c>
      <c r="V181" s="2"/>
      <c r="W181" s="2"/>
      <c r="X181" s="6" t="s">
        <v>358</v>
      </c>
      <c r="Y181" s="1" t="s">
        <v>359</v>
      </c>
    </row>
    <row r="182" spans="16:25">
      <c r="P182" s="2" t="s">
        <v>590</v>
      </c>
      <c r="Q182" s="2"/>
      <c r="R182" s="2"/>
      <c r="S182" s="3">
        <v>287.10000000000002</v>
      </c>
      <c r="T182" s="11">
        <f t="shared" si="4"/>
        <v>2.3696917172217409E-3</v>
      </c>
      <c r="U182" s="1" t="s">
        <v>356</v>
      </c>
      <c r="V182" s="2"/>
      <c r="W182" s="2"/>
      <c r="X182" s="6" t="s">
        <v>358</v>
      </c>
      <c r="Y182" s="1" t="s">
        <v>359</v>
      </c>
    </row>
    <row r="183" spans="16:25">
      <c r="P183" s="2" t="s">
        <v>591</v>
      </c>
      <c r="Q183" s="2"/>
      <c r="R183" s="2"/>
      <c r="S183" s="3">
        <v>223.3</v>
      </c>
      <c r="T183" s="11">
        <f t="shared" si="4"/>
        <v>1.8430935578391317E-3</v>
      </c>
      <c r="U183" s="1" t="s">
        <v>356</v>
      </c>
      <c r="V183" s="2"/>
      <c r="W183" s="2"/>
      <c r="X183" s="6" t="s">
        <v>358</v>
      </c>
      <c r="Y183" s="1" t="s">
        <v>359</v>
      </c>
    </row>
    <row r="184" spans="16:25">
      <c r="P184" s="2" t="s">
        <v>592</v>
      </c>
      <c r="Q184" s="2"/>
      <c r="R184" s="2"/>
      <c r="S184" s="3">
        <v>252.88</v>
      </c>
      <c r="T184" s="11">
        <f t="shared" si="4"/>
        <v>2.0872436135528868E-3</v>
      </c>
      <c r="U184" s="1" t="s">
        <v>356</v>
      </c>
      <c r="V184" s="2"/>
      <c r="W184" s="2"/>
      <c r="X184" s="6" t="s">
        <v>358</v>
      </c>
      <c r="Y184" s="1" t="s">
        <v>359</v>
      </c>
    </row>
    <row r="185" spans="16:25">
      <c r="P185" s="2" t="s">
        <v>593</v>
      </c>
      <c r="Q185" s="2"/>
      <c r="R185" s="2"/>
      <c r="S185" s="3">
        <v>223.3</v>
      </c>
      <c r="T185" s="11">
        <f t="shared" si="4"/>
        <v>1.8430935578391317E-3</v>
      </c>
      <c r="U185" s="1" t="s">
        <v>356</v>
      </c>
      <c r="V185" s="2"/>
      <c r="W185" s="2"/>
      <c r="X185" s="6" t="s">
        <v>358</v>
      </c>
      <c r="Y185" s="1" t="s">
        <v>359</v>
      </c>
    </row>
    <row r="186" spans="16:25">
      <c r="P186" s="2" t="s">
        <v>594</v>
      </c>
      <c r="Q186" s="2"/>
      <c r="R186" s="2"/>
      <c r="S186" s="3">
        <v>158.05000000000001</v>
      </c>
      <c r="T186" s="11">
        <f t="shared" si="4"/>
        <v>1.3045272584705544E-3</v>
      </c>
      <c r="U186" s="1" t="s">
        <v>356</v>
      </c>
      <c r="V186" s="2"/>
      <c r="W186" s="2"/>
      <c r="X186" s="6" t="s">
        <v>358</v>
      </c>
      <c r="Y186" s="1" t="s">
        <v>359</v>
      </c>
    </row>
    <row r="187" spans="16:25">
      <c r="P187" s="2" t="s">
        <v>595</v>
      </c>
      <c r="Q187" s="2"/>
      <c r="R187" s="2"/>
      <c r="S187" s="3">
        <v>252.88</v>
      </c>
      <c r="T187" s="11">
        <f t="shared" si="4"/>
        <v>2.0872436135528868E-3</v>
      </c>
      <c r="U187" s="1" t="s">
        <v>356</v>
      </c>
      <c r="V187" s="2"/>
      <c r="W187" s="2"/>
      <c r="X187" s="6" t="s">
        <v>358</v>
      </c>
      <c r="Y187" s="1" t="s">
        <v>359</v>
      </c>
    </row>
    <row r="188" spans="16:25">
      <c r="P188" s="2" t="s">
        <v>596</v>
      </c>
      <c r="Q188" s="2"/>
      <c r="R188" s="2"/>
      <c r="S188" s="3">
        <v>252.88</v>
      </c>
      <c r="T188" s="11">
        <f t="shared" si="4"/>
        <v>2.0872436135528868E-3</v>
      </c>
      <c r="U188" s="1" t="s">
        <v>356</v>
      </c>
      <c r="V188" s="2"/>
      <c r="W188" s="2"/>
      <c r="X188" s="6" t="s">
        <v>358</v>
      </c>
      <c r="Y188" s="1" t="s">
        <v>359</v>
      </c>
    </row>
    <row r="189" spans="16:25">
      <c r="P189" s="2" t="s">
        <v>597</v>
      </c>
      <c r="Q189" s="2"/>
      <c r="R189" s="2"/>
      <c r="S189" s="3">
        <v>221.27</v>
      </c>
      <c r="T189" s="11">
        <f t="shared" si="4"/>
        <v>1.826338161858776E-3</v>
      </c>
      <c r="U189" s="1" t="s">
        <v>356</v>
      </c>
      <c r="V189" s="2"/>
      <c r="W189" s="2"/>
      <c r="X189" s="6" t="s">
        <v>358</v>
      </c>
      <c r="Y189" s="1" t="s">
        <v>359</v>
      </c>
    </row>
    <row r="190" spans="16:25">
      <c r="P190" s="2" t="s">
        <v>598</v>
      </c>
      <c r="Q190" s="2"/>
      <c r="R190" s="2"/>
      <c r="S190" s="3">
        <v>252.88</v>
      </c>
      <c r="T190" s="11">
        <f t="shared" si="4"/>
        <v>2.0872436135528868E-3</v>
      </c>
      <c r="U190" s="1" t="s">
        <v>356</v>
      </c>
      <c r="V190" s="2"/>
      <c r="W190" s="2"/>
      <c r="X190" s="6" t="s">
        <v>358</v>
      </c>
      <c r="Y190" s="1" t="s">
        <v>359</v>
      </c>
    </row>
    <row r="191" spans="16:25">
      <c r="P191" s="2" t="s">
        <v>599</v>
      </c>
      <c r="Q191" s="2"/>
      <c r="R191" s="2"/>
      <c r="S191" s="3">
        <v>252.88</v>
      </c>
      <c r="T191" s="11">
        <f t="shared" si="4"/>
        <v>2.0872436135528868E-3</v>
      </c>
      <c r="U191" s="1" t="s">
        <v>356</v>
      </c>
      <c r="V191" s="2"/>
      <c r="W191" s="2"/>
      <c r="X191" s="6" t="s">
        <v>358</v>
      </c>
      <c r="Y191" s="1" t="s">
        <v>359</v>
      </c>
    </row>
    <row r="192" spans="16:25">
      <c r="P192" s="2" t="s">
        <v>600</v>
      </c>
      <c r="Q192" s="2"/>
      <c r="R192" s="2"/>
      <c r="S192" s="3">
        <v>221.27</v>
      </c>
      <c r="T192" s="11">
        <f t="shared" si="4"/>
        <v>1.826338161858776E-3</v>
      </c>
      <c r="U192" s="1" t="s">
        <v>356</v>
      </c>
      <c r="V192" s="2"/>
      <c r="W192" s="2"/>
      <c r="X192" s="6" t="s">
        <v>358</v>
      </c>
      <c r="Y192" s="1" t="s">
        <v>359</v>
      </c>
    </row>
    <row r="193" spans="16:25">
      <c r="P193" s="2" t="s">
        <v>601</v>
      </c>
      <c r="Q193" s="2"/>
      <c r="R193" s="2"/>
      <c r="S193" s="3">
        <v>221.27</v>
      </c>
      <c r="T193" s="11">
        <f t="shared" si="4"/>
        <v>1.826338161858776E-3</v>
      </c>
      <c r="U193" s="1" t="s">
        <v>356</v>
      </c>
      <c r="V193" s="2"/>
      <c r="W193" s="2"/>
      <c r="X193" s="6" t="s">
        <v>358</v>
      </c>
      <c r="Y193" s="1" t="s">
        <v>359</v>
      </c>
    </row>
    <row r="194" spans="16:25">
      <c r="P194" s="2" t="s">
        <v>602</v>
      </c>
      <c r="Q194" s="2"/>
      <c r="R194" s="2"/>
      <c r="S194" s="3">
        <v>252.88</v>
      </c>
      <c r="T194" s="11">
        <f t="shared" si="4"/>
        <v>2.0872436135528868E-3</v>
      </c>
      <c r="U194" s="1" t="s">
        <v>356</v>
      </c>
      <c r="V194" s="2"/>
      <c r="W194" s="2"/>
      <c r="X194" s="6" t="s">
        <v>358</v>
      </c>
      <c r="Y194" s="1" t="s">
        <v>359</v>
      </c>
    </row>
    <row r="195" spans="16:25">
      <c r="P195" s="2" t="s">
        <v>603</v>
      </c>
      <c r="Q195" s="2"/>
      <c r="R195" s="2"/>
      <c r="S195" s="3">
        <v>221.17</v>
      </c>
      <c r="T195" s="11">
        <f t="shared" si="4"/>
        <v>1.8255127728942263E-3</v>
      </c>
      <c r="U195" s="1" t="s">
        <v>356</v>
      </c>
      <c r="V195" s="2"/>
      <c r="W195" s="2"/>
      <c r="X195" s="6" t="s">
        <v>358</v>
      </c>
      <c r="Y195" s="1" t="s">
        <v>359</v>
      </c>
    </row>
    <row r="196" spans="16:25">
      <c r="P196" s="2" t="s">
        <v>604</v>
      </c>
      <c r="Q196" s="2"/>
      <c r="R196" s="2"/>
      <c r="S196" s="3">
        <v>252.88</v>
      </c>
      <c r="T196" s="11">
        <f t="shared" si="4"/>
        <v>2.0872436135528868E-3</v>
      </c>
      <c r="U196" s="1" t="s">
        <v>356</v>
      </c>
      <c r="V196" s="2"/>
      <c r="W196" s="2"/>
      <c r="X196" s="6" t="s">
        <v>358</v>
      </c>
      <c r="Y196" s="1" t="s">
        <v>359</v>
      </c>
    </row>
    <row r="197" spans="16:25">
      <c r="P197" s="2" t="s">
        <v>605</v>
      </c>
      <c r="Q197" s="2"/>
      <c r="R197" s="2"/>
      <c r="S197" s="3">
        <v>252.88</v>
      </c>
      <c r="T197" s="11">
        <f t="shared" si="4"/>
        <v>2.0872436135528868E-3</v>
      </c>
      <c r="U197" s="1" t="s">
        <v>356</v>
      </c>
      <c r="V197" s="2"/>
      <c r="W197" s="2"/>
      <c r="X197" s="6" t="s">
        <v>358</v>
      </c>
      <c r="Y197" s="1" t="s">
        <v>359</v>
      </c>
    </row>
    <row r="198" spans="16:25">
      <c r="P198" s="2" t="s">
        <v>606</v>
      </c>
      <c r="Q198" s="2"/>
      <c r="R198" s="2"/>
      <c r="S198" s="3">
        <v>252.88</v>
      </c>
      <c r="T198" s="11">
        <f t="shared" si="4"/>
        <v>2.0872436135528868E-3</v>
      </c>
      <c r="U198" s="1" t="s">
        <v>356</v>
      </c>
      <c r="V198" s="2"/>
      <c r="W198" s="2"/>
      <c r="X198" s="6" t="s">
        <v>358</v>
      </c>
      <c r="Y198" s="1" t="s">
        <v>359</v>
      </c>
    </row>
    <row r="199" spans="16:25">
      <c r="P199" s="2" t="s">
        <v>607</v>
      </c>
      <c r="Q199" s="2"/>
      <c r="R199" s="2"/>
      <c r="S199" s="3">
        <v>287.10000000000002</v>
      </c>
      <c r="T199" s="11">
        <f t="shared" si="4"/>
        <v>2.3696917172217409E-3</v>
      </c>
      <c r="U199" s="1" t="s">
        <v>356</v>
      </c>
      <c r="V199" s="2"/>
      <c r="W199" s="2"/>
      <c r="X199" s="6" t="s">
        <v>358</v>
      </c>
      <c r="Y199" s="1" t="s">
        <v>359</v>
      </c>
    </row>
    <row r="200" spans="16:25">
      <c r="P200" s="2" t="s">
        <v>608</v>
      </c>
      <c r="Q200" s="2"/>
      <c r="R200" s="2"/>
      <c r="S200" s="3">
        <v>287.10000000000002</v>
      </c>
      <c r="T200" s="11">
        <f t="shared" si="4"/>
        <v>2.3696917172217409E-3</v>
      </c>
      <c r="U200" s="1" t="s">
        <v>356</v>
      </c>
      <c r="V200" s="2"/>
      <c r="W200" s="2"/>
      <c r="X200" s="6" t="s">
        <v>358</v>
      </c>
      <c r="Y200" s="1" t="s">
        <v>359</v>
      </c>
    </row>
    <row r="201" spans="16:25">
      <c r="P201" s="2" t="s">
        <v>609</v>
      </c>
      <c r="Q201" s="2"/>
      <c r="R201" s="2"/>
      <c r="S201" s="3">
        <v>287.10000000000002</v>
      </c>
      <c r="T201" s="11">
        <f t="shared" si="4"/>
        <v>2.3696917172217409E-3</v>
      </c>
      <c r="U201" s="1" t="s">
        <v>356</v>
      </c>
      <c r="V201" s="2"/>
      <c r="W201" s="2"/>
      <c r="X201" s="6" t="s">
        <v>358</v>
      </c>
      <c r="Y201" s="1" t="s">
        <v>359</v>
      </c>
    </row>
    <row r="202" spans="16:25">
      <c r="P202" s="2" t="s">
        <v>610</v>
      </c>
      <c r="Q202" s="2"/>
      <c r="R202" s="2"/>
      <c r="S202" s="3">
        <v>223.3</v>
      </c>
      <c r="T202" s="11">
        <f t="shared" si="4"/>
        <v>1.8430935578391317E-3</v>
      </c>
      <c r="U202" s="1" t="s">
        <v>356</v>
      </c>
      <c r="V202" s="2"/>
      <c r="W202" s="2"/>
      <c r="X202" s="6" t="s">
        <v>358</v>
      </c>
      <c r="Y202" s="1" t="s">
        <v>359</v>
      </c>
    </row>
    <row r="203" spans="16:25">
      <c r="P203" s="2" t="s">
        <v>611</v>
      </c>
      <c r="Q203" s="2"/>
      <c r="R203" s="2"/>
      <c r="S203" s="3">
        <v>286</v>
      </c>
      <c r="T203" s="11">
        <f t="shared" si="4"/>
        <v>2.3606124386116958E-3</v>
      </c>
      <c r="U203" s="1" t="s">
        <v>356</v>
      </c>
      <c r="V203" s="2"/>
      <c r="W203" s="2"/>
      <c r="X203" s="6" t="s">
        <v>358</v>
      </c>
      <c r="Y203" s="1" t="s">
        <v>359</v>
      </c>
    </row>
    <row r="204" spans="16:25">
      <c r="P204" s="2" t="s">
        <v>612</v>
      </c>
      <c r="Q204" s="2"/>
      <c r="R204" s="2"/>
      <c r="S204" s="3">
        <v>287.10000000000002</v>
      </c>
      <c r="T204" s="11">
        <f t="shared" si="4"/>
        <v>2.3696917172217409E-3</v>
      </c>
      <c r="U204" s="1" t="s">
        <v>356</v>
      </c>
      <c r="V204" s="2"/>
      <c r="W204" s="2"/>
      <c r="X204" s="6" t="s">
        <v>358</v>
      </c>
      <c r="Y204" s="1" t="s">
        <v>359</v>
      </c>
    </row>
    <row r="205" spans="16:25">
      <c r="P205" s="2" t="s">
        <v>613</v>
      </c>
      <c r="Q205" s="2"/>
      <c r="R205" s="2"/>
      <c r="S205" s="3">
        <v>223.3</v>
      </c>
      <c r="T205" s="11">
        <f t="shared" si="4"/>
        <v>1.8430935578391317E-3</v>
      </c>
      <c r="U205" s="1" t="s">
        <v>356</v>
      </c>
      <c r="V205" s="2"/>
      <c r="W205" s="2"/>
      <c r="X205" s="6" t="s">
        <v>358</v>
      </c>
      <c r="Y205" s="1" t="s">
        <v>359</v>
      </c>
    </row>
    <row r="206" spans="16:25">
      <c r="P206" s="2" t="s">
        <v>614</v>
      </c>
      <c r="Q206" s="2"/>
      <c r="R206" s="2"/>
      <c r="S206" s="3">
        <v>223.3</v>
      </c>
      <c r="T206" s="11">
        <f t="shared" si="4"/>
        <v>1.8430935578391317E-3</v>
      </c>
      <c r="U206" s="1" t="s">
        <v>356</v>
      </c>
      <c r="V206" s="2"/>
      <c r="W206" s="2"/>
      <c r="X206" s="6" t="s">
        <v>358</v>
      </c>
      <c r="Y206" s="1" t="s">
        <v>359</v>
      </c>
    </row>
    <row r="207" spans="16:25">
      <c r="P207" s="2" t="s">
        <v>615</v>
      </c>
      <c r="Q207" s="2"/>
      <c r="R207" s="2"/>
      <c r="S207" s="3">
        <v>287.10000000000002</v>
      </c>
      <c r="T207" s="11">
        <f t="shared" si="4"/>
        <v>2.3696917172217409E-3</v>
      </c>
      <c r="U207" s="1" t="s">
        <v>356</v>
      </c>
      <c r="V207" s="2"/>
      <c r="W207" s="2"/>
      <c r="X207" s="6" t="s">
        <v>358</v>
      </c>
      <c r="Y207" s="1" t="s">
        <v>359</v>
      </c>
    </row>
    <row r="208" spans="16:25">
      <c r="P208" s="2" t="s">
        <v>616</v>
      </c>
      <c r="Q208" s="2"/>
      <c r="R208" s="2"/>
      <c r="S208" s="3">
        <v>255.2</v>
      </c>
      <c r="T208" s="11">
        <f t="shared" si="4"/>
        <v>2.1063926375304363E-3</v>
      </c>
      <c r="U208" s="1" t="s">
        <v>356</v>
      </c>
      <c r="V208" s="2"/>
      <c r="W208" s="2"/>
      <c r="X208" s="6" t="s">
        <v>358</v>
      </c>
      <c r="Y208" s="1" t="s">
        <v>359</v>
      </c>
    </row>
    <row r="209" spans="16:25">
      <c r="P209" s="2" t="s">
        <v>617</v>
      </c>
      <c r="Q209" s="2"/>
      <c r="R209" s="2"/>
      <c r="S209" s="3">
        <v>255.2</v>
      </c>
      <c r="T209" s="11">
        <f t="shared" si="4"/>
        <v>2.1063926375304363E-3</v>
      </c>
      <c r="U209" s="1" t="s">
        <v>356</v>
      </c>
      <c r="V209" s="2"/>
      <c r="W209" s="2"/>
      <c r="X209" s="6" t="s">
        <v>358</v>
      </c>
      <c r="Y209" s="1" t="s">
        <v>359</v>
      </c>
    </row>
    <row r="210" spans="16:25">
      <c r="P210" s="2" t="s">
        <v>618</v>
      </c>
      <c r="Q210" s="2"/>
      <c r="R210" s="2"/>
      <c r="S210" s="3">
        <v>284.49</v>
      </c>
      <c r="T210" s="11">
        <f t="shared" si="4"/>
        <v>2.3481490652469978E-3</v>
      </c>
      <c r="U210" s="1" t="s">
        <v>356</v>
      </c>
      <c r="V210" s="2"/>
      <c r="W210" s="2"/>
      <c r="X210" s="6" t="s">
        <v>358</v>
      </c>
      <c r="Y210" s="1" t="s">
        <v>359</v>
      </c>
    </row>
    <row r="211" spans="16:25">
      <c r="P211" s="2" t="s">
        <v>619</v>
      </c>
      <c r="Q211" s="2"/>
      <c r="R211" s="2"/>
      <c r="S211" s="3">
        <v>284.49</v>
      </c>
      <c r="T211" s="11">
        <f t="shared" si="4"/>
        <v>2.3481490652469978E-3</v>
      </c>
      <c r="U211" s="1" t="s">
        <v>356</v>
      </c>
      <c r="V211" s="2"/>
      <c r="W211" s="2"/>
      <c r="X211" s="6" t="s">
        <v>358</v>
      </c>
      <c r="Y211" s="1" t="s">
        <v>359</v>
      </c>
    </row>
    <row r="212" spans="16:25">
      <c r="P212" s="2" t="s">
        <v>620</v>
      </c>
      <c r="Q212" s="2"/>
      <c r="R212" s="2"/>
      <c r="S212" s="3">
        <v>189.66</v>
      </c>
      <c r="T212" s="11">
        <f t="shared" si="4"/>
        <v>1.565432710164665E-3</v>
      </c>
      <c r="U212" s="1" t="s">
        <v>356</v>
      </c>
      <c r="V212" s="2"/>
      <c r="W212" s="2"/>
      <c r="X212" s="6" t="s">
        <v>358</v>
      </c>
      <c r="Y212" s="1" t="s">
        <v>359</v>
      </c>
    </row>
    <row r="213" spans="16:25">
      <c r="P213" s="2" t="s">
        <v>621</v>
      </c>
      <c r="Q213" s="2"/>
      <c r="R213" s="2"/>
      <c r="S213" s="3">
        <v>205.465</v>
      </c>
      <c r="T213" s="11">
        <f t="shared" si="4"/>
        <v>1.6958854360117205E-3</v>
      </c>
      <c r="U213" s="1" t="s">
        <v>356</v>
      </c>
      <c r="V213" s="2"/>
      <c r="W213" s="2"/>
      <c r="X213" s="6" t="s">
        <v>358</v>
      </c>
      <c r="Y213" s="1" t="s">
        <v>359</v>
      </c>
    </row>
    <row r="214" spans="16:25">
      <c r="P214" s="2" t="s">
        <v>622</v>
      </c>
      <c r="Q214" s="2"/>
      <c r="R214" s="2"/>
      <c r="S214" s="3">
        <v>0</v>
      </c>
      <c r="T214" s="11">
        <f t="shared" si="4"/>
        <v>0</v>
      </c>
      <c r="U214" s="1" t="s">
        <v>356</v>
      </c>
      <c r="V214" s="2"/>
      <c r="W214" s="2"/>
      <c r="X214" s="6" t="s">
        <v>358</v>
      </c>
      <c r="Y214" s="1" t="s">
        <v>359</v>
      </c>
    </row>
    <row r="215" spans="16:25">
      <c r="P215" s="2" t="s">
        <v>623</v>
      </c>
      <c r="Q215" s="2"/>
      <c r="R215" s="2"/>
      <c r="S215" s="3">
        <v>0</v>
      </c>
      <c r="T215" s="11">
        <f t="shared" si="4"/>
        <v>0</v>
      </c>
      <c r="U215" s="1" t="s">
        <v>356</v>
      </c>
      <c r="V215" s="2"/>
      <c r="W215" s="2"/>
      <c r="X215" s="6" t="s">
        <v>358</v>
      </c>
      <c r="Y215" s="1" t="s">
        <v>359</v>
      </c>
    </row>
    <row r="216" spans="16:25">
      <c r="P216" s="2" t="s">
        <v>624</v>
      </c>
      <c r="Q216" s="2"/>
      <c r="R216" s="2"/>
      <c r="S216" s="3">
        <v>0</v>
      </c>
      <c r="T216" s="11">
        <f t="shared" si="4"/>
        <v>0</v>
      </c>
      <c r="U216" s="1" t="s">
        <v>356</v>
      </c>
      <c r="V216" s="2"/>
      <c r="W216" s="2"/>
      <c r="X216" s="6" t="s">
        <v>358</v>
      </c>
      <c r="Y216" s="1" t="s">
        <v>359</v>
      </c>
    </row>
    <row r="217" spans="16:25">
      <c r="P217" s="2" t="s">
        <v>625</v>
      </c>
      <c r="Q217" s="2"/>
      <c r="R217" s="2"/>
      <c r="S217" s="3">
        <v>252.88</v>
      </c>
      <c r="T217" s="11">
        <f t="shared" si="4"/>
        <v>2.0872436135528868E-3</v>
      </c>
      <c r="U217" s="1" t="s">
        <v>356</v>
      </c>
      <c r="V217" s="2"/>
      <c r="W217" s="2"/>
      <c r="X217" s="6" t="s">
        <v>358</v>
      </c>
      <c r="Y217" s="1" t="s">
        <v>359</v>
      </c>
    </row>
    <row r="218" spans="16:25">
      <c r="P218" s="2" t="s">
        <v>626</v>
      </c>
      <c r="Q218" s="2"/>
      <c r="R218" s="2"/>
      <c r="S218" s="3">
        <v>221.27</v>
      </c>
      <c r="T218" s="11">
        <f t="shared" si="4"/>
        <v>1.826338161858776E-3</v>
      </c>
      <c r="U218" s="1" t="s">
        <v>356</v>
      </c>
      <c r="V218" s="2"/>
      <c r="W218" s="2"/>
      <c r="X218" s="6" t="s">
        <v>358</v>
      </c>
      <c r="Y218" s="1" t="s">
        <v>359</v>
      </c>
    </row>
    <row r="219" spans="16:25">
      <c r="P219" s="2" t="s">
        <v>627</v>
      </c>
      <c r="Q219" s="2"/>
      <c r="R219" s="2"/>
      <c r="S219" s="3">
        <v>252.88</v>
      </c>
      <c r="T219" s="11">
        <f t="shared" si="4"/>
        <v>2.0872436135528868E-3</v>
      </c>
      <c r="U219" s="1" t="s">
        <v>356</v>
      </c>
      <c r="V219" s="2"/>
      <c r="W219" s="2"/>
      <c r="X219" s="6" t="s">
        <v>358</v>
      </c>
      <c r="Y219" s="1" t="s">
        <v>359</v>
      </c>
    </row>
    <row r="220" spans="16:25">
      <c r="P220" s="2" t="s">
        <v>628</v>
      </c>
      <c r="Q220" s="2"/>
      <c r="R220" s="2"/>
      <c r="S220" s="3">
        <v>252.88</v>
      </c>
      <c r="T220" s="11">
        <f t="shared" si="4"/>
        <v>2.0872436135528868E-3</v>
      </c>
      <c r="U220" s="1" t="s">
        <v>356</v>
      </c>
      <c r="V220" s="2"/>
      <c r="W220" s="2"/>
      <c r="X220" s="6" t="s">
        <v>358</v>
      </c>
      <c r="Y220" s="1" t="s">
        <v>359</v>
      </c>
    </row>
    <row r="221" spans="16:25">
      <c r="P221" s="2" t="s">
        <v>629</v>
      </c>
      <c r="Q221" s="2"/>
      <c r="R221" s="2"/>
      <c r="S221" s="3">
        <v>221.27</v>
      </c>
      <c r="T221" s="11">
        <f t="shared" si="4"/>
        <v>1.826338161858776E-3</v>
      </c>
      <c r="U221" s="1" t="s">
        <v>356</v>
      </c>
      <c r="V221" s="2"/>
      <c r="W221" s="2"/>
      <c r="X221" s="6" t="s">
        <v>358</v>
      </c>
      <c r="Y221" s="1" t="s">
        <v>359</v>
      </c>
    </row>
    <row r="222" spans="16:25">
      <c r="P222" s="2" t="s">
        <v>630</v>
      </c>
      <c r="Q222" s="2"/>
      <c r="R222" s="2"/>
      <c r="S222" s="3">
        <v>221.27</v>
      </c>
      <c r="T222" s="11">
        <f t="shared" ref="T222:T285" si="5">S222/$B$2</f>
        <v>1.826338161858776E-3</v>
      </c>
      <c r="U222" s="1" t="s">
        <v>356</v>
      </c>
      <c r="V222" s="2"/>
      <c r="W222" s="2"/>
      <c r="X222" s="6" t="s">
        <v>358</v>
      </c>
      <c r="Y222" s="1" t="s">
        <v>359</v>
      </c>
    </row>
    <row r="223" spans="16:25">
      <c r="P223" s="2" t="s">
        <v>631</v>
      </c>
      <c r="Q223" s="2"/>
      <c r="R223" s="2"/>
      <c r="S223" s="3">
        <v>252.88</v>
      </c>
      <c r="T223" s="11">
        <f t="shared" si="5"/>
        <v>2.0872436135528868E-3</v>
      </c>
      <c r="U223" s="1" t="s">
        <v>356</v>
      </c>
      <c r="V223" s="2"/>
      <c r="W223" s="2"/>
      <c r="X223" s="6" t="s">
        <v>358</v>
      </c>
      <c r="Y223" s="1" t="s">
        <v>359</v>
      </c>
    </row>
    <row r="224" spans="16:25">
      <c r="P224" s="2" t="s">
        <v>632</v>
      </c>
      <c r="Q224" s="2"/>
      <c r="R224" s="2"/>
      <c r="S224" s="3">
        <v>252.88</v>
      </c>
      <c r="T224" s="11">
        <f t="shared" si="5"/>
        <v>2.0872436135528868E-3</v>
      </c>
      <c r="U224" s="1" t="s">
        <v>356</v>
      </c>
      <c r="V224" s="2"/>
      <c r="W224" s="2"/>
      <c r="X224" s="6" t="s">
        <v>358</v>
      </c>
      <c r="Y224" s="1" t="s">
        <v>359</v>
      </c>
    </row>
    <row r="225" spans="16:25">
      <c r="P225" s="2" t="s">
        <v>633</v>
      </c>
      <c r="Q225" s="2"/>
      <c r="R225" s="2"/>
      <c r="S225" s="3">
        <v>252.88</v>
      </c>
      <c r="T225" s="11">
        <f t="shared" si="5"/>
        <v>2.0872436135528868E-3</v>
      </c>
      <c r="U225" s="1" t="s">
        <v>356</v>
      </c>
      <c r="V225" s="2"/>
      <c r="W225" s="2"/>
      <c r="X225" s="6" t="s">
        <v>358</v>
      </c>
      <c r="Y225" s="1" t="s">
        <v>359</v>
      </c>
    </row>
    <row r="226" spans="16:25">
      <c r="P226" s="2" t="s">
        <v>634</v>
      </c>
      <c r="Q226" s="2"/>
      <c r="R226" s="2"/>
      <c r="S226" s="3">
        <v>252.88</v>
      </c>
      <c r="T226" s="11">
        <f t="shared" si="5"/>
        <v>2.0872436135528868E-3</v>
      </c>
      <c r="U226" s="1" t="s">
        <v>356</v>
      </c>
      <c r="V226" s="2"/>
      <c r="W226" s="2"/>
      <c r="X226" s="6" t="s">
        <v>358</v>
      </c>
      <c r="Y226" s="1" t="s">
        <v>359</v>
      </c>
    </row>
    <row r="227" spans="16:25">
      <c r="P227" s="2" t="s">
        <v>635</v>
      </c>
      <c r="Q227" s="2"/>
      <c r="R227" s="2"/>
      <c r="S227" s="3">
        <v>221.27</v>
      </c>
      <c r="T227" s="11">
        <f t="shared" si="5"/>
        <v>1.826338161858776E-3</v>
      </c>
      <c r="U227" s="1" t="s">
        <v>356</v>
      </c>
      <c r="V227" s="2"/>
      <c r="W227" s="2"/>
      <c r="X227" s="6" t="s">
        <v>358</v>
      </c>
      <c r="Y227" s="1" t="s">
        <v>359</v>
      </c>
    </row>
    <row r="228" spans="16:25">
      <c r="P228" s="2" t="s">
        <v>636</v>
      </c>
      <c r="Q228" s="2"/>
      <c r="R228" s="2"/>
      <c r="S228" s="3">
        <v>252.88</v>
      </c>
      <c r="T228" s="11">
        <f t="shared" si="5"/>
        <v>2.0872436135528868E-3</v>
      </c>
      <c r="U228" s="1" t="s">
        <v>356</v>
      </c>
      <c r="V228" s="2"/>
      <c r="W228" s="2"/>
      <c r="X228" s="6" t="s">
        <v>358</v>
      </c>
      <c r="Y228" s="1" t="s">
        <v>359</v>
      </c>
    </row>
    <row r="229" spans="16:25">
      <c r="P229" s="2" t="s">
        <v>637</v>
      </c>
      <c r="Q229" s="2"/>
      <c r="R229" s="2"/>
      <c r="S229" s="3">
        <v>252.88</v>
      </c>
      <c r="T229" s="11">
        <f t="shared" si="5"/>
        <v>2.0872436135528868E-3</v>
      </c>
      <c r="U229" s="1" t="s">
        <v>356</v>
      </c>
      <c r="V229" s="2"/>
      <c r="W229" s="2"/>
      <c r="X229" s="6" t="s">
        <v>358</v>
      </c>
      <c r="Y229" s="1" t="s">
        <v>359</v>
      </c>
    </row>
    <row r="230" spans="16:25">
      <c r="P230" s="2" t="s">
        <v>638</v>
      </c>
      <c r="Q230" s="2"/>
      <c r="R230" s="2"/>
      <c r="S230" s="3">
        <v>220.72499999999999</v>
      </c>
      <c r="T230" s="11">
        <f t="shared" si="5"/>
        <v>1.8218397920019809E-3</v>
      </c>
      <c r="U230" s="1" t="s">
        <v>356</v>
      </c>
      <c r="V230" s="2"/>
      <c r="W230" s="2"/>
      <c r="X230" s="6" t="s">
        <v>358</v>
      </c>
      <c r="Y230" s="1" t="s">
        <v>359</v>
      </c>
    </row>
    <row r="231" spans="16:25">
      <c r="P231" s="2" t="s">
        <v>639</v>
      </c>
      <c r="Q231" s="2"/>
      <c r="R231" s="2"/>
      <c r="S231" s="3">
        <v>252.88</v>
      </c>
      <c r="T231" s="11">
        <f t="shared" si="5"/>
        <v>2.0872436135528868E-3</v>
      </c>
      <c r="U231" s="1" t="s">
        <v>356</v>
      </c>
      <c r="V231" s="2"/>
      <c r="W231" s="2"/>
      <c r="X231" s="6" t="s">
        <v>358</v>
      </c>
      <c r="Y231" s="1" t="s">
        <v>359</v>
      </c>
    </row>
    <row r="232" spans="16:25">
      <c r="P232" s="2" t="s">
        <v>640</v>
      </c>
      <c r="Q232" s="2"/>
      <c r="R232" s="2"/>
      <c r="S232" s="3">
        <v>252.88</v>
      </c>
      <c r="T232" s="11">
        <f t="shared" si="5"/>
        <v>2.0872436135528868E-3</v>
      </c>
      <c r="U232" s="1" t="s">
        <v>356</v>
      </c>
      <c r="V232" s="2"/>
      <c r="W232" s="2"/>
      <c r="X232" s="6" t="s">
        <v>358</v>
      </c>
      <c r="Y232" s="1" t="s">
        <v>359</v>
      </c>
    </row>
    <row r="233" spans="16:25">
      <c r="P233" s="2" t="s">
        <v>641</v>
      </c>
      <c r="Q233" s="2"/>
      <c r="R233" s="2"/>
      <c r="S233" s="3">
        <v>252.88</v>
      </c>
      <c r="T233" s="11">
        <f t="shared" si="5"/>
        <v>2.0872436135528868E-3</v>
      </c>
      <c r="U233" s="1" t="s">
        <v>356</v>
      </c>
      <c r="V233" s="2"/>
      <c r="W233" s="2"/>
      <c r="X233" s="6" t="s">
        <v>358</v>
      </c>
      <c r="Y233" s="1" t="s">
        <v>359</v>
      </c>
    </row>
    <row r="234" spans="16:25">
      <c r="P234" s="2" t="s">
        <v>642</v>
      </c>
      <c r="Q234" s="2"/>
      <c r="R234" s="2"/>
      <c r="S234" s="3">
        <v>268.685</v>
      </c>
      <c r="T234" s="11">
        <f t="shared" si="5"/>
        <v>2.2176963393999421E-3</v>
      </c>
      <c r="U234" s="1" t="s">
        <v>356</v>
      </c>
      <c r="V234" s="2"/>
      <c r="W234" s="2"/>
      <c r="X234" s="6" t="s">
        <v>358</v>
      </c>
      <c r="Y234" s="1" t="s">
        <v>359</v>
      </c>
    </row>
    <row r="235" spans="16:25">
      <c r="P235" s="2" t="s">
        <v>643</v>
      </c>
      <c r="Q235" s="2"/>
      <c r="R235" s="2"/>
      <c r="S235" s="3">
        <v>223.3</v>
      </c>
      <c r="T235" s="11">
        <f t="shared" si="5"/>
        <v>1.8430935578391317E-3</v>
      </c>
      <c r="U235" s="1" t="s">
        <v>356</v>
      </c>
      <c r="V235" s="2"/>
      <c r="W235" s="2"/>
      <c r="X235" s="6" t="s">
        <v>358</v>
      </c>
      <c r="Y235" s="1" t="s">
        <v>359</v>
      </c>
    </row>
    <row r="236" spans="16:25">
      <c r="P236" s="2" t="s">
        <v>644</v>
      </c>
      <c r="Q236" s="2"/>
      <c r="R236" s="2"/>
      <c r="S236" s="3">
        <v>223.3</v>
      </c>
      <c r="T236" s="11">
        <f t="shared" si="5"/>
        <v>1.8430935578391317E-3</v>
      </c>
      <c r="U236" s="1" t="s">
        <v>356</v>
      </c>
      <c r="V236" s="2"/>
      <c r="W236" s="2"/>
      <c r="X236" s="6" t="s">
        <v>358</v>
      </c>
      <c r="Y236" s="1" t="s">
        <v>359</v>
      </c>
    </row>
    <row r="237" spans="16:25">
      <c r="P237" s="2" t="s">
        <v>645</v>
      </c>
      <c r="Q237" s="2"/>
      <c r="R237" s="2"/>
      <c r="S237" s="3">
        <v>255.2</v>
      </c>
      <c r="T237" s="11">
        <f t="shared" si="5"/>
        <v>2.1063926375304363E-3</v>
      </c>
      <c r="U237" s="1" t="s">
        <v>356</v>
      </c>
      <c r="V237" s="2"/>
      <c r="W237" s="2"/>
      <c r="X237" s="6" t="s">
        <v>358</v>
      </c>
      <c r="Y237" s="1" t="s">
        <v>359</v>
      </c>
    </row>
    <row r="238" spans="16:25">
      <c r="P238" s="2" t="s">
        <v>646</v>
      </c>
      <c r="Q238" s="2"/>
      <c r="R238" s="2"/>
      <c r="S238" s="3">
        <v>287.10000000000002</v>
      </c>
      <c r="T238" s="11">
        <f t="shared" si="5"/>
        <v>2.3696917172217409E-3</v>
      </c>
      <c r="U238" s="1" t="s">
        <v>356</v>
      </c>
      <c r="V238" s="2"/>
      <c r="W238" s="2"/>
      <c r="X238" s="6" t="s">
        <v>358</v>
      </c>
      <c r="Y238" s="1" t="s">
        <v>359</v>
      </c>
    </row>
    <row r="239" spans="16:25">
      <c r="P239" s="2" t="s">
        <v>647</v>
      </c>
      <c r="Q239" s="2"/>
      <c r="R239" s="2"/>
      <c r="S239" s="3">
        <v>220.55</v>
      </c>
      <c r="T239" s="11">
        <f t="shared" si="5"/>
        <v>1.8203953613140193E-3</v>
      </c>
      <c r="U239" s="1" t="s">
        <v>356</v>
      </c>
      <c r="V239" s="2"/>
      <c r="W239" s="2"/>
      <c r="X239" s="6" t="s">
        <v>358</v>
      </c>
      <c r="Y239" s="1" t="s">
        <v>359</v>
      </c>
    </row>
    <row r="240" spans="16:25">
      <c r="P240" s="2" t="s">
        <v>648</v>
      </c>
      <c r="Q240" s="2"/>
      <c r="R240" s="2"/>
      <c r="S240" s="3">
        <v>223.3</v>
      </c>
      <c r="T240" s="11">
        <f t="shared" si="5"/>
        <v>1.8430935578391317E-3</v>
      </c>
      <c r="U240" s="1" t="s">
        <v>356</v>
      </c>
      <c r="V240" s="2"/>
      <c r="W240" s="2"/>
      <c r="X240" s="6" t="s">
        <v>358</v>
      </c>
      <c r="Y240" s="1" t="s">
        <v>359</v>
      </c>
    </row>
    <row r="241" spans="16:25">
      <c r="P241" s="2" t="s">
        <v>649</v>
      </c>
      <c r="Q241" s="2"/>
      <c r="R241" s="2"/>
      <c r="S241" s="3">
        <v>254.65</v>
      </c>
      <c r="T241" s="11">
        <f t="shared" si="5"/>
        <v>2.1018529982254138E-3</v>
      </c>
      <c r="U241" s="1" t="s">
        <v>356</v>
      </c>
      <c r="V241" s="2"/>
      <c r="W241" s="2"/>
      <c r="X241" s="6" t="s">
        <v>358</v>
      </c>
      <c r="Y241" s="1" t="s">
        <v>359</v>
      </c>
    </row>
    <row r="242" spans="16:25">
      <c r="P242" s="2" t="s">
        <v>650</v>
      </c>
      <c r="Q242" s="2"/>
      <c r="R242" s="2"/>
      <c r="S242" s="3">
        <v>255.2</v>
      </c>
      <c r="T242" s="11">
        <f t="shared" si="5"/>
        <v>2.1063926375304363E-3</v>
      </c>
      <c r="U242" s="1" t="s">
        <v>356</v>
      </c>
      <c r="V242" s="2"/>
      <c r="W242" s="2"/>
      <c r="X242" s="6" t="s">
        <v>358</v>
      </c>
      <c r="Y242" s="1" t="s">
        <v>359</v>
      </c>
    </row>
    <row r="243" spans="16:25">
      <c r="P243" s="2" t="s">
        <v>651</v>
      </c>
      <c r="Q243" s="2"/>
      <c r="R243" s="2"/>
      <c r="S243" s="3">
        <v>207.35</v>
      </c>
      <c r="T243" s="11">
        <f t="shared" si="5"/>
        <v>1.7114440179934794E-3</v>
      </c>
      <c r="U243" s="1" t="s">
        <v>356</v>
      </c>
      <c r="V243" s="2"/>
      <c r="W243" s="2"/>
      <c r="X243" s="6" t="s">
        <v>358</v>
      </c>
      <c r="Y243" s="1" t="s">
        <v>359</v>
      </c>
    </row>
    <row r="244" spans="16:25">
      <c r="P244" s="2" t="s">
        <v>652</v>
      </c>
      <c r="Q244" s="2"/>
      <c r="R244" s="2"/>
      <c r="S244" s="3">
        <v>223.3</v>
      </c>
      <c r="T244" s="11">
        <f t="shared" si="5"/>
        <v>1.8430935578391317E-3</v>
      </c>
      <c r="U244" s="1" t="s">
        <v>356</v>
      </c>
      <c r="V244" s="2"/>
      <c r="W244" s="2"/>
      <c r="X244" s="6" t="s">
        <v>358</v>
      </c>
      <c r="Y244" s="1" t="s">
        <v>359</v>
      </c>
    </row>
    <row r="245" spans="16:25">
      <c r="P245" s="2" t="s">
        <v>653</v>
      </c>
      <c r="Q245" s="2"/>
      <c r="R245" s="2"/>
      <c r="S245" s="3">
        <v>255.2</v>
      </c>
      <c r="T245" s="11">
        <f t="shared" si="5"/>
        <v>2.1063926375304363E-3</v>
      </c>
      <c r="U245" s="1" t="s">
        <v>356</v>
      </c>
      <c r="V245" s="2"/>
      <c r="W245" s="2"/>
      <c r="X245" s="6" t="s">
        <v>358</v>
      </c>
      <c r="Y245" s="1" t="s">
        <v>359</v>
      </c>
    </row>
    <row r="246" spans="16:25">
      <c r="P246" s="2" t="s">
        <v>654</v>
      </c>
      <c r="Q246" s="2"/>
      <c r="R246" s="2"/>
      <c r="S246" s="3">
        <v>255.2</v>
      </c>
      <c r="T246" s="11">
        <f t="shared" si="5"/>
        <v>2.1063926375304363E-3</v>
      </c>
      <c r="U246" s="1" t="s">
        <v>356</v>
      </c>
      <c r="V246" s="2"/>
      <c r="W246" s="2"/>
      <c r="X246" s="6" t="s">
        <v>358</v>
      </c>
      <c r="Y246" s="1" t="s">
        <v>359</v>
      </c>
    </row>
    <row r="247" spans="16:25">
      <c r="P247" s="2" t="s">
        <v>655</v>
      </c>
      <c r="Q247" s="2"/>
      <c r="R247" s="2"/>
      <c r="S247" s="3">
        <v>255.2</v>
      </c>
      <c r="T247" s="11">
        <f t="shared" si="5"/>
        <v>2.1063926375304363E-3</v>
      </c>
      <c r="U247" s="1" t="s">
        <v>356</v>
      </c>
      <c r="V247" s="2"/>
      <c r="W247" s="2"/>
      <c r="X247" s="6" t="s">
        <v>358</v>
      </c>
      <c r="Y247" s="1" t="s">
        <v>359</v>
      </c>
    </row>
    <row r="248" spans="16:25">
      <c r="P248" s="2" t="s">
        <v>656</v>
      </c>
      <c r="Q248" s="2"/>
      <c r="R248" s="2"/>
      <c r="S248" s="3">
        <v>255.2</v>
      </c>
      <c r="T248" s="11">
        <f t="shared" si="5"/>
        <v>2.1063926375304363E-3</v>
      </c>
      <c r="U248" s="1" t="s">
        <v>356</v>
      </c>
      <c r="V248" s="2"/>
      <c r="W248" s="2"/>
      <c r="X248" s="6" t="s">
        <v>358</v>
      </c>
      <c r="Y248" s="1" t="s">
        <v>359</v>
      </c>
    </row>
    <row r="249" spans="16:25">
      <c r="P249" s="2" t="s">
        <v>657</v>
      </c>
      <c r="Q249" s="2"/>
      <c r="R249" s="2"/>
      <c r="S249" s="3">
        <v>223.3</v>
      </c>
      <c r="T249" s="11">
        <f t="shared" si="5"/>
        <v>1.8430935578391317E-3</v>
      </c>
      <c r="U249" s="1" t="s">
        <v>356</v>
      </c>
      <c r="V249" s="2"/>
      <c r="W249" s="2"/>
      <c r="X249" s="6" t="s">
        <v>358</v>
      </c>
      <c r="Y249" s="1" t="s">
        <v>359</v>
      </c>
    </row>
    <row r="250" spans="16:25">
      <c r="P250" s="2" t="s">
        <v>658</v>
      </c>
      <c r="Q250" s="2"/>
      <c r="R250" s="2"/>
      <c r="S250" s="3">
        <v>255.2</v>
      </c>
      <c r="T250" s="11">
        <f t="shared" si="5"/>
        <v>2.1063926375304363E-3</v>
      </c>
      <c r="U250" s="1" t="s">
        <v>356</v>
      </c>
      <c r="V250" s="2"/>
      <c r="W250" s="2"/>
      <c r="X250" s="6" t="s">
        <v>358</v>
      </c>
      <c r="Y250" s="1" t="s">
        <v>359</v>
      </c>
    </row>
    <row r="251" spans="16:25">
      <c r="P251" s="2" t="s">
        <v>659</v>
      </c>
      <c r="Q251" s="2"/>
      <c r="R251" s="2"/>
      <c r="S251" s="3">
        <v>255.2</v>
      </c>
      <c r="T251" s="11">
        <f t="shared" si="5"/>
        <v>2.1063926375304363E-3</v>
      </c>
      <c r="U251" s="1" t="s">
        <v>356</v>
      </c>
      <c r="V251" s="2"/>
      <c r="W251" s="2"/>
      <c r="X251" s="6" t="s">
        <v>358</v>
      </c>
      <c r="Y251" s="1" t="s">
        <v>359</v>
      </c>
    </row>
    <row r="252" spans="16:25">
      <c r="P252" s="2" t="s">
        <v>660</v>
      </c>
      <c r="Q252" s="2"/>
      <c r="R252" s="2"/>
      <c r="S252" s="3">
        <v>223.3</v>
      </c>
      <c r="T252" s="11">
        <f t="shared" si="5"/>
        <v>1.8430935578391317E-3</v>
      </c>
      <c r="U252" s="1" t="s">
        <v>356</v>
      </c>
      <c r="V252" s="2"/>
      <c r="W252" s="2"/>
      <c r="X252" s="6" t="s">
        <v>358</v>
      </c>
      <c r="Y252" s="1" t="s">
        <v>359</v>
      </c>
    </row>
    <row r="253" spans="16:25">
      <c r="P253" s="2" t="s">
        <v>661</v>
      </c>
      <c r="Q253" s="2"/>
      <c r="R253" s="2"/>
      <c r="S253" s="3">
        <v>221.27</v>
      </c>
      <c r="T253" s="11">
        <f t="shared" si="5"/>
        <v>1.826338161858776E-3</v>
      </c>
      <c r="U253" s="1" t="s">
        <v>356</v>
      </c>
      <c r="V253" s="2"/>
      <c r="W253" s="2"/>
      <c r="X253" s="6" t="s">
        <v>358</v>
      </c>
      <c r="Y253" s="1" t="s">
        <v>359</v>
      </c>
    </row>
    <row r="254" spans="16:25">
      <c r="P254" s="2" t="s">
        <v>662</v>
      </c>
      <c r="Q254" s="2"/>
      <c r="R254" s="2"/>
      <c r="S254" s="3">
        <v>252.88</v>
      </c>
      <c r="T254" s="11">
        <f t="shared" si="5"/>
        <v>2.0872436135528868E-3</v>
      </c>
      <c r="U254" s="1" t="s">
        <v>356</v>
      </c>
      <c r="V254" s="2"/>
      <c r="W254" s="2"/>
      <c r="X254" s="6" t="s">
        <v>358</v>
      </c>
      <c r="Y254" s="1" t="s">
        <v>359</v>
      </c>
    </row>
    <row r="255" spans="16:25">
      <c r="P255" s="2" t="s">
        <v>663</v>
      </c>
      <c r="Q255" s="2"/>
      <c r="R255" s="2"/>
      <c r="S255" s="3">
        <v>252.88</v>
      </c>
      <c r="T255" s="11">
        <f t="shared" si="5"/>
        <v>2.0872436135528868E-3</v>
      </c>
      <c r="U255" s="1" t="s">
        <v>356</v>
      </c>
      <c r="V255" s="2"/>
      <c r="W255" s="2"/>
      <c r="X255" s="6" t="s">
        <v>358</v>
      </c>
      <c r="Y255" s="1" t="s">
        <v>359</v>
      </c>
    </row>
    <row r="256" spans="16:25">
      <c r="P256" s="2" t="s">
        <v>664</v>
      </c>
      <c r="Q256" s="2"/>
      <c r="R256" s="2"/>
      <c r="S256" s="3">
        <v>252.88</v>
      </c>
      <c r="T256" s="11">
        <f t="shared" si="5"/>
        <v>2.0872436135528868E-3</v>
      </c>
      <c r="U256" s="1" t="s">
        <v>356</v>
      </c>
      <c r="V256" s="2"/>
      <c r="W256" s="2"/>
      <c r="X256" s="6" t="s">
        <v>358</v>
      </c>
      <c r="Y256" s="1" t="s">
        <v>359</v>
      </c>
    </row>
    <row r="257" spans="16:25">
      <c r="P257" s="2" t="s">
        <v>665</v>
      </c>
      <c r="Q257" s="2"/>
      <c r="R257" s="2"/>
      <c r="S257" s="3">
        <v>221.27</v>
      </c>
      <c r="T257" s="11">
        <f t="shared" si="5"/>
        <v>1.826338161858776E-3</v>
      </c>
      <c r="U257" s="1" t="s">
        <v>356</v>
      </c>
      <c r="V257" s="2"/>
      <c r="W257" s="2"/>
      <c r="X257" s="6" t="s">
        <v>358</v>
      </c>
      <c r="Y257" s="1" t="s">
        <v>359</v>
      </c>
    </row>
    <row r="258" spans="16:25">
      <c r="P258" s="2" t="s">
        <v>666</v>
      </c>
      <c r="Q258" s="2"/>
      <c r="R258" s="2"/>
      <c r="S258" s="3">
        <v>252.88</v>
      </c>
      <c r="T258" s="11">
        <f t="shared" si="5"/>
        <v>2.0872436135528868E-3</v>
      </c>
      <c r="U258" s="1" t="s">
        <v>356</v>
      </c>
      <c r="V258" s="2"/>
      <c r="W258" s="2"/>
      <c r="X258" s="6" t="s">
        <v>358</v>
      </c>
      <c r="Y258" s="1" t="s">
        <v>359</v>
      </c>
    </row>
    <row r="259" spans="16:25">
      <c r="P259" s="2" t="s">
        <v>667</v>
      </c>
      <c r="Q259" s="2"/>
      <c r="R259" s="2"/>
      <c r="S259" s="3">
        <v>252.88</v>
      </c>
      <c r="T259" s="11">
        <f t="shared" si="5"/>
        <v>2.0872436135528868E-3</v>
      </c>
      <c r="U259" s="1" t="s">
        <v>356</v>
      </c>
      <c r="V259" s="2"/>
      <c r="W259" s="2"/>
      <c r="X259" s="6" t="s">
        <v>358</v>
      </c>
      <c r="Y259" s="1" t="s">
        <v>359</v>
      </c>
    </row>
    <row r="260" spans="16:25">
      <c r="P260" s="2" t="s">
        <v>668</v>
      </c>
      <c r="Q260" s="2"/>
      <c r="R260" s="2"/>
      <c r="S260" s="3">
        <v>252.88</v>
      </c>
      <c r="T260" s="11">
        <f t="shared" si="5"/>
        <v>2.0872436135528868E-3</v>
      </c>
      <c r="U260" s="1" t="s">
        <v>356</v>
      </c>
      <c r="V260" s="2"/>
      <c r="W260" s="2"/>
      <c r="X260" s="6" t="s">
        <v>358</v>
      </c>
      <c r="Y260" s="1" t="s">
        <v>359</v>
      </c>
    </row>
    <row r="261" spans="16:25">
      <c r="P261" s="2" t="s">
        <v>669</v>
      </c>
      <c r="Q261" s="2"/>
      <c r="R261" s="2"/>
      <c r="S261" s="3">
        <v>221.27</v>
      </c>
      <c r="T261" s="11">
        <f t="shared" si="5"/>
        <v>1.826338161858776E-3</v>
      </c>
      <c r="U261" s="1" t="s">
        <v>356</v>
      </c>
      <c r="V261" s="2"/>
      <c r="W261" s="2"/>
      <c r="X261" s="6" t="s">
        <v>358</v>
      </c>
      <c r="Y261" s="1" t="s">
        <v>359</v>
      </c>
    </row>
    <row r="262" spans="16:25">
      <c r="P262" s="2" t="s">
        <v>670</v>
      </c>
      <c r="Q262" s="2"/>
      <c r="R262" s="2"/>
      <c r="S262" s="3">
        <v>252.88</v>
      </c>
      <c r="T262" s="11">
        <f t="shared" si="5"/>
        <v>2.0872436135528868E-3</v>
      </c>
      <c r="U262" s="1" t="s">
        <v>356</v>
      </c>
      <c r="V262" s="2"/>
      <c r="W262" s="2"/>
      <c r="X262" s="6" t="s">
        <v>358</v>
      </c>
      <c r="Y262" s="1" t="s">
        <v>359</v>
      </c>
    </row>
    <row r="263" spans="16:25">
      <c r="P263" s="2" t="s">
        <v>671</v>
      </c>
      <c r="Q263" s="2"/>
      <c r="R263" s="2"/>
      <c r="S263" s="3">
        <v>252.88</v>
      </c>
      <c r="T263" s="11">
        <f t="shared" si="5"/>
        <v>2.0872436135528868E-3</v>
      </c>
      <c r="U263" s="1" t="s">
        <v>356</v>
      </c>
      <c r="V263" s="2"/>
      <c r="W263" s="2"/>
      <c r="X263" s="6" t="s">
        <v>358</v>
      </c>
      <c r="Y263" s="1" t="s">
        <v>359</v>
      </c>
    </row>
    <row r="264" spans="16:25">
      <c r="P264" s="2" t="s">
        <v>672</v>
      </c>
      <c r="Q264" s="2"/>
      <c r="R264" s="2"/>
      <c r="S264" s="3">
        <v>252.88</v>
      </c>
      <c r="T264" s="11">
        <f t="shared" si="5"/>
        <v>2.0872436135528868E-3</v>
      </c>
      <c r="U264" s="1" t="s">
        <v>356</v>
      </c>
      <c r="V264" s="2"/>
      <c r="W264" s="2"/>
      <c r="X264" s="6" t="s">
        <v>358</v>
      </c>
      <c r="Y264" s="1" t="s">
        <v>359</v>
      </c>
    </row>
    <row r="265" spans="16:25">
      <c r="P265" s="2" t="s">
        <v>673</v>
      </c>
      <c r="Q265" s="2"/>
      <c r="R265" s="2"/>
      <c r="S265" s="3">
        <v>252.88</v>
      </c>
      <c r="T265" s="11">
        <f t="shared" si="5"/>
        <v>2.0872436135528868E-3</v>
      </c>
      <c r="U265" s="1" t="s">
        <v>356</v>
      </c>
      <c r="V265" s="2"/>
      <c r="W265" s="2"/>
      <c r="X265" s="6" t="s">
        <v>358</v>
      </c>
      <c r="Y265" s="1" t="s">
        <v>359</v>
      </c>
    </row>
    <row r="266" spans="16:25">
      <c r="P266" s="2" t="s">
        <v>674</v>
      </c>
      <c r="Q266" s="2"/>
      <c r="R266" s="2"/>
      <c r="S266" s="3">
        <v>252.88</v>
      </c>
      <c r="T266" s="11">
        <f t="shared" si="5"/>
        <v>2.0872436135528868E-3</v>
      </c>
      <c r="U266" s="1" t="s">
        <v>356</v>
      </c>
      <c r="V266" s="2"/>
      <c r="W266" s="2"/>
      <c r="X266" s="6" t="s">
        <v>358</v>
      </c>
      <c r="Y266" s="1" t="s">
        <v>359</v>
      </c>
    </row>
    <row r="267" spans="16:25">
      <c r="P267" s="2" t="s">
        <v>675</v>
      </c>
      <c r="Q267" s="2"/>
      <c r="R267" s="2"/>
      <c r="S267" s="3">
        <v>221.27</v>
      </c>
      <c r="T267" s="11">
        <f t="shared" si="5"/>
        <v>1.826338161858776E-3</v>
      </c>
      <c r="U267" s="1" t="s">
        <v>356</v>
      </c>
      <c r="V267" s="2"/>
      <c r="W267" s="2"/>
      <c r="X267" s="6" t="s">
        <v>358</v>
      </c>
      <c r="Y267" s="1" t="s">
        <v>359</v>
      </c>
    </row>
    <row r="268" spans="16:25">
      <c r="P268" s="2" t="s">
        <v>676</v>
      </c>
      <c r="Q268" s="2"/>
      <c r="R268" s="2"/>
      <c r="S268" s="3">
        <v>221.27</v>
      </c>
      <c r="T268" s="11">
        <f t="shared" si="5"/>
        <v>1.826338161858776E-3</v>
      </c>
      <c r="U268" s="1" t="s">
        <v>356</v>
      </c>
      <c r="V268" s="2"/>
      <c r="W268" s="2"/>
      <c r="X268" s="6" t="s">
        <v>358</v>
      </c>
      <c r="Y268" s="1" t="s">
        <v>359</v>
      </c>
    </row>
    <row r="269" spans="16:25">
      <c r="P269" s="2" t="s">
        <v>677</v>
      </c>
      <c r="Q269" s="2"/>
      <c r="R269" s="2"/>
      <c r="S269" s="3">
        <v>252.88</v>
      </c>
      <c r="T269" s="11">
        <f t="shared" si="5"/>
        <v>2.0872436135528868E-3</v>
      </c>
      <c r="U269" s="1" t="s">
        <v>356</v>
      </c>
      <c r="V269" s="2"/>
      <c r="W269" s="2"/>
      <c r="X269" s="6" t="s">
        <v>358</v>
      </c>
      <c r="Y269" s="1" t="s">
        <v>359</v>
      </c>
    </row>
    <row r="270" spans="16:25">
      <c r="P270" s="2" t="s">
        <v>678</v>
      </c>
      <c r="Q270" s="2"/>
      <c r="R270" s="2"/>
      <c r="S270" s="3">
        <v>252.88</v>
      </c>
      <c r="T270" s="11">
        <f t="shared" si="5"/>
        <v>2.0872436135528868E-3</v>
      </c>
      <c r="U270" s="1" t="s">
        <v>356</v>
      </c>
      <c r="V270" s="2"/>
      <c r="W270" s="2"/>
      <c r="X270" s="6" t="s">
        <v>358</v>
      </c>
      <c r="Y270" s="1" t="s">
        <v>359</v>
      </c>
    </row>
    <row r="271" spans="16:25">
      <c r="P271" s="2" t="s">
        <v>679</v>
      </c>
      <c r="Q271" s="2"/>
      <c r="R271" s="2"/>
      <c r="S271" s="3">
        <v>223.3</v>
      </c>
      <c r="T271" s="11">
        <f t="shared" si="5"/>
        <v>1.8430935578391317E-3</v>
      </c>
      <c r="U271" s="1" t="s">
        <v>356</v>
      </c>
      <c r="V271" s="2"/>
      <c r="W271" s="2"/>
      <c r="X271" s="6" t="s">
        <v>358</v>
      </c>
      <c r="Y271" s="1" t="s">
        <v>359</v>
      </c>
    </row>
    <row r="272" spans="16:25">
      <c r="P272" s="2" t="s">
        <v>680</v>
      </c>
      <c r="Q272" s="2"/>
      <c r="R272" s="2"/>
      <c r="S272" s="3">
        <v>223.3</v>
      </c>
      <c r="T272" s="11">
        <f t="shared" si="5"/>
        <v>1.8430935578391317E-3</v>
      </c>
      <c r="U272" s="1" t="s">
        <v>356</v>
      </c>
      <c r="V272" s="2"/>
      <c r="W272" s="2"/>
      <c r="X272" s="6" t="s">
        <v>358</v>
      </c>
      <c r="Y272" s="1" t="s">
        <v>359</v>
      </c>
    </row>
    <row r="273" spans="16:25">
      <c r="P273" s="2" t="s">
        <v>681</v>
      </c>
      <c r="Q273" s="2"/>
      <c r="R273" s="2"/>
      <c r="S273" s="3">
        <v>223.3</v>
      </c>
      <c r="T273" s="11">
        <f t="shared" si="5"/>
        <v>1.8430935578391317E-3</v>
      </c>
      <c r="U273" s="1" t="s">
        <v>356</v>
      </c>
      <c r="V273" s="2"/>
      <c r="W273" s="2"/>
      <c r="X273" s="6" t="s">
        <v>358</v>
      </c>
      <c r="Y273" s="1" t="s">
        <v>359</v>
      </c>
    </row>
    <row r="274" spans="16:25">
      <c r="P274" s="2" t="s">
        <v>682</v>
      </c>
      <c r="Q274" s="2"/>
      <c r="R274" s="2"/>
      <c r="S274" s="3">
        <v>223.3</v>
      </c>
      <c r="T274" s="11">
        <f t="shared" si="5"/>
        <v>1.8430935578391317E-3</v>
      </c>
      <c r="U274" s="1" t="s">
        <v>356</v>
      </c>
      <c r="V274" s="2"/>
      <c r="W274" s="2"/>
      <c r="X274" s="6" t="s">
        <v>358</v>
      </c>
      <c r="Y274" s="1" t="s">
        <v>359</v>
      </c>
    </row>
    <row r="275" spans="16:25">
      <c r="P275" s="2" t="s">
        <v>683</v>
      </c>
      <c r="Q275" s="2"/>
      <c r="R275" s="2"/>
      <c r="S275" s="3">
        <v>255.2</v>
      </c>
      <c r="T275" s="11">
        <f t="shared" si="5"/>
        <v>2.1063926375304363E-3</v>
      </c>
      <c r="U275" s="1" t="s">
        <v>356</v>
      </c>
      <c r="V275" s="2"/>
      <c r="W275" s="2"/>
      <c r="X275" s="6" t="s">
        <v>358</v>
      </c>
      <c r="Y275" s="1" t="s">
        <v>359</v>
      </c>
    </row>
    <row r="276" spans="16:25">
      <c r="P276" s="2" t="s">
        <v>684</v>
      </c>
      <c r="Q276" s="2"/>
      <c r="R276" s="2"/>
      <c r="S276" s="3">
        <v>223.3</v>
      </c>
      <c r="T276" s="11">
        <f t="shared" si="5"/>
        <v>1.8430935578391317E-3</v>
      </c>
      <c r="U276" s="1" t="s">
        <v>356</v>
      </c>
      <c r="V276" s="2"/>
      <c r="W276" s="2"/>
      <c r="X276" s="6" t="s">
        <v>358</v>
      </c>
      <c r="Y276" s="1" t="s">
        <v>359</v>
      </c>
    </row>
    <row r="277" spans="16:25">
      <c r="P277" s="2" t="s">
        <v>685</v>
      </c>
      <c r="Q277" s="2"/>
      <c r="R277" s="2"/>
      <c r="S277" s="3">
        <v>191.4</v>
      </c>
      <c r="T277" s="11">
        <f t="shared" si="5"/>
        <v>1.5797944781478271E-3</v>
      </c>
      <c r="U277" s="1" t="s">
        <v>356</v>
      </c>
      <c r="V277" s="2"/>
      <c r="W277" s="2"/>
      <c r="X277" s="6" t="s">
        <v>358</v>
      </c>
      <c r="Y277" s="1" t="s">
        <v>359</v>
      </c>
    </row>
    <row r="278" spans="16:25">
      <c r="P278" s="2" t="s">
        <v>686</v>
      </c>
      <c r="Q278" s="2"/>
      <c r="R278" s="2"/>
      <c r="S278" s="3">
        <v>255.2</v>
      </c>
      <c r="T278" s="11">
        <f t="shared" si="5"/>
        <v>2.1063926375304363E-3</v>
      </c>
      <c r="U278" s="1" t="s">
        <v>356</v>
      </c>
      <c r="V278" s="2"/>
      <c r="W278" s="2"/>
      <c r="X278" s="6" t="s">
        <v>358</v>
      </c>
      <c r="Y278" s="1" t="s">
        <v>359</v>
      </c>
    </row>
    <row r="279" spans="16:25">
      <c r="P279" s="2" t="s">
        <v>687</v>
      </c>
      <c r="Q279" s="2"/>
      <c r="R279" s="2"/>
      <c r="S279" s="3">
        <v>255.2</v>
      </c>
      <c r="T279" s="11">
        <f t="shared" si="5"/>
        <v>2.1063926375304363E-3</v>
      </c>
      <c r="U279" s="1" t="s">
        <v>356</v>
      </c>
      <c r="V279" s="2"/>
      <c r="W279" s="2"/>
      <c r="X279" s="6" t="s">
        <v>358</v>
      </c>
      <c r="Y279" s="1" t="s">
        <v>359</v>
      </c>
    </row>
    <row r="280" spans="16:25">
      <c r="P280" s="2" t="s">
        <v>688</v>
      </c>
      <c r="Q280" s="2"/>
      <c r="R280" s="2"/>
      <c r="S280" s="3">
        <v>239.25</v>
      </c>
      <c r="T280" s="11">
        <f t="shared" si="5"/>
        <v>1.974743097684784E-3</v>
      </c>
      <c r="U280" s="1" t="s">
        <v>356</v>
      </c>
      <c r="V280" s="2"/>
      <c r="W280" s="2"/>
      <c r="X280" s="6" t="s">
        <v>358</v>
      </c>
      <c r="Y280" s="1" t="s">
        <v>359</v>
      </c>
    </row>
    <row r="281" spans="16:25">
      <c r="P281" s="2" t="s">
        <v>689</v>
      </c>
      <c r="Q281" s="2"/>
      <c r="R281" s="2"/>
      <c r="S281" s="3">
        <v>255.2</v>
      </c>
      <c r="T281" s="11">
        <f t="shared" si="5"/>
        <v>2.1063926375304363E-3</v>
      </c>
      <c r="U281" s="1" t="s">
        <v>356</v>
      </c>
      <c r="V281" s="2"/>
      <c r="W281" s="2"/>
      <c r="X281" s="6" t="s">
        <v>358</v>
      </c>
      <c r="Y281" s="1" t="s">
        <v>359</v>
      </c>
    </row>
    <row r="282" spans="16:25">
      <c r="P282" s="2" t="s">
        <v>690</v>
      </c>
      <c r="Q282" s="2"/>
      <c r="R282" s="2"/>
      <c r="S282" s="3">
        <v>223.3</v>
      </c>
      <c r="T282" s="11">
        <f t="shared" si="5"/>
        <v>1.8430935578391317E-3</v>
      </c>
      <c r="U282" s="1" t="s">
        <v>356</v>
      </c>
      <c r="V282" s="2"/>
      <c r="W282" s="2"/>
      <c r="X282" s="6" t="s">
        <v>358</v>
      </c>
      <c r="Y282" s="1" t="s">
        <v>359</v>
      </c>
    </row>
    <row r="283" spans="16:25">
      <c r="P283" s="2" t="s">
        <v>691</v>
      </c>
      <c r="Q283" s="2"/>
      <c r="R283" s="2"/>
      <c r="S283" s="3">
        <v>223.3</v>
      </c>
      <c r="T283" s="11">
        <f t="shared" si="5"/>
        <v>1.8430935578391317E-3</v>
      </c>
      <c r="U283" s="1" t="s">
        <v>356</v>
      </c>
      <c r="V283" s="2"/>
      <c r="W283" s="2"/>
      <c r="X283" s="6" t="s">
        <v>358</v>
      </c>
      <c r="Y283" s="1" t="s">
        <v>359</v>
      </c>
    </row>
    <row r="284" spans="16:25">
      <c r="P284" s="2" t="s">
        <v>692</v>
      </c>
      <c r="Q284" s="2"/>
      <c r="R284" s="2"/>
      <c r="S284" s="3">
        <v>223.3</v>
      </c>
      <c r="T284" s="11">
        <f t="shared" si="5"/>
        <v>1.8430935578391317E-3</v>
      </c>
      <c r="U284" s="1" t="s">
        <v>356</v>
      </c>
      <c r="V284" s="2"/>
      <c r="W284" s="2"/>
      <c r="X284" s="6" t="s">
        <v>358</v>
      </c>
      <c r="Y284" s="1" t="s">
        <v>359</v>
      </c>
    </row>
    <row r="285" spans="16:25">
      <c r="P285" s="2" t="s">
        <v>693</v>
      </c>
      <c r="Q285" s="2"/>
      <c r="R285" s="2"/>
      <c r="S285" s="3">
        <v>255.2</v>
      </c>
      <c r="T285" s="11">
        <f t="shared" si="5"/>
        <v>2.1063926375304363E-3</v>
      </c>
      <c r="U285" s="1" t="s">
        <v>356</v>
      </c>
      <c r="V285" s="2"/>
      <c r="W285" s="2"/>
      <c r="X285" s="6" t="s">
        <v>358</v>
      </c>
      <c r="Y285" s="1" t="s">
        <v>359</v>
      </c>
    </row>
    <row r="286" spans="16:25">
      <c r="P286" s="2" t="s">
        <v>694</v>
      </c>
      <c r="Q286" s="2"/>
      <c r="R286" s="2"/>
      <c r="S286" s="3">
        <v>223.3</v>
      </c>
      <c r="T286" s="11">
        <f t="shared" ref="T286:T349" si="6">S286/$B$2</f>
        <v>1.8430935578391317E-3</v>
      </c>
      <c r="U286" s="1" t="s">
        <v>356</v>
      </c>
      <c r="V286" s="2"/>
      <c r="W286" s="2"/>
      <c r="X286" s="6" t="s">
        <v>358</v>
      </c>
      <c r="Y286" s="1" t="s">
        <v>359</v>
      </c>
    </row>
    <row r="287" spans="16:25">
      <c r="P287" s="2" t="s">
        <v>695</v>
      </c>
      <c r="Q287" s="2"/>
      <c r="R287" s="2"/>
      <c r="S287" s="3">
        <v>255.2</v>
      </c>
      <c r="T287" s="11">
        <f t="shared" si="6"/>
        <v>2.1063926375304363E-3</v>
      </c>
      <c r="U287" s="1" t="s">
        <v>356</v>
      </c>
      <c r="V287" s="2"/>
      <c r="W287" s="2"/>
      <c r="X287" s="6" t="s">
        <v>358</v>
      </c>
      <c r="Y287" s="1" t="s">
        <v>359</v>
      </c>
    </row>
    <row r="288" spans="16:25">
      <c r="P288" s="2" t="s">
        <v>696</v>
      </c>
      <c r="Q288" s="2"/>
      <c r="R288" s="2"/>
      <c r="S288" s="3">
        <v>255.2</v>
      </c>
      <c r="T288" s="11">
        <f t="shared" si="6"/>
        <v>2.1063926375304363E-3</v>
      </c>
      <c r="U288" s="1" t="s">
        <v>356</v>
      </c>
      <c r="V288" s="2"/>
      <c r="W288" s="2"/>
      <c r="X288" s="6" t="s">
        <v>358</v>
      </c>
      <c r="Y288" s="1" t="s">
        <v>359</v>
      </c>
    </row>
    <row r="289" spans="16:25">
      <c r="P289" s="2" t="s">
        <v>697</v>
      </c>
      <c r="Q289" s="2"/>
      <c r="R289" s="2"/>
      <c r="S289" s="3">
        <v>239.25</v>
      </c>
      <c r="T289" s="11">
        <f t="shared" si="6"/>
        <v>1.974743097684784E-3</v>
      </c>
      <c r="U289" s="1" t="s">
        <v>356</v>
      </c>
      <c r="V289" s="2"/>
      <c r="W289" s="2"/>
      <c r="X289" s="6" t="s">
        <v>358</v>
      </c>
      <c r="Y289" s="1" t="s">
        <v>359</v>
      </c>
    </row>
    <row r="290" spans="16:25">
      <c r="P290" s="2" t="s">
        <v>698</v>
      </c>
      <c r="Q290" s="2"/>
      <c r="R290" s="2"/>
      <c r="S290" s="3">
        <v>239.25</v>
      </c>
      <c r="T290" s="11">
        <f t="shared" si="6"/>
        <v>1.974743097684784E-3</v>
      </c>
      <c r="U290" s="1" t="s">
        <v>356</v>
      </c>
      <c r="V290" s="2"/>
      <c r="W290" s="2"/>
      <c r="X290" s="6" t="s">
        <v>358</v>
      </c>
      <c r="Y290" s="1" t="s">
        <v>359</v>
      </c>
    </row>
    <row r="291" spans="16:25">
      <c r="P291" s="2" t="s">
        <v>699</v>
      </c>
      <c r="Q291" s="2"/>
      <c r="R291" s="2"/>
      <c r="S291" s="3">
        <v>223.3</v>
      </c>
      <c r="T291" s="11">
        <f t="shared" si="6"/>
        <v>1.8430935578391317E-3</v>
      </c>
      <c r="U291" s="1" t="s">
        <v>356</v>
      </c>
      <c r="V291" s="2"/>
      <c r="W291" s="2"/>
      <c r="X291" s="6" t="s">
        <v>358</v>
      </c>
      <c r="Y291" s="1" t="s">
        <v>359</v>
      </c>
    </row>
    <row r="292" spans="16:25">
      <c r="P292" s="2" t="s">
        <v>700</v>
      </c>
      <c r="Q292" s="2"/>
      <c r="R292" s="2"/>
      <c r="S292" s="3">
        <v>207.35</v>
      </c>
      <c r="T292" s="11">
        <f t="shared" si="6"/>
        <v>1.7114440179934794E-3</v>
      </c>
      <c r="U292" s="1" t="s">
        <v>356</v>
      </c>
      <c r="V292" s="2"/>
      <c r="W292" s="2"/>
      <c r="X292" s="6" t="s">
        <v>358</v>
      </c>
      <c r="Y292" s="1" t="s">
        <v>359</v>
      </c>
    </row>
    <row r="293" spans="16:25">
      <c r="P293" s="2" t="s">
        <v>701</v>
      </c>
      <c r="Q293" s="2"/>
      <c r="R293" s="2"/>
      <c r="S293" s="3">
        <v>223.3</v>
      </c>
      <c r="T293" s="11">
        <f t="shared" si="6"/>
        <v>1.8430935578391317E-3</v>
      </c>
      <c r="U293" s="1" t="s">
        <v>356</v>
      </c>
      <c r="V293" s="2"/>
      <c r="W293" s="2"/>
      <c r="X293" s="6" t="s">
        <v>358</v>
      </c>
      <c r="Y293" s="1" t="s">
        <v>359</v>
      </c>
    </row>
    <row r="294" spans="16:25">
      <c r="P294" s="2" t="s">
        <v>702</v>
      </c>
      <c r="Q294" s="2"/>
      <c r="R294" s="2"/>
      <c r="S294" s="3">
        <v>191.4</v>
      </c>
      <c r="T294" s="11">
        <f t="shared" si="6"/>
        <v>1.5797944781478271E-3</v>
      </c>
      <c r="U294" s="1" t="s">
        <v>356</v>
      </c>
      <c r="V294" s="2"/>
      <c r="W294" s="2"/>
      <c r="X294" s="6" t="s">
        <v>358</v>
      </c>
      <c r="Y294" s="1" t="s">
        <v>359</v>
      </c>
    </row>
    <row r="295" spans="16:25">
      <c r="P295" s="2" t="s">
        <v>703</v>
      </c>
      <c r="Q295" s="2"/>
      <c r="R295" s="2"/>
      <c r="S295" s="3">
        <v>223.3</v>
      </c>
      <c r="T295" s="11">
        <f t="shared" si="6"/>
        <v>1.8430935578391317E-3</v>
      </c>
      <c r="U295" s="1" t="s">
        <v>356</v>
      </c>
      <c r="V295" s="2"/>
      <c r="W295" s="2"/>
      <c r="X295" s="6" t="s">
        <v>358</v>
      </c>
      <c r="Y295" s="1" t="s">
        <v>359</v>
      </c>
    </row>
    <row r="296" spans="16:25">
      <c r="P296" s="2" t="s">
        <v>704</v>
      </c>
      <c r="Q296" s="2"/>
      <c r="R296" s="2"/>
      <c r="S296" s="3">
        <v>255.2</v>
      </c>
      <c r="T296" s="11">
        <f t="shared" si="6"/>
        <v>2.1063926375304363E-3</v>
      </c>
      <c r="U296" s="1" t="s">
        <v>356</v>
      </c>
      <c r="V296" s="2"/>
      <c r="W296" s="2"/>
      <c r="X296" s="6" t="s">
        <v>358</v>
      </c>
      <c r="Y296" s="1" t="s">
        <v>359</v>
      </c>
    </row>
    <row r="297" spans="16:25">
      <c r="P297" s="2" t="s">
        <v>705</v>
      </c>
      <c r="Q297" s="2"/>
      <c r="R297" s="2"/>
      <c r="S297" s="3">
        <v>223.3</v>
      </c>
      <c r="T297" s="11">
        <f t="shared" si="6"/>
        <v>1.8430935578391317E-3</v>
      </c>
      <c r="U297" s="1" t="s">
        <v>356</v>
      </c>
      <c r="V297" s="2"/>
      <c r="W297" s="2"/>
      <c r="X297" s="6" t="s">
        <v>358</v>
      </c>
      <c r="Y297" s="1" t="s">
        <v>359</v>
      </c>
    </row>
    <row r="298" spans="16:25">
      <c r="P298" s="2" t="s">
        <v>706</v>
      </c>
      <c r="Q298" s="2"/>
      <c r="R298" s="2"/>
      <c r="S298" s="3">
        <v>223.3</v>
      </c>
      <c r="T298" s="11">
        <f t="shared" si="6"/>
        <v>1.8430935578391317E-3</v>
      </c>
      <c r="U298" s="1" t="s">
        <v>356</v>
      </c>
      <c r="V298" s="2"/>
      <c r="W298" s="2"/>
      <c r="X298" s="6" t="s">
        <v>358</v>
      </c>
      <c r="Y298" s="1" t="s">
        <v>359</v>
      </c>
    </row>
    <row r="299" spans="16:25">
      <c r="P299" s="2" t="s">
        <v>707</v>
      </c>
      <c r="Q299" s="2"/>
      <c r="R299" s="2"/>
      <c r="S299" s="3">
        <v>223.3</v>
      </c>
      <c r="T299" s="11">
        <f t="shared" si="6"/>
        <v>1.8430935578391317E-3</v>
      </c>
      <c r="U299" s="1" t="s">
        <v>356</v>
      </c>
      <c r="V299" s="2"/>
      <c r="W299" s="2"/>
      <c r="X299" s="6" t="s">
        <v>358</v>
      </c>
      <c r="Y299" s="1" t="s">
        <v>359</v>
      </c>
    </row>
    <row r="300" spans="16:25">
      <c r="P300" s="2" t="s">
        <v>708</v>
      </c>
      <c r="Q300" s="2"/>
      <c r="R300" s="2"/>
      <c r="S300" s="3">
        <v>255.2</v>
      </c>
      <c r="T300" s="11">
        <f t="shared" si="6"/>
        <v>2.1063926375304363E-3</v>
      </c>
      <c r="U300" s="1" t="s">
        <v>356</v>
      </c>
      <c r="V300" s="2"/>
      <c r="W300" s="2"/>
      <c r="X300" s="6" t="s">
        <v>358</v>
      </c>
      <c r="Y300" s="1" t="s">
        <v>359</v>
      </c>
    </row>
    <row r="301" spans="16:25">
      <c r="P301" s="2" t="s">
        <v>709</v>
      </c>
      <c r="Q301" s="2"/>
      <c r="R301" s="2"/>
      <c r="S301" s="3">
        <v>207.3</v>
      </c>
      <c r="T301" s="11">
        <f t="shared" si="6"/>
        <v>1.7110313235112048E-3</v>
      </c>
      <c r="U301" s="1" t="s">
        <v>356</v>
      </c>
      <c r="V301" s="2"/>
      <c r="W301" s="2"/>
      <c r="X301" s="6" t="s">
        <v>358</v>
      </c>
      <c r="Y301" s="1" t="s">
        <v>359</v>
      </c>
    </row>
    <row r="302" spans="16:25">
      <c r="P302" s="2" t="s">
        <v>710</v>
      </c>
      <c r="Q302" s="2"/>
      <c r="R302" s="2"/>
      <c r="S302" s="3">
        <v>255.2</v>
      </c>
      <c r="T302" s="11">
        <f t="shared" si="6"/>
        <v>2.1063926375304363E-3</v>
      </c>
      <c r="U302" s="1" t="s">
        <v>356</v>
      </c>
      <c r="V302" s="2"/>
      <c r="W302" s="2"/>
      <c r="X302" s="6" t="s">
        <v>358</v>
      </c>
      <c r="Y302" s="1" t="s">
        <v>359</v>
      </c>
    </row>
    <row r="303" spans="16:25">
      <c r="P303" s="2" t="s">
        <v>711</v>
      </c>
      <c r="Q303" s="2"/>
      <c r="R303" s="2"/>
      <c r="S303" s="3">
        <v>223.3</v>
      </c>
      <c r="T303" s="11">
        <f t="shared" si="6"/>
        <v>1.8430935578391317E-3</v>
      </c>
      <c r="U303" s="1" t="s">
        <v>356</v>
      </c>
      <c r="V303" s="2"/>
      <c r="W303" s="2"/>
      <c r="X303" s="6" t="s">
        <v>358</v>
      </c>
      <c r="Y303" s="1" t="s">
        <v>359</v>
      </c>
    </row>
    <row r="304" spans="16:25">
      <c r="P304" s="2" t="s">
        <v>712</v>
      </c>
      <c r="Q304" s="2"/>
      <c r="R304" s="2"/>
      <c r="S304" s="3">
        <v>223.3</v>
      </c>
      <c r="T304" s="11">
        <f t="shared" si="6"/>
        <v>1.8430935578391317E-3</v>
      </c>
      <c r="U304" s="1" t="s">
        <v>356</v>
      </c>
      <c r="V304" s="2"/>
      <c r="W304" s="2"/>
      <c r="X304" s="6" t="s">
        <v>358</v>
      </c>
      <c r="Y304" s="1" t="s">
        <v>359</v>
      </c>
    </row>
    <row r="305" spans="16:25">
      <c r="P305" s="2" t="s">
        <v>713</v>
      </c>
      <c r="Q305" s="2"/>
      <c r="R305" s="2"/>
      <c r="S305" s="3">
        <v>223.3</v>
      </c>
      <c r="T305" s="11">
        <f t="shared" si="6"/>
        <v>1.8430935578391317E-3</v>
      </c>
      <c r="U305" s="1" t="s">
        <v>356</v>
      </c>
      <c r="V305" s="2"/>
      <c r="W305" s="2"/>
      <c r="X305" s="6" t="s">
        <v>358</v>
      </c>
      <c r="Y305" s="1" t="s">
        <v>359</v>
      </c>
    </row>
    <row r="306" spans="16:25">
      <c r="P306" s="2" t="s">
        <v>714</v>
      </c>
      <c r="Q306" s="2"/>
      <c r="R306" s="2"/>
      <c r="S306" s="3">
        <v>271.14999999999998</v>
      </c>
      <c r="T306" s="11">
        <f t="shared" si="6"/>
        <v>2.2380421773760882E-3</v>
      </c>
      <c r="U306" s="1" t="s">
        <v>356</v>
      </c>
      <c r="V306" s="2"/>
      <c r="W306" s="2"/>
      <c r="X306" s="6" t="s">
        <v>358</v>
      </c>
      <c r="Y306" s="1" t="s">
        <v>359</v>
      </c>
    </row>
    <row r="307" spans="16:25">
      <c r="P307" s="2" t="s">
        <v>715</v>
      </c>
      <c r="Q307" s="2"/>
      <c r="R307" s="2"/>
      <c r="S307" s="3">
        <v>223.3</v>
      </c>
      <c r="T307" s="11">
        <f t="shared" si="6"/>
        <v>1.8430935578391317E-3</v>
      </c>
      <c r="U307" s="1" t="s">
        <v>356</v>
      </c>
      <c r="V307" s="2"/>
      <c r="W307" s="2"/>
      <c r="X307" s="6" t="s">
        <v>358</v>
      </c>
      <c r="Y307" s="1" t="s">
        <v>359</v>
      </c>
    </row>
    <row r="308" spans="16:25">
      <c r="P308" s="2" t="s">
        <v>716</v>
      </c>
      <c r="Q308" s="2"/>
      <c r="R308" s="2"/>
      <c r="S308" s="3">
        <v>207.35</v>
      </c>
      <c r="T308" s="11">
        <f t="shared" si="6"/>
        <v>1.7114440179934794E-3</v>
      </c>
      <c r="U308" s="1" t="s">
        <v>356</v>
      </c>
      <c r="V308" s="2"/>
      <c r="W308" s="2"/>
      <c r="X308" s="6" t="s">
        <v>358</v>
      </c>
      <c r="Y308" s="1" t="s">
        <v>359</v>
      </c>
    </row>
    <row r="309" spans="16:25">
      <c r="P309" s="2" t="s">
        <v>717</v>
      </c>
      <c r="Q309" s="2"/>
      <c r="R309" s="2"/>
      <c r="S309" s="3">
        <v>223.3</v>
      </c>
      <c r="T309" s="11">
        <f t="shared" si="6"/>
        <v>1.8430935578391317E-3</v>
      </c>
      <c r="U309" s="1" t="s">
        <v>356</v>
      </c>
      <c r="V309" s="2"/>
      <c r="W309" s="2"/>
      <c r="X309" s="6" t="s">
        <v>358</v>
      </c>
      <c r="Y309" s="1" t="s">
        <v>359</v>
      </c>
    </row>
    <row r="310" spans="16:25">
      <c r="P310" s="2" t="s">
        <v>718</v>
      </c>
      <c r="Q310" s="2"/>
      <c r="R310" s="2"/>
      <c r="S310" s="3">
        <v>207.35</v>
      </c>
      <c r="T310" s="11">
        <f t="shared" si="6"/>
        <v>1.7114440179934794E-3</v>
      </c>
      <c r="U310" s="1" t="s">
        <v>356</v>
      </c>
      <c r="V310" s="2"/>
      <c r="W310" s="2"/>
      <c r="X310" s="6" t="s">
        <v>358</v>
      </c>
      <c r="Y310" s="1" t="s">
        <v>359</v>
      </c>
    </row>
    <row r="311" spans="16:25">
      <c r="P311" s="2" t="s">
        <v>719</v>
      </c>
      <c r="Q311" s="2"/>
      <c r="R311" s="2"/>
      <c r="S311" s="3">
        <v>255.2</v>
      </c>
      <c r="T311" s="11">
        <f t="shared" si="6"/>
        <v>2.1063926375304363E-3</v>
      </c>
      <c r="U311" s="1" t="s">
        <v>356</v>
      </c>
      <c r="V311" s="2"/>
      <c r="W311" s="2"/>
      <c r="X311" s="6" t="s">
        <v>358</v>
      </c>
      <c r="Y311" s="1" t="s">
        <v>359</v>
      </c>
    </row>
    <row r="312" spans="16:25">
      <c r="P312" s="2" t="s">
        <v>720</v>
      </c>
      <c r="Q312" s="2"/>
      <c r="R312" s="2"/>
      <c r="S312" s="3">
        <v>255.2</v>
      </c>
      <c r="T312" s="11">
        <f t="shared" si="6"/>
        <v>2.1063926375304363E-3</v>
      </c>
      <c r="U312" s="1" t="s">
        <v>356</v>
      </c>
      <c r="V312" s="2"/>
      <c r="W312" s="2"/>
      <c r="X312" s="6" t="s">
        <v>358</v>
      </c>
      <c r="Y312" s="1" t="s">
        <v>359</v>
      </c>
    </row>
    <row r="313" spans="16:25">
      <c r="P313" s="2" t="s">
        <v>721</v>
      </c>
      <c r="Q313" s="2"/>
      <c r="R313" s="2"/>
      <c r="S313" s="3">
        <v>255.2</v>
      </c>
      <c r="T313" s="11">
        <f t="shared" si="6"/>
        <v>2.1063926375304363E-3</v>
      </c>
      <c r="U313" s="1" t="s">
        <v>356</v>
      </c>
      <c r="V313" s="2"/>
      <c r="W313" s="2"/>
      <c r="X313" s="6" t="s">
        <v>358</v>
      </c>
      <c r="Y313" s="1" t="s">
        <v>359</v>
      </c>
    </row>
    <row r="314" spans="16:25">
      <c r="P314" s="2" t="s">
        <v>722</v>
      </c>
      <c r="Q314" s="2"/>
      <c r="R314" s="2"/>
      <c r="S314" s="3">
        <v>223.3</v>
      </c>
      <c r="T314" s="11">
        <f t="shared" si="6"/>
        <v>1.8430935578391317E-3</v>
      </c>
      <c r="U314" s="1" t="s">
        <v>356</v>
      </c>
      <c r="V314" s="2"/>
      <c r="W314" s="2"/>
      <c r="X314" s="6" t="s">
        <v>358</v>
      </c>
      <c r="Y314" s="1" t="s">
        <v>359</v>
      </c>
    </row>
    <row r="315" spans="16:25">
      <c r="P315" s="2" t="s">
        <v>723</v>
      </c>
      <c r="Q315" s="2"/>
      <c r="R315" s="2"/>
      <c r="S315" s="3">
        <v>255.2</v>
      </c>
      <c r="T315" s="11">
        <f t="shared" si="6"/>
        <v>2.1063926375304363E-3</v>
      </c>
      <c r="U315" s="1" t="s">
        <v>356</v>
      </c>
      <c r="V315" s="2"/>
      <c r="W315" s="2"/>
      <c r="X315" s="6" t="s">
        <v>358</v>
      </c>
      <c r="Y315" s="1" t="s">
        <v>359</v>
      </c>
    </row>
    <row r="316" spans="16:25">
      <c r="P316" s="2" t="s">
        <v>724</v>
      </c>
      <c r="Q316" s="2"/>
      <c r="R316" s="2"/>
      <c r="S316" s="3">
        <v>223.3</v>
      </c>
      <c r="T316" s="11">
        <f t="shared" si="6"/>
        <v>1.8430935578391317E-3</v>
      </c>
      <c r="U316" s="1" t="s">
        <v>356</v>
      </c>
      <c r="V316" s="2"/>
      <c r="W316" s="2"/>
      <c r="X316" s="6" t="s">
        <v>358</v>
      </c>
      <c r="Y316" s="1" t="s">
        <v>359</v>
      </c>
    </row>
    <row r="317" spans="16:25">
      <c r="P317" s="2" t="s">
        <v>725</v>
      </c>
      <c r="Q317" s="2"/>
      <c r="R317" s="2"/>
      <c r="S317" s="3">
        <v>223.3</v>
      </c>
      <c r="T317" s="11">
        <f t="shared" si="6"/>
        <v>1.8430935578391317E-3</v>
      </c>
      <c r="U317" s="1" t="s">
        <v>356</v>
      </c>
      <c r="V317" s="2"/>
      <c r="W317" s="2"/>
      <c r="X317" s="6" t="s">
        <v>358</v>
      </c>
      <c r="Y317" s="1" t="s">
        <v>359</v>
      </c>
    </row>
    <row r="318" spans="16:25">
      <c r="P318" s="2" t="s">
        <v>726</v>
      </c>
      <c r="Q318" s="2"/>
      <c r="R318" s="2"/>
      <c r="S318" s="3">
        <v>223.3</v>
      </c>
      <c r="T318" s="11">
        <f t="shared" si="6"/>
        <v>1.8430935578391317E-3</v>
      </c>
      <c r="U318" s="1" t="s">
        <v>356</v>
      </c>
      <c r="V318" s="2"/>
      <c r="W318" s="2"/>
      <c r="X318" s="6" t="s">
        <v>358</v>
      </c>
      <c r="Y318" s="1" t="s">
        <v>359</v>
      </c>
    </row>
    <row r="319" spans="16:25">
      <c r="P319" s="2" t="s">
        <v>727</v>
      </c>
      <c r="Q319" s="2"/>
      <c r="R319" s="2"/>
      <c r="S319" s="3">
        <v>255.2</v>
      </c>
      <c r="T319" s="11">
        <f t="shared" si="6"/>
        <v>2.1063926375304363E-3</v>
      </c>
      <c r="U319" s="1" t="s">
        <v>356</v>
      </c>
      <c r="V319" s="2"/>
      <c r="W319" s="2"/>
      <c r="X319" s="6" t="s">
        <v>358</v>
      </c>
      <c r="Y319" s="1" t="s">
        <v>359</v>
      </c>
    </row>
    <row r="320" spans="16:25">
      <c r="P320" s="2" t="s">
        <v>728</v>
      </c>
      <c r="Q320" s="2"/>
      <c r="R320" s="2"/>
      <c r="S320" s="3">
        <v>255.2</v>
      </c>
      <c r="T320" s="11">
        <f t="shared" si="6"/>
        <v>2.1063926375304363E-3</v>
      </c>
      <c r="U320" s="1" t="s">
        <v>356</v>
      </c>
      <c r="V320" s="2"/>
      <c r="W320" s="2"/>
      <c r="X320" s="6" t="s">
        <v>358</v>
      </c>
      <c r="Y320" s="1" t="s">
        <v>359</v>
      </c>
    </row>
    <row r="321" spans="16:25">
      <c r="P321" s="2" t="s">
        <v>729</v>
      </c>
      <c r="Q321" s="2"/>
      <c r="R321" s="2"/>
      <c r="S321" s="3">
        <v>255.2</v>
      </c>
      <c r="T321" s="11">
        <f t="shared" si="6"/>
        <v>2.1063926375304363E-3</v>
      </c>
      <c r="U321" s="1" t="s">
        <v>356</v>
      </c>
      <c r="V321" s="2"/>
      <c r="W321" s="2"/>
      <c r="X321" s="6" t="s">
        <v>358</v>
      </c>
      <c r="Y321" s="1" t="s">
        <v>359</v>
      </c>
    </row>
    <row r="322" spans="16:25">
      <c r="P322" s="2" t="s">
        <v>730</v>
      </c>
      <c r="Q322" s="2"/>
      <c r="R322" s="2"/>
      <c r="S322" s="3">
        <v>255.2</v>
      </c>
      <c r="T322" s="11">
        <f t="shared" si="6"/>
        <v>2.1063926375304363E-3</v>
      </c>
      <c r="U322" s="1" t="s">
        <v>356</v>
      </c>
      <c r="V322" s="2"/>
      <c r="W322" s="2"/>
      <c r="X322" s="6" t="s">
        <v>358</v>
      </c>
      <c r="Y322" s="1" t="s">
        <v>359</v>
      </c>
    </row>
    <row r="323" spans="16:25">
      <c r="P323" s="2" t="s">
        <v>731</v>
      </c>
      <c r="Q323" s="2"/>
      <c r="R323" s="2"/>
      <c r="S323" s="3">
        <v>191.4</v>
      </c>
      <c r="T323" s="11">
        <f t="shared" si="6"/>
        <v>1.5797944781478271E-3</v>
      </c>
      <c r="U323" s="1" t="s">
        <v>356</v>
      </c>
      <c r="V323" s="2"/>
      <c r="W323" s="2"/>
      <c r="X323" s="6" t="s">
        <v>358</v>
      </c>
      <c r="Y323" s="1" t="s">
        <v>359</v>
      </c>
    </row>
    <row r="324" spans="16:25">
      <c r="P324" s="2" t="s">
        <v>732</v>
      </c>
      <c r="Q324" s="2"/>
      <c r="R324" s="2"/>
      <c r="S324" s="3">
        <v>223.3</v>
      </c>
      <c r="T324" s="11">
        <f t="shared" si="6"/>
        <v>1.8430935578391317E-3</v>
      </c>
      <c r="U324" s="1" t="s">
        <v>356</v>
      </c>
      <c r="V324" s="2"/>
      <c r="W324" s="2"/>
      <c r="X324" s="6" t="s">
        <v>358</v>
      </c>
      <c r="Y324" s="1" t="s">
        <v>359</v>
      </c>
    </row>
    <row r="325" spans="16:25">
      <c r="P325" s="2" t="s">
        <v>733</v>
      </c>
      <c r="Q325" s="2"/>
      <c r="R325" s="2"/>
      <c r="S325" s="3">
        <v>223.3</v>
      </c>
      <c r="T325" s="11">
        <f t="shared" si="6"/>
        <v>1.8430935578391317E-3</v>
      </c>
      <c r="U325" s="1" t="s">
        <v>356</v>
      </c>
      <c r="V325" s="2"/>
      <c r="W325" s="2"/>
      <c r="X325" s="6" t="s">
        <v>358</v>
      </c>
      <c r="Y325" s="1" t="s">
        <v>359</v>
      </c>
    </row>
    <row r="326" spans="16:25">
      <c r="P326" s="2" t="s">
        <v>734</v>
      </c>
      <c r="Q326" s="2"/>
      <c r="R326" s="2"/>
      <c r="S326" s="3">
        <v>223.3</v>
      </c>
      <c r="T326" s="11">
        <f t="shared" si="6"/>
        <v>1.8430935578391317E-3</v>
      </c>
      <c r="U326" s="1" t="s">
        <v>356</v>
      </c>
      <c r="V326" s="2"/>
      <c r="W326" s="2"/>
      <c r="X326" s="6" t="s">
        <v>358</v>
      </c>
      <c r="Y326" s="1" t="s">
        <v>359</v>
      </c>
    </row>
    <row r="327" spans="16:25">
      <c r="P327" s="2" t="s">
        <v>735</v>
      </c>
      <c r="Q327" s="2"/>
      <c r="R327" s="2"/>
      <c r="S327" s="3">
        <v>223.3</v>
      </c>
      <c r="T327" s="11">
        <f t="shared" si="6"/>
        <v>1.8430935578391317E-3</v>
      </c>
      <c r="U327" s="1" t="s">
        <v>356</v>
      </c>
      <c r="V327" s="2"/>
      <c r="W327" s="2"/>
      <c r="X327" s="6" t="s">
        <v>358</v>
      </c>
      <c r="Y327" s="1" t="s">
        <v>359</v>
      </c>
    </row>
    <row r="328" spans="16:25">
      <c r="P328" s="2" t="s">
        <v>736</v>
      </c>
      <c r="Q328" s="2"/>
      <c r="R328" s="2"/>
      <c r="S328" s="3">
        <v>223.3</v>
      </c>
      <c r="T328" s="11">
        <f t="shared" si="6"/>
        <v>1.8430935578391317E-3</v>
      </c>
      <c r="U328" s="1" t="s">
        <v>356</v>
      </c>
      <c r="V328" s="2"/>
      <c r="W328" s="2"/>
      <c r="X328" s="6" t="s">
        <v>358</v>
      </c>
      <c r="Y328" s="1" t="s">
        <v>359</v>
      </c>
    </row>
    <row r="329" spans="16:25">
      <c r="P329" s="2" t="s">
        <v>737</v>
      </c>
      <c r="Q329" s="2"/>
      <c r="R329" s="2"/>
      <c r="S329" s="3">
        <v>223.3</v>
      </c>
      <c r="T329" s="11">
        <f t="shared" si="6"/>
        <v>1.8430935578391317E-3</v>
      </c>
      <c r="U329" s="1" t="s">
        <v>356</v>
      </c>
      <c r="V329" s="2"/>
      <c r="W329" s="2"/>
      <c r="X329" s="6" t="s">
        <v>358</v>
      </c>
      <c r="Y329" s="1" t="s">
        <v>359</v>
      </c>
    </row>
    <row r="330" spans="16:25">
      <c r="P330" s="2" t="s">
        <v>738</v>
      </c>
      <c r="Q330" s="2"/>
      <c r="R330" s="2"/>
      <c r="S330" s="3">
        <v>223.3</v>
      </c>
      <c r="T330" s="11">
        <f t="shared" si="6"/>
        <v>1.8430935578391317E-3</v>
      </c>
      <c r="U330" s="1" t="s">
        <v>356</v>
      </c>
      <c r="V330" s="2"/>
      <c r="W330" s="2"/>
      <c r="X330" s="6" t="s">
        <v>358</v>
      </c>
      <c r="Y330" s="1" t="s">
        <v>359</v>
      </c>
    </row>
    <row r="331" spans="16:25">
      <c r="P331" s="2" t="s">
        <v>739</v>
      </c>
      <c r="Q331" s="2"/>
      <c r="R331" s="2"/>
      <c r="S331" s="3">
        <v>255.2</v>
      </c>
      <c r="T331" s="11">
        <f t="shared" si="6"/>
        <v>2.1063926375304363E-3</v>
      </c>
      <c r="U331" s="1" t="s">
        <v>356</v>
      </c>
      <c r="V331" s="2"/>
      <c r="W331" s="2"/>
      <c r="X331" s="6" t="s">
        <v>358</v>
      </c>
      <c r="Y331" s="1" t="s">
        <v>359</v>
      </c>
    </row>
    <row r="332" spans="16:25">
      <c r="P332" s="2" t="s">
        <v>740</v>
      </c>
      <c r="Q332" s="2"/>
      <c r="R332" s="2"/>
      <c r="S332" s="3">
        <v>223.3</v>
      </c>
      <c r="T332" s="11">
        <f t="shared" si="6"/>
        <v>1.8430935578391317E-3</v>
      </c>
      <c r="U332" s="1" t="s">
        <v>356</v>
      </c>
      <c r="V332" s="2"/>
      <c r="W332" s="2"/>
      <c r="X332" s="6" t="s">
        <v>358</v>
      </c>
      <c r="Y332" s="1" t="s">
        <v>359</v>
      </c>
    </row>
    <row r="333" spans="16:25">
      <c r="P333" s="2" t="s">
        <v>741</v>
      </c>
      <c r="Q333" s="2"/>
      <c r="R333" s="2"/>
      <c r="S333" s="3">
        <v>255.2</v>
      </c>
      <c r="T333" s="11">
        <f t="shared" si="6"/>
        <v>2.1063926375304363E-3</v>
      </c>
      <c r="U333" s="1" t="s">
        <v>356</v>
      </c>
      <c r="V333" s="2"/>
      <c r="W333" s="2"/>
      <c r="X333" s="6" t="s">
        <v>358</v>
      </c>
      <c r="Y333" s="1" t="s">
        <v>359</v>
      </c>
    </row>
    <row r="334" spans="16:25">
      <c r="P334" s="2" t="s">
        <v>742</v>
      </c>
      <c r="Q334" s="2"/>
      <c r="R334" s="2"/>
      <c r="S334" s="3">
        <v>223.3</v>
      </c>
      <c r="T334" s="11">
        <f t="shared" si="6"/>
        <v>1.8430935578391317E-3</v>
      </c>
      <c r="U334" s="1" t="s">
        <v>356</v>
      </c>
      <c r="V334" s="2"/>
      <c r="W334" s="2"/>
      <c r="X334" s="6" t="s">
        <v>358</v>
      </c>
      <c r="Y334" s="1" t="s">
        <v>359</v>
      </c>
    </row>
    <row r="335" spans="16:25">
      <c r="P335" s="2" t="s">
        <v>743</v>
      </c>
      <c r="Q335" s="2"/>
      <c r="R335" s="2"/>
      <c r="S335" s="3">
        <v>252.88</v>
      </c>
      <c r="T335" s="11">
        <f t="shared" si="6"/>
        <v>2.0872436135528868E-3</v>
      </c>
      <c r="U335" s="1" t="s">
        <v>356</v>
      </c>
      <c r="V335" s="2"/>
      <c r="W335" s="2"/>
      <c r="X335" s="6" t="s">
        <v>358</v>
      </c>
      <c r="Y335" s="1" t="s">
        <v>359</v>
      </c>
    </row>
    <row r="336" spans="16:25">
      <c r="P336" s="2" t="s">
        <v>744</v>
      </c>
      <c r="Q336" s="2"/>
      <c r="R336" s="2"/>
      <c r="S336" s="3">
        <v>252.88</v>
      </c>
      <c r="T336" s="11">
        <f t="shared" si="6"/>
        <v>2.0872436135528868E-3</v>
      </c>
      <c r="U336" s="1" t="s">
        <v>356</v>
      </c>
      <c r="V336" s="2"/>
      <c r="W336" s="2"/>
      <c r="X336" s="6" t="s">
        <v>358</v>
      </c>
      <c r="Y336" s="1" t="s">
        <v>359</v>
      </c>
    </row>
    <row r="337" spans="16:25">
      <c r="P337" s="2" t="s">
        <v>745</v>
      </c>
      <c r="Q337" s="2"/>
      <c r="R337" s="2"/>
      <c r="S337" s="3">
        <v>252.88</v>
      </c>
      <c r="T337" s="11">
        <f t="shared" si="6"/>
        <v>2.0872436135528868E-3</v>
      </c>
      <c r="U337" s="1" t="s">
        <v>356</v>
      </c>
      <c r="V337" s="2"/>
      <c r="W337" s="2"/>
      <c r="X337" s="6" t="s">
        <v>358</v>
      </c>
      <c r="Y337" s="1" t="s">
        <v>359</v>
      </c>
    </row>
    <row r="338" spans="16:25">
      <c r="P338" s="2" t="s">
        <v>746</v>
      </c>
      <c r="Q338" s="2"/>
      <c r="R338" s="2"/>
      <c r="S338" s="3">
        <v>221.27</v>
      </c>
      <c r="T338" s="11">
        <f t="shared" si="6"/>
        <v>1.826338161858776E-3</v>
      </c>
      <c r="U338" s="1" t="s">
        <v>356</v>
      </c>
      <c r="V338" s="2"/>
      <c r="W338" s="2"/>
      <c r="X338" s="6" t="s">
        <v>358</v>
      </c>
      <c r="Y338" s="1" t="s">
        <v>359</v>
      </c>
    </row>
    <row r="339" spans="16:25">
      <c r="P339" s="2" t="s">
        <v>747</v>
      </c>
      <c r="Q339" s="2"/>
      <c r="R339" s="2"/>
      <c r="S339" s="3">
        <v>252.88</v>
      </c>
      <c r="T339" s="11">
        <f t="shared" si="6"/>
        <v>2.0872436135528868E-3</v>
      </c>
      <c r="U339" s="1" t="s">
        <v>356</v>
      </c>
      <c r="V339" s="2"/>
      <c r="W339" s="2"/>
      <c r="X339" s="6" t="s">
        <v>358</v>
      </c>
      <c r="Y339" s="1" t="s">
        <v>359</v>
      </c>
    </row>
    <row r="340" spans="16:25">
      <c r="P340" s="2" t="s">
        <v>748</v>
      </c>
      <c r="Q340" s="2"/>
      <c r="R340" s="2"/>
      <c r="S340" s="3">
        <v>252.88</v>
      </c>
      <c r="T340" s="11">
        <f t="shared" si="6"/>
        <v>2.0872436135528868E-3</v>
      </c>
      <c r="U340" s="1" t="s">
        <v>356</v>
      </c>
      <c r="V340" s="2"/>
      <c r="W340" s="2"/>
      <c r="X340" s="6" t="s">
        <v>358</v>
      </c>
      <c r="Y340" s="1" t="s">
        <v>359</v>
      </c>
    </row>
    <row r="341" spans="16:25">
      <c r="P341" s="2" t="s">
        <v>749</v>
      </c>
      <c r="Q341" s="2"/>
      <c r="R341" s="2"/>
      <c r="S341" s="3">
        <v>252.88</v>
      </c>
      <c r="T341" s="11">
        <f t="shared" si="6"/>
        <v>2.0872436135528868E-3</v>
      </c>
      <c r="U341" s="1" t="s">
        <v>356</v>
      </c>
      <c r="V341" s="2"/>
      <c r="W341" s="2"/>
      <c r="X341" s="6" t="s">
        <v>358</v>
      </c>
      <c r="Y341" s="1" t="s">
        <v>359</v>
      </c>
    </row>
    <row r="342" spans="16:25">
      <c r="P342" s="2" t="s">
        <v>750</v>
      </c>
      <c r="Q342" s="2"/>
      <c r="R342" s="2"/>
      <c r="S342" s="3">
        <v>221.27</v>
      </c>
      <c r="T342" s="11">
        <f t="shared" si="6"/>
        <v>1.826338161858776E-3</v>
      </c>
      <c r="U342" s="1" t="s">
        <v>356</v>
      </c>
      <c r="V342" s="2"/>
      <c r="W342" s="2"/>
      <c r="X342" s="6" t="s">
        <v>358</v>
      </c>
      <c r="Y342" s="1" t="s">
        <v>359</v>
      </c>
    </row>
    <row r="343" spans="16:25">
      <c r="P343" s="2" t="s">
        <v>751</v>
      </c>
      <c r="Q343" s="2"/>
      <c r="R343" s="2"/>
      <c r="S343" s="3">
        <v>252.88</v>
      </c>
      <c r="T343" s="11">
        <f t="shared" si="6"/>
        <v>2.0872436135528868E-3</v>
      </c>
      <c r="U343" s="1" t="s">
        <v>356</v>
      </c>
      <c r="V343" s="2"/>
      <c r="W343" s="2"/>
      <c r="X343" s="6" t="s">
        <v>358</v>
      </c>
      <c r="Y343" s="1" t="s">
        <v>359</v>
      </c>
    </row>
    <row r="344" spans="16:25">
      <c r="P344" s="2" t="s">
        <v>752</v>
      </c>
      <c r="Q344" s="2"/>
      <c r="R344" s="2"/>
      <c r="S344" s="3">
        <v>252.88</v>
      </c>
      <c r="T344" s="11">
        <f t="shared" si="6"/>
        <v>2.0872436135528868E-3</v>
      </c>
      <c r="U344" s="1" t="s">
        <v>356</v>
      </c>
      <c r="V344" s="2"/>
      <c r="W344" s="2"/>
      <c r="X344" s="6" t="s">
        <v>358</v>
      </c>
      <c r="Y344" s="1" t="s">
        <v>359</v>
      </c>
    </row>
    <row r="345" spans="16:25">
      <c r="P345" s="2" t="s">
        <v>753</v>
      </c>
      <c r="Q345" s="2"/>
      <c r="R345" s="2"/>
      <c r="S345" s="3">
        <v>252.88</v>
      </c>
      <c r="T345" s="11">
        <f t="shared" si="6"/>
        <v>2.0872436135528868E-3</v>
      </c>
      <c r="U345" s="1" t="s">
        <v>356</v>
      </c>
      <c r="V345" s="2"/>
      <c r="W345" s="2"/>
      <c r="X345" s="6" t="s">
        <v>358</v>
      </c>
      <c r="Y345" s="1" t="s">
        <v>359</v>
      </c>
    </row>
    <row r="346" spans="16:25">
      <c r="P346" s="2" t="s">
        <v>754</v>
      </c>
      <c r="Q346" s="2"/>
      <c r="R346" s="2"/>
      <c r="S346" s="3">
        <v>252.88</v>
      </c>
      <c r="T346" s="11">
        <f t="shared" si="6"/>
        <v>2.0872436135528868E-3</v>
      </c>
      <c r="U346" s="1" t="s">
        <v>356</v>
      </c>
      <c r="V346" s="2"/>
      <c r="W346" s="2"/>
      <c r="X346" s="6" t="s">
        <v>358</v>
      </c>
      <c r="Y346" s="1" t="s">
        <v>359</v>
      </c>
    </row>
    <row r="347" spans="16:25">
      <c r="P347" s="2" t="s">
        <v>755</v>
      </c>
      <c r="Q347" s="2"/>
      <c r="R347" s="2"/>
      <c r="S347" s="3">
        <v>252.88</v>
      </c>
      <c r="T347" s="11">
        <f t="shared" si="6"/>
        <v>2.0872436135528868E-3</v>
      </c>
      <c r="U347" s="1" t="s">
        <v>356</v>
      </c>
      <c r="V347" s="2"/>
      <c r="W347" s="2"/>
      <c r="X347" s="6" t="s">
        <v>358</v>
      </c>
      <c r="Y347" s="1" t="s">
        <v>359</v>
      </c>
    </row>
    <row r="348" spans="16:25">
      <c r="P348" s="2" t="s">
        <v>756</v>
      </c>
      <c r="Q348" s="2"/>
      <c r="R348" s="2"/>
      <c r="S348" s="3">
        <v>252.88</v>
      </c>
      <c r="T348" s="11">
        <f t="shared" si="6"/>
        <v>2.0872436135528868E-3</v>
      </c>
      <c r="U348" s="1" t="s">
        <v>356</v>
      </c>
      <c r="V348" s="2"/>
      <c r="W348" s="2"/>
      <c r="X348" s="6" t="s">
        <v>358</v>
      </c>
      <c r="Y348" s="1" t="s">
        <v>359</v>
      </c>
    </row>
    <row r="349" spans="16:25">
      <c r="P349" s="2" t="s">
        <v>757</v>
      </c>
      <c r="Q349" s="2"/>
      <c r="R349" s="2"/>
      <c r="S349" s="3">
        <v>221.27</v>
      </c>
      <c r="T349" s="11">
        <f t="shared" si="6"/>
        <v>1.826338161858776E-3</v>
      </c>
      <c r="U349" s="1" t="s">
        <v>356</v>
      </c>
      <c r="V349" s="2"/>
      <c r="W349" s="2"/>
      <c r="X349" s="6" t="s">
        <v>358</v>
      </c>
      <c r="Y349" s="1" t="s">
        <v>359</v>
      </c>
    </row>
    <row r="350" spans="16:25">
      <c r="P350" s="2" t="s">
        <v>758</v>
      </c>
      <c r="Q350" s="2"/>
      <c r="R350" s="2"/>
      <c r="S350" s="3">
        <v>237.07499999999999</v>
      </c>
      <c r="T350" s="11">
        <f t="shared" ref="T350:T413" si="7">S350/$B$2</f>
        <v>1.9567908877058311E-3</v>
      </c>
      <c r="U350" s="1" t="s">
        <v>356</v>
      </c>
      <c r="V350" s="2"/>
      <c r="W350" s="2"/>
      <c r="X350" s="6" t="s">
        <v>358</v>
      </c>
      <c r="Y350" s="1" t="s">
        <v>359</v>
      </c>
    </row>
    <row r="351" spans="16:25">
      <c r="P351" s="2" t="s">
        <v>759</v>
      </c>
      <c r="Q351" s="2"/>
      <c r="R351" s="2"/>
      <c r="S351" s="3">
        <v>252.88</v>
      </c>
      <c r="T351" s="11">
        <f t="shared" si="7"/>
        <v>2.0872436135528868E-3</v>
      </c>
      <c r="U351" s="1" t="s">
        <v>356</v>
      </c>
      <c r="V351" s="2"/>
      <c r="W351" s="2"/>
      <c r="X351" s="6" t="s">
        <v>358</v>
      </c>
      <c r="Y351" s="1" t="s">
        <v>359</v>
      </c>
    </row>
    <row r="352" spans="16:25">
      <c r="P352" s="2" t="s">
        <v>760</v>
      </c>
      <c r="Q352" s="2"/>
      <c r="R352" s="2"/>
      <c r="S352" s="3">
        <v>268.685</v>
      </c>
      <c r="T352" s="11">
        <f t="shared" si="7"/>
        <v>2.2176963393999421E-3</v>
      </c>
      <c r="U352" s="1" t="s">
        <v>356</v>
      </c>
      <c r="V352" s="2"/>
      <c r="W352" s="2"/>
      <c r="X352" s="6" t="s">
        <v>358</v>
      </c>
      <c r="Y352" s="1" t="s">
        <v>359</v>
      </c>
    </row>
    <row r="353" spans="16:25">
      <c r="P353" s="2" t="s">
        <v>761</v>
      </c>
      <c r="Q353" s="2"/>
      <c r="R353" s="2"/>
      <c r="S353" s="3">
        <v>252.88</v>
      </c>
      <c r="T353" s="11">
        <f t="shared" si="7"/>
        <v>2.0872436135528868E-3</v>
      </c>
      <c r="U353" s="1" t="s">
        <v>356</v>
      </c>
      <c r="V353" s="2"/>
      <c r="W353" s="2"/>
      <c r="X353" s="6" t="s">
        <v>358</v>
      </c>
      <c r="Y353" s="1" t="s">
        <v>359</v>
      </c>
    </row>
    <row r="354" spans="16:25">
      <c r="P354" s="2" t="s">
        <v>762</v>
      </c>
      <c r="Q354" s="2"/>
      <c r="R354" s="2"/>
      <c r="S354" s="3">
        <v>252.88</v>
      </c>
      <c r="T354" s="11">
        <f t="shared" si="7"/>
        <v>2.0872436135528868E-3</v>
      </c>
      <c r="U354" s="1" t="s">
        <v>356</v>
      </c>
      <c r="V354" s="2"/>
      <c r="W354" s="2"/>
      <c r="X354" s="6" t="s">
        <v>358</v>
      </c>
      <c r="Y354" s="1" t="s">
        <v>359</v>
      </c>
    </row>
    <row r="355" spans="16:25">
      <c r="P355" s="2" t="s">
        <v>763</v>
      </c>
      <c r="Q355" s="2"/>
      <c r="R355" s="2"/>
      <c r="S355" s="3">
        <v>252.88</v>
      </c>
      <c r="T355" s="11">
        <f t="shared" si="7"/>
        <v>2.0872436135528868E-3</v>
      </c>
      <c r="U355" s="1" t="s">
        <v>356</v>
      </c>
      <c r="V355" s="2"/>
      <c r="W355" s="2"/>
      <c r="X355" s="6" t="s">
        <v>358</v>
      </c>
      <c r="Y355" s="1" t="s">
        <v>359</v>
      </c>
    </row>
    <row r="356" spans="16:25">
      <c r="P356" s="2" t="s">
        <v>764</v>
      </c>
      <c r="Q356" s="2"/>
      <c r="R356" s="2"/>
      <c r="S356" s="3">
        <v>252.88</v>
      </c>
      <c r="T356" s="11">
        <f t="shared" si="7"/>
        <v>2.0872436135528868E-3</v>
      </c>
      <c r="U356" s="1" t="s">
        <v>356</v>
      </c>
      <c r="V356" s="2"/>
      <c r="W356" s="2"/>
      <c r="X356" s="6" t="s">
        <v>358</v>
      </c>
      <c r="Y356" s="1" t="s">
        <v>359</v>
      </c>
    </row>
    <row r="357" spans="16:25">
      <c r="P357" s="2" t="s">
        <v>765</v>
      </c>
      <c r="Q357" s="2"/>
      <c r="R357" s="2"/>
      <c r="S357" s="3">
        <v>221.27</v>
      </c>
      <c r="T357" s="11">
        <f t="shared" si="7"/>
        <v>1.826338161858776E-3</v>
      </c>
      <c r="U357" s="1" t="s">
        <v>356</v>
      </c>
      <c r="V357" s="2"/>
      <c r="W357" s="2"/>
      <c r="X357" s="6" t="s">
        <v>358</v>
      </c>
      <c r="Y357" s="1" t="s">
        <v>359</v>
      </c>
    </row>
    <row r="358" spans="16:25">
      <c r="P358" s="2" t="s">
        <v>766</v>
      </c>
      <c r="Q358" s="2"/>
      <c r="R358" s="2"/>
      <c r="S358" s="3">
        <v>252.88</v>
      </c>
      <c r="T358" s="11">
        <f t="shared" si="7"/>
        <v>2.0872436135528868E-3</v>
      </c>
      <c r="U358" s="1" t="s">
        <v>356</v>
      </c>
      <c r="V358" s="2"/>
      <c r="W358" s="2"/>
      <c r="X358" s="6" t="s">
        <v>358</v>
      </c>
      <c r="Y358" s="1" t="s">
        <v>359</v>
      </c>
    </row>
    <row r="359" spans="16:25">
      <c r="P359" s="2" t="s">
        <v>767</v>
      </c>
      <c r="Q359" s="2"/>
      <c r="R359" s="2"/>
      <c r="S359" s="3">
        <v>252.88</v>
      </c>
      <c r="T359" s="11">
        <f t="shared" si="7"/>
        <v>2.0872436135528868E-3</v>
      </c>
      <c r="U359" s="1" t="s">
        <v>356</v>
      </c>
      <c r="V359" s="2"/>
      <c r="W359" s="2"/>
      <c r="X359" s="6" t="s">
        <v>358</v>
      </c>
      <c r="Y359" s="1" t="s">
        <v>359</v>
      </c>
    </row>
    <row r="360" spans="16:25">
      <c r="P360" s="2" t="s">
        <v>768</v>
      </c>
      <c r="Q360" s="2"/>
      <c r="R360" s="2"/>
      <c r="S360" s="3">
        <v>252.88</v>
      </c>
      <c r="T360" s="11">
        <f t="shared" si="7"/>
        <v>2.0872436135528868E-3</v>
      </c>
      <c r="U360" s="1" t="s">
        <v>356</v>
      </c>
      <c r="V360" s="2"/>
      <c r="W360" s="2"/>
      <c r="X360" s="6" t="s">
        <v>358</v>
      </c>
      <c r="Y360" s="1" t="s">
        <v>359</v>
      </c>
    </row>
    <row r="361" spans="16:25">
      <c r="P361" s="2" t="s">
        <v>769</v>
      </c>
      <c r="Q361" s="2"/>
      <c r="R361" s="2"/>
      <c r="S361" s="3">
        <v>252.88</v>
      </c>
      <c r="T361" s="11">
        <f t="shared" si="7"/>
        <v>2.0872436135528868E-3</v>
      </c>
      <c r="U361" s="1" t="s">
        <v>356</v>
      </c>
      <c r="V361" s="2"/>
      <c r="W361" s="2"/>
      <c r="X361" s="6" t="s">
        <v>358</v>
      </c>
      <c r="Y361" s="1" t="s">
        <v>359</v>
      </c>
    </row>
    <row r="362" spans="16:25">
      <c r="P362" s="2" t="s">
        <v>770</v>
      </c>
      <c r="Q362" s="2"/>
      <c r="R362" s="2"/>
      <c r="S362" s="3">
        <v>252.88</v>
      </c>
      <c r="T362" s="11">
        <f t="shared" si="7"/>
        <v>2.0872436135528868E-3</v>
      </c>
      <c r="U362" s="1" t="s">
        <v>356</v>
      </c>
      <c r="V362" s="2"/>
      <c r="W362" s="2"/>
      <c r="X362" s="6" t="s">
        <v>358</v>
      </c>
      <c r="Y362" s="1" t="s">
        <v>359</v>
      </c>
    </row>
    <row r="363" spans="16:25">
      <c r="P363" s="2" t="s">
        <v>771</v>
      </c>
      <c r="Q363" s="2"/>
      <c r="R363" s="2"/>
      <c r="S363" s="3">
        <v>252.88</v>
      </c>
      <c r="T363" s="11">
        <f t="shared" si="7"/>
        <v>2.0872436135528868E-3</v>
      </c>
      <c r="U363" s="1" t="s">
        <v>356</v>
      </c>
      <c r="V363" s="2"/>
      <c r="W363" s="2"/>
      <c r="X363" s="6" t="s">
        <v>358</v>
      </c>
      <c r="Y363" s="1" t="s">
        <v>359</v>
      </c>
    </row>
    <row r="364" spans="16:25">
      <c r="P364" s="2" t="s">
        <v>772</v>
      </c>
      <c r="Q364" s="2"/>
      <c r="R364" s="2"/>
      <c r="S364" s="3">
        <v>255.2</v>
      </c>
      <c r="T364" s="11">
        <f t="shared" si="7"/>
        <v>2.1063926375304363E-3</v>
      </c>
      <c r="U364" s="1" t="s">
        <v>356</v>
      </c>
      <c r="V364" s="2"/>
      <c r="W364" s="2"/>
      <c r="X364" s="6" t="s">
        <v>358</v>
      </c>
      <c r="Y364" s="1" t="s">
        <v>359</v>
      </c>
    </row>
    <row r="365" spans="16:25">
      <c r="P365" s="2" t="s">
        <v>773</v>
      </c>
      <c r="Q365" s="2"/>
      <c r="R365" s="2"/>
      <c r="S365" s="3">
        <v>252.88</v>
      </c>
      <c r="T365" s="11">
        <f t="shared" si="7"/>
        <v>2.0872436135528868E-3</v>
      </c>
      <c r="U365" s="1" t="s">
        <v>356</v>
      </c>
      <c r="V365" s="2"/>
      <c r="W365" s="2"/>
      <c r="X365" s="6" t="s">
        <v>358</v>
      </c>
      <c r="Y365" s="1" t="s">
        <v>359</v>
      </c>
    </row>
    <row r="366" spans="16:25">
      <c r="P366" s="2" t="s">
        <v>774</v>
      </c>
      <c r="Q366" s="2"/>
      <c r="R366" s="2"/>
      <c r="S366" s="3">
        <v>252.88</v>
      </c>
      <c r="T366" s="11">
        <f t="shared" si="7"/>
        <v>2.0872436135528868E-3</v>
      </c>
      <c r="U366" s="1" t="s">
        <v>356</v>
      </c>
      <c r="V366" s="2"/>
      <c r="W366" s="2"/>
      <c r="X366" s="6" t="s">
        <v>358</v>
      </c>
      <c r="Y366" s="1" t="s">
        <v>359</v>
      </c>
    </row>
    <row r="367" spans="16:25">
      <c r="P367" s="2" t="s">
        <v>775</v>
      </c>
      <c r="Q367" s="2"/>
      <c r="R367" s="2"/>
      <c r="S367" s="3">
        <v>252.88</v>
      </c>
      <c r="T367" s="11">
        <f t="shared" si="7"/>
        <v>2.0872436135528868E-3</v>
      </c>
      <c r="U367" s="1" t="s">
        <v>356</v>
      </c>
      <c r="V367" s="2"/>
      <c r="W367" s="2"/>
      <c r="X367" s="6" t="s">
        <v>358</v>
      </c>
      <c r="Y367" s="1" t="s">
        <v>359</v>
      </c>
    </row>
    <row r="368" spans="16:25">
      <c r="P368" s="2" t="s">
        <v>776</v>
      </c>
      <c r="Q368" s="2"/>
      <c r="R368" s="2"/>
      <c r="S368" s="3">
        <v>252.88</v>
      </c>
      <c r="T368" s="11">
        <f t="shared" si="7"/>
        <v>2.0872436135528868E-3</v>
      </c>
      <c r="U368" s="1" t="s">
        <v>356</v>
      </c>
      <c r="V368" s="2"/>
      <c r="W368" s="2"/>
      <c r="X368" s="6" t="s">
        <v>358</v>
      </c>
      <c r="Y368" s="1" t="s">
        <v>359</v>
      </c>
    </row>
    <row r="369" spans="16:25">
      <c r="P369" s="2" t="s">
        <v>777</v>
      </c>
      <c r="Q369" s="2"/>
      <c r="R369" s="2"/>
      <c r="S369" s="3">
        <v>237.07499999999999</v>
      </c>
      <c r="T369" s="11">
        <f t="shared" si="7"/>
        <v>1.9567908877058311E-3</v>
      </c>
      <c r="U369" s="1" t="s">
        <v>356</v>
      </c>
      <c r="V369" s="2"/>
      <c r="W369" s="2"/>
      <c r="X369" s="6" t="s">
        <v>358</v>
      </c>
      <c r="Y369" s="1" t="s">
        <v>359</v>
      </c>
    </row>
    <row r="370" spans="16:25">
      <c r="P370" s="2" t="s">
        <v>778</v>
      </c>
      <c r="Q370" s="2"/>
      <c r="R370" s="2"/>
      <c r="S370" s="3">
        <v>252.88</v>
      </c>
      <c r="T370" s="11">
        <f t="shared" si="7"/>
        <v>2.0872436135528868E-3</v>
      </c>
      <c r="U370" s="1" t="s">
        <v>356</v>
      </c>
      <c r="V370" s="2"/>
      <c r="W370" s="2"/>
      <c r="X370" s="6" t="s">
        <v>358</v>
      </c>
      <c r="Y370" s="1" t="s">
        <v>359</v>
      </c>
    </row>
    <row r="371" spans="16:25">
      <c r="P371" s="2" t="s">
        <v>779</v>
      </c>
      <c r="Q371" s="2"/>
      <c r="R371" s="2"/>
      <c r="S371" s="3">
        <v>189.66</v>
      </c>
      <c r="T371" s="11">
        <f t="shared" si="7"/>
        <v>1.565432710164665E-3</v>
      </c>
      <c r="U371" s="1" t="s">
        <v>356</v>
      </c>
      <c r="V371" s="2"/>
      <c r="W371" s="2"/>
      <c r="X371" s="6" t="s">
        <v>358</v>
      </c>
      <c r="Y371" s="1" t="s">
        <v>359</v>
      </c>
    </row>
    <row r="372" spans="16:25">
      <c r="P372" s="2" t="s">
        <v>780</v>
      </c>
      <c r="Q372" s="2"/>
      <c r="R372" s="2"/>
      <c r="S372" s="3">
        <v>221.27</v>
      </c>
      <c r="T372" s="11">
        <f t="shared" si="7"/>
        <v>1.826338161858776E-3</v>
      </c>
      <c r="U372" s="1" t="s">
        <v>356</v>
      </c>
      <c r="V372" s="2"/>
      <c r="W372" s="2"/>
      <c r="X372" s="6" t="s">
        <v>358</v>
      </c>
      <c r="Y372" s="1" t="s">
        <v>359</v>
      </c>
    </row>
    <row r="373" spans="16:25">
      <c r="P373" s="2" t="s">
        <v>781</v>
      </c>
      <c r="Q373" s="2"/>
      <c r="R373" s="2"/>
      <c r="S373" s="3">
        <v>221.27</v>
      </c>
      <c r="T373" s="11">
        <f t="shared" si="7"/>
        <v>1.826338161858776E-3</v>
      </c>
      <c r="U373" s="1" t="s">
        <v>356</v>
      </c>
      <c r="V373" s="2"/>
      <c r="W373" s="2"/>
      <c r="X373" s="6" t="s">
        <v>358</v>
      </c>
      <c r="Y373" s="1" t="s">
        <v>359</v>
      </c>
    </row>
    <row r="374" spans="16:25">
      <c r="P374" s="2" t="s">
        <v>782</v>
      </c>
      <c r="Q374" s="2"/>
      <c r="R374" s="2"/>
      <c r="S374" s="3">
        <v>221.27</v>
      </c>
      <c r="T374" s="11">
        <f t="shared" si="7"/>
        <v>1.826338161858776E-3</v>
      </c>
      <c r="U374" s="1" t="s">
        <v>356</v>
      </c>
      <c r="V374" s="2"/>
      <c r="W374" s="2"/>
      <c r="X374" s="6" t="s">
        <v>358</v>
      </c>
      <c r="Y374" s="1" t="s">
        <v>359</v>
      </c>
    </row>
    <row r="375" spans="16:25">
      <c r="P375" s="2" t="s">
        <v>783</v>
      </c>
      <c r="Q375" s="2"/>
      <c r="R375" s="2"/>
      <c r="S375" s="3">
        <v>252.88</v>
      </c>
      <c r="T375" s="11">
        <f t="shared" si="7"/>
        <v>2.0872436135528868E-3</v>
      </c>
      <c r="U375" s="1" t="s">
        <v>356</v>
      </c>
      <c r="V375" s="2"/>
      <c r="W375" s="2"/>
      <c r="X375" s="6" t="s">
        <v>358</v>
      </c>
      <c r="Y375" s="1" t="s">
        <v>359</v>
      </c>
    </row>
    <row r="376" spans="16:25">
      <c r="P376" s="2" t="s">
        <v>784</v>
      </c>
      <c r="Q376" s="2"/>
      <c r="R376" s="2"/>
      <c r="S376" s="3">
        <v>221.27</v>
      </c>
      <c r="T376" s="11">
        <f t="shared" si="7"/>
        <v>1.826338161858776E-3</v>
      </c>
      <c r="U376" s="1" t="s">
        <v>356</v>
      </c>
      <c r="V376" s="2"/>
      <c r="W376" s="2"/>
      <c r="X376" s="6" t="s">
        <v>358</v>
      </c>
      <c r="Y376" s="1" t="s">
        <v>359</v>
      </c>
    </row>
    <row r="377" spans="16:25">
      <c r="P377" s="2" t="s">
        <v>785</v>
      </c>
      <c r="Q377" s="2"/>
      <c r="R377" s="2"/>
      <c r="S377" s="3">
        <v>237.07499999999999</v>
      </c>
      <c r="T377" s="11">
        <f t="shared" si="7"/>
        <v>1.9567908877058311E-3</v>
      </c>
      <c r="U377" s="1" t="s">
        <v>356</v>
      </c>
      <c r="V377" s="2"/>
      <c r="W377" s="2"/>
      <c r="X377" s="6" t="s">
        <v>358</v>
      </c>
      <c r="Y377" s="1" t="s">
        <v>359</v>
      </c>
    </row>
    <row r="378" spans="16:25">
      <c r="P378" s="2" t="s">
        <v>786</v>
      </c>
      <c r="Q378" s="2"/>
      <c r="R378" s="2"/>
      <c r="S378" s="3">
        <v>284.49</v>
      </c>
      <c r="T378" s="11">
        <f t="shared" si="7"/>
        <v>2.3481490652469978E-3</v>
      </c>
      <c r="U378" s="1" t="s">
        <v>356</v>
      </c>
      <c r="V378" s="2"/>
      <c r="W378" s="2"/>
      <c r="X378" s="6" t="s">
        <v>358</v>
      </c>
      <c r="Y378" s="1" t="s">
        <v>359</v>
      </c>
    </row>
    <row r="379" spans="16:25">
      <c r="P379" s="2" t="s">
        <v>787</v>
      </c>
      <c r="Q379" s="2"/>
      <c r="R379" s="2"/>
      <c r="S379" s="3">
        <v>284.49</v>
      </c>
      <c r="T379" s="11">
        <f t="shared" si="7"/>
        <v>2.3481490652469978E-3</v>
      </c>
      <c r="U379" s="1" t="s">
        <v>356</v>
      </c>
      <c r="V379" s="2"/>
      <c r="W379" s="2"/>
      <c r="X379" s="6" t="s">
        <v>358</v>
      </c>
      <c r="Y379" s="1" t="s">
        <v>359</v>
      </c>
    </row>
    <row r="380" spans="16:25">
      <c r="P380" s="2" t="s">
        <v>788</v>
      </c>
      <c r="Q380" s="2"/>
      <c r="R380" s="2"/>
      <c r="S380" s="3">
        <v>284.49</v>
      </c>
      <c r="T380" s="11">
        <f t="shared" si="7"/>
        <v>2.3481490652469978E-3</v>
      </c>
      <c r="U380" s="1" t="s">
        <v>356</v>
      </c>
      <c r="V380" s="2"/>
      <c r="W380" s="2"/>
      <c r="X380" s="6" t="s">
        <v>358</v>
      </c>
      <c r="Y380" s="1" t="s">
        <v>359</v>
      </c>
    </row>
    <row r="381" spans="16:25">
      <c r="P381" s="2" t="s">
        <v>789</v>
      </c>
      <c r="Q381" s="2"/>
      <c r="R381" s="2"/>
      <c r="S381" s="3">
        <v>252.88</v>
      </c>
      <c r="T381" s="11">
        <f t="shared" si="7"/>
        <v>2.0872436135528868E-3</v>
      </c>
      <c r="U381" s="1" t="s">
        <v>356</v>
      </c>
      <c r="V381" s="2"/>
      <c r="W381" s="2"/>
      <c r="X381" s="6" t="s">
        <v>358</v>
      </c>
      <c r="Y381" s="1" t="s">
        <v>359</v>
      </c>
    </row>
    <row r="382" spans="16:25">
      <c r="P382" s="2" t="s">
        <v>790</v>
      </c>
      <c r="Q382" s="2"/>
      <c r="R382" s="2"/>
      <c r="S382" s="3">
        <v>252.88</v>
      </c>
      <c r="T382" s="11">
        <f t="shared" si="7"/>
        <v>2.0872436135528868E-3</v>
      </c>
      <c r="U382" s="1" t="s">
        <v>356</v>
      </c>
      <c r="V382" s="2"/>
      <c r="W382" s="2"/>
      <c r="X382" s="6" t="s">
        <v>358</v>
      </c>
      <c r="Y382" s="1" t="s">
        <v>359</v>
      </c>
    </row>
    <row r="383" spans="16:25">
      <c r="P383" s="2" t="s">
        <v>791</v>
      </c>
      <c r="Q383" s="2"/>
      <c r="R383" s="2"/>
      <c r="S383" s="3">
        <v>252.88</v>
      </c>
      <c r="T383" s="11">
        <f t="shared" si="7"/>
        <v>2.0872436135528868E-3</v>
      </c>
      <c r="U383" s="1" t="s">
        <v>356</v>
      </c>
      <c r="V383" s="2"/>
      <c r="W383" s="2"/>
      <c r="X383" s="6" t="s">
        <v>358</v>
      </c>
      <c r="Y383" s="1" t="s">
        <v>359</v>
      </c>
    </row>
    <row r="384" spans="16:25">
      <c r="P384" s="2" t="s">
        <v>792</v>
      </c>
      <c r="Q384" s="2"/>
      <c r="R384" s="2"/>
      <c r="S384" s="3">
        <v>284.49</v>
      </c>
      <c r="T384" s="11">
        <f t="shared" si="7"/>
        <v>2.3481490652469978E-3</v>
      </c>
      <c r="U384" s="1" t="s">
        <v>356</v>
      </c>
      <c r="V384" s="2"/>
      <c r="W384" s="2"/>
      <c r="X384" s="6" t="s">
        <v>358</v>
      </c>
      <c r="Y384" s="1" t="s">
        <v>359</v>
      </c>
    </row>
    <row r="385" spans="16:25">
      <c r="P385" s="2" t="s">
        <v>793</v>
      </c>
      <c r="Q385" s="2"/>
      <c r="R385" s="2"/>
      <c r="S385" s="3">
        <v>252.88</v>
      </c>
      <c r="T385" s="11">
        <f t="shared" si="7"/>
        <v>2.0872436135528868E-3</v>
      </c>
      <c r="U385" s="1" t="s">
        <v>356</v>
      </c>
      <c r="V385" s="2"/>
      <c r="W385" s="2"/>
      <c r="X385" s="6" t="s">
        <v>358</v>
      </c>
      <c r="Y385" s="1" t="s">
        <v>359</v>
      </c>
    </row>
    <row r="386" spans="16:25">
      <c r="P386" s="2" t="s">
        <v>794</v>
      </c>
      <c r="Q386" s="2"/>
      <c r="R386" s="2"/>
      <c r="S386" s="3">
        <v>252.88</v>
      </c>
      <c r="T386" s="11">
        <f t="shared" si="7"/>
        <v>2.0872436135528868E-3</v>
      </c>
      <c r="U386" s="1" t="s">
        <v>356</v>
      </c>
      <c r="V386" s="2"/>
      <c r="W386" s="2"/>
      <c r="X386" s="6" t="s">
        <v>358</v>
      </c>
      <c r="Y386" s="1" t="s">
        <v>359</v>
      </c>
    </row>
    <row r="387" spans="16:25">
      <c r="P387" s="2" t="s">
        <v>795</v>
      </c>
      <c r="Q387" s="2"/>
      <c r="R387" s="2"/>
      <c r="S387" s="3">
        <v>284.49</v>
      </c>
      <c r="T387" s="11">
        <f t="shared" si="7"/>
        <v>2.3481490652469978E-3</v>
      </c>
      <c r="U387" s="1" t="s">
        <v>356</v>
      </c>
      <c r="V387" s="2"/>
      <c r="W387" s="2"/>
      <c r="X387" s="6" t="s">
        <v>358</v>
      </c>
      <c r="Y387" s="1" t="s">
        <v>359</v>
      </c>
    </row>
    <row r="388" spans="16:25">
      <c r="P388" s="2" t="s">
        <v>796</v>
      </c>
      <c r="Q388" s="2"/>
      <c r="R388" s="2"/>
      <c r="S388" s="3">
        <v>252.88</v>
      </c>
      <c r="T388" s="11">
        <f t="shared" si="7"/>
        <v>2.0872436135528868E-3</v>
      </c>
      <c r="U388" s="1" t="s">
        <v>356</v>
      </c>
      <c r="V388" s="2"/>
      <c r="W388" s="2"/>
      <c r="X388" s="6" t="s">
        <v>358</v>
      </c>
      <c r="Y388" s="1" t="s">
        <v>359</v>
      </c>
    </row>
    <row r="389" spans="16:25">
      <c r="P389" s="2" t="s">
        <v>797</v>
      </c>
      <c r="Q389" s="2"/>
      <c r="R389" s="2"/>
      <c r="S389" s="3">
        <v>221.27</v>
      </c>
      <c r="T389" s="11">
        <f t="shared" si="7"/>
        <v>1.826338161858776E-3</v>
      </c>
      <c r="U389" s="1" t="s">
        <v>356</v>
      </c>
      <c r="V389" s="2"/>
      <c r="W389" s="2"/>
      <c r="X389" s="6" t="s">
        <v>358</v>
      </c>
      <c r="Y389" s="1" t="s">
        <v>359</v>
      </c>
    </row>
    <row r="390" spans="16:25">
      <c r="P390" s="2" t="s">
        <v>798</v>
      </c>
      <c r="Q390" s="2"/>
      <c r="R390" s="2"/>
      <c r="S390" s="3">
        <v>284.49</v>
      </c>
      <c r="T390" s="11">
        <f t="shared" si="7"/>
        <v>2.3481490652469978E-3</v>
      </c>
      <c r="U390" s="1" t="s">
        <v>356</v>
      </c>
      <c r="V390" s="2"/>
      <c r="W390" s="2"/>
      <c r="X390" s="6" t="s">
        <v>358</v>
      </c>
      <c r="Y390" s="1" t="s">
        <v>359</v>
      </c>
    </row>
    <row r="391" spans="16:25">
      <c r="P391" s="2" t="s">
        <v>799</v>
      </c>
      <c r="Q391" s="2"/>
      <c r="R391" s="2"/>
      <c r="S391" s="3">
        <v>221.27</v>
      </c>
      <c r="T391" s="11">
        <f t="shared" si="7"/>
        <v>1.826338161858776E-3</v>
      </c>
      <c r="U391" s="1" t="s">
        <v>356</v>
      </c>
      <c r="V391" s="2"/>
      <c r="W391" s="2"/>
      <c r="X391" s="6" t="s">
        <v>358</v>
      </c>
      <c r="Y391" s="1" t="s">
        <v>359</v>
      </c>
    </row>
    <row r="392" spans="16:25">
      <c r="P392" s="2" t="s">
        <v>800</v>
      </c>
      <c r="Q392" s="2"/>
      <c r="R392" s="2"/>
      <c r="S392" s="3">
        <v>284.49</v>
      </c>
      <c r="T392" s="11">
        <f t="shared" si="7"/>
        <v>2.3481490652469978E-3</v>
      </c>
      <c r="U392" s="1" t="s">
        <v>356</v>
      </c>
      <c r="V392" s="2"/>
      <c r="W392" s="2"/>
      <c r="X392" s="6" t="s">
        <v>358</v>
      </c>
      <c r="Y392" s="1" t="s">
        <v>359</v>
      </c>
    </row>
    <row r="393" spans="16:25">
      <c r="P393" s="2" t="s">
        <v>801</v>
      </c>
      <c r="Q393" s="2"/>
      <c r="R393" s="2"/>
      <c r="S393" s="3">
        <v>252.88</v>
      </c>
      <c r="T393" s="11">
        <f t="shared" si="7"/>
        <v>2.0872436135528868E-3</v>
      </c>
      <c r="U393" s="1" t="s">
        <v>356</v>
      </c>
      <c r="V393" s="2"/>
      <c r="W393" s="2"/>
      <c r="X393" s="6" t="s">
        <v>358</v>
      </c>
      <c r="Y393" s="1" t="s">
        <v>359</v>
      </c>
    </row>
    <row r="394" spans="16:25">
      <c r="P394" s="2" t="s">
        <v>802</v>
      </c>
      <c r="Q394" s="2"/>
      <c r="R394" s="2"/>
      <c r="S394" s="3">
        <v>0</v>
      </c>
      <c r="T394" s="11">
        <f t="shared" si="7"/>
        <v>0</v>
      </c>
      <c r="U394" s="1" t="s">
        <v>356</v>
      </c>
      <c r="V394" s="2"/>
      <c r="W394" s="2"/>
      <c r="X394" s="6" t="s">
        <v>358</v>
      </c>
      <c r="Y394" s="1" t="s">
        <v>359</v>
      </c>
    </row>
    <row r="395" spans="16:25">
      <c r="P395" s="2" t="s">
        <v>803</v>
      </c>
      <c r="Q395" s="2"/>
      <c r="R395" s="2"/>
      <c r="S395" s="3">
        <v>94.83</v>
      </c>
      <c r="T395" s="11">
        <f t="shared" si="7"/>
        <v>7.8271635508233249E-4</v>
      </c>
      <c r="U395" s="1" t="s">
        <v>356</v>
      </c>
      <c r="V395" s="2"/>
      <c r="W395" s="2"/>
      <c r="X395" s="6" t="s">
        <v>358</v>
      </c>
      <c r="Y395" s="1" t="s">
        <v>359</v>
      </c>
    </row>
    <row r="396" spans="16:25">
      <c r="P396" s="2" t="s">
        <v>804</v>
      </c>
      <c r="Q396" s="2"/>
      <c r="R396" s="2"/>
      <c r="S396" s="3">
        <v>173.85499999999999</v>
      </c>
      <c r="T396" s="11">
        <f t="shared" si="7"/>
        <v>1.4349799843176097E-3</v>
      </c>
      <c r="U396" s="1" t="s">
        <v>356</v>
      </c>
      <c r="V396" s="2"/>
      <c r="W396" s="2"/>
      <c r="X396" s="6" t="s">
        <v>358</v>
      </c>
      <c r="Y396" s="1" t="s">
        <v>359</v>
      </c>
    </row>
    <row r="397" spans="16:25">
      <c r="P397" s="2" t="s">
        <v>805</v>
      </c>
      <c r="Q397" s="2"/>
      <c r="R397" s="2"/>
      <c r="S397" s="3">
        <v>189.66</v>
      </c>
      <c r="T397" s="11">
        <f t="shared" si="7"/>
        <v>1.565432710164665E-3</v>
      </c>
      <c r="U397" s="1" t="s">
        <v>356</v>
      </c>
      <c r="V397" s="2"/>
      <c r="W397" s="2"/>
      <c r="X397" s="6" t="s">
        <v>358</v>
      </c>
      <c r="Y397" s="1" t="s">
        <v>359</v>
      </c>
    </row>
    <row r="398" spans="16:25">
      <c r="P398" s="2" t="s">
        <v>806</v>
      </c>
      <c r="Q398" s="2"/>
      <c r="R398" s="2"/>
      <c r="S398" s="3">
        <v>221.27</v>
      </c>
      <c r="T398" s="11">
        <f t="shared" si="7"/>
        <v>1.826338161858776E-3</v>
      </c>
      <c r="U398" s="1" t="s">
        <v>356</v>
      </c>
      <c r="V398" s="2"/>
      <c r="W398" s="2"/>
      <c r="X398" s="6" t="s">
        <v>358</v>
      </c>
      <c r="Y398" s="1" t="s">
        <v>359</v>
      </c>
    </row>
    <row r="399" spans="16:25">
      <c r="P399" s="2" t="s">
        <v>807</v>
      </c>
      <c r="Q399" s="2"/>
      <c r="R399" s="2"/>
      <c r="S399" s="3">
        <v>221.27</v>
      </c>
      <c r="T399" s="11">
        <f t="shared" si="7"/>
        <v>1.826338161858776E-3</v>
      </c>
      <c r="U399" s="1" t="s">
        <v>356</v>
      </c>
      <c r="V399" s="2"/>
      <c r="W399" s="2"/>
      <c r="X399" s="6" t="s">
        <v>358</v>
      </c>
      <c r="Y399" s="1" t="s">
        <v>359</v>
      </c>
    </row>
    <row r="400" spans="16:25">
      <c r="P400" s="2" t="s">
        <v>808</v>
      </c>
      <c r="Q400" s="2"/>
      <c r="R400" s="2"/>
      <c r="S400" s="3">
        <v>221.27</v>
      </c>
      <c r="T400" s="11">
        <f t="shared" si="7"/>
        <v>1.826338161858776E-3</v>
      </c>
      <c r="U400" s="1" t="s">
        <v>356</v>
      </c>
      <c r="V400" s="2"/>
      <c r="W400" s="2"/>
      <c r="X400" s="6" t="s">
        <v>358</v>
      </c>
      <c r="Y400" s="1" t="s">
        <v>359</v>
      </c>
    </row>
    <row r="401" spans="16:25">
      <c r="P401" s="2" t="s">
        <v>809</v>
      </c>
      <c r="Q401" s="2"/>
      <c r="R401" s="2"/>
      <c r="S401" s="3">
        <v>221.27</v>
      </c>
      <c r="T401" s="11">
        <f t="shared" si="7"/>
        <v>1.826338161858776E-3</v>
      </c>
      <c r="U401" s="1" t="s">
        <v>356</v>
      </c>
      <c r="V401" s="2"/>
      <c r="W401" s="2"/>
      <c r="X401" s="6" t="s">
        <v>358</v>
      </c>
      <c r="Y401" s="1" t="s">
        <v>359</v>
      </c>
    </row>
    <row r="402" spans="16:25">
      <c r="P402" s="2" t="s">
        <v>810</v>
      </c>
      <c r="Q402" s="2"/>
      <c r="R402" s="2"/>
      <c r="S402" s="3">
        <v>221.27</v>
      </c>
      <c r="T402" s="11">
        <f t="shared" si="7"/>
        <v>1.826338161858776E-3</v>
      </c>
      <c r="U402" s="1" t="s">
        <v>356</v>
      </c>
      <c r="V402" s="2"/>
      <c r="W402" s="2"/>
      <c r="X402" s="6" t="s">
        <v>358</v>
      </c>
      <c r="Y402" s="1" t="s">
        <v>359</v>
      </c>
    </row>
    <row r="403" spans="16:25">
      <c r="P403" s="2" t="s">
        <v>811</v>
      </c>
      <c r="Q403" s="2"/>
      <c r="R403" s="2"/>
      <c r="S403" s="3">
        <v>252.88</v>
      </c>
      <c r="T403" s="11">
        <f t="shared" si="7"/>
        <v>2.0872436135528868E-3</v>
      </c>
      <c r="U403" s="1" t="s">
        <v>356</v>
      </c>
      <c r="V403" s="2"/>
      <c r="W403" s="2"/>
      <c r="X403" s="6" t="s">
        <v>358</v>
      </c>
      <c r="Y403" s="1" t="s">
        <v>359</v>
      </c>
    </row>
    <row r="404" spans="16:25">
      <c r="P404" s="2" t="s">
        <v>812</v>
      </c>
      <c r="Q404" s="2"/>
      <c r="R404" s="2"/>
      <c r="S404" s="3">
        <v>252.88</v>
      </c>
      <c r="T404" s="11">
        <f t="shared" si="7"/>
        <v>2.0872436135528868E-3</v>
      </c>
      <c r="U404" s="1" t="s">
        <v>356</v>
      </c>
      <c r="V404" s="2"/>
      <c r="W404" s="2"/>
      <c r="X404" s="6" t="s">
        <v>358</v>
      </c>
      <c r="Y404" s="1" t="s">
        <v>359</v>
      </c>
    </row>
    <row r="405" spans="16:25">
      <c r="P405" s="2" t="s">
        <v>813</v>
      </c>
      <c r="Q405" s="2"/>
      <c r="R405" s="2"/>
      <c r="S405" s="3">
        <v>252.88</v>
      </c>
      <c r="T405" s="11">
        <f t="shared" si="7"/>
        <v>2.0872436135528868E-3</v>
      </c>
      <c r="U405" s="1" t="s">
        <v>356</v>
      </c>
      <c r="V405" s="2"/>
      <c r="W405" s="2"/>
      <c r="X405" s="6" t="s">
        <v>358</v>
      </c>
      <c r="Y405" s="1" t="s">
        <v>359</v>
      </c>
    </row>
    <row r="406" spans="16:25">
      <c r="P406" s="2" t="s">
        <v>814</v>
      </c>
      <c r="Q406" s="2"/>
      <c r="R406" s="2"/>
      <c r="S406" s="3">
        <v>252.88</v>
      </c>
      <c r="T406" s="11">
        <f t="shared" si="7"/>
        <v>2.0872436135528868E-3</v>
      </c>
      <c r="U406" s="1" t="s">
        <v>356</v>
      </c>
      <c r="V406" s="2"/>
      <c r="W406" s="2"/>
      <c r="X406" s="6" t="s">
        <v>358</v>
      </c>
      <c r="Y406" s="1" t="s">
        <v>359</v>
      </c>
    </row>
    <row r="407" spans="16:25">
      <c r="P407" s="2" t="s">
        <v>815</v>
      </c>
      <c r="Q407" s="10" t="s">
        <v>36</v>
      </c>
      <c r="R407" s="2" t="s">
        <v>355</v>
      </c>
      <c r="S407" s="3">
        <v>12501.174999999992</v>
      </c>
      <c r="T407" s="11">
        <f t="shared" si="7"/>
        <v>0.10318331888902639</v>
      </c>
      <c r="U407" s="1" t="s">
        <v>356</v>
      </c>
      <c r="V407" s="6"/>
      <c r="W407" s="1"/>
      <c r="X407" s="6" t="s">
        <v>358</v>
      </c>
      <c r="Y407" s="1" t="s">
        <v>359</v>
      </c>
    </row>
    <row r="408" spans="16:25">
      <c r="P408" s="2" t="s">
        <v>816</v>
      </c>
      <c r="Q408" s="10" t="s">
        <v>36</v>
      </c>
      <c r="R408" s="2" t="s">
        <v>355</v>
      </c>
      <c r="S408" s="3">
        <v>12507.174999999997</v>
      </c>
      <c r="T408" s="11">
        <f t="shared" si="7"/>
        <v>0.10323284222689941</v>
      </c>
      <c r="U408" s="1" t="s">
        <v>356</v>
      </c>
      <c r="V408" s="6"/>
      <c r="W408" s="1"/>
      <c r="X408" s="6" t="s">
        <v>358</v>
      </c>
      <c r="Y408" s="1" t="s">
        <v>359</v>
      </c>
    </row>
    <row r="409" spans="16:25">
      <c r="P409" s="2" t="s">
        <v>817</v>
      </c>
      <c r="Q409" s="10" t="s">
        <v>36</v>
      </c>
      <c r="R409" s="2" t="s">
        <v>355</v>
      </c>
      <c r="S409" s="3">
        <v>8911.4500000000007</v>
      </c>
      <c r="T409" s="11">
        <f t="shared" si="7"/>
        <v>7.3554124881350338E-2</v>
      </c>
      <c r="U409" s="1" t="s">
        <v>356</v>
      </c>
      <c r="V409" s="6"/>
      <c r="W409" s="1"/>
      <c r="X409" s="6" t="s">
        <v>358</v>
      </c>
      <c r="Y409" s="1" t="s">
        <v>359</v>
      </c>
    </row>
    <row r="410" spans="16:25">
      <c r="P410" s="2" t="s">
        <v>818</v>
      </c>
      <c r="Q410" s="10" t="s">
        <v>36</v>
      </c>
      <c r="R410" s="2" t="s">
        <v>355</v>
      </c>
      <c r="S410" s="3">
        <v>17019.794999999998</v>
      </c>
      <c r="T410" s="11">
        <f t="shared" si="7"/>
        <v>0.14047950971895504</v>
      </c>
      <c r="U410" s="1" t="s">
        <v>356</v>
      </c>
      <c r="V410" s="6"/>
      <c r="W410" s="1"/>
      <c r="X410" s="6" t="s">
        <v>358</v>
      </c>
      <c r="Y410" s="1" t="s">
        <v>359</v>
      </c>
    </row>
    <row r="411" spans="16:25">
      <c r="P411" s="2" t="s">
        <v>819</v>
      </c>
      <c r="Q411" s="10"/>
      <c r="R411" s="2"/>
      <c r="S411" s="3">
        <v>7416.7000000000007</v>
      </c>
      <c r="T411" s="11">
        <f t="shared" si="7"/>
        <v>6.1216623333746036E-2</v>
      </c>
      <c r="U411" s="1" t="s">
        <v>356</v>
      </c>
      <c r="V411" s="6"/>
      <c r="W411" s="1"/>
      <c r="X411" s="6" t="s">
        <v>358</v>
      </c>
      <c r="Y411" s="1" t="s">
        <v>359</v>
      </c>
    </row>
    <row r="412" spans="16:25">
      <c r="P412" s="2" t="s">
        <v>820</v>
      </c>
      <c r="Q412" s="10"/>
      <c r="R412" s="2"/>
      <c r="S412" s="3">
        <v>7448.6500000000005</v>
      </c>
      <c r="T412" s="11">
        <f t="shared" si="7"/>
        <v>6.1480335107919615E-2</v>
      </c>
      <c r="U412" s="1" t="s">
        <v>356</v>
      </c>
      <c r="V412" s="6"/>
      <c r="W412" s="1"/>
      <c r="X412" s="6" t="s">
        <v>358</v>
      </c>
      <c r="Y412" s="1" t="s">
        <v>359</v>
      </c>
    </row>
    <row r="413" spans="16:25">
      <c r="P413" s="2" t="s">
        <v>821</v>
      </c>
      <c r="Q413" s="10"/>
      <c r="R413" s="2"/>
      <c r="S413" s="3">
        <v>2971.3400000000006</v>
      </c>
      <c r="T413" s="11">
        <f t="shared" si="7"/>
        <v>2.4525112459246424E-2</v>
      </c>
      <c r="U413" s="1" t="s">
        <v>356</v>
      </c>
      <c r="V413" s="6"/>
      <c r="W413" s="1"/>
      <c r="X413" s="6" t="s">
        <v>358</v>
      </c>
      <c r="Y413" s="1" t="s">
        <v>359</v>
      </c>
    </row>
    <row r="414" spans="16:25">
      <c r="P414" s="2" t="s">
        <v>822</v>
      </c>
      <c r="Q414" s="10"/>
      <c r="R414" s="2"/>
      <c r="S414" s="3">
        <v>5992.4150000000009</v>
      </c>
      <c r="T414" s="11">
        <f t="shared" ref="T414:T477" si="8">S414/$B$2</f>
        <v>4.9460732120011563E-2</v>
      </c>
      <c r="U414" s="1" t="s">
        <v>356</v>
      </c>
      <c r="V414" s="6"/>
      <c r="W414" s="1"/>
      <c r="X414" s="6" t="s">
        <v>358</v>
      </c>
      <c r="Y414" s="1" t="s">
        <v>359</v>
      </c>
    </row>
    <row r="415" spans="16:25">
      <c r="P415" s="2" t="s">
        <v>823</v>
      </c>
      <c r="Q415" s="10"/>
      <c r="R415" s="2"/>
      <c r="S415" s="3">
        <v>8345.0400000000027</v>
      </c>
      <c r="T415" s="11">
        <f t="shared" si="8"/>
        <v>6.8879039247245283E-2</v>
      </c>
      <c r="U415" s="1" t="s">
        <v>356</v>
      </c>
      <c r="V415" s="6"/>
      <c r="W415" s="1"/>
      <c r="X415" s="6" t="s">
        <v>358</v>
      </c>
      <c r="Y415" s="1" t="s">
        <v>359</v>
      </c>
    </row>
    <row r="416" spans="16:25">
      <c r="P416" s="2" t="s">
        <v>824</v>
      </c>
      <c r="Q416" s="10"/>
      <c r="R416" s="2"/>
      <c r="S416" s="3">
        <v>12501.174999999992</v>
      </c>
      <c r="T416" s="11">
        <f t="shared" si="8"/>
        <v>0.10318331888902639</v>
      </c>
      <c r="U416" s="1" t="s">
        <v>356</v>
      </c>
      <c r="V416" s="6"/>
      <c r="W416" s="1"/>
      <c r="X416" s="6" t="s">
        <v>358</v>
      </c>
      <c r="Y416" s="1" t="s">
        <v>359</v>
      </c>
    </row>
    <row r="417" spans="16:25">
      <c r="P417" s="2" t="s">
        <v>825</v>
      </c>
      <c r="Q417" s="10"/>
      <c r="R417" s="2"/>
      <c r="S417" s="3">
        <v>12507.174999999997</v>
      </c>
      <c r="T417" s="11">
        <f t="shared" si="8"/>
        <v>0.10323284222689941</v>
      </c>
      <c r="U417" s="1" t="s">
        <v>356</v>
      </c>
      <c r="V417" s="6"/>
      <c r="W417" s="1"/>
      <c r="X417" s="6" t="s">
        <v>358</v>
      </c>
      <c r="Y417" s="1" t="s">
        <v>359</v>
      </c>
    </row>
    <row r="418" spans="16:25">
      <c r="P418" s="2" t="s">
        <v>826</v>
      </c>
      <c r="Q418" s="10"/>
      <c r="R418" s="2"/>
      <c r="S418" s="3">
        <v>8911.4500000000007</v>
      </c>
      <c r="T418" s="11">
        <f t="shared" si="8"/>
        <v>7.3554124881350338E-2</v>
      </c>
      <c r="U418" s="1" t="s">
        <v>356</v>
      </c>
      <c r="V418" s="6"/>
      <c r="W418" s="1"/>
      <c r="X418" s="6" t="s">
        <v>358</v>
      </c>
      <c r="Y418" s="1" t="s">
        <v>359</v>
      </c>
    </row>
    <row r="419" spans="16:25">
      <c r="P419" s="2" t="s">
        <v>827</v>
      </c>
      <c r="Q419" s="10"/>
      <c r="R419" s="2"/>
      <c r="S419" s="3">
        <v>17019.794999999998</v>
      </c>
      <c r="T419" s="11">
        <f t="shared" si="8"/>
        <v>0.14047950971895504</v>
      </c>
      <c r="U419" s="1" t="s">
        <v>356</v>
      </c>
      <c r="V419" s="6"/>
      <c r="W419" s="1"/>
      <c r="X419" s="6" t="s">
        <v>358</v>
      </c>
      <c r="Y419" s="1" t="s">
        <v>359</v>
      </c>
    </row>
    <row r="420" spans="16:25">
      <c r="P420" s="2" t="s">
        <v>828</v>
      </c>
      <c r="Q420" s="10"/>
      <c r="R420" s="2"/>
      <c r="S420" s="3">
        <v>7416.7000000000007</v>
      </c>
      <c r="T420" s="11">
        <f t="shared" si="8"/>
        <v>6.1216623333746036E-2</v>
      </c>
      <c r="U420" s="1" t="s">
        <v>356</v>
      </c>
      <c r="V420" s="6"/>
      <c r="W420" s="1"/>
      <c r="X420" s="6" t="s">
        <v>358</v>
      </c>
      <c r="Y420" s="1" t="s">
        <v>359</v>
      </c>
    </row>
    <row r="421" spans="16:25">
      <c r="P421" s="2" t="s">
        <v>829</v>
      </c>
      <c r="Q421" s="10"/>
      <c r="R421" s="2"/>
      <c r="S421" s="3">
        <v>7448.6500000000005</v>
      </c>
      <c r="T421" s="11">
        <f t="shared" si="8"/>
        <v>6.1480335107919615E-2</v>
      </c>
      <c r="U421" s="1" t="s">
        <v>356</v>
      </c>
      <c r="V421" s="6"/>
      <c r="W421" s="1"/>
      <c r="X421" s="6" t="s">
        <v>358</v>
      </c>
      <c r="Y421" s="1" t="s">
        <v>359</v>
      </c>
    </row>
    <row r="422" spans="16:25">
      <c r="P422" s="2" t="s">
        <v>830</v>
      </c>
      <c r="Q422" s="10"/>
      <c r="R422" s="2"/>
      <c r="S422" s="3">
        <v>2971.3400000000006</v>
      </c>
      <c r="T422" s="11">
        <f t="shared" si="8"/>
        <v>2.4525112459246424E-2</v>
      </c>
      <c r="U422" s="1" t="s">
        <v>356</v>
      </c>
      <c r="V422" s="6"/>
      <c r="W422" s="1"/>
      <c r="X422" s="6" t="s">
        <v>358</v>
      </c>
      <c r="Y422" s="1" t="s">
        <v>359</v>
      </c>
    </row>
    <row r="423" spans="16:25">
      <c r="P423" s="2" t="s">
        <v>831</v>
      </c>
      <c r="Q423" s="10"/>
      <c r="R423" s="2"/>
      <c r="S423" s="3">
        <v>5992.4150000000009</v>
      </c>
      <c r="T423" s="11">
        <f t="shared" si="8"/>
        <v>4.9460732120011563E-2</v>
      </c>
      <c r="U423" s="1" t="s">
        <v>356</v>
      </c>
      <c r="V423" s="6"/>
      <c r="W423" s="1"/>
      <c r="X423" s="6" t="s">
        <v>358</v>
      </c>
      <c r="Y423" s="1" t="s">
        <v>359</v>
      </c>
    </row>
    <row r="424" spans="16:25">
      <c r="P424" s="2" t="s">
        <v>832</v>
      </c>
      <c r="Q424" s="10"/>
      <c r="R424" s="2"/>
      <c r="S424" s="3">
        <v>8345.0400000000027</v>
      </c>
      <c r="T424" s="11">
        <f t="shared" si="8"/>
        <v>6.8879039247245283E-2</v>
      </c>
      <c r="U424" s="1" t="s">
        <v>356</v>
      </c>
      <c r="V424" s="6"/>
      <c r="W424" s="1"/>
      <c r="X424" s="6" t="s">
        <v>358</v>
      </c>
      <c r="Y424" s="1" t="s">
        <v>359</v>
      </c>
    </row>
    <row r="425" spans="16:25">
      <c r="P425" s="305" t="s">
        <v>833</v>
      </c>
      <c r="Q425" s="10" t="s">
        <v>36</v>
      </c>
      <c r="R425" s="2" t="s">
        <v>355</v>
      </c>
      <c r="S425" s="3">
        <v>25008.349999999991</v>
      </c>
      <c r="T425" s="11">
        <f t="shared" si="8"/>
        <v>0.20641616111592581</v>
      </c>
      <c r="U425" s="1" t="s">
        <v>356</v>
      </c>
      <c r="V425" s="2"/>
      <c r="W425" s="2"/>
      <c r="X425" s="6" t="s">
        <v>358</v>
      </c>
      <c r="Y425" s="1" t="s">
        <v>359</v>
      </c>
    </row>
    <row r="426" spans="16:25">
      <c r="P426" s="305" t="s">
        <v>834</v>
      </c>
      <c r="Q426" s="10" t="s">
        <v>36</v>
      </c>
      <c r="R426" s="2" t="s">
        <v>355</v>
      </c>
      <c r="S426" s="3">
        <v>25931.244999999999</v>
      </c>
      <c r="T426" s="11">
        <f t="shared" si="8"/>
        <v>0.21403363460030539</v>
      </c>
      <c r="U426" s="1" t="s">
        <v>356</v>
      </c>
      <c r="V426" s="2"/>
      <c r="W426" s="2"/>
      <c r="X426" s="6" t="s">
        <v>358</v>
      </c>
      <c r="Y426" s="1" t="s">
        <v>359</v>
      </c>
    </row>
    <row r="427" spans="16:25">
      <c r="P427" s="305" t="s">
        <v>835</v>
      </c>
      <c r="Q427" s="10"/>
      <c r="R427" s="2"/>
      <c r="S427" s="3">
        <v>32174.145000000004</v>
      </c>
      <c r="T427" s="11">
        <f t="shared" si="8"/>
        <v>0.26556184226816892</v>
      </c>
      <c r="U427" s="1" t="s">
        <v>356</v>
      </c>
      <c r="V427" s="2"/>
      <c r="W427" s="2"/>
      <c r="X427" s="6" t="s">
        <v>358</v>
      </c>
      <c r="Y427" s="1" t="s">
        <v>359</v>
      </c>
    </row>
    <row r="428" spans="16:25">
      <c r="P428" s="305" t="s">
        <v>381</v>
      </c>
      <c r="Q428" s="10" t="s">
        <v>36</v>
      </c>
      <c r="R428" s="2" t="s">
        <v>355</v>
      </c>
      <c r="S428" s="3">
        <v>25008.349999999991</v>
      </c>
      <c r="T428" s="11">
        <f t="shared" si="8"/>
        <v>0.20641616111592581</v>
      </c>
      <c r="U428" s="1" t="s">
        <v>356</v>
      </c>
      <c r="V428" s="2"/>
      <c r="W428" s="2"/>
      <c r="X428" s="6" t="s">
        <v>358</v>
      </c>
      <c r="Y428" s="1" t="s">
        <v>359</v>
      </c>
    </row>
    <row r="429" spans="16:25">
      <c r="P429" s="305" t="s">
        <v>386</v>
      </c>
      <c r="Q429" s="10" t="s">
        <v>36</v>
      </c>
      <c r="R429" s="2" t="s">
        <v>355</v>
      </c>
      <c r="S429" s="3">
        <v>25931.244999999999</v>
      </c>
      <c r="T429" s="11">
        <f t="shared" si="8"/>
        <v>0.21403363460030539</v>
      </c>
      <c r="U429" s="1" t="s">
        <v>356</v>
      </c>
      <c r="V429" s="6"/>
      <c r="W429" s="1"/>
      <c r="X429" s="6" t="s">
        <v>358</v>
      </c>
      <c r="Y429" s="1" t="s">
        <v>359</v>
      </c>
    </row>
    <row r="430" spans="16:25">
      <c r="P430" s="305" t="s">
        <v>391</v>
      </c>
      <c r="Q430" s="10"/>
      <c r="R430" s="2"/>
      <c r="S430" s="3">
        <v>32174.145000000004</v>
      </c>
      <c r="T430" s="11">
        <f t="shared" si="8"/>
        <v>0.26556184226816892</v>
      </c>
      <c r="U430" s="1" t="s">
        <v>356</v>
      </c>
      <c r="V430" s="6"/>
      <c r="W430" s="1"/>
      <c r="X430" s="6" t="s">
        <v>358</v>
      </c>
      <c r="Y430" s="1" t="s">
        <v>359</v>
      </c>
    </row>
    <row r="431" spans="16:25">
      <c r="P431" s="2" t="s">
        <v>342</v>
      </c>
      <c r="Q431" s="10" t="s">
        <v>36</v>
      </c>
      <c r="R431" s="2" t="s">
        <v>355</v>
      </c>
      <c r="S431" s="3">
        <v>83113.740000000005</v>
      </c>
      <c r="T431" s="11">
        <f t="shared" si="8"/>
        <v>0.68601163798440024</v>
      </c>
      <c r="U431" s="1" t="s">
        <v>356</v>
      </c>
      <c r="V431" s="2"/>
      <c r="W431" s="2"/>
      <c r="X431" s="6" t="s">
        <v>358</v>
      </c>
      <c r="Y431" s="1" t="s">
        <v>359</v>
      </c>
    </row>
    <row r="432" spans="16:25">
      <c r="P432" s="2" t="s">
        <v>401</v>
      </c>
      <c r="Q432" s="10" t="s">
        <v>36</v>
      </c>
      <c r="R432" s="2" t="s">
        <v>355</v>
      </c>
      <c r="S432" s="3">
        <v>122106</v>
      </c>
      <c r="T432" s="11">
        <f t="shared" si="8"/>
        <v>1.0078494490528662</v>
      </c>
      <c r="U432" s="1" t="s">
        <v>356</v>
      </c>
      <c r="V432" s="2"/>
      <c r="W432" s="2"/>
      <c r="X432" s="6" t="s">
        <v>358</v>
      </c>
      <c r="Y432" s="1" t="s">
        <v>359</v>
      </c>
    </row>
    <row r="433" spans="16:25">
      <c r="P433" s="2" t="s">
        <v>412</v>
      </c>
      <c r="Q433" s="10" t="s">
        <v>36</v>
      </c>
      <c r="R433" s="2" t="s">
        <v>355</v>
      </c>
      <c r="S433" s="3">
        <v>83113.740000000005</v>
      </c>
      <c r="T433" s="11">
        <f t="shared" si="8"/>
        <v>0.68601163798440024</v>
      </c>
      <c r="U433" s="1" t="s">
        <v>356</v>
      </c>
      <c r="V433" s="2"/>
      <c r="W433" s="2"/>
      <c r="X433" s="6" t="s">
        <v>358</v>
      </c>
      <c r="Y433" s="1" t="s">
        <v>359</v>
      </c>
    </row>
    <row r="434" spans="16:25">
      <c r="P434" s="2" t="s">
        <v>353</v>
      </c>
      <c r="Q434" s="10"/>
      <c r="R434" s="2"/>
      <c r="S434" s="3">
        <f>(29*540)/1000</f>
        <v>15.66</v>
      </c>
      <c r="T434" s="11">
        <f t="shared" si="8"/>
        <v>1.2925591184845858E-4</v>
      </c>
      <c r="U434" s="1" t="s">
        <v>356</v>
      </c>
      <c r="V434" s="2"/>
      <c r="W434" s="2"/>
      <c r="X434" s="6" t="s">
        <v>358</v>
      </c>
      <c r="Y434" s="1" t="s">
        <v>359</v>
      </c>
    </row>
    <row r="435" spans="16:25">
      <c r="P435" s="2" t="s">
        <v>365</v>
      </c>
      <c r="Q435" s="10"/>
      <c r="R435" s="2"/>
      <c r="S435" s="3">
        <f>(29*545)/1000</f>
        <v>15.805</v>
      </c>
      <c r="T435" s="11">
        <f t="shared" si="8"/>
        <v>1.3045272584705542E-4</v>
      </c>
      <c r="U435" s="1" t="s">
        <v>356</v>
      </c>
      <c r="V435" s="2"/>
      <c r="W435" s="2"/>
      <c r="X435" s="6" t="s">
        <v>358</v>
      </c>
      <c r="Y435" s="1" t="s">
        <v>359</v>
      </c>
    </row>
    <row r="436" spans="16:25">
      <c r="P436" s="2" t="s">
        <v>373</v>
      </c>
      <c r="Q436" s="10"/>
      <c r="R436" s="2"/>
      <c r="S436" s="3">
        <f>(29*550)/1000</f>
        <v>15.95</v>
      </c>
      <c r="T436" s="11">
        <f t="shared" si="8"/>
        <v>1.3164953984565227E-4</v>
      </c>
      <c r="U436" s="1" t="s">
        <v>356</v>
      </c>
      <c r="V436" s="2"/>
      <c r="W436" s="2"/>
      <c r="X436" s="6" t="s">
        <v>358</v>
      </c>
      <c r="Y436" s="1" t="s">
        <v>359</v>
      </c>
    </row>
    <row r="437" spans="16:25">
      <c r="P437" s="2" t="s">
        <v>380</v>
      </c>
      <c r="Q437" s="10"/>
      <c r="R437" s="2"/>
      <c r="S437" s="3">
        <f>(58*540)/1000</f>
        <v>31.32</v>
      </c>
      <c r="T437" s="11">
        <f t="shared" si="8"/>
        <v>2.5851182369691716E-4</v>
      </c>
      <c r="U437" s="1" t="s">
        <v>356</v>
      </c>
      <c r="V437" s="2"/>
      <c r="W437" s="2"/>
      <c r="X437" s="6" t="s">
        <v>358</v>
      </c>
      <c r="Y437" s="1" t="s">
        <v>359</v>
      </c>
    </row>
    <row r="438" spans="16:25">
      <c r="P438" s="2" t="s">
        <v>385</v>
      </c>
      <c r="Q438" s="2"/>
      <c r="R438" s="2"/>
      <c r="S438" s="3">
        <f>(58*545)/1000</f>
        <v>31.61</v>
      </c>
      <c r="T438" s="11">
        <f t="shared" si="8"/>
        <v>2.6090545169411085E-4</v>
      </c>
      <c r="U438" s="1" t="s">
        <v>356</v>
      </c>
      <c r="V438" s="2"/>
      <c r="W438" s="2"/>
      <c r="X438" s="6" t="s">
        <v>836</v>
      </c>
      <c r="Y438" s="1" t="s">
        <v>837</v>
      </c>
    </row>
    <row r="439" spans="16:25">
      <c r="P439" s="2" t="s">
        <v>390</v>
      </c>
      <c r="Q439" s="2"/>
      <c r="R439" s="2"/>
      <c r="S439" s="3">
        <f>(58*550)/1000</f>
        <v>31.9</v>
      </c>
      <c r="T439" s="11">
        <f t="shared" si="8"/>
        <v>2.6329907969130454E-4</v>
      </c>
      <c r="U439" s="1" t="s">
        <v>356</v>
      </c>
      <c r="V439" s="2"/>
      <c r="W439" s="2"/>
      <c r="X439" s="6" t="s">
        <v>838</v>
      </c>
      <c r="Y439" s="1" t="s">
        <v>839</v>
      </c>
    </row>
    <row r="440" spans="16:25">
      <c r="P440" s="2" t="s">
        <v>163</v>
      </c>
      <c r="Q440" s="2" t="s">
        <v>41</v>
      </c>
      <c r="R440" s="2"/>
      <c r="S440" s="1">
        <v>1914</v>
      </c>
      <c r="T440" s="11">
        <f t="shared" si="8"/>
        <v>1.5797944781478272E-2</v>
      </c>
    </row>
    <row r="441" spans="16:25">
      <c r="P441" s="2" t="s">
        <v>164</v>
      </c>
      <c r="Q441" s="2" t="s">
        <v>41</v>
      </c>
      <c r="R441" s="2"/>
      <c r="S441" s="1">
        <v>669.90000000000009</v>
      </c>
      <c r="T441" s="11">
        <f t="shared" si="8"/>
        <v>5.5292806735173956E-3</v>
      </c>
    </row>
    <row r="442" spans="16:25">
      <c r="P442" s="2" t="s">
        <v>165</v>
      </c>
      <c r="Q442" s="2" t="s">
        <v>41</v>
      </c>
      <c r="R442" s="2"/>
      <c r="S442" s="1">
        <v>478.5</v>
      </c>
      <c r="T442" s="11">
        <f t="shared" si="8"/>
        <v>3.9494861953695681E-3</v>
      </c>
    </row>
    <row r="443" spans="16:25">
      <c r="P443" s="2" t="s">
        <v>166</v>
      </c>
      <c r="Q443" s="2" t="s">
        <v>41</v>
      </c>
      <c r="R443" s="2"/>
      <c r="S443" s="1">
        <v>2041.6000000000001</v>
      </c>
      <c r="T443" s="11">
        <f t="shared" si="8"/>
        <v>1.6851141100243491E-2</v>
      </c>
    </row>
    <row r="444" spans="16:25">
      <c r="P444" s="2" t="s">
        <v>167</v>
      </c>
      <c r="Q444" s="2" t="s">
        <v>41</v>
      </c>
      <c r="R444" s="2"/>
      <c r="S444" s="1">
        <v>988.90000000000009</v>
      </c>
      <c r="T444" s="11">
        <f t="shared" si="8"/>
        <v>8.1622714704304416E-3</v>
      </c>
    </row>
    <row r="445" spans="16:25">
      <c r="P445" s="2" t="s">
        <v>168</v>
      </c>
      <c r="Q445" s="2" t="s">
        <v>41</v>
      </c>
      <c r="R445" s="2"/>
      <c r="S445" s="1">
        <v>2041.6</v>
      </c>
      <c r="T445" s="11">
        <f t="shared" si="8"/>
        <v>1.6851141100243491E-2</v>
      </c>
    </row>
    <row r="446" spans="16:25">
      <c r="P446" s="2" t="s">
        <v>169</v>
      </c>
      <c r="Q446" s="2" t="s">
        <v>41</v>
      </c>
      <c r="R446" s="2"/>
      <c r="S446" s="1">
        <v>1818.3</v>
      </c>
      <c r="T446" s="11">
        <f t="shared" si="8"/>
        <v>1.5008047542404358E-2</v>
      </c>
    </row>
    <row r="447" spans="16:25">
      <c r="P447" s="2" t="s">
        <v>170</v>
      </c>
      <c r="Q447" s="2" t="s">
        <v>41</v>
      </c>
      <c r="R447" s="2"/>
      <c r="S447" s="1">
        <v>542.29999999999995</v>
      </c>
      <c r="T447" s="11">
        <f t="shared" si="8"/>
        <v>4.4760843547521764E-3</v>
      </c>
    </row>
    <row r="448" spans="16:25">
      <c r="P448" s="2" t="s">
        <v>171</v>
      </c>
      <c r="Q448" s="2" t="s">
        <v>41</v>
      </c>
      <c r="R448" s="2"/>
      <c r="S448" s="1">
        <v>0</v>
      </c>
      <c r="T448" s="11">
        <f t="shared" si="8"/>
        <v>0</v>
      </c>
    </row>
    <row r="449" spans="16:20">
      <c r="P449" s="2" t="s">
        <v>172</v>
      </c>
      <c r="Q449" s="2" t="s">
        <v>41</v>
      </c>
      <c r="R449" s="2"/>
      <c r="S449" s="1">
        <v>159.5</v>
      </c>
      <c r="T449" s="11">
        <f t="shared" si="8"/>
        <v>1.3164953984565225E-3</v>
      </c>
    </row>
    <row r="450" spans="16:20">
      <c r="P450" s="2" t="s">
        <v>173</v>
      </c>
      <c r="Q450" s="2" t="s">
        <v>41</v>
      </c>
      <c r="R450" s="2"/>
      <c r="S450" s="1">
        <v>382.8</v>
      </c>
      <c r="T450" s="11">
        <f t="shared" si="8"/>
        <v>3.1595889562956543E-3</v>
      </c>
    </row>
    <row r="451" spans="16:20">
      <c r="P451" s="2" t="s">
        <v>174</v>
      </c>
      <c r="Q451" s="2" t="s">
        <v>41</v>
      </c>
      <c r="R451" s="2"/>
      <c r="S451" s="1">
        <v>191.39999999999998</v>
      </c>
      <c r="T451" s="11">
        <f t="shared" si="8"/>
        <v>1.5797944781478269E-3</v>
      </c>
    </row>
    <row r="452" spans="16:20">
      <c r="P452" s="2" t="s">
        <v>840</v>
      </c>
      <c r="Q452" s="2" t="s">
        <v>41</v>
      </c>
      <c r="R452" s="2"/>
      <c r="S452" s="1">
        <v>2583.9</v>
      </c>
      <c r="T452" s="11">
        <f t="shared" si="8"/>
        <v>2.1327225454995668E-2</v>
      </c>
    </row>
    <row r="453" spans="16:20">
      <c r="P453" s="2" t="s">
        <v>841</v>
      </c>
      <c r="Q453" s="2" t="s">
        <v>41</v>
      </c>
      <c r="R453" s="2"/>
      <c r="S453" s="1">
        <v>2520.1000000000004</v>
      </c>
      <c r="T453" s="11">
        <f t="shared" si="8"/>
        <v>2.080062729561306E-2</v>
      </c>
    </row>
    <row r="454" spans="16:20">
      <c r="P454" s="2" t="s">
        <v>842</v>
      </c>
      <c r="Q454" s="2" t="s">
        <v>41</v>
      </c>
      <c r="R454" s="2"/>
      <c r="S454" s="1">
        <v>3030.5</v>
      </c>
      <c r="T454" s="11">
        <f t="shared" si="8"/>
        <v>2.501341257067393E-2</v>
      </c>
    </row>
    <row r="455" spans="16:20">
      <c r="P455" s="2" t="s">
        <v>843</v>
      </c>
      <c r="Q455" s="2" t="s">
        <v>41</v>
      </c>
      <c r="R455" s="2"/>
      <c r="S455" s="1">
        <v>2360.6</v>
      </c>
      <c r="T455" s="11">
        <f t="shared" si="8"/>
        <v>1.9484131897156535E-2</v>
      </c>
    </row>
    <row r="456" spans="16:20">
      <c r="P456" s="2" t="s">
        <v>844</v>
      </c>
      <c r="Q456" s="2" t="s">
        <v>41</v>
      </c>
      <c r="R456" s="2"/>
      <c r="S456" s="1">
        <v>733.69999999999993</v>
      </c>
      <c r="T456" s="11">
        <f t="shared" si="8"/>
        <v>6.055878832900004E-3</v>
      </c>
    </row>
    <row r="457" spans="16:20">
      <c r="P457" s="2" t="s">
        <v>845</v>
      </c>
      <c r="Q457" s="2" t="s">
        <v>41</v>
      </c>
      <c r="R457" s="2"/>
      <c r="S457" s="1">
        <v>223.3</v>
      </c>
      <c r="T457" s="11">
        <f t="shared" si="8"/>
        <v>1.8430935578391317E-3</v>
      </c>
    </row>
    <row r="458" spans="16:20">
      <c r="P458" s="2" t="s">
        <v>846</v>
      </c>
      <c r="Q458" s="2" t="s">
        <v>41</v>
      </c>
      <c r="R458" s="2"/>
      <c r="S458" s="1">
        <v>255.2</v>
      </c>
      <c r="T458" s="11">
        <f t="shared" si="8"/>
        <v>2.1063926375304363E-3</v>
      </c>
    </row>
    <row r="459" spans="16:20">
      <c r="P459" s="2" t="s">
        <v>847</v>
      </c>
      <c r="Q459" s="2" t="s">
        <v>41</v>
      </c>
      <c r="R459" s="2"/>
      <c r="S459" s="1">
        <v>255.2</v>
      </c>
      <c r="T459" s="11">
        <f t="shared" si="8"/>
        <v>2.1063926375304363E-3</v>
      </c>
    </row>
    <row r="460" spans="16:20">
      <c r="P460" s="2" t="s">
        <v>848</v>
      </c>
      <c r="Q460" s="2" t="s">
        <v>41</v>
      </c>
      <c r="R460" s="2"/>
      <c r="S460" s="1">
        <v>287.10000000000002</v>
      </c>
      <c r="T460" s="11">
        <f t="shared" si="8"/>
        <v>2.3696917172217409E-3</v>
      </c>
    </row>
    <row r="461" spans="16:20">
      <c r="P461" s="2" t="s">
        <v>849</v>
      </c>
      <c r="Q461" s="2" t="s">
        <v>41</v>
      </c>
      <c r="R461" s="2"/>
      <c r="S461" s="1">
        <v>223.3</v>
      </c>
      <c r="T461" s="11">
        <f t="shared" si="8"/>
        <v>1.8430935578391317E-3</v>
      </c>
    </row>
    <row r="462" spans="16:20">
      <c r="P462" s="2" t="s">
        <v>850</v>
      </c>
      <c r="Q462" s="2" t="s">
        <v>41</v>
      </c>
      <c r="R462" s="2"/>
      <c r="S462" s="1">
        <v>223.3</v>
      </c>
      <c r="T462" s="11">
        <f t="shared" si="8"/>
        <v>1.8430935578391317E-3</v>
      </c>
    </row>
    <row r="463" spans="16:20">
      <c r="P463" s="2" t="s">
        <v>851</v>
      </c>
      <c r="Q463" s="2" t="s">
        <v>41</v>
      </c>
      <c r="R463" s="2"/>
      <c r="S463" s="1">
        <v>223.3</v>
      </c>
      <c r="T463" s="11">
        <f t="shared" si="8"/>
        <v>1.8430935578391317E-3</v>
      </c>
    </row>
    <row r="464" spans="16:20">
      <c r="P464" s="2" t="s">
        <v>852</v>
      </c>
      <c r="Q464" s="2" t="s">
        <v>41</v>
      </c>
      <c r="R464" s="2"/>
      <c r="S464" s="1">
        <v>223.3</v>
      </c>
      <c r="T464" s="11">
        <f t="shared" si="8"/>
        <v>1.8430935578391317E-3</v>
      </c>
    </row>
    <row r="465" spans="16:20">
      <c r="P465" s="2" t="s">
        <v>853</v>
      </c>
      <c r="Q465" s="2" t="s">
        <v>41</v>
      </c>
      <c r="R465" s="2"/>
      <c r="S465" s="1">
        <v>0</v>
      </c>
      <c r="T465" s="11">
        <f t="shared" si="8"/>
        <v>0</v>
      </c>
    </row>
    <row r="466" spans="16:20">
      <c r="P466" s="2" t="s">
        <v>854</v>
      </c>
      <c r="Q466" s="2" t="s">
        <v>41</v>
      </c>
      <c r="R466" s="2"/>
      <c r="S466" s="1">
        <v>223.3</v>
      </c>
      <c r="T466" s="11">
        <f t="shared" si="8"/>
        <v>1.8430935578391317E-3</v>
      </c>
    </row>
    <row r="467" spans="16:20">
      <c r="P467" s="2" t="s">
        <v>855</v>
      </c>
      <c r="Q467" s="2" t="s">
        <v>41</v>
      </c>
      <c r="R467" s="2"/>
      <c r="S467" s="1">
        <v>223.3</v>
      </c>
      <c r="T467" s="11">
        <f t="shared" si="8"/>
        <v>1.8430935578391317E-3</v>
      </c>
    </row>
    <row r="468" spans="16:20">
      <c r="P468" s="2" t="s">
        <v>856</v>
      </c>
      <c r="Q468" s="2" t="s">
        <v>41</v>
      </c>
      <c r="R468" s="2"/>
      <c r="S468" s="1">
        <v>223.3</v>
      </c>
      <c r="T468" s="11">
        <f t="shared" si="8"/>
        <v>1.8430935578391317E-3</v>
      </c>
    </row>
    <row r="469" spans="16:20">
      <c r="P469" s="2" t="s">
        <v>857</v>
      </c>
      <c r="Q469" s="2" t="s">
        <v>41</v>
      </c>
      <c r="R469" s="2"/>
      <c r="S469" s="1">
        <v>255.2</v>
      </c>
      <c r="T469" s="11">
        <f t="shared" si="8"/>
        <v>2.1063926375304363E-3</v>
      </c>
    </row>
    <row r="470" spans="16:20">
      <c r="P470" s="2" t="s">
        <v>858</v>
      </c>
      <c r="Q470" s="2" t="s">
        <v>41</v>
      </c>
      <c r="R470" s="2"/>
      <c r="S470" s="1">
        <v>255.2</v>
      </c>
      <c r="T470" s="11">
        <f t="shared" si="8"/>
        <v>2.1063926375304363E-3</v>
      </c>
    </row>
    <row r="471" spans="16:20">
      <c r="P471" s="2" t="s">
        <v>859</v>
      </c>
      <c r="Q471" s="2" t="s">
        <v>41</v>
      </c>
      <c r="R471" s="2"/>
      <c r="S471" s="1">
        <v>223.3</v>
      </c>
      <c r="T471" s="11">
        <f t="shared" si="8"/>
        <v>1.8430935578391317E-3</v>
      </c>
    </row>
    <row r="472" spans="16:20">
      <c r="P472" s="2" t="s">
        <v>860</v>
      </c>
      <c r="Q472" s="2" t="s">
        <v>41</v>
      </c>
      <c r="R472" s="2"/>
      <c r="S472" s="1">
        <v>223.3</v>
      </c>
      <c r="T472" s="11">
        <f t="shared" si="8"/>
        <v>1.8430935578391317E-3</v>
      </c>
    </row>
    <row r="473" spans="16:20">
      <c r="P473" s="2" t="s">
        <v>861</v>
      </c>
      <c r="Q473" s="2" t="s">
        <v>41</v>
      </c>
      <c r="R473" s="2"/>
      <c r="S473" s="1">
        <v>159.5</v>
      </c>
      <c r="T473" s="11">
        <f t="shared" si="8"/>
        <v>1.3164953984565225E-3</v>
      </c>
    </row>
    <row r="474" spans="16:20">
      <c r="P474" s="2" t="s">
        <v>862</v>
      </c>
      <c r="Q474" s="2" t="s">
        <v>41</v>
      </c>
      <c r="R474" s="2"/>
      <c r="S474" s="1">
        <v>223.3</v>
      </c>
      <c r="T474" s="11">
        <f t="shared" si="8"/>
        <v>1.8430935578391317E-3</v>
      </c>
    </row>
    <row r="475" spans="16:20">
      <c r="P475" s="2" t="s">
        <v>863</v>
      </c>
      <c r="Q475" s="2" t="s">
        <v>41</v>
      </c>
      <c r="R475" s="2"/>
      <c r="S475" s="1">
        <v>223.3</v>
      </c>
      <c r="T475" s="11">
        <f t="shared" si="8"/>
        <v>1.8430935578391317E-3</v>
      </c>
    </row>
    <row r="476" spans="16:20">
      <c r="P476" s="2" t="s">
        <v>864</v>
      </c>
      <c r="Q476" s="2" t="s">
        <v>41</v>
      </c>
      <c r="R476" s="2"/>
      <c r="S476" s="1">
        <v>255.2</v>
      </c>
      <c r="T476" s="11">
        <f t="shared" si="8"/>
        <v>2.1063926375304363E-3</v>
      </c>
    </row>
    <row r="477" spans="16:20">
      <c r="P477" s="2" t="s">
        <v>865</v>
      </c>
      <c r="Q477" s="2" t="s">
        <v>41</v>
      </c>
      <c r="R477" s="2"/>
      <c r="S477" s="1">
        <v>255.2</v>
      </c>
      <c r="T477" s="11">
        <f t="shared" si="8"/>
        <v>2.1063926375304363E-3</v>
      </c>
    </row>
    <row r="478" spans="16:20">
      <c r="P478" s="2" t="s">
        <v>866</v>
      </c>
      <c r="Q478" s="2" t="s">
        <v>41</v>
      </c>
      <c r="R478" s="2"/>
      <c r="S478" s="1">
        <v>255.2</v>
      </c>
      <c r="T478" s="11">
        <f t="shared" ref="T478:T541" si="9">S478/$B$2</f>
        <v>2.1063926375304363E-3</v>
      </c>
    </row>
    <row r="479" spans="16:20">
      <c r="P479" s="2" t="s">
        <v>867</v>
      </c>
      <c r="Q479" s="2" t="s">
        <v>41</v>
      </c>
      <c r="R479" s="2"/>
      <c r="S479" s="1">
        <v>255.2</v>
      </c>
      <c r="T479" s="11">
        <f t="shared" si="9"/>
        <v>2.1063926375304363E-3</v>
      </c>
    </row>
    <row r="480" spans="16:20">
      <c r="P480" s="2" t="s">
        <v>868</v>
      </c>
      <c r="Q480" s="2" t="s">
        <v>41</v>
      </c>
      <c r="R480" s="2"/>
      <c r="S480" s="1">
        <v>255.2</v>
      </c>
      <c r="T480" s="11">
        <f t="shared" si="9"/>
        <v>2.1063926375304363E-3</v>
      </c>
    </row>
    <row r="481" spans="16:20">
      <c r="P481" s="2" t="s">
        <v>869</v>
      </c>
      <c r="Q481" s="2" t="s">
        <v>41</v>
      </c>
      <c r="R481" s="2"/>
      <c r="S481" s="1">
        <v>255.2</v>
      </c>
      <c r="T481" s="11">
        <f t="shared" si="9"/>
        <v>2.1063926375304363E-3</v>
      </c>
    </row>
    <row r="482" spans="16:20">
      <c r="P482" s="2" t="s">
        <v>870</v>
      </c>
      <c r="Q482" s="2" t="s">
        <v>41</v>
      </c>
      <c r="R482" s="2"/>
      <c r="S482" s="1">
        <v>175.45</v>
      </c>
      <c r="T482" s="11">
        <f t="shared" si="9"/>
        <v>1.4481449383021748E-3</v>
      </c>
    </row>
    <row r="483" spans="16:20">
      <c r="P483" s="2" t="s">
        <v>871</v>
      </c>
      <c r="Q483" s="2" t="s">
        <v>41</v>
      </c>
      <c r="R483" s="2"/>
      <c r="S483" s="1">
        <v>252.88</v>
      </c>
      <c r="T483" s="11">
        <f t="shared" si="9"/>
        <v>2.0872436135528868E-3</v>
      </c>
    </row>
    <row r="484" spans="16:20">
      <c r="P484" s="2" t="s">
        <v>872</v>
      </c>
      <c r="Q484" s="2" t="s">
        <v>41</v>
      </c>
      <c r="R484" s="2"/>
      <c r="S484" s="1">
        <v>255.2</v>
      </c>
      <c r="T484" s="11">
        <f t="shared" si="9"/>
        <v>2.1063926375304363E-3</v>
      </c>
    </row>
    <row r="485" spans="16:20">
      <c r="P485" s="2" t="s">
        <v>873</v>
      </c>
      <c r="Q485" s="2" t="s">
        <v>41</v>
      </c>
      <c r="R485" s="2"/>
      <c r="S485" s="1">
        <v>223.3</v>
      </c>
      <c r="T485" s="11">
        <f t="shared" si="9"/>
        <v>1.8430935578391317E-3</v>
      </c>
    </row>
    <row r="486" spans="16:20">
      <c r="P486" s="2" t="s">
        <v>874</v>
      </c>
      <c r="Q486" s="2" t="s">
        <v>41</v>
      </c>
      <c r="R486" s="2"/>
      <c r="S486" s="1">
        <v>255.2</v>
      </c>
      <c r="T486" s="11">
        <f t="shared" si="9"/>
        <v>2.1063926375304363E-3</v>
      </c>
    </row>
    <row r="487" spans="16:20">
      <c r="P487" s="2" t="s">
        <v>875</v>
      </c>
      <c r="Q487" s="2" t="s">
        <v>41</v>
      </c>
      <c r="R487" s="2"/>
      <c r="S487" s="1">
        <v>287.10000000000002</v>
      </c>
      <c r="T487" s="11">
        <f t="shared" si="9"/>
        <v>2.3696917172217409E-3</v>
      </c>
    </row>
    <row r="488" spans="16:20">
      <c r="P488" s="2" t="s">
        <v>876</v>
      </c>
      <c r="Q488" s="2" t="s">
        <v>41</v>
      </c>
      <c r="R488" s="2"/>
      <c r="S488" s="1">
        <v>255.2</v>
      </c>
      <c r="T488" s="11">
        <f t="shared" si="9"/>
        <v>2.1063926375304363E-3</v>
      </c>
    </row>
    <row r="489" spans="16:20">
      <c r="P489" s="2" t="s">
        <v>877</v>
      </c>
      <c r="Q489" s="2" t="s">
        <v>41</v>
      </c>
      <c r="R489" s="2"/>
      <c r="S489" s="1">
        <v>255.2</v>
      </c>
      <c r="T489" s="11">
        <f t="shared" si="9"/>
        <v>2.1063926375304363E-3</v>
      </c>
    </row>
    <row r="490" spans="16:20">
      <c r="P490" s="2" t="s">
        <v>878</v>
      </c>
      <c r="Q490" s="2" t="s">
        <v>41</v>
      </c>
      <c r="R490" s="2"/>
      <c r="S490" s="1">
        <v>255.2</v>
      </c>
      <c r="T490" s="11">
        <f t="shared" si="9"/>
        <v>2.1063926375304363E-3</v>
      </c>
    </row>
    <row r="491" spans="16:20">
      <c r="P491" s="2" t="s">
        <v>879</v>
      </c>
      <c r="Q491" s="2" t="s">
        <v>41</v>
      </c>
      <c r="R491" s="2"/>
      <c r="S491" s="1">
        <v>255.2</v>
      </c>
      <c r="T491" s="11">
        <f t="shared" si="9"/>
        <v>2.1063926375304363E-3</v>
      </c>
    </row>
    <row r="492" spans="16:20">
      <c r="P492" s="2" t="s">
        <v>880</v>
      </c>
      <c r="Q492" s="2" t="s">
        <v>41</v>
      </c>
      <c r="R492" s="2"/>
      <c r="S492" s="1">
        <v>0</v>
      </c>
      <c r="T492" s="11">
        <f t="shared" si="9"/>
        <v>0</v>
      </c>
    </row>
    <row r="493" spans="16:20">
      <c r="P493" s="2" t="s">
        <v>881</v>
      </c>
      <c r="Q493" s="2" t="s">
        <v>41</v>
      </c>
      <c r="R493" s="2"/>
      <c r="S493" s="1">
        <v>255.2</v>
      </c>
      <c r="T493" s="11">
        <f t="shared" si="9"/>
        <v>2.1063926375304363E-3</v>
      </c>
    </row>
    <row r="494" spans="16:20">
      <c r="P494" s="2" t="s">
        <v>882</v>
      </c>
      <c r="Q494" s="2" t="s">
        <v>41</v>
      </c>
      <c r="R494" s="2"/>
      <c r="S494" s="1">
        <v>191.4</v>
      </c>
      <c r="T494" s="11">
        <f t="shared" si="9"/>
        <v>1.5797944781478271E-3</v>
      </c>
    </row>
    <row r="495" spans="16:20">
      <c r="P495" s="2" t="s">
        <v>883</v>
      </c>
      <c r="Q495" s="2" t="s">
        <v>41</v>
      </c>
      <c r="R495" s="2"/>
      <c r="S495" s="1">
        <v>255.2</v>
      </c>
      <c r="T495" s="11">
        <f t="shared" si="9"/>
        <v>2.1063926375304363E-3</v>
      </c>
    </row>
    <row r="496" spans="16:20">
      <c r="P496" s="2" t="s">
        <v>884</v>
      </c>
      <c r="Q496" s="2" t="s">
        <v>41</v>
      </c>
      <c r="R496" s="2"/>
      <c r="S496" s="1">
        <v>255.2</v>
      </c>
      <c r="T496" s="11">
        <f t="shared" si="9"/>
        <v>2.1063926375304363E-3</v>
      </c>
    </row>
    <row r="497" spans="16:20">
      <c r="P497" s="2" t="s">
        <v>885</v>
      </c>
      <c r="Q497" s="2" t="s">
        <v>41</v>
      </c>
      <c r="R497" s="2"/>
      <c r="S497" s="1">
        <v>271.14999999999998</v>
      </c>
      <c r="T497" s="11">
        <f t="shared" si="9"/>
        <v>2.2380421773760882E-3</v>
      </c>
    </row>
    <row r="498" spans="16:20">
      <c r="P498" s="2" t="s">
        <v>886</v>
      </c>
      <c r="Q498" s="2" t="s">
        <v>41</v>
      </c>
      <c r="R498" s="2"/>
      <c r="S498" s="1">
        <v>63.8</v>
      </c>
      <c r="T498" s="11">
        <f t="shared" si="9"/>
        <v>5.2659815938260908E-4</v>
      </c>
    </row>
    <row r="499" spans="16:20">
      <c r="P499" s="2" t="s">
        <v>887</v>
      </c>
      <c r="Q499" s="2" t="s">
        <v>41</v>
      </c>
      <c r="R499" s="2"/>
      <c r="S499" s="1">
        <v>63.8</v>
      </c>
      <c r="T499" s="11">
        <f t="shared" si="9"/>
        <v>5.2659815938260908E-4</v>
      </c>
    </row>
    <row r="500" spans="16:20">
      <c r="P500" s="2" t="s">
        <v>888</v>
      </c>
      <c r="Q500" s="2" t="s">
        <v>41</v>
      </c>
      <c r="R500" s="2"/>
      <c r="S500" s="1">
        <v>159.5</v>
      </c>
      <c r="T500" s="11">
        <f t="shared" si="9"/>
        <v>1.3164953984565225E-3</v>
      </c>
    </row>
    <row r="501" spans="16:20">
      <c r="P501" s="2" t="s">
        <v>889</v>
      </c>
      <c r="Q501" s="2" t="s">
        <v>41</v>
      </c>
      <c r="R501" s="2"/>
      <c r="S501" s="1">
        <v>255.2</v>
      </c>
      <c r="T501" s="11">
        <f t="shared" si="9"/>
        <v>2.1063926375304363E-3</v>
      </c>
    </row>
    <row r="502" spans="16:20">
      <c r="P502" s="2" t="s">
        <v>890</v>
      </c>
      <c r="Q502" s="2" t="s">
        <v>41</v>
      </c>
      <c r="R502" s="2"/>
      <c r="S502" s="1">
        <v>255.2</v>
      </c>
      <c r="T502" s="11">
        <f t="shared" si="9"/>
        <v>2.1063926375304363E-3</v>
      </c>
    </row>
    <row r="503" spans="16:20">
      <c r="P503" s="2" t="s">
        <v>891</v>
      </c>
      <c r="Q503" s="2" t="s">
        <v>41</v>
      </c>
      <c r="R503" s="2"/>
      <c r="S503" s="1">
        <v>159.5</v>
      </c>
      <c r="T503" s="11">
        <f t="shared" si="9"/>
        <v>1.3164953984565225E-3</v>
      </c>
    </row>
    <row r="504" spans="16:20">
      <c r="P504" s="2" t="s">
        <v>892</v>
      </c>
      <c r="Q504" s="2" t="s">
        <v>41</v>
      </c>
      <c r="R504" s="2"/>
      <c r="S504" s="1">
        <v>255.2</v>
      </c>
      <c r="T504" s="11">
        <f t="shared" si="9"/>
        <v>2.1063926375304363E-3</v>
      </c>
    </row>
    <row r="505" spans="16:20">
      <c r="P505" s="2" t="s">
        <v>893</v>
      </c>
      <c r="Q505" s="2" t="s">
        <v>41</v>
      </c>
      <c r="R505" s="2"/>
      <c r="S505" s="1">
        <v>159.5</v>
      </c>
      <c r="T505" s="11">
        <f t="shared" si="9"/>
        <v>1.3164953984565225E-3</v>
      </c>
    </row>
    <row r="506" spans="16:20">
      <c r="P506" s="2" t="s">
        <v>894</v>
      </c>
      <c r="Q506" s="2" t="s">
        <v>41</v>
      </c>
      <c r="R506" s="2"/>
      <c r="S506" s="1">
        <v>255.2</v>
      </c>
      <c r="T506" s="11">
        <f t="shared" si="9"/>
        <v>2.1063926375304363E-3</v>
      </c>
    </row>
    <row r="507" spans="16:20">
      <c r="P507" s="2" t="s">
        <v>895</v>
      </c>
      <c r="Q507" s="2" t="s">
        <v>41</v>
      </c>
      <c r="R507" s="2"/>
      <c r="S507" s="1">
        <v>223.3</v>
      </c>
      <c r="T507" s="11">
        <f t="shared" si="9"/>
        <v>1.8430935578391317E-3</v>
      </c>
    </row>
    <row r="508" spans="16:20">
      <c r="P508" s="2" t="s">
        <v>896</v>
      </c>
      <c r="Q508" s="2" t="s">
        <v>41</v>
      </c>
      <c r="R508" s="2"/>
      <c r="S508" s="1">
        <v>255.2</v>
      </c>
      <c r="T508" s="11">
        <f t="shared" si="9"/>
        <v>2.1063926375304363E-3</v>
      </c>
    </row>
    <row r="509" spans="16:20">
      <c r="P509" s="2" t="s">
        <v>897</v>
      </c>
      <c r="Q509" s="2" t="s">
        <v>41</v>
      </c>
      <c r="R509" s="2"/>
      <c r="S509" s="1">
        <v>223.3</v>
      </c>
      <c r="T509" s="11">
        <f t="shared" si="9"/>
        <v>1.8430935578391317E-3</v>
      </c>
    </row>
    <row r="510" spans="16:20">
      <c r="P510" s="2" t="s">
        <v>898</v>
      </c>
      <c r="Q510" s="2" t="s">
        <v>41</v>
      </c>
      <c r="R510" s="2"/>
      <c r="S510" s="1">
        <v>255.2</v>
      </c>
      <c r="T510" s="11">
        <f t="shared" si="9"/>
        <v>2.1063926375304363E-3</v>
      </c>
    </row>
    <row r="511" spans="16:20">
      <c r="P511" s="2" t="s">
        <v>899</v>
      </c>
      <c r="Q511" s="2" t="s">
        <v>41</v>
      </c>
      <c r="R511" s="2"/>
      <c r="S511" s="1">
        <v>255.2</v>
      </c>
      <c r="T511" s="11">
        <f t="shared" si="9"/>
        <v>2.1063926375304363E-3</v>
      </c>
    </row>
    <row r="512" spans="16:20">
      <c r="P512" s="2" t="s">
        <v>900</v>
      </c>
      <c r="Q512" s="2" t="s">
        <v>41</v>
      </c>
      <c r="R512" s="2"/>
      <c r="S512" s="1">
        <v>255.2</v>
      </c>
      <c r="T512" s="11">
        <f t="shared" si="9"/>
        <v>2.1063926375304363E-3</v>
      </c>
    </row>
    <row r="513" spans="16:20">
      <c r="P513" s="2" t="s">
        <v>901</v>
      </c>
      <c r="Q513" s="2" t="s">
        <v>41</v>
      </c>
      <c r="R513" s="2"/>
      <c r="S513" s="1">
        <v>255.2</v>
      </c>
      <c r="T513" s="11">
        <f t="shared" si="9"/>
        <v>2.1063926375304363E-3</v>
      </c>
    </row>
    <row r="514" spans="16:20">
      <c r="P514" s="2" t="s">
        <v>902</v>
      </c>
      <c r="Q514" s="2" t="s">
        <v>41</v>
      </c>
      <c r="R514" s="2"/>
      <c r="S514" s="1">
        <v>223.3</v>
      </c>
      <c r="T514" s="11">
        <f t="shared" si="9"/>
        <v>1.8430935578391317E-3</v>
      </c>
    </row>
    <row r="515" spans="16:20">
      <c r="P515" s="2" t="s">
        <v>903</v>
      </c>
      <c r="Q515" s="2" t="s">
        <v>41</v>
      </c>
      <c r="R515" s="2"/>
      <c r="S515" s="1">
        <v>223.3</v>
      </c>
      <c r="T515" s="11">
        <f t="shared" si="9"/>
        <v>1.8430935578391317E-3</v>
      </c>
    </row>
    <row r="516" spans="16:20">
      <c r="P516" s="2" t="s">
        <v>904</v>
      </c>
      <c r="Q516" s="2" t="s">
        <v>41</v>
      </c>
      <c r="R516" s="2"/>
      <c r="S516" s="1">
        <v>223.3</v>
      </c>
      <c r="T516" s="11">
        <f t="shared" si="9"/>
        <v>1.8430935578391317E-3</v>
      </c>
    </row>
    <row r="517" spans="16:20">
      <c r="P517" s="2" t="s">
        <v>905</v>
      </c>
      <c r="Q517" s="2" t="s">
        <v>41</v>
      </c>
      <c r="R517" s="2"/>
      <c r="S517" s="1">
        <v>223.3</v>
      </c>
      <c r="T517" s="11">
        <f t="shared" si="9"/>
        <v>1.8430935578391317E-3</v>
      </c>
    </row>
    <row r="518" spans="16:20">
      <c r="P518" s="2" t="s">
        <v>906</v>
      </c>
      <c r="Q518" s="2" t="s">
        <v>41</v>
      </c>
      <c r="R518" s="2"/>
      <c r="S518" s="1">
        <v>223.3</v>
      </c>
      <c r="T518" s="11">
        <f t="shared" si="9"/>
        <v>1.8430935578391317E-3</v>
      </c>
    </row>
    <row r="519" spans="16:20">
      <c r="P519" s="2" t="s">
        <v>907</v>
      </c>
      <c r="Q519" s="2" t="s">
        <v>41</v>
      </c>
      <c r="R519" s="2"/>
      <c r="S519" s="1">
        <v>255.2</v>
      </c>
      <c r="T519" s="11">
        <f t="shared" si="9"/>
        <v>2.1063926375304363E-3</v>
      </c>
    </row>
    <row r="520" spans="16:20">
      <c r="P520" s="2" t="s">
        <v>908</v>
      </c>
      <c r="Q520" s="2" t="s">
        <v>41</v>
      </c>
      <c r="R520" s="2"/>
      <c r="S520" s="1">
        <v>284.49</v>
      </c>
      <c r="T520" s="11">
        <f t="shared" si="9"/>
        <v>2.3481490652469978E-3</v>
      </c>
    </row>
    <row r="521" spans="16:20">
      <c r="P521" s="2" t="s">
        <v>909</v>
      </c>
      <c r="Q521" s="2" t="s">
        <v>41</v>
      </c>
      <c r="R521" s="2"/>
      <c r="S521" s="1">
        <v>223.3</v>
      </c>
      <c r="T521" s="11">
        <f t="shared" si="9"/>
        <v>1.8430935578391317E-3</v>
      </c>
    </row>
    <row r="522" spans="16:20">
      <c r="P522" s="2" t="s">
        <v>910</v>
      </c>
      <c r="Q522" s="2" t="s">
        <v>41</v>
      </c>
      <c r="R522" s="2"/>
      <c r="S522" s="1">
        <v>284.49</v>
      </c>
      <c r="T522" s="11">
        <f t="shared" si="9"/>
        <v>2.3481490652469978E-3</v>
      </c>
    </row>
    <row r="523" spans="16:20">
      <c r="P523" s="2" t="s">
        <v>911</v>
      </c>
      <c r="Q523" s="2" t="s">
        <v>41</v>
      </c>
      <c r="R523" s="2"/>
      <c r="S523" s="1">
        <v>284.49</v>
      </c>
      <c r="T523" s="11">
        <f t="shared" si="9"/>
        <v>2.3481490652469978E-3</v>
      </c>
    </row>
    <row r="524" spans="16:20">
      <c r="P524" s="2" t="s">
        <v>912</v>
      </c>
      <c r="Q524" s="2" t="s">
        <v>41</v>
      </c>
      <c r="R524" s="2"/>
      <c r="S524" s="1">
        <v>252.88</v>
      </c>
      <c r="T524" s="11">
        <f t="shared" si="9"/>
        <v>2.0872436135528868E-3</v>
      </c>
    </row>
    <row r="525" spans="16:20">
      <c r="P525" s="2" t="s">
        <v>913</v>
      </c>
      <c r="Q525" s="2" t="s">
        <v>41</v>
      </c>
      <c r="R525" s="2"/>
      <c r="S525" s="1">
        <v>252.88</v>
      </c>
      <c r="T525" s="11">
        <f t="shared" si="9"/>
        <v>2.0872436135528868E-3</v>
      </c>
    </row>
    <row r="526" spans="16:20">
      <c r="P526" s="2" t="s">
        <v>914</v>
      </c>
      <c r="Q526" s="2" t="s">
        <v>41</v>
      </c>
      <c r="R526" s="2"/>
      <c r="S526" s="1">
        <v>252.88</v>
      </c>
      <c r="T526" s="11">
        <f t="shared" si="9"/>
        <v>2.0872436135528868E-3</v>
      </c>
    </row>
    <row r="527" spans="16:20">
      <c r="P527" s="2" t="s">
        <v>915</v>
      </c>
      <c r="Q527" s="2" t="s">
        <v>41</v>
      </c>
      <c r="R527" s="2"/>
      <c r="S527" s="1">
        <v>237.07</v>
      </c>
      <c r="T527" s="11">
        <f t="shared" si="9"/>
        <v>1.9567496182576038E-3</v>
      </c>
    </row>
    <row r="528" spans="16:20">
      <c r="P528" s="2" t="s">
        <v>916</v>
      </c>
      <c r="Q528" s="2" t="s">
        <v>41</v>
      </c>
      <c r="R528" s="2"/>
      <c r="S528" s="1">
        <v>252.88</v>
      </c>
      <c r="T528" s="11">
        <f t="shared" si="9"/>
        <v>2.0872436135528868E-3</v>
      </c>
    </row>
    <row r="529" spans="16:20">
      <c r="P529" s="2" t="s">
        <v>917</v>
      </c>
      <c r="Q529" s="2" t="s">
        <v>41</v>
      </c>
      <c r="R529" s="2"/>
      <c r="S529" s="1">
        <v>252.88</v>
      </c>
      <c r="T529" s="11">
        <f t="shared" si="9"/>
        <v>2.0872436135528868E-3</v>
      </c>
    </row>
    <row r="530" spans="16:20">
      <c r="P530" s="2" t="s">
        <v>918</v>
      </c>
      <c r="Q530" s="2" t="s">
        <v>41</v>
      </c>
      <c r="R530" s="2"/>
      <c r="S530" s="1">
        <v>237.07499999999999</v>
      </c>
      <c r="T530" s="11">
        <f t="shared" si="9"/>
        <v>1.9567908877058311E-3</v>
      </c>
    </row>
    <row r="531" spans="16:20">
      <c r="P531" s="2" t="s">
        <v>919</v>
      </c>
      <c r="Q531" s="2" t="s">
        <v>41</v>
      </c>
      <c r="R531" s="2"/>
      <c r="S531" s="1">
        <v>237.07499999999999</v>
      </c>
      <c r="T531" s="11">
        <f t="shared" si="9"/>
        <v>1.9567908877058311E-3</v>
      </c>
    </row>
    <row r="532" spans="16:20">
      <c r="P532" s="2" t="s">
        <v>920</v>
      </c>
      <c r="Q532" s="2" t="s">
        <v>41</v>
      </c>
      <c r="R532" s="2"/>
      <c r="S532" s="1">
        <v>284.49</v>
      </c>
      <c r="T532" s="11">
        <f t="shared" si="9"/>
        <v>2.3481490652469978E-3</v>
      </c>
    </row>
    <row r="533" spans="16:20">
      <c r="P533" s="2" t="s">
        <v>921</v>
      </c>
      <c r="Q533" s="2" t="s">
        <v>41</v>
      </c>
      <c r="R533" s="2"/>
      <c r="S533" s="1">
        <v>237.07499999999999</v>
      </c>
      <c r="T533" s="11">
        <f t="shared" si="9"/>
        <v>1.9567908877058311E-3</v>
      </c>
    </row>
    <row r="534" spans="16:20">
      <c r="P534" s="2" t="s">
        <v>922</v>
      </c>
      <c r="Q534" s="2" t="s">
        <v>41</v>
      </c>
      <c r="R534" s="2"/>
      <c r="S534" s="1">
        <v>205.465</v>
      </c>
      <c r="T534" s="11">
        <f t="shared" si="9"/>
        <v>1.6958854360117205E-3</v>
      </c>
    </row>
    <row r="535" spans="16:20">
      <c r="P535" s="2" t="s">
        <v>923</v>
      </c>
      <c r="Q535" s="2" t="s">
        <v>41</v>
      </c>
      <c r="R535" s="2"/>
      <c r="S535" s="1">
        <v>189.66</v>
      </c>
      <c r="T535" s="11">
        <f t="shared" si="9"/>
        <v>1.565432710164665E-3</v>
      </c>
    </row>
    <row r="536" spans="16:20">
      <c r="P536" s="2" t="s">
        <v>924</v>
      </c>
      <c r="Q536" s="2" t="s">
        <v>41</v>
      </c>
      <c r="R536" s="2"/>
      <c r="S536" s="1">
        <v>252.88</v>
      </c>
      <c r="T536" s="11">
        <f t="shared" si="9"/>
        <v>2.0872436135528868E-3</v>
      </c>
    </row>
    <row r="537" spans="16:20">
      <c r="P537" s="2" t="s">
        <v>925</v>
      </c>
      <c r="Q537" s="2" t="s">
        <v>41</v>
      </c>
      <c r="R537" s="2"/>
      <c r="S537" s="1">
        <v>221.27</v>
      </c>
      <c r="T537" s="11">
        <f t="shared" si="9"/>
        <v>1.826338161858776E-3</v>
      </c>
    </row>
    <row r="538" spans="16:20">
      <c r="P538" s="2" t="s">
        <v>926</v>
      </c>
      <c r="Q538" s="2" t="s">
        <v>41</v>
      </c>
      <c r="R538" s="2"/>
      <c r="S538" s="1">
        <v>205.465</v>
      </c>
      <c r="T538" s="11">
        <f t="shared" si="9"/>
        <v>1.6958854360117205E-3</v>
      </c>
    </row>
    <row r="539" spans="16:20">
      <c r="P539" s="2" t="s">
        <v>927</v>
      </c>
      <c r="Q539" s="2" t="s">
        <v>41</v>
      </c>
      <c r="R539" s="2"/>
      <c r="S539" s="1">
        <v>126.44</v>
      </c>
      <c r="T539" s="11">
        <f t="shared" si="9"/>
        <v>1.0436218067764434E-3</v>
      </c>
    </row>
    <row r="540" spans="16:20">
      <c r="P540" s="2" t="s">
        <v>928</v>
      </c>
      <c r="Q540" s="2" t="s">
        <v>41</v>
      </c>
      <c r="R540" s="2"/>
      <c r="S540" s="1">
        <v>284.49</v>
      </c>
      <c r="T540" s="11">
        <f t="shared" si="9"/>
        <v>2.3481490652469978E-3</v>
      </c>
    </row>
    <row r="541" spans="16:20">
      <c r="P541" s="2" t="s">
        <v>929</v>
      </c>
      <c r="Q541" s="2" t="s">
        <v>41</v>
      </c>
      <c r="R541" s="2"/>
      <c r="S541" s="1">
        <v>221.27</v>
      </c>
      <c r="T541" s="11">
        <f t="shared" si="9"/>
        <v>1.826338161858776E-3</v>
      </c>
    </row>
    <row r="542" spans="16:20">
      <c r="P542" s="2" t="s">
        <v>930</v>
      </c>
      <c r="Q542" s="2" t="s">
        <v>41</v>
      </c>
      <c r="R542" s="2"/>
      <c r="S542" s="1">
        <v>221.27</v>
      </c>
      <c r="T542" s="11">
        <f t="shared" ref="T542:T605" si="10">S542/$B$2</f>
        <v>1.826338161858776E-3</v>
      </c>
    </row>
    <row r="543" spans="16:20">
      <c r="P543" s="2" t="s">
        <v>931</v>
      </c>
      <c r="Q543" s="2" t="s">
        <v>41</v>
      </c>
      <c r="R543" s="2"/>
      <c r="S543" s="1">
        <v>221.27</v>
      </c>
      <c r="T543" s="11">
        <f t="shared" si="10"/>
        <v>1.826338161858776E-3</v>
      </c>
    </row>
    <row r="544" spans="16:20">
      <c r="P544" s="2" t="s">
        <v>932</v>
      </c>
      <c r="Q544" s="2" t="s">
        <v>41</v>
      </c>
      <c r="R544" s="2"/>
      <c r="S544" s="1">
        <v>252.88</v>
      </c>
      <c r="T544" s="11">
        <f t="shared" si="10"/>
        <v>2.0872436135528868E-3</v>
      </c>
    </row>
    <row r="545" spans="16:20">
      <c r="P545" s="2" t="s">
        <v>933</v>
      </c>
      <c r="Q545" s="2" t="s">
        <v>41</v>
      </c>
      <c r="R545" s="2"/>
      <c r="S545" s="1">
        <v>189.66</v>
      </c>
      <c r="T545" s="11">
        <f t="shared" si="10"/>
        <v>1.565432710164665E-3</v>
      </c>
    </row>
    <row r="546" spans="16:20">
      <c r="P546" s="2" t="s">
        <v>934</v>
      </c>
      <c r="Q546" s="2" t="s">
        <v>41</v>
      </c>
      <c r="R546" s="2"/>
      <c r="S546" s="1">
        <v>252.88</v>
      </c>
      <c r="T546" s="11">
        <f t="shared" si="10"/>
        <v>2.0872436135528868E-3</v>
      </c>
    </row>
    <row r="547" spans="16:20">
      <c r="P547" s="2" t="s">
        <v>935</v>
      </c>
      <c r="Q547" s="2" t="s">
        <v>41</v>
      </c>
      <c r="R547" s="2"/>
      <c r="S547" s="1">
        <v>252.88</v>
      </c>
      <c r="T547" s="11">
        <f t="shared" si="10"/>
        <v>2.0872436135528868E-3</v>
      </c>
    </row>
    <row r="548" spans="16:20">
      <c r="P548" s="2" t="s">
        <v>936</v>
      </c>
      <c r="Q548" s="2" t="s">
        <v>41</v>
      </c>
      <c r="R548" s="2"/>
      <c r="S548" s="1">
        <v>221.27</v>
      </c>
      <c r="T548" s="11">
        <f t="shared" si="10"/>
        <v>1.826338161858776E-3</v>
      </c>
    </row>
    <row r="549" spans="16:20">
      <c r="P549" s="2" t="s">
        <v>937</v>
      </c>
      <c r="Q549" s="2" t="s">
        <v>41</v>
      </c>
      <c r="R549" s="2"/>
      <c r="S549" s="1">
        <v>221.27</v>
      </c>
      <c r="T549" s="11">
        <f t="shared" si="10"/>
        <v>1.826338161858776E-3</v>
      </c>
    </row>
    <row r="550" spans="16:20">
      <c r="P550" s="2" t="s">
        <v>938</v>
      </c>
      <c r="Q550" s="2" t="s">
        <v>41</v>
      </c>
      <c r="R550" s="2"/>
      <c r="S550" s="1">
        <v>221.27</v>
      </c>
      <c r="T550" s="11">
        <f t="shared" si="10"/>
        <v>1.826338161858776E-3</v>
      </c>
    </row>
    <row r="551" spans="16:20">
      <c r="P551" s="2" t="s">
        <v>939</v>
      </c>
      <c r="Q551" s="2" t="s">
        <v>41</v>
      </c>
      <c r="R551" s="2"/>
      <c r="S551" s="1">
        <v>221.27</v>
      </c>
      <c r="T551" s="11">
        <f t="shared" si="10"/>
        <v>1.826338161858776E-3</v>
      </c>
    </row>
    <row r="552" spans="16:20">
      <c r="P552" s="2" t="s">
        <v>940</v>
      </c>
      <c r="Q552" s="2" t="s">
        <v>41</v>
      </c>
      <c r="R552" s="2"/>
      <c r="S552" s="1">
        <v>252.88</v>
      </c>
      <c r="T552" s="11">
        <f t="shared" si="10"/>
        <v>2.0872436135528868E-3</v>
      </c>
    </row>
    <row r="553" spans="16:20">
      <c r="P553" s="2" t="s">
        <v>941</v>
      </c>
      <c r="Q553" s="2" t="s">
        <v>42</v>
      </c>
      <c r="R553" s="2"/>
      <c r="S553" s="1">
        <v>6200</v>
      </c>
      <c r="T553" s="11">
        <f t="shared" si="10"/>
        <v>5.1174115802071728E-2</v>
      </c>
    </row>
    <row r="554" spans="16:20">
      <c r="P554" s="2" t="s">
        <v>942</v>
      </c>
      <c r="Q554" s="2" t="s">
        <v>43</v>
      </c>
      <c r="R554" s="2"/>
      <c r="S554" s="1">
        <v>3635</v>
      </c>
      <c r="T554" s="11">
        <f t="shared" si="10"/>
        <v>3.0002888861375924E-2</v>
      </c>
    </row>
    <row r="555" spans="16:20">
      <c r="P555" s="2" t="s">
        <v>943</v>
      </c>
      <c r="Q555" s="2" t="s">
        <v>43</v>
      </c>
      <c r="R555" s="2"/>
      <c r="S555" s="1">
        <v>3066</v>
      </c>
      <c r="T555" s="11">
        <f t="shared" si="10"/>
        <v>2.5306425653089017E-2</v>
      </c>
    </row>
    <row r="556" spans="16:20">
      <c r="P556" s="2" t="s">
        <v>944</v>
      </c>
      <c r="Q556" s="2" t="s">
        <v>41</v>
      </c>
      <c r="R556" s="2"/>
      <c r="S556" s="1"/>
      <c r="T556" s="11">
        <f t="shared" si="10"/>
        <v>0</v>
      </c>
    </row>
    <row r="557" spans="16:20">
      <c r="P557" s="2" t="s">
        <v>945</v>
      </c>
      <c r="Q557" s="2" t="s">
        <v>41</v>
      </c>
      <c r="R557" s="2"/>
      <c r="S557" s="1">
        <v>3921</v>
      </c>
      <c r="T557" s="11">
        <f t="shared" si="10"/>
        <v>3.2363501299987621E-2</v>
      </c>
    </row>
    <row r="558" spans="16:20">
      <c r="P558" s="2" t="s">
        <v>175</v>
      </c>
      <c r="Q558" s="2" t="s">
        <v>42</v>
      </c>
      <c r="R558" s="2"/>
      <c r="S558" s="1">
        <v>1534</v>
      </c>
      <c r="T558" s="11">
        <f t="shared" si="10"/>
        <v>1.2661466716190005E-2</v>
      </c>
    </row>
    <row r="559" spans="16:20">
      <c r="P559" s="2" t="s">
        <v>176</v>
      </c>
      <c r="Q559" s="2" t="s">
        <v>42</v>
      </c>
      <c r="R559" s="2"/>
      <c r="S559" s="1">
        <v>1456</v>
      </c>
      <c r="T559" s="11">
        <f t="shared" si="10"/>
        <v>1.201766332384136E-2</v>
      </c>
    </row>
    <row r="560" spans="16:20">
      <c r="P560" s="2" t="s">
        <v>177</v>
      </c>
      <c r="Q560" s="2" t="s">
        <v>42</v>
      </c>
      <c r="R560" s="2"/>
      <c r="S560" s="1">
        <v>1597</v>
      </c>
      <c r="T560" s="11">
        <f t="shared" si="10"/>
        <v>1.3181461763856218E-2</v>
      </c>
    </row>
    <row r="561" spans="16:20">
      <c r="P561" s="2" t="s">
        <v>178</v>
      </c>
      <c r="Q561" s="2" t="s">
        <v>42</v>
      </c>
      <c r="R561" s="2"/>
      <c r="S561" s="1">
        <v>1581</v>
      </c>
      <c r="T561" s="11">
        <f t="shared" si="10"/>
        <v>1.3049399529528291E-2</v>
      </c>
    </row>
    <row r="562" spans="16:20">
      <c r="P562" s="2" t="s">
        <v>179</v>
      </c>
      <c r="Q562" s="2" t="s">
        <v>43</v>
      </c>
      <c r="R562" s="2"/>
      <c r="S562" s="1">
        <v>1675</v>
      </c>
      <c r="T562" s="11">
        <f t="shared" si="10"/>
        <v>1.3825265156204861E-2</v>
      </c>
    </row>
    <row r="563" spans="16:20">
      <c r="P563" s="2" t="s">
        <v>180</v>
      </c>
      <c r="Q563" s="2" t="s">
        <v>43</v>
      </c>
      <c r="R563" s="2"/>
      <c r="S563" s="1">
        <v>1738</v>
      </c>
      <c r="T563" s="11">
        <f t="shared" si="10"/>
        <v>1.4345260203871075E-2</v>
      </c>
    </row>
    <row r="564" spans="16:20">
      <c r="P564" s="2" t="s">
        <v>181</v>
      </c>
      <c r="Q564" s="2" t="s">
        <v>43</v>
      </c>
      <c r="R564" s="2"/>
      <c r="S564" s="1">
        <v>1485</v>
      </c>
      <c r="T564" s="11">
        <f t="shared" si="10"/>
        <v>1.2257026123560728E-2</v>
      </c>
    </row>
    <row r="565" spans="16:20">
      <c r="P565" s="2" t="s">
        <v>182</v>
      </c>
      <c r="Q565" s="2" t="s">
        <v>43</v>
      </c>
      <c r="R565" s="2"/>
      <c r="S565" s="1">
        <v>1801</v>
      </c>
      <c r="T565" s="11">
        <f t="shared" si="10"/>
        <v>1.4865255251537287E-2</v>
      </c>
    </row>
    <row r="566" spans="16:20">
      <c r="P566" s="2" t="s">
        <v>187</v>
      </c>
      <c r="Q566" s="2" t="s">
        <v>41</v>
      </c>
      <c r="R566" s="2"/>
      <c r="S566" s="1"/>
      <c r="T566" s="11">
        <f t="shared" si="10"/>
        <v>0</v>
      </c>
    </row>
    <row r="567" spans="16:20">
      <c r="P567" s="2" t="s">
        <v>188</v>
      </c>
      <c r="Q567" s="2" t="s">
        <v>41</v>
      </c>
      <c r="R567" s="2"/>
      <c r="S567" s="1">
        <v>1241</v>
      </c>
      <c r="T567" s="11">
        <f t="shared" si="10"/>
        <v>1.0243077050059841E-2</v>
      </c>
    </row>
    <row r="568" spans="16:20">
      <c r="P568" s="2" t="s">
        <v>189</v>
      </c>
      <c r="Q568" s="2" t="s">
        <v>41</v>
      </c>
      <c r="R568" s="2"/>
      <c r="S568" s="1">
        <v>909</v>
      </c>
      <c r="T568" s="11">
        <f t="shared" si="10"/>
        <v>7.5027856877553549E-3</v>
      </c>
    </row>
    <row r="569" spans="16:20">
      <c r="P569" s="2" t="s">
        <v>190</v>
      </c>
      <c r="Q569" s="2" t="s">
        <v>41</v>
      </c>
      <c r="R569" s="2"/>
      <c r="S569" s="1">
        <v>1515</v>
      </c>
      <c r="T569" s="11">
        <f t="shared" si="10"/>
        <v>1.2504642812925591E-2</v>
      </c>
    </row>
    <row r="570" spans="16:20">
      <c r="P570" s="2" t="s">
        <v>946</v>
      </c>
      <c r="Q570" s="2" t="s">
        <v>42</v>
      </c>
      <c r="R570" s="2"/>
      <c r="S570" s="1">
        <v>250.56</v>
      </c>
      <c r="T570" s="11">
        <f t="shared" si="10"/>
        <v>2.0680945895753373E-3</v>
      </c>
    </row>
    <row r="571" spans="16:20">
      <c r="P571" s="2" t="s">
        <v>947</v>
      </c>
      <c r="Q571" s="2" t="s">
        <v>42</v>
      </c>
      <c r="R571" s="2"/>
      <c r="S571" s="1">
        <v>250.56</v>
      </c>
      <c r="T571" s="11">
        <f t="shared" si="10"/>
        <v>2.0680945895753373E-3</v>
      </c>
    </row>
    <row r="572" spans="16:20">
      <c r="P572" s="2" t="s">
        <v>948</v>
      </c>
      <c r="Q572" s="2" t="s">
        <v>42</v>
      </c>
      <c r="R572" s="2"/>
      <c r="S572" s="1">
        <v>281.88</v>
      </c>
      <c r="T572" s="11">
        <f t="shared" si="10"/>
        <v>2.3266064132722547E-3</v>
      </c>
    </row>
    <row r="573" spans="16:20">
      <c r="P573" s="2" t="s">
        <v>949</v>
      </c>
      <c r="Q573" s="2" t="s">
        <v>42</v>
      </c>
      <c r="R573" s="2"/>
      <c r="S573" s="1">
        <v>250.56</v>
      </c>
      <c r="T573" s="11">
        <f t="shared" si="10"/>
        <v>2.0680945895753373E-3</v>
      </c>
    </row>
    <row r="574" spans="16:20">
      <c r="P574" s="2" t="s">
        <v>950</v>
      </c>
      <c r="Q574" s="2" t="s">
        <v>42</v>
      </c>
      <c r="R574" s="2"/>
      <c r="S574" s="1">
        <v>250.56</v>
      </c>
      <c r="T574" s="11">
        <f t="shared" si="10"/>
        <v>2.0680945895753373E-3</v>
      </c>
    </row>
    <row r="575" spans="16:20">
      <c r="P575" s="2" t="s">
        <v>951</v>
      </c>
      <c r="Q575" s="2" t="s">
        <v>42</v>
      </c>
      <c r="R575" s="2"/>
      <c r="S575" s="1">
        <v>250.56</v>
      </c>
      <c r="T575" s="11">
        <f t="shared" si="10"/>
        <v>2.0680945895753373E-3</v>
      </c>
    </row>
    <row r="576" spans="16:20">
      <c r="P576" s="2" t="s">
        <v>952</v>
      </c>
      <c r="Q576" s="2" t="s">
        <v>42</v>
      </c>
      <c r="R576" s="2"/>
      <c r="S576" s="1">
        <v>250.56</v>
      </c>
      <c r="T576" s="11">
        <f t="shared" si="10"/>
        <v>2.0680945895753373E-3</v>
      </c>
    </row>
    <row r="577" spans="16:20">
      <c r="P577" s="2" t="s">
        <v>953</v>
      </c>
      <c r="Q577" s="2" t="s">
        <v>42</v>
      </c>
      <c r="R577" s="2"/>
      <c r="S577" s="1">
        <v>250.56</v>
      </c>
      <c r="T577" s="11">
        <f t="shared" si="10"/>
        <v>2.0680945895753373E-3</v>
      </c>
    </row>
    <row r="578" spans="16:20">
      <c r="P578" s="2" t="s">
        <v>954</v>
      </c>
      <c r="Q578" s="2" t="s">
        <v>42</v>
      </c>
      <c r="R578" s="2"/>
      <c r="S578" s="1">
        <v>219.24</v>
      </c>
      <c r="T578" s="11">
        <f t="shared" si="10"/>
        <v>1.8095827658784203E-3</v>
      </c>
    </row>
    <row r="579" spans="16:20">
      <c r="P579" s="2" t="s">
        <v>955</v>
      </c>
      <c r="Q579" s="2" t="s">
        <v>42</v>
      </c>
      <c r="R579" s="2"/>
      <c r="S579" s="1">
        <v>203.58</v>
      </c>
      <c r="T579" s="11">
        <f t="shared" si="10"/>
        <v>1.6803268540299618E-3</v>
      </c>
    </row>
    <row r="580" spans="16:20">
      <c r="P580" s="2" t="s">
        <v>956</v>
      </c>
      <c r="Q580" s="2" t="s">
        <v>42</v>
      </c>
      <c r="R580" s="2"/>
      <c r="S580" s="1">
        <v>250.56</v>
      </c>
      <c r="T580" s="11">
        <f t="shared" si="10"/>
        <v>2.0680945895753373E-3</v>
      </c>
    </row>
    <row r="581" spans="16:20">
      <c r="P581" s="2" t="s">
        <v>957</v>
      </c>
      <c r="Q581" s="2" t="s">
        <v>42</v>
      </c>
      <c r="R581" s="2"/>
      <c r="S581" s="1">
        <v>281.88</v>
      </c>
      <c r="T581" s="11">
        <f t="shared" si="10"/>
        <v>2.3266064132722547E-3</v>
      </c>
    </row>
    <row r="582" spans="16:20">
      <c r="P582" s="2" t="s">
        <v>958</v>
      </c>
      <c r="Q582" s="2" t="s">
        <v>42</v>
      </c>
      <c r="R582" s="2"/>
      <c r="S582" s="1">
        <v>281.88</v>
      </c>
      <c r="T582" s="11">
        <f t="shared" si="10"/>
        <v>2.3266064132722547E-3</v>
      </c>
    </row>
    <row r="583" spans="16:20">
      <c r="P583" s="2" t="s">
        <v>959</v>
      </c>
      <c r="Q583" s="2" t="s">
        <v>42</v>
      </c>
      <c r="R583" s="2"/>
      <c r="S583" s="1">
        <v>281.88</v>
      </c>
      <c r="T583" s="11">
        <f t="shared" si="10"/>
        <v>2.3266064132722547E-3</v>
      </c>
    </row>
    <row r="584" spans="16:20">
      <c r="P584" s="2" t="s">
        <v>960</v>
      </c>
      <c r="Q584" s="2" t="s">
        <v>42</v>
      </c>
      <c r="R584" s="2"/>
      <c r="S584" s="1">
        <v>250.56</v>
      </c>
      <c r="T584" s="11">
        <f t="shared" si="10"/>
        <v>2.0680945895753373E-3</v>
      </c>
    </row>
    <row r="585" spans="16:20">
      <c r="P585" s="2" t="s">
        <v>961</v>
      </c>
      <c r="Q585" s="2" t="s">
        <v>42</v>
      </c>
      <c r="R585" s="2"/>
      <c r="S585" s="1">
        <v>250.56</v>
      </c>
      <c r="T585" s="11">
        <f t="shared" si="10"/>
        <v>2.0680945895753373E-3</v>
      </c>
    </row>
    <row r="586" spans="16:20">
      <c r="P586" s="2" t="s">
        <v>962</v>
      </c>
      <c r="Q586" s="2" t="s">
        <v>42</v>
      </c>
      <c r="R586" s="2"/>
      <c r="S586" s="1">
        <v>281.88</v>
      </c>
      <c r="T586" s="11">
        <f t="shared" si="10"/>
        <v>2.3266064132722547E-3</v>
      </c>
    </row>
    <row r="587" spans="16:20">
      <c r="P587" s="2" t="s">
        <v>963</v>
      </c>
      <c r="Q587" s="2" t="s">
        <v>42</v>
      </c>
      <c r="R587" s="2"/>
      <c r="S587" s="1">
        <v>250.56</v>
      </c>
      <c r="T587" s="11">
        <f t="shared" si="10"/>
        <v>2.0680945895753373E-3</v>
      </c>
    </row>
    <row r="588" spans="16:20">
      <c r="P588" s="2" t="s">
        <v>964</v>
      </c>
      <c r="Q588" s="2" t="s">
        <v>42</v>
      </c>
      <c r="R588" s="2"/>
      <c r="S588" s="1">
        <v>281.88</v>
      </c>
      <c r="T588" s="11">
        <f t="shared" si="10"/>
        <v>2.3266064132722547E-3</v>
      </c>
    </row>
    <row r="589" spans="16:20">
      <c r="P589" s="2" t="s">
        <v>965</v>
      </c>
      <c r="Q589" s="2" t="s">
        <v>42</v>
      </c>
      <c r="R589" s="2"/>
      <c r="S589" s="1">
        <v>281.88</v>
      </c>
      <c r="T589" s="11">
        <f t="shared" si="10"/>
        <v>2.3266064132722547E-3</v>
      </c>
    </row>
    <row r="590" spans="16:20">
      <c r="P590" s="2" t="s">
        <v>966</v>
      </c>
      <c r="Q590" s="2" t="s">
        <v>42</v>
      </c>
      <c r="R590" s="2"/>
      <c r="S590" s="1">
        <v>266.22000000000003</v>
      </c>
      <c r="T590" s="11">
        <f t="shared" si="10"/>
        <v>2.1973505014237964E-3</v>
      </c>
    </row>
    <row r="591" spans="16:20">
      <c r="P591" s="2" t="s">
        <v>967</v>
      </c>
      <c r="Q591" s="2" t="s">
        <v>42</v>
      </c>
      <c r="R591" s="2"/>
      <c r="S591" s="1">
        <v>281.88</v>
      </c>
      <c r="T591" s="11">
        <f t="shared" si="10"/>
        <v>2.3266064132722547E-3</v>
      </c>
    </row>
    <row r="592" spans="16:20">
      <c r="P592" s="2" t="s">
        <v>968</v>
      </c>
      <c r="Q592" s="2" t="s">
        <v>42</v>
      </c>
      <c r="R592" s="2"/>
      <c r="S592" s="1">
        <v>250.56</v>
      </c>
      <c r="T592" s="11">
        <f t="shared" si="10"/>
        <v>2.0680945895753373E-3</v>
      </c>
    </row>
    <row r="593" spans="16:20">
      <c r="P593" s="2" t="s">
        <v>969</v>
      </c>
      <c r="Q593" s="2" t="s">
        <v>42</v>
      </c>
      <c r="R593" s="2"/>
      <c r="S593" s="1">
        <v>219.24</v>
      </c>
      <c r="T593" s="11">
        <f t="shared" si="10"/>
        <v>1.8095827658784203E-3</v>
      </c>
    </row>
    <row r="594" spans="16:20">
      <c r="P594" s="2" t="s">
        <v>970</v>
      </c>
      <c r="Q594" s="2" t="s">
        <v>43</v>
      </c>
      <c r="R594" s="2"/>
      <c r="S594" s="1">
        <v>252.88</v>
      </c>
      <c r="T594" s="11">
        <f t="shared" si="10"/>
        <v>2.0872436135528868E-3</v>
      </c>
    </row>
    <row r="595" spans="16:20">
      <c r="P595" s="2" t="s">
        <v>971</v>
      </c>
      <c r="Q595" s="2" t="s">
        <v>43</v>
      </c>
      <c r="R595" s="2"/>
      <c r="S595" s="1">
        <v>221.27</v>
      </c>
      <c r="T595" s="11">
        <f t="shared" si="10"/>
        <v>1.826338161858776E-3</v>
      </c>
    </row>
    <row r="596" spans="16:20">
      <c r="P596" s="2" t="s">
        <v>972</v>
      </c>
      <c r="Q596" s="2" t="s">
        <v>43</v>
      </c>
      <c r="R596" s="2"/>
      <c r="S596" s="1">
        <v>252.88</v>
      </c>
      <c r="T596" s="11">
        <f t="shared" si="10"/>
        <v>2.0872436135528868E-3</v>
      </c>
    </row>
    <row r="597" spans="16:20">
      <c r="P597" s="2" t="s">
        <v>973</v>
      </c>
      <c r="Q597" s="2" t="s">
        <v>43</v>
      </c>
      <c r="R597" s="2"/>
      <c r="S597" s="1">
        <v>252.88</v>
      </c>
      <c r="T597" s="11">
        <f t="shared" si="10"/>
        <v>2.0872436135528868E-3</v>
      </c>
    </row>
    <row r="598" spans="16:20">
      <c r="P598" s="2" t="s">
        <v>974</v>
      </c>
      <c r="Q598" s="2" t="s">
        <v>43</v>
      </c>
      <c r="R598" s="2"/>
      <c r="S598" s="1">
        <v>252.88</v>
      </c>
      <c r="T598" s="11">
        <f t="shared" si="10"/>
        <v>2.0872436135528868E-3</v>
      </c>
    </row>
    <row r="599" spans="16:20">
      <c r="P599" s="2" t="s">
        <v>975</v>
      </c>
      <c r="Q599" s="2" t="s">
        <v>43</v>
      </c>
      <c r="R599" s="2"/>
      <c r="S599" s="1">
        <v>221.27</v>
      </c>
      <c r="T599" s="11">
        <f t="shared" si="10"/>
        <v>1.826338161858776E-3</v>
      </c>
    </row>
    <row r="600" spans="16:20">
      <c r="P600" s="2" t="s">
        <v>976</v>
      </c>
      <c r="Q600" s="2" t="s">
        <v>43</v>
      </c>
      <c r="R600" s="2"/>
      <c r="S600" s="1">
        <v>221.27</v>
      </c>
      <c r="T600" s="11">
        <f t="shared" si="10"/>
        <v>1.826338161858776E-3</v>
      </c>
    </row>
    <row r="601" spans="16:20">
      <c r="P601" s="2" t="s">
        <v>977</v>
      </c>
      <c r="Q601" s="2" t="s">
        <v>43</v>
      </c>
      <c r="R601" s="2"/>
      <c r="S601" s="1">
        <v>252.88</v>
      </c>
      <c r="T601" s="11">
        <f t="shared" si="10"/>
        <v>2.0872436135528868E-3</v>
      </c>
    </row>
    <row r="602" spans="16:20">
      <c r="P602" s="2" t="s">
        <v>978</v>
      </c>
      <c r="Q602" s="2" t="s">
        <v>43</v>
      </c>
      <c r="R602" s="2"/>
      <c r="S602" s="1">
        <v>252.88</v>
      </c>
      <c r="T602" s="11">
        <f t="shared" si="10"/>
        <v>2.0872436135528868E-3</v>
      </c>
    </row>
    <row r="603" spans="16:20">
      <c r="P603" s="2" t="s">
        <v>979</v>
      </c>
      <c r="Q603" s="2" t="s">
        <v>43</v>
      </c>
      <c r="R603" s="2"/>
      <c r="S603" s="1">
        <v>282.88</v>
      </c>
      <c r="T603" s="11">
        <f t="shared" si="10"/>
        <v>2.3348603029177501E-3</v>
      </c>
    </row>
    <row r="604" spans="16:20">
      <c r="P604" s="2" t="s">
        <v>980</v>
      </c>
      <c r="Q604" s="2" t="s">
        <v>43</v>
      </c>
      <c r="R604" s="2"/>
      <c r="S604" s="1">
        <v>252.88</v>
      </c>
      <c r="T604" s="11">
        <f t="shared" si="10"/>
        <v>2.0872436135528868E-3</v>
      </c>
    </row>
    <row r="605" spans="16:20">
      <c r="P605" s="2" t="s">
        <v>981</v>
      </c>
      <c r="Q605" s="2" t="s">
        <v>43</v>
      </c>
      <c r="R605" s="2"/>
      <c r="S605" s="1">
        <v>252.88</v>
      </c>
      <c r="T605" s="11">
        <f t="shared" si="10"/>
        <v>2.0872436135528868E-3</v>
      </c>
    </row>
    <row r="606" spans="16:20">
      <c r="P606" s="2" t="s">
        <v>982</v>
      </c>
      <c r="Q606" s="2" t="s">
        <v>43</v>
      </c>
      <c r="R606" s="2"/>
      <c r="S606" s="1">
        <v>221.27</v>
      </c>
      <c r="T606" s="11">
        <f t="shared" ref="T606:T687" si="11">S606/$B$2</f>
        <v>1.826338161858776E-3</v>
      </c>
    </row>
    <row r="607" spans="16:20">
      <c r="P607" s="2" t="s">
        <v>983</v>
      </c>
      <c r="Q607" s="2" t="s">
        <v>43</v>
      </c>
      <c r="R607" s="2"/>
      <c r="S607" s="1">
        <v>252.88</v>
      </c>
      <c r="T607" s="11">
        <f t="shared" si="11"/>
        <v>2.0872436135528868E-3</v>
      </c>
    </row>
    <row r="608" spans="16:20">
      <c r="P608" s="2" t="s">
        <v>984</v>
      </c>
      <c r="Q608" s="2" t="s">
        <v>43</v>
      </c>
      <c r="R608" s="2"/>
      <c r="S608" s="1">
        <v>221.27</v>
      </c>
      <c r="T608" s="11">
        <f t="shared" si="11"/>
        <v>1.826338161858776E-3</v>
      </c>
    </row>
    <row r="609" spans="16:20">
      <c r="P609" s="2" t="s">
        <v>985</v>
      </c>
      <c r="Q609" s="2" t="s">
        <v>43</v>
      </c>
      <c r="R609" s="2"/>
      <c r="S609" s="1">
        <v>252.88</v>
      </c>
      <c r="T609" s="11">
        <f t="shared" si="11"/>
        <v>2.0872436135528868E-3</v>
      </c>
    </row>
    <row r="610" spans="16:20">
      <c r="P610" s="2" t="s">
        <v>986</v>
      </c>
      <c r="Q610" s="2" t="s">
        <v>43</v>
      </c>
      <c r="R610" s="2"/>
      <c r="S610" s="1">
        <v>252.88</v>
      </c>
      <c r="T610" s="11">
        <f t="shared" si="11"/>
        <v>2.0872436135528868E-3</v>
      </c>
    </row>
    <row r="611" spans="16:20">
      <c r="P611" s="2" t="s">
        <v>987</v>
      </c>
      <c r="Q611" s="2" t="s">
        <v>43</v>
      </c>
      <c r="R611" s="2"/>
      <c r="S611" s="1">
        <v>268.685</v>
      </c>
      <c r="T611" s="11">
        <f t="shared" si="11"/>
        <v>2.2176963393999421E-3</v>
      </c>
    </row>
    <row r="612" spans="16:20">
      <c r="P612" s="2" t="s">
        <v>988</v>
      </c>
      <c r="Q612" s="2" t="s">
        <v>43</v>
      </c>
      <c r="R612" s="2"/>
      <c r="S612" s="1">
        <v>237.07499999999999</v>
      </c>
      <c r="T612" s="11">
        <f t="shared" si="11"/>
        <v>1.9567908877058311E-3</v>
      </c>
    </row>
    <row r="613" spans="16:20">
      <c r="P613" s="2" t="s">
        <v>989</v>
      </c>
      <c r="Q613" s="2" t="s">
        <v>43</v>
      </c>
      <c r="R613" s="2"/>
      <c r="S613" s="1">
        <v>252.88</v>
      </c>
      <c r="T613" s="11">
        <f t="shared" si="11"/>
        <v>2.0872436135528868E-3</v>
      </c>
    </row>
    <row r="614" spans="16:20">
      <c r="P614" s="2" t="s">
        <v>990</v>
      </c>
      <c r="Q614" s="2" t="s">
        <v>43</v>
      </c>
      <c r="R614" s="2"/>
      <c r="S614" s="1">
        <v>0</v>
      </c>
      <c r="T614" s="11">
        <f t="shared" si="11"/>
        <v>0</v>
      </c>
    </row>
    <row r="615" spans="16:20">
      <c r="P615" s="2" t="s">
        <v>991</v>
      </c>
      <c r="Q615" s="2" t="s">
        <v>43</v>
      </c>
      <c r="R615" s="2"/>
      <c r="S615" s="1">
        <v>252.88</v>
      </c>
      <c r="T615" s="11">
        <f t="shared" si="11"/>
        <v>2.0872436135528868E-3</v>
      </c>
    </row>
    <row r="616" spans="16:20">
      <c r="P616" s="2" t="s">
        <v>992</v>
      </c>
      <c r="Q616" s="2" t="s">
        <v>43</v>
      </c>
      <c r="R616" s="2"/>
      <c r="S616" s="1">
        <v>252.88</v>
      </c>
      <c r="T616" s="11">
        <f t="shared" si="11"/>
        <v>2.0872436135528868E-3</v>
      </c>
    </row>
    <row r="617" spans="16:20">
      <c r="P617" s="2" t="s">
        <v>993</v>
      </c>
      <c r="Q617" s="2" t="s">
        <v>43</v>
      </c>
      <c r="R617" s="2"/>
      <c r="S617" s="1">
        <v>252.88</v>
      </c>
      <c r="T617" s="11">
        <f t="shared" si="11"/>
        <v>2.0872436135528868E-3</v>
      </c>
    </row>
    <row r="618" spans="16:20">
      <c r="P618" s="2" t="s">
        <v>994</v>
      </c>
      <c r="Q618" s="2" t="s">
        <v>43</v>
      </c>
      <c r="R618" s="2"/>
      <c r="S618" s="1">
        <v>252.88</v>
      </c>
      <c r="T618" s="11">
        <f t="shared" si="11"/>
        <v>2.0872436135528868E-3</v>
      </c>
    </row>
    <row r="619" spans="16:20">
      <c r="P619" s="2" t="s">
        <v>995</v>
      </c>
      <c r="Q619" s="2" t="s">
        <v>43</v>
      </c>
      <c r="R619" s="2"/>
      <c r="S619" s="1">
        <v>284.49</v>
      </c>
      <c r="T619" s="11">
        <f t="shared" si="11"/>
        <v>2.3481490652469978E-3</v>
      </c>
    </row>
    <row r="620" spans="16:20">
      <c r="P620" s="2" t="s">
        <v>996</v>
      </c>
      <c r="Q620" s="2" t="s">
        <v>43</v>
      </c>
      <c r="R620" s="2"/>
      <c r="S620" s="1">
        <v>252.88</v>
      </c>
      <c r="T620" s="11">
        <f t="shared" si="11"/>
        <v>2.0872436135528868E-3</v>
      </c>
    </row>
    <row r="621" spans="16:20">
      <c r="P621" s="2" t="s">
        <v>997</v>
      </c>
      <c r="Q621" s="2" t="s">
        <v>43</v>
      </c>
      <c r="R621" s="2"/>
      <c r="S621" s="1">
        <v>252.88</v>
      </c>
      <c r="T621" s="11">
        <f t="shared" si="11"/>
        <v>2.0872436135528868E-3</v>
      </c>
    </row>
    <row r="622" spans="16:20">
      <c r="P622" s="2" t="s">
        <v>998</v>
      </c>
      <c r="Q622" s="2" t="s">
        <v>41</v>
      </c>
      <c r="R622" s="2"/>
      <c r="S622" s="1">
        <v>127.6</v>
      </c>
      <c r="T622" s="11">
        <f t="shared" si="11"/>
        <v>1.0531963187652182E-3</v>
      </c>
    </row>
    <row r="623" spans="16:20">
      <c r="P623" s="2" t="s">
        <v>999</v>
      </c>
      <c r="Q623" s="2" t="s">
        <v>41</v>
      </c>
      <c r="R623" s="2"/>
      <c r="S623" s="1">
        <v>0</v>
      </c>
      <c r="T623" s="11">
        <f t="shared" si="11"/>
        <v>0</v>
      </c>
    </row>
    <row r="624" spans="16:20">
      <c r="P624" s="2" t="s">
        <v>1000</v>
      </c>
      <c r="Q624" s="2" t="s">
        <v>41</v>
      </c>
      <c r="R624" s="2"/>
      <c r="S624" s="1">
        <v>0</v>
      </c>
      <c r="T624" s="11">
        <f t="shared" si="11"/>
        <v>0</v>
      </c>
    </row>
    <row r="625" spans="16:20">
      <c r="P625" s="2" t="s">
        <v>1001</v>
      </c>
      <c r="Q625" s="2" t="s">
        <v>41</v>
      </c>
      <c r="R625" s="2"/>
      <c r="S625" s="1">
        <v>0</v>
      </c>
      <c r="T625" s="11">
        <f t="shared" si="11"/>
        <v>0</v>
      </c>
    </row>
    <row r="626" spans="16:20">
      <c r="P626" s="2" t="s">
        <v>1002</v>
      </c>
      <c r="Q626" s="2" t="s">
        <v>41</v>
      </c>
      <c r="R626" s="2"/>
      <c r="S626" s="1">
        <v>95.7</v>
      </c>
      <c r="T626" s="11">
        <f t="shared" si="11"/>
        <v>7.8989723907391357E-4</v>
      </c>
    </row>
    <row r="627" spans="16:20">
      <c r="P627" s="2" t="s">
        <v>1003</v>
      </c>
      <c r="Q627" s="2" t="s">
        <v>41</v>
      </c>
      <c r="R627" s="2"/>
      <c r="S627" s="1">
        <v>223.3</v>
      </c>
      <c r="T627" s="11">
        <f t="shared" si="11"/>
        <v>1.8430935578391317E-3</v>
      </c>
    </row>
    <row r="628" spans="16:20">
      <c r="P628" s="2" t="s">
        <v>1004</v>
      </c>
      <c r="Q628" s="2" t="s">
        <v>41</v>
      </c>
      <c r="R628" s="2"/>
      <c r="S628" s="1">
        <v>223.3</v>
      </c>
      <c r="T628" s="11">
        <f t="shared" si="11"/>
        <v>1.8430935578391317E-3</v>
      </c>
    </row>
    <row r="629" spans="16:20">
      <c r="P629" s="2" t="s">
        <v>1005</v>
      </c>
      <c r="Q629" s="2" t="s">
        <v>41</v>
      </c>
      <c r="R629" s="2"/>
      <c r="S629" s="1">
        <v>255.2</v>
      </c>
      <c r="T629" s="11">
        <f t="shared" si="11"/>
        <v>2.1063926375304363E-3</v>
      </c>
    </row>
    <row r="630" spans="16:20">
      <c r="P630" s="2" t="s">
        <v>1006</v>
      </c>
      <c r="Q630" s="2" t="s">
        <v>41</v>
      </c>
      <c r="R630" s="2"/>
      <c r="S630" s="1">
        <v>252.88</v>
      </c>
      <c r="T630" s="11">
        <f t="shared" si="11"/>
        <v>2.0872436135528868E-3</v>
      </c>
    </row>
    <row r="631" spans="16:20">
      <c r="P631" s="2" t="s">
        <v>1007</v>
      </c>
      <c r="Q631" s="2" t="s">
        <v>41</v>
      </c>
      <c r="R631" s="2"/>
      <c r="S631" s="1">
        <v>255.2</v>
      </c>
      <c r="T631" s="11">
        <f t="shared" si="11"/>
        <v>2.1063926375304363E-3</v>
      </c>
    </row>
    <row r="632" spans="16:20">
      <c r="P632" s="2" t="s">
        <v>1008</v>
      </c>
      <c r="Q632" s="2" t="s">
        <v>41</v>
      </c>
      <c r="R632" s="2"/>
      <c r="S632" s="1">
        <v>255.2</v>
      </c>
      <c r="T632" s="11">
        <f t="shared" si="11"/>
        <v>2.1063926375304363E-3</v>
      </c>
    </row>
    <row r="633" spans="16:20">
      <c r="P633" s="2" t="s">
        <v>1009</v>
      </c>
      <c r="Q633" s="2" t="s">
        <v>41</v>
      </c>
      <c r="R633" s="2"/>
      <c r="S633" s="1">
        <v>223.3</v>
      </c>
      <c r="T633" s="11">
        <f t="shared" si="11"/>
        <v>1.8430935578391317E-3</v>
      </c>
    </row>
    <row r="634" spans="16:20">
      <c r="P634" s="2" t="s">
        <v>1010</v>
      </c>
      <c r="Q634" s="2" t="s">
        <v>41</v>
      </c>
      <c r="R634" s="2"/>
      <c r="S634" s="1">
        <v>255.2</v>
      </c>
      <c r="T634" s="11">
        <f t="shared" si="11"/>
        <v>2.1063926375304363E-3</v>
      </c>
    </row>
    <row r="635" spans="16:20">
      <c r="P635" s="2" t="s">
        <v>1011</v>
      </c>
      <c r="Q635" s="2" t="s">
        <v>41</v>
      </c>
      <c r="R635" s="2"/>
      <c r="S635" s="1">
        <v>223.3</v>
      </c>
      <c r="T635" s="11">
        <f t="shared" si="11"/>
        <v>1.8430935578391317E-3</v>
      </c>
    </row>
    <row r="636" spans="16:20">
      <c r="P636" s="2" t="s">
        <v>1012</v>
      </c>
      <c r="Q636" s="2" t="s">
        <v>41</v>
      </c>
      <c r="R636" s="2"/>
      <c r="S636" s="1">
        <v>223.3</v>
      </c>
      <c r="T636" s="11">
        <f t="shared" si="11"/>
        <v>1.8430935578391317E-3</v>
      </c>
    </row>
    <row r="637" spans="16:20">
      <c r="P637" s="2" t="s">
        <v>1013</v>
      </c>
      <c r="Q637" s="2" t="s">
        <v>41</v>
      </c>
      <c r="R637" s="2"/>
      <c r="S637" s="1">
        <v>223.3</v>
      </c>
      <c r="T637" s="11">
        <f t="shared" si="11"/>
        <v>1.8430935578391317E-3</v>
      </c>
    </row>
    <row r="638" spans="16:20">
      <c r="P638" s="2" t="s">
        <v>1014</v>
      </c>
      <c r="Q638" s="2" t="s">
        <v>41</v>
      </c>
      <c r="R638" s="2"/>
      <c r="S638" s="1">
        <v>223.3</v>
      </c>
      <c r="T638" s="11">
        <f t="shared" si="11"/>
        <v>1.8430935578391317E-3</v>
      </c>
    </row>
    <row r="639" spans="16:20">
      <c r="P639" s="2" t="s">
        <v>1015</v>
      </c>
      <c r="Q639" s="2" t="s">
        <v>41</v>
      </c>
      <c r="R639" s="2"/>
      <c r="S639" s="1">
        <v>239.25</v>
      </c>
      <c r="T639" s="11">
        <f t="shared" si="11"/>
        <v>1.974743097684784E-3</v>
      </c>
    </row>
    <row r="640" spans="16:20">
      <c r="P640" s="2" t="s">
        <v>1016</v>
      </c>
      <c r="Q640" s="2" t="s">
        <v>41</v>
      </c>
      <c r="R640" s="2"/>
      <c r="S640" s="1">
        <v>239.25</v>
      </c>
      <c r="T640" s="11">
        <f t="shared" si="11"/>
        <v>1.974743097684784E-3</v>
      </c>
    </row>
    <row r="641" spans="16:20">
      <c r="P641" s="2" t="s">
        <v>1017</v>
      </c>
      <c r="Q641" s="2" t="s">
        <v>41</v>
      </c>
      <c r="R641" s="2"/>
      <c r="S641" s="1">
        <v>223.3</v>
      </c>
      <c r="T641" s="11">
        <f t="shared" si="11"/>
        <v>1.8430935578391317E-3</v>
      </c>
    </row>
    <row r="642" spans="16:20">
      <c r="P642" s="2" t="s">
        <v>1018</v>
      </c>
      <c r="Q642" s="2" t="s">
        <v>41</v>
      </c>
      <c r="R642" s="2"/>
      <c r="S642" s="1">
        <v>255.2</v>
      </c>
      <c r="T642" s="11">
        <f t="shared" si="11"/>
        <v>2.1063926375304363E-3</v>
      </c>
    </row>
    <row r="643" spans="16:20">
      <c r="P643" s="2" t="s">
        <v>1019</v>
      </c>
      <c r="Q643" s="2" t="s">
        <v>41</v>
      </c>
      <c r="R643" s="2"/>
      <c r="S643" s="1">
        <v>255.2</v>
      </c>
      <c r="T643" s="11">
        <f t="shared" si="11"/>
        <v>2.1063926375304363E-3</v>
      </c>
    </row>
    <row r="644" spans="16:20">
      <c r="P644" s="2" t="s">
        <v>1020</v>
      </c>
      <c r="Q644" s="2" t="s">
        <v>41</v>
      </c>
      <c r="R644" s="2"/>
      <c r="S644" s="1">
        <v>271.14999999999998</v>
      </c>
      <c r="T644" s="11">
        <f t="shared" si="11"/>
        <v>2.2380421773760882E-3</v>
      </c>
    </row>
    <row r="645" spans="16:20">
      <c r="P645" s="2" t="s">
        <v>1021</v>
      </c>
      <c r="Q645" s="2" t="s">
        <v>41</v>
      </c>
      <c r="R645" s="2"/>
      <c r="S645" s="1">
        <v>271.14999999999998</v>
      </c>
      <c r="T645" s="11">
        <f t="shared" si="11"/>
        <v>2.2380421773760882E-3</v>
      </c>
    </row>
    <row r="646" spans="16:20">
      <c r="P646" s="2" t="s">
        <v>1280</v>
      </c>
      <c r="Q646" s="2" t="s">
        <v>41</v>
      </c>
      <c r="R646" s="2"/>
      <c r="S646" s="1">
        <v>17236.584999999999</v>
      </c>
      <c r="T646" s="11">
        <f t="shared" si="11"/>
        <v>0.14226887045520201</v>
      </c>
    </row>
    <row r="647" spans="16:20">
      <c r="P647" s="2" t="s">
        <v>1281</v>
      </c>
      <c r="Q647" s="2" t="s">
        <v>41</v>
      </c>
      <c r="R647" s="2"/>
      <c r="S647" s="1">
        <v>5484.335</v>
      </c>
      <c r="T647" s="11">
        <f t="shared" si="11"/>
        <v>4.5267095868928235E-2</v>
      </c>
    </row>
    <row r="648" spans="16:20">
      <c r="P648" s="2" t="s">
        <v>1282</v>
      </c>
      <c r="Q648" s="2" t="s">
        <v>42</v>
      </c>
      <c r="R648" s="2"/>
      <c r="S648" s="1">
        <v>6170.4</v>
      </c>
      <c r="T648" s="11">
        <f t="shared" si="11"/>
        <v>5.0929800668565062E-2</v>
      </c>
    </row>
    <row r="649" spans="16:20">
      <c r="P649" s="2" t="s">
        <v>1283</v>
      </c>
      <c r="Q649" s="2" t="s">
        <v>43</v>
      </c>
      <c r="R649" s="2"/>
      <c r="S649" s="1">
        <v>6701.32</v>
      </c>
      <c r="T649" s="11">
        <f t="shared" si="11"/>
        <v>5.5311955759151495E-2</v>
      </c>
    </row>
    <row r="650" spans="16:20">
      <c r="P650" s="2" t="s">
        <v>1284</v>
      </c>
      <c r="Q650" s="2" t="s">
        <v>41</v>
      </c>
      <c r="R650" s="2"/>
      <c r="S650" s="1">
        <v>8906.48</v>
      </c>
      <c r="T650" s="11">
        <f t="shared" si="11"/>
        <v>7.351310304981222E-2</v>
      </c>
    </row>
    <row r="651" spans="16:20">
      <c r="P651" s="2" t="s">
        <v>354</v>
      </c>
      <c r="Q651" s="2"/>
      <c r="R651" s="2"/>
      <c r="S651" s="1"/>
      <c r="T651" s="11">
        <f t="shared" si="11"/>
        <v>0</v>
      </c>
    </row>
    <row r="652" spans="16:20">
      <c r="P652" s="2" t="s">
        <v>366</v>
      </c>
      <c r="Q652" s="2"/>
      <c r="R652" s="2"/>
      <c r="S652" s="1"/>
      <c r="T652" s="11">
        <f t="shared" si="11"/>
        <v>0</v>
      </c>
    </row>
    <row r="653" spans="16:20">
      <c r="P653" s="2" t="s">
        <v>374</v>
      </c>
      <c r="Q653" s="2"/>
      <c r="R653" s="2"/>
      <c r="S653" s="1"/>
      <c r="T653" s="11">
        <f t="shared" si="11"/>
        <v>0</v>
      </c>
    </row>
    <row r="654" spans="16:20">
      <c r="P654" s="2" t="s">
        <v>381</v>
      </c>
      <c r="Q654" s="2"/>
      <c r="R654" s="2"/>
      <c r="S654" s="1"/>
      <c r="T654" s="11">
        <f t="shared" si="11"/>
        <v>0</v>
      </c>
    </row>
    <row r="655" spans="16:20">
      <c r="P655" s="2" t="s">
        <v>386</v>
      </c>
      <c r="Q655" s="2"/>
      <c r="R655" s="2"/>
      <c r="S655" s="1"/>
      <c r="T655" s="11">
        <f t="shared" si="11"/>
        <v>0</v>
      </c>
    </row>
    <row r="656" spans="16:20">
      <c r="P656" s="2" t="s">
        <v>391</v>
      </c>
      <c r="Q656" s="2"/>
      <c r="R656" s="2"/>
      <c r="S656" s="1"/>
      <c r="T656" s="11">
        <f t="shared" si="11"/>
        <v>0</v>
      </c>
    </row>
    <row r="657" spans="16:20">
      <c r="P657" s="2" t="s">
        <v>396</v>
      </c>
      <c r="Q657" s="2"/>
      <c r="R657" s="2"/>
      <c r="S657" s="1">
        <v>8906.48</v>
      </c>
      <c r="T657" s="11">
        <f t="shared" si="11"/>
        <v>7.351310304981222E-2</v>
      </c>
    </row>
    <row r="658" spans="16:20">
      <c r="P658" s="2" t="s">
        <v>1022</v>
      </c>
      <c r="Q658" s="2"/>
      <c r="R658" s="2"/>
      <c r="S658" s="1">
        <v>35592.28</v>
      </c>
      <c r="T658" s="11">
        <f t="shared" si="11"/>
        <v>0.29377475135157444</v>
      </c>
    </row>
    <row r="659" spans="16:20">
      <c r="P659" s="2" t="s">
        <v>401</v>
      </c>
      <c r="Q659" s="2"/>
      <c r="R659" s="2"/>
      <c r="S659" s="1"/>
      <c r="T659" s="11">
        <f t="shared" si="11"/>
        <v>0</v>
      </c>
    </row>
    <row r="660" spans="16:20">
      <c r="P660" s="2" t="s">
        <v>406</v>
      </c>
      <c r="Q660" s="2"/>
      <c r="R660" s="2"/>
      <c r="S660" s="1"/>
      <c r="T660" s="11">
        <f t="shared" si="11"/>
        <v>0</v>
      </c>
    </row>
    <row r="661" spans="16:20">
      <c r="P661" s="2" t="s">
        <v>412</v>
      </c>
      <c r="Q661" s="2"/>
      <c r="R661" s="2"/>
      <c r="S661" s="1"/>
      <c r="T661" s="11">
        <f t="shared" si="11"/>
        <v>0</v>
      </c>
    </row>
    <row r="662" spans="16:20">
      <c r="P662" s="2" t="s">
        <v>183</v>
      </c>
      <c r="Q662" s="2" t="s">
        <v>41</v>
      </c>
      <c r="R662" s="2"/>
      <c r="S662" s="1">
        <v>1499.3</v>
      </c>
      <c r="T662" s="11">
        <f t="shared" si="11"/>
        <v>1.2375056745491312E-2</v>
      </c>
    </row>
    <row r="663" spans="16:20">
      <c r="P663" s="2" t="s">
        <v>184</v>
      </c>
      <c r="Q663" s="2" t="s">
        <v>41</v>
      </c>
      <c r="R663" s="2"/>
      <c r="S663" s="1">
        <v>1052.7</v>
      </c>
      <c r="T663" s="11">
        <f t="shared" si="11"/>
        <v>8.688869629813049E-3</v>
      </c>
    </row>
    <row r="664" spans="16:20">
      <c r="P664" s="2" t="s">
        <v>185</v>
      </c>
      <c r="Q664" s="2" t="s">
        <v>41</v>
      </c>
      <c r="R664" s="2"/>
      <c r="S664" s="1">
        <v>1359.23</v>
      </c>
      <c r="T664" s="11">
        <f t="shared" si="11"/>
        <v>1.1218934422846766E-2</v>
      </c>
    </row>
    <row r="665" spans="16:20">
      <c r="P665" s="2" t="s">
        <v>186</v>
      </c>
      <c r="Q665" s="2" t="s">
        <v>41</v>
      </c>
      <c r="R665" s="2"/>
      <c r="S665" s="1">
        <v>1422.45</v>
      </c>
      <c r="T665" s="11">
        <f t="shared" si="11"/>
        <v>1.1740745326234989E-2</v>
      </c>
    </row>
    <row r="666" spans="16:20">
      <c r="P666" s="2" t="s">
        <v>1023</v>
      </c>
      <c r="Q666" s="2" t="s">
        <v>41</v>
      </c>
      <c r="R666" s="2"/>
      <c r="S666" s="1">
        <v>255.2</v>
      </c>
      <c r="T666" s="11">
        <f t="shared" si="11"/>
        <v>2.1063926375304363E-3</v>
      </c>
    </row>
    <row r="667" spans="16:20">
      <c r="P667" s="2" t="s">
        <v>1024</v>
      </c>
      <c r="Q667" s="2" t="s">
        <v>41</v>
      </c>
      <c r="R667" s="2"/>
      <c r="S667" s="1">
        <v>255.2</v>
      </c>
      <c r="T667" s="11">
        <f t="shared" si="11"/>
        <v>2.1063926375304363E-3</v>
      </c>
    </row>
    <row r="668" spans="16:20">
      <c r="P668" s="2" t="s">
        <v>1025</v>
      </c>
      <c r="Q668" s="2" t="s">
        <v>41</v>
      </c>
      <c r="R668" s="2"/>
      <c r="S668" s="1">
        <v>271.14999999999998</v>
      </c>
      <c r="T668" s="11">
        <f t="shared" si="11"/>
        <v>2.2380421773760882E-3</v>
      </c>
    </row>
    <row r="669" spans="16:20">
      <c r="P669" s="2" t="s">
        <v>1026</v>
      </c>
      <c r="Q669" s="2" t="s">
        <v>41</v>
      </c>
      <c r="R669" s="2"/>
      <c r="S669" s="1">
        <v>255.2</v>
      </c>
      <c r="T669" s="11">
        <f t="shared" si="11"/>
        <v>2.1063926375304363E-3</v>
      </c>
    </row>
    <row r="670" spans="16:20">
      <c r="P670" s="2" t="s">
        <v>1027</v>
      </c>
      <c r="Q670" s="2" t="s">
        <v>41</v>
      </c>
      <c r="R670" s="2"/>
      <c r="S670" s="1">
        <v>223.3</v>
      </c>
      <c r="T670" s="11">
        <f t="shared" si="11"/>
        <v>1.8430935578391317E-3</v>
      </c>
    </row>
    <row r="671" spans="16:20">
      <c r="P671" s="2" t="s">
        <v>1028</v>
      </c>
      <c r="Q671" s="2" t="s">
        <v>41</v>
      </c>
      <c r="R671" s="2"/>
      <c r="S671" s="1">
        <v>239.25</v>
      </c>
      <c r="T671" s="11">
        <f t="shared" si="11"/>
        <v>1.974743097684784E-3</v>
      </c>
    </row>
    <row r="672" spans="16:20">
      <c r="P672" s="2" t="s">
        <v>1029</v>
      </c>
      <c r="Q672" s="2" t="s">
        <v>41</v>
      </c>
      <c r="R672" s="2"/>
      <c r="S672" s="1">
        <v>255.2</v>
      </c>
      <c r="T672" s="11">
        <f t="shared" si="11"/>
        <v>2.1063926375304363E-3</v>
      </c>
    </row>
    <row r="673" spans="16:20">
      <c r="P673" s="2" t="s">
        <v>1030</v>
      </c>
      <c r="Q673" s="2" t="s">
        <v>41</v>
      </c>
      <c r="R673" s="2"/>
      <c r="S673" s="1">
        <v>31.9</v>
      </c>
      <c r="T673" s="11">
        <f t="shared" si="11"/>
        <v>2.6329907969130454E-4</v>
      </c>
    </row>
    <row r="674" spans="16:20">
      <c r="P674" s="2" t="s">
        <v>1031</v>
      </c>
      <c r="Q674" s="2" t="s">
        <v>41</v>
      </c>
      <c r="R674" s="2"/>
      <c r="S674" s="1">
        <v>191.4</v>
      </c>
      <c r="T674" s="11">
        <f t="shared" si="11"/>
        <v>1.5797944781478271E-3</v>
      </c>
    </row>
    <row r="675" spans="16:20">
      <c r="P675" s="2" t="s">
        <v>1032</v>
      </c>
      <c r="Q675" s="2" t="s">
        <v>41</v>
      </c>
      <c r="R675" s="2"/>
      <c r="S675" s="1">
        <v>159.5</v>
      </c>
      <c r="T675" s="11">
        <f t="shared" si="11"/>
        <v>1.3164953984565225E-3</v>
      </c>
    </row>
    <row r="676" spans="16:20">
      <c r="P676" s="2" t="s">
        <v>1033</v>
      </c>
      <c r="Q676" s="2" t="s">
        <v>41</v>
      </c>
      <c r="R676" s="2"/>
      <c r="S676" s="1">
        <v>191.4</v>
      </c>
      <c r="T676" s="11">
        <f t="shared" si="11"/>
        <v>1.5797944781478271E-3</v>
      </c>
    </row>
    <row r="677" spans="16:20">
      <c r="P677" s="2" t="s">
        <v>1034</v>
      </c>
      <c r="Q677" s="2" t="s">
        <v>41</v>
      </c>
      <c r="R677" s="2"/>
      <c r="S677" s="1">
        <v>223.3</v>
      </c>
      <c r="T677" s="11">
        <f t="shared" si="11"/>
        <v>1.8430935578391317E-3</v>
      </c>
    </row>
    <row r="678" spans="16:20">
      <c r="P678" s="2" t="s">
        <v>1035</v>
      </c>
      <c r="Q678" s="2" t="s">
        <v>41</v>
      </c>
      <c r="R678" s="2"/>
      <c r="S678" s="1">
        <v>221.27</v>
      </c>
      <c r="T678" s="11">
        <f t="shared" si="11"/>
        <v>1.826338161858776E-3</v>
      </c>
    </row>
    <row r="679" spans="16:20">
      <c r="P679" s="2" t="s">
        <v>1036</v>
      </c>
      <c r="Q679" s="2" t="s">
        <v>41</v>
      </c>
      <c r="R679" s="2"/>
      <c r="S679" s="1">
        <v>221.27</v>
      </c>
      <c r="T679" s="11">
        <f t="shared" si="11"/>
        <v>1.826338161858776E-3</v>
      </c>
    </row>
    <row r="680" spans="16:20">
      <c r="P680" s="2" t="s">
        <v>1037</v>
      </c>
      <c r="Q680" s="2" t="s">
        <v>41</v>
      </c>
      <c r="R680" s="2"/>
      <c r="S680" s="1">
        <v>252.88</v>
      </c>
      <c r="T680" s="11">
        <f t="shared" si="11"/>
        <v>2.0872436135528868E-3</v>
      </c>
    </row>
    <row r="681" spans="16:20">
      <c r="P681" s="2" t="s">
        <v>1038</v>
      </c>
      <c r="Q681" s="2" t="s">
        <v>41</v>
      </c>
      <c r="R681" s="2"/>
      <c r="S681" s="1">
        <v>221.27</v>
      </c>
      <c r="T681" s="11">
        <f t="shared" si="11"/>
        <v>1.826338161858776E-3</v>
      </c>
    </row>
    <row r="682" spans="16:20">
      <c r="P682" s="2" t="s">
        <v>1039</v>
      </c>
      <c r="Q682" s="2" t="s">
        <v>41</v>
      </c>
      <c r="R682" s="2"/>
      <c r="S682" s="1">
        <v>221.27</v>
      </c>
      <c r="T682" s="11">
        <f t="shared" si="11"/>
        <v>1.826338161858776E-3</v>
      </c>
    </row>
    <row r="683" spans="16:20">
      <c r="P683" s="2" t="s">
        <v>1040</v>
      </c>
      <c r="Q683" s="2" t="s">
        <v>41</v>
      </c>
      <c r="R683" s="2"/>
      <c r="S683" s="1">
        <v>221.27</v>
      </c>
      <c r="T683" s="11">
        <f t="shared" si="11"/>
        <v>1.826338161858776E-3</v>
      </c>
    </row>
    <row r="684" spans="16:20">
      <c r="P684" s="2" t="s">
        <v>1041</v>
      </c>
      <c r="Q684" s="2" t="s">
        <v>41</v>
      </c>
      <c r="R684" s="2"/>
      <c r="S684" s="1">
        <v>252.88</v>
      </c>
      <c r="T684" s="11">
        <f t="shared" si="11"/>
        <v>2.0872436135528868E-3</v>
      </c>
    </row>
    <row r="685" spans="16:20">
      <c r="P685" s="2" t="s">
        <v>1042</v>
      </c>
      <c r="Q685" s="2" t="s">
        <v>41</v>
      </c>
      <c r="R685" s="2"/>
      <c r="S685" s="1">
        <v>252.88</v>
      </c>
      <c r="T685" s="11">
        <f t="shared" si="11"/>
        <v>2.0872436135528868E-3</v>
      </c>
    </row>
    <row r="686" spans="16:20">
      <c r="P686" s="2" t="s">
        <v>1043</v>
      </c>
      <c r="Q686" s="2" t="s">
        <v>41</v>
      </c>
      <c r="R686" s="2"/>
      <c r="S686" s="1">
        <v>252.88</v>
      </c>
      <c r="T686" s="11">
        <f t="shared" si="11"/>
        <v>2.0872436135528868E-3</v>
      </c>
    </row>
    <row r="687" spans="16:20">
      <c r="P687" s="2" t="s">
        <v>1044</v>
      </c>
      <c r="Q687" s="2" t="s">
        <v>41</v>
      </c>
      <c r="R687" s="2"/>
      <c r="S687" s="1">
        <v>252.88</v>
      </c>
      <c r="T687" s="11">
        <f t="shared" si="11"/>
        <v>2.0872436135528868E-3</v>
      </c>
    </row>
    <row r="688" spans="16:20">
      <c r="P688" s="2" t="s">
        <v>1045</v>
      </c>
      <c r="Q688" s="2" t="s">
        <v>41</v>
      </c>
      <c r="R688" s="2"/>
      <c r="S688" s="1">
        <v>158.05000000000001</v>
      </c>
      <c r="T688" s="11">
        <f t="shared" ref="T688:T689" si="12">S688/$B$2</f>
        <v>1.3045272584705544E-3</v>
      </c>
    </row>
    <row r="689" spans="16:20">
      <c r="P689" s="2" t="s">
        <v>1046</v>
      </c>
      <c r="Q689" s="2" t="s">
        <v>41</v>
      </c>
      <c r="R689" s="2"/>
      <c r="S689" s="1">
        <v>252.88</v>
      </c>
      <c r="T689" s="11">
        <f t="shared" si="12"/>
        <v>2.0872436135528868E-3</v>
      </c>
    </row>
  </sheetData>
  <phoneticPr fontId="91" type="noConversion"/>
  <hyperlinks>
    <hyperlink ref="Q5:Q17" r:id="rId1" display="O2R4_Solar" xr:uid="{0C82CCCB-2AE1-4114-9DD5-6F3709B15EAC}"/>
    <hyperlink ref="Q2:Q13" r:id="rId2" display="O2R4_Solar" xr:uid="{14BCBD80-16F2-468C-9D16-1E595E6B0C32}"/>
    <hyperlink ref="Q14:Q21" r:id="rId3" display="O2R4_Solar" xr:uid="{2EF56CBA-B3AA-4096-B1AA-9E7A30D49C9C}"/>
    <hyperlink ref="Q15:Q23" r:id="rId4" display="O2R4_Solar" xr:uid="{C2A43D99-19DE-4098-82E8-D38D7390AEDD}"/>
    <hyperlink ref="Q23" r:id="rId5" display="O2R4_Solar" xr:uid="{6A5E88B0-B136-41FB-82EE-53AD21F3F7A3}"/>
    <hyperlink ref="Q24" r:id="rId6" display="O2R4_Solar" xr:uid="{15E901FE-C69B-47CD-84D2-04EC718802DF}"/>
    <hyperlink ref="Q25" r:id="rId7" display="O2R4_Solar" xr:uid="{C0236CF9-0CA7-44BD-8460-BC57B2A8FA38}"/>
    <hyperlink ref="Q26" r:id="rId8" display="O2R4_Solar" xr:uid="{CB974061-5710-4B4C-A06C-35EB7218F2B9}"/>
    <hyperlink ref="Q27" r:id="rId9" display="O2R4_Solar" xr:uid="{D36AB377-85A8-49B3-B182-34617CD7CB43}"/>
    <hyperlink ref="Q28" r:id="rId10" display="O2R4_Solar" xr:uid="{D1B84FBB-2439-4FC4-8A55-E0675383295A}"/>
    <hyperlink ref="Q29" r:id="rId11" display="O2R4_Solar" xr:uid="{98D5C55F-A9CC-466C-9D4B-E0C96A46E1CB}"/>
    <hyperlink ref="Q407" r:id="rId12" display="O2R4_Solar" xr:uid="{52853824-F131-4EB4-9A96-7EC4D8037A8C}"/>
    <hyperlink ref="Q408" r:id="rId13" display="O2R4_Solar" xr:uid="{28FFF3D2-EC42-4B8D-ACF2-9909C06963F3}"/>
    <hyperlink ref="Q409" r:id="rId14" display="O2R4_Solar" xr:uid="{3C2157AE-7251-4016-9ADF-8AF6D0A5CCC6}"/>
    <hyperlink ref="Q410" r:id="rId15" display="O2R4_Solar" xr:uid="{CE94361D-9790-4A67-A81D-59B5E780380B}"/>
    <hyperlink ref="Q425" r:id="rId16" display="O2R4_Solar" xr:uid="{4CE6FA48-5645-47D2-AE92-F6049F0B262F}"/>
    <hyperlink ref="Q426" r:id="rId17" display="O2R4_Solar" xr:uid="{2A4F3FE5-36A8-4645-BF71-73ED3547FE6B}"/>
    <hyperlink ref="Q428" r:id="rId18" display="O2R4_Solar" xr:uid="{B5149F87-8915-490E-9D1B-3670B3DFAE06}"/>
    <hyperlink ref="Q429" r:id="rId19" display="O2R4_Solar" xr:uid="{DC49FF93-0612-48AD-BDEB-A6C9CD5020F0}"/>
    <hyperlink ref="Q431" r:id="rId20" display="O2R4_Solar" xr:uid="{CCC130E2-3D8E-4892-96E2-797CA2E46791}"/>
    <hyperlink ref="Q432" r:id="rId21" display="O2R4_Solar" xr:uid="{8A75EB13-3CC7-4D54-802C-1551BDE2561E}"/>
  </hyperlinks>
  <pageMargins left="0.7" right="0.7" top="0.75" bottom="0.75" header="0.3" footer="0.3"/>
  <pageSetup orientation="portrait"/>
  <headerFooter>
    <oddFooter>&amp;C&amp;1#&amp;"Calibri"&amp;8&amp;K000000Classification: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0"/>
  <sheetViews>
    <sheetView zoomScale="80" zoomScaleNormal="80" workbookViewId="0">
      <pane xSplit="10" ySplit="1" topLeftCell="K92" activePane="bottomRight" state="frozen"/>
      <selection pane="topRight" activeCell="K1" sqref="K1"/>
      <selection pane="bottomLeft" activeCell="A2" sqref="A2"/>
      <selection pane="bottomRight" activeCell="B112" sqref="B112"/>
    </sheetView>
  </sheetViews>
  <sheetFormatPr defaultColWidth="9" defaultRowHeight="15"/>
  <cols>
    <col min="1" max="1" width="13.140625" bestFit="1" customWidth="1"/>
    <col min="2" max="2" width="11.140625" customWidth="1"/>
    <col min="3" max="4" width="12.140625" customWidth="1"/>
    <col min="5" max="5" width="14.140625" customWidth="1"/>
    <col min="6" max="6" width="13" customWidth="1"/>
    <col min="7" max="7" width="10.85546875" customWidth="1"/>
    <col min="8" max="8" width="9" style="5"/>
    <col min="9" max="9" width="18.140625" style="5" customWidth="1"/>
    <col min="10" max="10" width="26" customWidth="1"/>
    <col min="11" max="11" width="17.42578125" customWidth="1"/>
    <col min="12" max="12" width="16.140625" customWidth="1"/>
    <col min="13" max="13" width="18.140625" customWidth="1"/>
    <col min="14" max="14" width="12.85546875" customWidth="1"/>
    <col min="15" max="15" width="11.85546875" customWidth="1"/>
    <col min="16" max="17" width="19.140625" customWidth="1"/>
    <col min="18" max="18" width="12.42578125" customWidth="1"/>
    <col min="19" max="19" width="12.140625" customWidth="1"/>
    <col min="20" max="20" width="19.140625" customWidth="1"/>
    <col min="21" max="21" width="18.85546875" customWidth="1"/>
    <col min="22" max="22" width="18.140625" style="27" customWidth="1"/>
    <col min="23" max="23" width="12.85546875" customWidth="1"/>
    <col min="24" max="24" width="64.42578125" bestFit="1" customWidth="1"/>
    <col min="25" max="25" width="82.85546875" bestFit="1" customWidth="1"/>
    <col min="26" max="26" width="14.42578125" style="5" customWidth="1"/>
    <col min="27" max="29" width="19.85546875" style="5" customWidth="1"/>
    <col min="30" max="30" width="12.85546875" customWidth="1"/>
    <col min="31" max="31" width="13.140625" customWidth="1"/>
    <col min="32" max="32" width="13.85546875" customWidth="1"/>
    <col min="33" max="33" width="14.140625" customWidth="1"/>
    <col min="34" max="34" width="143.7109375" bestFit="1" customWidth="1"/>
    <col min="35" max="35" width="12.7109375" bestFit="1" customWidth="1"/>
    <col min="36" max="36" width="11.85546875" customWidth="1"/>
    <col min="37" max="37" width="9.85546875" customWidth="1"/>
    <col min="38" max="38" width="12.140625" customWidth="1"/>
    <col min="39" max="39" width="14.42578125" customWidth="1"/>
  </cols>
  <sheetData>
    <row r="1" spans="1:39" ht="64.5" customHeight="1">
      <c r="A1" s="31" t="s">
        <v>6</v>
      </c>
      <c r="B1" s="32" t="s">
        <v>68</v>
      </c>
      <c r="C1" s="33" t="s">
        <v>69</v>
      </c>
      <c r="D1" s="33" t="s">
        <v>70</v>
      </c>
      <c r="E1" s="33" t="s">
        <v>1047</v>
      </c>
      <c r="F1" s="33" t="s">
        <v>309</v>
      </c>
      <c r="G1" s="33" t="s">
        <v>71</v>
      </c>
      <c r="H1" s="33" t="s">
        <v>47</v>
      </c>
      <c r="I1" s="33" t="s">
        <v>115</v>
      </c>
      <c r="J1" s="33" t="s">
        <v>116</v>
      </c>
      <c r="K1" s="33" t="s">
        <v>1048</v>
      </c>
      <c r="L1" s="33" t="s">
        <v>1049</v>
      </c>
      <c r="M1" s="33" t="s">
        <v>1050</v>
      </c>
      <c r="N1" s="33" t="s">
        <v>1051</v>
      </c>
      <c r="O1" s="33" t="s">
        <v>1052</v>
      </c>
      <c r="P1" s="33" t="s">
        <v>1053</v>
      </c>
      <c r="Q1" s="33" t="s">
        <v>1054</v>
      </c>
      <c r="R1" s="33" t="s">
        <v>1055</v>
      </c>
      <c r="S1" s="33" t="s">
        <v>1056</v>
      </c>
      <c r="T1" s="33" t="s">
        <v>1057</v>
      </c>
      <c r="U1" s="33" t="s">
        <v>1058</v>
      </c>
      <c r="V1" s="33" t="s">
        <v>312</v>
      </c>
      <c r="W1" s="33" t="s">
        <v>1059</v>
      </c>
      <c r="X1" s="33" t="s">
        <v>1060</v>
      </c>
      <c r="Y1" s="33" t="s">
        <v>313</v>
      </c>
      <c r="Z1" s="33" t="s">
        <v>1061</v>
      </c>
      <c r="AA1" s="33" t="s">
        <v>1062</v>
      </c>
      <c r="AB1" s="33" t="s">
        <v>1063</v>
      </c>
      <c r="AC1" s="33" t="s">
        <v>1064</v>
      </c>
      <c r="AD1" s="33" t="s">
        <v>1065</v>
      </c>
      <c r="AE1" s="33" t="s">
        <v>317</v>
      </c>
      <c r="AF1" s="33" t="s">
        <v>318</v>
      </c>
      <c r="AG1" s="33" t="s">
        <v>319</v>
      </c>
      <c r="AH1" s="33" t="s">
        <v>320</v>
      </c>
      <c r="AI1" s="33" t="s">
        <v>321</v>
      </c>
      <c r="AJ1" s="33" t="s">
        <v>322</v>
      </c>
      <c r="AK1" s="33" t="s">
        <v>1066</v>
      </c>
      <c r="AL1" s="43" t="s">
        <v>1067</v>
      </c>
      <c r="AM1" s="43" t="s">
        <v>1068</v>
      </c>
    </row>
    <row r="2" spans="1:39">
      <c r="A2" s="153">
        <v>1</v>
      </c>
      <c r="B2" s="154">
        <v>45750</v>
      </c>
      <c r="C2" s="187">
        <v>2026</v>
      </c>
      <c r="D2" s="34">
        <v>2025</v>
      </c>
      <c r="E2" s="155" t="s">
        <v>325</v>
      </c>
      <c r="F2" s="155" t="s">
        <v>325</v>
      </c>
      <c r="G2" s="175">
        <v>45748</v>
      </c>
      <c r="H2" s="34">
        <v>30</v>
      </c>
      <c r="I2" s="36">
        <f>IFERROR(_xlfn.XLOOKUP(PA_8[[#This Row],[Date]],Input_Raw!$A:$A,Input_Raw!F:F),"")</f>
        <v>0.32291666666666669</v>
      </c>
      <c r="J2" s="36">
        <f>IFERROR(_xlfn.XLOOKUP(PA_8[[#This Row],[Date]],Input_Raw!$A:$A,Input_Raw!G:G),"")</f>
        <v>0.74305555555555558</v>
      </c>
      <c r="K2" s="37">
        <f>IFERROR((PA_8[[#This Row],[Sunset Time (POA&lt;20 W/m2)]]-PA_8[[#This Row],[Sunrise Time (POA&gt;20 W/m2)]])*24,"")</f>
        <v>10.083333333333334</v>
      </c>
      <c r="L2" s="155" t="s">
        <v>376</v>
      </c>
      <c r="M2" s="35"/>
      <c r="N2" s="35"/>
      <c r="O2" s="38"/>
      <c r="P2" s="38"/>
      <c r="Q2" s="35" t="s">
        <v>354</v>
      </c>
      <c r="R2" s="34">
        <v>0</v>
      </c>
      <c r="S2" s="34">
        <v>1</v>
      </c>
      <c r="T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IS4Tx</v>
      </c>
      <c r="U2" s="37">
        <f>IFERROR(_xlfn.XLOOKUP(PA_8[[#This Row],[Affected Equipment ]],'Basic Data'!$P:$P,'Basic Data'!$S:$S),"")</f>
        <v>17019.794999999998</v>
      </c>
      <c r="V2" s="322">
        <f>IFERROR(_xlfn.XLOOKUP(PA_8[[#This Row],[Affected Equipment ]],'Basic Data'!$P:$P,'Basic Data'!$T:$T),"")</f>
        <v>0.14047950971895504</v>
      </c>
      <c r="W2" s="306" t="s">
        <v>392</v>
      </c>
      <c r="X2" s="156" t="s">
        <v>1069</v>
      </c>
      <c r="Y2" s="307" t="s">
        <v>1070</v>
      </c>
      <c r="Z2" s="39">
        <v>0.32291666666666669</v>
      </c>
      <c r="AA2" s="39"/>
      <c r="AB2" s="40">
        <v>0.39583333333333331</v>
      </c>
      <c r="AC2" s="39">
        <v>0.58333333333333337</v>
      </c>
      <c r="AD2" s="41">
        <f>IF(PA_8[[#This Row],[Acknowledgement Time ]]="NA","",(PA_8[[#This Row],[Acknowledgement Time ]]-PA_8[[#This Row],[Fault Time]])*24)</f>
        <v>-7.75</v>
      </c>
      <c r="AE2" s="41">
        <f>IF(PA_8[[#This Row],[Work Start time on Fault]]="NA","",(PA_8[[#This Row],[Work Start time on Fault]]-PA_8[[#This Row],[Fault Time]])*24)</f>
        <v>1.7499999999999991</v>
      </c>
      <c r="AF2" s="42">
        <f>IF(PA_8[[#This Row],[Status]]="Open","",(PA_8[[#This Row],[Work Completion time on fault]]-PA_8[[#This Row],[Fault Time]])*24)</f>
        <v>6.25</v>
      </c>
      <c r="AG2" s="41">
        <f>IFERROR((PA_8[[#This Row],[Work Completion time on fault]]-PA_8[[#This Row],[Fault Time]])*24,"")</f>
        <v>6.25</v>
      </c>
      <c r="AH2" s="38" t="s">
        <v>1071</v>
      </c>
      <c r="AI2" s="155" t="s">
        <v>368</v>
      </c>
      <c r="AJ2" s="37">
        <f>IFERROR(PA_8[[#This Row],[Breakdown Time]]*PA_8[[#This Row],[Plant Equivalent Weightage]],"")</f>
        <v>0.87799693574346893</v>
      </c>
      <c r="AK2" s="38">
        <v>3.711217</v>
      </c>
      <c r="AL2" s="157">
        <f>5992.4*PA_8[[#This Row],[Lost PoA(Wh/m2)]]*81.6%</f>
        <v>18147.102948652799</v>
      </c>
      <c r="AM2" s="157"/>
    </row>
    <row r="3" spans="1:39">
      <c r="A3" s="153">
        <v>2</v>
      </c>
      <c r="B3" s="154">
        <v>45755</v>
      </c>
      <c r="C3" s="187">
        <f>YEAR(PA_8[[#This Row],[Date]])+IF(MONTH(PA_8[[#This Row],[Date]])&gt;=4,1,0)</f>
        <v>2026</v>
      </c>
      <c r="D3" s="34">
        <f>YEAR(PA_8[[#This Row],[Date]])</f>
        <v>2025</v>
      </c>
      <c r="E3" s="155" t="s">
        <v>325</v>
      </c>
      <c r="F3" s="155" t="s">
        <v>325</v>
      </c>
      <c r="G3" s="175">
        <f>PA_8[[#This Row],[Date]]-DAY(PA_8[[#This Row],[Date]])+1</f>
        <v>45748</v>
      </c>
      <c r="H3" s="34">
        <f>DAY(EOMONTH(PA_8[[#This Row],[Month Year]],0))</f>
        <v>30</v>
      </c>
      <c r="I3" s="36">
        <f>IFERROR(_xlfn.XLOOKUP(PA_8[[#This Row],[Date]],Input_Raw!$A:$A,Input_Raw!F:F),"")</f>
        <v>0.27013888888888887</v>
      </c>
      <c r="J3" s="36">
        <f>IFERROR(_xlfn.XLOOKUP(PA_8[[#This Row],[Date]],Input_Raw!$A:$A,Input_Raw!G:G),"")</f>
        <v>0.76458333333333328</v>
      </c>
      <c r="K3" s="37">
        <f>IFERROR((PA_8[[#This Row],[Sunset Time (POA&lt;20 W/m2)]]-PA_8[[#This Row],[Sunrise Time (POA&gt;20 W/m2)]])*24,"")</f>
        <v>11.866666666666665</v>
      </c>
      <c r="L3" s="155" t="s">
        <v>409</v>
      </c>
      <c r="M3" s="35" t="s">
        <v>350</v>
      </c>
      <c r="N3" s="35"/>
      <c r="O3" s="38"/>
      <c r="P3" s="38"/>
      <c r="Q3" s="35"/>
      <c r="R3" s="34">
        <f>IF((PA_8[[#This Row],[String Type(If String BD)]]&amp;PA_8[[#This Row],[Equipment (If any BD other than PV  array and inv)]])="",1,0)</f>
        <v>1</v>
      </c>
      <c r="S3" s="34">
        <f>IF(PA_8[[#This Row],[String Type(If String BD)]]="",1,0)</f>
        <v>1</v>
      </c>
      <c r="T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3" s="37">
        <f>IFERROR(_xlfn.XLOOKUP(PA_8[[#This Row],[Affected Equipment ]],'Basic Data'!$P:$P,'Basic Data'!$S:$S),"")</f>
        <v>2583.9</v>
      </c>
      <c r="V3" s="322">
        <f>IFERROR(_xlfn.XLOOKUP(PA_8[[#This Row],[Affected Equipment ]],'Basic Data'!$P:$P,'Basic Data'!$T:$T),"")</f>
        <v>2.1327225454995668E-2</v>
      </c>
      <c r="W3" s="306" t="s">
        <v>330</v>
      </c>
      <c r="X3" s="156" t="s">
        <v>1072</v>
      </c>
      <c r="Y3" s="156" t="s">
        <v>1072</v>
      </c>
      <c r="Z3" s="39">
        <v>0.48055555555555557</v>
      </c>
      <c r="AA3" s="39"/>
      <c r="AB3" s="40">
        <v>0.48958333333333331</v>
      </c>
      <c r="AC3" s="39">
        <v>0.49236111111111114</v>
      </c>
      <c r="AD3" s="41">
        <f>IF(PA_8[[#This Row],[Acknowledgement Time ]]="NA","",(PA_8[[#This Row],[Acknowledgement Time ]]-PA_8[[#This Row],[Fault Time]])*24)</f>
        <v>-11.533333333333333</v>
      </c>
      <c r="AE3" s="41">
        <f>IF(PA_8[[#This Row],[Work Start time on Fault]]="NA","",(PA_8[[#This Row],[Work Start time on Fault]]-PA_8[[#This Row],[Fault Time]])*24)</f>
        <v>0.2166666666666659</v>
      </c>
      <c r="AF3" s="42">
        <f>IF(PA_8[[#This Row],[Status]]="Open","",(PA_8[[#This Row],[Work Completion time on fault]]-PA_8[[#This Row],[Fault Time]])*24)</f>
        <v>0.28333333333333366</v>
      </c>
      <c r="AG3" s="41">
        <f>IFERROR((PA_8[[#This Row],[Work Completion time on fault]]-PA_8[[#This Row],[Fault Time]])*24,"")</f>
        <v>0.28333333333333366</v>
      </c>
      <c r="AH3" s="38" t="s">
        <v>1073</v>
      </c>
      <c r="AI3" s="155" t="s">
        <v>368</v>
      </c>
      <c r="AJ3" s="37">
        <f>IFERROR(PA_8[[#This Row],[Breakdown Time]]*PA_8[[#This Row],[Plant Equivalent Weightage]],"")</f>
        <v>6.0427138789154464E-3</v>
      </c>
      <c r="AK3" s="38">
        <v>0.23899999999999999</v>
      </c>
      <c r="AL3" s="157">
        <f>U3*PA_8[[#This Row],[Lost PoA(Wh/m2)]]*81.6%</f>
        <v>503.92251359999995</v>
      </c>
      <c r="AM3" s="157"/>
    </row>
    <row r="4" spans="1:39">
      <c r="A4" s="153">
        <v>3</v>
      </c>
      <c r="B4" s="154">
        <v>45759</v>
      </c>
      <c r="C4" s="187">
        <f>YEAR(PA_8[[#This Row],[Date]])+IF(MONTH(PA_8[[#This Row],[Date]])&gt;=4,1,0)</f>
        <v>2026</v>
      </c>
      <c r="D4" s="34">
        <f>YEAR(PA_8[[#This Row],[Date]])</f>
        <v>2025</v>
      </c>
      <c r="E4" s="155" t="s">
        <v>325</v>
      </c>
      <c r="F4" s="155" t="s">
        <v>325</v>
      </c>
      <c r="G4" s="175">
        <f>PA_8[[#This Row],[Date]]-DAY(PA_8[[#This Row],[Date]])+1</f>
        <v>45748</v>
      </c>
      <c r="H4" s="34">
        <f>DAY(EOMONTH(PA_8[[#This Row],[Month Year]],0))</f>
        <v>30</v>
      </c>
      <c r="I4" s="36">
        <f>IFERROR(_xlfn.XLOOKUP(PA_8[[#This Row],[Date]],Input_Raw!$A:$A,Input_Raw!F:F),"")</f>
        <v>0.26944444444444443</v>
      </c>
      <c r="J4" s="36">
        <f>IFERROR(_xlfn.XLOOKUP(PA_8[[#This Row],[Date]],Input_Raw!$A:$A,Input_Raw!G:G),"")</f>
        <v>0.7680555555555556</v>
      </c>
      <c r="K4" s="37">
        <f>IFERROR((PA_8[[#This Row],[Sunset Time (POA&lt;20 W/m2)]]-PA_8[[#This Row],[Sunrise Time (POA&gt;20 W/m2)]])*24,"")</f>
        <v>11.966666666666669</v>
      </c>
      <c r="L4" s="155" t="s">
        <v>409</v>
      </c>
      <c r="M4" s="35"/>
      <c r="N4" s="35"/>
      <c r="O4" s="38"/>
      <c r="P4" s="38"/>
      <c r="Q4" s="35" t="s">
        <v>354</v>
      </c>
      <c r="R4" s="34">
        <f>IF((PA_8[[#This Row],[String Type(If String BD)]]&amp;PA_8[[#This Row],[Equipment (If any BD other than PV  array and inv)]])="",1,0)</f>
        <v>0</v>
      </c>
      <c r="S4" s="34">
        <f>IF(PA_8[[#This Row],[String Type(If String BD)]]="",1,0)</f>
        <v>1</v>
      </c>
      <c r="T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IS10Tx</v>
      </c>
      <c r="U4" s="37">
        <f>IFERROR(_xlfn.XLOOKUP(PA_8[[#This Row],[Affected Equipment ]],'Basic Data'!$P:$P,'Basic Data'!$S:$S),"")</f>
        <v>17236.584999999999</v>
      </c>
      <c r="V4" s="322">
        <f>IFERROR(_xlfn.XLOOKUP(PA_8[[#This Row],[Affected Equipment ]],'Basic Data'!$P:$P,'Basic Data'!$T:$T),"")</f>
        <v>0.14226887045520201</v>
      </c>
      <c r="W4" s="306" t="s">
        <v>392</v>
      </c>
      <c r="X4" s="156" t="s">
        <v>1074</v>
      </c>
      <c r="Y4" s="156" t="s">
        <v>1075</v>
      </c>
      <c r="Z4" s="39">
        <v>0.32291666666666669</v>
      </c>
      <c r="AA4" s="39"/>
      <c r="AB4" s="40">
        <v>0.34375</v>
      </c>
      <c r="AC4" s="39">
        <v>0.35416666666666669</v>
      </c>
      <c r="AD4" s="41">
        <f>IF(PA_8[[#This Row],[Acknowledgement Time ]]="NA","",(PA_8[[#This Row],[Acknowledgement Time ]]-PA_8[[#This Row],[Fault Time]])*24)</f>
        <v>-7.75</v>
      </c>
      <c r="AE4" s="41">
        <f>IF(PA_8[[#This Row],[Work Start time on Fault]]="NA","",(PA_8[[#This Row],[Work Start time on Fault]]-PA_8[[#This Row],[Fault Time]])*24)</f>
        <v>0.49999999999999956</v>
      </c>
      <c r="AF4" s="42">
        <f>IF(PA_8[[#This Row],[Status]]="Open","",(PA_8[[#This Row],[Work Completion time on fault]]-PA_8[[#This Row],[Fault Time]])*24)</f>
        <v>0.75</v>
      </c>
      <c r="AG4" s="41">
        <f>IFERROR((PA_8[[#This Row],[Work Completion time on fault]]-PA_8[[#This Row],[Fault Time]])*24,"")</f>
        <v>0.75</v>
      </c>
      <c r="AH4" s="38" t="s">
        <v>1076</v>
      </c>
      <c r="AI4" s="155" t="s">
        <v>368</v>
      </c>
      <c r="AJ4" s="37">
        <f>IFERROR(PA_8[[#This Row],[Breakdown Time]]*PA_8[[#This Row],[Plant Equivalent Weightage]],"")</f>
        <v>0.10670165284140151</v>
      </c>
      <c r="AK4" s="38">
        <v>0.13200000000000001</v>
      </c>
      <c r="AL4" s="157">
        <f>U4*PA_8[[#This Row],[Lost PoA(Wh/m2)]]*81.6%</f>
        <v>1856.58704352</v>
      </c>
      <c r="AM4" s="157"/>
    </row>
    <row r="5" spans="1:39">
      <c r="A5" s="153">
        <v>4</v>
      </c>
      <c r="B5" s="154">
        <v>45759</v>
      </c>
      <c r="C5" s="187">
        <f>YEAR(PA_8[[#This Row],[Date]])+IF(MONTH(PA_8[[#This Row],[Date]])&gt;=4,1,0)</f>
        <v>2026</v>
      </c>
      <c r="D5" s="34">
        <f>YEAR(PA_8[[#This Row],[Date]])</f>
        <v>2025</v>
      </c>
      <c r="E5" s="155" t="s">
        <v>325</v>
      </c>
      <c r="F5" s="155" t="s">
        <v>325</v>
      </c>
      <c r="G5" s="175">
        <f>PA_8[[#This Row],[Date]]-DAY(PA_8[[#This Row],[Date]])+1</f>
        <v>45748</v>
      </c>
      <c r="H5" s="34">
        <f>DAY(EOMONTH(PA_8[[#This Row],[Month Year]],0))</f>
        <v>30</v>
      </c>
      <c r="I5" s="36">
        <f>IFERROR(_xlfn.XLOOKUP(PA_8[[#This Row],[Date]],Input_Raw!$A:$A,Input_Raw!F:F),"")</f>
        <v>0.26944444444444443</v>
      </c>
      <c r="J5" s="36">
        <f>IFERROR(_xlfn.XLOOKUP(PA_8[[#This Row],[Date]],Input_Raw!$A:$A,Input_Raw!G:G),"")</f>
        <v>0.7680555555555556</v>
      </c>
      <c r="K5" s="37">
        <f>IFERROR((PA_8[[#This Row],[Sunset Time (POA&lt;20 W/m2)]]-PA_8[[#This Row],[Sunrise Time (POA&gt;20 W/m2)]])*24,"")</f>
        <v>11.966666666666669</v>
      </c>
      <c r="L5" s="155" t="s">
        <v>414</v>
      </c>
      <c r="M5" s="35"/>
      <c r="N5" s="35"/>
      <c r="O5" s="38"/>
      <c r="P5" s="38"/>
      <c r="Q5" s="35" t="s">
        <v>354</v>
      </c>
      <c r="R5" s="34">
        <f>IF((PA_8[[#This Row],[String Type(If String BD)]]&amp;PA_8[[#This Row],[Equipment (If any BD other than PV  array and inv)]])="",1,0)</f>
        <v>0</v>
      </c>
      <c r="S5" s="34">
        <f>IF(PA_8[[#This Row],[String Type(If String BD)]]="",1,0)</f>
        <v>1</v>
      </c>
      <c r="T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IS11Tx</v>
      </c>
      <c r="U5" s="37">
        <f>IFERROR(_xlfn.XLOOKUP(PA_8[[#This Row],[Affected Equipment ]],'Basic Data'!$P:$P,'Basic Data'!$S:$S),"")</f>
        <v>5484.335</v>
      </c>
      <c r="V5" s="322">
        <f>IFERROR(_xlfn.XLOOKUP(PA_8[[#This Row],[Affected Equipment ]],'Basic Data'!$P:$P,'Basic Data'!$T:$T),"")</f>
        <v>4.5267095868928235E-2</v>
      </c>
      <c r="W5" s="306" t="s">
        <v>392</v>
      </c>
      <c r="X5" s="156" t="s">
        <v>1074</v>
      </c>
      <c r="Y5" s="156" t="s">
        <v>1075</v>
      </c>
      <c r="Z5" s="39">
        <v>0.32291666666666669</v>
      </c>
      <c r="AA5" s="39"/>
      <c r="AB5" s="40">
        <v>0.34375</v>
      </c>
      <c r="AC5" s="39">
        <v>0.35416666666666669</v>
      </c>
      <c r="AD5" s="41">
        <f>IF(PA_8[[#This Row],[Acknowledgement Time ]]="NA","",(PA_8[[#This Row],[Acknowledgement Time ]]-PA_8[[#This Row],[Fault Time]])*24)</f>
        <v>-7.75</v>
      </c>
      <c r="AE5" s="41">
        <f>IF(PA_8[[#This Row],[Work Start time on Fault]]="NA","",(PA_8[[#This Row],[Work Start time on Fault]]-PA_8[[#This Row],[Fault Time]])*24)</f>
        <v>0.49999999999999956</v>
      </c>
      <c r="AF5" s="42">
        <f>IF(PA_8[[#This Row],[Status]]="Open","",(PA_8[[#This Row],[Work Completion time on fault]]-PA_8[[#This Row],[Fault Time]])*24)</f>
        <v>0.75</v>
      </c>
      <c r="AG5" s="41">
        <f>IFERROR((PA_8[[#This Row],[Work Completion time on fault]]-PA_8[[#This Row],[Fault Time]])*24,"")</f>
        <v>0.75</v>
      </c>
      <c r="AH5" s="38" t="s">
        <v>1076</v>
      </c>
      <c r="AI5" s="155" t="s">
        <v>368</v>
      </c>
      <c r="AJ5" s="37">
        <f>IFERROR(PA_8[[#This Row],[Breakdown Time]]*PA_8[[#This Row],[Plant Equivalent Weightage]],"")</f>
        <v>3.3950321901696175E-2</v>
      </c>
      <c r="AK5" s="38">
        <v>0.13200000000000001</v>
      </c>
      <c r="AL5" s="157">
        <f>U5*PA_8[[#This Row],[Lost PoA(Wh/m2)]]*81.6%</f>
        <v>590.72869151999998</v>
      </c>
      <c r="AM5" s="157"/>
    </row>
    <row r="6" spans="1:39">
      <c r="A6" s="153">
        <v>5</v>
      </c>
      <c r="B6" s="154">
        <v>45759</v>
      </c>
      <c r="C6" s="187">
        <f>YEAR(PA_8[[#This Row],[Date]])+IF(MONTH(PA_8[[#This Row],[Date]])&gt;=4,1,0)</f>
        <v>2026</v>
      </c>
      <c r="D6" s="34">
        <f>YEAR(PA_8[[#This Row],[Date]])</f>
        <v>2025</v>
      </c>
      <c r="E6" s="155" t="s">
        <v>325</v>
      </c>
      <c r="F6" s="155" t="s">
        <v>325</v>
      </c>
      <c r="G6" s="175">
        <f>PA_8[[#This Row],[Date]]-DAY(PA_8[[#This Row],[Date]])+1</f>
        <v>45748</v>
      </c>
      <c r="H6" s="34">
        <f>DAY(EOMONTH(PA_8[[#This Row],[Month Year]],0))</f>
        <v>30</v>
      </c>
      <c r="I6" s="36">
        <f>IFERROR(_xlfn.XLOOKUP(PA_8[[#This Row],[Date]],Input_Raw!$A:$A,Input_Raw!F:F),"")</f>
        <v>0.26944444444444443</v>
      </c>
      <c r="J6" s="36">
        <f>IFERROR(_xlfn.XLOOKUP(PA_8[[#This Row],[Date]],Input_Raw!$A:$A,Input_Raw!G:G),"")</f>
        <v>0.7680555555555556</v>
      </c>
      <c r="K6" s="37">
        <f>IFERROR((PA_8[[#This Row],[Sunset Time (POA&lt;20 W/m2)]]-PA_8[[#This Row],[Sunrise Time (POA&gt;20 W/m2)]])*24,"")</f>
        <v>11.966666666666669</v>
      </c>
      <c r="L6" s="155" t="s">
        <v>418</v>
      </c>
      <c r="M6" s="35"/>
      <c r="N6" s="35"/>
      <c r="O6" s="38"/>
      <c r="P6" s="38"/>
      <c r="Q6" s="321" t="s">
        <v>354</v>
      </c>
      <c r="R6" s="34">
        <f>IF((PA_8[[#This Row],[String Type(If String BD)]]&amp;PA_8[[#This Row],[Equipment (If any BD other than PV  array and inv)]])="",1,0)</f>
        <v>0</v>
      </c>
      <c r="S6" s="34">
        <f>IF(PA_8[[#This Row],[String Type(If String BD)]]="",1,0)</f>
        <v>1</v>
      </c>
      <c r="T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IS12Tx</v>
      </c>
      <c r="U6" s="37">
        <f>IFERROR(_xlfn.XLOOKUP(PA_8[[#This Row],[Affected Equipment ]],'Basic Data'!$P:$P,'Basic Data'!$S:$S),"")</f>
        <v>6170.4</v>
      </c>
      <c r="V6" s="322">
        <f>IFERROR(_xlfn.XLOOKUP(PA_8[[#This Row],[Affected Equipment ]],'Basic Data'!$P:$P,'Basic Data'!$T:$T),"")</f>
        <v>5.0929800668565062E-2</v>
      </c>
      <c r="W6" s="306" t="s">
        <v>392</v>
      </c>
      <c r="X6" s="156" t="s">
        <v>1074</v>
      </c>
      <c r="Y6" s="156" t="s">
        <v>1075</v>
      </c>
      <c r="Z6" s="39">
        <v>0.32291666666666669</v>
      </c>
      <c r="AA6" s="39"/>
      <c r="AB6" s="40">
        <v>0.34375</v>
      </c>
      <c r="AC6" s="39">
        <v>0.35416666666666669</v>
      </c>
      <c r="AD6" s="41">
        <f>IF(PA_8[[#This Row],[Acknowledgement Time ]]="NA","",(PA_8[[#This Row],[Acknowledgement Time ]]-PA_8[[#This Row],[Fault Time]])*24)</f>
        <v>-7.75</v>
      </c>
      <c r="AE6" s="41">
        <f>IF(PA_8[[#This Row],[Work Start time on Fault]]="NA","",(PA_8[[#This Row],[Work Start time on Fault]]-PA_8[[#This Row],[Fault Time]])*24)</f>
        <v>0.49999999999999956</v>
      </c>
      <c r="AF6" s="42">
        <f>IF(PA_8[[#This Row],[Status]]="Open","",(PA_8[[#This Row],[Work Completion time on fault]]-PA_8[[#This Row],[Fault Time]])*24)</f>
        <v>0.75</v>
      </c>
      <c r="AG6" s="41">
        <f>IFERROR((PA_8[[#This Row],[Work Completion time on fault]]-PA_8[[#This Row],[Fault Time]])*24,"")</f>
        <v>0.75</v>
      </c>
      <c r="AH6" s="38" t="s">
        <v>1076</v>
      </c>
      <c r="AI6" s="155" t="s">
        <v>368</v>
      </c>
      <c r="AJ6" s="37">
        <f>IFERROR(PA_8[[#This Row],[Breakdown Time]]*PA_8[[#This Row],[Plant Equivalent Weightage]],"")</f>
        <v>3.8197350501423796E-2</v>
      </c>
      <c r="AK6" s="38">
        <v>0.13200000000000001</v>
      </c>
      <c r="AL6" s="157">
        <f>U6*PA_8[[#This Row],[Lost PoA(Wh/m2)]]*81.6%</f>
        <v>664.62612479999996</v>
      </c>
      <c r="AM6" s="157"/>
    </row>
    <row r="7" spans="1:39">
      <c r="A7" s="153">
        <v>6</v>
      </c>
      <c r="B7" s="154">
        <v>45759</v>
      </c>
      <c r="C7" s="187">
        <f>YEAR(PA_8[[#This Row],[Date]])+IF(MONTH(PA_8[[#This Row],[Date]])&gt;=4,1,0)</f>
        <v>2026</v>
      </c>
      <c r="D7" s="34">
        <f>YEAR(PA_8[[#This Row],[Date]])</f>
        <v>2025</v>
      </c>
      <c r="E7" s="155" t="s">
        <v>325</v>
      </c>
      <c r="F7" s="155" t="s">
        <v>325</v>
      </c>
      <c r="G7" s="175">
        <f>PA_8[[#This Row],[Date]]-DAY(PA_8[[#This Row],[Date]])+1</f>
        <v>45748</v>
      </c>
      <c r="H7" s="34">
        <f>DAY(EOMONTH(PA_8[[#This Row],[Month Year]],0))</f>
        <v>30</v>
      </c>
      <c r="I7" s="36">
        <f>IFERROR(_xlfn.XLOOKUP(PA_8[[#This Row],[Date]],Input_Raw!$A:$A,Input_Raw!F:F),"")</f>
        <v>0.26944444444444443</v>
      </c>
      <c r="J7" s="36">
        <f>IFERROR(_xlfn.XLOOKUP(PA_8[[#This Row],[Date]],Input_Raw!$A:$A,Input_Raw!G:G),"")</f>
        <v>0.7680555555555556</v>
      </c>
      <c r="K7" s="37">
        <f>IFERROR((PA_8[[#This Row],[Sunset Time (POA&lt;20 W/m2)]]-PA_8[[#This Row],[Sunrise Time (POA&gt;20 W/m2)]])*24,"")</f>
        <v>11.966666666666669</v>
      </c>
      <c r="L7" s="155" t="s">
        <v>421</v>
      </c>
      <c r="M7" s="35"/>
      <c r="N7" s="35"/>
      <c r="O7" s="38"/>
      <c r="P7" s="38"/>
      <c r="Q7" s="35" t="s">
        <v>354</v>
      </c>
      <c r="R7" s="34">
        <f>IF((PA_8[[#This Row],[String Type(If String BD)]]&amp;PA_8[[#This Row],[Equipment (If any BD other than PV  array and inv)]])="",1,0)</f>
        <v>0</v>
      </c>
      <c r="S7" s="34">
        <f>IF(PA_8[[#This Row],[String Type(If String BD)]]="",1,0)</f>
        <v>1</v>
      </c>
      <c r="T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IS13Tx</v>
      </c>
      <c r="U7" s="37">
        <f>IFERROR(_xlfn.XLOOKUP(PA_8[[#This Row],[Affected Equipment ]],'Basic Data'!$P:$P,'Basic Data'!$S:$S),"")</f>
        <v>6701.32</v>
      </c>
      <c r="V7" s="322">
        <f>IFERROR(_xlfn.XLOOKUP(PA_8[[#This Row],[Affected Equipment ]],'Basic Data'!$P:$P,'Basic Data'!$T:$T),"")</f>
        <v>5.5311955759151495E-2</v>
      </c>
      <c r="W7" s="306" t="s">
        <v>392</v>
      </c>
      <c r="X7" s="156" t="s">
        <v>1074</v>
      </c>
      <c r="Y7" s="156" t="s">
        <v>1075</v>
      </c>
      <c r="Z7" s="39">
        <v>0.32291666666666669</v>
      </c>
      <c r="AA7" s="39"/>
      <c r="AB7" s="40">
        <v>0.34375</v>
      </c>
      <c r="AC7" s="39">
        <v>0.35416666666666669</v>
      </c>
      <c r="AD7" s="41">
        <f>IF(PA_8[[#This Row],[Acknowledgement Time ]]="NA","",(PA_8[[#This Row],[Acknowledgement Time ]]-PA_8[[#This Row],[Fault Time]])*24)</f>
        <v>-7.75</v>
      </c>
      <c r="AE7" s="41">
        <f>IF(PA_8[[#This Row],[Work Start time on Fault]]="NA","",(PA_8[[#This Row],[Work Start time on Fault]]-PA_8[[#This Row],[Fault Time]])*24)</f>
        <v>0.49999999999999956</v>
      </c>
      <c r="AF7" s="42">
        <f>IF(PA_8[[#This Row],[Status]]="Open","",(PA_8[[#This Row],[Work Completion time on fault]]-PA_8[[#This Row],[Fault Time]])*24)</f>
        <v>0.75</v>
      </c>
      <c r="AG7" s="41">
        <f>IFERROR((PA_8[[#This Row],[Work Completion time on fault]]-PA_8[[#This Row],[Fault Time]])*24,"")</f>
        <v>0.75</v>
      </c>
      <c r="AH7" s="38" t="s">
        <v>1076</v>
      </c>
      <c r="AI7" s="155" t="s">
        <v>368</v>
      </c>
      <c r="AJ7" s="37">
        <f>IFERROR(PA_8[[#This Row],[Breakdown Time]]*PA_8[[#This Row],[Plant Equivalent Weightage]],"")</f>
        <v>4.1483966819363623E-2</v>
      </c>
      <c r="AK7" s="38">
        <v>0.13200000000000001</v>
      </c>
      <c r="AL7" s="157">
        <f>U7*PA_8[[#This Row],[Lost PoA(Wh/m2)]]*81.6%</f>
        <v>721.81257984000001</v>
      </c>
      <c r="AM7" s="157"/>
    </row>
    <row r="8" spans="1:39">
      <c r="A8" s="153">
        <v>7</v>
      </c>
      <c r="B8" s="154">
        <v>45759</v>
      </c>
      <c r="C8" s="187">
        <f>YEAR(PA_8[[#This Row],[Date]])+IF(MONTH(PA_8[[#This Row],[Date]])&gt;=4,1,0)</f>
        <v>2026</v>
      </c>
      <c r="D8" s="34">
        <f>YEAR(PA_8[[#This Row],[Date]])</f>
        <v>2025</v>
      </c>
      <c r="E8" s="155" t="s">
        <v>325</v>
      </c>
      <c r="F8" s="155" t="s">
        <v>325</v>
      </c>
      <c r="G8" s="175">
        <f>PA_8[[#This Row],[Date]]-DAY(PA_8[[#This Row],[Date]])+1</f>
        <v>45748</v>
      </c>
      <c r="H8" s="34">
        <f>DAY(EOMONTH(PA_8[[#This Row],[Month Year]],0))</f>
        <v>30</v>
      </c>
      <c r="I8" s="36">
        <f>IFERROR(_xlfn.XLOOKUP(PA_8[[#This Row],[Date]],Input_Raw!$A:$A,Input_Raw!F:F),"")</f>
        <v>0.26944444444444443</v>
      </c>
      <c r="J8" s="36">
        <f>IFERROR(_xlfn.XLOOKUP(PA_8[[#This Row],[Date]],Input_Raw!$A:$A,Input_Raw!G:G),"")</f>
        <v>0.7680555555555556</v>
      </c>
      <c r="K8" s="37">
        <f>IFERROR((PA_8[[#This Row],[Sunset Time (POA&lt;20 W/m2)]]-PA_8[[#This Row],[Sunrise Time (POA&gt;20 W/m2)]])*24,"")</f>
        <v>11.966666666666669</v>
      </c>
      <c r="L8" s="155" t="s">
        <v>424</v>
      </c>
      <c r="M8" s="35"/>
      <c r="N8" s="35"/>
      <c r="O8" s="38"/>
      <c r="P8" s="38"/>
      <c r="Q8" s="35" t="s">
        <v>354</v>
      </c>
      <c r="R8" s="34">
        <f>IF((PA_8[[#This Row],[String Type(If String BD)]]&amp;PA_8[[#This Row],[Equipment (If any BD other than PV  array and inv)]])="",1,0)</f>
        <v>0</v>
      </c>
      <c r="S8" s="34">
        <f>IF(PA_8[[#This Row],[String Type(If String BD)]]="",1,0)</f>
        <v>1</v>
      </c>
      <c r="T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IS14Tx</v>
      </c>
      <c r="U8" s="37">
        <f>IFERROR(_xlfn.XLOOKUP(PA_8[[#This Row],[Affected Equipment ]],'Basic Data'!$P:$P,'Basic Data'!$S:$S),"")</f>
        <v>8906.48</v>
      </c>
      <c r="V8" s="322">
        <f>IFERROR(_xlfn.XLOOKUP(PA_8[[#This Row],[Affected Equipment ]],'Basic Data'!$P:$P,'Basic Data'!$T:$T),"")</f>
        <v>7.351310304981222E-2</v>
      </c>
      <c r="W8" s="306" t="s">
        <v>392</v>
      </c>
      <c r="X8" s="156" t="s">
        <v>1074</v>
      </c>
      <c r="Y8" s="156" t="s">
        <v>1075</v>
      </c>
      <c r="Z8" s="39">
        <v>0.32291666666666669</v>
      </c>
      <c r="AA8" s="39"/>
      <c r="AB8" s="40">
        <v>0.34375</v>
      </c>
      <c r="AC8" s="39">
        <v>0.35416666666666669</v>
      </c>
      <c r="AD8" s="41">
        <f>IF(PA_8[[#This Row],[Acknowledgement Time ]]="NA","",(PA_8[[#This Row],[Acknowledgement Time ]]-PA_8[[#This Row],[Fault Time]])*24)</f>
        <v>-7.75</v>
      </c>
      <c r="AE8" s="41">
        <f>IF(PA_8[[#This Row],[Work Start time on Fault]]="NA","",(PA_8[[#This Row],[Work Start time on Fault]]-PA_8[[#This Row],[Fault Time]])*24)</f>
        <v>0.49999999999999956</v>
      </c>
      <c r="AF8" s="42">
        <f>IF(PA_8[[#This Row],[Status]]="Open","",(PA_8[[#This Row],[Work Completion time on fault]]-PA_8[[#This Row],[Fault Time]])*24)</f>
        <v>0.75</v>
      </c>
      <c r="AG8" s="41">
        <f>IFERROR((PA_8[[#This Row],[Work Completion time on fault]]-PA_8[[#This Row],[Fault Time]])*24,"")</f>
        <v>0.75</v>
      </c>
      <c r="AH8" s="38" t="s">
        <v>1076</v>
      </c>
      <c r="AI8" s="155" t="s">
        <v>368</v>
      </c>
      <c r="AJ8" s="37">
        <f>IFERROR(PA_8[[#This Row],[Breakdown Time]]*PA_8[[#This Row],[Plant Equivalent Weightage]],"")</f>
        <v>5.5134827287359162E-2</v>
      </c>
      <c r="AK8" s="38">
        <v>0.13200000000000001</v>
      </c>
      <c r="AL8" s="157">
        <f>U8*PA_8[[#This Row],[Lost PoA(Wh/m2)]]*81.6%</f>
        <v>959.33477375999996</v>
      </c>
      <c r="AM8" s="157"/>
    </row>
    <row r="9" spans="1:39">
      <c r="A9" s="153">
        <v>8</v>
      </c>
      <c r="B9" s="154">
        <v>45760</v>
      </c>
      <c r="C9" s="187">
        <f>YEAR(PA_8[[#This Row],[Date]])+IF(MONTH(PA_8[[#This Row],[Date]])&gt;=4,1,0)</f>
        <v>2026</v>
      </c>
      <c r="D9" s="34">
        <f>YEAR(PA_8[[#This Row],[Date]])</f>
        <v>2025</v>
      </c>
      <c r="E9" s="155" t="s">
        <v>325</v>
      </c>
      <c r="F9" s="155" t="s">
        <v>325</v>
      </c>
      <c r="G9" s="175">
        <f>PA_8[[#This Row],[Date]]-DAY(PA_8[[#This Row],[Date]])+1</f>
        <v>45748</v>
      </c>
      <c r="H9" s="34">
        <f>DAY(EOMONTH(PA_8[[#This Row],[Month Year]],0))</f>
        <v>30</v>
      </c>
      <c r="I9" s="36">
        <f>IFERROR(_xlfn.XLOOKUP(PA_8[[#This Row],[Date]],Input_Raw!$A:$A,Input_Raw!F:F),"")</f>
        <v>0.2673611111111111</v>
      </c>
      <c r="J9" s="36">
        <f>IFERROR(_xlfn.XLOOKUP(PA_8[[#This Row],[Date]],Input_Raw!$A:$A,Input_Raw!G:G),"")</f>
        <v>0.76666666666666672</v>
      </c>
      <c r="K9" s="37">
        <f>IFERROR((PA_8[[#This Row],[Sunset Time (POA&lt;20 W/m2)]]-PA_8[[#This Row],[Sunrise Time (POA&gt;20 W/m2)]])*24,"")</f>
        <v>11.983333333333334</v>
      </c>
      <c r="L9" s="155"/>
      <c r="M9" s="35"/>
      <c r="N9" s="35"/>
      <c r="O9" s="38"/>
      <c r="P9" s="38"/>
      <c r="Q9" s="35" t="s">
        <v>401</v>
      </c>
      <c r="R9" s="34">
        <f>IF((PA_8[[#This Row],[String Type(If String BD)]]&amp;PA_8[[#This Row],[Equipment (If any BD other than PV  array and inv)]])="",1,0)</f>
        <v>0</v>
      </c>
      <c r="S9" s="34">
        <f>IF(PA_8[[#This Row],[String Type(If String BD)]]="",1,0)</f>
        <v>1</v>
      </c>
      <c r="T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Power_TX</v>
      </c>
      <c r="U9" s="37">
        <f>IFERROR(_xlfn.XLOOKUP(PA_8[[#This Row],[Affected Equipment ]],'Basic Data'!$P:$P,'Basic Data'!$S:$S),"")</f>
        <v>122106</v>
      </c>
      <c r="V9" s="322">
        <f>IFERROR(_xlfn.XLOOKUP(PA_8[[#This Row],[Affected Equipment ]],'Basic Data'!$P:$P,'Basic Data'!$T:$T),"")</f>
        <v>1.0078494490528662</v>
      </c>
      <c r="W9" s="306" t="s">
        <v>397</v>
      </c>
      <c r="X9" s="156" t="s">
        <v>1077</v>
      </c>
      <c r="Y9" s="156" t="s">
        <v>1078</v>
      </c>
      <c r="Z9" s="39">
        <v>0.68194444444444446</v>
      </c>
      <c r="AA9" s="39"/>
      <c r="AB9" s="40">
        <v>0.6875</v>
      </c>
      <c r="AC9" s="39">
        <v>0.7</v>
      </c>
      <c r="AD9" s="41">
        <f>IF(PA_8[[#This Row],[Acknowledgement Time ]]="NA","",(PA_8[[#This Row],[Acknowledgement Time ]]-PA_8[[#This Row],[Fault Time]])*24)</f>
        <v>-16.366666666666667</v>
      </c>
      <c r="AE9" s="41">
        <f>IF(PA_8[[#This Row],[Work Start time on Fault]]="NA","",(PA_8[[#This Row],[Work Start time on Fault]]-PA_8[[#This Row],[Fault Time]])*24)</f>
        <v>0.13333333333333286</v>
      </c>
      <c r="AF9" s="42">
        <f>IF(PA_8[[#This Row],[Status]]="Open","",(PA_8[[#This Row],[Work Completion time on fault]]-PA_8[[#This Row],[Fault Time]])*24)</f>
        <v>0.43333333333333179</v>
      </c>
      <c r="AG9" s="41">
        <f>IFERROR((PA_8[[#This Row],[Work Completion time on fault]]-PA_8[[#This Row],[Fault Time]])*24,"")</f>
        <v>0.43333333333333179</v>
      </c>
      <c r="AH9" s="38" t="s">
        <v>1079</v>
      </c>
      <c r="AI9" s="155" t="s">
        <v>368</v>
      </c>
      <c r="AJ9" s="37">
        <f>IFERROR(PA_8[[#This Row],[Breakdown Time]]*PA_8[[#This Row],[Plant Equivalent Weightage]],"")</f>
        <v>0.4367347612562405</v>
      </c>
      <c r="AK9" s="38">
        <v>0.18013000000000001</v>
      </c>
      <c r="AL9" s="157">
        <f>U9*PA_8[[#This Row],[Lost PoA(Wh/m2)]]*81.6%</f>
        <v>17947.882284479998</v>
      </c>
      <c r="AM9" s="157"/>
    </row>
    <row r="10" spans="1:39">
      <c r="A10" s="153">
        <v>9</v>
      </c>
      <c r="B10" s="154">
        <v>45761</v>
      </c>
      <c r="C10" s="187">
        <f>YEAR(PA_8[[#This Row],[Date]])+IF(MONTH(PA_8[[#This Row],[Date]])&gt;=4,1,0)</f>
        <v>2026</v>
      </c>
      <c r="D10" s="34">
        <f>YEAR(PA_8[[#This Row],[Date]])</f>
        <v>2025</v>
      </c>
      <c r="E10" s="155" t="s">
        <v>325</v>
      </c>
      <c r="F10" s="155" t="s">
        <v>325</v>
      </c>
      <c r="G10" s="175">
        <f>PA_8[[#This Row],[Date]]-DAY(PA_8[[#This Row],[Date]])+1</f>
        <v>45748</v>
      </c>
      <c r="H10" s="34">
        <f>DAY(EOMONTH(PA_8[[#This Row],[Month Year]],0))</f>
        <v>30</v>
      </c>
      <c r="I10" s="36">
        <f>IFERROR(_xlfn.XLOOKUP(PA_8[[#This Row],[Date]],Input_Raw!$A:$A,Input_Raw!F:F),"")</f>
        <v>0.26944444444444443</v>
      </c>
      <c r="J10" s="36">
        <f>IFERROR(_xlfn.XLOOKUP(PA_8[[#This Row],[Date]],Input_Raw!$A:$A,Input_Raw!G:G),"")</f>
        <v>0.76597222222222228</v>
      </c>
      <c r="K10" s="37">
        <f>IFERROR((PA_8[[#This Row],[Sunset Time (POA&lt;20 W/m2)]]-PA_8[[#This Row],[Sunrise Time (POA&gt;20 W/m2)]])*24,"")</f>
        <v>11.916666666666668</v>
      </c>
      <c r="L10" s="155" t="s">
        <v>409</v>
      </c>
      <c r="M10" s="35" t="s">
        <v>350</v>
      </c>
      <c r="N10" s="35"/>
      <c r="O10" s="38"/>
      <c r="P10" s="38"/>
      <c r="Q10" s="35"/>
      <c r="R10" s="34">
        <f>IF((PA_8[[#This Row],[String Type(If String BD)]]&amp;PA_8[[#This Row],[Equipment (If any BD other than PV  array and inv)]])="",1,0)</f>
        <v>1</v>
      </c>
      <c r="S10" s="34">
        <f>IF(PA_8[[#This Row],[String Type(If String BD)]]="",1,0)</f>
        <v>1</v>
      </c>
      <c r="T1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10" s="37">
        <f>IFERROR(_xlfn.XLOOKUP(PA_8[[#This Row],[Affected Equipment ]],'Basic Data'!$P:$P,'Basic Data'!$S:$S),"")</f>
        <v>2583.9</v>
      </c>
      <c r="V10" s="322">
        <f>IFERROR(_xlfn.XLOOKUP(PA_8[[#This Row],[Affected Equipment ]],'Basic Data'!$P:$P,'Basic Data'!$T:$T),"")</f>
        <v>2.1327225454995668E-2</v>
      </c>
      <c r="W10" s="306" t="s">
        <v>330</v>
      </c>
      <c r="X10" s="156" t="s">
        <v>1072</v>
      </c>
      <c r="Y10" s="156" t="s">
        <v>1080</v>
      </c>
      <c r="Z10" s="39">
        <v>0.2722222222222222</v>
      </c>
      <c r="AA10" s="39"/>
      <c r="AB10" s="40">
        <v>0.64861111111111114</v>
      </c>
      <c r="AC10" s="39">
        <v>0.77222222222222225</v>
      </c>
      <c r="AD10" s="41">
        <f>IF(PA_8[[#This Row],[Acknowledgement Time ]]="NA","",(PA_8[[#This Row],[Acknowledgement Time ]]-PA_8[[#This Row],[Fault Time]])*24)</f>
        <v>-6.5333333333333332</v>
      </c>
      <c r="AE10" s="41">
        <f>IF(PA_8[[#This Row],[Work Start time on Fault]]="NA","",(PA_8[[#This Row],[Work Start time on Fault]]-PA_8[[#This Row],[Fault Time]])*24)</f>
        <v>9.033333333333335</v>
      </c>
      <c r="AF10" s="42" t="str">
        <f>IF(PA_8[[#This Row],[Status]]="Open","",(PA_8[[#This Row],[Work Completion time on fault]]-PA_8[[#This Row],[Fault Time]])*24)</f>
        <v/>
      </c>
      <c r="AG10" s="41">
        <f>IFERROR((PA_8[[#This Row],[Work Completion time on fault]]-PA_8[[#This Row],[Fault Time]])*24,"")</f>
        <v>12</v>
      </c>
      <c r="AH10" s="38" t="s">
        <v>1081</v>
      </c>
      <c r="AI10" s="155" t="s">
        <v>360</v>
      </c>
      <c r="AJ10" s="37">
        <f>IFERROR(PA_8[[#This Row],[Breakdown Time]]*PA_8[[#This Row],[Plant Equivalent Weightage]],"")</f>
        <v>0.255926705459948</v>
      </c>
      <c r="AK10" s="38">
        <v>7</v>
      </c>
      <c r="AL10" s="157">
        <f>U10*PA_8[[#This Row],[Lost PoA(Wh/m2)]]*81.6%</f>
        <v>14759.236799999999</v>
      </c>
      <c r="AM10" s="157"/>
    </row>
    <row r="11" spans="1:39">
      <c r="A11" s="153">
        <v>10</v>
      </c>
      <c r="B11" s="154">
        <v>45762</v>
      </c>
      <c r="C11" s="187">
        <f>YEAR(PA_8[[#This Row],[Date]])+IF(MONTH(PA_8[[#This Row],[Date]])&gt;=4,1,0)</f>
        <v>2026</v>
      </c>
      <c r="D11" s="34">
        <f>YEAR(PA_8[[#This Row],[Date]])</f>
        <v>2025</v>
      </c>
      <c r="E11" s="155" t="s">
        <v>325</v>
      </c>
      <c r="F11" s="155" t="s">
        <v>325</v>
      </c>
      <c r="G11" s="175">
        <f>PA_8[[#This Row],[Date]]-DAY(PA_8[[#This Row],[Date]])+1</f>
        <v>45748</v>
      </c>
      <c r="H11" s="34">
        <f>DAY(EOMONTH(PA_8[[#This Row],[Month Year]],0))</f>
        <v>30</v>
      </c>
      <c r="I11" s="36">
        <f>IFERROR(_xlfn.XLOOKUP(PA_8[[#This Row],[Date]],Input_Raw!$A:$A,Input_Raw!F:F),"")</f>
        <v>0.26666666666666666</v>
      </c>
      <c r="J11" s="36">
        <f>IFERROR(_xlfn.XLOOKUP(PA_8[[#This Row],[Date]],Input_Raw!$A:$A,Input_Raw!G:G),"")</f>
        <v>0.76666666666666672</v>
      </c>
      <c r="K11" s="37">
        <f>IFERROR((PA_8[[#This Row],[Sunset Time (POA&lt;20 W/m2)]]-PA_8[[#This Row],[Sunrise Time (POA&gt;20 W/m2)]])*24,"")</f>
        <v>12</v>
      </c>
      <c r="L11" s="155" t="s">
        <v>409</v>
      </c>
      <c r="M11" s="35" t="s">
        <v>350</v>
      </c>
      <c r="N11" s="35"/>
      <c r="O11" s="38"/>
      <c r="P11" s="38"/>
      <c r="Q11" s="35"/>
      <c r="R11" s="34">
        <f>IF((PA_8[[#This Row],[String Type(If String BD)]]&amp;PA_8[[#This Row],[Equipment (If any BD other than PV  array and inv)]])="",1,0)</f>
        <v>1</v>
      </c>
      <c r="S11" s="34">
        <f>IF(PA_8[[#This Row],[String Type(If String BD)]]="",1,0)</f>
        <v>1</v>
      </c>
      <c r="T1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11" s="37">
        <f>IFERROR(_xlfn.XLOOKUP(PA_8[[#This Row],[Affected Equipment ]],'Basic Data'!$P:$P,'Basic Data'!$S:$S),"")</f>
        <v>2583.9</v>
      </c>
      <c r="V11" s="322">
        <f>IFERROR(_xlfn.XLOOKUP(PA_8[[#This Row],[Affected Equipment ]],'Basic Data'!$P:$P,'Basic Data'!$T:$T),"")</f>
        <v>2.1327225454995668E-2</v>
      </c>
      <c r="W11" s="306" t="s">
        <v>330</v>
      </c>
      <c r="X11" s="156" t="s">
        <v>1072</v>
      </c>
      <c r="Y11" s="156" t="s">
        <v>1080</v>
      </c>
      <c r="Z11" s="39">
        <v>0.27361111111111114</v>
      </c>
      <c r="AA11" s="39"/>
      <c r="AB11" s="40">
        <v>0.48194444444444445</v>
      </c>
      <c r="AC11" s="39">
        <v>0.77222222222222225</v>
      </c>
      <c r="AD11" s="41">
        <f>IF(PA_8[[#This Row],[Acknowledgement Time ]]="NA","",(PA_8[[#This Row],[Acknowledgement Time ]]-PA_8[[#This Row],[Fault Time]])*24)</f>
        <v>-6.5666666666666673</v>
      </c>
      <c r="AE11" s="41">
        <f>IF(PA_8[[#This Row],[Work Start time on Fault]]="NA","",(PA_8[[#This Row],[Work Start time on Fault]]-PA_8[[#This Row],[Fault Time]])*24)</f>
        <v>5</v>
      </c>
      <c r="AF11" s="42" t="str">
        <f>IF(PA_8[[#This Row],[Status]]="Open","",(PA_8[[#This Row],[Work Completion time on fault]]-PA_8[[#This Row],[Fault Time]])*24)</f>
        <v/>
      </c>
      <c r="AG11" s="41">
        <f>IFERROR((PA_8[[#This Row],[Work Completion time on fault]]-PA_8[[#This Row],[Fault Time]])*24,"")</f>
        <v>11.966666666666667</v>
      </c>
      <c r="AH11" s="38" t="s">
        <v>1081</v>
      </c>
      <c r="AI11" s="155" t="s">
        <v>360</v>
      </c>
      <c r="AJ11" s="37">
        <f>IFERROR(PA_8[[#This Row],[Breakdown Time]]*PA_8[[#This Row],[Plant Equivalent Weightage]],"")</f>
        <v>0.2552157979447815</v>
      </c>
      <c r="AK11" s="38">
        <v>7</v>
      </c>
      <c r="AL11" s="157">
        <f>U11*PA_8[[#This Row],[Lost PoA(Wh/m2)]]*81.6%</f>
        <v>14759.236799999999</v>
      </c>
      <c r="AM11" s="157"/>
    </row>
    <row r="12" spans="1:39">
      <c r="A12" s="153">
        <v>11</v>
      </c>
      <c r="B12" s="154">
        <v>45763</v>
      </c>
      <c r="C12" s="187">
        <f>YEAR(PA_8[[#This Row],[Date]])+IF(MONTH(PA_8[[#This Row],[Date]])&gt;=4,1,0)</f>
        <v>2026</v>
      </c>
      <c r="D12" s="34">
        <f>YEAR(PA_8[[#This Row],[Date]])</f>
        <v>2025</v>
      </c>
      <c r="E12" s="155" t="s">
        <v>325</v>
      </c>
      <c r="F12" s="155" t="s">
        <v>325</v>
      </c>
      <c r="G12" s="175">
        <f>PA_8[[#This Row],[Date]]-DAY(PA_8[[#This Row],[Date]])+1</f>
        <v>45748</v>
      </c>
      <c r="H12" s="34">
        <f>DAY(EOMONTH(PA_8[[#This Row],[Month Year]],0))</f>
        <v>30</v>
      </c>
      <c r="I12" s="36">
        <f>IFERROR(_xlfn.XLOOKUP(PA_8[[#This Row],[Date]],Input_Raw!$A:$A,Input_Raw!F:F),"")</f>
        <v>0.26874999999999999</v>
      </c>
      <c r="J12" s="36">
        <f>IFERROR(_xlfn.XLOOKUP(PA_8[[#This Row],[Date]],Input_Raw!$A:$A,Input_Raw!G:G),"")</f>
        <v>0.74791666666666667</v>
      </c>
      <c r="K12" s="37">
        <f>IFERROR((PA_8[[#This Row],[Sunset Time (POA&lt;20 W/m2)]]-PA_8[[#This Row],[Sunrise Time (POA&gt;20 W/m2)]])*24,"")</f>
        <v>11.5</v>
      </c>
      <c r="L12" s="155" t="s">
        <v>409</v>
      </c>
      <c r="M12" s="35" t="s">
        <v>350</v>
      </c>
      <c r="N12" s="35"/>
      <c r="O12" s="38"/>
      <c r="P12" s="38"/>
      <c r="Q12" s="35"/>
      <c r="R12" s="34">
        <f>IF((PA_8[[#This Row],[String Type(If String BD)]]&amp;PA_8[[#This Row],[Equipment (If any BD other than PV  array and inv)]])="",1,0)</f>
        <v>1</v>
      </c>
      <c r="S12" s="34">
        <f>IF(PA_8[[#This Row],[String Type(If String BD)]]="",1,0)</f>
        <v>1</v>
      </c>
      <c r="T1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12" s="37">
        <f>IFERROR(_xlfn.XLOOKUP(PA_8[[#This Row],[Affected Equipment ]],'Basic Data'!$P:$P,'Basic Data'!$S:$S),"")</f>
        <v>2583.9</v>
      </c>
      <c r="V12" s="322">
        <f>IFERROR(_xlfn.XLOOKUP(PA_8[[#This Row],[Affected Equipment ]],'Basic Data'!$P:$P,'Basic Data'!$T:$T),"")</f>
        <v>2.1327225454995668E-2</v>
      </c>
      <c r="W12" s="306" t="s">
        <v>330</v>
      </c>
      <c r="X12" s="156" t="s">
        <v>1072</v>
      </c>
      <c r="Y12" s="156" t="s">
        <v>1080</v>
      </c>
      <c r="Z12" s="39">
        <v>0.27986111111111112</v>
      </c>
      <c r="AA12" s="39"/>
      <c r="AB12" s="40">
        <v>0.48958333333333331</v>
      </c>
      <c r="AC12" s="39">
        <v>0.77222222222222225</v>
      </c>
      <c r="AD12" s="41">
        <f>IF(PA_8[[#This Row],[Acknowledgement Time ]]="NA","",(PA_8[[#This Row],[Acknowledgement Time ]]-PA_8[[#This Row],[Fault Time]])*24)</f>
        <v>-6.7166666666666668</v>
      </c>
      <c r="AE12" s="41">
        <f>IF(PA_8[[#This Row],[Work Start time on Fault]]="NA","",(PA_8[[#This Row],[Work Start time on Fault]]-PA_8[[#This Row],[Fault Time]])*24)</f>
        <v>5.0333333333333332</v>
      </c>
      <c r="AF12" s="42" t="str">
        <f>IF(PA_8[[#This Row],[Status]]="Open","",(PA_8[[#This Row],[Work Completion time on fault]]-PA_8[[#This Row],[Fault Time]])*24)</f>
        <v/>
      </c>
      <c r="AG12" s="41">
        <f>IFERROR((PA_8[[#This Row],[Work Completion time on fault]]-PA_8[[#This Row],[Fault Time]])*24,"")</f>
        <v>11.816666666666666</v>
      </c>
      <c r="AH12" s="38" t="s">
        <v>1081</v>
      </c>
      <c r="AI12" s="155" t="s">
        <v>360</v>
      </c>
      <c r="AJ12" s="37">
        <f>IFERROR(PA_8[[#This Row],[Breakdown Time]]*PA_8[[#This Row],[Plant Equivalent Weightage]],"")</f>
        <v>0.25201671412653215</v>
      </c>
      <c r="AK12" s="38">
        <v>6</v>
      </c>
      <c r="AL12" s="157">
        <f>U12*PA_8[[#This Row],[Lost PoA(Wh/m2)]]*81.6%</f>
        <v>12650.7744</v>
      </c>
      <c r="AM12" s="157"/>
    </row>
    <row r="13" spans="1:39">
      <c r="A13" s="153">
        <v>12</v>
      </c>
      <c r="B13" s="154">
        <v>45764</v>
      </c>
      <c r="C13" s="187">
        <f>YEAR(PA_8[[#This Row],[Date]])+IF(MONTH(PA_8[[#This Row],[Date]])&gt;=4,1,0)</f>
        <v>2026</v>
      </c>
      <c r="D13" s="34">
        <f>YEAR(PA_8[[#This Row],[Date]])</f>
        <v>2025</v>
      </c>
      <c r="E13" s="155" t="s">
        <v>325</v>
      </c>
      <c r="F13" s="155" t="s">
        <v>325</v>
      </c>
      <c r="G13" s="175">
        <f>PA_8[[#This Row],[Date]]-DAY(PA_8[[#This Row],[Date]])+1</f>
        <v>45748</v>
      </c>
      <c r="H13" s="34">
        <f>DAY(EOMONTH(PA_8[[#This Row],[Month Year]],0))</f>
        <v>30</v>
      </c>
      <c r="I13" s="36">
        <f>IFERROR(_xlfn.XLOOKUP(PA_8[[#This Row],[Date]],Input_Raw!$A:$A,Input_Raw!F:F),"")</f>
        <v>0.2673611111111111</v>
      </c>
      <c r="J13" s="36">
        <f>IFERROR(_xlfn.XLOOKUP(PA_8[[#This Row],[Date]],Input_Raw!$A:$A,Input_Raw!G:G),"")</f>
        <v>0.76458333333333328</v>
      </c>
      <c r="K13" s="37">
        <f>IFERROR((PA_8[[#This Row],[Sunset Time (POA&lt;20 W/m2)]]-PA_8[[#This Row],[Sunrise Time (POA&gt;20 W/m2)]])*24,"")</f>
        <v>11.933333333333332</v>
      </c>
      <c r="L13" s="155" t="s">
        <v>376</v>
      </c>
      <c r="M13" s="35" t="s">
        <v>350</v>
      </c>
      <c r="N13" s="35"/>
      <c r="O13" s="38"/>
      <c r="P13" s="38"/>
      <c r="Q13" s="35"/>
      <c r="R13" s="34">
        <f>IF((PA_8[[#This Row],[String Type(If String BD)]]&amp;PA_8[[#This Row],[Equipment (If any BD other than PV  array and inv)]])="",1,0)</f>
        <v>1</v>
      </c>
      <c r="S13" s="34">
        <f>IF(PA_8[[#This Row],[String Type(If String BD)]]="",1,0)</f>
        <v>1</v>
      </c>
      <c r="T1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IS4Inv1</v>
      </c>
      <c r="U13" s="37">
        <f>IFERROR(_xlfn.XLOOKUP(PA_8[[#This Row],[Affected Equipment ]],'Basic Data'!$P:$P,'Basic Data'!$S:$S),"")</f>
        <v>3865.9049999999997</v>
      </c>
      <c r="V13" s="322">
        <f>IFERROR(_xlfn.XLOOKUP(PA_8[[#This Row],[Affected Equipment ]],'Basic Data'!$P:$P,'Basic Data'!$T:$T),"")</f>
        <v>3.1908753249969043E-2</v>
      </c>
      <c r="W13" s="306" t="s">
        <v>330</v>
      </c>
      <c r="X13" s="156" t="s">
        <v>1082</v>
      </c>
      <c r="Y13" s="307" t="s">
        <v>1083</v>
      </c>
      <c r="Z13" s="39">
        <v>0.37708333333333333</v>
      </c>
      <c r="AA13" s="39"/>
      <c r="AB13" s="40">
        <v>0.37708333333333333</v>
      </c>
      <c r="AC13" s="39">
        <v>0.41041666666666665</v>
      </c>
      <c r="AD13" s="41">
        <f>IF(PA_8[[#This Row],[Acknowledgement Time ]]="NA","",(PA_8[[#This Row],[Acknowledgement Time ]]-PA_8[[#This Row],[Fault Time]])*24)</f>
        <v>-9.0500000000000007</v>
      </c>
      <c r="AE13" s="41">
        <f>IF(PA_8[[#This Row],[Work Start time on Fault]]="NA","",(PA_8[[#This Row],[Work Start time on Fault]]-PA_8[[#This Row],[Fault Time]])*24)</f>
        <v>0</v>
      </c>
      <c r="AF13" s="42">
        <f>IF(PA_8[[#This Row],[Status]]="Open","",(PA_8[[#This Row],[Work Completion time on fault]]-PA_8[[#This Row],[Fault Time]])*24)</f>
        <v>0.79999999999999982</v>
      </c>
      <c r="AG13" s="41">
        <f>IFERROR((PA_8[[#This Row],[Work Completion time on fault]]-PA_8[[#This Row],[Fault Time]])*24,"")</f>
        <v>0.79999999999999982</v>
      </c>
      <c r="AH13" s="307" t="s">
        <v>1084</v>
      </c>
      <c r="AI13" s="155" t="s">
        <v>368</v>
      </c>
      <c r="AJ13" s="37">
        <f>IFERROR(PA_8[[#This Row],[Breakdown Time]]*PA_8[[#This Row],[Plant Equivalent Weightage]],"")</f>
        <v>2.5527002599975229E-2</v>
      </c>
      <c r="AK13" s="38">
        <v>0.156</v>
      </c>
      <c r="AL13" s="157">
        <f>U13*PA_8[[#This Row],[Lost PoA(Wh/m2)]]*81.6%</f>
        <v>492.11424287999989</v>
      </c>
      <c r="AM13" s="157"/>
    </row>
    <row r="14" spans="1:39">
      <c r="A14" s="153">
        <v>13</v>
      </c>
      <c r="B14" s="154">
        <v>45769</v>
      </c>
      <c r="C14" s="187">
        <f>YEAR(PA_8[[#This Row],[Date]])+IF(MONTH(PA_8[[#This Row],[Date]])&gt;=4,1,0)</f>
        <v>2026</v>
      </c>
      <c r="D14" s="34">
        <f>YEAR(PA_8[[#This Row],[Date]])</f>
        <v>2025</v>
      </c>
      <c r="E14" s="155" t="s">
        <v>325</v>
      </c>
      <c r="F14" s="155" t="s">
        <v>325</v>
      </c>
      <c r="G14" s="175">
        <f>PA_8[[#This Row],[Date]]-DAY(PA_8[[#This Row],[Date]])+1</f>
        <v>45748</v>
      </c>
      <c r="H14" s="34">
        <f>DAY(EOMONTH(PA_8[[#This Row],[Month Year]],0))</f>
        <v>30</v>
      </c>
      <c r="I14" s="36">
        <f>IFERROR(_xlfn.XLOOKUP(PA_8[[#This Row],[Date]],Input_Raw!$A:$A,Input_Raw!F:F),"")</f>
        <v>0.26250000000000001</v>
      </c>
      <c r="J14" s="36">
        <f>IFERROR(_xlfn.XLOOKUP(PA_8[[#This Row],[Date]],Input_Raw!$A:$A,Input_Raw!G:G),"")</f>
        <v>0.7680555555555556</v>
      </c>
      <c r="K14" s="37">
        <f>IFERROR((PA_8[[#This Row],[Sunset Time (POA&lt;20 W/m2)]]-PA_8[[#This Row],[Sunrise Time (POA&gt;20 W/m2)]])*24,"")</f>
        <v>12.133333333333333</v>
      </c>
      <c r="L14" s="155" t="s">
        <v>409</v>
      </c>
      <c r="M14" s="35" t="s">
        <v>350</v>
      </c>
      <c r="N14" s="35"/>
      <c r="O14" s="38"/>
      <c r="P14" s="38"/>
      <c r="Q14" s="35"/>
      <c r="R14" s="34">
        <f>IF((PA_8[[#This Row],[String Type(If String BD)]]&amp;PA_8[[#This Row],[Equipment (If any BD other than PV  array and inv)]])="",1,0)</f>
        <v>1</v>
      </c>
      <c r="S14" s="34">
        <f>IF(PA_8[[#This Row],[String Type(If String BD)]]="",1,0)</f>
        <v>1</v>
      </c>
      <c r="T1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14" s="37">
        <f>IFERROR(_xlfn.XLOOKUP(PA_8[[#This Row],[Affected Equipment ]],'Basic Data'!$P:$P,'Basic Data'!$S:$S),"")</f>
        <v>2583.9</v>
      </c>
      <c r="V14" s="322">
        <f>IFERROR(_xlfn.XLOOKUP(PA_8[[#This Row],[Affected Equipment ]],'Basic Data'!$P:$P,'Basic Data'!$T:$T),"")</f>
        <v>2.1327225454995668E-2</v>
      </c>
      <c r="W14" s="306" t="s">
        <v>330</v>
      </c>
      <c r="X14" s="156" t="s">
        <v>1072</v>
      </c>
      <c r="Y14" s="307" t="s">
        <v>1085</v>
      </c>
      <c r="Z14" s="39">
        <v>0.41875000000000001</v>
      </c>
      <c r="AA14" s="39"/>
      <c r="AB14" s="40">
        <v>0.37708333333333333</v>
      </c>
      <c r="AC14" s="39">
        <v>0.41041666666666665</v>
      </c>
      <c r="AD14" s="41">
        <f>IF(PA_8[[#This Row],[Acknowledgement Time ]]="NA","",(PA_8[[#This Row],[Acknowledgement Time ]]-PA_8[[#This Row],[Fault Time]])*24)</f>
        <v>-10.050000000000001</v>
      </c>
      <c r="AE14" s="41">
        <f>IF(PA_8[[#This Row],[Work Start time on Fault]]="NA","",(PA_8[[#This Row],[Work Start time on Fault]]-PA_8[[#This Row],[Fault Time]])*24)</f>
        <v>-1.0000000000000004</v>
      </c>
      <c r="AF14" s="42">
        <f>IF(PA_8[[#This Row],[Status]]="Open","",(PA_8[[#This Row],[Work Completion time on fault]]-PA_8[[#This Row],[Fault Time]])*24)</f>
        <v>-0.20000000000000062</v>
      </c>
      <c r="AG14" s="41">
        <f>IFERROR((PA_8[[#This Row],[Work Completion time on fault]]-PA_8[[#This Row],[Fault Time]])*24,"")</f>
        <v>-0.20000000000000062</v>
      </c>
      <c r="AH14" s="307" t="s">
        <v>1086</v>
      </c>
      <c r="AI14" s="155" t="s">
        <v>368</v>
      </c>
      <c r="AJ14" s="37">
        <f>IFERROR(PA_8[[#This Row],[Breakdown Time]]*PA_8[[#This Row],[Plant Equivalent Weightage]],"")</f>
        <v>-4.2654450909991471E-3</v>
      </c>
      <c r="AK14" s="38">
        <v>3.83</v>
      </c>
      <c r="AL14" s="157">
        <f>U14*PA_8[[#This Row],[Lost PoA(Wh/m2)]]*81.6%</f>
        <v>8075.410992000001</v>
      </c>
      <c r="AM14" s="157"/>
    </row>
    <row r="15" spans="1:39">
      <c r="A15" s="153">
        <v>14</v>
      </c>
      <c r="B15" s="154">
        <v>45772</v>
      </c>
      <c r="C15" s="187">
        <f>YEAR(PA_8[[#This Row],[Date]])+IF(MONTH(PA_8[[#This Row],[Date]])&gt;=4,1,0)</f>
        <v>2026</v>
      </c>
      <c r="D15" s="34">
        <f>YEAR(PA_8[[#This Row],[Date]])</f>
        <v>2025</v>
      </c>
      <c r="E15" s="155" t="s">
        <v>325</v>
      </c>
      <c r="F15" s="155" t="s">
        <v>325</v>
      </c>
      <c r="G15" s="175">
        <f>PA_8[[#This Row],[Date]]-DAY(PA_8[[#This Row],[Date]])+1</f>
        <v>45748</v>
      </c>
      <c r="H15" s="34">
        <f>DAY(EOMONTH(PA_8[[#This Row],[Month Year]],0))</f>
        <v>30</v>
      </c>
      <c r="I15" s="36">
        <f>IFERROR(_xlfn.XLOOKUP(PA_8[[#This Row],[Date]],Input_Raw!$A:$A,Input_Raw!F:F),"")</f>
        <v>0.26250000000000001</v>
      </c>
      <c r="J15" s="36">
        <f>IFERROR(_xlfn.XLOOKUP(PA_8[[#This Row],[Date]],Input_Raw!$A:$A,Input_Raw!G:G),"")</f>
        <v>0.76597222222222228</v>
      </c>
      <c r="K15" s="37">
        <f>IFERROR((PA_8[[#This Row],[Sunset Time (POA&lt;20 W/m2)]]-PA_8[[#This Row],[Sunrise Time (POA&gt;20 W/m2)]])*24,"")</f>
        <v>12.083333333333336</v>
      </c>
      <c r="L15" s="155" t="s">
        <v>409</v>
      </c>
      <c r="M15" s="35" t="s">
        <v>350</v>
      </c>
      <c r="N15" s="35"/>
      <c r="O15" s="38"/>
      <c r="P15" s="38"/>
      <c r="Q15" s="35"/>
      <c r="R15" s="34">
        <f>IF((PA_8[[#This Row],[String Type(If String BD)]]&amp;PA_8[[#This Row],[Equipment (If any BD other than PV  array and inv)]])="",1,0)</f>
        <v>1</v>
      </c>
      <c r="S15" s="34">
        <f>IF(PA_8[[#This Row],[String Type(If String BD)]]="",1,0)</f>
        <v>1</v>
      </c>
      <c r="T1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15" s="37">
        <f>IFERROR(_xlfn.XLOOKUP(PA_8[[#This Row],[Affected Equipment ]],'Basic Data'!$P:$P,'Basic Data'!$S:$S),"")</f>
        <v>2583.9</v>
      </c>
      <c r="V15" s="322">
        <f>IFERROR(_xlfn.XLOOKUP(PA_8[[#This Row],[Affected Equipment ]],'Basic Data'!$P:$P,'Basic Data'!$T:$T),"")</f>
        <v>2.1327225454995668E-2</v>
      </c>
      <c r="W15" s="306" t="s">
        <v>330</v>
      </c>
      <c r="X15" s="156" t="s">
        <v>1072</v>
      </c>
      <c r="Y15" s="156" t="s">
        <v>1080</v>
      </c>
      <c r="Z15" s="39">
        <v>0.33541666666666664</v>
      </c>
      <c r="AA15" s="39"/>
      <c r="AB15" s="40">
        <v>0.35416666666666669</v>
      </c>
      <c r="AC15" s="39">
        <v>0.40208333333333335</v>
      </c>
      <c r="AD15" s="41">
        <f>IF(PA_8[[#This Row],[Acknowledgement Time ]]="NA","",(PA_8[[#This Row],[Acknowledgement Time ]]-PA_8[[#This Row],[Fault Time]])*24)</f>
        <v>-8.0499999999999989</v>
      </c>
      <c r="AE15" s="41">
        <f>IF(PA_8[[#This Row],[Work Start time on Fault]]="NA","",(PA_8[[#This Row],[Work Start time on Fault]]-PA_8[[#This Row],[Fault Time]])*24)</f>
        <v>0.45000000000000107</v>
      </c>
      <c r="AF15" s="42">
        <f>IF(PA_8[[#This Row],[Status]]="Open","",(PA_8[[#This Row],[Work Completion time on fault]]-PA_8[[#This Row],[Fault Time]])*24)</f>
        <v>1.600000000000001</v>
      </c>
      <c r="AG15" s="41">
        <f>IFERROR((PA_8[[#This Row],[Work Completion time on fault]]-PA_8[[#This Row],[Fault Time]])*24,"")</f>
        <v>1.600000000000001</v>
      </c>
      <c r="AH15" s="307" t="s">
        <v>1086</v>
      </c>
      <c r="AI15" s="155"/>
      <c r="AJ15" s="37">
        <f>IFERROR(PA_8[[#This Row],[Breakdown Time]]*PA_8[[#This Row],[Plant Equivalent Weightage]],"")</f>
        <v>3.4123560727993087E-2</v>
      </c>
      <c r="AK15" s="38">
        <v>0.8407</v>
      </c>
      <c r="AL15" s="157">
        <f>U15*PA_8[[#This Row],[Lost PoA(Wh/m2)]]*81.6%</f>
        <v>1772.5843396800001</v>
      </c>
      <c r="AM15" s="157"/>
    </row>
    <row r="16" spans="1:39">
      <c r="A16" s="153">
        <v>15</v>
      </c>
      <c r="B16" s="154">
        <v>45772</v>
      </c>
      <c r="C16" s="187">
        <f>YEAR(PA_8[[#This Row],[Date]])+IF(MONTH(PA_8[[#This Row],[Date]])&gt;=4,1,0)</f>
        <v>2026</v>
      </c>
      <c r="D16" s="34">
        <f>YEAR(PA_8[[#This Row],[Date]])</f>
        <v>2025</v>
      </c>
      <c r="E16" s="155" t="s">
        <v>325</v>
      </c>
      <c r="F16" s="155" t="s">
        <v>325</v>
      </c>
      <c r="G16" s="175">
        <f>PA_8[[#This Row],[Date]]-DAY(PA_8[[#This Row],[Date]])+1</f>
        <v>45748</v>
      </c>
      <c r="H16" s="34">
        <f>DAY(EOMONTH(PA_8[[#This Row],[Month Year]],0))</f>
        <v>30</v>
      </c>
      <c r="I16" s="36">
        <f>IFERROR(_xlfn.XLOOKUP(PA_8[[#This Row],[Date]],Input_Raw!$A:$A,Input_Raw!F:F),"")</f>
        <v>0.26250000000000001</v>
      </c>
      <c r="J16" s="36">
        <f>IFERROR(_xlfn.XLOOKUP(PA_8[[#This Row],[Date]],Input_Raw!$A:$A,Input_Raw!G:G),"")</f>
        <v>0.76597222222222228</v>
      </c>
      <c r="K16" s="37">
        <f>IFERROR((PA_8[[#This Row],[Sunset Time (POA&lt;20 W/m2)]]-PA_8[[#This Row],[Sunrise Time (POA&gt;20 W/m2)]])*24,"")</f>
        <v>12.083333333333336</v>
      </c>
      <c r="L16" s="155" t="s">
        <v>376</v>
      </c>
      <c r="M16" s="35" t="s">
        <v>377</v>
      </c>
      <c r="N16" s="35"/>
      <c r="O16" s="38"/>
      <c r="P16" s="38"/>
      <c r="Q16" s="35"/>
      <c r="R16" s="34">
        <f>IF((PA_8[[#This Row],[String Type(If String BD)]]&amp;PA_8[[#This Row],[Equipment (If any BD other than PV  array and inv)]])="",1,0)</f>
        <v>1</v>
      </c>
      <c r="S16" s="34">
        <f>IF(PA_8[[#This Row],[String Type(If String BD)]]="",1,0)</f>
        <v>1</v>
      </c>
      <c r="T1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IS4Inv4</v>
      </c>
      <c r="U16" s="37">
        <f>IFERROR(_xlfn.XLOOKUP(PA_8[[#This Row],[Affected Equipment ]],'Basic Data'!$P:$P,'Basic Data'!$S:$S),"")</f>
        <v>4393.7900000000009</v>
      </c>
      <c r="V16" s="322">
        <f>IFERROR(_xlfn.XLOOKUP(PA_8[[#This Row],[Affected Equipment ]],'Basic Data'!$P:$P,'Basic Data'!$T:$T),"")</f>
        <v>3.6265857785481415E-2</v>
      </c>
      <c r="W16" s="306" t="s">
        <v>330</v>
      </c>
      <c r="X16" s="156" t="s">
        <v>1082</v>
      </c>
      <c r="Y16" s="307" t="s">
        <v>1083</v>
      </c>
      <c r="Z16" s="40">
        <v>0.62152777777777779</v>
      </c>
      <c r="AA16" s="39"/>
      <c r="AB16" s="40">
        <v>0.62430555555555556</v>
      </c>
      <c r="AC16" s="39">
        <v>0.63055555555555554</v>
      </c>
      <c r="AD16" s="41">
        <f>IF(PA_8[[#This Row],[Acknowledgement Time ]]="NA","",(PA_8[[#This Row],[Acknowledgement Time ]]-PA_8[[#This Row],[Fault Time]])*24)</f>
        <v>-14.916666666666668</v>
      </c>
      <c r="AE16" s="41">
        <f>IF(PA_8[[#This Row],[Work Start time on Fault]]="NA","",(PA_8[[#This Row],[Work Start time on Fault]]-PA_8[[#This Row],[Fault Time]])*24)</f>
        <v>6.666666666666643E-2</v>
      </c>
      <c r="AF16" s="42">
        <f>IF(PA_8[[#This Row],[Status]]="Open","",(PA_8[[#This Row],[Work Completion time on fault]]-PA_8[[#This Row],[Fault Time]])*24)</f>
        <v>0.2166666666666659</v>
      </c>
      <c r="AG16" s="41">
        <f>IFERROR((PA_8[[#This Row],[Work Completion time on fault]]-PA_8[[#This Row],[Fault Time]])*24,"")</f>
        <v>0.2166666666666659</v>
      </c>
      <c r="AH16" s="307" t="s">
        <v>1084</v>
      </c>
      <c r="AI16" s="155"/>
      <c r="AJ16" s="37">
        <f>IFERROR(PA_8[[#This Row],[Breakdown Time]]*PA_8[[#This Row],[Plant Equivalent Weightage]],"")</f>
        <v>7.8576025201876117E-3</v>
      </c>
      <c r="AK16" s="38">
        <v>0.16489999999999999</v>
      </c>
      <c r="AL16" s="157">
        <f>U16*PA_8[[#This Row],[Lost PoA(Wh/m2)]]*81.6%</f>
        <v>591.22135233600011</v>
      </c>
      <c r="AM16" s="157"/>
    </row>
    <row r="17" spans="1:39">
      <c r="A17" s="153">
        <v>16</v>
      </c>
      <c r="B17" s="154">
        <v>45775</v>
      </c>
      <c r="C17" s="187">
        <f>YEAR(PA_8[[#This Row],[Date]])+IF(MONTH(PA_8[[#This Row],[Date]])&gt;=4,1,0)</f>
        <v>2026</v>
      </c>
      <c r="D17" s="34">
        <f>YEAR(PA_8[[#This Row],[Date]])</f>
        <v>2025</v>
      </c>
      <c r="E17" s="155" t="s">
        <v>325</v>
      </c>
      <c r="F17" s="155" t="s">
        <v>325</v>
      </c>
      <c r="G17" s="175">
        <f>PA_8[[#This Row],[Date]]-DAY(PA_8[[#This Row],[Date]])+1</f>
        <v>45748</v>
      </c>
      <c r="H17" s="34">
        <f>DAY(EOMONTH(PA_8[[#This Row],[Month Year]],0))</f>
        <v>30</v>
      </c>
      <c r="I17" s="36">
        <f>IFERROR(_xlfn.XLOOKUP(PA_8[[#This Row],[Date]],Input_Raw!$A:$A,Input_Raw!F:F),"")</f>
        <v>0.26180555555555557</v>
      </c>
      <c r="J17" s="36">
        <f>IFERROR(_xlfn.XLOOKUP(PA_8[[#This Row],[Date]],Input_Raw!$A:$A,Input_Raw!G:G),"")</f>
        <v>0.76875000000000004</v>
      </c>
      <c r="K17" s="37">
        <f>IFERROR((PA_8[[#This Row],[Sunset Time (POA&lt;20 W/m2)]]-PA_8[[#This Row],[Sunrise Time (POA&gt;20 W/m2)]])*24,"")</f>
        <v>12.166666666666666</v>
      </c>
      <c r="L17" s="155" t="s">
        <v>409</v>
      </c>
      <c r="M17" s="35" t="s">
        <v>370</v>
      </c>
      <c r="N17" s="35"/>
      <c r="O17" s="38"/>
      <c r="P17" s="38"/>
      <c r="Q17" s="35"/>
      <c r="R17" s="34">
        <f>IF((PA_8[[#This Row],[String Type(If String BD)]]&amp;PA_8[[#This Row],[Equipment (If any BD other than PV  array and inv)]])="",1,0)</f>
        <v>1</v>
      </c>
      <c r="S17" s="34">
        <f>IF(PA_8[[#This Row],[String Type(If String BD)]]="",1,0)</f>
        <v>1</v>
      </c>
      <c r="T1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17" s="37">
        <f>IFERROR(_xlfn.XLOOKUP(PA_8[[#This Row],[Affected Equipment ]],'Basic Data'!$P:$P,'Basic Data'!$S:$S),"")</f>
        <v>3030.5</v>
      </c>
      <c r="V17" s="322">
        <f>IFERROR(_xlfn.XLOOKUP(PA_8[[#This Row],[Affected Equipment ]],'Basic Data'!$P:$P,'Basic Data'!$T:$T),"")</f>
        <v>2.501341257067393E-2</v>
      </c>
      <c r="W17" s="306" t="s">
        <v>330</v>
      </c>
      <c r="X17" s="156" t="s">
        <v>1087</v>
      </c>
      <c r="Y17" s="307" t="s">
        <v>1088</v>
      </c>
      <c r="Z17" s="39">
        <v>0.27083333333333331</v>
      </c>
      <c r="AA17" s="39"/>
      <c r="AB17" s="40">
        <v>0.2986111111111111</v>
      </c>
      <c r="AC17" s="39">
        <v>0.37986111111111109</v>
      </c>
      <c r="AD17" s="41">
        <f>IF(PA_8[[#This Row],[Acknowledgement Time ]]="NA","",(PA_8[[#This Row],[Acknowledgement Time ]]-PA_8[[#This Row],[Fault Time]])*24)</f>
        <v>-6.5</v>
      </c>
      <c r="AE17" s="41">
        <f>IF(PA_8[[#This Row],[Work Start time on Fault]]="NA","",(PA_8[[#This Row],[Work Start time on Fault]]-PA_8[[#This Row],[Fault Time]])*24)</f>
        <v>0.66666666666666696</v>
      </c>
      <c r="AF17" s="42">
        <f>IF(PA_8[[#This Row],[Status]]="Open","",(PA_8[[#This Row],[Work Completion time on fault]]-PA_8[[#This Row],[Fault Time]])*24)</f>
        <v>2.6166666666666667</v>
      </c>
      <c r="AG17" s="41">
        <f>IFERROR((PA_8[[#This Row],[Work Completion time on fault]]-PA_8[[#This Row],[Fault Time]])*24,"")</f>
        <v>2.6166666666666667</v>
      </c>
      <c r="AH17" s="307" t="s">
        <v>1089</v>
      </c>
      <c r="AI17" s="155"/>
      <c r="AJ17" s="37">
        <f>IFERROR(PA_8[[#This Row],[Breakdown Time]]*PA_8[[#This Row],[Plant Equivalent Weightage]],"")</f>
        <v>6.5451762893263446E-2</v>
      </c>
      <c r="AK17" s="38">
        <v>0.88800000000000001</v>
      </c>
      <c r="AL17" s="157">
        <f>U17*PA_8[[#This Row],[Lost PoA(Wh/m2)]]*81.6%</f>
        <v>2195.9245439999995</v>
      </c>
      <c r="AM17" s="157"/>
    </row>
    <row r="18" spans="1:39">
      <c r="A18" s="153">
        <v>17</v>
      </c>
      <c r="B18" s="154">
        <v>45776</v>
      </c>
      <c r="C18" s="187">
        <f>YEAR(PA_8[[#This Row],[Date]])+IF(MONTH(PA_8[[#This Row],[Date]])&gt;=4,1,0)</f>
        <v>2026</v>
      </c>
      <c r="D18" s="34">
        <f>YEAR(PA_8[[#This Row],[Date]])</f>
        <v>2025</v>
      </c>
      <c r="E18" s="155" t="s">
        <v>325</v>
      </c>
      <c r="F18" s="155" t="s">
        <v>325</v>
      </c>
      <c r="G18" s="175">
        <f>PA_8[[#This Row],[Date]]-DAY(PA_8[[#This Row],[Date]])+1</f>
        <v>45748</v>
      </c>
      <c r="H18" s="34">
        <f>DAY(EOMONTH(PA_8[[#This Row],[Month Year]],0))</f>
        <v>30</v>
      </c>
      <c r="I18" s="36">
        <f>IFERROR(_xlfn.XLOOKUP(PA_8[[#This Row],[Date]],Input_Raw!$A:$A,Input_Raw!F:F),"")</f>
        <v>0.25972222222222224</v>
      </c>
      <c r="J18" s="36">
        <f>IFERROR(_xlfn.XLOOKUP(PA_8[[#This Row],[Date]],Input_Raw!$A:$A,Input_Raw!G:G),"")</f>
        <v>0.7680555555555556</v>
      </c>
      <c r="K18" s="37">
        <f>IFERROR((PA_8[[#This Row],[Sunset Time (POA&lt;20 W/m2)]]-PA_8[[#This Row],[Sunrise Time (POA&gt;20 W/m2)]])*24,"")</f>
        <v>12.2</v>
      </c>
      <c r="L18" s="155" t="s">
        <v>361</v>
      </c>
      <c r="M18" s="35"/>
      <c r="N18" s="35"/>
      <c r="O18" s="38"/>
      <c r="P18" s="38"/>
      <c r="Q18" s="35" t="s">
        <v>354</v>
      </c>
      <c r="R18" s="34">
        <f>IF((PA_8[[#This Row],[String Type(If String BD)]]&amp;PA_8[[#This Row],[Equipment (If any BD other than PV  array and inv)]])="",1,0)</f>
        <v>0</v>
      </c>
      <c r="S18" s="34">
        <f>IF(PA_8[[#This Row],[String Type(If String BD)]]="",1,0)</f>
        <v>1</v>
      </c>
      <c r="T1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IS2Tx</v>
      </c>
      <c r="U18" s="37">
        <f>IFERROR(_xlfn.XLOOKUP(PA_8[[#This Row],[Affected Equipment ]],'Basic Data'!$P:$P,'Basic Data'!$S:$S),"")</f>
        <v>12507.174999999997</v>
      </c>
      <c r="V18" s="322">
        <f>IFERROR(_xlfn.XLOOKUP(PA_8[[#This Row],[Affected Equipment ]],'Basic Data'!$P:$P,'Basic Data'!$T:$T),"")</f>
        <v>0.10323284222689941</v>
      </c>
      <c r="W18" s="306" t="s">
        <v>392</v>
      </c>
      <c r="X18" s="156" t="s">
        <v>1090</v>
      </c>
      <c r="Y18" s="307" t="s">
        <v>1091</v>
      </c>
      <c r="Z18" s="39">
        <v>0.52222222222222225</v>
      </c>
      <c r="AA18" s="39"/>
      <c r="AB18" s="39">
        <v>0.52222222222222225</v>
      </c>
      <c r="AC18" s="39">
        <v>0.53402777777777777</v>
      </c>
      <c r="AD18" s="41">
        <f>IF(PA_8[[#This Row],[Acknowledgement Time ]]="NA","",(PA_8[[#This Row],[Acknowledgement Time ]]-PA_8[[#This Row],[Fault Time]])*24)</f>
        <v>-12.533333333333335</v>
      </c>
      <c r="AE18" s="41">
        <f>IF(PA_8[[#This Row],[Work Start time on Fault]]="NA","",(PA_8[[#This Row],[Work Start time on Fault]]-PA_8[[#This Row],[Fault Time]])*24)</f>
        <v>0</v>
      </c>
      <c r="AF18" s="42">
        <f>IF(PA_8[[#This Row],[Status]]="Open","",(PA_8[[#This Row],[Work Completion time on fault]]-PA_8[[#This Row],[Fault Time]])*24)</f>
        <v>0.28333333333333233</v>
      </c>
      <c r="AG18" s="41">
        <f>IFERROR((PA_8[[#This Row],[Work Completion time on fault]]-PA_8[[#This Row],[Fault Time]])*24,"")</f>
        <v>0.28333333333333233</v>
      </c>
      <c r="AH18" s="307" t="s">
        <v>1092</v>
      </c>
      <c r="AI18" s="155" t="s">
        <v>368</v>
      </c>
      <c r="AJ18" s="37">
        <f>IFERROR(PA_8[[#This Row],[Breakdown Time]]*PA_8[[#This Row],[Plant Equivalent Weightage]],"")</f>
        <v>2.9249305297621396E-2</v>
      </c>
      <c r="AK18" s="38">
        <v>0.2974</v>
      </c>
      <c r="AL18" s="157">
        <f>U18*PA_8[[#This Row],[Lost PoA(Wh/m2)]]*81.6%</f>
        <v>3035.2212175199993</v>
      </c>
      <c r="AM18" s="157"/>
    </row>
    <row r="19" spans="1:39">
      <c r="A19" s="153">
        <v>18</v>
      </c>
      <c r="B19" s="154">
        <v>45776</v>
      </c>
      <c r="C19" s="187">
        <f>YEAR(PA_8[[#This Row],[Date]])+IF(MONTH(PA_8[[#This Row],[Date]])&gt;=4,1,0)</f>
        <v>2026</v>
      </c>
      <c r="D19" s="34">
        <f>YEAR(PA_8[[#This Row],[Date]])</f>
        <v>2025</v>
      </c>
      <c r="E19" s="155" t="s">
        <v>325</v>
      </c>
      <c r="F19" s="155" t="s">
        <v>325</v>
      </c>
      <c r="G19" s="175">
        <f>PA_8[[#This Row],[Date]]-DAY(PA_8[[#This Row],[Date]])+1</f>
        <v>45748</v>
      </c>
      <c r="H19" s="34">
        <f>DAY(EOMONTH(PA_8[[#This Row],[Month Year]],0))</f>
        <v>30</v>
      </c>
      <c r="I19" s="36">
        <f>IFERROR(_xlfn.XLOOKUP(PA_8[[#This Row],[Date]],Input_Raw!$A:$A,Input_Raw!F:F),"")</f>
        <v>0.25972222222222224</v>
      </c>
      <c r="J19" s="36">
        <f>IFERROR(_xlfn.XLOOKUP(PA_8[[#This Row],[Date]],Input_Raw!$A:$A,Input_Raw!G:G),"")</f>
        <v>0.7680555555555556</v>
      </c>
      <c r="K19" s="37">
        <f>IFERROR((PA_8[[#This Row],[Sunset Time (POA&lt;20 W/m2)]]-PA_8[[#This Row],[Sunrise Time (POA&gt;20 W/m2)]])*24,"")</f>
        <v>12.2</v>
      </c>
      <c r="L19" s="155" t="s">
        <v>369</v>
      </c>
      <c r="M19" s="35"/>
      <c r="N19" s="35"/>
      <c r="O19" s="38"/>
      <c r="P19" s="38"/>
      <c r="Q19" s="35" t="s">
        <v>354</v>
      </c>
      <c r="R19" s="34">
        <f>IF((PA_8[[#This Row],[String Type(If String BD)]]&amp;PA_8[[#This Row],[Equipment (If any BD other than PV  array and inv)]])="",1,0)</f>
        <v>0</v>
      </c>
      <c r="S19" s="34">
        <f>IF(PA_8[[#This Row],[String Type(If String BD)]]="",1,0)</f>
        <v>1</v>
      </c>
      <c r="T1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IS3Tx</v>
      </c>
      <c r="U19" s="37">
        <f>IFERROR(_xlfn.XLOOKUP(PA_8[[#This Row],[Affected Equipment ]],'Basic Data'!$P:$P,'Basic Data'!$S:$S),"")</f>
        <v>8911.4500000000007</v>
      </c>
      <c r="V19" s="322">
        <f>IFERROR(_xlfn.XLOOKUP(PA_8[[#This Row],[Affected Equipment ]],'Basic Data'!$P:$P,'Basic Data'!$T:$T),"")</f>
        <v>7.3554124881350338E-2</v>
      </c>
      <c r="W19" s="306" t="s">
        <v>392</v>
      </c>
      <c r="X19" s="156" t="s">
        <v>1090</v>
      </c>
      <c r="Y19" s="307" t="s">
        <v>1091</v>
      </c>
      <c r="Z19" s="39">
        <v>0.5493055555555556</v>
      </c>
      <c r="AA19" s="39"/>
      <c r="AB19" s="39">
        <v>0.5493055555555556</v>
      </c>
      <c r="AC19" s="39">
        <v>0.55972222222222223</v>
      </c>
      <c r="AD19" s="41">
        <f>IF(PA_8[[#This Row],[Acknowledgement Time ]]="NA","",(PA_8[[#This Row],[Acknowledgement Time ]]-PA_8[[#This Row],[Fault Time]])*24)</f>
        <v>-13.183333333333334</v>
      </c>
      <c r="AE19" s="41">
        <f>IF(PA_8[[#This Row],[Work Start time on Fault]]="NA","",(PA_8[[#This Row],[Work Start time on Fault]]-PA_8[[#This Row],[Fault Time]])*24)</f>
        <v>0</v>
      </c>
      <c r="AF19" s="42">
        <f>IF(PA_8[[#This Row],[Status]]="Open","",(PA_8[[#This Row],[Work Completion time on fault]]-PA_8[[#This Row],[Fault Time]])*24)</f>
        <v>0.24999999999999911</v>
      </c>
      <c r="AG19" s="41">
        <f>IFERROR((PA_8[[#This Row],[Work Completion time on fault]]-PA_8[[#This Row],[Fault Time]])*24,"")</f>
        <v>0.24999999999999911</v>
      </c>
      <c r="AH19" s="307" t="s">
        <v>1092</v>
      </c>
      <c r="AI19" s="155" t="s">
        <v>368</v>
      </c>
      <c r="AJ19" s="37">
        <f>IFERROR(PA_8[[#This Row],[Breakdown Time]]*PA_8[[#This Row],[Plant Equivalent Weightage]],"")</f>
        <v>1.8388531220337519E-2</v>
      </c>
      <c r="AK19" s="38">
        <v>0.25650000000000001</v>
      </c>
      <c r="AL19" s="157">
        <f>U19*PA_8[[#This Row],[Lost PoA(Wh/m2)]]*81.6%</f>
        <v>1865.2021308000001</v>
      </c>
      <c r="AM19" s="157"/>
    </row>
    <row r="20" spans="1:39">
      <c r="A20" s="153">
        <v>19</v>
      </c>
      <c r="B20" s="154">
        <v>45777</v>
      </c>
      <c r="C20" s="187">
        <f>YEAR(PA_8[[#This Row],[Date]])+IF(MONTH(PA_8[[#This Row],[Date]])&gt;=4,1,0)</f>
        <v>2026</v>
      </c>
      <c r="D20" s="34">
        <f>YEAR(PA_8[[#This Row],[Date]])</f>
        <v>2025</v>
      </c>
      <c r="E20" s="155" t="s">
        <v>325</v>
      </c>
      <c r="F20" s="155" t="s">
        <v>325</v>
      </c>
      <c r="G20" s="175">
        <f>PA_8[[#This Row],[Date]]-DAY(PA_8[[#This Row],[Date]])+1</f>
        <v>45748</v>
      </c>
      <c r="H20" s="34">
        <f>DAY(EOMONTH(PA_8[[#This Row],[Month Year]],0))</f>
        <v>30</v>
      </c>
      <c r="I20" s="36">
        <f>IFERROR(_xlfn.XLOOKUP(PA_8[[#This Row],[Date]],Input_Raw!$A:$A,Input_Raw!F:F),"")</f>
        <v>0.2590277777777778</v>
      </c>
      <c r="J20" s="36">
        <f>IFERROR(_xlfn.XLOOKUP(PA_8[[#This Row],[Date]],Input_Raw!$A:$A,Input_Raw!G:G),"")</f>
        <v>0.77361111111111114</v>
      </c>
      <c r="K20" s="37">
        <f>IFERROR((PA_8[[#This Row],[Sunset Time (POA&lt;20 W/m2)]]-PA_8[[#This Row],[Sunrise Time (POA&gt;20 W/m2)]])*24,"")</f>
        <v>12.350000000000001</v>
      </c>
      <c r="L20" s="155" t="s">
        <v>382</v>
      </c>
      <c r="M20" s="35"/>
      <c r="N20" s="35"/>
      <c r="O20" s="38"/>
      <c r="P20" s="38"/>
      <c r="Q20" s="35" t="s">
        <v>354</v>
      </c>
      <c r="R20" s="34">
        <f>IF((PA_8[[#This Row],[String Type(If String BD)]]&amp;PA_8[[#This Row],[Equipment (If any BD other than PV  array and inv)]])="",1,0)</f>
        <v>0</v>
      </c>
      <c r="S20" s="34">
        <f>IF(PA_8[[#This Row],[String Type(If String BD)]]="",1,0)</f>
        <v>1</v>
      </c>
      <c r="T2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IS5Tx</v>
      </c>
      <c r="U20" s="37">
        <f>IFERROR(_xlfn.XLOOKUP(PA_8[[#This Row],[Affected Equipment ]],'Basic Data'!$P:$P,'Basic Data'!$S:$S),"")</f>
        <v>7416.7000000000007</v>
      </c>
      <c r="V20" s="322">
        <f>IFERROR(_xlfn.XLOOKUP(PA_8[[#This Row],[Affected Equipment ]],'Basic Data'!$P:$P,'Basic Data'!$T:$T),"")</f>
        <v>6.1216623333746036E-2</v>
      </c>
      <c r="W20" s="306" t="s">
        <v>392</v>
      </c>
      <c r="X20" s="156" t="s">
        <v>1090</v>
      </c>
      <c r="Y20" s="307" t="s">
        <v>1091</v>
      </c>
      <c r="Z20" s="39">
        <v>0.54097222222222219</v>
      </c>
      <c r="AA20" s="39"/>
      <c r="AB20" s="39">
        <v>0.54097222222222219</v>
      </c>
      <c r="AC20" s="39">
        <v>0.56597222222222221</v>
      </c>
      <c r="AD20" s="41">
        <f>IF(PA_8[[#This Row],[Acknowledgement Time ]]="NA","",(PA_8[[#This Row],[Acknowledgement Time ]]-PA_8[[#This Row],[Fault Time]])*24)</f>
        <v>-12.983333333333333</v>
      </c>
      <c r="AE20" s="41">
        <f>IF(PA_8[[#This Row],[Work Start time on Fault]]="NA","",(PA_8[[#This Row],[Work Start time on Fault]]-PA_8[[#This Row],[Fault Time]])*24)</f>
        <v>0</v>
      </c>
      <c r="AF20" s="42">
        <f>IF(PA_8[[#This Row],[Status]]="Open","",(PA_8[[#This Row],[Work Completion time on fault]]-PA_8[[#This Row],[Fault Time]])*24)</f>
        <v>0.60000000000000053</v>
      </c>
      <c r="AG20" s="41">
        <f>IFERROR((PA_8[[#This Row],[Work Completion time on fault]]-PA_8[[#This Row],[Fault Time]])*24,"")</f>
        <v>0.60000000000000053</v>
      </c>
      <c r="AH20" s="307" t="s">
        <v>1092</v>
      </c>
      <c r="AI20" s="155" t="s">
        <v>368</v>
      </c>
      <c r="AJ20" s="37">
        <f>IFERROR(PA_8[[#This Row],[Breakdown Time]]*PA_8[[#This Row],[Plant Equivalent Weightage]],"")</f>
        <v>3.6729974000247655E-2</v>
      </c>
      <c r="AK20" s="38">
        <v>0.60880000000000001</v>
      </c>
      <c r="AL20" s="157">
        <f>U20*PA_8[[#This Row],[Lost PoA(Wh/m2)]]*81.6%</f>
        <v>3684.4741593600002</v>
      </c>
      <c r="AM20" s="157"/>
    </row>
    <row r="21" spans="1:39">
      <c r="A21" s="153">
        <v>20</v>
      </c>
      <c r="B21" s="154">
        <v>45778</v>
      </c>
      <c r="C21" s="187">
        <f>YEAR(PA_8[[#This Row],[Date]])+IF(MONTH(PA_8[[#This Row],[Date]])&gt;=4,1,0)</f>
        <v>2026</v>
      </c>
      <c r="D21" s="34">
        <f>YEAR(PA_8[[#This Row],[Date]])</f>
        <v>2025</v>
      </c>
      <c r="E21" s="155" t="s">
        <v>325</v>
      </c>
      <c r="F21" s="155" t="s">
        <v>325</v>
      </c>
      <c r="G21" s="175">
        <f>PA_8[[#This Row],[Date]]-DAY(PA_8[[#This Row],[Date]])+1</f>
        <v>45778</v>
      </c>
      <c r="H21" s="34">
        <f>DAY(EOMONTH(PA_8[[#This Row],[Month Year]],0))</f>
        <v>31</v>
      </c>
      <c r="I21" s="36">
        <f>IFERROR(_xlfn.XLOOKUP(PA_8[[#This Row],[Date]],Input_Raw!$A:$A,Input_Raw!F:F),"")</f>
        <v>0.25972222222222224</v>
      </c>
      <c r="J21" s="36">
        <f>IFERROR(_xlfn.XLOOKUP(PA_8[[#This Row],[Date]],Input_Raw!$A:$A,Input_Raw!G:G),"")</f>
        <v>0.77013888888888893</v>
      </c>
      <c r="K21" s="37">
        <f>IFERROR((PA_8[[#This Row],[Sunset Time (POA&lt;20 W/m2)]]-PA_8[[#This Row],[Sunrise Time (POA&gt;20 W/m2)]])*24,"")</f>
        <v>12.250000000000002</v>
      </c>
      <c r="L21" s="155" t="s">
        <v>409</v>
      </c>
      <c r="M21" s="35" t="s">
        <v>1093</v>
      </c>
      <c r="N21" s="35" t="s">
        <v>351</v>
      </c>
      <c r="O21" s="38" t="s">
        <v>384</v>
      </c>
      <c r="P21" s="38" t="s">
        <v>380</v>
      </c>
      <c r="Q21" s="35" t="s">
        <v>396</v>
      </c>
      <c r="R21" s="34">
        <f>IF((PA_8[[#This Row],[String Type(If String BD)]]&amp;PA_8[[#This Row],[Equipment (If any BD other than PV  array and inv)]])="",1,0)</f>
        <v>0</v>
      </c>
      <c r="S21" s="34">
        <f>IF(PA_8[[#This Row],[String Type(If String BD)]]="",1,0)</f>
        <v>0</v>
      </c>
      <c r="T2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Str_Typ4(540*58)</v>
      </c>
      <c r="U21" s="37">
        <f>IFERROR(_xlfn.XLOOKUP(PA_8[[#This Row],[Affected Equipment ]],'Basic Data'!$P:$P,'Basic Data'!$S:$S),"")</f>
        <v>31.32</v>
      </c>
      <c r="V21" s="322">
        <f>IFERROR(_xlfn.XLOOKUP(PA_8[[#This Row],[Affected Equipment ]],'Basic Data'!$P:$P,'Basic Data'!$T:$T),"")</f>
        <v>2.5851182369691716E-4</v>
      </c>
      <c r="W21" s="306" t="s">
        <v>1095</v>
      </c>
      <c r="X21" s="156" t="s">
        <v>1096</v>
      </c>
      <c r="Y21" s="307" t="s">
        <v>1097</v>
      </c>
      <c r="Z21" s="39">
        <v>0.61111111111111116</v>
      </c>
      <c r="AA21" s="39"/>
      <c r="AB21" s="40">
        <v>0.73958333333333337</v>
      </c>
      <c r="AC21" s="39">
        <v>0.77083333333333337</v>
      </c>
      <c r="AD21" s="41">
        <f>IF(PA_8[[#This Row],[Acknowledgement Time ]]="NA","",(PA_8[[#This Row],[Acknowledgement Time ]]-PA_8[[#This Row],[Fault Time]])*24)</f>
        <v>-14.666666666666668</v>
      </c>
      <c r="AE21" s="41">
        <f>IF(PA_8[[#This Row],[Work Start time on Fault]]="NA","",(PA_8[[#This Row],[Work Start time on Fault]]-PA_8[[#This Row],[Fault Time]])*24)</f>
        <v>3.083333333333333</v>
      </c>
      <c r="AF21" s="42">
        <f>IF(PA_8[[#This Row],[Status]]="Open","",(PA_8[[#This Row],[Work Completion time on fault]]-PA_8[[#This Row],[Fault Time]])*24)</f>
        <v>3.833333333333333</v>
      </c>
      <c r="AG21" s="41">
        <f>IFERROR((PA_8[[#This Row],[Work Completion time on fault]]-PA_8[[#This Row],[Fault Time]])*24,"")</f>
        <v>3.833333333333333</v>
      </c>
      <c r="AH21" s="327" t="s">
        <v>1292</v>
      </c>
      <c r="AI21" s="155" t="s">
        <v>368</v>
      </c>
      <c r="AJ21" s="37">
        <f>IFERROR(PA_8[[#This Row],[Breakdown Time]]*PA_8[[#This Row],[Plant Equivalent Weightage]],"")</f>
        <v>9.9096199083818239E-4</v>
      </c>
      <c r="AK21" s="38">
        <v>1.23</v>
      </c>
      <c r="AL21" s="157">
        <f>U21*PA_8[[#This Row],[Lost PoA(Wh/m2)]]*81.6%</f>
        <v>31.4352576</v>
      </c>
      <c r="AM21" s="157"/>
    </row>
    <row r="22" spans="1:39">
      <c r="A22" s="153">
        <v>21</v>
      </c>
      <c r="B22" s="154">
        <v>45780</v>
      </c>
      <c r="C22" s="187">
        <f>YEAR(PA_8[[#This Row],[Date]])+IF(MONTH(PA_8[[#This Row],[Date]])&gt;=4,1,0)</f>
        <v>2026</v>
      </c>
      <c r="D22" s="34">
        <f>YEAR(PA_8[[#This Row],[Date]])</f>
        <v>2025</v>
      </c>
      <c r="E22" s="155" t="s">
        <v>325</v>
      </c>
      <c r="F22" s="155" t="s">
        <v>325</v>
      </c>
      <c r="G22" s="175">
        <f>PA_8[[#This Row],[Date]]-DAY(PA_8[[#This Row],[Date]])+1</f>
        <v>45778</v>
      </c>
      <c r="H22" s="34">
        <f>DAY(EOMONTH(PA_8[[#This Row],[Month Year]],0))</f>
        <v>31</v>
      </c>
      <c r="I22" s="36">
        <f>IFERROR(_xlfn.XLOOKUP(PA_8[[#This Row],[Date]],Input_Raw!$A:$A,Input_Raw!F:F),"")</f>
        <v>0.25833333333333336</v>
      </c>
      <c r="J22" s="36">
        <f>IFERROR(_xlfn.XLOOKUP(PA_8[[#This Row],[Date]],Input_Raw!$A:$A,Input_Raw!G:G),"")</f>
        <v>0.77013888888888893</v>
      </c>
      <c r="K22" s="37">
        <f>IFERROR((PA_8[[#This Row],[Sunset Time (POA&lt;20 W/m2)]]-PA_8[[#This Row],[Sunrise Time (POA&gt;20 W/m2)]])*24,"")</f>
        <v>12.283333333333335</v>
      </c>
      <c r="L22" s="155" t="s">
        <v>387</v>
      </c>
      <c r="M22" s="35"/>
      <c r="N22" s="35"/>
      <c r="O22" s="38"/>
      <c r="P22" s="38"/>
      <c r="Q22" s="35" t="s">
        <v>354</v>
      </c>
      <c r="R22" s="34">
        <f>IF((PA_8[[#This Row],[String Type(If String BD)]]&amp;PA_8[[#This Row],[Equipment (If any BD other than PV  array and inv)]])="",1,0)</f>
        <v>0</v>
      </c>
      <c r="S22" s="34">
        <f>IF(PA_8[[#This Row],[String Type(If String BD)]]="",1,0)</f>
        <v>1</v>
      </c>
      <c r="T2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IS6Tx</v>
      </c>
      <c r="U22" s="37">
        <f>IFERROR(_xlfn.XLOOKUP(PA_8[[#This Row],[Affected Equipment ]],'Basic Data'!$P:$P,'Basic Data'!$S:$S),"")</f>
        <v>7448.6500000000005</v>
      </c>
      <c r="V22" s="322">
        <f>IFERROR(_xlfn.XLOOKUP(PA_8[[#This Row],[Affected Equipment ]],'Basic Data'!$P:$P,'Basic Data'!$T:$T),"")</f>
        <v>6.1480335107919615E-2</v>
      </c>
      <c r="W22" s="306" t="s">
        <v>392</v>
      </c>
      <c r="X22" s="156" t="s">
        <v>1090</v>
      </c>
      <c r="Y22" s="307" t="s">
        <v>1091</v>
      </c>
      <c r="Z22" s="39">
        <v>0.5131944444444444</v>
      </c>
      <c r="AA22" s="39"/>
      <c r="AB22" s="39">
        <v>0.5131944444444444</v>
      </c>
      <c r="AC22" s="39">
        <v>0.5395833333333333</v>
      </c>
      <c r="AD22" s="41">
        <f>IF(PA_8[[#This Row],[Acknowledgement Time ]]="NA","",(PA_8[[#This Row],[Acknowledgement Time ]]-PA_8[[#This Row],[Fault Time]])*24)</f>
        <v>-12.316666666666666</v>
      </c>
      <c r="AE22" s="41">
        <f>IF(PA_8[[#This Row],[Work Start time on Fault]]="NA","",(PA_8[[#This Row],[Work Start time on Fault]]-PA_8[[#This Row],[Fault Time]])*24)</f>
        <v>0</v>
      </c>
      <c r="AF22" s="42">
        <f>IF(PA_8[[#This Row],[Status]]="Open","",(PA_8[[#This Row],[Work Completion time on fault]]-PA_8[[#This Row],[Fault Time]])*24)</f>
        <v>0.63333333333333375</v>
      </c>
      <c r="AG22" s="41">
        <f>IFERROR((PA_8[[#This Row],[Work Completion time on fault]]-PA_8[[#This Row],[Fault Time]])*24,"")</f>
        <v>0.63333333333333375</v>
      </c>
      <c r="AH22" s="307" t="s">
        <v>1092</v>
      </c>
      <c r="AI22" s="155" t="s">
        <v>368</v>
      </c>
      <c r="AJ22" s="37">
        <f>IFERROR(PA_8[[#This Row],[Breakdown Time]]*PA_8[[#This Row],[Plant Equivalent Weightage]],"")</f>
        <v>3.8937545568349115E-2</v>
      </c>
      <c r="AK22" s="38">
        <v>0.64659999999999995</v>
      </c>
      <c r="AL22" s="157">
        <f>U22*PA_8[[#This Row],[Lost PoA(Wh/m2)]]*81.6%</f>
        <v>3930.0984254399996</v>
      </c>
      <c r="AM22" s="157"/>
    </row>
    <row r="23" spans="1:39">
      <c r="A23" s="153">
        <v>22</v>
      </c>
      <c r="B23" s="154">
        <v>45781</v>
      </c>
      <c r="C23" s="187">
        <f>YEAR(PA_8[[#This Row],[Date]])+IF(MONTH(PA_8[[#This Row],[Date]])&gt;=4,1,0)</f>
        <v>2026</v>
      </c>
      <c r="D23" s="34">
        <f>YEAR(PA_8[[#This Row],[Date]])</f>
        <v>2025</v>
      </c>
      <c r="E23" s="155" t="s">
        <v>325</v>
      </c>
      <c r="F23" s="155" t="s">
        <v>325</v>
      </c>
      <c r="G23" s="175">
        <f>PA_8[[#This Row],[Date]]-DAY(PA_8[[#This Row],[Date]])+1</f>
        <v>45778</v>
      </c>
      <c r="H23" s="34">
        <f>DAY(EOMONTH(PA_8[[#This Row],[Month Year]],0))</f>
        <v>31</v>
      </c>
      <c r="I23" s="36">
        <f>IFERROR(_xlfn.XLOOKUP(PA_8[[#This Row],[Date]],Input_Raw!$A:$A,Input_Raw!F:F),"")</f>
        <v>0.25833333333333336</v>
      </c>
      <c r="J23" s="36">
        <f>IFERROR(_xlfn.XLOOKUP(PA_8[[#This Row],[Date]],Input_Raw!$A:$A,Input_Raw!G:G),"")</f>
        <v>0.77152777777777781</v>
      </c>
      <c r="K23" s="37">
        <f>IFERROR((PA_8[[#This Row],[Sunset Time (POA&lt;20 W/m2)]]-PA_8[[#This Row],[Sunrise Time (POA&gt;20 W/m2)]])*24,"")</f>
        <v>12.316666666666668</v>
      </c>
      <c r="L23" s="155" t="s">
        <v>376</v>
      </c>
      <c r="M23" s="35"/>
      <c r="N23" s="35"/>
      <c r="O23" s="38"/>
      <c r="P23" s="38"/>
      <c r="Q23" s="35" t="s">
        <v>354</v>
      </c>
      <c r="R23" s="34">
        <f>IF((PA_8[[#This Row],[String Type(If String BD)]]&amp;PA_8[[#This Row],[Equipment (If any BD other than PV  array and inv)]])="",1,0)</f>
        <v>0</v>
      </c>
      <c r="S23" s="34">
        <f>IF(PA_8[[#This Row],[String Type(If String BD)]]="",1,0)</f>
        <v>1</v>
      </c>
      <c r="T2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IS4Tx</v>
      </c>
      <c r="U23" s="37">
        <f>IFERROR(_xlfn.XLOOKUP(PA_8[[#This Row],[Affected Equipment ]],'Basic Data'!$P:$P,'Basic Data'!$S:$S),"")</f>
        <v>17019.794999999998</v>
      </c>
      <c r="V23" s="322">
        <f>IFERROR(_xlfn.XLOOKUP(PA_8[[#This Row],[Affected Equipment ]],'Basic Data'!$P:$P,'Basic Data'!$T:$T),"")</f>
        <v>0.14047950971895504</v>
      </c>
      <c r="W23" s="306" t="s">
        <v>392</v>
      </c>
      <c r="X23" s="156" t="s">
        <v>1090</v>
      </c>
      <c r="Y23" s="307" t="s">
        <v>1091</v>
      </c>
      <c r="Z23" s="39">
        <v>0.48194444444444445</v>
      </c>
      <c r="AA23" s="39"/>
      <c r="AB23" s="39">
        <v>0.48194444444444445</v>
      </c>
      <c r="AC23" s="39">
        <v>0.48819444444444443</v>
      </c>
      <c r="AD23" s="41">
        <f>IF(PA_8[[#This Row],[Acknowledgement Time ]]="NA","",(PA_8[[#This Row],[Acknowledgement Time ]]-PA_8[[#This Row],[Fault Time]])*24)</f>
        <v>-11.566666666666666</v>
      </c>
      <c r="AE23" s="41">
        <f>IF(PA_8[[#This Row],[Work Start time on Fault]]="NA","",(PA_8[[#This Row],[Work Start time on Fault]]-PA_8[[#This Row],[Fault Time]])*24)</f>
        <v>0</v>
      </c>
      <c r="AF23" s="42">
        <f>IF(PA_8[[#This Row],[Status]]="Open","",(PA_8[[#This Row],[Work Completion time on fault]]-PA_8[[#This Row],[Fault Time]])*24)</f>
        <v>0.14999999999999947</v>
      </c>
      <c r="AG23" s="41">
        <f>IFERROR((PA_8[[#This Row],[Work Completion time on fault]]-PA_8[[#This Row],[Fault Time]])*24,"")</f>
        <v>0.14999999999999947</v>
      </c>
      <c r="AH23" s="307" t="s">
        <v>1092</v>
      </c>
      <c r="AI23" s="155" t="s">
        <v>368</v>
      </c>
      <c r="AJ23" s="37">
        <f>IFERROR(PA_8[[#This Row],[Breakdown Time]]*PA_8[[#This Row],[Plant Equivalent Weightage]],"")</f>
        <v>2.1071926457843181E-2</v>
      </c>
      <c r="AK23" s="38">
        <v>0.17829999999999999</v>
      </c>
      <c r="AL23" s="157">
        <f>U23*PA_8[[#This Row],[Lost PoA(Wh/m2)]]*81.6%</f>
        <v>2476.2576299759994</v>
      </c>
      <c r="AM23" s="157"/>
    </row>
    <row r="24" spans="1:39">
      <c r="A24" s="153">
        <v>23</v>
      </c>
      <c r="B24" s="154">
        <v>45781</v>
      </c>
      <c r="C24" s="187">
        <f>YEAR(PA_8[[#This Row],[Date]])+IF(MONTH(PA_8[[#This Row],[Date]])&gt;=4,1,0)</f>
        <v>2026</v>
      </c>
      <c r="D24" s="34">
        <f>YEAR(PA_8[[#This Row],[Date]])</f>
        <v>2025</v>
      </c>
      <c r="E24" s="155" t="s">
        <v>325</v>
      </c>
      <c r="F24" s="155" t="s">
        <v>325</v>
      </c>
      <c r="G24" s="175">
        <f>PA_8[[#This Row],[Date]]-DAY(PA_8[[#This Row],[Date]])+1</f>
        <v>45778</v>
      </c>
      <c r="H24" s="34">
        <f>DAY(EOMONTH(PA_8[[#This Row],[Month Year]],0))</f>
        <v>31</v>
      </c>
      <c r="I24" s="36">
        <f>IFERROR(_xlfn.XLOOKUP(PA_8[[#This Row],[Date]],Input_Raw!$A:$A,Input_Raw!F:F),"")</f>
        <v>0.25833333333333336</v>
      </c>
      <c r="J24" s="36">
        <f>IFERROR(_xlfn.XLOOKUP(PA_8[[#This Row],[Date]],Input_Raw!$A:$A,Input_Raw!G:G),"")</f>
        <v>0.77152777777777781</v>
      </c>
      <c r="K24" s="37">
        <f>IFERROR((PA_8[[#This Row],[Sunset Time (POA&lt;20 W/m2)]]-PA_8[[#This Row],[Sunrise Time (POA&gt;20 W/m2)]])*24,"")</f>
        <v>12.316666666666668</v>
      </c>
      <c r="L24" s="155" t="s">
        <v>393</v>
      </c>
      <c r="M24" s="35"/>
      <c r="N24" s="35"/>
      <c r="O24" s="38"/>
      <c r="P24" s="38"/>
      <c r="Q24" s="35" t="s">
        <v>354</v>
      </c>
      <c r="R24" s="34">
        <f>IF((PA_8[[#This Row],[String Type(If String BD)]]&amp;PA_8[[#This Row],[Equipment (If any BD other than PV  array and inv)]])="",1,0)</f>
        <v>0</v>
      </c>
      <c r="S24" s="34">
        <f>IF(PA_8[[#This Row],[String Type(If String BD)]]="",1,0)</f>
        <v>1</v>
      </c>
      <c r="T2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IS7Tx</v>
      </c>
      <c r="U24" s="37">
        <f>IFERROR(_xlfn.XLOOKUP(PA_8[[#This Row],[Affected Equipment ]],'Basic Data'!$P:$P,'Basic Data'!$S:$S),"")</f>
        <v>2971.3400000000006</v>
      </c>
      <c r="V24" s="322">
        <f>IFERROR(_xlfn.XLOOKUP(PA_8[[#This Row],[Affected Equipment ]],'Basic Data'!$P:$P,'Basic Data'!$T:$T),"")</f>
        <v>2.4525112459246424E-2</v>
      </c>
      <c r="W24" s="306" t="s">
        <v>392</v>
      </c>
      <c r="X24" s="156" t="s">
        <v>1090</v>
      </c>
      <c r="Y24" s="307" t="s">
        <v>1091</v>
      </c>
      <c r="Z24" s="39">
        <v>0.55069444444444449</v>
      </c>
      <c r="AA24" s="39"/>
      <c r="AB24" s="39">
        <v>0.55069444444444449</v>
      </c>
      <c r="AC24" s="39">
        <v>0.57152777777777775</v>
      </c>
      <c r="AD24" s="41">
        <f>IF(PA_8[[#This Row],[Acknowledgement Time ]]="NA","",(PA_8[[#This Row],[Acknowledgement Time ]]-PA_8[[#This Row],[Fault Time]])*24)</f>
        <v>-13.216666666666669</v>
      </c>
      <c r="AE24" s="41">
        <f>IF(PA_8[[#This Row],[Work Start time on Fault]]="NA","",(PA_8[[#This Row],[Work Start time on Fault]]-PA_8[[#This Row],[Fault Time]])*24)</f>
        <v>0</v>
      </c>
      <c r="AF24" s="42">
        <f>IF(PA_8[[#This Row],[Status]]="Open","",(PA_8[[#This Row],[Work Completion time on fault]]-PA_8[[#This Row],[Fault Time]])*24)</f>
        <v>0.49999999999999822</v>
      </c>
      <c r="AG24" s="41">
        <f>IFERROR((PA_8[[#This Row],[Work Completion time on fault]]-PA_8[[#This Row],[Fault Time]])*24,"")</f>
        <v>0.49999999999999822</v>
      </c>
      <c r="AH24" s="307" t="s">
        <v>1092</v>
      </c>
      <c r="AI24" s="155" t="s">
        <v>368</v>
      </c>
      <c r="AJ24" s="37">
        <f>IFERROR(PA_8[[#This Row],[Breakdown Time]]*PA_8[[#This Row],[Plant Equivalent Weightage]],"")</f>
        <v>1.2262556229623169E-2</v>
      </c>
      <c r="AK24" s="38">
        <v>0.4834</v>
      </c>
      <c r="AL24" s="157">
        <f>U24*PA_8[[#This Row],[Lost PoA(Wh/m2)]]*81.6%</f>
        <v>1172.0581368960002</v>
      </c>
      <c r="AM24" s="157"/>
    </row>
    <row r="25" spans="1:39">
      <c r="A25" s="153">
        <v>24</v>
      </c>
      <c r="B25" s="154">
        <v>45784</v>
      </c>
      <c r="C25" s="187">
        <f>YEAR(PA_8[[#This Row],[Date]])+IF(MONTH(PA_8[[#This Row],[Date]])&gt;=4,1,0)</f>
        <v>2026</v>
      </c>
      <c r="D25" s="34">
        <f>YEAR(PA_8[[#This Row],[Date]])</f>
        <v>2025</v>
      </c>
      <c r="E25" s="155" t="s">
        <v>325</v>
      </c>
      <c r="F25" s="155" t="s">
        <v>325</v>
      </c>
      <c r="G25" s="175">
        <f>PA_8[[#This Row],[Date]]-DAY(PA_8[[#This Row],[Date]])+1</f>
        <v>45778</v>
      </c>
      <c r="H25" s="34">
        <f>DAY(EOMONTH(PA_8[[#This Row],[Month Year]],0))</f>
        <v>31</v>
      </c>
      <c r="I25" s="36">
        <f>IFERROR(_xlfn.XLOOKUP(PA_8[[#This Row],[Date]],Input_Raw!$A:$A,Input_Raw!F:F),"")</f>
        <v>0.25486111111111109</v>
      </c>
      <c r="J25" s="36">
        <f>IFERROR(_xlfn.XLOOKUP(PA_8[[#This Row],[Date]],Input_Raw!$A:$A,Input_Raw!G:G),"")</f>
        <v>0.77222222222222225</v>
      </c>
      <c r="K25" s="37">
        <f>IFERROR((PA_8[[#This Row],[Sunset Time (POA&lt;20 W/m2)]]-PA_8[[#This Row],[Sunrise Time (POA&gt;20 W/m2)]])*24,"")</f>
        <v>12.416666666666668</v>
      </c>
      <c r="L25" s="155" t="s">
        <v>398</v>
      </c>
      <c r="M25" s="35"/>
      <c r="N25" s="35"/>
      <c r="O25" s="38"/>
      <c r="P25" s="38"/>
      <c r="Q25" s="35" t="s">
        <v>354</v>
      </c>
      <c r="R25" s="34">
        <f>IF((PA_8[[#This Row],[String Type(If String BD)]]&amp;PA_8[[#This Row],[Equipment (If any BD other than PV  array and inv)]])="",1,0)</f>
        <v>0</v>
      </c>
      <c r="S25" s="34">
        <f>IF(PA_8[[#This Row],[String Type(If String BD)]]="",1,0)</f>
        <v>1</v>
      </c>
      <c r="T2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IS8Tx</v>
      </c>
      <c r="U25" s="37">
        <f>IFERROR(_xlfn.XLOOKUP(PA_8[[#This Row],[Affected Equipment ]],'Basic Data'!$P:$P,'Basic Data'!$S:$S),"")</f>
        <v>5992.4150000000009</v>
      </c>
      <c r="V25" s="322">
        <f>IFERROR(_xlfn.XLOOKUP(PA_8[[#This Row],[Affected Equipment ]],'Basic Data'!$P:$P,'Basic Data'!$T:$T),"")</f>
        <v>4.9460732120011563E-2</v>
      </c>
      <c r="W25" s="306" t="s">
        <v>392</v>
      </c>
      <c r="X25" s="156" t="s">
        <v>1090</v>
      </c>
      <c r="Y25" s="307" t="s">
        <v>1091</v>
      </c>
      <c r="Z25" s="39"/>
      <c r="AA25" s="39"/>
      <c r="AB25" s="40">
        <v>0.50624999999999998</v>
      </c>
      <c r="AC25" s="39">
        <v>0.54722222222222228</v>
      </c>
      <c r="AD25" s="41">
        <f>IF(PA_8[[#This Row],[Acknowledgement Time ]]="NA","",(PA_8[[#This Row],[Acknowledgement Time ]]-PA_8[[#This Row],[Fault Time]])*24)</f>
        <v>0</v>
      </c>
      <c r="AE25" s="41">
        <f>IF(PA_8[[#This Row],[Work Start time on Fault]]="NA","",(PA_8[[#This Row],[Work Start time on Fault]]-PA_8[[#This Row],[Fault Time]])*24)</f>
        <v>12.149999999999999</v>
      </c>
      <c r="AF25" s="42">
        <f>IF(PA_8[[#This Row],[Status]]="Open","",(PA_8[[#This Row],[Work Completion time on fault]]-PA_8[[#This Row],[Fault Time]])*24)</f>
        <v>13.133333333333335</v>
      </c>
      <c r="AG25" s="41">
        <f>IFERROR((PA_8[[#This Row],[Work Completion time on fault]]-PA_8[[#This Row],[Fault Time]])*24,"")</f>
        <v>13.133333333333335</v>
      </c>
      <c r="AH25" s="307" t="s">
        <v>1092</v>
      </c>
      <c r="AI25" s="155"/>
      <c r="AJ25" s="37">
        <f>IFERROR(PA_8[[#This Row],[Breakdown Time]]*PA_8[[#This Row],[Plant Equivalent Weightage]],"")</f>
        <v>0.64958428184281858</v>
      </c>
      <c r="AK25" s="38">
        <v>1.31</v>
      </c>
      <c r="AL25" s="157">
        <f>U25*PA_8[[#This Row],[Lost PoA(Wh/m2)]]*81.6%</f>
        <v>6405.6519384000012</v>
      </c>
      <c r="AM25" s="157"/>
    </row>
    <row r="26" spans="1:39">
      <c r="A26" s="153">
        <v>25</v>
      </c>
      <c r="B26" s="154">
        <v>45784</v>
      </c>
      <c r="C26" s="187">
        <f>YEAR(PA_8[[#This Row],[Date]])+IF(MONTH(PA_8[[#This Row],[Date]])&gt;=4,1,0)</f>
        <v>2026</v>
      </c>
      <c r="D26" s="34">
        <f>YEAR(PA_8[[#This Row],[Date]])</f>
        <v>2025</v>
      </c>
      <c r="E26" s="155" t="s">
        <v>325</v>
      </c>
      <c r="F26" s="155" t="s">
        <v>325</v>
      </c>
      <c r="G26" s="175">
        <f>PA_8[[#This Row],[Date]]-DAY(PA_8[[#This Row],[Date]])+1</f>
        <v>45778</v>
      </c>
      <c r="H26" s="34">
        <f>DAY(EOMONTH(PA_8[[#This Row],[Month Year]],0))</f>
        <v>31</v>
      </c>
      <c r="I26" s="36">
        <f>IFERROR(_xlfn.XLOOKUP(PA_8[[#This Row],[Date]],Input_Raw!$A:$A,Input_Raw!F:F),"")</f>
        <v>0.25486111111111109</v>
      </c>
      <c r="J26" s="36">
        <f>IFERROR(_xlfn.XLOOKUP(PA_8[[#This Row],[Date]],Input_Raw!$A:$A,Input_Raw!G:G),"")</f>
        <v>0.77222222222222225</v>
      </c>
      <c r="K26" s="37">
        <f>IFERROR((PA_8[[#This Row],[Sunset Time (POA&lt;20 W/m2)]]-PA_8[[#This Row],[Sunrise Time (POA&gt;20 W/m2)]])*24,"")</f>
        <v>12.416666666666668</v>
      </c>
      <c r="L26" s="155" t="s">
        <v>403</v>
      </c>
      <c r="M26" s="35"/>
      <c r="N26" s="35"/>
      <c r="O26" s="38"/>
      <c r="P26" s="38"/>
      <c r="Q26" s="35" t="s">
        <v>354</v>
      </c>
      <c r="R26" s="34">
        <f>IF((PA_8[[#This Row],[String Type(If String BD)]]&amp;PA_8[[#This Row],[Equipment (If any BD other than PV  array and inv)]])="",1,0)</f>
        <v>0</v>
      </c>
      <c r="S26" s="34">
        <f>IF(PA_8[[#This Row],[String Type(If String BD)]]="",1,0)</f>
        <v>1</v>
      </c>
      <c r="T2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IS9Tx</v>
      </c>
      <c r="U26" s="37">
        <f>IFERROR(_xlfn.XLOOKUP(PA_8[[#This Row],[Affected Equipment ]],'Basic Data'!$P:$P,'Basic Data'!$S:$S),"")</f>
        <v>8345.0400000000027</v>
      </c>
      <c r="V26" s="322">
        <f>IFERROR(_xlfn.XLOOKUP(PA_8[[#This Row],[Affected Equipment ]],'Basic Data'!$P:$P,'Basic Data'!$T:$T),"")</f>
        <v>6.8879039247245283E-2</v>
      </c>
      <c r="W26" s="306" t="s">
        <v>392</v>
      </c>
      <c r="X26" s="156" t="s">
        <v>1090</v>
      </c>
      <c r="Y26" s="307" t="s">
        <v>1091</v>
      </c>
      <c r="Z26" s="39"/>
      <c r="AA26" s="39"/>
      <c r="AB26" s="40">
        <v>0.57986111111111116</v>
      </c>
      <c r="AC26" s="39">
        <v>0.60416666666666663</v>
      </c>
      <c r="AD26" s="41">
        <f>IF(PA_8[[#This Row],[Acknowledgement Time ]]="NA","",(PA_8[[#This Row],[Acknowledgement Time ]]-PA_8[[#This Row],[Fault Time]])*24)</f>
        <v>0</v>
      </c>
      <c r="AE26" s="41">
        <f>IF(PA_8[[#This Row],[Work Start time on Fault]]="NA","",(PA_8[[#This Row],[Work Start time on Fault]]-PA_8[[#This Row],[Fault Time]])*24)</f>
        <v>13.916666666666668</v>
      </c>
      <c r="AF26" s="42">
        <f>IF(PA_8[[#This Row],[Status]]="Open","",(PA_8[[#This Row],[Work Completion time on fault]]-PA_8[[#This Row],[Fault Time]])*24)</f>
        <v>14.5</v>
      </c>
      <c r="AG26" s="41">
        <f>IFERROR((PA_8[[#This Row],[Work Completion time on fault]]-PA_8[[#This Row],[Fault Time]])*24,"")</f>
        <v>14.5</v>
      </c>
      <c r="AH26" s="307" t="s">
        <v>1092</v>
      </c>
      <c r="AI26" s="155"/>
      <c r="AJ26" s="37">
        <f>IFERROR(PA_8[[#This Row],[Breakdown Time]]*PA_8[[#This Row],[Plant Equivalent Weightage]],"")</f>
        <v>0.99874606908505659</v>
      </c>
      <c r="AK26" s="38">
        <v>0.45889999999999997</v>
      </c>
      <c r="AL26" s="157">
        <f>U26*PA_8[[#This Row],[Lost PoA(Wh/m2)]]*81.6%</f>
        <v>3124.9037064960007</v>
      </c>
      <c r="AM26" s="157"/>
    </row>
    <row r="27" spans="1:39">
      <c r="A27" s="153">
        <v>26</v>
      </c>
      <c r="B27" s="154">
        <v>45786</v>
      </c>
      <c r="C27" s="187">
        <f>YEAR(PA_8[[#This Row],[Date]])+IF(MONTH(PA_8[[#This Row],[Date]])&gt;=4,1,0)</f>
        <v>2026</v>
      </c>
      <c r="D27" s="34">
        <f>YEAR(PA_8[[#This Row],[Date]])</f>
        <v>2025</v>
      </c>
      <c r="E27" s="155" t="s">
        <v>325</v>
      </c>
      <c r="F27" s="155" t="s">
        <v>325</v>
      </c>
      <c r="G27" s="175">
        <f>PA_8[[#This Row],[Date]]-DAY(PA_8[[#This Row],[Date]])+1</f>
        <v>45778</v>
      </c>
      <c r="H27" s="34">
        <f>DAY(EOMONTH(PA_8[[#This Row],[Month Year]],0))</f>
        <v>31</v>
      </c>
      <c r="I27" s="36">
        <f>IFERROR(_xlfn.XLOOKUP(PA_8[[#This Row],[Date]],Input_Raw!$A:$A,Input_Raw!F:F),"")</f>
        <v>0.25694444444444442</v>
      </c>
      <c r="J27" s="36">
        <f>IFERROR(_xlfn.XLOOKUP(PA_8[[#This Row],[Date]],Input_Raw!$A:$A,Input_Raw!G:G),"")</f>
        <v>0.77083333333333337</v>
      </c>
      <c r="K27" s="37">
        <f>IFERROR((PA_8[[#This Row],[Sunset Time (POA&lt;20 W/m2)]]-PA_8[[#This Row],[Sunrise Time (POA&gt;20 W/m2)]])*24,"")</f>
        <v>12.333333333333336</v>
      </c>
      <c r="L27" s="155"/>
      <c r="M27" s="35"/>
      <c r="N27" s="35"/>
      <c r="O27" s="38"/>
      <c r="P27" s="38"/>
      <c r="Q27" s="35" t="s">
        <v>401</v>
      </c>
      <c r="R27" s="34">
        <f>IF((PA_8[[#This Row],[String Type(If String BD)]]&amp;PA_8[[#This Row],[Equipment (If any BD other than PV  array and inv)]])="",1,0)</f>
        <v>0</v>
      </c>
      <c r="S27" s="34">
        <f>IF(PA_8[[#This Row],[String Type(If String BD)]]="",1,0)</f>
        <v>1</v>
      </c>
      <c r="T2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Power_TX</v>
      </c>
      <c r="U27" s="37">
        <f>IFERROR(_xlfn.XLOOKUP(PA_8[[#This Row],[Affected Equipment ]],'Basic Data'!$P:$P,'Basic Data'!$S:$S),"")</f>
        <v>122106</v>
      </c>
      <c r="V27" s="322">
        <f>IFERROR(_xlfn.XLOOKUP(PA_8[[#This Row],[Affected Equipment ]],'Basic Data'!$P:$P,'Basic Data'!$T:$T),"")</f>
        <v>1.0078494490528662</v>
      </c>
      <c r="W27" s="306" t="s">
        <v>397</v>
      </c>
      <c r="X27" s="156" t="s">
        <v>1098</v>
      </c>
      <c r="Y27" s="156" t="s">
        <v>1078</v>
      </c>
      <c r="Z27" s="39">
        <v>0.41597222222222224</v>
      </c>
      <c r="AA27" s="39"/>
      <c r="AB27" s="39">
        <v>0.41597222222222224</v>
      </c>
      <c r="AC27" s="39">
        <v>0.42916666666666664</v>
      </c>
      <c r="AD27" s="41">
        <f>IF(PA_8[[#This Row],[Acknowledgement Time ]]="NA","",(PA_8[[#This Row],[Acknowledgement Time ]]-PA_8[[#This Row],[Fault Time]])*24)</f>
        <v>-9.9833333333333343</v>
      </c>
      <c r="AE27" s="41">
        <f>IF(PA_8[[#This Row],[Work Start time on Fault]]="NA","",(PA_8[[#This Row],[Work Start time on Fault]]-PA_8[[#This Row],[Fault Time]])*24)</f>
        <v>0</v>
      </c>
      <c r="AF27" s="42">
        <f>IF(PA_8[[#This Row],[Status]]="Open","",(PA_8[[#This Row],[Work Completion time on fault]]-PA_8[[#This Row],[Fault Time]])*24)</f>
        <v>0.31666666666666554</v>
      </c>
      <c r="AG27" s="41">
        <f>IFERROR((PA_8[[#This Row],[Work Completion time on fault]]-PA_8[[#This Row],[Fault Time]])*24,"")</f>
        <v>0.31666666666666554</v>
      </c>
      <c r="AH27" s="38" t="s">
        <v>1099</v>
      </c>
      <c r="AI27" s="155" t="s">
        <v>368</v>
      </c>
      <c r="AJ27" s="37">
        <f>IFERROR(PA_8[[#This Row],[Breakdown Time]]*PA_8[[#This Row],[Plant Equivalent Weightage]],"")</f>
        <v>0.3191523255334065</v>
      </c>
      <c r="AK27" s="38">
        <v>0.26390000000000002</v>
      </c>
      <c r="AL27" s="157">
        <f>U27*PA_8[[#This Row],[Lost PoA(Wh/m2)]]*81.6%</f>
        <v>26294.5990944</v>
      </c>
      <c r="AM27" s="157"/>
    </row>
    <row r="28" spans="1:39">
      <c r="A28" s="153">
        <v>27</v>
      </c>
      <c r="B28" s="154">
        <v>45793</v>
      </c>
      <c r="C28" s="187">
        <f>YEAR(PA_8[[#This Row],[Date]])+IF(MONTH(PA_8[[#This Row],[Date]])&gt;=4,1,0)</f>
        <v>2026</v>
      </c>
      <c r="D28" s="34">
        <f>YEAR(PA_8[[#This Row],[Date]])</f>
        <v>2025</v>
      </c>
      <c r="E28" s="155" t="s">
        <v>325</v>
      </c>
      <c r="F28" s="155" t="s">
        <v>325</v>
      </c>
      <c r="G28" s="175">
        <f>PA_8[[#This Row],[Date]]-DAY(PA_8[[#This Row],[Date]])+1</f>
        <v>45778</v>
      </c>
      <c r="H28" s="34">
        <f>DAY(EOMONTH(PA_8[[#This Row],[Month Year]],0))</f>
        <v>31</v>
      </c>
      <c r="I28" s="36">
        <f>IFERROR(_xlfn.XLOOKUP(PA_8[[#This Row],[Date]],Input_Raw!$A:$A,Input_Raw!F:F),"")</f>
        <v>0.25277777777777777</v>
      </c>
      <c r="J28" s="36">
        <f>IFERROR(_xlfn.XLOOKUP(PA_8[[#This Row],[Date]],Input_Raw!$A:$A,Input_Raw!G:G),"")</f>
        <v>0.75902777777777775</v>
      </c>
      <c r="K28" s="37">
        <f>IFERROR((PA_8[[#This Row],[Sunset Time (POA&lt;20 W/m2)]]-PA_8[[#This Row],[Sunrise Time (POA&gt;20 W/m2)]])*24,"")</f>
        <v>12.149999999999999</v>
      </c>
      <c r="L28" s="155"/>
      <c r="M28" s="35"/>
      <c r="N28" s="35"/>
      <c r="O28" s="38"/>
      <c r="P28" s="38"/>
      <c r="Q28" s="35" t="s">
        <v>401</v>
      </c>
      <c r="R28" s="34">
        <f>IF((PA_8[[#This Row],[String Type(If String BD)]]&amp;PA_8[[#This Row],[Equipment (If any BD other than PV  array and inv)]])="",1,0)</f>
        <v>0</v>
      </c>
      <c r="S28" s="34">
        <f>IF(PA_8[[#This Row],[String Type(If String BD)]]="",1,0)</f>
        <v>1</v>
      </c>
      <c r="T2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Power_TX</v>
      </c>
      <c r="U28" s="37">
        <f>IFERROR(_xlfn.XLOOKUP(PA_8[[#This Row],[Affected Equipment ]],'Basic Data'!$P:$P,'Basic Data'!$S:$S),"")</f>
        <v>122106</v>
      </c>
      <c r="V28" s="322">
        <f>IFERROR(_xlfn.XLOOKUP(PA_8[[#This Row],[Affected Equipment ]],'Basic Data'!$P:$P,'Basic Data'!$T:$T),"")</f>
        <v>1.0078494490528662</v>
      </c>
      <c r="W28" s="306" t="s">
        <v>397</v>
      </c>
      <c r="X28" s="156" t="s">
        <v>1098</v>
      </c>
      <c r="Y28" s="156" t="s">
        <v>1078</v>
      </c>
      <c r="Z28" s="39">
        <v>0.69236111111111109</v>
      </c>
      <c r="AA28" s="39"/>
      <c r="AB28" s="39">
        <v>0.69236111111111109</v>
      </c>
      <c r="AC28" s="39">
        <v>0.70277777777777772</v>
      </c>
      <c r="AD28" s="41">
        <f>IF(PA_8[[#This Row],[Acknowledgement Time ]]="NA","",(PA_8[[#This Row],[Acknowledgement Time ]]-PA_8[[#This Row],[Fault Time]])*24)</f>
        <v>-16.616666666666667</v>
      </c>
      <c r="AE28" s="41">
        <f>IF(PA_8[[#This Row],[Work Start time on Fault]]="NA","",(PA_8[[#This Row],[Work Start time on Fault]]-PA_8[[#This Row],[Fault Time]])*24)</f>
        <v>0</v>
      </c>
      <c r="AF28" s="42">
        <f>IF(PA_8[[#This Row],[Status]]="Open","",(PA_8[[#This Row],[Work Completion time on fault]]-PA_8[[#This Row],[Fault Time]])*24)</f>
        <v>0.24999999999999911</v>
      </c>
      <c r="AG28" s="41">
        <f>IFERROR((PA_8[[#This Row],[Work Completion time on fault]]-PA_8[[#This Row],[Fault Time]])*24,"")</f>
        <v>0.24999999999999911</v>
      </c>
      <c r="AH28" s="38" t="s">
        <v>1100</v>
      </c>
      <c r="AI28" s="155" t="s">
        <v>368</v>
      </c>
      <c r="AJ28" s="37">
        <f>IFERROR(PA_8[[#This Row],[Breakdown Time]]*PA_8[[#This Row],[Plant Equivalent Weightage]],"")</f>
        <v>0.25196236226321567</v>
      </c>
      <c r="AK28" s="38">
        <v>0.11700000000000001</v>
      </c>
      <c r="AL28" s="157">
        <f>U28*PA_8[[#This Row],[Lost PoA(Wh/m2)]]*81.6%</f>
        <v>11657.704032</v>
      </c>
      <c r="AM28" s="157"/>
    </row>
    <row r="29" spans="1:39">
      <c r="A29" s="153">
        <v>28</v>
      </c>
      <c r="B29" s="154">
        <v>45795</v>
      </c>
      <c r="C29" s="187">
        <f>YEAR(PA_8[[#This Row],[Date]])+IF(MONTH(PA_8[[#This Row],[Date]])&gt;=4,1,0)</f>
        <v>2026</v>
      </c>
      <c r="D29" s="34">
        <f>YEAR(PA_8[[#This Row],[Date]])</f>
        <v>2025</v>
      </c>
      <c r="E29" s="155" t="s">
        <v>325</v>
      </c>
      <c r="F29" s="155" t="s">
        <v>325</v>
      </c>
      <c r="G29" s="175">
        <f>PA_8[[#This Row],[Date]]-DAY(PA_8[[#This Row],[Date]])+1</f>
        <v>45778</v>
      </c>
      <c r="H29" s="34">
        <f>DAY(EOMONTH(PA_8[[#This Row],[Month Year]],0))</f>
        <v>31</v>
      </c>
      <c r="I29" s="36">
        <f>IFERROR(_xlfn.XLOOKUP(PA_8[[#This Row],[Date]],Input_Raw!$A:$A,Input_Raw!F:F),"")</f>
        <v>0.25277777777777777</v>
      </c>
      <c r="J29" s="36">
        <f>IFERROR(_xlfn.XLOOKUP(PA_8[[#This Row],[Date]],Input_Raw!$A:$A,Input_Raw!G:G),"")</f>
        <v>0.76597222222222228</v>
      </c>
      <c r="K29" s="37">
        <f>IFERROR((PA_8[[#This Row],[Sunset Time (POA&lt;20 W/m2)]]-PA_8[[#This Row],[Sunrise Time (POA&gt;20 W/m2)]])*24,"")</f>
        <v>12.316666666666668</v>
      </c>
      <c r="L29" s="155" t="s">
        <v>382</v>
      </c>
      <c r="M29" s="35"/>
      <c r="N29" s="35"/>
      <c r="O29" s="38"/>
      <c r="P29" s="38"/>
      <c r="Q29" s="35" t="s">
        <v>354</v>
      </c>
      <c r="R29" s="34">
        <f>IF((PA_8[[#This Row],[String Type(If String BD)]]&amp;PA_8[[#This Row],[Equipment (If any BD other than PV  array and inv)]])="",1,0)</f>
        <v>0</v>
      </c>
      <c r="S29" s="34">
        <f>IF(PA_8[[#This Row],[String Type(If String BD)]]="",1,0)</f>
        <v>1</v>
      </c>
      <c r="T2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IS5Tx</v>
      </c>
      <c r="U29" s="37">
        <f>IFERROR(_xlfn.XLOOKUP(PA_8[[#This Row],[Affected Equipment ]],'Basic Data'!$P:$P,'Basic Data'!$S:$S),"")</f>
        <v>7416.7000000000007</v>
      </c>
      <c r="V29" s="322">
        <f>IFERROR(_xlfn.XLOOKUP(PA_8[[#This Row],[Affected Equipment ]],'Basic Data'!$P:$P,'Basic Data'!$T:$T),"")</f>
        <v>6.1216623333746036E-2</v>
      </c>
      <c r="W29" s="306" t="s">
        <v>392</v>
      </c>
      <c r="X29" s="156" t="s">
        <v>1090</v>
      </c>
      <c r="Y29" s="307" t="s">
        <v>1101</v>
      </c>
      <c r="Z29" s="39">
        <v>0.46458333333333335</v>
      </c>
      <c r="AA29" s="39"/>
      <c r="AB29" s="39">
        <v>0.4826388888888889</v>
      </c>
      <c r="AC29" s="273">
        <v>0.50277777777777777</v>
      </c>
      <c r="AD29" s="41">
        <f>IF(PA_8[[#This Row],[Acknowledgement Time ]]="NA","",(PA_8[[#This Row],[Acknowledgement Time ]]-PA_8[[#This Row],[Fault Time]])*24)</f>
        <v>-11.15</v>
      </c>
      <c r="AE29" s="41">
        <f>IF(PA_8[[#This Row],[Work Start time on Fault]]="NA","",(PA_8[[#This Row],[Work Start time on Fault]]-PA_8[[#This Row],[Fault Time]])*24)</f>
        <v>0.43333333333333313</v>
      </c>
      <c r="AF29" s="42">
        <f>IF(PA_8[[#This Row],[Status]]="Open","",(PA_8[[#This Row],[Work Completion time on fault]]-PA_8[[#This Row],[Fault Time]])*24)</f>
        <v>0.91666666666666607</v>
      </c>
      <c r="AG29" s="41">
        <f>IFERROR((PA_8[[#This Row],[Work Completion time on fault]]-PA_8[[#This Row],[Fault Time]])*24,"")</f>
        <v>0.91666666666666607</v>
      </c>
      <c r="AH29" s="38" t="s">
        <v>1102</v>
      </c>
      <c r="AI29" s="155" t="s">
        <v>368</v>
      </c>
      <c r="AJ29" s="37">
        <f>IFERROR(PA_8[[#This Row],[Breakdown Time]]*PA_8[[#This Row],[Plant Equivalent Weightage]],"")</f>
        <v>5.6115238055933832E-2</v>
      </c>
      <c r="AK29" s="38">
        <v>0.83240000000000003</v>
      </c>
      <c r="AL29" s="157">
        <f>U29*PA_8[[#This Row],[Lost PoA(Wh/m2)]]*81.6%</f>
        <v>5037.7074412800002</v>
      </c>
      <c r="AM29" s="157"/>
    </row>
    <row r="30" spans="1:39">
      <c r="A30" s="153">
        <v>29</v>
      </c>
      <c r="B30" s="154">
        <v>45796</v>
      </c>
      <c r="C30" s="187">
        <f>YEAR(PA_8[[#This Row],[Date]])+IF(MONTH(PA_8[[#This Row],[Date]])&gt;=4,1,0)</f>
        <v>2026</v>
      </c>
      <c r="D30" s="34">
        <f>YEAR(PA_8[[#This Row],[Date]])</f>
        <v>2025</v>
      </c>
      <c r="E30" s="155" t="s">
        <v>325</v>
      </c>
      <c r="F30" s="155" t="s">
        <v>325</v>
      </c>
      <c r="G30" s="175">
        <f>PA_8[[#This Row],[Date]]-DAY(PA_8[[#This Row],[Date]])+1</f>
        <v>45778</v>
      </c>
      <c r="H30" s="34">
        <f>DAY(EOMONTH(PA_8[[#This Row],[Month Year]],0))</f>
        <v>31</v>
      </c>
      <c r="I30" s="36">
        <f>IFERROR(_xlfn.XLOOKUP(PA_8[[#This Row],[Date]],Input_Raw!$A:$A,Input_Raw!F:F),"")</f>
        <v>0.25624999999999998</v>
      </c>
      <c r="J30" s="36">
        <f>IFERROR(_xlfn.XLOOKUP(PA_8[[#This Row],[Date]],Input_Raw!$A:$A,Input_Raw!G:G),"")</f>
        <v>0.74791666666666667</v>
      </c>
      <c r="K30" s="37">
        <f>IFERROR((PA_8[[#This Row],[Sunset Time (POA&lt;20 W/m2)]]-PA_8[[#This Row],[Sunrise Time (POA&gt;20 W/m2)]])*24,"")</f>
        <v>11.8</v>
      </c>
      <c r="L30" s="155" t="s">
        <v>382</v>
      </c>
      <c r="M30" s="35"/>
      <c r="N30" s="35"/>
      <c r="O30" s="38"/>
      <c r="P30" s="38"/>
      <c r="Q30" s="35" t="s">
        <v>354</v>
      </c>
      <c r="R30" s="34">
        <f>IF((PA_8[[#This Row],[String Type(If String BD)]]&amp;PA_8[[#This Row],[Equipment (If any BD other than PV  array and inv)]])="",1,0)</f>
        <v>0</v>
      </c>
      <c r="S30" s="34">
        <f>IF(PA_8[[#This Row],[String Type(If String BD)]]="",1,0)</f>
        <v>1</v>
      </c>
      <c r="T3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IS5Tx</v>
      </c>
      <c r="U30" s="37">
        <f>IFERROR(_xlfn.XLOOKUP(PA_8[[#This Row],[Affected Equipment ]],'Basic Data'!$P:$P,'Basic Data'!$S:$S),"")</f>
        <v>7416.7000000000007</v>
      </c>
      <c r="V30" s="322">
        <f>IFERROR(_xlfn.XLOOKUP(PA_8[[#This Row],[Affected Equipment ]],'Basic Data'!$P:$P,'Basic Data'!$T:$T),"")</f>
        <v>6.1216623333746036E-2</v>
      </c>
      <c r="W30" s="306" t="s">
        <v>392</v>
      </c>
      <c r="X30" s="156" t="s">
        <v>1090</v>
      </c>
      <c r="Y30" s="307" t="s">
        <v>1101</v>
      </c>
      <c r="Z30" s="273">
        <v>0.51597222222222228</v>
      </c>
      <c r="AA30" s="39"/>
      <c r="AB30" s="273">
        <v>0.51597222222222228</v>
      </c>
      <c r="AC30" s="273">
        <v>0.54444444444444395</v>
      </c>
      <c r="AD30" s="41">
        <f>IF(PA_8[[#This Row],[Acknowledgement Time ]]="NA","",(PA_8[[#This Row],[Acknowledgement Time ]]-PA_8[[#This Row],[Fault Time]])*24)</f>
        <v>-12.383333333333335</v>
      </c>
      <c r="AE30" s="41">
        <f>IF(PA_8[[#This Row],[Work Start time on Fault]]="NA","",(PA_8[[#This Row],[Work Start time on Fault]]-PA_8[[#This Row],[Fault Time]])*24)</f>
        <v>0</v>
      </c>
      <c r="AF30" s="42">
        <f>IF(PA_8[[#This Row],[Status]]="Open","",(PA_8[[#This Row],[Work Completion time on fault]]-PA_8[[#This Row],[Fault Time]])*24)</f>
        <v>0.68333333333332025</v>
      </c>
      <c r="AG30" s="41">
        <f>IFERROR((PA_8[[#This Row],[Work Completion time on fault]]-PA_8[[#This Row],[Fault Time]])*24,"")</f>
        <v>0.68333333333332025</v>
      </c>
      <c r="AH30" s="38" t="s">
        <v>1102</v>
      </c>
      <c r="AI30" s="155" t="s">
        <v>368</v>
      </c>
      <c r="AJ30" s="37">
        <f>IFERROR(PA_8[[#This Row],[Breakdown Time]]*PA_8[[#This Row],[Plant Equivalent Weightage]],"")</f>
        <v>4.1831359278058991E-2</v>
      </c>
      <c r="AK30" s="38">
        <v>0.59809999999999997</v>
      </c>
      <c r="AL30" s="157">
        <f>U30*PA_8[[#This Row],[Lost PoA(Wh/m2)]]*81.6%</f>
        <v>3619.7174683200001</v>
      </c>
      <c r="AM30" s="157"/>
    </row>
    <row r="31" spans="1:39">
      <c r="A31" s="153">
        <v>30</v>
      </c>
      <c r="B31" s="154">
        <v>45798</v>
      </c>
      <c r="C31" s="187">
        <f>YEAR(PA_8[[#This Row],[Date]])+IF(MONTH(PA_8[[#This Row],[Date]])&gt;=4,1,0)</f>
        <v>2026</v>
      </c>
      <c r="D31" s="34">
        <f>YEAR(PA_8[[#This Row],[Date]])</f>
        <v>2025</v>
      </c>
      <c r="E31" s="155" t="s">
        <v>325</v>
      </c>
      <c r="F31" s="155" t="s">
        <v>325</v>
      </c>
      <c r="G31" s="175">
        <f>PA_8[[#This Row],[Date]]-DAY(PA_8[[#This Row],[Date]])+1</f>
        <v>45778</v>
      </c>
      <c r="H31" s="34">
        <f>DAY(EOMONTH(PA_8[[#This Row],[Month Year]],0))</f>
        <v>31</v>
      </c>
      <c r="I31" s="36">
        <f>IFERROR(_xlfn.XLOOKUP(PA_8[[#This Row],[Date]],Input_Raw!$A:$A,Input_Raw!F:F),"")</f>
        <v>0.26944444444444443</v>
      </c>
      <c r="J31" s="36">
        <f>IFERROR(_xlfn.XLOOKUP(PA_8[[#This Row],[Date]],Input_Raw!$A:$A,Input_Raw!G:G),"")</f>
        <v>0.77638888888888891</v>
      </c>
      <c r="K31" s="37">
        <f>IFERROR((PA_8[[#This Row],[Sunset Time (POA&lt;20 W/m2)]]-PA_8[[#This Row],[Sunrise Time (POA&gt;20 W/m2)]])*24,"")</f>
        <v>12.166666666666666</v>
      </c>
      <c r="L31" s="155" t="s">
        <v>409</v>
      </c>
      <c r="M31" s="35" t="s">
        <v>370</v>
      </c>
      <c r="N31" s="35"/>
      <c r="O31" s="38"/>
      <c r="P31" s="38"/>
      <c r="Q31" s="35"/>
      <c r="R31" s="34">
        <f>IF((PA_8[[#This Row],[String Type(If String BD)]]&amp;PA_8[[#This Row],[Equipment (If any BD other than PV  array and inv)]])="",1,0)</f>
        <v>1</v>
      </c>
      <c r="S31" s="34">
        <f>IF(PA_8[[#This Row],[String Type(If String BD)]]="",1,0)</f>
        <v>1</v>
      </c>
      <c r="T3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31" s="37">
        <f>IFERROR(_xlfn.XLOOKUP(PA_8[[#This Row],[Affected Equipment ]],'Basic Data'!$P:$P,'Basic Data'!$S:$S),"")</f>
        <v>3030.5</v>
      </c>
      <c r="V31" s="322">
        <f>IFERROR(_xlfn.XLOOKUP(PA_8[[#This Row],[Affected Equipment ]],'Basic Data'!$P:$P,'Basic Data'!$T:$T),"")</f>
        <v>2.501341257067393E-2</v>
      </c>
      <c r="W31" s="306" t="s">
        <v>330</v>
      </c>
      <c r="X31" s="274" t="s">
        <v>1103</v>
      </c>
      <c r="Y31" s="274" t="s">
        <v>1103</v>
      </c>
      <c r="Z31" s="273">
        <v>0.4201388888888889</v>
      </c>
      <c r="AA31" s="39"/>
      <c r="AB31" s="40">
        <v>0.77222222222222225</v>
      </c>
      <c r="AC31" s="273"/>
      <c r="AD31" s="41">
        <f>IF(PA_8[[#This Row],[Acknowledgement Time ]]="NA","",(PA_8[[#This Row],[Acknowledgement Time ]]-PA_8[[#This Row],[Fault Time]])*24)</f>
        <v>-10.083333333333334</v>
      </c>
      <c r="AE31" s="41">
        <f>IF(PA_8[[#This Row],[Work Start time on Fault]]="NA","",(PA_8[[#This Row],[Work Start time on Fault]]-PA_8[[#This Row],[Fault Time]])*24)</f>
        <v>8.4500000000000011</v>
      </c>
      <c r="AF31" s="42" t="str">
        <f>IF(PA_8[[#This Row],[Status]]="Open","",(PA_8[[#This Row],[Work Completion time on fault]]-PA_8[[#This Row],[Fault Time]])*24)</f>
        <v/>
      </c>
      <c r="AG31" s="41">
        <f>IFERROR((PA_8[[#This Row],[Work Completion time on fault]]-PA_8[[#This Row],[Fault Time]])*24,"")</f>
        <v>-10.083333333333334</v>
      </c>
      <c r="AH31" s="38" t="s">
        <v>1104</v>
      </c>
      <c r="AI31" s="155" t="s">
        <v>360</v>
      </c>
      <c r="AJ31" s="37">
        <f>IFERROR(PA_8[[#This Row],[Breakdown Time]]*PA_8[[#This Row],[Plant Equivalent Weightage]],"")</f>
        <v>-0.25221857675429549</v>
      </c>
      <c r="AK31" s="275">
        <v>4.938241274999994</v>
      </c>
      <c r="AL31" s="157">
        <f>U31*PA_8[[#This Row],[Lost PoA(Wh/m2)]]*81.6%</f>
        <v>12211.717590052183</v>
      </c>
      <c r="AM31" s="157"/>
    </row>
    <row r="32" spans="1:39">
      <c r="A32" s="153">
        <v>31</v>
      </c>
      <c r="B32" s="154">
        <v>45798</v>
      </c>
      <c r="C32" s="187">
        <f>YEAR(PA_8[[#This Row],[Date]])+IF(MONTH(PA_8[[#This Row],[Date]])&gt;=4,1,0)</f>
        <v>2026</v>
      </c>
      <c r="D32" s="34">
        <f>YEAR(PA_8[[#This Row],[Date]])</f>
        <v>2025</v>
      </c>
      <c r="E32" s="155" t="s">
        <v>325</v>
      </c>
      <c r="F32" s="155" t="s">
        <v>325</v>
      </c>
      <c r="G32" s="175">
        <f>PA_8[[#This Row],[Date]]-DAY(PA_8[[#This Row],[Date]])+1</f>
        <v>45778</v>
      </c>
      <c r="H32" s="34">
        <f>DAY(EOMONTH(PA_8[[#This Row],[Month Year]],0))</f>
        <v>31</v>
      </c>
      <c r="I32" s="36">
        <f>IFERROR(_xlfn.XLOOKUP(PA_8[[#This Row],[Date]],Input_Raw!$A:$A,Input_Raw!F:F),"")</f>
        <v>0.26944444444444443</v>
      </c>
      <c r="J32" s="36">
        <f>IFERROR(_xlfn.XLOOKUP(PA_8[[#This Row],[Date]],Input_Raw!$A:$A,Input_Raw!G:G),"")</f>
        <v>0.77638888888888891</v>
      </c>
      <c r="K32" s="37">
        <f>IFERROR((PA_8[[#This Row],[Sunset Time (POA&lt;20 W/m2)]]-PA_8[[#This Row],[Sunrise Time (POA&gt;20 W/m2)]])*24,"")</f>
        <v>12.166666666666666</v>
      </c>
      <c r="L32" s="155" t="s">
        <v>409</v>
      </c>
      <c r="M32" s="35" t="s">
        <v>377</v>
      </c>
      <c r="N32" s="35"/>
      <c r="O32" s="38"/>
      <c r="P32" s="38"/>
      <c r="Q32" s="35"/>
      <c r="R32" s="34">
        <f>IF((PA_8[[#This Row],[String Type(If String BD)]]&amp;PA_8[[#This Row],[Equipment (If any BD other than PV  array and inv)]])="",1,0)</f>
        <v>1</v>
      </c>
      <c r="S32" s="34">
        <f>IF(PA_8[[#This Row],[String Type(If String BD)]]="",1,0)</f>
        <v>1</v>
      </c>
      <c r="T3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32" s="37">
        <f>IFERROR(_xlfn.XLOOKUP(PA_8[[#This Row],[Affected Equipment ]],'Basic Data'!$P:$P,'Basic Data'!$S:$S),"")</f>
        <v>2360.6</v>
      </c>
      <c r="V32" s="325">
        <f>IFERROR(_xlfn.XLOOKUP(PA_8[[#This Row],[Affected Equipment ]],'Basic Data'!$P:$P,'Basic Data'!$T:$T),"")</f>
        <v>1.9484131897156535E-2</v>
      </c>
      <c r="W32" s="306" t="s">
        <v>330</v>
      </c>
      <c r="X32" s="274" t="s">
        <v>1103</v>
      </c>
      <c r="Y32" s="274" t="s">
        <v>1103</v>
      </c>
      <c r="Z32" s="273">
        <v>0.4201388888888889</v>
      </c>
      <c r="AA32" s="39"/>
      <c r="AB32" s="40">
        <v>0.77222222222222225</v>
      </c>
      <c r="AC32" s="273"/>
      <c r="AD32" s="41">
        <f>IF(PA_8[[#This Row],[Acknowledgement Time ]]="NA","",(PA_8[[#This Row],[Acknowledgement Time ]]-PA_8[[#This Row],[Fault Time]])*24)</f>
        <v>-10.083333333333334</v>
      </c>
      <c r="AE32" s="41">
        <f>IF(PA_8[[#This Row],[Work Start time on Fault]]="NA","",(PA_8[[#This Row],[Work Start time on Fault]]-PA_8[[#This Row],[Fault Time]])*24)</f>
        <v>8.4500000000000011</v>
      </c>
      <c r="AF32" s="42" t="str">
        <f>IF(PA_8[[#This Row],[Status]]="Open","",(PA_8[[#This Row],[Work Completion time on fault]]-PA_8[[#This Row],[Fault Time]])*24)</f>
        <v/>
      </c>
      <c r="AG32" s="41">
        <f>IFERROR((PA_8[[#This Row],[Work Completion time on fault]]-PA_8[[#This Row],[Fault Time]])*24,"")</f>
        <v>-10.083333333333334</v>
      </c>
      <c r="AH32" s="38" t="s">
        <v>1104</v>
      </c>
      <c r="AI32" s="155" t="s">
        <v>360</v>
      </c>
      <c r="AJ32" s="37">
        <f>IFERROR(PA_8[[#This Row],[Breakdown Time]]*PA_8[[#This Row],[Plant Equivalent Weightage]],"")</f>
        <v>-0.19646499662966174</v>
      </c>
      <c r="AK32" s="275">
        <v>4.938241274999994</v>
      </c>
      <c r="AL32" s="157">
        <f>U32*PA_8[[#This Row],[Lost PoA(Wh/m2)]]*81.6%</f>
        <v>9512.2852806722276</v>
      </c>
      <c r="AM32" s="157"/>
    </row>
    <row r="33" spans="1:39">
      <c r="A33" s="153">
        <v>32</v>
      </c>
      <c r="B33" s="154">
        <v>45799</v>
      </c>
      <c r="C33" s="187">
        <f>YEAR(PA_8[[#This Row],[Date]])+IF(MONTH(PA_8[[#This Row],[Date]])&gt;=4,1,0)</f>
        <v>2026</v>
      </c>
      <c r="D33" s="34">
        <f>YEAR(PA_8[[#This Row],[Date]])</f>
        <v>2025</v>
      </c>
      <c r="E33" s="155" t="s">
        <v>325</v>
      </c>
      <c r="F33" s="155" t="s">
        <v>325</v>
      </c>
      <c r="G33" s="175">
        <f>PA_8[[#This Row],[Date]]-DAY(PA_8[[#This Row],[Date]])+1</f>
        <v>45778</v>
      </c>
      <c r="H33" s="34">
        <f>DAY(EOMONTH(PA_8[[#This Row],[Month Year]],0))</f>
        <v>31</v>
      </c>
      <c r="I33" s="36">
        <f>IFERROR(_xlfn.XLOOKUP(PA_8[[#This Row],[Date]],Input_Raw!$A:$A,Input_Raw!F:F),"")</f>
        <v>0.25069444444444444</v>
      </c>
      <c r="J33" s="36">
        <f>IFERROR(_xlfn.XLOOKUP(PA_8[[#This Row],[Date]],Input_Raw!$A:$A,Input_Raw!G:G),"")</f>
        <v>0.7729166666666667</v>
      </c>
      <c r="K33" s="37">
        <f>IFERROR((PA_8[[#This Row],[Sunset Time (POA&lt;20 W/m2)]]-PA_8[[#This Row],[Sunrise Time (POA&gt;20 W/m2)]])*24,"")</f>
        <v>12.533333333333335</v>
      </c>
      <c r="L33" s="155" t="s">
        <v>409</v>
      </c>
      <c r="M33" s="35" t="s">
        <v>370</v>
      </c>
      <c r="N33" s="35"/>
      <c r="O33" s="38"/>
      <c r="P33" s="38"/>
      <c r="Q33" s="35"/>
      <c r="R33" s="34">
        <f>IF((PA_8[[#This Row],[String Type(If String BD)]]&amp;PA_8[[#This Row],[Equipment (If any BD other than PV  array and inv)]])="",1,0)</f>
        <v>1</v>
      </c>
      <c r="S33" s="34">
        <f>IF(PA_8[[#This Row],[String Type(If String BD)]]="",1,0)</f>
        <v>1</v>
      </c>
      <c r="T3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33" s="37">
        <f>IFERROR(_xlfn.XLOOKUP(PA_8[[#This Row],[Affected Equipment ]],'Basic Data'!$P:$P,'Basic Data'!$S:$S),"")</f>
        <v>3030.5</v>
      </c>
      <c r="V33" s="322">
        <f>IFERROR(_xlfn.XLOOKUP(PA_8[[#This Row],[Affected Equipment ]],'Basic Data'!$P:$P,'Basic Data'!$T:$T),"")</f>
        <v>2.501341257067393E-2</v>
      </c>
      <c r="W33" s="306" t="s">
        <v>330</v>
      </c>
      <c r="X33" s="274" t="s">
        <v>1103</v>
      </c>
      <c r="Y33" s="274" t="s">
        <v>1103</v>
      </c>
      <c r="Z33" s="273">
        <v>0.2722222222222222</v>
      </c>
      <c r="AA33" s="39"/>
      <c r="AB33" s="40">
        <v>0.77222222222222225</v>
      </c>
      <c r="AC33" s="273"/>
      <c r="AD33" s="41">
        <f>IF(PA_8[[#This Row],[Acknowledgement Time ]]="NA","",(PA_8[[#This Row],[Acknowledgement Time ]]-PA_8[[#This Row],[Fault Time]])*24)</f>
        <v>-6.5333333333333332</v>
      </c>
      <c r="AE33" s="41">
        <f>IF(PA_8[[#This Row],[Work Start time on Fault]]="NA","",(PA_8[[#This Row],[Work Start time on Fault]]-PA_8[[#This Row],[Fault Time]])*24)</f>
        <v>12</v>
      </c>
      <c r="AF33" s="42" t="str">
        <f>IF(PA_8[[#This Row],[Status]]="Open","",(PA_8[[#This Row],[Work Completion time on fault]]-PA_8[[#This Row],[Fault Time]])*24)</f>
        <v/>
      </c>
      <c r="AG33" s="41">
        <f>IFERROR((PA_8[[#This Row],[Work Completion time on fault]]-PA_8[[#This Row],[Fault Time]])*24,"")</f>
        <v>-6.5333333333333332</v>
      </c>
      <c r="AH33" s="38" t="s">
        <v>1104</v>
      </c>
      <c r="AI33" s="155" t="s">
        <v>360</v>
      </c>
      <c r="AJ33" s="37">
        <f>IFERROR(PA_8[[#This Row],[Breakdown Time]]*PA_8[[#This Row],[Plant Equivalent Weightage]],"")</f>
        <v>-0.16342096212840301</v>
      </c>
      <c r="AK33" s="275">
        <v>6.2420594250000008</v>
      </c>
      <c r="AL33" s="157">
        <f>U33*PA_8[[#This Row],[Lost PoA(Wh/m2)]]*81.6%</f>
        <v>15435.9138473694</v>
      </c>
      <c r="AM33" s="157"/>
    </row>
    <row r="34" spans="1:39">
      <c r="A34" s="153">
        <v>33</v>
      </c>
      <c r="B34" s="154">
        <v>45799</v>
      </c>
      <c r="C34" s="187">
        <f>YEAR(PA_8[[#This Row],[Date]])+IF(MONTH(PA_8[[#This Row],[Date]])&gt;=4,1,0)</f>
        <v>2026</v>
      </c>
      <c r="D34" s="34">
        <f>YEAR(PA_8[[#This Row],[Date]])</f>
        <v>2025</v>
      </c>
      <c r="E34" s="155" t="s">
        <v>325</v>
      </c>
      <c r="F34" s="155" t="s">
        <v>325</v>
      </c>
      <c r="G34" s="175">
        <f>PA_8[[#This Row],[Date]]-DAY(PA_8[[#This Row],[Date]])+1</f>
        <v>45778</v>
      </c>
      <c r="H34" s="34">
        <f>DAY(EOMONTH(PA_8[[#This Row],[Month Year]],0))</f>
        <v>31</v>
      </c>
      <c r="I34" s="36">
        <f>IFERROR(_xlfn.XLOOKUP(PA_8[[#This Row],[Date]],Input_Raw!$A:$A,Input_Raw!F:F),"")</f>
        <v>0.25069444444444444</v>
      </c>
      <c r="J34" s="36">
        <f>IFERROR(_xlfn.XLOOKUP(PA_8[[#This Row],[Date]],Input_Raw!$A:$A,Input_Raw!G:G),"")</f>
        <v>0.7729166666666667</v>
      </c>
      <c r="K34" s="37">
        <f>IFERROR((PA_8[[#This Row],[Sunset Time (POA&lt;20 W/m2)]]-PA_8[[#This Row],[Sunrise Time (POA&gt;20 W/m2)]])*24,"")</f>
        <v>12.533333333333335</v>
      </c>
      <c r="L34" s="155" t="s">
        <v>409</v>
      </c>
      <c r="M34" s="35" t="s">
        <v>377</v>
      </c>
      <c r="N34" s="35"/>
      <c r="O34" s="38"/>
      <c r="P34" s="38"/>
      <c r="Q34" s="35"/>
      <c r="R34" s="34">
        <f>IF((PA_8[[#This Row],[String Type(If String BD)]]&amp;PA_8[[#This Row],[Equipment (If any BD other than PV  array and inv)]])="",1,0)</f>
        <v>1</v>
      </c>
      <c r="S34" s="34">
        <f>IF(PA_8[[#This Row],[String Type(If String BD)]]="",1,0)</f>
        <v>1</v>
      </c>
      <c r="T3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34" s="37">
        <f>IFERROR(_xlfn.XLOOKUP(PA_8[[#This Row],[Affected Equipment ]],'Basic Data'!$P:$P,'Basic Data'!$S:$S),"")</f>
        <v>2360.6</v>
      </c>
      <c r="V34" s="325">
        <f>IFERROR(_xlfn.XLOOKUP(PA_8[[#This Row],[Affected Equipment ]],'Basic Data'!$P:$P,'Basic Data'!$T:$T),"")</f>
        <v>1.9484131897156535E-2</v>
      </c>
      <c r="W34" s="306" t="s">
        <v>330</v>
      </c>
      <c r="X34" s="274" t="s">
        <v>1103</v>
      </c>
      <c r="Y34" s="274" t="s">
        <v>1103</v>
      </c>
      <c r="Z34" s="273">
        <v>0.2722222222222222</v>
      </c>
      <c r="AA34" s="39"/>
      <c r="AB34" s="40">
        <v>0.77222222222222225</v>
      </c>
      <c r="AC34" s="273"/>
      <c r="AD34" s="41">
        <f>IF(PA_8[[#This Row],[Acknowledgement Time ]]="NA","",(PA_8[[#This Row],[Acknowledgement Time ]]-PA_8[[#This Row],[Fault Time]])*24)</f>
        <v>-6.5333333333333332</v>
      </c>
      <c r="AE34" s="41">
        <f>IF(PA_8[[#This Row],[Work Start time on Fault]]="NA","",(PA_8[[#This Row],[Work Start time on Fault]]-PA_8[[#This Row],[Fault Time]])*24)</f>
        <v>12</v>
      </c>
      <c r="AF34" s="42" t="str">
        <f>IF(PA_8[[#This Row],[Status]]="Open","",(PA_8[[#This Row],[Work Completion time on fault]]-PA_8[[#This Row],[Fault Time]])*24)</f>
        <v/>
      </c>
      <c r="AG34" s="41">
        <f>IFERROR((PA_8[[#This Row],[Work Completion time on fault]]-PA_8[[#This Row],[Fault Time]])*24,"")</f>
        <v>-6.5333333333333332</v>
      </c>
      <c r="AH34" s="38" t="s">
        <v>1104</v>
      </c>
      <c r="AI34" s="155" t="s">
        <v>360</v>
      </c>
      <c r="AJ34" s="37">
        <f>IFERROR(PA_8[[#This Row],[Breakdown Time]]*PA_8[[#This Row],[Plant Equivalent Weightage]],"")</f>
        <v>-0.12729632839475602</v>
      </c>
      <c r="AK34" s="275">
        <v>6.2420594250000008</v>
      </c>
      <c r="AL34" s="157">
        <f>U34*PA_8[[#This Row],[Lost PoA(Wh/m2)]]*81.6%</f>
        <v>12023.76447058248</v>
      </c>
      <c r="AM34" s="157"/>
    </row>
    <row r="35" spans="1:39">
      <c r="A35" s="153">
        <v>34</v>
      </c>
      <c r="B35" s="154">
        <v>45800</v>
      </c>
      <c r="C35" s="187">
        <f>YEAR(PA_8[[#This Row],[Date]])+IF(MONTH(PA_8[[#This Row],[Date]])&gt;=4,1,0)</f>
        <v>2026</v>
      </c>
      <c r="D35" s="34">
        <f>YEAR(PA_8[[#This Row],[Date]])</f>
        <v>2025</v>
      </c>
      <c r="E35" s="155" t="s">
        <v>325</v>
      </c>
      <c r="F35" s="155" t="s">
        <v>325</v>
      </c>
      <c r="G35" s="175">
        <f>PA_8[[#This Row],[Date]]-DAY(PA_8[[#This Row],[Date]])+1</f>
        <v>45778</v>
      </c>
      <c r="H35" s="34">
        <f>DAY(EOMONTH(PA_8[[#This Row],[Month Year]],0))</f>
        <v>31</v>
      </c>
      <c r="I35" s="36">
        <f>IFERROR(_xlfn.XLOOKUP(PA_8[[#This Row],[Date]],Input_Raw!$A:$A,Input_Raw!F:F),"")</f>
        <v>0.27430555555555558</v>
      </c>
      <c r="J35" s="36">
        <f>IFERROR(_xlfn.XLOOKUP(PA_8[[#This Row],[Date]],Input_Raw!$A:$A,Input_Raw!G:G),"")</f>
        <v>0.74722222222222223</v>
      </c>
      <c r="K35" s="37">
        <f>IFERROR((PA_8[[#This Row],[Sunset Time (POA&lt;20 W/m2)]]-PA_8[[#This Row],[Sunrise Time (POA&gt;20 W/m2)]])*24,"")</f>
        <v>11.35</v>
      </c>
      <c r="L35" s="155" t="s">
        <v>398</v>
      </c>
      <c r="M35" s="35" t="s">
        <v>350</v>
      </c>
      <c r="N35" s="35" t="s">
        <v>363</v>
      </c>
      <c r="O35" s="38" t="s">
        <v>384</v>
      </c>
      <c r="P35" s="38" t="s">
        <v>385</v>
      </c>
      <c r="Q35" s="35" t="s">
        <v>1094</v>
      </c>
      <c r="R35" s="34">
        <f>IF((PA_8[[#This Row],[String Type(If String BD)]]&amp;PA_8[[#This Row],[Equipment (If any BD other than PV  array and inv)]])="",1,0)</f>
        <v>0</v>
      </c>
      <c r="S35" s="34">
        <f>IF(PA_8[[#This Row],[String Type(If String BD)]]="",1,0)</f>
        <v>0</v>
      </c>
      <c r="T3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Str_Typ5(545*58)</v>
      </c>
      <c r="U35" s="37">
        <f>IFERROR(_xlfn.XLOOKUP(PA_8[[#This Row],[Affected Equipment ]],'Basic Data'!$P:$P,'Basic Data'!$S:$S),"")</f>
        <v>31.61</v>
      </c>
      <c r="V35" s="322">
        <f>IFERROR(_xlfn.XLOOKUP(PA_8[[#This Row],[Affected Equipment ]],'Basic Data'!$P:$P,'Basic Data'!$T:$T),"")</f>
        <v>2.6090545169411085E-4</v>
      </c>
      <c r="W35" s="306" t="s">
        <v>1105</v>
      </c>
      <c r="X35" s="274" t="s">
        <v>1106</v>
      </c>
      <c r="Y35" s="274" t="s">
        <v>1107</v>
      </c>
      <c r="Z35" s="273">
        <v>0.60416666666666663</v>
      </c>
      <c r="AA35" s="39"/>
      <c r="AB35" s="40">
        <v>0.72916666666666663</v>
      </c>
      <c r="AC35" s="273">
        <v>0.77083333333333337</v>
      </c>
      <c r="AD35" s="41">
        <f>IF(PA_8[[#This Row],[Acknowledgement Time ]]="NA","",(PA_8[[#This Row],[Acknowledgement Time ]]-PA_8[[#This Row],[Fault Time]])*24)</f>
        <v>-14.5</v>
      </c>
      <c r="AE35" s="41">
        <f>IF(PA_8[[#This Row],[Work Start time on Fault]]="NA","",(PA_8[[#This Row],[Work Start time on Fault]]-PA_8[[#This Row],[Fault Time]])*24)</f>
        <v>3</v>
      </c>
      <c r="AF35" s="42">
        <f>IF(PA_8[[#This Row],[Status]]="Open","",(PA_8[[#This Row],[Work Completion time on fault]]-PA_8[[#This Row],[Fault Time]])*24)</f>
        <v>4.0000000000000018</v>
      </c>
      <c r="AG35" s="41">
        <f>IFERROR((PA_8[[#This Row],[Work Completion time on fault]]-PA_8[[#This Row],[Fault Time]])*24,"")</f>
        <v>4.0000000000000018</v>
      </c>
      <c r="AH35" s="38" t="s">
        <v>1108</v>
      </c>
      <c r="AI35" s="155" t="s">
        <v>368</v>
      </c>
      <c r="AJ35" s="37">
        <f>IFERROR(PA_8[[#This Row],[Breakdown Time]]*PA_8[[#This Row],[Plant Equivalent Weightage]],"")</f>
        <v>1.0436218067764438E-3</v>
      </c>
      <c r="AK35" s="275">
        <v>2.54</v>
      </c>
      <c r="AL35" s="157">
        <f>U35*PA_8[[#This Row],[Lost PoA(Wh/m2)]]*81.6%</f>
        <v>65.516150400000001</v>
      </c>
      <c r="AM35" s="157"/>
    </row>
    <row r="36" spans="1:39">
      <c r="A36" s="153">
        <v>35</v>
      </c>
      <c r="B36" s="154">
        <v>45800</v>
      </c>
      <c r="C36" s="187">
        <f>YEAR(PA_8[[#This Row],[Date]])+IF(MONTH(PA_8[[#This Row],[Date]])&gt;=4,1,0)</f>
        <v>2026</v>
      </c>
      <c r="D36" s="34">
        <f>YEAR(PA_8[[#This Row],[Date]])</f>
        <v>2025</v>
      </c>
      <c r="E36" s="155" t="s">
        <v>325</v>
      </c>
      <c r="F36" s="155" t="s">
        <v>325</v>
      </c>
      <c r="G36" s="175">
        <f>PA_8[[#This Row],[Date]]-DAY(PA_8[[#This Row],[Date]])+1</f>
        <v>45778</v>
      </c>
      <c r="H36" s="34">
        <f>DAY(EOMONTH(PA_8[[#This Row],[Month Year]],0))</f>
        <v>31</v>
      </c>
      <c r="I36" s="36">
        <f>IFERROR(_xlfn.XLOOKUP(PA_8[[#This Row],[Date]],Input_Raw!$A:$A,Input_Raw!F:F),"")</f>
        <v>0.27430555555555558</v>
      </c>
      <c r="J36" s="36">
        <f>IFERROR(_xlfn.XLOOKUP(PA_8[[#This Row],[Date]],Input_Raw!$A:$A,Input_Raw!G:G),"")</f>
        <v>0.74722222222222223</v>
      </c>
      <c r="K36" s="37">
        <f>IFERROR((PA_8[[#This Row],[Sunset Time (POA&lt;20 W/m2)]]-PA_8[[#This Row],[Sunrise Time (POA&gt;20 W/m2)]])*24,"")</f>
        <v>11.35</v>
      </c>
      <c r="L36" s="155" t="s">
        <v>409</v>
      </c>
      <c r="M36" s="35" t="s">
        <v>370</v>
      </c>
      <c r="N36" s="35"/>
      <c r="O36" s="38"/>
      <c r="P36" s="38"/>
      <c r="Q36" s="35"/>
      <c r="R36" s="34">
        <f>IF((PA_8[[#This Row],[String Type(If String BD)]]&amp;PA_8[[#This Row],[Equipment (If any BD other than PV  array and inv)]])="",1,0)</f>
        <v>1</v>
      </c>
      <c r="S36" s="34">
        <f>IF(PA_8[[#This Row],[String Type(If String BD)]]="",1,0)</f>
        <v>1</v>
      </c>
      <c r="T3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36" s="37">
        <f>IFERROR(_xlfn.XLOOKUP(PA_8[[#This Row],[Affected Equipment ]],'Basic Data'!$P:$P,'Basic Data'!$S:$S),"")</f>
        <v>3030.5</v>
      </c>
      <c r="V36" s="322">
        <f>IFERROR(_xlfn.XLOOKUP(PA_8[[#This Row],[Affected Equipment ]],'Basic Data'!$P:$P,'Basic Data'!$T:$T),"")</f>
        <v>2.501341257067393E-2</v>
      </c>
      <c r="W36" s="306" t="s">
        <v>330</v>
      </c>
      <c r="X36" s="274" t="s">
        <v>1103</v>
      </c>
      <c r="Y36" s="274" t="s">
        <v>1103</v>
      </c>
      <c r="Z36" s="273">
        <v>0.2722222222222222</v>
      </c>
      <c r="AA36" s="39"/>
      <c r="AB36" s="40">
        <v>0.77222222222222225</v>
      </c>
      <c r="AC36" s="273"/>
      <c r="AD36" s="41">
        <f>IF(PA_8[[#This Row],[Acknowledgement Time ]]="NA","",(PA_8[[#This Row],[Acknowledgement Time ]]-PA_8[[#This Row],[Fault Time]])*24)</f>
        <v>-6.5333333333333332</v>
      </c>
      <c r="AE36" s="41">
        <f>IF(PA_8[[#This Row],[Work Start time on Fault]]="NA","",(PA_8[[#This Row],[Work Start time on Fault]]-PA_8[[#This Row],[Fault Time]])*24)</f>
        <v>12</v>
      </c>
      <c r="AF36" s="42" t="str">
        <f>IF(PA_8[[#This Row],[Status]]="Open","",(PA_8[[#This Row],[Work Completion time on fault]]-PA_8[[#This Row],[Fault Time]])*24)</f>
        <v/>
      </c>
      <c r="AG36" s="41">
        <f>IFERROR((PA_8[[#This Row],[Work Completion time on fault]]-PA_8[[#This Row],[Fault Time]])*24,"")</f>
        <v>-6.5333333333333332</v>
      </c>
      <c r="AH36" s="38" t="s">
        <v>1104</v>
      </c>
      <c r="AI36" s="155" t="s">
        <v>360</v>
      </c>
      <c r="AJ36" s="37">
        <f>IFERROR(PA_8[[#This Row],[Breakdown Time]]*PA_8[[#This Row],[Plant Equivalent Weightage]],"")</f>
        <v>-0.16342096212840301</v>
      </c>
      <c r="AK36" s="275">
        <v>2.6424233416666665</v>
      </c>
      <c r="AL36" s="157">
        <f>U36*PA_8[[#This Row],[Lost PoA(Wh/m2)]]*81.6%</f>
        <v>6534.4169725273996</v>
      </c>
      <c r="AM36" s="157"/>
    </row>
    <row r="37" spans="1:39">
      <c r="A37" s="153"/>
      <c r="B37" s="154">
        <v>45800</v>
      </c>
      <c r="C37" s="187">
        <f>YEAR(PA_8[[#This Row],[Date]])+IF(MONTH(PA_8[[#This Row],[Date]])&gt;=4,1,0)</f>
        <v>2026</v>
      </c>
      <c r="D37" s="34">
        <f>YEAR(PA_8[[#This Row],[Date]])</f>
        <v>2025</v>
      </c>
      <c r="E37" s="155" t="s">
        <v>325</v>
      </c>
      <c r="F37" s="155" t="s">
        <v>325</v>
      </c>
      <c r="G37" s="175">
        <f>PA_8[[#This Row],[Date]]-DAY(PA_8[[#This Row],[Date]])+1</f>
        <v>45778</v>
      </c>
      <c r="H37" s="34">
        <f>DAY(EOMONTH(PA_8[[#This Row],[Month Year]],0))</f>
        <v>31</v>
      </c>
      <c r="I37" s="36">
        <f>IFERROR(_xlfn.XLOOKUP(PA_8[[#This Row],[Date]],Input_Raw!$A:$A,Input_Raw!F:F),"")</f>
        <v>0.27430555555555558</v>
      </c>
      <c r="J37" s="36">
        <f>IFERROR(_xlfn.XLOOKUP(PA_8[[#This Row],[Date]],Input_Raw!$A:$A,Input_Raw!G:G),"")</f>
        <v>0.74722222222222223</v>
      </c>
      <c r="K37" s="37">
        <f>IFERROR((PA_8[[#This Row],[Sunset Time (POA&lt;20 W/m2)]]-PA_8[[#This Row],[Sunrise Time (POA&gt;20 W/m2)]])*24,"")</f>
        <v>11.35</v>
      </c>
      <c r="L37" s="155" t="s">
        <v>409</v>
      </c>
      <c r="M37" s="35" t="s">
        <v>377</v>
      </c>
      <c r="N37" s="35"/>
      <c r="O37" s="38"/>
      <c r="P37" s="38"/>
      <c r="Q37" s="35"/>
      <c r="R37" s="34">
        <f>IF((PA_8[[#This Row],[String Type(If String BD)]]&amp;PA_8[[#This Row],[Equipment (If any BD other than PV  array and inv)]])="",1,0)</f>
        <v>1</v>
      </c>
      <c r="S37" s="34">
        <f>IF(PA_8[[#This Row],[String Type(If String BD)]]="",1,0)</f>
        <v>1</v>
      </c>
      <c r="T3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37" s="37">
        <f>IFERROR(_xlfn.XLOOKUP(PA_8[[#This Row],[Affected Equipment ]],'Basic Data'!$P:$P,'Basic Data'!$S:$S),"")</f>
        <v>2360.6</v>
      </c>
      <c r="V37" s="325">
        <f>IFERROR(_xlfn.XLOOKUP(PA_8[[#This Row],[Affected Equipment ]],'Basic Data'!$P:$P,'Basic Data'!$T:$T),"")</f>
        <v>1.9484131897156535E-2</v>
      </c>
      <c r="W37" s="306" t="s">
        <v>330</v>
      </c>
      <c r="X37" s="274" t="s">
        <v>1103</v>
      </c>
      <c r="Y37" s="274" t="s">
        <v>1103</v>
      </c>
      <c r="Z37" s="273">
        <v>0.2722222222222222</v>
      </c>
      <c r="AA37" s="39"/>
      <c r="AB37" s="40">
        <v>0.77222222222222225</v>
      </c>
      <c r="AC37" s="273"/>
      <c r="AD37" s="41">
        <f>IF(PA_8[[#This Row],[Acknowledgement Time ]]="NA","",(PA_8[[#This Row],[Acknowledgement Time ]]-PA_8[[#This Row],[Fault Time]])*24)</f>
        <v>-6.5333333333333332</v>
      </c>
      <c r="AE37" s="41">
        <f>IF(PA_8[[#This Row],[Work Start time on Fault]]="NA","",(PA_8[[#This Row],[Work Start time on Fault]]-PA_8[[#This Row],[Fault Time]])*24)</f>
        <v>12</v>
      </c>
      <c r="AF37" s="42" t="str">
        <f>IF(PA_8[[#This Row],[Status]]="Open","",(PA_8[[#This Row],[Work Completion time on fault]]-PA_8[[#This Row],[Fault Time]])*24)</f>
        <v/>
      </c>
      <c r="AG37" s="41">
        <f>IFERROR((PA_8[[#This Row],[Work Completion time on fault]]-PA_8[[#This Row],[Fault Time]])*24,"")</f>
        <v>-6.5333333333333332</v>
      </c>
      <c r="AH37" s="38" t="s">
        <v>1104</v>
      </c>
      <c r="AI37" s="155" t="s">
        <v>360</v>
      </c>
      <c r="AJ37" s="37">
        <f>IFERROR(PA_8[[#This Row],[Breakdown Time]]*PA_8[[#This Row],[Plant Equivalent Weightage]],"")</f>
        <v>-0.12729632839475602</v>
      </c>
      <c r="AK37" s="275">
        <v>2.6424233416666665</v>
      </c>
      <c r="AL37" s="157">
        <f>U37*PA_8[[#This Row],[Lost PoA(Wh/m2)]]*81.6%</f>
        <v>5089.9669049160793</v>
      </c>
      <c r="AM37" s="157"/>
    </row>
    <row r="38" spans="1:39">
      <c r="A38" s="153">
        <v>36</v>
      </c>
      <c r="B38" s="154">
        <v>45801</v>
      </c>
      <c r="C38" s="276">
        <f>YEAR(PA_8[[#This Row],[Date]])+IF(MONTH(PA_8[[#This Row],[Date]])&gt;=4,1,0)</f>
        <v>2026</v>
      </c>
      <c r="D38" s="277">
        <f>YEAR(PA_8[[#This Row],[Date]])</f>
        <v>2025</v>
      </c>
      <c r="E38" s="155" t="s">
        <v>325</v>
      </c>
      <c r="F38" s="155" t="s">
        <v>325</v>
      </c>
      <c r="G38" s="278">
        <f>PA_8[[#This Row],[Date]]-DAY(PA_8[[#This Row],[Date]])+1</f>
        <v>45778</v>
      </c>
      <c r="H38" s="277">
        <f>DAY(EOMONTH(PA_8[[#This Row],[Month Year]],0))</f>
        <v>31</v>
      </c>
      <c r="I38" s="279">
        <f>IFERROR(_xlfn.XLOOKUP(PA_8[[#This Row],[Date]],Input_Raw!$A:$A,Input_Raw!F:F),"")</f>
        <v>0.26250000000000001</v>
      </c>
      <c r="J38" s="279">
        <f>IFERROR(_xlfn.XLOOKUP(PA_8[[#This Row],[Date]],Input_Raw!$A:$A,Input_Raw!G:G),"")</f>
        <v>0.76736111111111116</v>
      </c>
      <c r="K38" s="37">
        <f>IFERROR((PA_8[[#This Row],[Sunset Time (POA&lt;20 W/m2)]]-PA_8[[#This Row],[Sunrise Time (POA&gt;20 W/m2)]])*24,"")</f>
        <v>12.116666666666669</v>
      </c>
      <c r="L38" s="155" t="s">
        <v>409</v>
      </c>
      <c r="M38" s="35" t="s">
        <v>370</v>
      </c>
      <c r="N38" s="280"/>
      <c r="O38" s="281"/>
      <c r="P38" s="281"/>
      <c r="Q38" s="35"/>
      <c r="R38" s="277">
        <f>IF((PA_8[[#This Row],[String Type(If String BD)]]&amp;PA_8[[#This Row],[Equipment (If any BD other than PV  array and inv)]])="",1,0)</f>
        <v>1</v>
      </c>
      <c r="S38" s="277">
        <f>IF(PA_8[[#This Row],[String Type(If String BD)]]="",1,0)</f>
        <v>1</v>
      </c>
      <c r="T38" s="277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38" s="37">
        <f>IFERROR(_xlfn.XLOOKUP(PA_8[[#This Row],[Affected Equipment ]],'Basic Data'!$P:$P,'Basic Data'!$S:$S),"")</f>
        <v>3030.5</v>
      </c>
      <c r="V38" s="322">
        <f>IFERROR(_xlfn.XLOOKUP(PA_8[[#This Row],[Affected Equipment ]],'Basic Data'!$P:$P,'Basic Data'!$T:$T),"")</f>
        <v>2.501341257067393E-2</v>
      </c>
      <c r="W38" s="306" t="s">
        <v>330</v>
      </c>
      <c r="X38" s="274" t="s">
        <v>1103</v>
      </c>
      <c r="Y38" s="274" t="s">
        <v>1103</v>
      </c>
      <c r="Z38" s="273">
        <v>0.2722222222222222</v>
      </c>
      <c r="AA38" s="39"/>
      <c r="AB38" s="40">
        <v>0.77222222222222225</v>
      </c>
      <c r="AC38" s="282"/>
      <c r="AD38" s="283">
        <f>IF(PA_8[[#This Row],[Acknowledgement Time ]]="NA","",(PA_8[[#This Row],[Acknowledgement Time ]]-PA_8[[#This Row],[Fault Time]])*24)</f>
        <v>-6.5333333333333332</v>
      </c>
      <c r="AE38" s="283">
        <f>IF(PA_8[[#This Row],[Work Start time on Fault]]="NA","",(PA_8[[#This Row],[Work Start time on Fault]]-PA_8[[#This Row],[Fault Time]])*24)</f>
        <v>12</v>
      </c>
      <c r="AF38" s="284" t="str">
        <f>IF(PA_8[[#This Row],[Status]]="Open","",(PA_8[[#This Row],[Work Completion time on fault]]-PA_8[[#This Row],[Fault Time]])*24)</f>
        <v/>
      </c>
      <c r="AG38" s="283">
        <f>IFERROR((PA_8[[#This Row],[Work Completion time on fault]]-PA_8[[#This Row],[Fault Time]])*24,"")</f>
        <v>-6.5333333333333332</v>
      </c>
      <c r="AH38" s="38" t="s">
        <v>1104</v>
      </c>
      <c r="AI38" s="155" t="s">
        <v>360</v>
      </c>
      <c r="AJ38" s="285">
        <f>IFERROR(PA_8[[#This Row],[Breakdown Time]]*PA_8[[#This Row],[Plant Equivalent Weightage]],"")</f>
        <v>-0.16342096212840301</v>
      </c>
      <c r="AK38" s="286">
        <v>3.5202772916666696</v>
      </c>
      <c r="AL38" s="157">
        <f>U38*PA_8[[#This Row],[Lost PoA(Wh/m2)]]*81.6%</f>
        <v>8705.2514712350057</v>
      </c>
      <c r="AM38" s="287"/>
    </row>
    <row r="39" spans="1:39">
      <c r="A39" s="153"/>
      <c r="B39" s="154">
        <v>45801</v>
      </c>
      <c r="C39" s="187">
        <f>YEAR(PA_8[[#This Row],[Date]])+IF(MONTH(PA_8[[#This Row],[Date]])&gt;=4,1,0)</f>
        <v>2026</v>
      </c>
      <c r="D39" s="34">
        <f>YEAR(PA_8[[#This Row],[Date]])</f>
        <v>2025</v>
      </c>
      <c r="E39" s="155" t="s">
        <v>325</v>
      </c>
      <c r="F39" s="155" t="s">
        <v>325</v>
      </c>
      <c r="G39" s="175">
        <f>PA_8[[#This Row],[Date]]-DAY(PA_8[[#This Row],[Date]])+1</f>
        <v>45778</v>
      </c>
      <c r="H39" s="34">
        <f>DAY(EOMONTH(PA_8[[#This Row],[Month Year]],0))</f>
        <v>31</v>
      </c>
      <c r="I39" s="36">
        <f>IFERROR(_xlfn.XLOOKUP(PA_8[[#This Row],[Date]],Input_Raw!$A:$A,Input_Raw!F:F),"")</f>
        <v>0.26250000000000001</v>
      </c>
      <c r="J39" s="36">
        <f>IFERROR(_xlfn.XLOOKUP(PA_8[[#This Row],[Date]],Input_Raw!$A:$A,Input_Raw!G:G),"")</f>
        <v>0.76736111111111116</v>
      </c>
      <c r="K39" s="37">
        <f>IFERROR((PA_8[[#This Row],[Sunset Time (POA&lt;20 W/m2)]]-PA_8[[#This Row],[Sunrise Time (POA&gt;20 W/m2)]])*24,"")</f>
        <v>12.116666666666669</v>
      </c>
      <c r="L39" s="155" t="s">
        <v>409</v>
      </c>
      <c r="M39" s="35" t="s">
        <v>377</v>
      </c>
      <c r="N39" s="35"/>
      <c r="O39" s="38"/>
      <c r="P39" s="38"/>
      <c r="Q39" s="35"/>
      <c r="R39" s="34">
        <f>IF((PA_8[[#This Row],[String Type(If String BD)]]&amp;PA_8[[#This Row],[Equipment (If any BD other than PV  array and inv)]])="",1,0)</f>
        <v>1</v>
      </c>
      <c r="S39" s="34">
        <f>IF(PA_8[[#This Row],[String Type(If String BD)]]="",1,0)</f>
        <v>1</v>
      </c>
      <c r="T3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39" s="37">
        <f>IFERROR(_xlfn.XLOOKUP(PA_8[[#This Row],[Affected Equipment ]],'Basic Data'!$P:$P,'Basic Data'!$S:$S),"")</f>
        <v>2360.6</v>
      </c>
      <c r="V39" s="325">
        <f>IFERROR(_xlfn.XLOOKUP(PA_8[[#This Row],[Affected Equipment ]],'Basic Data'!$P:$P,'Basic Data'!$T:$T),"")</f>
        <v>1.9484131897156535E-2</v>
      </c>
      <c r="W39" s="306" t="s">
        <v>330</v>
      </c>
      <c r="X39" s="274" t="s">
        <v>1103</v>
      </c>
      <c r="Y39" s="274" t="s">
        <v>1103</v>
      </c>
      <c r="Z39" s="273">
        <v>0.2722222222222222</v>
      </c>
      <c r="AA39" s="39"/>
      <c r="AB39" s="40">
        <v>0.77222222222222225</v>
      </c>
      <c r="AC39" s="273"/>
      <c r="AD39" s="41">
        <f>IF(PA_8[[#This Row],[Acknowledgement Time ]]="NA","",(PA_8[[#This Row],[Acknowledgement Time ]]-PA_8[[#This Row],[Fault Time]])*24)</f>
        <v>-6.5333333333333332</v>
      </c>
      <c r="AE39" s="41">
        <f>IF(PA_8[[#This Row],[Work Start time on Fault]]="NA","",(PA_8[[#This Row],[Work Start time on Fault]]-PA_8[[#This Row],[Fault Time]])*24)</f>
        <v>12</v>
      </c>
      <c r="AF39" s="42" t="str">
        <f>IF(PA_8[[#This Row],[Status]]="Open","",(PA_8[[#This Row],[Work Completion time on fault]]-PA_8[[#This Row],[Fault Time]])*24)</f>
        <v/>
      </c>
      <c r="AG39" s="41">
        <f>IFERROR((PA_8[[#This Row],[Work Completion time on fault]]-PA_8[[#This Row],[Fault Time]])*24,"")</f>
        <v>-6.5333333333333332</v>
      </c>
      <c r="AH39" s="38" t="s">
        <v>1104</v>
      </c>
      <c r="AI39" s="155" t="s">
        <v>360</v>
      </c>
      <c r="AJ39" s="37">
        <f>IFERROR(PA_8[[#This Row],[Breakdown Time]]*PA_8[[#This Row],[Plant Equivalent Weightage]],"")</f>
        <v>-0.12729632839475602</v>
      </c>
      <c r="AK39" s="286">
        <v>3.5202772916666696</v>
      </c>
      <c r="AL39" s="157">
        <f>U39*PA_8[[#This Row],[Lost PoA(Wh/m2)]]*81.6%</f>
        <v>6780.9327249620046</v>
      </c>
      <c r="AM39" s="157"/>
    </row>
    <row r="40" spans="1:39">
      <c r="A40" s="153">
        <v>37</v>
      </c>
      <c r="B40" s="154">
        <v>45801</v>
      </c>
      <c r="C40" s="187">
        <f>YEAR(PA_8[[#This Row],[Date]])+IF(MONTH(PA_8[[#This Row],[Date]])&gt;=4,1,0)</f>
        <v>2026</v>
      </c>
      <c r="D40" s="34">
        <f>YEAR(PA_8[[#This Row],[Date]])</f>
        <v>2025</v>
      </c>
      <c r="E40" s="155" t="s">
        <v>325</v>
      </c>
      <c r="F40" s="155" t="s">
        <v>325</v>
      </c>
      <c r="G40" s="175">
        <f>PA_8[[#This Row],[Date]]-DAY(PA_8[[#This Row],[Date]])+1</f>
        <v>45778</v>
      </c>
      <c r="H40" s="34">
        <f>DAY(EOMONTH(PA_8[[#This Row],[Month Year]],0))</f>
        <v>31</v>
      </c>
      <c r="I40" s="36">
        <f>IFERROR(_xlfn.XLOOKUP(PA_8[[#This Row],[Date]],Input_Raw!$A:$A,Input_Raw!F:F),"")</f>
        <v>0.26250000000000001</v>
      </c>
      <c r="J40" s="36">
        <f>IFERROR(_xlfn.XLOOKUP(PA_8[[#This Row],[Date]],Input_Raw!$A:$A,Input_Raw!G:G),"")</f>
        <v>0.76736111111111116</v>
      </c>
      <c r="K40" s="37">
        <f>IFERROR((PA_8[[#This Row],[Sunset Time (POA&lt;20 W/m2)]]-PA_8[[#This Row],[Sunrise Time (POA&gt;20 W/m2)]])*24,"")</f>
        <v>12.116666666666669</v>
      </c>
      <c r="L40" s="155" t="s">
        <v>409</v>
      </c>
      <c r="M40" s="35"/>
      <c r="N40" s="35"/>
      <c r="O40" s="38"/>
      <c r="P40" s="38"/>
      <c r="Q40" s="35" t="s">
        <v>354</v>
      </c>
      <c r="R40" s="34">
        <f>IF((PA_8[[#This Row],[String Type(If String BD)]]&amp;PA_8[[#This Row],[Equipment (If any BD other than PV  array and inv)]])="",1,0)</f>
        <v>0</v>
      </c>
      <c r="S40" s="34">
        <f>IF(PA_8[[#This Row],[String Type(If String BD)]]="",1,0)</f>
        <v>1</v>
      </c>
      <c r="T4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IS10Tx</v>
      </c>
      <c r="U40" s="37">
        <f>IFERROR(_xlfn.XLOOKUP(PA_8[[#This Row],[Affected Equipment ]],'Basic Data'!$P:$P,'Basic Data'!$S:$S),"")</f>
        <v>17236.584999999999</v>
      </c>
      <c r="V40" s="322">
        <f>IFERROR(_xlfn.XLOOKUP(PA_8[[#This Row],[Affected Equipment ]],'Basic Data'!$P:$P,'Basic Data'!$T:$T),"")</f>
        <v>0.14226887045520201</v>
      </c>
      <c r="W40" s="306" t="s">
        <v>392</v>
      </c>
      <c r="X40" s="156" t="s">
        <v>1074</v>
      </c>
      <c r="Y40" s="156" t="s">
        <v>1075</v>
      </c>
      <c r="Z40" s="273">
        <v>0.69444444444444442</v>
      </c>
      <c r="AA40" s="39"/>
      <c r="AB40" s="40">
        <v>0.76458333333333328</v>
      </c>
      <c r="AC40" s="40">
        <v>0.76458333333333328</v>
      </c>
      <c r="AD40" s="41">
        <f>IF(PA_8[[#This Row],[Acknowledgement Time ]]="NA","",(PA_8[[#This Row],[Acknowledgement Time ]]-PA_8[[#This Row],[Fault Time]])*24)</f>
        <v>-16.666666666666664</v>
      </c>
      <c r="AE40" s="41">
        <f>IF(PA_8[[#This Row],[Work Start time on Fault]]="NA","",(PA_8[[#This Row],[Work Start time on Fault]]-PA_8[[#This Row],[Fault Time]])*24)</f>
        <v>1.6833333333333327</v>
      </c>
      <c r="AF40" s="42">
        <f>IF(PA_8[[#This Row],[Status]]="Open","",(PA_8[[#This Row],[Work Completion time on fault]]-PA_8[[#This Row],[Fault Time]])*24)</f>
        <v>1.6833333333333327</v>
      </c>
      <c r="AG40" s="41">
        <f>IFERROR((PA_8[[#This Row],[Work Completion time on fault]]-PA_8[[#This Row],[Fault Time]])*24,"")</f>
        <v>1.6833333333333327</v>
      </c>
      <c r="AH40" s="38" t="s">
        <v>1076</v>
      </c>
      <c r="AI40" s="155" t="s">
        <v>368</v>
      </c>
      <c r="AJ40" s="37">
        <f>IFERROR(PA_8[[#This Row],[Breakdown Time]]*PA_8[[#This Row],[Plant Equivalent Weightage]],"")</f>
        <v>0.23948593193292328</v>
      </c>
      <c r="AK40" s="275">
        <v>0.2233</v>
      </c>
      <c r="AL40" s="157">
        <f>U40*PA_8[[#This Row],[Lost PoA(Wh/m2)]]*81.6%</f>
        <v>3140.7264152879998</v>
      </c>
      <c r="AM40" s="157"/>
    </row>
    <row r="41" spans="1:39">
      <c r="A41" s="153">
        <v>38</v>
      </c>
      <c r="B41" s="154">
        <v>45801</v>
      </c>
      <c r="C41" s="187">
        <f>YEAR(PA_8[[#This Row],[Date]])+IF(MONTH(PA_8[[#This Row],[Date]])&gt;=4,1,0)</f>
        <v>2026</v>
      </c>
      <c r="D41" s="34">
        <f>YEAR(PA_8[[#This Row],[Date]])</f>
        <v>2025</v>
      </c>
      <c r="E41" s="155" t="s">
        <v>325</v>
      </c>
      <c r="F41" s="155" t="s">
        <v>325</v>
      </c>
      <c r="G41" s="175">
        <f>PA_8[[#This Row],[Date]]-DAY(PA_8[[#This Row],[Date]])+1</f>
        <v>45778</v>
      </c>
      <c r="H41" s="34">
        <f>DAY(EOMONTH(PA_8[[#This Row],[Month Year]],0))</f>
        <v>31</v>
      </c>
      <c r="I41" s="36">
        <f>IFERROR(_xlfn.XLOOKUP(PA_8[[#This Row],[Date]],Input_Raw!$A:$A,Input_Raw!F:F),"")</f>
        <v>0.26250000000000001</v>
      </c>
      <c r="J41" s="36">
        <f>IFERROR(_xlfn.XLOOKUP(PA_8[[#This Row],[Date]],Input_Raw!$A:$A,Input_Raw!G:G),"")</f>
        <v>0.76736111111111116</v>
      </c>
      <c r="K41" s="37">
        <f>IFERROR((PA_8[[#This Row],[Sunset Time (POA&lt;20 W/m2)]]-PA_8[[#This Row],[Sunrise Time (POA&gt;20 W/m2)]])*24,"")</f>
        <v>12.116666666666669</v>
      </c>
      <c r="L41" s="155" t="s">
        <v>414</v>
      </c>
      <c r="M41" s="35"/>
      <c r="N41" s="35"/>
      <c r="O41" s="38"/>
      <c r="P41" s="38"/>
      <c r="Q41" s="35" t="s">
        <v>354</v>
      </c>
      <c r="R41" s="34">
        <f>IF((PA_8[[#This Row],[String Type(If String BD)]]&amp;PA_8[[#This Row],[Equipment (If any BD other than PV  array and inv)]])="",1,0)</f>
        <v>0</v>
      </c>
      <c r="S41" s="34">
        <f>IF(PA_8[[#This Row],[String Type(If String BD)]]="",1,0)</f>
        <v>1</v>
      </c>
      <c r="T4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IS11Tx</v>
      </c>
      <c r="U41" s="37">
        <f>IFERROR(_xlfn.XLOOKUP(PA_8[[#This Row],[Affected Equipment ]],'Basic Data'!$P:$P,'Basic Data'!$S:$S),"")</f>
        <v>5484.335</v>
      </c>
      <c r="V41" s="322">
        <f>IFERROR(_xlfn.XLOOKUP(PA_8[[#This Row],[Affected Equipment ]],'Basic Data'!$P:$P,'Basic Data'!$T:$T),"")</f>
        <v>4.5267095868928235E-2</v>
      </c>
      <c r="W41" s="306" t="s">
        <v>392</v>
      </c>
      <c r="X41" s="156" t="s">
        <v>1074</v>
      </c>
      <c r="Y41" s="156" t="s">
        <v>1075</v>
      </c>
      <c r="Z41" s="273">
        <v>0.69444444444444442</v>
      </c>
      <c r="AA41" s="39"/>
      <c r="AB41" s="40">
        <v>0.76458333333333328</v>
      </c>
      <c r="AC41" s="40">
        <v>0.76458333333333328</v>
      </c>
      <c r="AD41" s="41">
        <f>IF(PA_8[[#This Row],[Acknowledgement Time ]]="NA","",(PA_8[[#This Row],[Acknowledgement Time ]]-PA_8[[#This Row],[Fault Time]])*24)</f>
        <v>-16.666666666666664</v>
      </c>
      <c r="AE41" s="41">
        <f>IF(PA_8[[#This Row],[Work Start time on Fault]]="NA","",(PA_8[[#This Row],[Work Start time on Fault]]-PA_8[[#This Row],[Fault Time]])*24)</f>
        <v>1.6833333333333327</v>
      </c>
      <c r="AF41" s="42">
        <f>IF(PA_8[[#This Row],[Status]]="Open","",(PA_8[[#This Row],[Work Completion time on fault]]-PA_8[[#This Row],[Fault Time]])*24)</f>
        <v>1.6833333333333327</v>
      </c>
      <c r="AG41" s="41">
        <f>IFERROR((PA_8[[#This Row],[Work Completion time on fault]]-PA_8[[#This Row],[Fault Time]])*24,"")</f>
        <v>1.6833333333333327</v>
      </c>
      <c r="AH41" s="38" t="s">
        <v>1076</v>
      </c>
      <c r="AI41" s="155" t="s">
        <v>368</v>
      </c>
      <c r="AJ41" s="37">
        <f>IFERROR(PA_8[[#This Row],[Breakdown Time]]*PA_8[[#This Row],[Plant Equivalent Weightage]],"")</f>
        <v>7.61996113793625E-2</v>
      </c>
      <c r="AK41" s="275">
        <v>0.2233</v>
      </c>
      <c r="AL41" s="157">
        <f>U41*PA_8[[#This Row],[Lost PoA(Wh/m2)]]*81.6%</f>
        <v>999.31603648800001</v>
      </c>
      <c r="AM41" s="157"/>
    </row>
    <row r="42" spans="1:39">
      <c r="A42" s="153">
        <v>39</v>
      </c>
      <c r="B42" s="154">
        <v>45801</v>
      </c>
      <c r="C42" s="187">
        <f>YEAR(PA_8[[#This Row],[Date]])+IF(MONTH(PA_8[[#This Row],[Date]])&gt;=4,1,0)</f>
        <v>2026</v>
      </c>
      <c r="D42" s="34">
        <f>YEAR(PA_8[[#This Row],[Date]])</f>
        <v>2025</v>
      </c>
      <c r="E42" s="155" t="s">
        <v>325</v>
      </c>
      <c r="F42" s="155" t="s">
        <v>325</v>
      </c>
      <c r="G42" s="175">
        <f>PA_8[[#This Row],[Date]]-DAY(PA_8[[#This Row],[Date]])+1</f>
        <v>45778</v>
      </c>
      <c r="H42" s="34">
        <f>DAY(EOMONTH(PA_8[[#This Row],[Month Year]],0))</f>
        <v>31</v>
      </c>
      <c r="I42" s="36">
        <f>IFERROR(_xlfn.XLOOKUP(PA_8[[#This Row],[Date]],Input_Raw!$A:$A,Input_Raw!F:F),"")</f>
        <v>0.26250000000000001</v>
      </c>
      <c r="J42" s="36">
        <f>IFERROR(_xlfn.XLOOKUP(PA_8[[#This Row],[Date]],Input_Raw!$A:$A,Input_Raw!G:G),"")</f>
        <v>0.76736111111111116</v>
      </c>
      <c r="K42" s="37">
        <f>IFERROR((PA_8[[#This Row],[Sunset Time (POA&lt;20 W/m2)]]-PA_8[[#This Row],[Sunrise Time (POA&gt;20 W/m2)]])*24,"")</f>
        <v>12.116666666666669</v>
      </c>
      <c r="L42" s="155" t="s">
        <v>418</v>
      </c>
      <c r="M42" s="35"/>
      <c r="N42" s="35"/>
      <c r="O42" s="38"/>
      <c r="P42" s="38"/>
      <c r="Q42" s="35" t="s">
        <v>354</v>
      </c>
      <c r="R42" s="34">
        <f>IF((PA_8[[#This Row],[String Type(If String BD)]]&amp;PA_8[[#This Row],[Equipment (If any BD other than PV  array and inv)]])="",1,0)</f>
        <v>0</v>
      </c>
      <c r="S42" s="34">
        <f>IF(PA_8[[#This Row],[String Type(If String BD)]]="",1,0)</f>
        <v>1</v>
      </c>
      <c r="T4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IS12Tx</v>
      </c>
      <c r="U42" s="37">
        <f>IFERROR(_xlfn.XLOOKUP(PA_8[[#This Row],[Affected Equipment ]],'Basic Data'!$P:$P,'Basic Data'!$S:$S),"")</f>
        <v>6170.4</v>
      </c>
      <c r="V42" s="322">
        <f>IFERROR(_xlfn.XLOOKUP(PA_8[[#This Row],[Affected Equipment ]],'Basic Data'!$P:$P,'Basic Data'!$T:$T),"")</f>
        <v>5.0929800668565062E-2</v>
      </c>
      <c r="W42" s="306" t="s">
        <v>392</v>
      </c>
      <c r="X42" s="156" t="s">
        <v>1074</v>
      </c>
      <c r="Y42" s="156" t="s">
        <v>1075</v>
      </c>
      <c r="Z42" s="273">
        <v>0.69444444444444442</v>
      </c>
      <c r="AA42" s="39"/>
      <c r="AB42" s="40">
        <v>0.76458333333333328</v>
      </c>
      <c r="AC42" s="40">
        <v>0.76458333333333328</v>
      </c>
      <c r="AD42" s="41">
        <f>IF(PA_8[[#This Row],[Acknowledgement Time ]]="NA","",(PA_8[[#This Row],[Acknowledgement Time ]]-PA_8[[#This Row],[Fault Time]])*24)</f>
        <v>-16.666666666666664</v>
      </c>
      <c r="AE42" s="41">
        <f>IF(PA_8[[#This Row],[Work Start time on Fault]]="NA","",(PA_8[[#This Row],[Work Start time on Fault]]-PA_8[[#This Row],[Fault Time]])*24)</f>
        <v>1.6833333333333327</v>
      </c>
      <c r="AF42" s="42">
        <f>IF(PA_8[[#This Row],[Status]]="Open","",(PA_8[[#This Row],[Work Completion time on fault]]-PA_8[[#This Row],[Fault Time]])*24)</f>
        <v>1.6833333333333327</v>
      </c>
      <c r="AG42" s="41">
        <f>IFERROR((PA_8[[#This Row],[Work Completion time on fault]]-PA_8[[#This Row],[Fault Time]])*24,"")</f>
        <v>1.6833333333333327</v>
      </c>
      <c r="AH42" s="38" t="s">
        <v>1076</v>
      </c>
      <c r="AI42" s="155" t="s">
        <v>368</v>
      </c>
      <c r="AJ42" s="37">
        <f>IFERROR(PA_8[[#This Row],[Breakdown Time]]*PA_8[[#This Row],[Plant Equivalent Weightage]],"")</f>
        <v>8.5731831125417823E-2</v>
      </c>
      <c r="AK42" s="275">
        <v>0.2233</v>
      </c>
      <c r="AL42" s="157">
        <f>U42*PA_8[[#This Row],[Lost PoA(Wh/m2)]]*81.6%</f>
        <v>1124.3258611199999</v>
      </c>
      <c r="AM42" s="157"/>
    </row>
    <row r="43" spans="1:39">
      <c r="A43" s="153">
        <v>40</v>
      </c>
      <c r="B43" s="154">
        <v>45801</v>
      </c>
      <c r="C43" s="187">
        <f>YEAR(PA_8[[#This Row],[Date]])+IF(MONTH(PA_8[[#This Row],[Date]])&gt;=4,1,0)</f>
        <v>2026</v>
      </c>
      <c r="D43" s="34">
        <f>YEAR(PA_8[[#This Row],[Date]])</f>
        <v>2025</v>
      </c>
      <c r="E43" s="155" t="s">
        <v>325</v>
      </c>
      <c r="F43" s="155" t="s">
        <v>325</v>
      </c>
      <c r="G43" s="175">
        <f>PA_8[[#This Row],[Date]]-DAY(PA_8[[#This Row],[Date]])+1</f>
        <v>45778</v>
      </c>
      <c r="H43" s="34">
        <f>DAY(EOMONTH(PA_8[[#This Row],[Month Year]],0))</f>
        <v>31</v>
      </c>
      <c r="I43" s="36">
        <f>IFERROR(_xlfn.XLOOKUP(PA_8[[#This Row],[Date]],Input_Raw!$A:$A,Input_Raw!F:F),"")</f>
        <v>0.26250000000000001</v>
      </c>
      <c r="J43" s="36">
        <f>IFERROR(_xlfn.XLOOKUP(PA_8[[#This Row],[Date]],Input_Raw!$A:$A,Input_Raw!G:G),"")</f>
        <v>0.76736111111111116</v>
      </c>
      <c r="K43" s="37">
        <f>IFERROR((PA_8[[#This Row],[Sunset Time (POA&lt;20 W/m2)]]-PA_8[[#This Row],[Sunrise Time (POA&gt;20 W/m2)]])*24,"")</f>
        <v>12.116666666666669</v>
      </c>
      <c r="L43" s="155" t="s">
        <v>421</v>
      </c>
      <c r="M43" s="35"/>
      <c r="N43" s="35"/>
      <c r="O43" s="38"/>
      <c r="P43" s="38"/>
      <c r="Q43" s="35" t="s">
        <v>354</v>
      </c>
      <c r="R43" s="34">
        <f>IF((PA_8[[#This Row],[String Type(If String BD)]]&amp;PA_8[[#This Row],[Equipment (If any BD other than PV  array and inv)]])="",1,0)</f>
        <v>0</v>
      </c>
      <c r="S43" s="34">
        <f>IF(PA_8[[#This Row],[String Type(If String BD)]]="",1,0)</f>
        <v>1</v>
      </c>
      <c r="T4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IS13Tx</v>
      </c>
      <c r="U43" s="37">
        <f>IFERROR(_xlfn.XLOOKUP(PA_8[[#This Row],[Affected Equipment ]],'Basic Data'!$P:$P,'Basic Data'!$S:$S),"")</f>
        <v>6701.32</v>
      </c>
      <c r="V43" s="322">
        <f>IFERROR(_xlfn.XLOOKUP(PA_8[[#This Row],[Affected Equipment ]],'Basic Data'!$P:$P,'Basic Data'!$T:$T),"")</f>
        <v>5.5311955759151495E-2</v>
      </c>
      <c r="W43" s="306" t="s">
        <v>392</v>
      </c>
      <c r="X43" s="156" t="s">
        <v>1074</v>
      </c>
      <c r="Y43" s="156" t="s">
        <v>1075</v>
      </c>
      <c r="Z43" s="273">
        <v>0.69444444444444442</v>
      </c>
      <c r="AA43" s="39"/>
      <c r="AB43" s="40">
        <v>0.76458333333333328</v>
      </c>
      <c r="AC43" s="40">
        <v>0.76458333333333328</v>
      </c>
      <c r="AD43" s="41">
        <f>IF(PA_8[[#This Row],[Acknowledgement Time ]]="NA","",(PA_8[[#This Row],[Acknowledgement Time ]]-PA_8[[#This Row],[Fault Time]])*24)</f>
        <v>-16.666666666666664</v>
      </c>
      <c r="AE43" s="41">
        <f>IF(PA_8[[#This Row],[Work Start time on Fault]]="NA","",(PA_8[[#This Row],[Work Start time on Fault]]-PA_8[[#This Row],[Fault Time]])*24)</f>
        <v>1.6833333333333327</v>
      </c>
      <c r="AF43" s="42">
        <f>IF(PA_8[[#This Row],[Status]]="Open","",(PA_8[[#This Row],[Work Completion time on fault]]-PA_8[[#This Row],[Fault Time]])*24)</f>
        <v>1.6833333333333327</v>
      </c>
      <c r="AG43" s="41">
        <f>IFERROR((PA_8[[#This Row],[Work Completion time on fault]]-PA_8[[#This Row],[Fault Time]])*24,"")</f>
        <v>1.6833333333333327</v>
      </c>
      <c r="AH43" s="38" t="s">
        <v>1076</v>
      </c>
      <c r="AI43" s="155" t="s">
        <v>368</v>
      </c>
      <c r="AJ43" s="37">
        <f>IFERROR(PA_8[[#This Row],[Breakdown Time]]*PA_8[[#This Row],[Plant Equivalent Weightage]],"")</f>
        <v>9.3108458861238308E-2</v>
      </c>
      <c r="AK43" s="275">
        <v>0.2233</v>
      </c>
      <c r="AL43" s="157">
        <f>U43*PA_8[[#This Row],[Lost PoA(Wh/m2)]]*81.6%</f>
        <v>1221.0662808959999</v>
      </c>
      <c r="AM43" s="157"/>
    </row>
    <row r="44" spans="1:39">
      <c r="A44" s="153">
        <v>41</v>
      </c>
      <c r="B44" s="154">
        <v>45801</v>
      </c>
      <c r="C44" s="187">
        <f>YEAR(PA_8[[#This Row],[Date]])+IF(MONTH(PA_8[[#This Row],[Date]])&gt;=4,1,0)</f>
        <v>2026</v>
      </c>
      <c r="D44" s="34">
        <f>YEAR(PA_8[[#This Row],[Date]])</f>
        <v>2025</v>
      </c>
      <c r="E44" s="155" t="s">
        <v>325</v>
      </c>
      <c r="F44" s="155" t="s">
        <v>325</v>
      </c>
      <c r="G44" s="175">
        <f>PA_8[[#This Row],[Date]]-DAY(PA_8[[#This Row],[Date]])+1</f>
        <v>45778</v>
      </c>
      <c r="H44" s="34">
        <f>DAY(EOMONTH(PA_8[[#This Row],[Month Year]],0))</f>
        <v>31</v>
      </c>
      <c r="I44" s="36">
        <f>IFERROR(_xlfn.XLOOKUP(PA_8[[#This Row],[Date]],Input_Raw!$A:$A,Input_Raw!F:F),"")</f>
        <v>0.26250000000000001</v>
      </c>
      <c r="J44" s="36">
        <f>IFERROR(_xlfn.XLOOKUP(PA_8[[#This Row],[Date]],Input_Raw!$A:$A,Input_Raw!G:G),"")</f>
        <v>0.76736111111111116</v>
      </c>
      <c r="K44" s="37">
        <f>IFERROR((PA_8[[#This Row],[Sunset Time (POA&lt;20 W/m2)]]-PA_8[[#This Row],[Sunrise Time (POA&gt;20 W/m2)]])*24,"")</f>
        <v>12.116666666666669</v>
      </c>
      <c r="L44" s="155" t="s">
        <v>424</v>
      </c>
      <c r="M44" s="35"/>
      <c r="N44" s="35"/>
      <c r="O44" s="38"/>
      <c r="P44" s="38"/>
      <c r="Q44" s="35" t="s">
        <v>354</v>
      </c>
      <c r="R44" s="34">
        <f>IF((PA_8[[#This Row],[String Type(If String BD)]]&amp;PA_8[[#This Row],[Equipment (If any BD other than PV  array and inv)]])="",1,0)</f>
        <v>0</v>
      </c>
      <c r="S44" s="34">
        <f>IF(PA_8[[#This Row],[String Type(If String BD)]]="",1,0)</f>
        <v>1</v>
      </c>
      <c r="T4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IS14Tx</v>
      </c>
      <c r="U44" s="37">
        <f>IFERROR(_xlfn.XLOOKUP(PA_8[[#This Row],[Affected Equipment ]],'Basic Data'!$P:$P,'Basic Data'!$S:$S),"")</f>
        <v>8906.48</v>
      </c>
      <c r="V44" s="322">
        <f>IFERROR(_xlfn.XLOOKUP(PA_8[[#This Row],[Affected Equipment ]],'Basic Data'!$P:$P,'Basic Data'!$T:$T),"")</f>
        <v>7.351310304981222E-2</v>
      </c>
      <c r="W44" s="306" t="s">
        <v>392</v>
      </c>
      <c r="X44" s="156" t="s">
        <v>1074</v>
      </c>
      <c r="Y44" s="156" t="s">
        <v>1075</v>
      </c>
      <c r="Z44" s="273">
        <v>0.69444444444444442</v>
      </c>
      <c r="AA44" s="39"/>
      <c r="AB44" s="40">
        <v>0.76458333333333328</v>
      </c>
      <c r="AC44" s="40">
        <v>0.76458333333333328</v>
      </c>
      <c r="AD44" s="41">
        <f>IF(PA_8[[#This Row],[Acknowledgement Time ]]="NA","",(PA_8[[#This Row],[Acknowledgement Time ]]-PA_8[[#This Row],[Fault Time]])*24)</f>
        <v>-16.666666666666664</v>
      </c>
      <c r="AE44" s="41">
        <f>IF(PA_8[[#This Row],[Work Start time on Fault]]="NA","",(PA_8[[#This Row],[Work Start time on Fault]]-PA_8[[#This Row],[Fault Time]])*24)</f>
        <v>1.6833333333333327</v>
      </c>
      <c r="AF44" s="42">
        <f>IF(PA_8[[#This Row],[Status]]="Open","",(PA_8[[#This Row],[Work Completion time on fault]]-PA_8[[#This Row],[Fault Time]])*24)</f>
        <v>1.6833333333333327</v>
      </c>
      <c r="AG44" s="41">
        <f>IFERROR((PA_8[[#This Row],[Work Completion time on fault]]-PA_8[[#This Row],[Fault Time]])*24,"")</f>
        <v>1.6833333333333327</v>
      </c>
      <c r="AH44" s="38" t="s">
        <v>1076</v>
      </c>
      <c r="AI44" s="155" t="s">
        <v>368</v>
      </c>
      <c r="AJ44" s="37">
        <f>IFERROR(PA_8[[#This Row],[Breakdown Time]]*PA_8[[#This Row],[Plant Equivalent Weightage]],"")</f>
        <v>0.12374705680051719</v>
      </c>
      <c r="AK44" s="275">
        <v>0.2233</v>
      </c>
      <c r="AL44" s="157">
        <f>U44*PA_8[[#This Row],[Lost PoA(Wh/m2)]]*81.6%</f>
        <v>1622.8746589439997</v>
      </c>
      <c r="AM44" s="157"/>
    </row>
    <row r="45" spans="1:39">
      <c r="A45" s="153">
        <v>42</v>
      </c>
      <c r="B45" s="154">
        <v>45802</v>
      </c>
      <c r="C45" s="187">
        <f>YEAR(PA_8[[#This Row],[Date]])+IF(MONTH(PA_8[[#This Row],[Date]])&gt;=4,1,0)</f>
        <v>2026</v>
      </c>
      <c r="D45" s="34">
        <f>YEAR(PA_8[[#This Row],[Date]])</f>
        <v>2025</v>
      </c>
      <c r="E45" s="155" t="s">
        <v>325</v>
      </c>
      <c r="F45" s="155" t="s">
        <v>325</v>
      </c>
      <c r="G45" s="175">
        <f>PA_8[[#This Row],[Date]]-DAY(PA_8[[#This Row],[Date]])+1</f>
        <v>45778</v>
      </c>
      <c r="H45" s="34">
        <f>DAY(EOMONTH(PA_8[[#This Row],[Month Year]],0))</f>
        <v>31</v>
      </c>
      <c r="I45" s="36">
        <f>IFERROR(_xlfn.XLOOKUP(PA_8[[#This Row],[Date]],Input_Raw!$A:$A,Input_Raw!F:F),"")</f>
        <v>0.27500000000000002</v>
      </c>
      <c r="J45" s="36">
        <f>IFERROR(_xlfn.XLOOKUP(PA_8[[#This Row],[Date]],Input_Raw!$A:$A,Input_Raw!G:G),"")</f>
        <v>0.76875000000000004</v>
      </c>
      <c r="K45" s="37">
        <f>IFERROR((PA_8[[#This Row],[Sunset Time (POA&lt;20 W/m2)]]-PA_8[[#This Row],[Sunrise Time (POA&gt;20 W/m2)]])*24,"")</f>
        <v>11.850000000000001</v>
      </c>
      <c r="L45" s="155" t="s">
        <v>409</v>
      </c>
      <c r="M45" s="35" t="s">
        <v>370</v>
      </c>
      <c r="N45" s="35"/>
      <c r="O45" s="38"/>
      <c r="P45" s="38"/>
      <c r="Q45" s="35"/>
      <c r="R45" s="34">
        <f>IF((PA_8[[#This Row],[String Type(If String BD)]]&amp;PA_8[[#This Row],[Equipment (If any BD other than PV  array and inv)]])="",1,0)</f>
        <v>1</v>
      </c>
      <c r="S45" s="34">
        <f>IF(PA_8[[#This Row],[String Type(If String BD)]]="",1,0)</f>
        <v>1</v>
      </c>
      <c r="T4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45" s="37">
        <f>IFERROR(_xlfn.XLOOKUP(PA_8[[#This Row],[Affected Equipment ]],'Basic Data'!$P:$P,'Basic Data'!$S:$S),"")</f>
        <v>3030.5</v>
      </c>
      <c r="V45" s="322">
        <f>IFERROR(_xlfn.XLOOKUP(PA_8[[#This Row],[Affected Equipment ]],'Basic Data'!$P:$P,'Basic Data'!$T:$T),"")</f>
        <v>2.501341257067393E-2</v>
      </c>
      <c r="W45" s="306" t="s">
        <v>330</v>
      </c>
      <c r="X45" s="274" t="s">
        <v>1103</v>
      </c>
      <c r="Y45" s="274" t="s">
        <v>1103</v>
      </c>
      <c r="Z45" s="273">
        <v>0.2722222222222222</v>
      </c>
      <c r="AA45" s="39"/>
      <c r="AB45" s="40">
        <v>0.77222222222222225</v>
      </c>
      <c r="AC45" s="273"/>
      <c r="AD45" s="41">
        <f>IF(PA_8[[#This Row],[Acknowledgement Time ]]="NA","",(PA_8[[#This Row],[Acknowledgement Time ]]-PA_8[[#This Row],[Fault Time]])*24)</f>
        <v>-6.5333333333333332</v>
      </c>
      <c r="AE45" s="41">
        <f>IF(PA_8[[#This Row],[Work Start time on Fault]]="NA","",(PA_8[[#This Row],[Work Start time on Fault]]-PA_8[[#This Row],[Fault Time]])*24)</f>
        <v>12</v>
      </c>
      <c r="AF45" s="42" t="str">
        <f>IF(PA_8[[#This Row],[Status]]="Open","",(PA_8[[#This Row],[Work Completion time on fault]]-PA_8[[#This Row],[Fault Time]])*24)</f>
        <v/>
      </c>
      <c r="AG45" s="41">
        <f>IFERROR((PA_8[[#This Row],[Work Completion time on fault]]-PA_8[[#This Row],[Fault Time]])*24,"")</f>
        <v>-6.5333333333333332</v>
      </c>
      <c r="AH45" s="38" t="s">
        <v>1104</v>
      </c>
      <c r="AI45" s="155" t="s">
        <v>360</v>
      </c>
      <c r="AJ45" s="37">
        <f>IFERROR(PA_8[[#This Row],[Breakdown Time]]*PA_8[[#This Row],[Plant Equivalent Weightage]],"")</f>
        <v>-0.16342096212840301</v>
      </c>
      <c r="AK45" s="275">
        <v>1.9297837499999995</v>
      </c>
      <c r="AL45" s="157">
        <f>U45*PA_8[[#This Row],[Lost PoA(Wh/m2)]]*81.6%</f>
        <v>4772.1390779699987</v>
      </c>
      <c r="AM45" s="157"/>
    </row>
    <row r="46" spans="1:39">
      <c r="A46" s="153"/>
      <c r="B46" s="154">
        <v>45802</v>
      </c>
      <c r="C46" s="187">
        <f>YEAR(PA_8[[#This Row],[Date]])+IF(MONTH(PA_8[[#This Row],[Date]])&gt;=4,1,0)</f>
        <v>2026</v>
      </c>
      <c r="D46" s="34">
        <f>YEAR(PA_8[[#This Row],[Date]])</f>
        <v>2025</v>
      </c>
      <c r="E46" s="155" t="s">
        <v>325</v>
      </c>
      <c r="F46" s="155" t="s">
        <v>325</v>
      </c>
      <c r="G46" s="175">
        <f>PA_8[[#This Row],[Date]]-DAY(PA_8[[#This Row],[Date]])+1</f>
        <v>45778</v>
      </c>
      <c r="H46" s="34">
        <f>DAY(EOMONTH(PA_8[[#This Row],[Month Year]],0))</f>
        <v>31</v>
      </c>
      <c r="I46" s="36">
        <f>IFERROR(_xlfn.XLOOKUP(PA_8[[#This Row],[Date]],Input_Raw!$A:$A,Input_Raw!F:F),"")</f>
        <v>0.27500000000000002</v>
      </c>
      <c r="J46" s="36">
        <f>IFERROR(_xlfn.XLOOKUP(PA_8[[#This Row],[Date]],Input_Raw!$A:$A,Input_Raw!G:G),"")</f>
        <v>0.76875000000000004</v>
      </c>
      <c r="K46" s="37">
        <f>IFERROR((PA_8[[#This Row],[Sunset Time (POA&lt;20 W/m2)]]-PA_8[[#This Row],[Sunrise Time (POA&gt;20 W/m2)]])*24,"")</f>
        <v>11.850000000000001</v>
      </c>
      <c r="L46" s="155" t="s">
        <v>409</v>
      </c>
      <c r="M46" s="35" t="s">
        <v>377</v>
      </c>
      <c r="N46" s="35"/>
      <c r="O46" s="38"/>
      <c r="P46" s="38"/>
      <c r="Q46" s="35"/>
      <c r="R46" s="34">
        <f>IF((PA_8[[#This Row],[String Type(If String BD)]]&amp;PA_8[[#This Row],[Equipment (If any BD other than PV  array and inv)]])="",1,0)</f>
        <v>1</v>
      </c>
      <c r="S46" s="34">
        <f>IF(PA_8[[#This Row],[String Type(If String BD)]]="",1,0)</f>
        <v>1</v>
      </c>
      <c r="T4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46" s="37">
        <f>IFERROR(_xlfn.XLOOKUP(PA_8[[#This Row],[Affected Equipment ]],'Basic Data'!$P:$P,'Basic Data'!$S:$S),"")</f>
        <v>2360.6</v>
      </c>
      <c r="V46" s="325">
        <f>IFERROR(_xlfn.XLOOKUP(PA_8[[#This Row],[Affected Equipment ]],'Basic Data'!$P:$P,'Basic Data'!$T:$T),"")</f>
        <v>1.9484131897156535E-2</v>
      </c>
      <c r="W46" s="306" t="s">
        <v>330</v>
      </c>
      <c r="X46" s="274" t="s">
        <v>1103</v>
      </c>
      <c r="Y46" s="274" t="s">
        <v>1103</v>
      </c>
      <c r="Z46" s="273">
        <v>0.2722222222222222</v>
      </c>
      <c r="AA46" s="39"/>
      <c r="AB46" s="40">
        <v>0.77222222222222225</v>
      </c>
      <c r="AC46" s="273"/>
      <c r="AD46" s="41">
        <f>IF(PA_8[[#This Row],[Acknowledgement Time ]]="NA","",(PA_8[[#This Row],[Acknowledgement Time ]]-PA_8[[#This Row],[Fault Time]])*24)</f>
        <v>-6.5333333333333332</v>
      </c>
      <c r="AE46" s="41">
        <f>IF(PA_8[[#This Row],[Work Start time on Fault]]="NA","",(PA_8[[#This Row],[Work Start time on Fault]]-PA_8[[#This Row],[Fault Time]])*24)</f>
        <v>12</v>
      </c>
      <c r="AF46" s="42" t="str">
        <f>IF(PA_8[[#This Row],[Status]]="Open","",(PA_8[[#This Row],[Work Completion time on fault]]-PA_8[[#This Row],[Fault Time]])*24)</f>
        <v/>
      </c>
      <c r="AG46" s="41">
        <f>IFERROR((PA_8[[#This Row],[Work Completion time on fault]]-PA_8[[#This Row],[Fault Time]])*24,"")</f>
        <v>-6.5333333333333332</v>
      </c>
      <c r="AH46" s="38" t="s">
        <v>1104</v>
      </c>
      <c r="AI46" s="155" t="s">
        <v>360</v>
      </c>
      <c r="AJ46" s="37">
        <f>IFERROR(PA_8[[#This Row],[Breakdown Time]]*PA_8[[#This Row],[Plant Equivalent Weightage]],"")</f>
        <v>-0.12729632839475602</v>
      </c>
      <c r="AK46" s="275">
        <v>1.9297837499999995</v>
      </c>
      <c r="AL46" s="157">
        <f>U46*PA_8[[#This Row],[Lost PoA(Wh/m2)]]*81.6%</f>
        <v>3717.2451765239989</v>
      </c>
      <c r="AM46" s="157"/>
    </row>
    <row r="47" spans="1:39">
      <c r="A47" s="153">
        <v>43</v>
      </c>
      <c r="B47" s="154">
        <v>45802</v>
      </c>
      <c r="C47" s="187">
        <f>YEAR(PA_8[[#This Row],[Date]])+IF(MONTH(PA_8[[#This Row],[Date]])&gt;=4,1,0)</f>
        <v>2026</v>
      </c>
      <c r="D47" s="34">
        <f>YEAR(PA_8[[#This Row],[Date]])</f>
        <v>2025</v>
      </c>
      <c r="E47" s="155" t="s">
        <v>325</v>
      </c>
      <c r="F47" s="155" t="s">
        <v>325</v>
      </c>
      <c r="G47" s="175">
        <f>PA_8[[#This Row],[Date]]-DAY(PA_8[[#This Row],[Date]])+1</f>
        <v>45778</v>
      </c>
      <c r="H47" s="34">
        <f>DAY(EOMONTH(PA_8[[#This Row],[Month Year]],0))</f>
        <v>31</v>
      </c>
      <c r="I47" s="36">
        <f>IFERROR(_xlfn.XLOOKUP(PA_8[[#This Row],[Date]],Input_Raw!$A:$A,Input_Raw!F:F),"")</f>
        <v>0.27500000000000002</v>
      </c>
      <c r="J47" s="36">
        <f>IFERROR(_xlfn.XLOOKUP(PA_8[[#This Row],[Date]],Input_Raw!$A:$A,Input_Raw!G:G),"")</f>
        <v>0.76875000000000004</v>
      </c>
      <c r="K47" s="37">
        <f>IFERROR((PA_8[[#This Row],[Sunset Time (POA&lt;20 W/m2)]]-PA_8[[#This Row],[Sunrise Time (POA&gt;20 W/m2)]])*24,"")</f>
        <v>11.850000000000001</v>
      </c>
      <c r="L47" s="155" t="s">
        <v>414</v>
      </c>
      <c r="M47" s="35" t="s">
        <v>350</v>
      </c>
      <c r="N47" s="35"/>
      <c r="O47" s="38"/>
      <c r="P47" s="38"/>
      <c r="Q47" s="35"/>
      <c r="R47" s="34">
        <f>IF((PA_8[[#This Row],[String Type(If String BD)]]&amp;PA_8[[#This Row],[Equipment (If any BD other than PV  array and inv)]])="",1,0)</f>
        <v>1</v>
      </c>
      <c r="S47" s="34">
        <f>IF(PA_8[[#This Row],[String Type(If String BD)]]="",1,0)</f>
        <v>1</v>
      </c>
      <c r="T4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IS11Inv1</v>
      </c>
      <c r="U47" s="37">
        <f>IFERROR(_xlfn.XLOOKUP(PA_8[[#This Row],[Affected Equipment ]],'Basic Data'!$P:$P,'Basic Data'!$S:$S),"")</f>
        <v>733.69999999999993</v>
      </c>
      <c r="V47" s="322">
        <f>IFERROR(_xlfn.XLOOKUP(PA_8[[#This Row],[Affected Equipment ]],'Basic Data'!$P:$P,'Basic Data'!$T:$T),"")</f>
        <v>6.055878832900004E-3</v>
      </c>
      <c r="W47" s="306" t="s">
        <v>330</v>
      </c>
      <c r="X47" s="274" t="s">
        <v>1088</v>
      </c>
      <c r="Y47" s="307" t="s">
        <v>1083</v>
      </c>
      <c r="Z47" s="273">
        <v>0.29166666666666669</v>
      </c>
      <c r="AA47" s="39"/>
      <c r="AB47" s="40">
        <v>0.45833333333333331</v>
      </c>
      <c r="AC47" s="40">
        <v>0.45833333333333331</v>
      </c>
      <c r="AD47" s="41">
        <f>IF(PA_8[[#This Row],[Acknowledgement Time ]]="NA","",(PA_8[[#This Row],[Acknowledgement Time ]]-PA_8[[#This Row],[Fault Time]])*24)</f>
        <v>-7</v>
      </c>
      <c r="AE47" s="41">
        <f>IF(PA_8[[#This Row],[Work Start time on Fault]]="NA","",(PA_8[[#This Row],[Work Start time on Fault]]-PA_8[[#This Row],[Fault Time]])*24)</f>
        <v>3.9999999999999991</v>
      </c>
      <c r="AF47" s="42">
        <f>IF(PA_8[[#This Row],[Status]]="Open","",(PA_8[[#This Row],[Work Completion time on fault]]-PA_8[[#This Row],[Fault Time]])*24)</f>
        <v>3.9999999999999991</v>
      </c>
      <c r="AG47" s="41">
        <f>IFERROR((PA_8[[#This Row],[Work Completion time on fault]]-PA_8[[#This Row],[Fault Time]])*24,"")</f>
        <v>3.9999999999999991</v>
      </c>
      <c r="AH47" s="307" t="s">
        <v>1089</v>
      </c>
      <c r="AI47" s="155" t="s">
        <v>368</v>
      </c>
      <c r="AJ47" s="37">
        <f>IFERROR(PA_8[[#This Row],[Breakdown Time]]*PA_8[[#This Row],[Plant Equivalent Weightage]],"")</f>
        <v>2.4223515331600009E-2</v>
      </c>
      <c r="AK47" s="275">
        <v>0.74939999999999996</v>
      </c>
      <c r="AL47" s="157">
        <f>U47*PA_8[[#This Row],[Lost PoA(Wh/m2)]]*81.6%</f>
        <v>448.66518047999989</v>
      </c>
      <c r="AM47" s="157"/>
    </row>
    <row r="48" spans="1:39">
      <c r="A48" s="153">
        <v>44</v>
      </c>
      <c r="B48" s="154">
        <v>45803</v>
      </c>
      <c r="C48" s="187">
        <f>YEAR(PA_8[[#This Row],[Date]])+IF(MONTH(PA_8[[#This Row],[Date]])&gt;=4,1,0)</f>
        <v>2026</v>
      </c>
      <c r="D48" s="34">
        <f>YEAR(PA_8[[#This Row],[Date]])</f>
        <v>2025</v>
      </c>
      <c r="E48" s="155" t="s">
        <v>325</v>
      </c>
      <c r="F48" s="155" t="s">
        <v>325</v>
      </c>
      <c r="G48" s="175">
        <f>PA_8[[#This Row],[Date]]-DAY(PA_8[[#This Row],[Date]])+1</f>
        <v>45778</v>
      </c>
      <c r="H48" s="34">
        <f>DAY(EOMONTH(PA_8[[#This Row],[Month Year]],0))</f>
        <v>31</v>
      </c>
      <c r="I48" s="36">
        <f>IFERROR(_xlfn.XLOOKUP(PA_8[[#This Row],[Date]],Input_Raw!$A:$A,Input_Raw!F:F),"")</f>
        <v>0.25208333333333333</v>
      </c>
      <c r="J48" s="36">
        <f>IFERROR(_xlfn.XLOOKUP(PA_8[[#This Row],[Date]],Input_Raw!$A:$A,Input_Raw!G:G),"")</f>
        <v>0.7631944444444444</v>
      </c>
      <c r="K48" s="37">
        <f>IFERROR((PA_8[[#This Row],[Sunset Time (POA&lt;20 W/m2)]]-PA_8[[#This Row],[Sunrise Time (POA&gt;20 W/m2)]])*24,"")</f>
        <v>12.266666666666666</v>
      </c>
      <c r="L48" s="155" t="s">
        <v>409</v>
      </c>
      <c r="M48" s="35" t="s">
        <v>370</v>
      </c>
      <c r="N48" s="35"/>
      <c r="O48" s="38"/>
      <c r="P48" s="38"/>
      <c r="Q48" s="35"/>
      <c r="R48" s="34">
        <f>IF((PA_8[[#This Row],[String Type(If String BD)]]&amp;PA_8[[#This Row],[Equipment (If any BD other than PV  array and inv)]])="",1,0)</f>
        <v>1</v>
      </c>
      <c r="S48" s="34">
        <f>IF(PA_8[[#This Row],[String Type(If String BD)]]="",1,0)</f>
        <v>1</v>
      </c>
      <c r="T4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48" s="37">
        <f>IFERROR(_xlfn.XLOOKUP(PA_8[[#This Row],[Affected Equipment ]],'Basic Data'!$P:$P,'Basic Data'!$S:$S),"")</f>
        <v>3030.5</v>
      </c>
      <c r="V48" s="322">
        <f>IFERROR(_xlfn.XLOOKUP(PA_8[[#This Row],[Affected Equipment ]],'Basic Data'!$P:$P,'Basic Data'!$T:$T),"")</f>
        <v>2.501341257067393E-2</v>
      </c>
      <c r="W48" s="306" t="s">
        <v>330</v>
      </c>
      <c r="X48" s="274" t="s">
        <v>1103</v>
      </c>
      <c r="Y48" s="274" t="s">
        <v>1103</v>
      </c>
      <c r="Z48" s="273">
        <v>0.2722222222222222</v>
      </c>
      <c r="AA48" s="39"/>
      <c r="AB48" s="40">
        <v>0.77222222222222225</v>
      </c>
      <c r="AC48" s="273"/>
      <c r="AD48" s="41">
        <f>IF(PA_8[[#This Row],[Acknowledgement Time ]]="NA","",(PA_8[[#This Row],[Acknowledgement Time ]]-PA_8[[#This Row],[Fault Time]])*24)</f>
        <v>-6.5333333333333332</v>
      </c>
      <c r="AE48" s="41">
        <f>IF(PA_8[[#This Row],[Work Start time on Fault]]="NA","",(PA_8[[#This Row],[Work Start time on Fault]]-PA_8[[#This Row],[Fault Time]])*24)</f>
        <v>12</v>
      </c>
      <c r="AF48" s="42">
        <f>IF(PA_8[[#This Row],[Status]]="Open","",(PA_8[[#This Row],[Work Completion time on fault]]-PA_8[[#This Row],[Fault Time]])*24)</f>
        <v>-6.5333333333333332</v>
      </c>
      <c r="AG48" s="41">
        <f>IFERROR((PA_8[[#This Row],[Work Completion time on fault]]-PA_8[[#This Row],[Fault Time]])*24,"")</f>
        <v>-6.5333333333333332</v>
      </c>
      <c r="AH48" s="38" t="s">
        <v>1104</v>
      </c>
      <c r="AI48" s="155" t="s">
        <v>368</v>
      </c>
      <c r="AJ48" s="37">
        <f>IFERROR(PA_8[[#This Row],[Breakdown Time]]*PA_8[[#This Row],[Plant Equivalent Weightage]],"")</f>
        <v>-0.16342096212840301</v>
      </c>
      <c r="AK48" s="275">
        <v>6.7432472583333318</v>
      </c>
      <c r="AL48" s="157">
        <f>U48*PA_8[[#This Row],[Lost PoA(Wh/m2)]]*81.6%</f>
        <v>16675.295226165395</v>
      </c>
      <c r="AM48" s="157"/>
    </row>
    <row r="49" spans="1:39">
      <c r="A49" s="153"/>
      <c r="B49" s="154">
        <v>45803</v>
      </c>
      <c r="C49" s="187">
        <f>YEAR(PA_8[[#This Row],[Date]])+IF(MONTH(PA_8[[#This Row],[Date]])&gt;=4,1,0)</f>
        <v>2026</v>
      </c>
      <c r="D49" s="34">
        <f>YEAR(PA_8[[#This Row],[Date]])</f>
        <v>2025</v>
      </c>
      <c r="E49" s="155" t="s">
        <v>325</v>
      </c>
      <c r="F49" s="155" t="s">
        <v>325</v>
      </c>
      <c r="G49" s="175">
        <f>PA_8[[#This Row],[Date]]-DAY(PA_8[[#This Row],[Date]])+1</f>
        <v>45778</v>
      </c>
      <c r="H49" s="34">
        <f>DAY(EOMONTH(PA_8[[#This Row],[Month Year]],0))</f>
        <v>31</v>
      </c>
      <c r="I49" s="36">
        <f>IFERROR(_xlfn.XLOOKUP(PA_8[[#This Row],[Date]],Input_Raw!$A:$A,Input_Raw!F:F),"")</f>
        <v>0.25208333333333333</v>
      </c>
      <c r="J49" s="36">
        <f>IFERROR(_xlfn.XLOOKUP(PA_8[[#This Row],[Date]],Input_Raw!$A:$A,Input_Raw!G:G),"")</f>
        <v>0.7631944444444444</v>
      </c>
      <c r="K49" s="37">
        <f>IFERROR((PA_8[[#This Row],[Sunset Time (POA&lt;20 W/m2)]]-PA_8[[#This Row],[Sunrise Time (POA&gt;20 W/m2)]])*24,"")</f>
        <v>12.266666666666666</v>
      </c>
      <c r="L49" s="155" t="s">
        <v>409</v>
      </c>
      <c r="M49" s="35" t="s">
        <v>377</v>
      </c>
      <c r="N49" s="35"/>
      <c r="O49" s="38"/>
      <c r="P49" s="38"/>
      <c r="Q49" s="35"/>
      <c r="R49" s="34">
        <f>IF((PA_8[[#This Row],[String Type(If String BD)]]&amp;PA_8[[#This Row],[Equipment (If any BD other than PV  array and inv)]])="",1,0)</f>
        <v>1</v>
      </c>
      <c r="S49" s="34">
        <f>IF(PA_8[[#This Row],[String Type(If String BD)]]="",1,0)</f>
        <v>1</v>
      </c>
      <c r="T4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49" s="37">
        <f>IFERROR(_xlfn.XLOOKUP(PA_8[[#This Row],[Affected Equipment ]],'Basic Data'!$P:$P,'Basic Data'!$S:$S),"")</f>
        <v>2360.6</v>
      </c>
      <c r="V49" s="325">
        <f>IFERROR(_xlfn.XLOOKUP(PA_8[[#This Row],[Affected Equipment ]],'Basic Data'!$P:$P,'Basic Data'!$T:$T),"")</f>
        <v>1.9484131897156535E-2</v>
      </c>
      <c r="W49" s="306" t="s">
        <v>330</v>
      </c>
      <c r="X49" s="274" t="s">
        <v>1103</v>
      </c>
      <c r="Y49" s="274" t="s">
        <v>1103</v>
      </c>
      <c r="Z49" s="273">
        <v>0.2722222222222222</v>
      </c>
      <c r="AA49" s="39"/>
      <c r="AB49" s="40">
        <v>0.77222222222222225</v>
      </c>
      <c r="AC49" s="273"/>
      <c r="AD49" s="41">
        <f>IF(PA_8[[#This Row],[Acknowledgement Time ]]="NA","",(PA_8[[#This Row],[Acknowledgement Time ]]-PA_8[[#This Row],[Fault Time]])*24)</f>
        <v>-6.5333333333333332</v>
      </c>
      <c r="AE49" s="41">
        <f>IF(PA_8[[#This Row],[Work Start time on Fault]]="NA","",(PA_8[[#This Row],[Work Start time on Fault]]-PA_8[[#This Row],[Fault Time]])*24)</f>
        <v>12</v>
      </c>
      <c r="AF49" s="42" t="str">
        <f>IF(PA_8[[#This Row],[Status]]="Open","",(PA_8[[#This Row],[Work Completion time on fault]]-PA_8[[#This Row],[Fault Time]])*24)</f>
        <v/>
      </c>
      <c r="AG49" s="41">
        <f>IFERROR((PA_8[[#This Row],[Work Completion time on fault]]-PA_8[[#This Row],[Fault Time]])*24,"")</f>
        <v>-6.5333333333333332</v>
      </c>
      <c r="AH49" s="38" t="s">
        <v>1104</v>
      </c>
      <c r="AI49" s="155" t="s">
        <v>360</v>
      </c>
      <c r="AJ49" s="37">
        <f>IFERROR(PA_8[[#This Row],[Breakdown Time]]*PA_8[[#This Row],[Plant Equivalent Weightage]],"")</f>
        <v>-0.12729632839475602</v>
      </c>
      <c r="AK49" s="275">
        <v>6.7432472583333318</v>
      </c>
      <c r="AL49" s="157">
        <f>U49*PA_8[[#This Row],[Lost PoA(Wh/m2)]]*81.6%</f>
        <v>12989.177334065676</v>
      </c>
      <c r="AM49" s="157"/>
    </row>
    <row r="50" spans="1:39">
      <c r="A50" s="153">
        <v>45</v>
      </c>
      <c r="B50" s="154">
        <v>45804</v>
      </c>
      <c r="C50" s="187">
        <f>YEAR(PA_8[[#This Row],[Date]])+IF(MONTH(PA_8[[#This Row],[Date]])&gt;=4,1,0)</f>
        <v>2026</v>
      </c>
      <c r="D50" s="34">
        <f>YEAR(PA_8[[#This Row],[Date]])</f>
        <v>2025</v>
      </c>
      <c r="E50" s="155" t="s">
        <v>325</v>
      </c>
      <c r="F50" s="155" t="s">
        <v>325</v>
      </c>
      <c r="G50" s="175">
        <f>PA_8[[#This Row],[Date]]-DAY(PA_8[[#This Row],[Date]])+1</f>
        <v>45778</v>
      </c>
      <c r="H50" s="34">
        <f>DAY(EOMONTH(PA_8[[#This Row],[Month Year]],0))</f>
        <v>31</v>
      </c>
      <c r="I50" s="36">
        <f>IFERROR(_xlfn.XLOOKUP(PA_8[[#This Row],[Date]],Input_Raw!$A:$A,Input_Raw!F:F),"")</f>
        <v>0.25347222222222221</v>
      </c>
      <c r="J50" s="36">
        <f>IFERROR(_xlfn.XLOOKUP(PA_8[[#This Row],[Date]],Input_Raw!$A:$A,Input_Raw!G:G),"")</f>
        <v>0.77916666666666667</v>
      </c>
      <c r="K50" s="37">
        <f>IFERROR((PA_8[[#This Row],[Sunset Time (POA&lt;20 W/m2)]]-PA_8[[#This Row],[Sunrise Time (POA&gt;20 W/m2)]])*24,"")</f>
        <v>12.616666666666667</v>
      </c>
      <c r="L50" s="155" t="s">
        <v>398</v>
      </c>
      <c r="M50" s="35" t="s">
        <v>350</v>
      </c>
      <c r="N50" s="35" t="s">
        <v>378</v>
      </c>
      <c r="O50" s="38" t="s">
        <v>372</v>
      </c>
      <c r="P50" s="38" t="s">
        <v>380</v>
      </c>
      <c r="Q50" s="35" t="s">
        <v>391</v>
      </c>
      <c r="R50" s="34">
        <f>IF((PA_8[[#This Row],[String Type(If String BD)]]&amp;PA_8[[#This Row],[Equipment (If any BD other than PV  array and inv)]])="",1,0)</f>
        <v>0</v>
      </c>
      <c r="S50" s="34">
        <f>IF(PA_8[[#This Row],[String Type(If String BD)]]="",1,0)</f>
        <v>0</v>
      </c>
      <c r="T5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Str_Typ4(540*58)</v>
      </c>
      <c r="U50" s="37">
        <f>IFERROR(_xlfn.XLOOKUP(PA_8[[#This Row],[Affected Equipment ]],'Basic Data'!$P:$P,'Basic Data'!$S:$S),"")</f>
        <v>31.32</v>
      </c>
      <c r="V50" s="322">
        <f>IFERROR(_xlfn.XLOOKUP(PA_8[[#This Row],[Affected Equipment ]],'Basic Data'!$P:$P,'Basic Data'!$T:$T),"")</f>
        <v>2.5851182369691716E-4</v>
      </c>
      <c r="W50" s="306" t="s">
        <v>1105</v>
      </c>
      <c r="X50" s="274" t="s">
        <v>1109</v>
      </c>
      <c r="Y50" s="274" t="s">
        <v>1110</v>
      </c>
      <c r="Z50" s="273">
        <v>0.31388888888888899</v>
      </c>
      <c r="AA50" s="39"/>
      <c r="AB50" s="40">
        <v>0.52083333333333337</v>
      </c>
      <c r="AC50" s="273">
        <v>0.72916666666666663</v>
      </c>
      <c r="AD50" s="41">
        <f>IF(PA_8[[#This Row],[Acknowledgement Time ]]="NA","",(PA_8[[#This Row],[Acknowledgement Time ]]-PA_8[[#This Row],[Fault Time]])*24)</f>
        <v>-7.5333333333333359</v>
      </c>
      <c r="AE50" s="41">
        <f>IF(PA_8[[#This Row],[Work Start time on Fault]]="NA","",(PA_8[[#This Row],[Work Start time on Fault]]-PA_8[[#This Row],[Fault Time]])*24)</f>
        <v>4.966666666666665</v>
      </c>
      <c r="AF50" s="42">
        <f>IF(PA_8[[#This Row],[Status]]="Open","",(PA_8[[#This Row],[Work Completion time on fault]]-PA_8[[#This Row],[Fault Time]])*24)</f>
        <v>9.9666666666666632</v>
      </c>
      <c r="AG50" s="41">
        <f>IFERROR((PA_8[[#This Row],[Work Completion time on fault]]-PA_8[[#This Row],[Fault Time]])*24,"")</f>
        <v>9.9666666666666632</v>
      </c>
      <c r="AH50" s="38" t="s">
        <v>1111</v>
      </c>
      <c r="AI50" s="155" t="s">
        <v>368</v>
      </c>
      <c r="AJ50" s="37">
        <f>IFERROR(PA_8[[#This Row],[Breakdown Time]]*PA_8[[#This Row],[Plant Equivalent Weightage]],"")</f>
        <v>2.5765011761792736E-3</v>
      </c>
      <c r="AK50" s="275">
        <v>5.55</v>
      </c>
      <c r="AL50" s="157">
        <f>U50*PA_8[[#This Row],[Lost PoA(Wh/m2)]]*81.6%</f>
        <v>141.84201599999997</v>
      </c>
      <c r="AM50" s="157"/>
    </row>
    <row r="51" spans="1:39">
      <c r="A51" s="153">
        <v>46</v>
      </c>
      <c r="B51" s="154">
        <v>45804</v>
      </c>
      <c r="C51" s="187">
        <f>YEAR(PA_8[[#This Row],[Date]])+IF(MONTH(PA_8[[#This Row],[Date]])&gt;=4,1,0)</f>
        <v>2026</v>
      </c>
      <c r="D51" s="34">
        <f>YEAR(PA_8[[#This Row],[Date]])</f>
        <v>2025</v>
      </c>
      <c r="E51" s="155" t="s">
        <v>325</v>
      </c>
      <c r="F51" s="155" t="s">
        <v>325</v>
      </c>
      <c r="G51" s="175">
        <f>PA_8[[#This Row],[Date]]-DAY(PA_8[[#This Row],[Date]])+1</f>
        <v>45778</v>
      </c>
      <c r="H51" s="34">
        <f>DAY(EOMONTH(PA_8[[#This Row],[Month Year]],0))</f>
        <v>31</v>
      </c>
      <c r="I51" s="36">
        <f>IFERROR(_xlfn.XLOOKUP(PA_8[[#This Row],[Date]],Input_Raw!$A:$A,Input_Raw!F:F),"")</f>
        <v>0.25347222222222221</v>
      </c>
      <c r="J51" s="36">
        <f>IFERROR(_xlfn.XLOOKUP(PA_8[[#This Row],[Date]],Input_Raw!$A:$A,Input_Raw!G:G),"")</f>
        <v>0.77916666666666667</v>
      </c>
      <c r="K51" s="37">
        <f>IFERROR((PA_8[[#This Row],[Sunset Time (POA&lt;20 W/m2)]]-PA_8[[#This Row],[Sunrise Time (POA&gt;20 W/m2)]])*24,"")</f>
        <v>12.616666666666667</v>
      </c>
      <c r="L51" s="155" t="s">
        <v>409</v>
      </c>
      <c r="M51" s="35" t="s">
        <v>370</v>
      </c>
      <c r="N51" s="35"/>
      <c r="O51" s="38"/>
      <c r="P51" s="38"/>
      <c r="Q51" s="35"/>
      <c r="R51" s="34">
        <f>IF((PA_8[[#This Row],[String Type(If String BD)]]&amp;PA_8[[#This Row],[Equipment (If any BD other than PV  array and inv)]])="",1,0)</f>
        <v>1</v>
      </c>
      <c r="S51" s="34">
        <f>IF(PA_8[[#This Row],[String Type(If String BD)]]="",1,0)</f>
        <v>1</v>
      </c>
      <c r="T5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51" s="37">
        <f>IFERROR(_xlfn.XLOOKUP(PA_8[[#This Row],[Affected Equipment ]],'Basic Data'!$P:$P,'Basic Data'!$S:$S),"")</f>
        <v>3030.5</v>
      </c>
      <c r="V51" s="322">
        <f>IFERROR(_xlfn.XLOOKUP(PA_8[[#This Row],[Affected Equipment ]],'Basic Data'!$P:$P,'Basic Data'!$T:$T),"")</f>
        <v>2.501341257067393E-2</v>
      </c>
      <c r="W51" s="306" t="s">
        <v>330</v>
      </c>
      <c r="X51" s="274" t="s">
        <v>1103</v>
      </c>
      <c r="Y51" s="274" t="s">
        <v>1103</v>
      </c>
      <c r="Z51" s="273">
        <v>0.2722222222222222</v>
      </c>
      <c r="AA51" s="39"/>
      <c r="AB51" s="40">
        <v>0.77222222222222225</v>
      </c>
      <c r="AC51" s="273"/>
      <c r="AD51" s="41">
        <f>IF(PA_8[[#This Row],[Acknowledgement Time ]]="NA","",(PA_8[[#This Row],[Acknowledgement Time ]]-PA_8[[#This Row],[Fault Time]])*24)</f>
        <v>-6.5333333333333332</v>
      </c>
      <c r="AE51" s="41">
        <f>IF(PA_8[[#This Row],[Work Start time on Fault]]="NA","",(PA_8[[#This Row],[Work Start time on Fault]]-PA_8[[#This Row],[Fault Time]])*24)</f>
        <v>12</v>
      </c>
      <c r="AF51" s="42" t="str">
        <f>IF(PA_8[[#This Row],[Status]]="Open","",(PA_8[[#This Row],[Work Completion time on fault]]-PA_8[[#This Row],[Fault Time]])*24)</f>
        <v/>
      </c>
      <c r="AG51" s="41">
        <f>IFERROR((PA_8[[#This Row],[Work Completion time on fault]]-PA_8[[#This Row],[Fault Time]])*24,"")</f>
        <v>-6.5333333333333332</v>
      </c>
      <c r="AH51" s="38" t="s">
        <v>1104</v>
      </c>
      <c r="AI51" s="155" t="s">
        <v>360</v>
      </c>
      <c r="AJ51" s="37">
        <f>IFERROR(PA_8[[#This Row],[Breakdown Time]]*PA_8[[#This Row],[Plant Equivalent Weightage]],"")</f>
        <v>-0.16342096212840301</v>
      </c>
      <c r="AK51" s="275">
        <v>5.5893830666666684</v>
      </c>
      <c r="AL51" s="157">
        <f>U51*PA_8[[#This Row],[Lost PoA(Wh/m2)]]*81.6%</f>
        <v>13821.918312963202</v>
      </c>
      <c r="AM51" s="157"/>
    </row>
    <row r="52" spans="1:39">
      <c r="A52" s="153"/>
      <c r="B52" s="154"/>
      <c r="C52" s="187">
        <f>YEAR(PA_8[[#This Row],[Date]])+IF(MONTH(PA_8[[#This Row],[Date]])&gt;=4,1,0)</f>
        <v>1900</v>
      </c>
      <c r="D52" s="34">
        <f>YEAR(PA_8[[#This Row],[Date]])</f>
        <v>1900</v>
      </c>
      <c r="E52" s="155"/>
      <c r="F52" s="155"/>
      <c r="G52" s="175">
        <f>PA_8[[#This Row],[Date]]-DAY(PA_8[[#This Row],[Date]])+1</f>
        <v>1</v>
      </c>
      <c r="H52" s="34">
        <f>DAY(EOMONTH(PA_8[[#This Row],[Month Year]],0))</f>
        <v>31</v>
      </c>
      <c r="I52" s="36">
        <f>IFERROR(_xlfn.XLOOKUP(PA_8[[#This Row],[Date]],Input_Raw!$A:$A,Input_Raw!F:F),"")</f>
        <v>0</v>
      </c>
      <c r="J52" s="36">
        <f>IFERROR(_xlfn.XLOOKUP(PA_8[[#This Row],[Date]],Input_Raw!$A:$A,Input_Raw!G:G),"")</f>
        <v>0</v>
      </c>
      <c r="K52" s="37">
        <f>IFERROR((PA_8[[#This Row],[Sunset Time (POA&lt;20 W/m2)]]-PA_8[[#This Row],[Sunrise Time (POA&gt;20 W/m2)]])*24,"")</f>
        <v>0</v>
      </c>
      <c r="L52" s="155" t="s">
        <v>409</v>
      </c>
      <c r="M52" s="35" t="s">
        <v>377</v>
      </c>
      <c r="N52" s="35"/>
      <c r="O52" s="38"/>
      <c r="P52" s="38"/>
      <c r="Q52" s="35"/>
      <c r="R52" s="34">
        <f>IF((PA_8[[#This Row],[String Type(If String BD)]]&amp;PA_8[[#This Row],[Equipment (If any BD other than PV  array and inv)]])="",1,0)</f>
        <v>1</v>
      </c>
      <c r="S52" s="34">
        <f>IF(PA_8[[#This Row],[String Type(If String BD)]]="",1,0)</f>
        <v>1</v>
      </c>
      <c r="T5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52" s="37">
        <f>IFERROR(_xlfn.XLOOKUP(PA_8[[#This Row],[Affected Equipment ]],'Basic Data'!$P:$P,'Basic Data'!$S:$S),"")</f>
        <v>2360.6</v>
      </c>
      <c r="V52" s="325">
        <f>IFERROR(_xlfn.XLOOKUP(PA_8[[#This Row],[Affected Equipment ]],'Basic Data'!$P:$P,'Basic Data'!$T:$T),"")</f>
        <v>1.9484131897156535E-2</v>
      </c>
      <c r="W52" s="306" t="s">
        <v>330</v>
      </c>
      <c r="X52" s="274" t="s">
        <v>1103</v>
      </c>
      <c r="Y52" s="274" t="s">
        <v>1103</v>
      </c>
      <c r="Z52" s="273">
        <v>0.2722222222222222</v>
      </c>
      <c r="AA52" s="39"/>
      <c r="AB52" s="40">
        <v>0.77222222222222225</v>
      </c>
      <c r="AC52" s="273"/>
      <c r="AD52" s="41">
        <f>IF(PA_8[[#This Row],[Acknowledgement Time ]]="NA","",(PA_8[[#This Row],[Acknowledgement Time ]]-PA_8[[#This Row],[Fault Time]])*24)</f>
        <v>-6.5333333333333332</v>
      </c>
      <c r="AE52" s="41">
        <f>IF(PA_8[[#This Row],[Work Start time on Fault]]="NA","",(PA_8[[#This Row],[Work Start time on Fault]]-PA_8[[#This Row],[Fault Time]])*24)</f>
        <v>12</v>
      </c>
      <c r="AF52" s="42" t="str">
        <f>IF(PA_8[[#This Row],[Status]]="Open","",(PA_8[[#This Row],[Work Completion time on fault]]-PA_8[[#This Row],[Fault Time]])*24)</f>
        <v/>
      </c>
      <c r="AG52" s="41">
        <f>IFERROR((PA_8[[#This Row],[Work Completion time on fault]]-PA_8[[#This Row],[Fault Time]])*24,"")</f>
        <v>-6.5333333333333332</v>
      </c>
      <c r="AH52" s="38" t="s">
        <v>1104</v>
      </c>
      <c r="AI52" s="155" t="s">
        <v>360</v>
      </c>
      <c r="AJ52" s="37">
        <f>IFERROR(PA_8[[#This Row],[Breakdown Time]]*PA_8[[#This Row],[Plant Equivalent Weightage]],"")</f>
        <v>-0.12729632839475602</v>
      </c>
      <c r="AK52" s="275">
        <v>5.5893830666666684</v>
      </c>
      <c r="AL52" s="157">
        <f>U52*PA_8[[#This Row],[Lost PoA(Wh/m2)]]*81.6%</f>
        <v>10766.546896413443</v>
      </c>
      <c r="AM52" s="157"/>
    </row>
    <row r="53" spans="1:39">
      <c r="A53" s="153">
        <v>47</v>
      </c>
      <c r="B53" s="154">
        <v>45805</v>
      </c>
      <c r="C53" s="187">
        <f>YEAR(PA_8[[#This Row],[Date]])+IF(MONTH(PA_8[[#This Row],[Date]])&gt;=4,1,0)</f>
        <v>2026</v>
      </c>
      <c r="D53" s="34">
        <f>YEAR(PA_8[[#This Row],[Date]])</f>
        <v>2025</v>
      </c>
      <c r="E53" s="155" t="s">
        <v>325</v>
      </c>
      <c r="F53" s="155" t="s">
        <v>325</v>
      </c>
      <c r="G53" s="175">
        <f>PA_8[[#This Row],[Date]]-DAY(PA_8[[#This Row],[Date]])+1</f>
        <v>45778</v>
      </c>
      <c r="H53" s="34">
        <f>DAY(EOMONTH(PA_8[[#This Row],[Month Year]],0))</f>
        <v>31</v>
      </c>
      <c r="I53" s="36">
        <f>IFERROR(_xlfn.XLOOKUP(PA_8[[#This Row],[Date]],Input_Raw!$A:$A,Input_Raw!F:F),"")</f>
        <v>0.27638888888888891</v>
      </c>
      <c r="J53" s="36">
        <f>IFERROR(_xlfn.XLOOKUP(PA_8[[#This Row],[Date]],Input_Raw!$A:$A,Input_Raw!G:G),"")</f>
        <v>0.75277777777777777</v>
      </c>
      <c r="K53" s="37">
        <f>IFERROR((PA_8[[#This Row],[Sunset Time (POA&lt;20 W/m2)]]-PA_8[[#This Row],[Sunrise Time (POA&gt;20 W/m2)]])*24,"")</f>
        <v>11.433333333333334</v>
      </c>
      <c r="L53" s="155" t="s">
        <v>409</v>
      </c>
      <c r="M53" s="35" t="s">
        <v>370</v>
      </c>
      <c r="N53" s="35"/>
      <c r="O53" s="38"/>
      <c r="P53" s="38"/>
      <c r="Q53" s="35"/>
      <c r="R53" s="34">
        <f>IF((PA_8[[#This Row],[String Type(If String BD)]]&amp;PA_8[[#This Row],[Equipment (If any BD other than PV  array and inv)]])="",1,0)</f>
        <v>1</v>
      </c>
      <c r="S53" s="34">
        <f>IF(PA_8[[#This Row],[String Type(If String BD)]]="",1,0)</f>
        <v>1</v>
      </c>
      <c r="T5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53" s="37">
        <f>IFERROR(_xlfn.XLOOKUP(PA_8[[#This Row],[Affected Equipment ]],'Basic Data'!$P:$P,'Basic Data'!$S:$S),"")</f>
        <v>3030.5</v>
      </c>
      <c r="V53" s="322">
        <f>IFERROR(_xlfn.XLOOKUP(PA_8[[#This Row],[Affected Equipment ]],'Basic Data'!$P:$P,'Basic Data'!$T:$T),"")</f>
        <v>2.501341257067393E-2</v>
      </c>
      <c r="W53" s="306" t="s">
        <v>330</v>
      </c>
      <c r="X53" s="274" t="s">
        <v>1103</v>
      </c>
      <c r="Y53" s="274" t="s">
        <v>1103</v>
      </c>
      <c r="Z53" s="273">
        <v>0.2722222222222222</v>
      </c>
      <c r="AA53" s="39"/>
      <c r="AB53" s="40">
        <v>0.77222222222222225</v>
      </c>
      <c r="AC53" s="273"/>
      <c r="AD53" s="41">
        <f>IF(PA_8[[#This Row],[Acknowledgement Time ]]="NA","",(PA_8[[#This Row],[Acknowledgement Time ]]-PA_8[[#This Row],[Fault Time]])*24)</f>
        <v>-6.5333333333333332</v>
      </c>
      <c r="AE53" s="41">
        <f>IF(PA_8[[#This Row],[Work Start time on Fault]]="NA","",(PA_8[[#This Row],[Work Start time on Fault]]-PA_8[[#This Row],[Fault Time]])*24)</f>
        <v>12</v>
      </c>
      <c r="AF53" s="42" t="str">
        <f>IF(PA_8[[#This Row],[Status]]="Open","",(PA_8[[#This Row],[Work Completion time on fault]]-PA_8[[#This Row],[Fault Time]])*24)</f>
        <v/>
      </c>
      <c r="AG53" s="41">
        <f>IFERROR((PA_8[[#This Row],[Work Completion time on fault]]-PA_8[[#This Row],[Fault Time]])*24,"")</f>
        <v>-6.5333333333333332</v>
      </c>
      <c r="AH53" s="38" t="s">
        <v>1104</v>
      </c>
      <c r="AI53" s="155" t="s">
        <v>360</v>
      </c>
      <c r="AJ53" s="37">
        <f>IFERROR(PA_8[[#This Row],[Breakdown Time]]*PA_8[[#This Row],[Plant Equivalent Weightage]],"")</f>
        <v>-0.16342096212840301</v>
      </c>
      <c r="AK53" s="275">
        <v>2.6786335083333332</v>
      </c>
      <c r="AL53" s="157">
        <f>U53*PA_8[[#This Row],[Lost PoA(Wh/m2)]]*81.6%</f>
        <v>6623.9606591553993</v>
      </c>
      <c r="AM53" s="157"/>
    </row>
    <row r="54" spans="1:39">
      <c r="A54" s="153"/>
      <c r="B54" s="154"/>
      <c r="C54" s="187">
        <f>YEAR(PA_8[[#This Row],[Date]])+IF(MONTH(PA_8[[#This Row],[Date]])&gt;=4,1,0)</f>
        <v>1900</v>
      </c>
      <c r="D54" s="34">
        <f>YEAR(PA_8[[#This Row],[Date]])</f>
        <v>1900</v>
      </c>
      <c r="E54" s="155"/>
      <c r="F54" s="155"/>
      <c r="G54" s="175">
        <f>PA_8[[#This Row],[Date]]-DAY(PA_8[[#This Row],[Date]])+1</f>
        <v>1</v>
      </c>
      <c r="H54" s="34">
        <f>DAY(EOMONTH(PA_8[[#This Row],[Month Year]],0))</f>
        <v>31</v>
      </c>
      <c r="I54" s="36">
        <f>IFERROR(_xlfn.XLOOKUP(PA_8[[#This Row],[Date]],Input_Raw!$A:$A,Input_Raw!F:F),"")</f>
        <v>0</v>
      </c>
      <c r="J54" s="36">
        <f>IFERROR(_xlfn.XLOOKUP(PA_8[[#This Row],[Date]],Input_Raw!$A:$A,Input_Raw!G:G),"")</f>
        <v>0</v>
      </c>
      <c r="K54" s="37">
        <f>IFERROR((PA_8[[#This Row],[Sunset Time (POA&lt;20 W/m2)]]-PA_8[[#This Row],[Sunrise Time (POA&gt;20 W/m2)]])*24,"")</f>
        <v>0</v>
      </c>
      <c r="L54" s="155" t="s">
        <v>409</v>
      </c>
      <c r="M54" s="35" t="s">
        <v>377</v>
      </c>
      <c r="N54" s="35"/>
      <c r="O54" s="38"/>
      <c r="P54" s="38"/>
      <c r="Q54" s="35"/>
      <c r="R54" s="34">
        <f>IF((PA_8[[#This Row],[String Type(If String BD)]]&amp;PA_8[[#This Row],[Equipment (If any BD other than PV  array and inv)]])="",1,0)</f>
        <v>1</v>
      </c>
      <c r="S54" s="34">
        <f>IF(PA_8[[#This Row],[String Type(If String BD)]]="",1,0)</f>
        <v>1</v>
      </c>
      <c r="T5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54" s="37">
        <f>IFERROR(_xlfn.XLOOKUP(PA_8[[#This Row],[Affected Equipment ]],'Basic Data'!$P:$P,'Basic Data'!$S:$S),"")</f>
        <v>2360.6</v>
      </c>
      <c r="V54" s="325">
        <f>IFERROR(_xlfn.XLOOKUP(PA_8[[#This Row],[Affected Equipment ]],'Basic Data'!$P:$P,'Basic Data'!$T:$T),"")</f>
        <v>1.9484131897156535E-2</v>
      </c>
      <c r="W54" s="306" t="s">
        <v>330</v>
      </c>
      <c r="X54" s="274" t="s">
        <v>1103</v>
      </c>
      <c r="Y54" s="274" t="s">
        <v>1103</v>
      </c>
      <c r="Z54" s="273">
        <v>0.2722222222222222</v>
      </c>
      <c r="AA54" s="39"/>
      <c r="AB54" s="40">
        <v>0.77222222222222225</v>
      </c>
      <c r="AC54" s="273"/>
      <c r="AD54" s="41">
        <f>IF(PA_8[[#This Row],[Acknowledgement Time ]]="NA","",(PA_8[[#This Row],[Acknowledgement Time ]]-PA_8[[#This Row],[Fault Time]])*24)</f>
        <v>-6.5333333333333332</v>
      </c>
      <c r="AE54" s="41">
        <f>IF(PA_8[[#This Row],[Work Start time on Fault]]="NA","",(PA_8[[#This Row],[Work Start time on Fault]]-PA_8[[#This Row],[Fault Time]])*24)</f>
        <v>12</v>
      </c>
      <c r="AF54" s="42" t="str">
        <f>IF(PA_8[[#This Row],[Status]]="Open","",(PA_8[[#This Row],[Work Completion time on fault]]-PA_8[[#This Row],[Fault Time]])*24)</f>
        <v/>
      </c>
      <c r="AG54" s="41">
        <f>IFERROR((PA_8[[#This Row],[Work Completion time on fault]]-PA_8[[#This Row],[Fault Time]])*24,"")</f>
        <v>-6.5333333333333332</v>
      </c>
      <c r="AH54" s="38" t="s">
        <v>1104</v>
      </c>
      <c r="AI54" s="155" t="s">
        <v>360</v>
      </c>
      <c r="AJ54" s="37">
        <f>IFERROR(PA_8[[#This Row],[Breakdown Time]]*PA_8[[#This Row],[Plant Equivalent Weightage]],"")</f>
        <v>-0.12729632839475602</v>
      </c>
      <c r="AK54" s="275">
        <v>2.6786335083333332</v>
      </c>
      <c r="AL54" s="157">
        <f>U54*PA_8[[#This Row],[Lost PoA(Wh/m2)]]*81.6%</f>
        <v>5159.7167239736791</v>
      </c>
      <c r="AM54" s="157"/>
    </row>
    <row r="55" spans="1:39">
      <c r="A55" s="153">
        <v>48</v>
      </c>
      <c r="B55" s="154">
        <v>45806</v>
      </c>
      <c r="C55" s="187">
        <f>YEAR(PA_8[[#This Row],[Date]])+IF(MONTH(PA_8[[#This Row],[Date]])&gt;=4,1,0)</f>
        <v>2026</v>
      </c>
      <c r="D55" s="34">
        <f>YEAR(PA_8[[#This Row],[Date]])</f>
        <v>2025</v>
      </c>
      <c r="E55" s="155" t="s">
        <v>325</v>
      </c>
      <c r="F55" s="155" t="s">
        <v>325</v>
      </c>
      <c r="G55" s="175">
        <f>PA_8[[#This Row],[Date]]-DAY(PA_8[[#This Row],[Date]])+1</f>
        <v>45778</v>
      </c>
      <c r="H55" s="34">
        <f>DAY(EOMONTH(PA_8[[#This Row],[Month Year]],0))</f>
        <v>31</v>
      </c>
      <c r="I55" s="36">
        <f>IFERROR(_xlfn.XLOOKUP(PA_8[[#This Row],[Date]],Input_Raw!$A:$A,Input_Raw!F:F),"")</f>
        <v>0.2638888888888889</v>
      </c>
      <c r="J55" s="36">
        <f>IFERROR(_xlfn.XLOOKUP(PA_8[[#This Row],[Date]],Input_Raw!$A:$A,Input_Raw!G:G),"")</f>
        <v>0.78263888888888888</v>
      </c>
      <c r="K55" s="37">
        <f>IFERROR((PA_8[[#This Row],[Sunset Time (POA&lt;20 W/m2)]]-PA_8[[#This Row],[Sunrise Time (POA&gt;20 W/m2)]])*24,"")</f>
        <v>12.450000000000001</v>
      </c>
      <c r="L55" s="155" t="s">
        <v>409</v>
      </c>
      <c r="M55" s="35" t="s">
        <v>370</v>
      </c>
      <c r="N55" s="35"/>
      <c r="O55" s="38"/>
      <c r="P55" s="38"/>
      <c r="Q55" s="35"/>
      <c r="R55" s="34">
        <f>IF((PA_8[[#This Row],[String Type(If String BD)]]&amp;PA_8[[#This Row],[Equipment (If any BD other than PV  array and inv)]])="",1,0)</f>
        <v>1</v>
      </c>
      <c r="S55" s="34">
        <f>IF(PA_8[[#This Row],[String Type(If String BD)]]="",1,0)</f>
        <v>1</v>
      </c>
      <c r="T5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55" s="37">
        <f>IFERROR(_xlfn.XLOOKUP(PA_8[[#This Row],[Affected Equipment ]],'Basic Data'!$P:$P,'Basic Data'!$S:$S),"")</f>
        <v>3030.5</v>
      </c>
      <c r="V55" s="322">
        <f>IFERROR(_xlfn.XLOOKUP(PA_8[[#This Row],[Affected Equipment ]],'Basic Data'!$P:$P,'Basic Data'!$T:$T),"")</f>
        <v>2.501341257067393E-2</v>
      </c>
      <c r="W55" s="306" t="s">
        <v>330</v>
      </c>
      <c r="X55" s="274" t="s">
        <v>1103</v>
      </c>
      <c r="Y55" s="274" t="s">
        <v>1103</v>
      </c>
      <c r="Z55" s="273">
        <v>0.2722222222222222</v>
      </c>
      <c r="AA55" s="39"/>
      <c r="AB55" s="40">
        <v>0.77222222222222225</v>
      </c>
      <c r="AC55" s="273"/>
      <c r="AD55" s="41">
        <f>IF(PA_8[[#This Row],[Acknowledgement Time ]]="NA","",(PA_8[[#This Row],[Acknowledgement Time ]]-PA_8[[#This Row],[Fault Time]])*24)</f>
        <v>-6.5333333333333332</v>
      </c>
      <c r="AE55" s="41">
        <f>IF(PA_8[[#This Row],[Work Start time on Fault]]="NA","",(PA_8[[#This Row],[Work Start time on Fault]]-PA_8[[#This Row],[Fault Time]])*24)</f>
        <v>12</v>
      </c>
      <c r="AF55" s="42" t="str">
        <f>IF(PA_8[[#This Row],[Status]]="Open","",(PA_8[[#This Row],[Work Completion time on fault]]-PA_8[[#This Row],[Fault Time]])*24)</f>
        <v/>
      </c>
      <c r="AG55" s="41">
        <f>IFERROR((PA_8[[#This Row],[Work Completion time on fault]]-PA_8[[#This Row],[Fault Time]])*24,"")</f>
        <v>-6.5333333333333332</v>
      </c>
      <c r="AH55" s="38" t="s">
        <v>1104</v>
      </c>
      <c r="AI55" s="155" t="s">
        <v>360</v>
      </c>
      <c r="AJ55" s="37">
        <f>IFERROR(PA_8[[#This Row],[Breakdown Time]]*PA_8[[#This Row],[Plant Equivalent Weightage]],"")</f>
        <v>-0.16342096212840301</v>
      </c>
      <c r="AK55" s="275">
        <v>5.3923668666666593</v>
      </c>
      <c r="AL55" s="157">
        <f>U55*PA_8[[#This Row],[Lost PoA(Wh/m2)]]*81.6%</f>
        <v>13334.719316177581</v>
      </c>
      <c r="AM55" s="157"/>
    </row>
    <row r="56" spans="1:39">
      <c r="A56" s="153"/>
      <c r="B56" s="154"/>
      <c r="C56" s="187">
        <f>YEAR(PA_8[[#This Row],[Date]])+IF(MONTH(PA_8[[#This Row],[Date]])&gt;=4,1,0)</f>
        <v>1900</v>
      </c>
      <c r="D56" s="34">
        <f>YEAR(PA_8[[#This Row],[Date]])</f>
        <v>1900</v>
      </c>
      <c r="E56" s="155"/>
      <c r="F56" s="155"/>
      <c r="G56" s="175">
        <f>PA_8[[#This Row],[Date]]-DAY(PA_8[[#This Row],[Date]])+1</f>
        <v>1</v>
      </c>
      <c r="H56" s="34">
        <f>DAY(EOMONTH(PA_8[[#This Row],[Month Year]],0))</f>
        <v>31</v>
      </c>
      <c r="I56" s="36">
        <f>IFERROR(_xlfn.XLOOKUP(PA_8[[#This Row],[Date]],Input_Raw!$A:$A,Input_Raw!F:F),"")</f>
        <v>0</v>
      </c>
      <c r="J56" s="36">
        <f>IFERROR(_xlfn.XLOOKUP(PA_8[[#This Row],[Date]],Input_Raw!$A:$A,Input_Raw!G:G),"")</f>
        <v>0</v>
      </c>
      <c r="K56" s="37">
        <f>IFERROR((PA_8[[#This Row],[Sunset Time (POA&lt;20 W/m2)]]-PA_8[[#This Row],[Sunrise Time (POA&gt;20 W/m2)]])*24,"")</f>
        <v>0</v>
      </c>
      <c r="L56" s="155" t="s">
        <v>409</v>
      </c>
      <c r="M56" s="35" t="s">
        <v>377</v>
      </c>
      <c r="N56" s="35"/>
      <c r="O56" s="38"/>
      <c r="P56" s="38"/>
      <c r="Q56" s="35"/>
      <c r="R56" s="34">
        <f>IF((PA_8[[#This Row],[String Type(If String BD)]]&amp;PA_8[[#This Row],[Equipment (If any BD other than PV  array and inv)]])="",1,0)</f>
        <v>1</v>
      </c>
      <c r="S56" s="34">
        <f>IF(PA_8[[#This Row],[String Type(If String BD)]]="",1,0)</f>
        <v>1</v>
      </c>
      <c r="T5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56" s="37">
        <f>IFERROR(_xlfn.XLOOKUP(PA_8[[#This Row],[Affected Equipment ]],'Basic Data'!$P:$P,'Basic Data'!$S:$S),"")</f>
        <v>2360.6</v>
      </c>
      <c r="V56" s="325">
        <f>IFERROR(_xlfn.XLOOKUP(PA_8[[#This Row],[Affected Equipment ]],'Basic Data'!$P:$P,'Basic Data'!$T:$T),"")</f>
        <v>1.9484131897156535E-2</v>
      </c>
      <c r="W56" s="306" t="s">
        <v>330</v>
      </c>
      <c r="X56" s="274" t="s">
        <v>1103</v>
      </c>
      <c r="Y56" s="274" t="s">
        <v>1103</v>
      </c>
      <c r="Z56" s="273">
        <v>0.2722222222222222</v>
      </c>
      <c r="AA56" s="39"/>
      <c r="AB56" s="40">
        <v>0.77222222222222225</v>
      </c>
      <c r="AC56" s="273"/>
      <c r="AD56" s="41">
        <f>IF(PA_8[[#This Row],[Acknowledgement Time ]]="NA","",(PA_8[[#This Row],[Acknowledgement Time ]]-PA_8[[#This Row],[Fault Time]])*24)</f>
        <v>-6.5333333333333332</v>
      </c>
      <c r="AE56" s="41">
        <f>IF(PA_8[[#This Row],[Work Start time on Fault]]="NA","",(PA_8[[#This Row],[Work Start time on Fault]]-PA_8[[#This Row],[Fault Time]])*24)</f>
        <v>12</v>
      </c>
      <c r="AF56" s="42" t="str">
        <f>IF(PA_8[[#This Row],[Status]]="Open","",(PA_8[[#This Row],[Work Completion time on fault]]-PA_8[[#This Row],[Fault Time]])*24)</f>
        <v/>
      </c>
      <c r="AG56" s="41">
        <f>IFERROR((PA_8[[#This Row],[Work Completion time on fault]]-PA_8[[#This Row],[Fault Time]])*24,"")</f>
        <v>-6.5333333333333332</v>
      </c>
      <c r="AH56" s="38" t="s">
        <v>1104</v>
      </c>
      <c r="AI56" s="155" t="s">
        <v>360</v>
      </c>
      <c r="AJ56" s="37">
        <f>IFERROR(PA_8[[#This Row],[Breakdown Time]]*PA_8[[#This Row],[Plant Equivalent Weightage]],"")</f>
        <v>-0.12729632839475602</v>
      </c>
      <c r="AK56" s="275">
        <v>5.3923668666666593</v>
      </c>
      <c r="AL56" s="157">
        <f>U56*PA_8[[#This Row],[Lost PoA(Wh/m2)]]*81.6%</f>
        <v>10387.044519969904</v>
      </c>
      <c r="AM56" s="157"/>
    </row>
    <row r="57" spans="1:39">
      <c r="A57" s="153">
        <v>49</v>
      </c>
      <c r="B57" s="154">
        <v>45807</v>
      </c>
      <c r="C57" s="187">
        <f>YEAR(PA_8[[#This Row],[Date]])+IF(MONTH(PA_8[[#This Row],[Date]])&gt;=4,1,0)</f>
        <v>2026</v>
      </c>
      <c r="D57" s="34">
        <f>YEAR(PA_8[[#This Row],[Date]])</f>
        <v>2025</v>
      </c>
      <c r="E57" s="155" t="s">
        <v>325</v>
      </c>
      <c r="F57" s="155" t="s">
        <v>325</v>
      </c>
      <c r="G57" s="175">
        <f>PA_8[[#This Row],[Date]]-DAY(PA_8[[#This Row],[Date]])+1</f>
        <v>45778</v>
      </c>
      <c r="H57" s="34">
        <f>DAY(EOMONTH(PA_8[[#This Row],[Month Year]],0))</f>
        <v>31</v>
      </c>
      <c r="I57" s="36">
        <f>IFERROR(_xlfn.XLOOKUP(PA_8[[#This Row],[Date]],Input_Raw!$A:$A,Input_Raw!F:F),"")</f>
        <v>0.25763888888888886</v>
      </c>
      <c r="J57" s="36">
        <f>IFERROR(_xlfn.XLOOKUP(PA_8[[#This Row],[Date]],Input_Raw!$A:$A,Input_Raw!G:G),"")</f>
        <v>0.77430555555555558</v>
      </c>
      <c r="K57" s="37">
        <f>IFERROR((PA_8[[#This Row],[Sunset Time (POA&lt;20 W/m2)]]-PA_8[[#This Row],[Sunrise Time (POA&gt;20 W/m2)]])*24,"")</f>
        <v>12.400000000000002</v>
      </c>
      <c r="L57" s="155" t="s">
        <v>409</v>
      </c>
      <c r="M57" s="35" t="s">
        <v>370</v>
      </c>
      <c r="N57" s="35"/>
      <c r="O57" s="38"/>
      <c r="P57" s="38"/>
      <c r="Q57" s="35"/>
      <c r="R57" s="34">
        <f>IF((PA_8[[#This Row],[String Type(If String BD)]]&amp;PA_8[[#This Row],[Equipment (If any BD other than PV  array and inv)]])="",1,0)</f>
        <v>1</v>
      </c>
      <c r="S57" s="34">
        <f>IF(PA_8[[#This Row],[String Type(If String BD)]]="",1,0)</f>
        <v>1</v>
      </c>
      <c r="T5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57" s="37">
        <f>IFERROR(_xlfn.XLOOKUP(PA_8[[#This Row],[Affected Equipment ]],'Basic Data'!$P:$P,'Basic Data'!$S:$S),"")</f>
        <v>3030.5</v>
      </c>
      <c r="V57" s="322">
        <f>IFERROR(_xlfn.XLOOKUP(PA_8[[#This Row],[Affected Equipment ]],'Basic Data'!$P:$P,'Basic Data'!$T:$T),"")</f>
        <v>2.501341257067393E-2</v>
      </c>
      <c r="W57" s="306" t="s">
        <v>330</v>
      </c>
      <c r="X57" s="274" t="s">
        <v>1103</v>
      </c>
      <c r="Y57" s="274" t="s">
        <v>1103</v>
      </c>
      <c r="Z57" s="273">
        <v>0.2722222222222222</v>
      </c>
      <c r="AA57" s="39"/>
      <c r="AB57" s="40">
        <v>0.77222222222222225</v>
      </c>
      <c r="AC57" s="273"/>
      <c r="AD57" s="41">
        <f>IF(PA_8[[#This Row],[Acknowledgement Time ]]="NA","",(PA_8[[#This Row],[Acknowledgement Time ]]-PA_8[[#This Row],[Fault Time]])*24)</f>
        <v>-6.5333333333333332</v>
      </c>
      <c r="AE57" s="41">
        <f>IF(PA_8[[#This Row],[Work Start time on Fault]]="NA","",(PA_8[[#This Row],[Work Start time on Fault]]-PA_8[[#This Row],[Fault Time]])*24)</f>
        <v>12</v>
      </c>
      <c r="AF57" s="42" t="str">
        <f>IF(PA_8[[#This Row],[Status]]="Open","",(PA_8[[#This Row],[Work Completion time on fault]]-PA_8[[#This Row],[Fault Time]])*24)</f>
        <v/>
      </c>
      <c r="AG57" s="41">
        <f>IFERROR((PA_8[[#This Row],[Work Completion time on fault]]-PA_8[[#This Row],[Fault Time]])*24,"")</f>
        <v>-6.5333333333333332</v>
      </c>
      <c r="AH57" s="38" t="s">
        <v>1104</v>
      </c>
      <c r="AI57" s="155" t="s">
        <v>360</v>
      </c>
      <c r="AJ57" s="37">
        <f>IFERROR(PA_8[[#This Row],[Breakdown Time]]*PA_8[[#This Row],[Plant Equivalent Weightage]],"")</f>
        <v>-0.16342096212840301</v>
      </c>
      <c r="AK57" s="275">
        <v>5.3922111416666638</v>
      </c>
      <c r="AL57" s="157">
        <f>U57*PA_8[[#This Row],[Lost PoA(Wh/m2)]]*81.6%</f>
        <v>13334.334225693792</v>
      </c>
      <c r="AM57" s="157"/>
    </row>
    <row r="58" spans="1:39">
      <c r="A58" s="153"/>
      <c r="B58" s="154"/>
      <c r="C58" s="187">
        <f>YEAR(PA_8[[#This Row],[Date]])+IF(MONTH(PA_8[[#This Row],[Date]])&gt;=4,1,0)</f>
        <v>1900</v>
      </c>
      <c r="D58" s="34">
        <f>YEAR(PA_8[[#This Row],[Date]])</f>
        <v>1900</v>
      </c>
      <c r="E58" s="155"/>
      <c r="F58" s="155"/>
      <c r="G58" s="175">
        <f>PA_8[[#This Row],[Date]]-DAY(PA_8[[#This Row],[Date]])+1</f>
        <v>1</v>
      </c>
      <c r="H58" s="34">
        <f>DAY(EOMONTH(PA_8[[#This Row],[Month Year]],0))</f>
        <v>31</v>
      </c>
      <c r="I58" s="36">
        <f>IFERROR(_xlfn.XLOOKUP(PA_8[[#This Row],[Date]],Input_Raw!$A:$A,Input_Raw!F:F),"")</f>
        <v>0</v>
      </c>
      <c r="J58" s="36">
        <f>IFERROR(_xlfn.XLOOKUP(PA_8[[#This Row],[Date]],Input_Raw!$A:$A,Input_Raw!G:G),"")</f>
        <v>0</v>
      </c>
      <c r="K58" s="37">
        <f>IFERROR((PA_8[[#This Row],[Sunset Time (POA&lt;20 W/m2)]]-PA_8[[#This Row],[Sunrise Time (POA&gt;20 W/m2)]])*24,"")</f>
        <v>0</v>
      </c>
      <c r="L58" s="155" t="s">
        <v>409</v>
      </c>
      <c r="M58" s="35" t="s">
        <v>377</v>
      </c>
      <c r="N58" s="35"/>
      <c r="O58" s="38"/>
      <c r="P58" s="38"/>
      <c r="Q58" s="35"/>
      <c r="R58" s="34">
        <f>IF((PA_8[[#This Row],[String Type(If String BD)]]&amp;PA_8[[#This Row],[Equipment (If any BD other than PV  array and inv)]])="",1,0)</f>
        <v>1</v>
      </c>
      <c r="S58" s="34">
        <f>IF(PA_8[[#This Row],[String Type(If String BD)]]="",1,0)</f>
        <v>1</v>
      </c>
      <c r="T5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IS10Inv4</v>
      </c>
      <c r="U58" s="37">
        <f>IFERROR(_xlfn.XLOOKUP(PA_8[[#This Row],[Affected Equipment ]],'Basic Data'!$P:$P,'Basic Data'!$S:$S),"")</f>
        <v>2360.6</v>
      </c>
      <c r="V58" s="325">
        <f>IFERROR(_xlfn.XLOOKUP(PA_8[[#This Row],[Affected Equipment ]],'Basic Data'!$P:$P,'Basic Data'!$T:$T),"")</f>
        <v>1.9484131897156535E-2</v>
      </c>
      <c r="W58" s="306" t="s">
        <v>330</v>
      </c>
      <c r="X58" s="274" t="s">
        <v>1103</v>
      </c>
      <c r="Y58" s="274" t="s">
        <v>1103</v>
      </c>
      <c r="Z58" s="273">
        <v>0.2722222222222222</v>
      </c>
      <c r="AA58" s="39"/>
      <c r="AB58" s="40">
        <v>0.77222222222222225</v>
      </c>
      <c r="AC58" s="273"/>
      <c r="AD58" s="41">
        <f>IF(PA_8[[#This Row],[Acknowledgement Time ]]="NA","",(PA_8[[#This Row],[Acknowledgement Time ]]-PA_8[[#This Row],[Fault Time]])*24)</f>
        <v>-6.5333333333333332</v>
      </c>
      <c r="AE58" s="41">
        <f>IF(PA_8[[#This Row],[Work Start time on Fault]]="NA","",(PA_8[[#This Row],[Work Start time on Fault]]-PA_8[[#This Row],[Fault Time]])*24)</f>
        <v>12</v>
      </c>
      <c r="AF58" s="42" t="str">
        <f>IF(PA_8[[#This Row],[Status]]="Open","",(PA_8[[#This Row],[Work Completion time on fault]]-PA_8[[#This Row],[Fault Time]])*24)</f>
        <v/>
      </c>
      <c r="AG58" s="41">
        <f>IFERROR((PA_8[[#This Row],[Work Completion time on fault]]-PA_8[[#This Row],[Fault Time]])*24,"")</f>
        <v>-6.5333333333333332</v>
      </c>
      <c r="AH58" s="38" t="s">
        <v>1104</v>
      </c>
      <c r="AI58" s="155" t="s">
        <v>360</v>
      </c>
      <c r="AJ58" s="37">
        <f>IFERROR(PA_8[[#This Row],[Breakdown Time]]*PA_8[[#This Row],[Plant Equivalent Weightage]],"")</f>
        <v>-0.12729632839475602</v>
      </c>
      <c r="AK58" s="275">
        <v>5.3923668666666593</v>
      </c>
      <c r="AL58" s="157">
        <f>U58*PA_8[[#This Row],[Lost PoA(Wh/m2)]]*81.6%</f>
        <v>10387.044519969904</v>
      </c>
      <c r="AM58" s="157"/>
    </row>
    <row r="59" spans="1:39">
      <c r="A59" s="153">
        <v>50</v>
      </c>
      <c r="B59" s="154">
        <v>45808</v>
      </c>
      <c r="C59" s="276">
        <f>YEAR(PA_8[[#This Row],[Date]])+IF(MONTH(PA_8[[#This Row],[Date]])&gt;=4,1,0)</f>
        <v>2026</v>
      </c>
      <c r="D59" s="277">
        <f>YEAR(PA_8[[#This Row],[Date]])</f>
        <v>2025</v>
      </c>
      <c r="E59" s="155" t="s">
        <v>325</v>
      </c>
      <c r="F59" s="155" t="s">
        <v>325</v>
      </c>
      <c r="G59" s="278">
        <f>PA_8[[#This Row],[Date]]-DAY(PA_8[[#This Row],[Date]])+1</f>
        <v>45778</v>
      </c>
      <c r="H59" s="277">
        <f>DAY(EOMONTH(PA_8[[#This Row],[Month Year]],0))</f>
        <v>31</v>
      </c>
      <c r="I59" s="279">
        <f>IFERROR(_xlfn.XLOOKUP(PA_8[[#This Row],[Date]],Input_Raw!$A:$A,Input_Raw!F:F),"")</f>
        <v>0.24930555555555556</v>
      </c>
      <c r="J59" s="279">
        <f>IFERROR(_xlfn.XLOOKUP(PA_8[[#This Row],[Date]],Input_Raw!$A:$A,Input_Raw!G:G),"")</f>
        <v>0.78402777777777777</v>
      </c>
      <c r="K59" s="37">
        <f>IFERROR((PA_8[[#This Row],[Sunset Time (POA&lt;20 W/m2)]]-PA_8[[#This Row],[Sunrise Time (POA&gt;20 W/m2)]])*24,"")</f>
        <v>12.833333333333332</v>
      </c>
      <c r="L59" s="155" t="s">
        <v>409</v>
      </c>
      <c r="M59" s="35" t="s">
        <v>370</v>
      </c>
      <c r="N59" s="280"/>
      <c r="O59" s="281"/>
      <c r="P59" s="281"/>
      <c r="Q59" s="35"/>
      <c r="R59" s="277">
        <f>IF((PA_8[[#This Row],[String Type(If String BD)]]&amp;PA_8[[#This Row],[Equipment (If any BD other than PV  array and inv)]])="",1,0)</f>
        <v>1</v>
      </c>
      <c r="S59" s="277">
        <f>IF(PA_8[[#This Row],[String Type(If String BD)]]="",1,0)</f>
        <v>1</v>
      </c>
      <c r="T59" s="277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IS10Inv3</v>
      </c>
      <c r="U59" s="37">
        <f>IFERROR(_xlfn.XLOOKUP(PA_8[[#This Row],[Affected Equipment ]],'Basic Data'!$P:$P,'Basic Data'!$S:$S),"")</f>
        <v>3030.5</v>
      </c>
      <c r="V59" s="322">
        <f>IFERROR(_xlfn.XLOOKUP(PA_8[[#This Row],[Affected Equipment ]],'Basic Data'!$P:$P,'Basic Data'!$T:$T),"")</f>
        <v>2.501341257067393E-2</v>
      </c>
      <c r="W59" s="306" t="s">
        <v>330</v>
      </c>
      <c r="X59" s="274" t="s">
        <v>1103</v>
      </c>
      <c r="Y59" s="274" t="s">
        <v>1103</v>
      </c>
      <c r="Z59" s="273">
        <v>0.2722222222222222</v>
      </c>
      <c r="AA59" s="39"/>
      <c r="AB59" s="40">
        <v>0.77222222222222225</v>
      </c>
      <c r="AC59" s="282"/>
      <c r="AD59" s="283">
        <f>IF(PA_8[[#This Row],[Acknowledgement Time ]]="NA","",(PA_8[[#This Row],[Acknowledgement Time ]]-PA_8[[#This Row],[Fault Time]])*24)</f>
        <v>-6.5333333333333332</v>
      </c>
      <c r="AE59" s="283">
        <f>IF(PA_8[[#This Row],[Work Start time on Fault]]="NA","",(PA_8[[#This Row],[Work Start time on Fault]]-PA_8[[#This Row],[Fault Time]])*24)</f>
        <v>12</v>
      </c>
      <c r="AF59" s="284" t="str">
        <f>IF(PA_8[[#This Row],[Status]]="Open","",(PA_8[[#This Row],[Work Completion time on fault]]-PA_8[[#This Row],[Fault Time]])*24)</f>
        <v/>
      </c>
      <c r="AG59" s="283">
        <f>IFERROR((PA_8[[#This Row],[Work Completion time on fault]]-PA_8[[#This Row],[Fault Time]])*24,"")</f>
        <v>-6.5333333333333332</v>
      </c>
      <c r="AH59" s="38" t="s">
        <v>1104</v>
      </c>
      <c r="AI59" s="155" t="s">
        <v>360</v>
      </c>
      <c r="AJ59" s="285">
        <f>IFERROR(PA_8[[#This Row],[Breakdown Time]]*PA_8[[#This Row],[Plant Equivalent Weightage]],"")</f>
        <v>-0.16342096212840301</v>
      </c>
      <c r="AK59" s="286">
        <v>7.0123685166666618</v>
      </c>
      <c r="AL59" s="157">
        <f>U59*PA_8[[#This Row],[Lost PoA(Wh/m2)]]*81.6%</f>
        <v>17340.801956442789</v>
      </c>
      <c r="AM59" s="287"/>
    </row>
    <row r="60" spans="1:39">
      <c r="A60" s="153">
        <v>51</v>
      </c>
      <c r="B60" s="154">
        <v>45809</v>
      </c>
      <c r="C60" s="187">
        <f>YEAR(PA_8[[#This Row],[Date]])+IF(MONTH(PA_8[[#This Row],[Date]])&gt;=4,1,0)</f>
        <v>2026</v>
      </c>
      <c r="D60" s="34">
        <f>YEAR(PA_8[[#This Row],[Date]])</f>
        <v>2025</v>
      </c>
      <c r="E60" s="155" t="s">
        <v>325</v>
      </c>
      <c r="F60" s="155" t="s">
        <v>325</v>
      </c>
      <c r="G60" s="175">
        <f>PA_8[[#This Row],[Date]]-DAY(PA_8[[#This Row],[Date]])+1</f>
        <v>45809</v>
      </c>
      <c r="H60" s="34">
        <f>DAY(EOMONTH(PA_8[[#This Row],[Month Year]],0))</f>
        <v>30</v>
      </c>
      <c r="I60" s="36">
        <f>IFERROR(_xlfn.XLOOKUP(PA_8[[#This Row],[Date]],Input_Raw!$A:$A,Input_Raw!F:F),"")</f>
        <v>0.25069444444444444</v>
      </c>
      <c r="J60" s="36">
        <f>IFERROR(_xlfn.XLOOKUP(PA_8[[#This Row],[Date]],Input_Raw!$A:$A,Input_Raw!G:G),"")</f>
        <v>0.78263888888888888</v>
      </c>
      <c r="K60" s="37">
        <f>IFERROR((PA_8[[#This Row],[Sunset Time (POA&lt;20 W/m2)]]-PA_8[[#This Row],[Sunrise Time (POA&gt;20 W/m2)]])*24,"")</f>
        <v>12.766666666666666</v>
      </c>
      <c r="L60" s="155"/>
      <c r="M60" s="35"/>
      <c r="N60" s="35"/>
      <c r="O60" s="38"/>
      <c r="P60" s="38"/>
      <c r="Q60" s="35" t="s">
        <v>401</v>
      </c>
      <c r="R60" s="34">
        <f>IF((PA_8[[#This Row],[String Type(If String BD)]]&amp;PA_8[[#This Row],[Equipment (If any BD other than PV  array and inv)]])="",1,0)</f>
        <v>0</v>
      </c>
      <c r="S60" s="34">
        <f>IF(PA_8[[#This Row],[String Type(If String BD)]]="",1,0)</f>
        <v>1</v>
      </c>
      <c r="T6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Power_TX</v>
      </c>
      <c r="U60" s="37">
        <f>IFERROR(_xlfn.XLOOKUP(PA_8[[#This Row],[Affected Equipment ]],'Basic Data'!$P:$P,'Basic Data'!$S:$S),"")</f>
        <v>122106</v>
      </c>
      <c r="V60" s="322">
        <f>IFERROR(_xlfn.XLOOKUP(PA_8[[#This Row],[Affected Equipment ]],'Basic Data'!$P:$P,'Basic Data'!$T:$T),"")</f>
        <v>1.0078494490528662</v>
      </c>
      <c r="W60" s="306" t="s">
        <v>397</v>
      </c>
      <c r="X60" s="274" t="s">
        <v>1112</v>
      </c>
      <c r="Y60" s="274" t="s">
        <v>1113</v>
      </c>
      <c r="Z60" s="273">
        <v>0.43958333333333333</v>
      </c>
      <c r="AA60" s="39"/>
      <c r="AB60" s="40">
        <v>0.62222222222222223</v>
      </c>
      <c r="AC60" s="40">
        <v>0.62222222222222223</v>
      </c>
      <c r="AD60" s="41">
        <f>IF(PA_8[[#This Row],[Acknowledgement Time ]]="NA","",(PA_8[[#This Row],[Acknowledgement Time ]]-PA_8[[#This Row],[Fault Time]])*24)</f>
        <v>-10.55</v>
      </c>
      <c r="AE60" s="41">
        <f>IF(PA_8[[#This Row],[Work Start time on Fault]]="NA","",(PA_8[[#This Row],[Work Start time on Fault]]-PA_8[[#This Row],[Fault Time]])*24)</f>
        <v>4.3833333333333337</v>
      </c>
      <c r="AF60" s="42">
        <f>IF(PA_8[[#This Row],[Status]]="Open","",(PA_8[[#This Row],[Work Completion time on fault]]-PA_8[[#This Row],[Fault Time]])*24)</f>
        <v>4.3833333333333337</v>
      </c>
      <c r="AG60" s="41">
        <f>IFERROR((PA_8[[#This Row],[Work Completion time on fault]]-PA_8[[#This Row],[Fault Time]])*24,"")</f>
        <v>4.3833333333333337</v>
      </c>
      <c r="AH60" s="38" t="s">
        <v>1114</v>
      </c>
      <c r="AI60" s="155" t="s">
        <v>368</v>
      </c>
      <c r="AJ60" s="37">
        <f>IFERROR(PA_8[[#This Row],[Breakdown Time]]*PA_8[[#This Row],[Plant Equivalent Weightage]],"")</f>
        <v>4.4177400850150637</v>
      </c>
      <c r="AK60" s="275">
        <v>3.5169000000000001</v>
      </c>
      <c r="AL60" s="157">
        <f>U60*PA_8[[#This Row],[Lost PoA(Wh/m2)]]*84.2%</f>
        <v>361583.92595880007</v>
      </c>
      <c r="AM60" s="157"/>
    </row>
    <row r="61" spans="1:39" ht="18.95" customHeight="1">
      <c r="A61" s="153">
        <v>52</v>
      </c>
      <c r="B61" s="154">
        <v>45811</v>
      </c>
      <c r="C61" s="187">
        <f>YEAR(PA_8[[#This Row],[Date]])+IF(MONTH(PA_8[[#This Row],[Date]])&gt;=4,1,0)</f>
        <v>2026</v>
      </c>
      <c r="D61" s="34">
        <f>YEAR(PA_8[[#This Row],[Date]])</f>
        <v>2025</v>
      </c>
      <c r="E61" s="155" t="s">
        <v>325</v>
      </c>
      <c r="F61" s="155" t="s">
        <v>325</v>
      </c>
      <c r="G61" s="175">
        <f>PA_8[[#This Row],[Date]]-DAY(PA_8[[#This Row],[Date]])+1</f>
        <v>45809</v>
      </c>
      <c r="H61" s="34">
        <f>DAY(EOMONTH(PA_8[[#This Row],[Month Year]],0))</f>
        <v>30</v>
      </c>
      <c r="I61" s="36">
        <f>IFERROR(_xlfn.XLOOKUP(PA_8[[#This Row],[Date]],Input_Raw!$A:$A,Input_Raw!F:F),"")</f>
        <v>0.25069444444444444</v>
      </c>
      <c r="J61" s="36">
        <f>IFERROR(_xlfn.XLOOKUP(PA_8[[#This Row],[Date]],Input_Raw!$A:$A,Input_Raw!G:G),"")</f>
        <v>0.77777777777777779</v>
      </c>
      <c r="K61" s="37">
        <f>IFERROR((PA_8[[#This Row],[Sunset Time (POA&lt;20 W/m2)]]-PA_8[[#This Row],[Sunrise Time (POA&gt;20 W/m2)]])*24,"")</f>
        <v>12.65</v>
      </c>
      <c r="L61" s="155" t="s">
        <v>409</v>
      </c>
      <c r="M61" s="35" t="s">
        <v>370</v>
      </c>
      <c r="N61" s="35" t="s">
        <v>363</v>
      </c>
      <c r="O61" s="38" t="s">
        <v>379</v>
      </c>
      <c r="P61" s="35" t="s">
        <v>365</v>
      </c>
      <c r="Q61" s="35" t="s">
        <v>1115</v>
      </c>
      <c r="R61" s="34">
        <f>IF((PA_8[[#This Row],[String Type(If String BD)]]&amp;PA_8[[#This Row],[Equipment (If any BD other than PV  array and inv)]])="",1,0)</f>
        <v>0</v>
      </c>
      <c r="S61" s="34">
        <f>IF(PA_8[[#This Row],[String Type(If String BD)]]="",1,0)</f>
        <v>0</v>
      </c>
      <c r="T6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61" s="37">
        <f>IFERROR(_xlfn.XLOOKUP(PA_8[[#This Row],[Affected Equipment ]],'Basic Data'!$P:$P,'Basic Data'!$S:$S),"")</f>
        <v>15.805</v>
      </c>
      <c r="V61" s="322">
        <f>IFERROR(_xlfn.XLOOKUP(PA_8[[#This Row],[Affected Equipment ]],'Basic Data'!$P:$P,'Basic Data'!$T:$T),"")</f>
        <v>1.3045272584705542E-4</v>
      </c>
      <c r="W61" s="306" t="s">
        <v>1105</v>
      </c>
      <c r="X61" s="274" t="s">
        <v>1096</v>
      </c>
      <c r="Y61" s="274" t="s">
        <v>1116</v>
      </c>
      <c r="Z61" s="273">
        <v>0.3611111111111111</v>
      </c>
      <c r="AA61" s="39"/>
      <c r="AB61" s="40">
        <v>0.49305555555555558</v>
      </c>
      <c r="AC61" s="39">
        <v>0.79166666666666663</v>
      </c>
      <c r="AD61" s="41">
        <f>IF(PA_8[[#This Row],[Acknowledgement Time ]]="NA","",(PA_8[[#This Row],[Acknowledgement Time ]]-PA_8[[#This Row],[Fault Time]])*24)</f>
        <v>-8.6666666666666661</v>
      </c>
      <c r="AE61" s="41">
        <f>IF(PA_8[[#This Row],[Work Start time on Fault]]="NA","",(PA_8[[#This Row],[Work Start time on Fault]]-PA_8[[#This Row],[Fault Time]])*24)</f>
        <v>3.1666666666666674</v>
      </c>
      <c r="AF61" s="42">
        <f>IF(PA_8[[#This Row],[Status]]="Open","",(PA_8[[#This Row],[Work Completion time on fault]]-PA_8[[#This Row],[Fault Time]])*24)</f>
        <v>10.333333333333332</v>
      </c>
      <c r="AG61" s="41">
        <f>IFERROR((PA_8[[#This Row],[Work Completion time on fault]]-PA_8[[#This Row],[Fault Time]])*24,"")</f>
        <v>10.333333333333332</v>
      </c>
      <c r="AH61" s="38" t="s">
        <v>1117</v>
      </c>
      <c r="AI61" s="155" t="s">
        <v>368</v>
      </c>
      <c r="AJ61" s="37">
        <f>IFERROR(PA_8[[#This Row],[Breakdown Time]]*PA_8[[#This Row],[Plant Equivalent Weightage]],"")</f>
        <v>1.3480115004195726E-3</v>
      </c>
      <c r="AK61" s="275">
        <v>2.1</v>
      </c>
      <c r="AL61" s="157">
        <f>U61*PA_8[[#This Row],[Lost PoA(Wh/m2)]]*84.2%</f>
        <v>27.946401000000002</v>
      </c>
      <c r="AM61" s="157"/>
    </row>
    <row r="62" spans="1:39">
      <c r="A62" s="153">
        <v>53</v>
      </c>
      <c r="B62" s="154">
        <v>45812</v>
      </c>
      <c r="C62" s="187">
        <f>YEAR(PA_8[[#This Row],[Date]])+IF(MONTH(PA_8[[#This Row],[Date]])&gt;=4,1,0)</f>
        <v>2026</v>
      </c>
      <c r="D62" s="34">
        <f>YEAR(PA_8[[#This Row],[Date]])</f>
        <v>2025</v>
      </c>
      <c r="E62" s="155" t="s">
        <v>325</v>
      </c>
      <c r="F62" s="155" t="s">
        <v>325</v>
      </c>
      <c r="G62" s="175">
        <f>PA_8[[#This Row],[Date]]-DAY(PA_8[[#This Row],[Date]])+1</f>
        <v>45809</v>
      </c>
      <c r="H62" s="34">
        <f>DAY(EOMONTH(PA_8[[#This Row],[Month Year]],0))</f>
        <v>30</v>
      </c>
      <c r="I62" s="36">
        <f>IFERROR(_xlfn.XLOOKUP(PA_8[[#This Row],[Date]],Input_Raw!$A:$A,Input_Raw!F:F),"")</f>
        <v>0.25138888888888888</v>
      </c>
      <c r="J62" s="36">
        <f>IFERROR(_xlfn.XLOOKUP(PA_8[[#This Row],[Date]],Input_Raw!$A:$A,Input_Raw!G:G),"")</f>
        <v>0.77847222222222223</v>
      </c>
      <c r="K62" s="37">
        <f>IFERROR((PA_8[[#This Row],[Sunset Time (POA&lt;20 W/m2)]]-PA_8[[#This Row],[Sunrise Time (POA&gt;20 W/m2)]])*24,"")</f>
        <v>12.65</v>
      </c>
      <c r="L62" s="155" t="s">
        <v>424</v>
      </c>
      <c r="M62" s="35" t="s">
        <v>362</v>
      </c>
      <c r="N62" s="35" t="s">
        <v>378</v>
      </c>
      <c r="O62" s="38" t="s">
        <v>372</v>
      </c>
      <c r="P62" s="35" t="s">
        <v>365</v>
      </c>
      <c r="Q62" s="35" t="s">
        <v>1115</v>
      </c>
      <c r="R62" s="34">
        <f>IF((PA_8[[#This Row],[String Type(If String BD)]]&amp;PA_8[[#This Row],[Equipment (If any BD other than PV  array and inv)]])="",1,0)</f>
        <v>0</v>
      </c>
      <c r="S62" s="34">
        <f>IF(PA_8[[#This Row],[String Type(If String BD)]]="",1,0)</f>
        <v>0</v>
      </c>
      <c r="T6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62" s="37">
        <f>IFERROR(_xlfn.XLOOKUP(PA_8[[#This Row],[Affected Equipment ]],'Basic Data'!$P:$P,'Basic Data'!$S:$S),"")</f>
        <v>15.805</v>
      </c>
      <c r="V62" s="322">
        <f>IFERROR(_xlfn.XLOOKUP(PA_8[[#This Row],[Affected Equipment ]],'Basic Data'!$P:$P,'Basic Data'!$T:$T),"")</f>
        <v>1.3045272584705542E-4</v>
      </c>
      <c r="W62" s="306" t="s">
        <v>1105</v>
      </c>
      <c r="X62" s="274" t="s">
        <v>1118</v>
      </c>
      <c r="Y62" s="274" t="s">
        <v>1118</v>
      </c>
      <c r="Z62" s="273">
        <v>0.39583333333333331</v>
      </c>
      <c r="AA62" s="39"/>
      <c r="AB62" s="40">
        <v>0.52083333333333337</v>
      </c>
      <c r="AC62" s="39">
        <v>0.77083333333333337</v>
      </c>
      <c r="AD62" s="41">
        <f>IF(PA_8[[#This Row],[Acknowledgement Time ]]="NA","",(PA_8[[#This Row],[Acknowledgement Time ]]-PA_8[[#This Row],[Fault Time]])*24)</f>
        <v>-9.5</v>
      </c>
      <c r="AE62" s="41">
        <f>IF(PA_8[[#This Row],[Work Start time on Fault]]="NA","",(PA_8[[#This Row],[Work Start time on Fault]]-PA_8[[#This Row],[Fault Time]])*24)</f>
        <v>3.0000000000000013</v>
      </c>
      <c r="AF62" s="42">
        <f>IF(PA_8[[#This Row],[Status]]="Open","",(PA_8[[#This Row],[Work Completion time on fault]]-PA_8[[#This Row],[Fault Time]])*24)</f>
        <v>9.0000000000000018</v>
      </c>
      <c r="AG62" s="41">
        <f>IFERROR((PA_8[[#This Row],[Work Completion time on fault]]-PA_8[[#This Row],[Fault Time]])*24,"")</f>
        <v>9.0000000000000018</v>
      </c>
      <c r="AH62" s="38" t="s">
        <v>1119</v>
      </c>
      <c r="AI62" s="155" t="s">
        <v>368</v>
      </c>
      <c r="AJ62" s="37">
        <f>IFERROR(PA_8[[#This Row],[Breakdown Time]]*PA_8[[#This Row],[Plant Equivalent Weightage]],"")</f>
        <v>1.1740745326234991E-3</v>
      </c>
      <c r="AK62" s="275">
        <v>0.92</v>
      </c>
      <c r="AL62" s="157">
        <f>U62*PA_8[[#This Row],[Lost PoA(Wh/m2)]]*84.2%</f>
        <v>12.243185200000001</v>
      </c>
      <c r="AM62" s="157"/>
    </row>
    <row r="63" spans="1:39">
      <c r="A63" s="153">
        <v>54</v>
      </c>
      <c r="B63" s="154">
        <v>45812</v>
      </c>
      <c r="C63" s="187">
        <f>YEAR(PA_8[[#This Row],[Date]])+IF(MONTH(PA_8[[#This Row],[Date]])&gt;=4,1,0)</f>
        <v>2026</v>
      </c>
      <c r="D63" s="34">
        <f>YEAR(PA_8[[#This Row],[Date]])</f>
        <v>2025</v>
      </c>
      <c r="E63" s="155" t="s">
        <v>325</v>
      </c>
      <c r="F63" s="155" t="s">
        <v>325</v>
      </c>
      <c r="G63" s="175">
        <f>PA_8[[#This Row],[Date]]-DAY(PA_8[[#This Row],[Date]])+1</f>
        <v>45809</v>
      </c>
      <c r="H63" s="34">
        <f>DAY(EOMONTH(PA_8[[#This Row],[Month Year]],0))</f>
        <v>30</v>
      </c>
      <c r="I63" s="36">
        <f>IFERROR(_xlfn.XLOOKUP(PA_8[[#This Row],[Date]],Input_Raw!$A:$A,Input_Raw!F:F),"")</f>
        <v>0.25138888888888888</v>
      </c>
      <c r="J63" s="36">
        <f>IFERROR(_xlfn.XLOOKUP(PA_8[[#This Row],[Date]],Input_Raw!$A:$A,Input_Raw!G:G),"")</f>
        <v>0.77847222222222223</v>
      </c>
      <c r="K63" s="37">
        <f>IFERROR((PA_8[[#This Row],[Sunset Time (POA&lt;20 W/m2)]]-PA_8[[#This Row],[Sunrise Time (POA&gt;20 W/m2)]])*24,"")</f>
        <v>12.65</v>
      </c>
      <c r="L63" s="155" t="s">
        <v>418</v>
      </c>
      <c r="M63" s="35" t="s">
        <v>350</v>
      </c>
      <c r="N63" s="35" t="s">
        <v>363</v>
      </c>
      <c r="O63" s="38" t="s">
        <v>379</v>
      </c>
      <c r="P63" s="35" t="s">
        <v>373</v>
      </c>
      <c r="Q63" s="35" t="s">
        <v>1115</v>
      </c>
      <c r="R63" s="34">
        <f>IF((PA_8[[#This Row],[String Type(If String BD)]]&amp;PA_8[[#This Row],[Equipment (If any BD other than PV  array and inv)]])="",1,0)</f>
        <v>0</v>
      </c>
      <c r="S63" s="34">
        <f>IF(PA_8[[#This Row],[String Type(If String BD)]]="",1,0)</f>
        <v>0</v>
      </c>
      <c r="T6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Str_Typ3(550*29)</v>
      </c>
      <c r="U63" s="37">
        <f>IFERROR(_xlfn.XLOOKUP(PA_8[[#This Row],[Affected Equipment ]],'Basic Data'!$P:$P,'Basic Data'!$S:$S),"")</f>
        <v>15.95</v>
      </c>
      <c r="V63" s="322">
        <f>IFERROR(_xlfn.XLOOKUP(PA_8[[#This Row],[Affected Equipment ]],'Basic Data'!$P:$P,'Basic Data'!$T:$T),"")</f>
        <v>1.3164953984565227E-4</v>
      </c>
      <c r="W63" s="306" t="s">
        <v>1105</v>
      </c>
      <c r="X63" s="274"/>
      <c r="Y63" s="274" t="s">
        <v>1120</v>
      </c>
      <c r="Z63" s="273">
        <v>0.59722222222222221</v>
      </c>
      <c r="AA63" s="39"/>
      <c r="AB63" s="40">
        <v>0.72916666666666663</v>
      </c>
      <c r="AC63" s="39">
        <v>0.77777777777777779</v>
      </c>
      <c r="AD63" s="41">
        <f>IF(PA_8[[#This Row],[Acknowledgement Time ]]="NA","",(PA_8[[#This Row],[Acknowledgement Time ]]-PA_8[[#This Row],[Fault Time]])*24)</f>
        <v>-14.333333333333332</v>
      </c>
      <c r="AE63" s="41">
        <f>IF(PA_8[[#This Row],[Work Start time on Fault]]="NA","",(PA_8[[#This Row],[Work Start time on Fault]]-PA_8[[#This Row],[Fault Time]])*24)</f>
        <v>3.1666666666666661</v>
      </c>
      <c r="AF63" s="42">
        <f>IF(PA_8[[#This Row],[Status]]="Open","",(PA_8[[#This Row],[Work Completion time on fault]]-PA_8[[#This Row],[Fault Time]])*24)</f>
        <v>4.3333333333333339</v>
      </c>
      <c r="AG63" s="41">
        <f>IFERROR((PA_8[[#This Row],[Work Completion time on fault]]-PA_8[[#This Row],[Fault Time]])*24,"")</f>
        <v>4.3333333333333339</v>
      </c>
      <c r="AH63" s="38" t="s">
        <v>1121</v>
      </c>
      <c r="AI63" s="155" t="s">
        <v>368</v>
      </c>
      <c r="AJ63" s="37">
        <f>IFERROR(PA_8[[#This Row],[Breakdown Time]]*PA_8[[#This Row],[Plant Equivalent Weightage]],"")</f>
        <v>5.7048133933115992E-4</v>
      </c>
      <c r="AK63" s="275">
        <v>0.85</v>
      </c>
      <c r="AL63" s="157">
        <f>U63*PA_8[[#This Row],[Lost PoA(Wh/m2)]]*84.2%</f>
        <v>11.415415000000001</v>
      </c>
      <c r="AM63" s="157"/>
    </row>
    <row r="64" spans="1:39">
      <c r="A64" s="153">
        <v>55</v>
      </c>
      <c r="B64" s="154">
        <v>45818</v>
      </c>
      <c r="C64" s="187">
        <f>YEAR(PA_8[[#This Row],[Date]])+IF(MONTH(PA_8[[#This Row],[Date]])&gt;=4,1,0)</f>
        <v>2026</v>
      </c>
      <c r="D64" s="34">
        <f>YEAR(PA_8[[#This Row],[Date]])</f>
        <v>2025</v>
      </c>
      <c r="E64" s="155" t="s">
        <v>325</v>
      </c>
      <c r="F64" s="155" t="s">
        <v>325</v>
      </c>
      <c r="G64" s="175">
        <f>PA_8[[#This Row],[Date]]-DAY(PA_8[[#This Row],[Date]])+1</f>
        <v>45809</v>
      </c>
      <c r="H64" s="34">
        <f>DAY(EOMONTH(PA_8[[#This Row],[Month Year]],0))</f>
        <v>30</v>
      </c>
      <c r="I64" s="36">
        <f>IFERROR(_xlfn.XLOOKUP(PA_8[[#This Row],[Date]],Input_Raw!$A:$A,Input_Raw!F:F),"")</f>
        <v>0.25208333333333333</v>
      </c>
      <c r="J64" s="36">
        <f>IFERROR(_xlfn.XLOOKUP(PA_8[[#This Row],[Date]],Input_Raw!$A:$A,Input_Raw!G:G),"")</f>
        <v>0.78125</v>
      </c>
      <c r="K64" s="37">
        <f>IFERROR((PA_8[[#This Row],[Sunset Time (POA&lt;20 W/m2)]]-PA_8[[#This Row],[Sunrise Time (POA&gt;20 W/m2)]])*24,"")</f>
        <v>12.7</v>
      </c>
      <c r="L64" s="155" t="s">
        <v>421</v>
      </c>
      <c r="M64" s="35"/>
      <c r="N64" s="35"/>
      <c r="O64" s="38"/>
      <c r="P64" s="38"/>
      <c r="Q64" s="35" t="s">
        <v>354</v>
      </c>
      <c r="R64" s="34">
        <f>IF((PA_8[[#This Row],[String Type(If String BD)]]&amp;PA_8[[#This Row],[Equipment (If any BD other than PV  array and inv)]])="",1,0)</f>
        <v>0</v>
      </c>
      <c r="S64" s="34">
        <f>IF(PA_8[[#This Row],[String Type(If String BD)]]="",1,0)</f>
        <v>1</v>
      </c>
      <c r="T6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IS13Tx</v>
      </c>
      <c r="U64" s="37">
        <f>IFERROR(_xlfn.XLOOKUP(PA_8[[#This Row],[Affected Equipment ]],'Basic Data'!$P:$P,'Basic Data'!$S:$S),"")</f>
        <v>6701.32</v>
      </c>
      <c r="V64" s="322">
        <f>IFERROR(_xlfn.XLOOKUP(PA_8[[#This Row],[Affected Equipment ]],'Basic Data'!$P:$P,'Basic Data'!$T:$T),"")</f>
        <v>5.5311955759151495E-2</v>
      </c>
      <c r="W64" s="306" t="s">
        <v>392</v>
      </c>
      <c r="X64" s="156" t="s">
        <v>1122</v>
      </c>
      <c r="Y64" s="156" t="s">
        <v>1123</v>
      </c>
      <c r="Z64" s="273">
        <v>0.42708333333333331</v>
      </c>
      <c r="AA64" s="39"/>
      <c r="AB64" s="40">
        <v>0.44791666666666669</v>
      </c>
      <c r="AC64" s="39">
        <v>0.52569444444444446</v>
      </c>
      <c r="AD64" s="41">
        <f>IF(PA_8[[#This Row],[Acknowledgement Time ]]="NA","",(PA_8[[#This Row],[Acknowledgement Time ]]-PA_8[[#This Row],[Fault Time]])*24)</f>
        <v>-10.25</v>
      </c>
      <c r="AE64" s="41">
        <f>IF(PA_8[[#This Row],[Work Start time on Fault]]="NA","",(PA_8[[#This Row],[Work Start time on Fault]]-PA_8[[#This Row],[Fault Time]])*24)</f>
        <v>0.50000000000000089</v>
      </c>
      <c r="AF64" s="42">
        <f>IF(PA_8[[#This Row],[Status]]="Open","",(PA_8[[#This Row],[Work Completion time on fault]]-PA_8[[#This Row],[Fault Time]])*24)</f>
        <v>2.3666666666666676</v>
      </c>
      <c r="AG64" s="41">
        <f>IFERROR((PA_8[[#This Row],[Work Completion time on fault]]-PA_8[[#This Row],[Fault Time]])*24,"")</f>
        <v>2.3666666666666676</v>
      </c>
      <c r="AH64" s="38" t="s">
        <v>1124</v>
      </c>
      <c r="AI64" s="155" t="s">
        <v>368</v>
      </c>
      <c r="AJ64" s="37">
        <f>IFERROR(PA_8[[#This Row],[Breakdown Time]]*PA_8[[#This Row],[Plant Equivalent Weightage]],"")</f>
        <v>0.13090496196332527</v>
      </c>
      <c r="AK64" s="275">
        <v>0.21099999999999999</v>
      </c>
      <c r="AL64" s="157">
        <f>U64*PA_8[[#This Row],[Lost PoA(Wh/m2)]]*84.2%</f>
        <v>1190.56991384</v>
      </c>
      <c r="AM64" s="157"/>
    </row>
    <row r="65" spans="1:39">
      <c r="A65" s="153">
        <v>56</v>
      </c>
      <c r="B65" s="154">
        <v>45820</v>
      </c>
      <c r="C65" s="187">
        <f>YEAR(PA_8[[#This Row],[Date]])+IF(MONTH(PA_8[[#This Row],[Date]])&gt;=4,1,0)</f>
        <v>2026</v>
      </c>
      <c r="D65" s="34">
        <f>YEAR(PA_8[[#This Row],[Date]])</f>
        <v>2025</v>
      </c>
      <c r="E65" s="155" t="s">
        <v>325</v>
      </c>
      <c r="F65" s="155" t="s">
        <v>325</v>
      </c>
      <c r="G65" s="175">
        <f>PA_8[[#This Row],[Date]]-DAY(PA_8[[#This Row],[Date]])+1</f>
        <v>45809</v>
      </c>
      <c r="H65" s="34">
        <f>DAY(EOMONTH(PA_8[[#This Row],[Month Year]],0))</f>
        <v>30</v>
      </c>
      <c r="I65" s="36">
        <f>IFERROR(_xlfn.XLOOKUP(PA_8[[#This Row],[Date]],Input_Raw!$A:$A,Input_Raw!F:F),"")</f>
        <v>0.25069444444444444</v>
      </c>
      <c r="J65" s="36">
        <f>IFERROR(_xlfn.XLOOKUP(PA_8[[#This Row],[Date]],Input_Raw!$A:$A,Input_Raw!G:G),"")</f>
        <v>0.74652777777777779</v>
      </c>
      <c r="K65" s="37">
        <f>IFERROR((PA_8[[#This Row],[Sunset Time (POA&lt;20 W/m2)]]-PA_8[[#This Row],[Sunrise Time (POA&gt;20 W/m2)]])*24,"")</f>
        <v>11.9</v>
      </c>
      <c r="L65" s="155"/>
      <c r="M65" s="35"/>
      <c r="N65" s="35"/>
      <c r="O65" s="38"/>
      <c r="P65" s="38"/>
      <c r="Q65" s="35" t="s">
        <v>401</v>
      </c>
      <c r="R65" s="34">
        <f>IF((PA_8[[#This Row],[String Type(If String BD)]]&amp;PA_8[[#This Row],[Equipment (If any BD other than PV  array and inv)]])="",1,0)</f>
        <v>0</v>
      </c>
      <c r="S65" s="34">
        <f>IF(PA_8[[#This Row],[String Type(If String BD)]]="",1,0)</f>
        <v>1</v>
      </c>
      <c r="T6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Power_TX</v>
      </c>
      <c r="U65" s="37">
        <f>IFERROR(_xlfn.XLOOKUP(PA_8[[#This Row],[Affected Equipment ]],'Basic Data'!$P:$P,'Basic Data'!$S:$S),"")</f>
        <v>122106</v>
      </c>
      <c r="V65" s="322">
        <f>IFERROR(_xlfn.XLOOKUP(PA_8[[#This Row],[Affected Equipment ]],'Basic Data'!$P:$P,'Basic Data'!$T:$T),"")</f>
        <v>1.0078494490528662</v>
      </c>
      <c r="W65" s="306" t="s">
        <v>397</v>
      </c>
      <c r="X65" s="156" t="s">
        <v>1125</v>
      </c>
      <c r="Y65" s="156" t="s">
        <v>1126</v>
      </c>
      <c r="Z65" s="273">
        <v>0.68194444444444446</v>
      </c>
      <c r="AA65" s="39"/>
      <c r="AB65" s="40">
        <v>0.6875</v>
      </c>
      <c r="AC65" s="39">
        <v>0.70347222222222228</v>
      </c>
      <c r="AD65" s="41">
        <f>IF(PA_8[[#This Row],[Acknowledgement Time ]]="NA","",(PA_8[[#This Row],[Acknowledgement Time ]]-PA_8[[#This Row],[Fault Time]])*24)</f>
        <v>-16.366666666666667</v>
      </c>
      <c r="AE65" s="41">
        <f>IF(PA_8[[#This Row],[Work Start time on Fault]]="NA","",(PA_8[[#This Row],[Work Start time on Fault]]-PA_8[[#This Row],[Fault Time]])*24)</f>
        <v>0.13333333333333286</v>
      </c>
      <c r="AF65" s="42">
        <f>IF(PA_8[[#This Row],[Status]]="Open","",(PA_8[[#This Row],[Work Completion time on fault]]-PA_8[[#This Row],[Fault Time]])*24)</f>
        <v>0.5166666666666675</v>
      </c>
      <c r="AG65" s="41">
        <f>IFERROR((PA_8[[#This Row],[Work Completion time on fault]]-PA_8[[#This Row],[Fault Time]])*24,"")</f>
        <v>0.5166666666666675</v>
      </c>
      <c r="AH65" s="38" t="s">
        <v>1127</v>
      </c>
      <c r="AI65" s="155" t="s">
        <v>368</v>
      </c>
      <c r="AJ65" s="37">
        <f>IFERROR(PA_8[[#This Row],[Breakdown Time]]*PA_8[[#This Row],[Plant Equivalent Weightage]],"")</f>
        <v>0.52072221534398166</v>
      </c>
      <c r="AK65" s="275">
        <v>6.4000000000000001E-2</v>
      </c>
      <c r="AL65" s="157">
        <f>U65*PA_8[[#This Row],[Lost PoA(Wh/m2)]]*84.2%</f>
        <v>6580.0481280000013</v>
      </c>
      <c r="AM65" s="157"/>
    </row>
    <row r="66" spans="1:39">
      <c r="A66" s="153">
        <v>57</v>
      </c>
      <c r="B66" s="154">
        <v>45821</v>
      </c>
      <c r="C66" s="187">
        <f>YEAR(PA_8[[#This Row],[Date]])+IF(MONTH(PA_8[[#This Row],[Date]])&gt;=4,1,0)</f>
        <v>2026</v>
      </c>
      <c r="D66" s="34">
        <f>YEAR(PA_8[[#This Row],[Date]])</f>
        <v>2025</v>
      </c>
      <c r="E66" s="155" t="s">
        <v>325</v>
      </c>
      <c r="F66" s="155" t="s">
        <v>325</v>
      </c>
      <c r="G66" s="175">
        <f>PA_8[[#This Row],[Date]]-DAY(PA_8[[#This Row],[Date]])+1</f>
        <v>45809</v>
      </c>
      <c r="H66" s="34">
        <f>DAY(EOMONTH(PA_8[[#This Row],[Month Year]],0))</f>
        <v>30</v>
      </c>
      <c r="I66" s="36">
        <f>IFERROR(_xlfn.XLOOKUP(PA_8[[#This Row],[Date]],Input_Raw!$A:$A,Input_Raw!F:F),"")</f>
        <v>0.25069444444444444</v>
      </c>
      <c r="J66" s="36">
        <f>IFERROR(_xlfn.XLOOKUP(PA_8[[#This Row],[Date]],Input_Raw!$A:$A,Input_Raw!G:G),"")</f>
        <v>0.77638888888888891</v>
      </c>
      <c r="K66" s="37">
        <f>IFERROR((PA_8[[#This Row],[Sunset Time (POA&lt;20 W/m2)]]-PA_8[[#This Row],[Sunrise Time (POA&gt;20 W/m2)]])*24,"")</f>
        <v>12.616666666666667</v>
      </c>
      <c r="L66" s="155" t="s">
        <v>418</v>
      </c>
      <c r="M66" s="35"/>
      <c r="N66" s="35"/>
      <c r="O66" s="38"/>
      <c r="P66" s="38"/>
      <c r="Q66" s="35" t="s">
        <v>354</v>
      </c>
      <c r="R66" s="34">
        <f>IF((PA_8[[#This Row],[String Type(If String BD)]]&amp;PA_8[[#This Row],[Equipment (If any BD other than PV  array and inv)]])="",1,0)</f>
        <v>0</v>
      </c>
      <c r="S66" s="34">
        <f>IF(PA_8[[#This Row],[String Type(If String BD)]]="",1,0)</f>
        <v>1</v>
      </c>
      <c r="T6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IS12Tx</v>
      </c>
      <c r="U66" s="37">
        <f>IFERROR(_xlfn.XLOOKUP(PA_8[[#This Row],[Affected Equipment ]],'Basic Data'!$P:$P,'Basic Data'!$S:$S),"")</f>
        <v>6170.4</v>
      </c>
      <c r="V66" s="322">
        <f>IFERROR(_xlfn.XLOOKUP(PA_8[[#This Row],[Affected Equipment ]],'Basic Data'!$P:$P,'Basic Data'!$T:$T),"")</f>
        <v>5.0929800668565062E-2</v>
      </c>
      <c r="W66" s="306" t="s">
        <v>392</v>
      </c>
      <c r="X66" s="156" t="s">
        <v>1122</v>
      </c>
      <c r="Y66" s="156" t="s">
        <v>1123</v>
      </c>
      <c r="Z66" s="273">
        <v>0.54513888888888884</v>
      </c>
      <c r="AA66" s="39"/>
      <c r="AB66" s="40">
        <v>0.59722222222222221</v>
      </c>
      <c r="AC66" s="39">
        <v>0.6020833333333333</v>
      </c>
      <c r="AD66" s="41">
        <f>IF(PA_8[[#This Row],[Acknowledgement Time ]]="NA","",(PA_8[[#This Row],[Acknowledgement Time ]]-PA_8[[#This Row],[Fault Time]])*24)</f>
        <v>-13.083333333333332</v>
      </c>
      <c r="AE66" s="41">
        <f>IF(PA_8[[#This Row],[Work Start time on Fault]]="NA","",(PA_8[[#This Row],[Work Start time on Fault]]-PA_8[[#This Row],[Fault Time]])*24)</f>
        <v>1.2500000000000009</v>
      </c>
      <c r="AF66" s="42">
        <f>IF(PA_8[[#This Row],[Status]]="Open","",(PA_8[[#This Row],[Work Completion time on fault]]-PA_8[[#This Row],[Fault Time]])*24)</f>
        <v>1.3666666666666671</v>
      </c>
      <c r="AG66" s="41">
        <f>IFERROR((PA_8[[#This Row],[Work Completion time on fault]]-PA_8[[#This Row],[Fault Time]])*24,"")</f>
        <v>1.3666666666666671</v>
      </c>
      <c r="AH66" s="38" t="s">
        <v>1124</v>
      </c>
      <c r="AI66" s="155" t="s">
        <v>368</v>
      </c>
      <c r="AJ66" s="37">
        <f>IFERROR(PA_8[[#This Row],[Breakdown Time]]*PA_8[[#This Row],[Plant Equivalent Weightage]],"")</f>
        <v>6.9604060913705607E-2</v>
      </c>
      <c r="AK66" s="275">
        <v>1.268</v>
      </c>
      <c r="AL66" s="157">
        <f>U66*PA_8[[#This Row],[Lost PoA(Wh/m2)]]*84.2%</f>
        <v>6587.8645824000005</v>
      </c>
      <c r="AM66" s="157"/>
    </row>
    <row r="67" spans="1:39">
      <c r="A67" s="153">
        <v>58</v>
      </c>
      <c r="B67" s="154">
        <v>45821</v>
      </c>
      <c r="C67" s="187">
        <f>YEAR(PA_8[[#This Row],[Date]])+IF(MONTH(PA_8[[#This Row],[Date]])&gt;=4,1,0)</f>
        <v>2026</v>
      </c>
      <c r="D67" s="34">
        <f>YEAR(PA_8[[#This Row],[Date]])</f>
        <v>2025</v>
      </c>
      <c r="E67" s="155" t="s">
        <v>325</v>
      </c>
      <c r="F67" s="155" t="s">
        <v>325</v>
      </c>
      <c r="G67" s="175">
        <f>PA_8[[#This Row],[Date]]-DAY(PA_8[[#This Row],[Date]])+1</f>
        <v>45809</v>
      </c>
      <c r="H67" s="34">
        <f>DAY(EOMONTH(PA_8[[#This Row],[Month Year]],0))</f>
        <v>30</v>
      </c>
      <c r="I67" s="36">
        <f>IFERROR(_xlfn.XLOOKUP(PA_8[[#This Row],[Date]],Input_Raw!$A:$A,Input_Raw!F:F),"")</f>
        <v>0.25069444444444444</v>
      </c>
      <c r="J67" s="36">
        <f>IFERROR(_xlfn.XLOOKUP(PA_8[[#This Row],[Date]],Input_Raw!$A:$A,Input_Raw!G:G),"")</f>
        <v>0.77638888888888891</v>
      </c>
      <c r="K67" s="37">
        <f>IFERROR((PA_8[[#This Row],[Sunset Time (POA&lt;20 W/m2)]]-PA_8[[#This Row],[Sunrise Time (POA&gt;20 W/m2)]])*24,"")</f>
        <v>12.616666666666667</v>
      </c>
      <c r="L67" s="155" t="s">
        <v>418</v>
      </c>
      <c r="M67" s="35" t="s">
        <v>350</v>
      </c>
      <c r="N67" s="35" t="s">
        <v>351</v>
      </c>
      <c r="O67" s="38" t="s">
        <v>372</v>
      </c>
      <c r="P67" s="35" t="s">
        <v>365</v>
      </c>
      <c r="Q67" s="35" t="s">
        <v>1115</v>
      </c>
      <c r="R67" s="34">
        <f>IF((PA_8[[#This Row],[String Type(If String BD)]]&amp;PA_8[[#This Row],[Equipment (If any BD other than PV  array and inv)]])="",1,0)</f>
        <v>0</v>
      </c>
      <c r="S67" s="34">
        <f>IF(PA_8[[#This Row],[String Type(If String BD)]]="",1,0)</f>
        <v>0</v>
      </c>
      <c r="T6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67" s="37">
        <f>IFERROR(_xlfn.XLOOKUP(PA_8[[#This Row],[Affected Equipment ]],'Basic Data'!$P:$P,'Basic Data'!$S:$S),"")</f>
        <v>15.805</v>
      </c>
      <c r="V67" s="322">
        <f>IFERROR(_xlfn.XLOOKUP(PA_8[[#This Row],[Affected Equipment ]],'Basic Data'!$P:$P,'Basic Data'!$T:$T),"")</f>
        <v>1.3045272584705542E-4</v>
      </c>
      <c r="W67" s="306" t="s">
        <v>1105</v>
      </c>
      <c r="X67" s="156" t="s">
        <v>1128</v>
      </c>
      <c r="Y67" s="156" t="s">
        <v>1129</v>
      </c>
      <c r="Z67" s="273">
        <v>0.60416666666666663</v>
      </c>
      <c r="AA67" s="39"/>
      <c r="AB67" s="40">
        <v>0.72222222222222221</v>
      </c>
      <c r="AC67" s="39">
        <v>0.77083333333333337</v>
      </c>
      <c r="AD67" s="41">
        <f>IF(PA_8[[#This Row],[Acknowledgement Time ]]="NA","",(PA_8[[#This Row],[Acknowledgement Time ]]-PA_8[[#This Row],[Fault Time]])*24)</f>
        <v>-14.5</v>
      </c>
      <c r="AE67" s="41">
        <f>IF(PA_8[[#This Row],[Work Start time on Fault]]="NA","",(PA_8[[#This Row],[Work Start time on Fault]]-PA_8[[#This Row],[Fault Time]])*24)</f>
        <v>2.8333333333333339</v>
      </c>
      <c r="AF67" s="42">
        <f>IF(PA_8[[#This Row],[Status]]="Open","",(PA_8[[#This Row],[Work Completion time on fault]]-PA_8[[#This Row],[Fault Time]])*24)</f>
        <v>4.0000000000000018</v>
      </c>
      <c r="AG67" s="41">
        <f>IFERROR((PA_8[[#This Row],[Work Completion time on fault]]-PA_8[[#This Row],[Fault Time]])*24,"")</f>
        <v>4.0000000000000018</v>
      </c>
      <c r="AH67" s="38" t="s">
        <v>1130</v>
      </c>
      <c r="AI67" s="155" t="s">
        <v>368</v>
      </c>
      <c r="AJ67" s="37">
        <f>IFERROR(PA_8[[#This Row],[Breakdown Time]]*PA_8[[#This Row],[Plant Equivalent Weightage]],"")</f>
        <v>5.2181090338822192E-4</v>
      </c>
      <c r="AK67" s="275">
        <v>1.22</v>
      </c>
      <c r="AL67" s="157">
        <f>U67*PA_8[[#This Row],[Lost PoA(Wh/m2)]]*84.2%</f>
        <v>16.235528200000001</v>
      </c>
      <c r="AM67" s="157"/>
    </row>
    <row r="68" spans="1:39">
      <c r="A68" s="153">
        <v>59</v>
      </c>
      <c r="B68" s="154">
        <v>45821</v>
      </c>
      <c r="C68" s="187">
        <f>YEAR(PA_8[[#This Row],[Date]])+IF(MONTH(PA_8[[#This Row],[Date]])&gt;=4,1,0)</f>
        <v>2026</v>
      </c>
      <c r="D68" s="34">
        <f>YEAR(PA_8[[#This Row],[Date]])</f>
        <v>2025</v>
      </c>
      <c r="E68" s="155" t="s">
        <v>325</v>
      </c>
      <c r="F68" s="155" t="s">
        <v>325</v>
      </c>
      <c r="G68" s="175">
        <f>PA_8[[#This Row],[Date]]-DAY(PA_8[[#This Row],[Date]])+1</f>
        <v>45809</v>
      </c>
      <c r="H68" s="34">
        <f>DAY(EOMONTH(PA_8[[#This Row],[Month Year]],0))</f>
        <v>30</v>
      </c>
      <c r="I68" s="36">
        <f>IFERROR(_xlfn.XLOOKUP(PA_8[[#This Row],[Date]],Input_Raw!$A:$A,Input_Raw!F:F),"")</f>
        <v>0.25069444444444444</v>
      </c>
      <c r="J68" s="36">
        <f>IFERROR(_xlfn.XLOOKUP(PA_8[[#This Row],[Date]],Input_Raw!$A:$A,Input_Raw!G:G),"")</f>
        <v>0.77638888888888891</v>
      </c>
      <c r="K68" s="37">
        <f>IFERROR((PA_8[[#This Row],[Sunset Time (POA&lt;20 W/m2)]]-PA_8[[#This Row],[Sunrise Time (POA&gt;20 W/m2)]])*24,"")</f>
        <v>12.616666666666667</v>
      </c>
      <c r="L68" s="155" t="s">
        <v>414</v>
      </c>
      <c r="M68" s="35" t="s">
        <v>350</v>
      </c>
      <c r="N68" s="35" t="s">
        <v>371</v>
      </c>
      <c r="O68" s="38" t="s">
        <v>384</v>
      </c>
      <c r="P68" s="35" t="s">
        <v>373</v>
      </c>
      <c r="Q68" s="35" t="s">
        <v>1115</v>
      </c>
      <c r="R68" s="34">
        <f>IF((PA_8[[#This Row],[String Type(If String BD)]]&amp;PA_8[[#This Row],[Equipment (If any BD other than PV  array and inv)]])="",1,0)</f>
        <v>0</v>
      </c>
      <c r="S68" s="34">
        <f>IF(PA_8[[#This Row],[String Type(If String BD)]]="",1,0)</f>
        <v>0</v>
      </c>
      <c r="T6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Str_Typ3(550*29)</v>
      </c>
      <c r="U68" s="37">
        <f>IFERROR(_xlfn.XLOOKUP(PA_8[[#This Row],[Affected Equipment ]],'Basic Data'!$P:$P,'Basic Data'!$S:$S),"")</f>
        <v>15.95</v>
      </c>
      <c r="V68" s="322">
        <f>IFERROR(_xlfn.XLOOKUP(PA_8[[#This Row],[Affected Equipment ]],'Basic Data'!$P:$P,'Basic Data'!$T:$T),"")</f>
        <v>1.3164953984565227E-4</v>
      </c>
      <c r="W68" s="306" t="s">
        <v>1105</v>
      </c>
      <c r="X68" s="156" t="s">
        <v>1131</v>
      </c>
      <c r="Y68" s="156" t="s">
        <v>1132</v>
      </c>
      <c r="Z68" s="273">
        <v>0.56944444444444442</v>
      </c>
      <c r="AA68" s="39"/>
      <c r="AB68" s="40">
        <v>0.71527777777777779</v>
      </c>
      <c r="AC68" s="39">
        <v>0.77083333333333337</v>
      </c>
      <c r="AD68" s="41">
        <f>IF(PA_8[[#This Row],[Acknowledgement Time ]]="NA","",(PA_8[[#This Row],[Acknowledgement Time ]]-PA_8[[#This Row],[Fault Time]])*24)</f>
        <v>-13.666666666666666</v>
      </c>
      <c r="AE68" s="41">
        <f>IF(PA_8[[#This Row],[Work Start time on Fault]]="NA","",(PA_8[[#This Row],[Work Start time on Fault]]-PA_8[[#This Row],[Fault Time]])*24)</f>
        <v>3.5000000000000009</v>
      </c>
      <c r="AF68" s="42">
        <f>IF(PA_8[[#This Row],[Status]]="Open","",(PA_8[[#This Row],[Work Completion time on fault]]-PA_8[[#This Row],[Fault Time]])*24)</f>
        <v>4.8333333333333348</v>
      </c>
      <c r="AG68" s="41">
        <f>IFERROR((PA_8[[#This Row],[Work Completion time on fault]]-PA_8[[#This Row],[Fault Time]])*24,"")</f>
        <v>4.8333333333333348</v>
      </c>
      <c r="AH68" s="38" t="s">
        <v>1133</v>
      </c>
      <c r="AI68" s="155" t="s">
        <v>368</v>
      </c>
      <c r="AJ68" s="37">
        <f>IFERROR(PA_8[[#This Row],[Breakdown Time]]*PA_8[[#This Row],[Plant Equivalent Weightage]],"")</f>
        <v>6.3630610925398618E-4</v>
      </c>
      <c r="AK68" s="275">
        <v>1.34</v>
      </c>
      <c r="AL68" s="157">
        <f>U68*PA_8[[#This Row],[Lost PoA(Wh/m2)]]*84.2%</f>
        <v>17.996066000000003</v>
      </c>
      <c r="AM68" s="157"/>
    </row>
    <row r="69" spans="1:39">
      <c r="A69" s="153">
        <v>60</v>
      </c>
      <c r="B69" s="154">
        <v>45826</v>
      </c>
      <c r="C69" s="187">
        <f>YEAR(PA_8[[#This Row],[Date]])+IF(MONTH(PA_8[[#This Row],[Date]])&gt;=4,1,0)</f>
        <v>2026</v>
      </c>
      <c r="D69" s="34">
        <f>YEAR(PA_8[[#This Row],[Date]])</f>
        <v>2025</v>
      </c>
      <c r="E69" s="155" t="s">
        <v>325</v>
      </c>
      <c r="F69" s="155" t="s">
        <v>325</v>
      </c>
      <c r="G69" s="175">
        <f>PA_8[[#This Row],[Date]]-DAY(PA_8[[#This Row],[Date]])+1</f>
        <v>45809</v>
      </c>
      <c r="H69" s="34">
        <f>DAY(EOMONTH(PA_8[[#This Row],[Month Year]],0))</f>
        <v>30</v>
      </c>
      <c r="I69" s="36">
        <f>IFERROR(_xlfn.XLOOKUP(PA_8[[#This Row],[Date]],Input_Raw!$A:$A,Input_Raw!F:F),"")</f>
        <v>0.25416666666666665</v>
      </c>
      <c r="J69" s="36">
        <f>IFERROR(_xlfn.XLOOKUP(PA_8[[#This Row],[Date]],Input_Raw!$A:$A,Input_Raw!G:G),"")</f>
        <v>0.77430555555555558</v>
      </c>
      <c r="K69" s="37">
        <f>IFERROR((PA_8[[#This Row],[Sunset Time (POA&lt;20 W/m2)]]-PA_8[[#This Row],[Sunrise Time (POA&gt;20 W/m2)]])*24,"")</f>
        <v>12.483333333333334</v>
      </c>
      <c r="L69" s="155" t="s">
        <v>409</v>
      </c>
      <c r="M69" s="35" t="s">
        <v>377</v>
      </c>
      <c r="N69" s="35" t="s">
        <v>351</v>
      </c>
      <c r="O69" s="38" t="s">
        <v>372</v>
      </c>
      <c r="P69" s="308" t="s">
        <v>365</v>
      </c>
      <c r="Q69" s="308" t="s">
        <v>1115</v>
      </c>
      <c r="R69" s="34">
        <f>IF((PA_8[[#This Row],[String Type(If String BD)]]&amp;PA_8[[#This Row],[Equipment (If any BD other than PV  array and inv)]])="",1,0)</f>
        <v>0</v>
      </c>
      <c r="S69" s="34">
        <f>IF(PA_8[[#This Row],[String Type(If String BD)]]="",1,0)</f>
        <v>0</v>
      </c>
      <c r="T6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69" s="37">
        <f>IFERROR(_xlfn.XLOOKUP(PA_8[[#This Row],[Affected Equipment ]],'Basic Data'!$P:$P,'Basic Data'!$S:$S),"")</f>
        <v>15.805</v>
      </c>
      <c r="V69" s="322">
        <f>IFERROR(_xlfn.XLOOKUP(PA_8[[#This Row],[Affected Equipment ]],'Basic Data'!$P:$P,'Basic Data'!$T:$T),"")</f>
        <v>1.3045272584705542E-4</v>
      </c>
      <c r="W69" s="306" t="s">
        <v>1105</v>
      </c>
      <c r="X69" s="309" t="s">
        <v>1128</v>
      </c>
      <c r="Y69" s="309" t="s">
        <v>1134</v>
      </c>
      <c r="Z69" s="273">
        <v>0.52083333333333337</v>
      </c>
      <c r="AA69" s="39"/>
      <c r="AB69" s="40">
        <v>0.68888888888888888</v>
      </c>
      <c r="AC69" s="39">
        <v>0.77777777777777779</v>
      </c>
      <c r="AD69" s="41">
        <f>IF(PA_8[[#This Row],[Acknowledgement Time ]]="NA","",(PA_8[[#This Row],[Acknowledgement Time ]]-PA_8[[#This Row],[Fault Time]])*24)</f>
        <v>-12.5</v>
      </c>
      <c r="AE69" s="41">
        <f>IF(PA_8[[#This Row],[Work Start time on Fault]]="NA","",(PA_8[[#This Row],[Work Start time on Fault]]-PA_8[[#This Row],[Fault Time]])*24)</f>
        <v>4.0333333333333323</v>
      </c>
      <c r="AF69" s="42">
        <f>IF(PA_8[[#This Row],[Status]]="Open","",(PA_8[[#This Row],[Work Completion time on fault]]-PA_8[[#This Row],[Fault Time]])*24)</f>
        <v>6.1666666666666661</v>
      </c>
      <c r="AG69" s="41">
        <f>IFERROR((PA_8[[#This Row],[Work Completion time on fault]]-PA_8[[#This Row],[Fault Time]])*24,"")</f>
        <v>6.1666666666666661</v>
      </c>
      <c r="AH69" s="310" t="s">
        <v>1135</v>
      </c>
      <c r="AI69" s="311" t="s">
        <v>368</v>
      </c>
      <c r="AJ69" s="37">
        <f>IFERROR(PA_8[[#This Row],[Breakdown Time]]*PA_8[[#This Row],[Plant Equivalent Weightage]],"")</f>
        <v>8.0445847605684171E-4</v>
      </c>
      <c r="AK69" s="275">
        <v>1.02</v>
      </c>
      <c r="AL69" s="157">
        <f>U69*PA_8[[#This Row],[Lost PoA(Wh/m2)]]*84.2%</f>
        <v>13.573966199999999</v>
      </c>
      <c r="AM69" s="157"/>
    </row>
    <row r="70" spans="1:39">
      <c r="A70" s="153">
        <v>61</v>
      </c>
      <c r="B70" s="154">
        <v>45826</v>
      </c>
      <c r="C70" s="187">
        <f>YEAR(PA_8[[#This Row],[Date]])+IF(MONTH(PA_8[[#This Row],[Date]])&gt;=4,1,0)</f>
        <v>2026</v>
      </c>
      <c r="D70" s="34">
        <f>YEAR(PA_8[[#This Row],[Date]])</f>
        <v>2025</v>
      </c>
      <c r="E70" s="155" t="s">
        <v>325</v>
      </c>
      <c r="F70" s="155" t="s">
        <v>325</v>
      </c>
      <c r="G70" s="175">
        <f>PA_8[[#This Row],[Date]]-DAY(PA_8[[#This Row],[Date]])+1</f>
        <v>45809</v>
      </c>
      <c r="H70" s="34">
        <f>DAY(EOMONTH(PA_8[[#This Row],[Month Year]],0))</f>
        <v>30</v>
      </c>
      <c r="I70" s="36">
        <f>IFERROR(_xlfn.XLOOKUP(PA_8[[#This Row],[Date]],Input_Raw!$A:$A,Input_Raw!F:F),"")</f>
        <v>0.25416666666666665</v>
      </c>
      <c r="J70" s="36">
        <f>IFERROR(_xlfn.XLOOKUP(PA_8[[#This Row],[Date]],Input_Raw!$A:$A,Input_Raw!G:G),"")</f>
        <v>0.77430555555555558</v>
      </c>
      <c r="K70" s="37">
        <f>IFERROR((PA_8[[#This Row],[Sunset Time (POA&lt;20 W/m2)]]-PA_8[[#This Row],[Sunrise Time (POA&gt;20 W/m2)]])*24,"")</f>
        <v>12.483333333333334</v>
      </c>
      <c r="L70" s="155" t="s">
        <v>409</v>
      </c>
      <c r="M70" s="35" t="s">
        <v>377</v>
      </c>
      <c r="N70" s="35" t="s">
        <v>351</v>
      </c>
      <c r="O70" s="38" t="s">
        <v>379</v>
      </c>
      <c r="P70" s="308" t="s">
        <v>365</v>
      </c>
      <c r="Q70" s="308" t="s">
        <v>1115</v>
      </c>
      <c r="R70" s="34">
        <f>IF((PA_8[[#This Row],[String Type(If String BD)]]&amp;PA_8[[#This Row],[Equipment (If any BD other than PV  array and inv)]])="",1,0)</f>
        <v>0</v>
      </c>
      <c r="S70" s="34">
        <f>IF(PA_8[[#This Row],[String Type(If String BD)]]="",1,0)</f>
        <v>0</v>
      </c>
      <c r="T7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70" s="37">
        <f>IFERROR(_xlfn.XLOOKUP(PA_8[[#This Row],[Affected Equipment ]],'Basic Data'!$P:$P,'Basic Data'!$S:$S),"")</f>
        <v>15.805</v>
      </c>
      <c r="V70" s="322">
        <f>IFERROR(_xlfn.XLOOKUP(PA_8[[#This Row],[Affected Equipment ]],'Basic Data'!$P:$P,'Basic Data'!$T:$T),"")</f>
        <v>1.3045272584705542E-4</v>
      </c>
      <c r="W70" s="306" t="s">
        <v>1105</v>
      </c>
      <c r="X70" s="309" t="s">
        <v>1131</v>
      </c>
      <c r="Y70" s="309" t="s">
        <v>1132</v>
      </c>
      <c r="Z70" s="273">
        <v>0.61319444444444449</v>
      </c>
      <c r="AA70" s="39"/>
      <c r="AB70" s="40">
        <v>0.69444444444444442</v>
      </c>
      <c r="AC70" s="39">
        <v>0.77083333333333337</v>
      </c>
      <c r="AD70" s="41">
        <f>IF(PA_8[[#This Row],[Acknowledgement Time ]]="NA","",(PA_8[[#This Row],[Acknowledgement Time ]]-PA_8[[#This Row],[Fault Time]])*24)</f>
        <v>-14.716666666666669</v>
      </c>
      <c r="AE70" s="41">
        <f>IF(PA_8[[#This Row],[Work Start time on Fault]]="NA","",(PA_8[[#This Row],[Work Start time on Fault]]-PA_8[[#This Row],[Fault Time]])*24)</f>
        <v>1.9499999999999984</v>
      </c>
      <c r="AF70" s="42">
        <f>IF(PA_8[[#This Row],[Status]]="Open","",(PA_8[[#This Row],[Work Completion time on fault]]-PA_8[[#This Row],[Fault Time]])*24)</f>
        <v>3.7833333333333332</v>
      </c>
      <c r="AG70" s="41">
        <f>IFERROR((PA_8[[#This Row],[Work Completion time on fault]]-PA_8[[#This Row],[Fault Time]])*24,"")</f>
        <v>3.7833333333333332</v>
      </c>
      <c r="AH70" s="310" t="s">
        <v>1133</v>
      </c>
      <c r="AI70" s="311" t="s">
        <v>368</v>
      </c>
      <c r="AJ70" s="37">
        <f>IFERROR(PA_8[[#This Row],[Breakdown Time]]*PA_8[[#This Row],[Plant Equivalent Weightage]],"")</f>
        <v>4.9354614612135968E-4</v>
      </c>
      <c r="AK70" s="275"/>
      <c r="AL70" s="157">
        <f>U70*PA_8[[#This Row],[Lost PoA(Wh/m2)]]*84.2%</f>
        <v>0</v>
      </c>
      <c r="AM70" s="157"/>
    </row>
    <row r="71" spans="1:39">
      <c r="A71" s="153">
        <v>62</v>
      </c>
      <c r="B71" s="154">
        <v>45834</v>
      </c>
      <c r="C71" s="187">
        <f>YEAR(PA_8[[#This Row],[Date]])+IF(MONTH(PA_8[[#This Row],[Date]])&gt;=4,1,0)</f>
        <v>2026</v>
      </c>
      <c r="D71" s="34">
        <f>YEAR(PA_8[[#This Row],[Date]])</f>
        <v>2025</v>
      </c>
      <c r="E71" s="155" t="s">
        <v>325</v>
      </c>
      <c r="F71" s="155" t="s">
        <v>325</v>
      </c>
      <c r="G71" s="175">
        <f>PA_8[[#This Row],[Date]]-DAY(PA_8[[#This Row],[Date]])+1</f>
        <v>45809</v>
      </c>
      <c r="H71" s="34">
        <f>DAY(EOMONTH(PA_8[[#This Row],[Month Year]],0))</f>
        <v>30</v>
      </c>
      <c r="I71" s="36">
        <f>IFERROR(_xlfn.XLOOKUP(PA_8[[#This Row],[Date]],Input_Raw!$A:$A,Input_Raw!F:F),"")</f>
        <v>0.26944444444444443</v>
      </c>
      <c r="J71" s="36">
        <f>IFERROR(_xlfn.XLOOKUP(PA_8[[#This Row],[Date]],Input_Raw!$A:$A,Input_Raw!G:G),"")</f>
        <v>0.77013888888888893</v>
      </c>
      <c r="K71" s="37">
        <f>IFERROR((PA_8[[#This Row],[Sunset Time (POA&lt;20 W/m2)]]-PA_8[[#This Row],[Sunrise Time (POA&gt;20 W/m2)]])*24,"")</f>
        <v>12.016666666666669</v>
      </c>
      <c r="L71" s="155" t="s">
        <v>424</v>
      </c>
      <c r="M71" s="35" t="s">
        <v>350</v>
      </c>
      <c r="N71" s="35"/>
      <c r="O71" s="38"/>
      <c r="P71" s="308"/>
      <c r="Q71" s="308"/>
      <c r="R71" s="34">
        <f>IF((PA_8[[#This Row],[String Type(If String BD)]]&amp;PA_8[[#This Row],[Equipment (If any BD other than PV  array and inv)]])="",1,0)</f>
        <v>1</v>
      </c>
      <c r="S71" s="34">
        <f>IF(PA_8[[#This Row],[String Type(If String BD)]]="",1,0)</f>
        <v>1</v>
      </c>
      <c r="T7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IS14Inv1</v>
      </c>
      <c r="U71" s="37">
        <f>IFERROR(_xlfn.XLOOKUP(PA_8[[#This Row],[Affected Equipment ]],'Basic Data'!$P:$P,'Basic Data'!$S:$S),"")</f>
        <v>0</v>
      </c>
      <c r="V71" s="322">
        <f>IFERROR(_xlfn.XLOOKUP(PA_8[[#This Row],[Affected Equipment ]],'Basic Data'!$P:$P,'Basic Data'!$T:$T),"")</f>
        <v>0</v>
      </c>
      <c r="W71" s="318" t="s">
        <v>1105</v>
      </c>
      <c r="X71" s="314" t="s">
        <v>1262</v>
      </c>
      <c r="Y71" s="314" t="s">
        <v>1263</v>
      </c>
      <c r="Z71" s="273">
        <v>0.26944444444444443</v>
      </c>
      <c r="AA71" s="39"/>
      <c r="AB71" s="40">
        <v>0.5083333333333333</v>
      </c>
      <c r="AC71" s="39">
        <v>0.51249999999999996</v>
      </c>
      <c r="AD71" s="41">
        <f>IF(PA_8[[#This Row],[Acknowledgement Time ]]="NA","",(PA_8[[#This Row],[Acknowledgement Time ]]-PA_8[[#This Row],[Fault Time]])*24)</f>
        <v>-6.4666666666666668</v>
      </c>
      <c r="AE71" s="41">
        <f>IF(PA_8[[#This Row],[Work Start time on Fault]]="NA","",(PA_8[[#This Row],[Work Start time on Fault]]-PA_8[[#This Row],[Fault Time]])*24)</f>
        <v>5.7333333333333325</v>
      </c>
      <c r="AF71" s="42">
        <f>IF(PA_8[[#This Row],[Status]]="Open","",(PA_8[[#This Row],[Work Completion time on fault]]-PA_8[[#This Row],[Fault Time]])*24)</f>
        <v>5.8333333333333321</v>
      </c>
      <c r="AG71" s="41">
        <f>IFERROR((PA_8[[#This Row],[Work Completion time on fault]]-PA_8[[#This Row],[Fault Time]])*24,"")</f>
        <v>5.8333333333333321</v>
      </c>
      <c r="AH71" s="315" t="s">
        <v>1264</v>
      </c>
      <c r="AI71" s="316" t="s">
        <v>368</v>
      </c>
      <c r="AJ71" s="37">
        <f>IFERROR(PA_8[[#This Row],[Breakdown Time]]*PA_8[[#This Row],[Plant Equivalent Weightage]],"")</f>
        <v>0</v>
      </c>
      <c r="AK71" s="275">
        <v>0.18</v>
      </c>
      <c r="AL71" s="157">
        <f>U71*PA_8[[#This Row],[Lost PoA(Wh/m2)]]*84.2%</f>
        <v>0</v>
      </c>
      <c r="AM71" s="157"/>
    </row>
    <row r="72" spans="1:39">
      <c r="A72" s="153">
        <v>63</v>
      </c>
      <c r="B72" s="154">
        <v>45835</v>
      </c>
      <c r="C72" s="187">
        <f>YEAR(PA_8[[#This Row],[Date]])+IF(MONTH(PA_8[[#This Row],[Date]])&gt;=4,1,0)</f>
        <v>2026</v>
      </c>
      <c r="D72" s="34">
        <f>YEAR(PA_8[[#This Row],[Date]])</f>
        <v>2025</v>
      </c>
      <c r="E72" s="155" t="s">
        <v>325</v>
      </c>
      <c r="F72" s="155" t="s">
        <v>325</v>
      </c>
      <c r="G72" s="175">
        <f>PA_8[[#This Row],[Date]]-DAY(PA_8[[#This Row],[Date]])+1</f>
        <v>45809</v>
      </c>
      <c r="H72" s="34">
        <f>DAY(EOMONTH(PA_8[[#This Row],[Month Year]],0))</f>
        <v>30</v>
      </c>
      <c r="I72" s="36">
        <f>IFERROR(_xlfn.XLOOKUP(PA_8[[#This Row],[Date]],Input_Raw!$A:$A,Input_Raw!F:F),"")</f>
        <v>0.26458333333333334</v>
      </c>
      <c r="J72" s="36">
        <f>IFERROR(_xlfn.XLOOKUP(PA_8[[#This Row],[Date]],Input_Raw!$A:$A,Input_Raw!G:G),"")</f>
        <v>0.77500000000000002</v>
      </c>
      <c r="K72" s="37">
        <f>IFERROR((PA_8[[#This Row],[Sunset Time (POA&lt;20 W/m2)]]-PA_8[[#This Row],[Sunrise Time (POA&gt;20 W/m2)]])*24,"")</f>
        <v>12.250000000000002</v>
      </c>
      <c r="L72" s="155" t="s">
        <v>424</v>
      </c>
      <c r="M72" s="35"/>
      <c r="N72" s="35"/>
      <c r="O72" s="38"/>
      <c r="P72" s="35"/>
      <c r="Q72" s="35" t="s">
        <v>354</v>
      </c>
      <c r="R72" s="34">
        <f>IF((PA_8[[#This Row],[String Type(If String BD)]]&amp;PA_8[[#This Row],[Equipment (If any BD other than PV  array and inv)]])="",1,0)</f>
        <v>0</v>
      </c>
      <c r="S72" s="34">
        <f>IF(PA_8[[#This Row],[String Type(If String BD)]]="",1,0)</f>
        <v>1</v>
      </c>
      <c r="T7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IS14Tx</v>
      </c>
      <c r="U72" s="37">
        <f>IFERROR(_xlfn.XLOOKUP(PA_8[[#This Row],[Affected Equipment ]],'Basic Data'!$P:$P,'Basic Data'!$S:$S),"")</f>
        <v>8906.48</v>
      </c>
      <c r="V72" s="322">
        <f>IFERROR(_xlfn.XLOOKUP(PA_8[[#This Row],[Affected Equipment ]],'Basic Data'!$P:$P,'Basic Data'!$T:$T),"")</f>
        <v>7.351310304981222E-2</v>
      </c>
      <c r="W72" s="318" t="s">
        <v>1105</v>
      </c>
      <c r="X72" s="156" t="s">
        <v>1259</v>
      </c>
      <c r="Y72" s="156" t="s">
        <v>1260</v>
      </c>
      <c r="Z72" s="273">
        <v>0.66666666666666663</v>
      </c>
      <c r="AA72" s="39"/>
      <c r="AB72" s="40">
        <v>0.66666666666666663</v>
      </c>
      <c r="AC72" s="39">
        <v>0.77083333333333337</v>
      </c>
      <c r="AD72" s="41">
        <f>IF(PA_8[[#This Row],[Acknowledgement Time ]]="NA","",(PA_8[[#This Row],[Acknowledgement Time ]]-PA_8[[#This Row],[Fault Time]])*24)</f>
        <v>-16</v>
      </c>
      <c r="AE72" s="41">
        <f>IF(PA_8[[#This Row],[Work Start time on Fault]]="NA","",(PA_8[[#This Row],[Work Start time on Fault]]-PA_8[[#This Row],[Fault Time]])*24)</f>
        <v>0</v>
      </c>
      <c r="AF72" s="42">
        <f>IF(PA_8[[#This Row],[Status]]="Open","",(PA_8[[#This Row],[Work Completion time on fault]]-PA_8[[#This Row],[Fault Time]])*24)</f>
        <v>2.5000000000000018</v>
      </c>
      <c r="AG72" s="41">
        <f>IFERROR((PA_8[[#This Row],[Work Completion time on fault]]-PA_8[[#This Row],[Fault Time]])*24,"")</f>
        <v>2.5000000000000018</v>
      </c>
      <c r="AH72" s="38" t="s">
        <v>1261</v>
      </c>
      <c r="AI72" s="311" t="s">
        <v>368</v>
      </c>
      <c r="AJ72" s="37">
        <f>IFERROR(PA_8[[#This Row],[Breakdown Time]]*PA_8[[#This Row],[Plant Equivalent Weightage]],"")</f>
        <v>0.18378275762453067</v>
      </c>
      <c r="AK72" s="275">
        <v>1.01</v>
      </c>
      <c r="AL72" s="157">
        <f>U72*PA_8[[#This Row],[Lost PoA(Wh/m2)]]*84.2%</f>
        <v>7574.2487216000009</v>
      </c>
      <c r="AM72" s="157"/>
    </row>
    <row r="73" spans="1:39">
      <c r="A73" s="153">
        <v>64</v>
      </c>
      <c r="B73" s="154">
        <v>45837</v>
      </c>
      <c r="C73" s="187">
        <f>YEAR(PA_8[[#This Row],[Date]])+IF(MONTH(PA_8[[#This Row],[Date]])&gt;=4,1,0)</f>
        <v>2026</v>
      </c>
      <c r="D73" s="34">
        <f>YEAR(PA_8[[#This Row],[Date]])</f>
        <v>2025</v>
      </c>
      <c r="E73" s="155" t="s">
        <v>325</v>
      </c>
      <c r="F73" s="155" t="s">
        <v>325</v>
      </c>
      <c r="G73" s="175">
        <f>PA_8[[#This Row],[Date]]-DAY(PA_8[[#This Row],[Date]])+1</f>
        <v>45809</v>
      </c>
      <c r="H73" s="34">
        <f>DAY(EOMONTH(PA_8[[#This Row],[Month Year]],0))</f>
        <v>30</v>
      </c>
      <c r="I73" s="36">
        <f>IFERROR(_xlfn.XLOOKUP(PA_8[[#This Row],[Date]],Input_Raw!$A:$A,Input_Raw!F:F),"")</f>
        <v>0.26458333333333334</v>
      </c>
      <c r="J73" s="36">
        <f>IFERROR(_xlfn.XLOOKUP(PA_8[[#This Row],[Date]],Input_Raw!$A:$A,Input_Raw!G:G),"")</f>
        <v>0.7631944444444444</v>
      </c>
      <c r="K73" s="37">
        <f>IFERROR((PA_8[[#This Row],[Sunset Time (POA&lt;20 W/m2)]]-PA_8[[#This Row],[Sunrise Time (POA&gt;20 W/m2)]])*24,"")</f>
        <v>11.966666666666665</v>
      </c>
      <c r="L73" s="155" t="s">
        <v>414</v>
      </c>
      <c r="M73" s="35" t="s">
        <v>350</v>
      </c>
      <c r="N73" s="35" t="s">
        <v>378</v>
      </c>
      <c r="O73" s="38" t="s">
        <v>379</v>
      </c>
      <c r="P73" s="35" t="s">
        <v>365</v>
      </c>
      <c r="Q73" s="35"/>
      <c r="R73" s="34">
        <f>IF((PA_8[[#This Row],[String Type(If String BD)]]&amp;PA_8[[#This Row],[Equipment (If any BD other than PV  array and inv)]])="",1,0)</f>
        <v>0</v>
      </c>
      <c r="S73" s="34">
        <f>IF(PA_8[[#This Row],[String Type(If String BD)]]="",1,0)</f>
        <v>0</v>
      </c>
      <c r="T7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73" s="37">
        <f>IFERROR(_xlfn.XLOOKUP(PA_8[[#This Row],[Affected Equipment ]],'Basic Data'!$P:$P,'Basic Data'!$S:$S),"")</f>
        <v>15.805</v>
      </c>
      <c r="V73" s="322">
        <f>IFERROR(_xlfn.XLOOKUP(PA_8[[#This Row],[Affected Equipment ]],'Basic Data'!$P:$P,'Basic Data'!$T:$T),"")</f>
        <v>1.3045272584705542E-4</v>
      </c>
      <c r="W73" s="318" t="s">
        <v>1105</v>
      </c>
      <c r="X73" s="156" t="s">
        <v>1265</v>
      </c>
      <c r="Y73" s="156" t="s">
        <v>1265</v>
      </c>
      <c r="Z73" s="273">
        <v>0.52083333333333337</v>
      </c>
      <c r="AA73" s="39"/>
      <c r="AB73" s="40">
        <v>0.6875</v>
      </c>
      <c r="AC73" s="39">
        <v>0.77083333333333337</v>
      </c>
      <c r="AD73" s="41">
        <f>IF(PA_8[[#This Row],[Acknowledgement Time ]]="NA","",(PA_8[[#This Row],[Acknowledgement Time ]]-PA_8[[#This Row],[Fault Time]])*24)</f>
        <v>-12.5</v>
      </c>
      <c r="AE73" s="41">
        <f>IF(PA_8[[#This Row],[Work Start time on Fault]]="NA","",(PA_8[[#This Row],[Work Start time on Fault]]-PA_8[[#This Row],[Fault Time]])*24)</f>
        <v>3.9999999999999991</v>
      </c>
      <c r="AF73" s="42">
        <f>IF(PA_8[[#This Row],[Status]]="Open","",(PA_8[[#This Row],[Work Completion time on fault]]-PA_8[[#This Row],[Fault Time]])*24)</f>
        <v>6</v>
      </c>
      <c r="AG73" s="41">
        <f>IFERROR((PA_8[[#This Row],[Work Completion time on fault]]-PA_8[[#This Row],[Fault Time]])*24,"")</f>
        <v>6</v>
      </c>
      <c r="AH73" s="38" t="s">
        <v>1274</v>
      </c>
      <c r="AI73" s="317" t="s">
        <v>368</v>
      </c>
      <c r="AJ73" s="37"/>
      <c r="AK73" s="275">
        <v>1.61</v>
      </c>
      <c r="AL73" s="157">
        <f>U73*PA_8[[#This Row],[Lost PoA(Wh/m2)]]*84.2%</f>
        <v>21.425574100000002</v>
      </c>
      <c r="AM73" s="157"/>
    </row>
    <row r="74" spans="1:39">
      <c r="A74" s="153">
        <v>65</v>
      </c>
      <c r="B74" s="154">
        <v>45837</v>
      </c>
      <c r="C74" s="187">
        <f>YEAR(PA_8[[#This Row],[Date]])+IF(MONTH(PA_8[[#This Row],[Date]])&gt;=4,1,0)</f>
        <v>2026</v>
      </c>
      <c r="D74" s="34">
        <f>YEAR(PA_8[[#This Row],[Date]])</f>
        <v>2025</v>
      </c>
      <c r="E74" s="155" t="s">
        <v>325</v>
      </c>
      <c r="F74" s="155" t="s">
        <v>325</v>
      </c>
      <c r="G74" s="175">
        <f>PA_8[[#This Row],[Date]]-DAY(PA_8[[#This Row],[Date]])+1</f>
        <v>45809</v>
      </c>
      <c r="H74" s="34">
        <f>DAY(EOMONTH(PA_8[[#This Row],[Month Year]],0))</f>
        <v>30</v>
      </c>
      <c r="I74" s="36">
        <f>IFERROR(_xlfn.XLOOKUP(PA_8[[#This Row],[Date]],Input_Raw!$A:$A,Input_Raw!F:F),"")</f>
        <v>0.26458333333333334</v>
      </c>
      <c r="J74" s="36">
        <f>IFERROR(_xlfn.XLOOKUP(PA_8[[#This Row],[Date]],Input_Raw!$A:$A,Input_Raw!G:G),"")</f>
        <v>0.7631944444444444</v>
      </c>
      <c r="K74" s="37">
        <f>IFERROR((PA_8[[#This Row],[Sunset Time (POA&lt;20 W/m2)]]-PA_8[[#This Row],[Sunrise Time (POA&gt;20 W/m2)]])*24,"")</f>
        <v>11.966666666666665</v>
      </c>
      <c r="L74" s="155" t="s">
        <v>414</v>
      </c>
      <c r="M74" s="35" t="s">
        <v>350</v>
      </c>
      <c r="N74" s="35" t="s">
        <v>378</v>
      </c>
      <c r="O74" s="38" t="s">
        <v>352</v>
      </c>
      <c r="P74" s="35" t="s">
        <v>380</v>
      </c>
      <c r="Q74" s="35"/>
      <c r="R74" s="34">
        <f>IF((PA_8[[#This Row],[String Type(If String BD)]]&amp;PA_8[[#This Row],[Equipment (If any BD other than PV  array and inv)]])="",1,0)</f>
        <v>0</v>
      </c>
      <c r="S74" s="34">
        <f>IF(PA_8[[#This Row],[String Type(If String BD)]]="",1,0)</f>
        <v>0</v>
      </c>
      <c r="T7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Str_Typ4(540*58)</v>
      </c>
      <c r="U74" s="37">
        <f>IFERROR(_xlfn.XLOOKUP(PA_8[[#This Row],[Affected Equipment ]],'Basic Data'!$P:$P,'Basic Data'!$S:$S),"")</f>
        <v>31.32</v>
      </c>
      <c r="V74" s="322">
        <f>IFERROR(_xlfn.XLOOKUP(PA_8[[#This Row],[Affected Equipment ]],'Basic Data'!$P:$P,'Basic Data'!$T:$T),"")</f>
        <v>2.5851182369691716E-4</v>
      </c>
      <c r="W74" s="318" t="s">
        <v>1105</v>
      </c>
      <c r="X74" s="156" t="s">
        <v>1266</v>
      </c>
      <c r="Y74" s="156" t="s">
        <v>1266</v>
      </c>
      <c r="Z74" s="273">
        <v>0.52777777777777779</v>
      </c>
      <c r="AA74" s="39"/>
      <c r="AB74" s="40">
        <v>0.6875</v>
      </c>
      <c r="AC74" s="39">
        <v>0.77777777777777779</v>
      </c>
      <c r="AD74" s="41">
        <f>IF(PA_8[[#This Row],[Acknowledgement Time ]]="NA","",(PA_8[[#This Row],[Acknowledgement Time ]]-PA_8[[#This Row],[Fault Time]])*24)</f>
        <v>-12.666666666666668</v>
      </c>
      <c r="AE74" s="41">
        <f>IF(PA_8[[#This Row],[Work Start time on Fault]]="NA","",(PA_8[[#This Row],[Work Start time on Fault]]-PA_8[[#This Row],[Fault Time]])*24)</f>
        <v>3.833333333333333</v>
      </c>
      <c r="AF74" s="42">
        <f>IF(PA_8[[#This Row],[Status]]="Open","",(PA_8[[#This Row],[Work Completion time on fault]]-PA_8[[#This Row],[Fault Time]])*24)</f>
        <v>6</v>
      </c>
      <c r="AG74" s="41">
        <f>IFERROR((PA_8[[#This Row],[Work Completion time on fault]]-PA_8[[#This Row],[Fault Time]])*24,"")</f>
        <v>6</v>
      </c>
      <c r="AH74" s="38" t="s">
        <v>1274</v>
      </c>
      <c r="AI74" s="317" t="s">
        <v>368</v>
      </c>
      <c r="AJ74" s="37">
        <f>IFERROR(PA_8[[#This Row],[Breakdown Time]]*PA_8[[#This Row],[Plant Equivalent Weightage]],"")</f>
        <v>1.5510709421815028E-3</v>
      </c>
      <c r="AK74" s="275">
        <v>1.59</v>
      </c>
      <c r="AL74" s="157">
        <f>U74*PA_8[[#This Row],[Lost PoA(Wh/m2)]]*84.2%</f>
        <v>41.930589600000005</v>
      </c>
      <c r="AM74" s="157"/>
    </row>
    <row r="75" spans="1:39">
      <c r="A75" s="153">
        <v>66</v>
      </c>
      <c r="B75" s="154">
        <v>45837</v>
      </c>
      <c r="C75" s="187">
        <f>YEAR(PA_8[[#This Row],[Date]])+IF(MONTH(PA_8[[#This Row],[Date]])&gt;=4,1,0)</f>
        <v>2026</v>
      </c>
      <c r="D75" s="34">
        <f>YEAR(PA_8[[#This Row],[Date]])</f>
        <v>2025</v>
      </c>
      <c r="E75" s="155" t="s">
        <v>325</v>
      </c>
      <c r="F75" s="155" t="s">
        <v>325</v>
      </c>
      <c r="G75" s="175">
        <f>PA_8[[#This Row],[Date]]-DAY(PA_8[[#This Row],[Date]])+1</f>
        <v>45809</v>
      </c>
      <c r="H75" s="34">
        <f>DAY(EOMONTH(PA_8[[#This Row],[Month Year]],0))</f>
        <v>30</v>
      </c>
      <c r="I75" s="36">
        <f>IFERROR(_xlfn.XLOOKUP(PA_8[[#This Row],[Date]],Input_Raw!$A:$A,Input_Raw!F:F),"")</f>
        <v>0.26458333333333334</v>
      </c>
      <c r="J75" s="36">
        <f>IFERROR(_xlfn.XLOOKUP(PA_8[[#This Row],[Date]],Input_Raw!$A:$A,Input_Raw!G:G),"")</f>
        <v>0.7631944444444444</v>
      </c>
      <c r="K75" s="37">
        <f>IFERROR((PA_8[[#This Row],[Sunset Time (POA&lt;20 W/m2)]]-PA_8[[#This Row],[Sunrise Time (POA&gt;20 W/m2)]])*24,"")</f>
        <v>11.966666666666665</v>
      </c>
      <c r="L75" s="155" t="s">
        <v>414</v>
      </c>
      <c r="M75" s="35" t="s">
        <v>350</v>
      </c>
      <c r="N75" s="35" t="s">
        <v>371</v>
      </c>
      <c r="O75" s="38" t="s">
        <v>364</v>
      </c>
      <c r="P75" s="35" t="s">
        <v>380</v>
      </c>
      <c r="Q75" s="35"/>
      <c r="R75" s="34">
        <f>IF((PA_8[[#This Row],[String Type(If String BD)]]&amp;PA_8[[#This Row],[Equipment (If any BD other than PV  array and inv)]])="",1,0)</f>
        <v>0</v>
      </c>
      <c r="S75" s="34">
        <f>IF(PA_8[[#This Row],[String Type(If String BD)]]="",1,0)</f>
        <v>0</v>
      </c>
      <c r="T7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Str_Typ4(540*58)</v>
      </c>
      <c r="U75" s="37">
        <f>IFERROR(_xlfn.XLOOKUP(PA_8[[#This Row],[Affected Equipment ]],'Basic Data'!$P:$P,'Basic Data'!$S:$S),"")</f>
        <v>31.32</v>
      </c>
      <c r="V75" s="322">
        <f>IFERROR(_xlfn.XLOOKUP(PA_8[[#This Row],[Affected Equipment ]],'Basic Data'!$P:$P,'Basic Data'!$T:$T),"")</f>
        <v>2.5851182369691716E-4</v>
      </c>
      <c r="W75" s="318" t="s">
        <v>1105</v>
      </c>
      <c r="X75" s="156" t="s">
        <v>1267</v>
      </c>
      <c r="Y75" s="156" t="s">
        <v>1267</v>
      </c>
      <c r="Z75" s="273">
        <v>0.52777777777777779</v>
      </c>
      <c r="AA75" s="39"/>
      <c r="AB75" s="40">
        <v>0.6875</v>
      </c>
      <c r="AC75" s="39">
        <v>0.77083333333333337</v>
      </c>
      <c r="AD75" s="41">
        <f>IF(PA_8[[#This Row],[Acknowledgement Time ]]="NA","",(PA_8[[#This Row],[Acknowledgement Time ]]-PA_8[[#This Row],[Fault Time]])*24)</f>
        <v>-12.666666666666668</v>
      </c>
      <c r="AE75" s="41">
        <f>IF(PA_8[[#This Row],[Work Start time on Fault]]="NA","",(PA_8[[#This Row],[Work Start time on Fault]]-PA_8[[#This Row],[Fault Time]])*24)</f>
        <v>3.833333333333333</v>
      </c>
      <c r="AF75" s="42">
        <f>IF(PA_8[[#This Row],[Status]]="Open","",(PA_8[[#This Row],[Work Completion time on fault]]-PA_8[[#This Row],[Fault Time]])*24)</f>
        <v>5.8333333333333339</v>
      </c>
      <c r="AG75" s="41">
        <f>IFERROR((PA_8[[#This Row],[Work Completion time on fault]]-PA_8[[#This Row],[Fault Time]])*24,"")</f>
        <v>5.8333333333333339</v>
      </c>
      <c r="AH75" s="38" t="s">
        <v>1274</v>
      </c>
      <c r="AI75" s="317" t="s">
        <v>368</v>
      </c>
      <c r="AJ75" s="37">
        <f>IFERROR(PA_8[[#This Row],[Breakdown Time]]*PA_8[[#This Row],[Plant Equivalent Weightage]],"")</f>
        <v>1.5079856382320168E-3</v>
      </c>
      <c r="AK75" s="275">
        <v>1.5</v>
      </c>
      <c r="AL75" s="157">
        <f>U75*PA_8[[#This Row],[Lost PoA(Wh/m2)]]*84.2%</f>
        <v>39.55716000000001</v>
      </c>
      <c r="AM75" s="157"/>
    </row>
    <row r="76" spans="1:39">
      <c r="A76" s="153">
        <v>67</v>
      </c>
      <c r="B76" s="154">
        <v>45837</v>
      </c>
      <c r="C76" s="187">
        <f>YEAR(PA_8[[#This Row],[Date]])+IF(MONTH(PA_8[[#This Row],[Date]])&gt;=4,1,0)</f>
        <v>2026</v>
      </c>
      <c r="D76" s="34">
        <f>YEAR(PA_8[[#This Row],[Date]])</f>
        <v>2025</v>
      </c>
      <c r="E76" s="155" t="s">
        <v>325</v>
      </c>
      <c r="F76" s="155" t="s">
        <v>325</v>
      </c>
      <c r="G76" s="175">
        <f>PA_8[[#This Row],[Date]]-DAY(PA_8[[#This Row],[Date]])+1</f>
        <v>45809</v>
      </c>
      <c r="H76" s="34">
        <f>DAY(EOMONTH(PA_8[[#This Row],[Month Year]],0))</f>
        <v>30</v>
      </c>
      <c r="I76" s="36">
        <f>IFERROR(_xlfn.XLOOKUP(PA_8[[#This Row],[Date]],Input_Raw!$A:$A,Input_Raw!F:F),"")</f>
        <v>0.26458333333333334</v>
      </c>
      <c r="J76" s="36">
        <f>IFERROR(_xlfn.XLOOKUP(PA_8[[#This Row],[Date]],Input_Raw!$A:$A,Input_Raw!G:G),"")</f>
        <v>0.7631944444444444</v>
      </c>
      <c r="K76" s="37">
        <f>IFERROR((PA_8[[#This Row],[Sunset Time (POA&lt;20 W/m2)]]-PA_8[[#This Row],[Sunrise Time (POA&gt;20 W/m2)]])*24,"")</f>
        <v>11.966666666666665</v>
      </c>
      <c r="L76" s="155" t="s">
        <v>414</v>
      </c>
      <c r="M76" s="35" t="s">
        <v>350</v>
      </c>
      <c r="N76" s="35" t="s">
        <v>371</v>
      </c>
      <c r="O76" s="38" t="s">
        <v>379</v>
      </c>
      <c r="P76" s="35" t="s">
        <v>385</v>
      </c>
      <c r="Q76" s="35"/>
      <c r="R76" s="34">
        <f>IF((PA_8[[#This Row],[String Type(If String BD)]]&amp;PA_8[[#This Row],[Equipment (If any BD other than PV  array and inv)]])="",1,0)</f>
        <v>0</v>
      </c>
      <c r="S76" s="34">
        <f>IF(PA_8[[#This Row],[String Type(If String BD)]]="",1,0)</f>
        <v>0</v>
      </c>
      <c r="T7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Str_Typ5(545*58)</v>
      </c>
      <c r="U76" s="37">
        <f>IFERROR(_xlfn.XLOOKUP(PA_8[[#This Row],[Affected Equipment ]],'Basic Data'!$P:$P,'Basic Data'!$S:$S),"")</f>
        <v>31.61</v>
      </c>
      <c r="V76" s="322">
        <f>IFERROR(_xlfn.XLOOKUP(PA_8[[#This Row],[Affected Equipment ]],'Basic Data'!$P:$P,'Basic Data'!$T:$T),"")</f>
        <v>2.6090545169411085E-4</v>
      </c>
      <c r="W76" s="318" t="s">
        <v>1105</v>
      </c>
      <c r="X76" s="156" t="s">
        <v>1268</v>
      </c>
      <c r="Y76" s="156" t="s">
        <v>1268</v>
      </c>
      <c r="Z76" s="273">
        <v>0.52083333333333337</v>
      </c>
      <c r="AA76" s="39"/>
      <c r="AB76" s="40">
        <v>0.6875</v>
      </c>
      <c r="AC76" s="39">
        <v>0.78125</v>
      </c>
      <c r="AD76" s="41">
        <f>IF(PA_8[[#This Row],[Acknowledgement Time ]]="NA","",(PA_8[[#This Row],[Acknowledgement Time ]]-PA_8[[#This Row],[Fault Time]])*24)</f>
        <v>-12.5</v>
      </c>
      <c r="AE76" s="41">
        <f>IF(PA_8[[#This Row],[Work Start time on Fault]]="NA","",(PA_8[[#This Row],[Work Start time on Fault]]-PA_8[[#This Row],[Fault Time]])*24)</f>
        <v>3.9999999999999991</v>
      </c>
      <c r="AF76" s="42">
        <f>IF(PA_8[[#This Row],[Status]]="Open","",(PA_8[[#This Row],[Work Completion time on fault]]-PA_8[[#This Row],[Fault Time]])*24)</f>
        <v>6.2499999999999991</v>
      </c>
      <c r="AG76" s="41">
        <f>IFERROR((PA_8[[#This Row],[Work Completion time on fault]]-PA_8[[#This Row],[Fault Time]])*24,"")</f>
        <v>6.2499999999999991</v>
      </c>
      <c r="AH76" s="38" t="s">
        <v>1274</v>
      </c>
      <c r="AI76" s="317" t="s">
        <v>368</v>
      </c>
      <c r="AJ76" s="37">
        <f>IFERROR(PA_8[[#This Row],[Breakdown Time]]*PA_8[[#This Row],[Plant Equivalent Weightage]],"")</f>
        <v>1.6306590730881926E-3</v>
      </c>
      <c r="AK76" s="275">
        <v>1.2</v>
      </c>
      <c r="AL76" s="157">
        <f>U76*PA_8[[#This Row],[Lost PoA(Wh/m2)]]*84.2%</f>
        <v>31.938744</v>
      </c>
      <c r="AM76" s="157"/>
    </row>
    <row r="77" spans="1:39">
      <c r="A77" s="153">
        <v>68</v>
      </c>
      <c r="B77" s="154">
        <v>45837</v>
      </c>
      <c r="C77" s="187">
        <f>YEAR(PA_8[[#This Row],[Date]])+IF(MONTH(PA_8[[#This Row],[Date]])&gt;=4,1,0)</f>
        <v>2026</v>
      </c>
      <c r="D77" s="34">
        <f>YEAR(PA_8[[#This Row],[Date]])</f>
        <v>2025</v>
      </c>
      <c r="E77" s="155" t="s">
        <v>325</v>
      </c>
      <c r="F77" s="155" t="s">
        <v>325</v>
      </c>
      <c r="G77" s="175">
        <f>PA_8[[#This Row],[Date]]-DAY(PA_8[[#This Row],[Date]])+1</f>
        <v>45809</v>
      </c>
      <c r="H77" s="34">
        <f>DAY(EOMONTH(PA_8[[#This Row],[Month Year]],0))</f>
        <v>30</v>
      </c>
      <c r="I77" s="36">
        <f>IFERROR(_xlfn.XLOOKUP(PA_8[[#This Row],[Date]],Input_Raw!$A:$A,Input_Raw!F:F),"")</f>
        <v>0.26458333333333334</v>
      </c>
      <c r="J77" s="36">
        <f>IFERROR(_xlfn.XLOOKUP(PA_8[[#This Row],[Date]],Input_Raw!$A:$A,Input_Raw!G:G),"")</f>
        <v>0.7631944444444444</v>
      </c>
      <c r="K77" s="37">
        <f>IFERROR((PA_8[[#This Row],[Sunset Time (POA&lt;20 W/m2)]]-PA_8[[#This Row],[Sunrise Time (POA&gt;20 W/m2)]])*24,"")</f>
        <v>11.966666666666665</v>
      </c>
      <c r="L77" s="155" t="s">
        <v>414</v>
      </c>
      <c r="M77" s="35" t="s">
        <v>350</v>
      </c>
      <c r="N77" s="35" t="s">
        <v>363</v>
      </c>
      <c r="O77" s="38" t="s">
        <v>364</v>
      </c>
      <c r="P77" s="35" t="s">
        <v>373</v>
      </c>
      <c r="Q77" s="35"/>
      <c r="R77" s="34">
        <f>IF((PA_8[[#This Row],[String Type(If String BD)]]&amp;PA_8[[#This Row],[Equipment (If any BD other than PV  array and inv)]])="",1,0)</f>
        <v>0</v>
      </c>
      <c r="S77" s="34">
        <f>IF(PA_8[[#This Row],[String Type(If String BD)]]="",1,0)</f>
        <v>0</v>
      </c>
      <c r="T7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Str_Typ3(550*29)</v>
      </c>
      <c r="U77" s="37">
        <f>IFERROR(_xlfn.XLOOKUP(PA_8[[#This Row],[Affected Equipment ]],'Basic Data'!$P:$P,'Basic Data'!$S:$S),"")</f>
        <v>15.95</v>
      </c>
      <c r="V77" s="322">
        <f>IFERROR(_xlfn.XLOOKUP(PA_8[[#This Row],[Affected Equipment ]],'Basic Data'!$P:$P,'Basic Data'!$T:$T),"")</f>
        <v>1.3164953984565227E-4</v>
      </c>
      <c r="W77" s="318" t="s">
        <v>1105</v>
      </c>
      <c r="X77" s="156" t="s">
        <v>1268</v>
      </c>
      <c r="Y77" s="156" t="s">
        <v>1268</v>
      </c>
      <c r="Z77" s="273">
        <v>0.53125</v>
      </c>
      <c r="AA77" s="39"/>
      <c r="AB77" s="40">
        <v>0.6875</v>
      </c>
      <c r="AC77" s="39">
        <v>0.79166666666666663</v>
      </c>
      <c r="AD77" s="41">
        <f>IF(PA_8[[#This Row],[Acknowledgement Time ]]="NA","",(PA_8[[#This Row],[Acknowledgement Time ]]-PA_8[[#This Row],[Fault Time]])*24)</f>
        <v>-12.75</v>
      </c>
      <c r="AE77" s="41">
        <f>IF(PA_8[[#This Row],[Work Start time on Fault]]="NA","",(PA_8[[#This Row],[Work Start time on Fault]]-PA_8[[#This Row],[Fault Time]])*24)</f>
        <v>3.75</v>
      </c>
      <c r="AF77" s="42">
        <f>IF(PA_8[[#This Row],[Status]]="Open","",(PA_8[[#This Row],[Work Completion time on fault]]-PA_8[[#This Row],[Fault Time]])*24)</f>
        <v>6.2499999999999991</v>
      </c>
      <c r="AG77" s="41">
        <f>IFERROR((PA_8[[#This Row],[Work Completion time on fault]]-PA_8[[#This Row],[Fault Time]])*24,"")</f>
        <v>6.2499999999999991</v>
      </c>
      <c r="AH77" s="38" t="s">
        <v>1274</v>
      </c>
      <c r="AI77" s="317" t="s">
        <v>368</v>
      </c>
      <c r="AJ77" s="37">
        <f>IFERROR(PA_8[[#This Row],[Breakdown Time]]*PA_8[[#This Row],[Plant Equivalent Weightage]],"")</f>
        <v>8.2280962403532653E-4</v>
      </c>
      <c r="AK77" s="275">
        <v>1.31</v>
      </c>
      <c r="AL77" s="157">
        <f>U77*PA_8[[#This Row],[Lost PoA(Wh/m2)]]*84.2%</f>
        <v>17.593169000000003</v>
      </c>
      <c r="AM77" s="157"/>
    </row>
    <row r="78" spans="1:39">
      <c r="A78" s="153">
        <v>69</v>
      </c>
      <c r="B78" s="154">
        <v>45837</v>
      </c>
      <c r="C78" s="187">
        <f>YEAR(PA_8[[#This Row],[Date]])+IF(MONTH(PA_8[[#This Row],[Date]])&gt;=4,1,0)</f>
        <v>2026</v>
      </c>
      <c r="D78" s="34">
        <f>YEAR(PA_8[[#This Row],[Date]])</f>
        <v>2025</v>
      </c>
      <c r="E78" s="155" t="s">
        <v>325</v>
      </c>
      <c r="F78" s="155" t="s">
        <v>325</v>
      </c>
      <c r="G78" s="175">
        <f>PA_8[[#This Row],[Date]]-DAY(PA_8[[#This Row],[Date]])+1</f>
        <v>45809</v>
      </c>
      <c r="H78" s="34">
        <f>DAY(EOMONTH(PA_8[[#This Row],[Month Year]],0))</f>
        <v>30</v>
      </c>
      <c r="I78" s="36">
        <f>IFERROR(_xlfn.XLOOKUP(PA_8[[#This Row],[Date]],Input_Raw!$A:$A,Input_Raw!F:F),"")</f>
        <v>0.26458333333333334</v>
      </c>
      <c r="J78" s="36">
        <f>IFERROR(_xlfn.XLOOKUP(PA_8[[#This Row],[Date]],Input_Raw!$A:$A,Input_Raw!G:G),"")</f>
        <v>0.7631944444444444</v>
      </c>
      <c r="K78" s="37">
        <f>IFERROR((PA_8[[#This Row],[Sunset Time (POA&lt;20 W/m2)]]-PA_8[[#This Row],[Sunrise Time (POA&gt;20 W/m2)]])*24,"")</f>
        <v>11.966666666666665</v>
      </c>
      <c r="L78" s="155" t="s">
        <v>418</v>
      </c>
      <c r="M78" s="35" t="s">
        <v>350</v>
      </c>
      <c r="N78" s="35" t="s">
        <v>371</v>
      </c>
      <c r="O78" s="38" t="s">
        <v>389</v>
      </c>
      <c r="P78" s="35" t="s">
        <v>365</v>
      </c>
      <c r="Q78" s="35"/>
      <c r="R78" s="34">
        <f>IF((PA_8[[#This Row],[String Type(If String BD)]]&amp;PA_8[[#This Row],[Equipment (If any BD other than PV  array and inv)]])="",1,0)</f>
        <v>0</v>
      </c>
      <c r="S78" s="34">
        <f>IF(PA_8[[#This Row],[String Type(If String BD)]]="",1,0)</f>
        <v>0</v>
      </c>
      <c r="T7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78" s="37">
        <f>IFERROR(_xlfn.XLOOKUP(PA_8[[#This Row],[Affected Equipment ]],'Basic Data'!$P:$P,'Basic Data'!$S:$S),"")</f>
        <v>15.805</v>
      </c>
      <c r="V78" s="322">
        <f>IFERROR(_xlfn.XLOOKUP(PA_8[[#This Row],[Affected Equipment ]],'Basic Data'!$P:$P,'Basic Data'!$T:$T),"")</f>
        <v>1.3045272584705542E-4</v>
      </c>
      <c r="W78" s="318" t="s">
        <v>1105</v>
      </c>
      <c r="X78" s="156" t="s">
        <v>1269</v>
      </c>
      <c r="Y78" s="156" t="s">
        <v>1269</v>
      </c>
      <c r="Z78" s="273">
        <v>0.59722222222222221</v>
      </c>
      <c r="AA78" s="39"/>
      <c r="AB78" s="40">
        <v>0.6875</v>
      </c>
      <c r="AC78" s="39">
        <v>0.79861111111111116</v>
      </c>
      <c r="AD78" s="41">
        <f>IF(PA_8[[#This Row],[Acknowledgement Time ]]="NA","",(PA_8[[#This Row],[Acknowledgement Time ]]-PA_8[[#This Row],[Fault Time]])*24)</f>
        <v>-14.333333333333332</v>
      </c>
      <c r="AE78" s="41">
        <f>IF(PA_8[[#This Row],[Work Start time on Fault]]="NA","",(PA_8[[#This Row],[Work Start time on Fault]]-PA_8[[#This Row],[Fault Time]])*24)</f>
        <v>2.166666666666667</v>
      </c>
      <c r="AF78" s="42">
        <f>IF(PA_8[[#This Row],[Status]]="Open","",(PA_8[[#This Row],[Work Completion time on fault]]-PA_8[[#This Row],[Fault Time]])*24)</f>
        <v>4.8333333333333348</v>
      </c>
      <c r="AG78" s="41">
        <f>IFERROR((PA_8[[#This Row],[Work Completion time on fault]]-PA_8[[#This Row],[Fault Time]])*24,"")</f>
        <v>4.8333333333333348</v>
      </c>
      <c r="AH78" s="38" t="s">
        <v>1274</v>
      </c>
      <c r="AI78" s="317" t="s">
        <v>368</v>
      </c>
      <c r="AJ78" s="37">
        <f>IFERROR(PA_8[[#This Row],[Breakdown Time]]*PA_8[[#This Row],[Plant Equivalent Weightage]],"")</f>
        <v>6.305215082607681E-4</v>
      </c>
      <c r="AK78" s="275">
        <v>1.2</v>
      </c>
      <c r="AL78" s="157">
        <f>U78*PA_8[[#This Row],[Lost PoA(Wh/m2)]]*84.2%</f>
        <v>15.969372</v>
      </c>
      <c r="AM78" s="157"/>
    </row>
    <row r="79" spans="1:39">
      <c r="A79" s="153">
        <v>70</v>
      </c>
      <c r="B79" s="154">
        <v>45837</v>
      </c>
      <c r="C79" s="187">
        <f>YEAR(PA_8[[#This Row],[Date]])+IF(MONTH(PA_8[[#This Row],[Date]])&gt;=4,1,0)</f>
        <v>2026</v>
      </c>
      <c r="D79" s="34">
        <f>YEAR(PA_8[[#This Row],[Date]])</f>
        <v>2025</v>
      </c>
      <c r="E79" s="155" t="s">
        <v>325</v>
      </c>
      <c r="F79" s="155" t="s">
        <v>325</v>
      </c>
      <c r="G79" s="175">
        <f>PA_8[[#This Row],[Date]]-DAY(PA_8[[#This Row],[Date]])+1</f>
        <v>45809</v>
      </c>
      <c r="H79" s="34">
        <f>DAY(EOMONTH(PA_8[[#This Row],[Month Year]],0))</f>
        <v>30</v>
      </c>
      <c r="I79" s="36">
        <f>IFERROR(_xlfn.XLOOKUP(PA_8[[#This Row],[Date]],Input_Raw!$A:$A,Input_Raw!F:F),"")</f>
        <v>0.26458333333333334</v>
      </c>
      <c r="J79" s="36">
        <f>IFERROR(_xlfn.XLOOKUP(PA_8[[#This Row],[Date]],Input_Raw!$A:$A,Input_Raw!G:G),"")</f>
        <v>0.7631944444444444</v>
      </c>
      <c r="K79" s="37">
        <f>IFERROR((PA_8[[#This Row],[Sunset Time (POA&lt;20 W/m2)]]-PA_8[[#This Row],[Sunrise Time (POA&gt;20 W/m2)]])*24,"")</f>
        <v>11.966666666666665</v>
      </c>
      <c r="L79" s="155" t="s">
        <v>418</v>
      </c>
      <c r="M79" s="35" t="s">
        <v>350</v>
      </c>
      <c r="N79" s="35" t="s">
        <v>363</v>
      </c>
      <c r="O79" s="38" t="s">
        <v>389</v>
      </c>
      <c r="P79" s="35" t="s">
        <v>365</v>
      </c>
      <c r="Q79" s="35"/>
      <c r="R79" s="34">
        <f>IF((PA_8[[#This Row],[String Type(If String BD)]]&amp;PA_8[[#This Row],[Equipment (If any BD other than PV  array and inv)]])="",1,0)</f>
        <v>0</v>
      </c>
      <c r="S79" s="34">
        <f>IF(PA_8[[#This Row],[String Type(If String BD)]]="",1,0)</f>
        <v>0</v>
      </c>
      <c r="T7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79" s="37">
        <f>IFERROR(_xlfn.XLOOKUP(PA_8[[#This Row],[Affected Equipment ]],'Basic Data'!$P:$P,'Basic Data'!$S:$S),"")</f>
        <v>15.805</v>
      </c>
      <c r="V79" s="322">
        <f>IFERROR(_xlfn.XLOOKUP(PA_8[[#This Row],[Affected Equipment ]],'Basic Data'!$P:$P,'Basic Data'!$T:$T),"")</f>
        <v>1.3045272584705542E-4</v>
      </c>
      <c r="W79" s="318" t="s">
        <v>1105</v>
      </c>
      <c r="X79" s="156" t="s">
        <v>1270</v>
      </c>
      <c r="Y79" s="156" t="s">
        <v>1270</v>
      </c>
      <c r="Z79" s="273">
        <v>0.60763888888888884</v>
      </c>
      <c r="AA79" s="39"/>
      <c r="AB79" s="40">
        <v>0.6875</v>
      </c>
      <c r="AC79" s="39">
        <v>0.8125</v>
      </c>
      <c r="AD79" s="41">
        <f>IF(PA_8[[#This Row],[Acknowledgement Time ]]="NA","",(PA_8[[#This Row],[Acknowledgement Time ]]-PA_8[[#This Row],[Fault Time]])*24)</f>
        <v>-14.583333333333332</v>
      </c>
      <c r="AE79" s="41">
        <f>IF(PA_8[[#This Row],[Work Start time on Fault]]="NA","",(PA_8[[#This Row],[Work Start time on Fault]]-PA_8[[#This Row],[Fault Time]])*24)</f>
        <v>1.9166666666666679</v>
      </c>
      <c r="AF79" s="42">
        <f>IF(PA_8[[#This Row],[Status]]="Open","",(PA_8[[#This Row],[Work Completion time on fault]]-PA_8[[#This Row],[Fault Time]])*24)</f>
        <v>4.9166666666666679</v>
      </c>
      <c r="AG79" s="41">
        <f>IFERROR((PA_8[[#This Row],[Work Completion time on fault]]-PA_8[[#This Row],[Fault Time]])*24,"")</f>
        <v>4.9166666666666679</v>
      </c>
      <c r="AH79" s="38" t="s">
        <v>1274</v>
      </c>
      <c r="AI79" s="317" t="s">
        <v>368</v>
      </c>
      <c r="AJ79" s="37">
        <f>IFERROR(PA_8[[#This Row],[Breakdown Time]]*PA_8[[#This Row],[Plant Equivalent Weightage]],"")</f>
        <v>6.4139256874802271E-4</v>
      </c>
      <c r="AK79" s="275">
        <v>1.4</v>
      </c>
      <c r="AL79" s="157">
        <f>U79*PA_8[[#This Row],[Lost PoA(Wh/m2)]]*84.2%</f>
        <v>18.630934</v>
      </c>
      <c r="AM79" s="157"/>
    </row>
    <row r="80" spans="1:39">
      <c r="A80" s="153">
        <v>71</v>
      </c>
      <c r="B80" s="154">
        <v>45837</v>
      </c>
      <c r="C80" s="187">
        <f>YEAR(PA_8[[#This Row],[Date]])+IF(MONTH(PA_8[[#This Row],[Date]])&gt;=4,1,0)</f>
        <v>2026</v>
      </c>
      <c r="D80" s="34">
        <f>YEAR(PA_8[[#This Row],[Date]])</f>
        <v>2025</v>
      </c>
      <c r="E80" s="155" t="s">
        <v>325</v>
      </c>
      <c r="F80" s="155" t="s">
        <v>325</v>
      </c>
      <c r="G80" s="175">
        <f>PA_8[[#This Row],[Date]]-DAY(PA_8[[#This Row],[Date]])+1</f>
        <v>45809</v>
      </c>
      <c r="H80" s="34">
        <f>DAY(EOMONTH(PA_8[[#This Row],[Month Year]],0))</f>
        <v>30</v>
      </c>
      <c r="I80" s="36">
        <f>IFERROR(_xlfn.XLOOKUP(PA_8[[#This Row],[Date]],Input_Raw!$A:$A,Input_Raw!F:F),"")</f>
        <v>0.26458333333333334</v>
      </c>
      <c r="J80" s="36">
        <f>IFERROR(_xlfn.XLOOKUP(PA_8[[#This Row],[Date]],Input_Raw!$A:$A,Input_Raw!G:G),"")</f>
        <v>0.7631944444444444</v>
      </c>
      <c r="K80" s="37">
        <f>IFERROR((PA_8[[#This Row],[Sunset Time (POA&lt;20 W/m2)]]-PA_8[[#This Row],[Sunrise Time (POA&gt;20 W/m2)]])*24,"")</f>
        <v>11.966666666666665</v>
      </c>
      <c r="L80" s="155" t="s">
        <v>418</v>
      </c>
      <c r="M80" s="35" t="s">
        <v>350</v>
      </c>
      <c r="N80" s="35" t="s">
        <v>363</v>
      </c>
      <c r="O80" s="38" t="s">
        <v>379</v>
      </c>
      <c r="P80" s="35" t="s">
        <v>365</v>
      </c>
      <c r="Q80" s="35"/>
      <c r="R80" s="34">
        <f>IF((PA_8[[#This Row],[String Type(If String BD)]]&amp;PA_8[[#This Row],[Equipment (If any BD other than PV  array and inv)]])="",1,0)</f>
        <v>0</v>
      </c>
      <c r="S80" s="34">
        <f>IF(PA_8[[#This Row],[String Type(If String BD)]]="",1,0)</f>
        <v>0</v>
      </c>
      <c r="T8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80" s="37">
        <f>IFERROR(_xlfn.XLOOKUP(PA_8[[#This Row],[Affected Equipment ]],'Basic Data'!$P:$P,'Basic Data'!$S:$S),"")</f>
        <v>15.805</v>
      </c>
      <c r="V80" s="322">
        <f>IFERROR(_xlfn.XLOOKUP(PA_8[[#This Row],[Affected Equipment ]],'Basic Data'!$P:$P,'Basic Data'!$T:$T),"")</f>
        <v>1.3045272584705542E-4</v>
      </c>
      <c r="W80" s="318" t="s">
        <v>1105</v>
      </c>
      <c r="X80" s="156" t="s">
        <v>1271</v>
      </c>
      <c r="Y80" s="156" t="s">
        <v>1271</v>
      </c>
      <c r="Z80" s="273">
        <v>0.59861111111111109</v>
      </c>
      <c r="AA80" s="39"/>
      <c r="AB80" s="40">
        <v>0.6875</v>
      </c>
      <c r="AC80" s="39">
        <v>0.77083333333333337</v>
      </c>
      <c r="AD80" s="41">
        <f>IF(PA_8[[#This Row],[Acknowledgement Time ]]="NA","",(PA_8[[#This Row],[Acknowledgement Time ]]-PA_8[[#This Row],[Fault Time]])*24)</f>
        <v>-14.366666666666667</v>
      </c>
      <c r="AE80" s="41">
        <f>IF(PA_8[[#This Row],[Work Start time on Fault]]="NA","",(PA_8[[#This Row],[Work Start time on Fault]]-PA_8[[#This Row],[Fault Time]])*24)</f>
        <v>2.1333333333333337</v>
      </c>
      <c r="AF80" s="42">
        <f>IF(PA_8[[#This Row],[Status]]="Open","",(PA_8[[#This Row],[Work Completion time on fault]]-PA_8[[#This Row],[Fault Time]])*24)</f>
        <v>4.1333333333333346</v>
      </c>
      <c r="AG80" s="41">
        <f>IFERROR((PA_8[[#This Row],[Work Completion time on fault]]-PA_8[[#This Row],[Fault Time]])*24,"")</f>
        <v>4.1333333333333346</v>
      </c>
      <c r="AH80" s="38" t="s">
        <v>1274</v>
      </c>
      <c r="AI80" s="317" t="s">
        <v>368</v>
      </c>
      <c r="AJ80" s="37">
        <f>IFERROR(PA_8[[#This Row],[Breakdown Time]]*PA_8[[#This Row],[Plant Equivalent Weightage]],"")</f>
        <v>5.3920460016782922E-4</v>
      </c>
      <c r="AK80" s="275">
        <v>1.43</v>
      </c>
      <c r="AL80" s="157">
        <f>U80*PA_8[[#This Row],[Lost PoA(Wh/m2)]]*84.2%</f>
        <v>19.0301683</v>
      </c>
      <c r="AM80" s="157"/>
    </row>
    <row r="81" spans="1:39">
      <c r="A81" s="153">
        <v>72</v>
      </c>
      <c r="B81" s="154">
        <v>45837</v>
      </c>
      <c r="C81" s="187">
        <f>YEAR(PA_8[[#This Row],[Date]])+IF(MONTH(PA_8[[#This Row],[Date]])&gt;=4,1,0)</f>
        <v>2026</v>
      </c>
      <c r="D81" s="34">
        <f>YEAR(PA_8[[#This Row],[Date]])</f>
        <v>2025</v>
      </c>
      <c r="E81" s="155" t="s">
        <v>325</v>
      </c>
      <c r="F81" s="155" t="s">
        <v>325</v>
      </c>
      <c r="G81" s="175">
        <f>PA_8[[#This Row],[Date]]-DAY(PA_8[[#This Row],[Date]])+1</f>
        <v>45809</v>
      </c>
      <c r="H81" s="34">
        <f>DAY(EOMONTH(PA_8[[#This Row],[Month Year]],0))</f>
        <v>30</v>
      </c>
      <c r="I81" s="36">
        <f>IFERROR(_xlfn.XLOOKUP(PA_8[[#This Row],[Date]],Input_Raw!$A:$A,Input_Raw!F:F),"")</f>
        <v>0.26458333333333334</v>
      </c>
      <c r="J81" s="36">
        <f>IFERROR(_xlfn.XLOOKUP(PA_8[[#This Row],[Date]],Input_Raw!$A:$A,Input_Raw!G:G),"")</f>
        <v>0.7631944444444444</v>
      </c>
      <c r="K81" s="37">
        <f>IFERROR((PA_8[[#This Row],[Sunset Time (POA&lt;20 W/m2)]]-PA_8[[#This Row],[Sunrise Time (POA&gt;20 W/m2)]])*24,"")</f>
        <v>11.966666666666665</v>
      </c>
      <c r="L81" s="155" t="s">
        <v>421</v>
      </c>
      <c r="M81" s="35" t="s">
        <v>362</v>
      </c>
      <c r="N81" s="35" t="s">
        <v>351</v>
      </c>
      <c r="O81" s="38" t="s">
        <v>364</v>
      </c>
      <c r="P81" s="35" t="s">
        <v>373</v>
      </c>
      <c r="Q81" s="35"/>
      <c r="R81" s="34">
        <f>IF((PA_8[[#This Row],[String Type(If String BD)]]&amp;PA_8[[#This Row],[Equipment (If any BD other than PV  array and inv)]])="",1,0)</f>
        <v>0</v>
      </c>
      <c r="S81" s="34">
        <f>IF(PA_8[[#This Row],[String Type(If String BD)]]="",1,0)</f>
        <v>0</v>
      </c>
      <c r="T8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Str_Typ3(550*29)</v>
      </c>
      <c r="U81" s="37">
        <f>IFERROR(_xlfn.XLOOKUP(PA_8[[#This Row],[Affected Equipment ]],'Basic Data'!$P:$P,'Basic Data'!$S:$S),"")</f>
        <v>15.95</v>
      </c>
      <c r="V81" s="322">
        <f>IFERROR(_xlfn.XLOOKUP(PA_8[[#This Row],[Affected Equipment ]],'Basic Data'!$P:$P,'Basic Data'!$T:$T),"")</f>
        <v>1.3164953984565227E-4</v>
      </c>
      <c r="W81" s="318" t="s">
        <v>1105</v>
      </c>
      <c r="X81" s="156" t="s">
        <v>1267</v>
      </c>
      <c r="Y81" s="156" t="s">
        <v>1267</v>
      </c>
      <c r="Z81" s="273">
        <v>0.59722222222222221</v>
      </c>
      <c r="AA81" s="39"/>
      <c r="AB81" s="40">
        <v>0.6875</v>
      </c>
      <c r="AC81" s="39">
        <v>0.77083333333333337</v>
      </c>
      <c r="AD81" s="41">
        <f>IF(PA_8[[#This Row],[Acknowledgement Time ]]="NA","",(PA_8[[#This Row],[Acknowledgement Time ]]-PA_8[[#This Row],[Fault Time]])*24)</f>
        <v>-14.333333333333332</v>
      </c>
      <c r="AE81" s="41">
        <f>IF(PA_8[[#This Row],[Work Start time on Fault]]="NA","",(PA_8[[#This Row],[Work Start time on Fault]]-PA_8[[#This Row],[Fault Time]])*24)</f>
        <v>2.166666666666667</v>
      </c>
      <c r="AF81" s="42">
        <f>IF(PA_8[[#This Row],[Status]]="Open","",(PA_8[[#This Row],[Work Completion time on fault]]-PA_8[[#This Row],[Fault Time]])*24)</f>
        <v>4.1666666666666679</v>
      </c>
      <c r="AG81" s="41">
        <f>IFERROR((PA_8[[#This Row],[Work Completion time on fault]]-PA_8[[#This Row],[Fault Time]])*24,"")</f>
        <v>4.1666666666666679</v>
      </c>
      <c r="AH81" s="38" t="s">
        <v>1274</v>
      </c>
      <c r="AI81" s="317" t="s">
        <v>368</v>
      </c>
      <c r="AJ81" s="37">
        <f>IFERROR(PA_8[[#This Row],[Breakdown Time]]*PA_8[[#This Row],[Plant Equivalent Weightage]],"")</f>
        <v>5.4853974935688461E-4</v>
      </c>
      <c r="AK81" s="275">
        <v>1.6</v>
      </c>
      <c r="AL81" s="157">
        <f>U81*PA_8[[#This Row],[Lost PoA(Wh/m2)]]*84.2%</f>
        <v>21.487840000000002</v>
      </c>
      <c r="AM81" s="157"/>
    </row>
    <row r="82" spans="1:39">
      <c r="A82" s="153">
        <v>73</v>
      </c>
      <c r="B82" s="154">
        <v>45837</v>
      </c>
      <c r="C82" s="187">
        <f>YEAR(PA_8[[#This Row],[Date]])+IF(MONTH(PA_8[[#This Row],[Date]])&gt;=4,1,0)</f>
        <v>2026</v>
      </c>
      <c r="D82" s="34">
        <f>YEAR(PA_8[[#This Row],[Date]])</f>
        <v>2025</v>
      </c>
      <c r="E82" s="155" t="s">
        <v>325</v>
      </c>
      <c r="F82" s="155" t="s">
        <v>325</v>
      </c>
      <c r="G82" s="175">
        <f>PA_8[[#This Row],[Date]]-DAY(PA_8[[#This Row],[Date]])+1</f>
        <v>45809</v>
      </c>
      <c r="H82" s="34">
        <f>DAY(EOMONTH(PA_8[[#This Row],[Month Year]],0))</f>
        <v>30</v>
      </c>
      <c r="I82" s="36">
        <f>IFERROR(_xlfn.XLOOKUP(PA_8[[#This Row],[Date]],Input_Raw!$A:$A,Input_Raw!F:F),"")</f>
        <v>0.26458333333333334</v>
      </c>
      <c r="J82" s="36">
        <f>IFERROR(_xlfn.XLOOKUP(PA_8[[#This Row],[Date]],Input_Raw!$A:$A,Input_Raw!G:G),"")</f>
        <v>0.7631944444444444</v>
      </c>
      <c r="K82" s="37">
        <f>IFERROR((PA_8[[#This Row],[Sunset Time (POA&lt;20 W/m2)]]-PA_8[[#This Row],[Sunrise Time (POA&gt;20 W/m2)]])*24,"")</f>
        <v>11.966666666666665</v>
      </c>
      <c r="L82" s="155" t="s">
        <v>414</v>
      </c>
      <c r="M82" s="35" t="s">
        <v>350</v>
      </c>
      <c r="N82" s="35" t="s">
        <v>378</v>
      </c>
      <c r="O82" s="38" t="s">
        <v>384</v>
      </c>
      <c r="P82" s="35" t="s">
        <v>365</v>
      </c>
      <c r="Q82" s="35"/>
      <c r="R82" s="34">
        <f>IF((PA_8[[#This Row],[String Type(If String BD)]]&amp;PA_8[[#This Row],[Equipment (If any BD other than PV  array and inv)]])="",1,0)</f>
        <v>0</v>
      </c>
      <c r="S82" s="34">
        <f>IF(PA_8[[#This Row],[String Type(If String BD)]]="",1,0)</f>
        <v>0</v>
      </c>
      <c r="T8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82" s="37">
        <f>IFERROR(_xlfn.XLOOKUP(PA_8[[#This Row],[Affected Equipment ]],'Basic Data'!$P:$P,'Basic Data'!$S:$S),"")</f>
        <v>15.805</v>
      </c>
      <c r="V82" s="322">
        <f>IFERROR(_xlfn.XLOOKUP(PA_8[[#This Row],[Affected Equipment ]],'Basic Data'!$P:$P,'Basic Data'!$T:$T),"")</f>
        <v>1.3045272584705542E-4</v>
      </c>
      <c r="W82" s="318" t="s">
        <v>1105</v>
      </c>
      <c r="X82" s="156" t="s">
        <v>1272</v>
      </c>
      <c r="Y82" s="156" t="s">
        <v>1272</v>
      </c>
      <c r="Z82" s="273">
        <v>0.52083333333333337</v>
      </c>
      <c r="AA82" s="39"/>
      <c r="AB82" s="40">
        <v>0.6875</v>
      </c>
      <c r="AC82" s="39">
        <v>0.77777777777777779</v>
      </c>
      <c r="AD82" s="41">
        <f>IF(PA_8[[#This Row],[Acknowledgement Time ]]="NA","",(PA_8[[#This Row],[Acknowledgement Time ]]-PA_8[[#This Row],[Fault Time]])*24)</f>
        <v>-12.5</v>
      </c>
      <c r="AE82" s="41">
        <f>IF(PA_8[[#This Row],[Work Start time on Fault]]="NA","",(PA_8[[#This Row],[Work Start time on Fault]]-PA_8[[#This Row],[Fault Time]])*24)</f>
        <v>3.9999999999999991</v>
      </c>
      <c r="AF82" s="42">
        <f>IF(PA_8[[#This Row],[Status]]="Open","",(PA_8[[#This Row],[Work Completion time on fault]]-PA_8[[#This Row],[Fault Time]])*24)</f>
        <v>6.1666666666666661</v>
      </c>
      <c r="AG82" s="41">
        <f>IFERROR((PA_8[[#This Row],[Work Completion time on fault]]-PA_8[[#This Row],[Fault Time]])*24,"")</f>
        <v>6.1666666666666661</v>
      </c>
      <c r="AH82" s="38" t="s">
        <v>1274</v>
      </c>
      <c r="AI82" s="317" t="s">
        <v>368</v>
      </c>
      <c r="AJ82" s="37">
        <f>IFERROR(PA_8[[#This Row],[Breakdown Time]]*PA_8[[#This Row],[Plant Equivalent Weightage]],"")</f>
        <v>8.0445847605684171E-4</v>
      </c>
      <c r="AK82" s="275">
        <v>1.6</v>
      </c>
      <c r="AL82" s="157">
        <f>U82*PA_8[[#This Row],[Lost PoA(Wh/m2)]]*84.2%</f>
        <v>21.292496000000003</v>
      </c>
      <c r="AM82" s="157"/>
    </row>
    <row r="83" spans="1:39">
      <c r="A83" s="153">
        <v>74</v>
      </c>
      <c r="B83" s="154">
        <v>45837</v>
      </c>
      <c r="C83" s="187">
        <f>YEAR(PA_8[[#This Row],[Date]])+IF(MONTH(PA_8[[#This Row],[Date]])&gt;=4,1,0)</f>
        <v>2026</v>
      </c>
      <c r="D83" s="34">
        <f>YEAR(PA_8[[#This Row],[Date]])</f>
        <v>2025</v>
      </c>
      <c r="E83" s="155" t="s">
        <v>325</v>
      </c>
      <c r="F83" s="155" t="s">
        <v>325</v>
      </c>
      <c r="G83" s="175">
        <f>PA_8[[#This Row],[Date]]-DAY(PA_8[[#This Row],[Date]])+1</f>
        <v>45809</v>
      </c>
      <c r="H83" s="34">
        <f>DAY(EOMONTH(PA_8[[#This Row],[Month Year]],0))</f>
        <v>30</v>
      </c>
      <c r="I83" s="36">
        <f>IFERROR(_xlfn.XLOOKUP(PA_8[[#This Row],[Date]],Input_Raw!$A:$A,Input_Raw!F:F),"")</f>
        <v>0.26458333333333334</v>
      </c>
      <c r="J83" s="36">
        <f>IFERROR(_xlfn.XLOOKUP(PA_8[[#This Row],[Date]],Input_Raw!$A:$A,Input_Raw!G:G),"")</f>
        <v>0.7631944444444444</v>
      </c>
      <c r="K83" s="37">
        <f>IFERROR((PA_8[[#This Row],[Sunset Time (POA&lt;20 W/m2)]]-PA_8[[#This Row],[Sunrise Time (POA&gt;20 W/m2)]])*24,"")</f>
        <v>11.966666666666665</v>
      </c>
      <c r="L83" s="155" t="s">
        <v>414</v>
      </c>
      <c r="M83" s="35" t="s">
        <v>350</v>
      </c>
      <c r="N83" s="35" t="s">
        <v>371</v>
      </c>
      <c r="O83" s="38" t="s">
        <v>372</v>
      </c>
      <c r="P83" s="35" t="s">
        <v>365</v>
      </c>
      <c r="Q83" s="35"/>
      <c r="R83" s="34">
        <f>IF((PA_8[[#This Row],[String Type(If String BD)]]&amp;PA_8[[#This Row],[Equipment (If any BD other than PV  array and inv)]])="",1,0)</f>
        <v>0</v>
      </c>
      <c r="S83" s="34">
        <f>IF(PA_8[[#This Row],[String Type(If String BD)]]="",1,0)</f>
        <v>0</v>
      </c>
      <c r="T8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83" s="37">
        <f>IFERROR(_xlfn.XLOOKUP(PA_8[[#This Row],[Affected Equipment ]],'Basic Data'!$P:$P,'Basic Data'!$S:$S),"")</f>
        <v>15.805</v>
      </c>
      <c r="V83" s="322">
        <f>IFERROR(_xlfn.XLOOKUP(PA_8[[#This Row],[Affected Equipment ]],'Basic Data'!$P:$P,'Basic Data'!$T:$T),"")</f>
        <v>1.3045272584705542E-4</v>
      </c>
      <c r="W83" s="318" t="s">
        <v>1105</v>
      </c>
      <c r="X83" s="156" t="s">
        <v>1273</v>
      </c>
      <c r="Y83" s="156" t="s">
        <v>1273</v>
      </c>
      <c r="Z83" s="273">
        <v>0.52430555555555558</v>
      </c>
      <c r="AA83" s="39"/>
      <c r="AB83" s="40">
        <v>0.6875</v>
      </c>
      <c r="AC83" s="39">
        <v>0.77777777777777779</v>
      </c>
      <c r="AD83" s="41">
        <f>IF(PA_8[[#This Row],[Acknowledgement Time ]]="NA","",(PA_8[[#This Row],[Acknowledgement Time ]]-PA_8[[#This Row],[Fault Time]])*24)</f>
        <v>-12.583333333333334</v>
      </c>
      <c r="AE83" s="41">
        <f>IF(PA_8[[#This Row],[Work Start time on Fault]]="NA","",(PA_8[[#This Row],[Work Start time on Fault]]-PA_8[[#This Row],[Fault Time]])*24)</f>
        <v>3.9166666666666661</v>
      </c>
      <c r="AF83" s="42">
        <f>IF(PA_8[[#This Row],[Status]]="Open","",(PA_8[[#This Row],[Work Completion time on fault]]-PA_8[[#This Row],[Fault Time]])*24)</f>
        <v>6.083333333333333</v>
      </c>
      <c r="AG83" s="41">
        <f>IFERROR((PA_8[[#This Row],[Work Completion time on fault]]-PA_8[[#This Row],[Fault Time]])*24,"")</f>
        <v>6.083333333333333</v>
      </c>
      <c r="AH83" s="38" t="s">
        <v>1274</v>
      </c>
      <c r="AI83" s="317" t="s">
        <v>368</v>
      </c>
      <c r="AJ83" s="37">
        <f>IFERROR(PA_8[[#This Row],[Breakdown Time]]*PA_8[[#This Row],[Plant Equivalent Weightage]],"")</f>
        <v>7.935874155695871E-4</v>
      </c>
      <c r="AK83" s="275">
        <v>1.6</v>
      </c>
      <c r="AL83" s="157">
        <f>U83*PA_8[[#This Row],[Lost PoA(Wh/m2)]]*84.2%</f>
        <v>21.292496000000003</v>
      </c>
      <c r="AM83" s="157"/>
    </row>
    <row r="84" spans="1:39">
      <c r="A84" s="153">
        <v>75</v>
      </c>
      <c r="B84" s="154">
        <v>45837</v>
      </c>
      <c r="C84" s="187">
        <f>YEAR(PA_8[[#This Row],[Date]])+IF(MONTH(PA_8[[#This Row],[Date]])&gt;=4,1,0)</f>
        <v>2026</v>
      </c>
      <c r="D84" s="34">
        <f>YEAR(PA_8[[#This Row],[Date]])</f>
        <v>2025</v>
      </c>
      <c r="E84" s="155" t="s">
        <v>325</v>
      </c>
      <c r="F84" s="155" t="s">
        <v>325</v>
      </c>
      <c r="G84" s="175">
        <f>PA_8[[#This Row],[Date]]-DAY(PA_8[[#This Row],[Date]])+1</f>
        <v>45809</v>
      </c>
      <c r="H84" s="34">
        <f>DAY(EOMONTH(PA_8[[#This Row],[Month Year]],0))</f>
        <v>30</v>
      </c>
      <c r="I84" s="36">
        <f>IFERROR(_xlfn.XLOOKUP(PA_8[[#This Row],[Date]],Input_Raw!$A:$A,Input_Raw!F:F),"")</f>
        <v>0.26458333333333334</v>
      </c>
      <c r="J84" s="36">
        <f>IFERROR(_xlfn.XLOOKUP(PA_8[[#This Row],[Date]],Input_Raw!$A:$A,Input_Raw!G:G),"")</f>
        <v>0.7631944444444444</v>
      </c>
      <c r="K84" s="37">
        <f>IFERROR((PA_8[[#This Row],[Sunset Time (POA&lt;20 W/m2)]]-PA_8[[#This Row],[Sunrise Time (POA&gt;20 W/m2)]])*24,"")</f>
        <v>11.966666666666665</v>
      </c>
      <c r="L84" s="155" t="s">
        <v>418</v>
      </c>
      <c r="M84" s="35" t="s">
        <v>350</v>
      </c>
      <c r="N84" s="35" t="s">
        <v>371</v>
      </c>
      <c r="O84" s="38" t="s">
        <v>384</v>
      </c>
      <c r="P84" s="35" t="s">
        <v>373</v>
      </c>
      <c r="Q84" s="35"/>
      <c r="R84" s="34">
        <f>IF((PA_8[[#This Row],[String Type(If String BD)]]&amp;PA_8[[#This Row],[Equipment (If any BD other than PV  array and inv)]])="",1,0)</f>
        <v>0</v>
      </c>
      <c r="S84" s="34">
        <f>IF(PA_8[[#This Row],[String Type(If String BD)]]="",1,0)</f>
        <v>0</v>
      </c>
      <c r="T8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Str_Typ3(550*29)</v>
      </c>
      <c r="U84" s="37">
        <f>IFERROR(_xlfn.XLOOKUP(PA_8[[#This Row],[Affected Equipment ]],'Basic Data'!$P:$P,'Basic Data'!$S:$S),"")</f>
        <v>15.95</v>
      </c>
      <c r="V84" s="322">
        <f>IFERROR(_xlfn.XLOOKUP(PA_8[[#This Row],[Affected Equipment ]],'Basic Data'!$P:$P,'Basic Data'!$T:$T),"")</f>
        <v>1.3164953984565227E-4</v>
      </c>
      <c r="W84" s="318" t="s">
        <v>1105</v>
      </c>
      <c r="X84" s="156" t="s">
        <v>1267</v>
      </c>
      <c r="Y84" s="156" t="s">
        <v>1267</v>
      </c>
      <c r="Z84" s="273">
        <v>0.52777777777777779</v>
      </c>
      <c r="AA84" s="39"/>
      <c r="AB84" s="40">
        <v>0.6875</v>
      </c>
      <c r="AC84" s="39">
        <v>0.77777777777777779</v>
      </c>
      <c r="AD84" s="41">
        <f>IF(PA_8[[#This Row],[Acknowledgement Time ]]="NA","",(PA_8[[#This Row],[Acknowledgement Time ]]-PA_8[[#This Row],[Fault Time]])*24)</f>
        <v>-12.666666666666668</v>
      </c>
      <c r="AE84" s="41">
        <f>IF(PA_8[[#This Row],[Work Start time on Fault]]="NA","",(PA_8[[#This Row],[Work Start time on Fault]]-PA_8[[#This Row],[Fault Time]])*24)</f>
        <v>3.833333333333333</v>
      </c>
      <c r="AF84" s="42">
        <f>IF(PA_8[[#This Row],[Status]]="Open","",(PA_8[[#This Row],[Work Completion time on fault]]-PA_8[[#This Row],[Fault Time]])*24)</f>
        <v>6</v>
      </c>
      <c r="AG84" s="41">
        <f>IFERROR((PA_8[[#This Row],[Work Completion time on fault]]-PA_8[[#This Row],[Fault Time]])*24,"")</f>
        <v>6</v>
      </c>
      <c r="AH84" s="38" t="s">
        <v>1274</v>
      </c>
      <c r="AI84" s="317" t="s">
        <v>368</v>
      </c>
      <c r="AJ84" s="37">
        <f>IFERROR(PA_8[[#This Row],[Breakdown Time]]*PA_8[[#This Row],[Plant Equivalent Weightage]],"")</f>
        <v>7.8989723907391357E-4</v>
      </c>
      <c r="AK84" s="275">
        <v>1.32</v>
      </c>
      <c r="AL84" s="157">
        <f>U84*PA_8[[#This Row],[Lost PoA(Wh/m2)]]*84.2%</f>
        <v>17.727468000000002</v>
      </c>
      <c r="AM84" s="157"/>
    </row>
    <row r="85" spans="1:39">
      <c r="A85" s="153">
        <v>76</v>
      </c>
      <c r="B85" s="154">
        <v>45838</v>
      </c>
      <c r="C85" s="187">
        <f>YEAR(PA_8[[#This Row],[Date]])+IF(MONTH(PA_8[[#This Row],[Date]])&gt;=4,1,0)</f>
        <v>2026</v>
      </c>
      <c r="D85" s="34">
        <f>YEAR(PA_8[[#This Row],[Date]])</f>
        <v>2025</v>
      </c>
      <c r="E85" s="155" t="s">
        <v>325</v>
      </c>
      <c r="F85" s="155" t="s">
        <v>325</v>
      </c>
      <c r="G85" s="175">
        <f>PA_8[[#This Row],[Date]]-DAY(PA_8[[#This Row],[Date]])+1</f>
        <v>45809</v>
      </c>
      <c r="H85" s="34">
        <f>DAY(EOMONTH(PA_8[[#This Row],[Month Year]],0))</f>
        <v>30</v>
      </c>
      <c r="I85" s="36">
        <f>IFERROR(_xlfn.XLOOKUP(PA_8[[#This Row],[Date]],Input_Raw!$A:$A,Input_Raw!F:F),"")</f>
        <v>0.26944444444444443</v>
      </c>
      <c r="J85" s="36">
        <f>IFERROR(_xlfn.XLOOKUP(PA_8[[#This Row],[Date]],Input_Raw!$A:$A,Input_Raw!G:G),"")</f>
        <v>0.78263888888888888</v>
      </c>
      <c r="K85" s="37">
        <f>IFERROR((PA_8[[#This Row],[Sunset Time (POA&lt;20 W/m2)]]-PA_8[[#This Row],[Sunrise Time (POA&gt;20 W/m2)]])*24,"")</f>
        <v>12.316666666666668</v>
      </c>
      <c r="L85" s="155" t="s">
        <v>409</v>
      </c>
      <c r="M85" s="35" t="s">
        <v>362</v>
      </c>
      <c r="N85" s="35" t="s">
        <v>363</v>
      </c>
      <c r="O85" s="38"/>
      <c r="P85" s="35"/>
      <c r="Q85" s="35"/>
      <c r="R85" s="34">
        <f>IF((PA_8[[#This Row],[String Type(If String BD)]]&amp;PA_8[[#This Row],[Equipment (If any BD other than PV  array and inv)]])="",1,0)</f>
        <v>1</v>
      </c>
      <c r="S85" s="34">
        <f>IF(PA_8[[#This Row],[String Type(If String BD)]]="",1,0)</f>
        <v>1</v>
      </c>
      <c r="T8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85" s="37">
        <f>IFERROR(_xlfn.XLOOKUP(PA_8[[#This Row],[Affected Equipment ]],'Basic Data'!$P:$P,'Basic Data'!$S:$S),"")</f>
        <v>2041.6000000000001</v>
      </c>
      <c r="V85" s="322">
        <f>IFERROR(_xlfn.XLOOKUP(PA_8[[#This Row],[Affected Equipment ]],'Basic Data'!$P:$P,'Basic Data'!$T:$T),"")</f>
        <v>1.6851141100243491E-2</v>
      </c>
      <c r="W85" s="320" t="s">
        <v>330</v>
      </c>
      <c r="X85" s="156" t="s">
        <v>1087</v>
      </c>
      <c r="Y85" s="156" t="s">
        <v>1275</v>
      </c>
      <c r="Z85" s="273">
        <v>0.5180555555555556</v>
      </c>
      <c r="AA85" s="39"/>
      <c r="AB85" s="40">
        <v>0.52083333333333337</v>
      </c>
      <c r="AC85" s="39">
        <v>0.55555555555555558</v>
      </c>
      <c r="AD85" s="41">
        <f>IF(PA_8[[#This Row],[Acknowledgement Time ]]="NA","",(PA_8[[#This Row],[Acknowledgement Time ]]-PA_8[[#This Row],[Fault Time]])*24)</f>
        <v>-12.433333333333334</v>
      </c>
      <c r="AE85" s="41">
        <f>IF(PA_8[[#This Row],[Work Start time on Fault]]="NA","",(PA_8[[#This Row],[Work Start time on Fault]]-PA_8[[#This Row],[Fault Time]])*24)</f>
        <v>6.666666666666643E-2</v>
      </c>
      <c r="AF85" s="42">
        <f>IF(PA_8[[#This Row],[Status]]="Open","",(PA_8[[#This Row],[Work Completion time on fault]]-PA_8[[#This Row],[Fault Time]])*24)</f>
        <v>0.89999999999999947</v>
      </c>
      <c r="AG85" s="41">
        <f>IFERROR((PA_8[[#This Row],[Work Completion time on fault]]-PA_8[[#This Row],[Fault Time]])*24,"")</f>
        <v>0.89999999999999947</v>
      </c>
      <c r="AH85" s="38" t="s">
        <v>1276</v>
      </c>
      <c r="AI85" s="155" t="s">
        <v>368</v>
      </c>
      <c r="AJ85" s="37">
        <f>IFERROR(PA_8[[#This Row],[Breakdown Time]]*PA_8[[#This Row],[Plant Equivalent Weightage]],"")</f>
        <v>1.5166026990219133E-2</v>
      </c>
      <c r="AK85" s="275">
        <v>0.22</v>
      </c>
      <c r="AL85" s="157">
        <f>U85*PA_8[[#This Row],[Lost PoA(Wh/m2)]]*84.2%</f>
        <v>378.18598400000008</v>
      </c>
      <c r="AM85" s="157"/>
    </row>
    <row r="86" spans="1:39">
      <c r="A86" s="153">
        <v>77</v>
      </c>
      <c r="B86" s="154">
        <v>45839</v>
      </c>
      <c r="C86" s="187">
        <f>YEAR(PA_8[[#This Row],[Date]])+IF(MONTH(PA_8[[#This Row],[Date]])&gt;=4,1,0)</f>
        <v>2026</v>
      </c>
      <c r="D86" s="34">
        <f>YEAR(PA_8[[#This Row],[Date]])</f>
        <v>2025</v>
      </c>
      <c r="E86" s="155" t="s">
        <v>325</v>
      </c>
      <c r="F86" s="155" t="s">
        <v>325</v>
      </c>
      <c r="G86" s="175">
        <f>PA_8[[#This Row],[Date]]-DAY(PA_8[[#This Row],[Date]])+1</f>
        <v>45839</v>
      </c>
      <c r="H86" s="34">
        <f>DAY(EOMONTH(PA_8[[#This Row],[Month Year]],0))</f>
        <v>31</v>
      </c>
      <c r="I86" s="36">
        <f>IFERROR(_xlfn.XLOOKUP(PA_8[[#This Row],[Date]],Input_Raw!$A:$A,Input_Raw!F:F),"")</f>
        <v>0.26597222222222222</v>
      </c>
      <c r="J86" s="36">
        <f>IFERROR(_xlfn.XLOOKUP(PA_8[[#This Row],[Date]],Input_Raw!$A:$A,Input_Raw!G:G),"")</f>
        <v>0.77777777777777779</v>
      </c>
      <c r="K86" s="37">
        <f>IFERROR((PA_8[[#This Row],[Sunset Time (POA&lt;20 W/m2)]]-PA_8[[#This Row],[Sunrise Time (POA&gt;20 W/m2)]])*24,"")</f>
        <v>12.283333333333335</v>
      </c>
      <c r="L86" s="155" t="s">
        <v>409</v>
      </c>
      <c r="M86" s="35" t="s">
        <v>362</v>
      </c>
      <c r="N86" s="35" t="s">
        <v>363</v>
      </c>
      <c r="O86" s="38"/>
      <c r="P86" s="35"/>
      <c r="Q86" s="35"/>
      <c r="R86" s="34">
        <f>IF((PA_8[[#This Row],[String Type(If String BD)]]&amp;PA_8[[#This Row],[Equipment (If any BD other than PV  array and inv)]])="",1,0)</f>
        <v>1</v>
      </c>
      <c r="S86" s="34">
        <f>IF(PA_8[[#This Row],[String Type(If String BD)]]="",1,0)</f>
        <v>1</v>
      </c>
      <c r="T8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86" s="37">
        <f>IFERROR(_xlfn.XLOOKUP(PA_8[[#This Row],[Affected Equipment ]],'Basic Data'!$P:$P,'Basic Data'!$S:$S),"")</f>
        <v>2041.6000000000001</v>
      </c>
      <c r="V86" s="322">
        <f>IFERROR(_xlfn.XLOOKUP(PA_8[[#This Row],[Affected Equipment ]],'Basic Data'!$P:$P,'Basic Data'!$T:$T),"")</f>
        <v>1.6851141100243491E-2</v>
      </c>
      <c r="W86" s="320" t="s">
        <v>330</v>
      </c>
      <c r="X86" s="156" t="s">
        <v>1087</v>
      </c>
      <c r="Y86" s="156" t="s">
        <v>1277</v>
      </c>
      <c r="Z86" s="273">
        <v>0.37083333333333335</v>
      </c>
      <c r="AA86" s="39"/>
      <c r="AB86" s="40">
        <v>0.375</v>
      </c>
      <c r="AC86" s="39">
        <v>0.40902777777777777</v>
      </c>
      <c r="AD86" s="41">
        <f>IF(PA_8[[#This Row],[Acknowledgement Time ]]="NA","",(PA_8[[#This Row],[Acknowledgement Time ]]-PA_8[[#This Row],[Fault Time]])*24)</f>
        <v>-8.9</v>
      </c>
      <c r="AE86" s="41">
        <f>IF(PA_8[[#This Row],[Work Start time on Fault]]="NA","",(PA_8[[#This Row],[Work Start time on Fault]]-PA_8[[#This Row],[Fault Time]])*24)</f>
        <v>9.9999999999999645E-2</v>
      </c>
      <c r="AF86" s="42">
        <f>IF(PA_8[[#This Row],[Status]]="Open","",(PA_8[[#This Row],[Work Completion time on fault]]-PA_8[[#This Row],[Fault Time]])*24)</f>
        <v>0.91666666666666607</v>
      </c>
      <c r="AG86" s="41">
        <f>IFERROR((PA_8[[#This Row],[Work Completion time on fault]]-PA_8[[#This Row],[Fault Time]])*24,"")</f>
        <v>0.91666666666666607</v>
      </c>
      <c r="AH86" s="38" t="s">
        <v>1278</v>
      </c>
      <c r="AI86" s="155" t="s">
        <v>368</v>
      </c>
      <c r="AJ86" s="37">
        <f>IFERROR(PA_8[[#This Row],[Breakdown Time]]*PA_8[[#This Row],[Plant Equivalent Weightage]],"")</f>
        <v>1.5446879341889857E-2</v>
      </c>
      <c r="AK86" s="275">
        <v>0.18</v>
      </c>
      <c r="AL86" s="157">
        <f>U86*PA_8[[#This Row],[Lost PoA(Wh/m2)]]*84.2%</f>
        <v>309.42489600000005</v>
      </c>
      <c r="AM86" s="157"/>
    </row>
    <row r="87" spans="1:39">
      <c r="A87" s="153">
        <v>78</v>
      </c>
      <c r="B87" s="154">
        <v>45840</v>
      </c>
      <c r="C87" s="187">
        <f>YEAR(PA_8[[#This Row],[Date]])+IF(MONTH(PA_8[[#This Row],[Date]])&gt;=4,1,0)</f>
        <v>2026</v>
      </c>
      <c r="D87" s="34">
        <f>YEAR(PA_8[[#This Row],[Date]])</f>
        <v>2025</v>
      </c>
      <c r="E87" s="155" t="s">
        <v>325</v>
      </c>
      <c r="F87" s="155" t="s">
        <v>325</v>
      </c>
      <c r="G87" s="175">
        <f>PA_8[[#This Row],[Date]]-DAY(PA_8[[#This Row],[Date]])+1</f>
        <v>45839</v>
      </c>
      <c r="H87" s="34">
        <f>DAY(EOMONTH(PA_8[[#This Row],[Month Year]],0))</f>
        <v>31</v>
      </c>
      <c r="I87" s="36">
        <f>IFERROR(_xlfn.XLOOKUP(PA_8[[#This Row],[Date]],Input_Raw!$A:$A,Input_Raw!F:F),"")</f>
        <v>0.26041666666666669</v>
      </c>
      <c r="J87" s="36">
        <f>IFERROR(_xlfn.XLOOKUP(PA_8[[#This Row],[Date]],Input_Raw!$A:$A,Input_Raw!G:G),"")</f>
        <v>0.79305555555555551</v>
      </c>
      <c r="K87" s="37">
        <f>IFERROR((PA_8[[#This Row],[Sunset Time (POA&lt;20 W/m2)]]-PA_8[[#This Row],[Sunrise Time (POA&gt;20 W/m2)]])*24,"")</f>
        <v>12.783333333333333</v>
      </c>
      <c r="L87" s="155" t="s">
        <v>387</v>
      </c>
      <c r="M87" s="35" t="s">
        <v>350</v>
      </c>
      <c r="N87" s="35"/>
      <c r="O87" s="38"/>
      <c r="P87" s="35"/>
      <c r="Q87" s="35"/>
      <c r="R87" s="34">
        <f>IF((PA_8[[#This Row],[String Type(If String BD)]]&amp;PA_8[[#This Row],[Equipment (If any BD other than PV  array and inv)]])="",1,0)</f>
        <v>1</v>
      </c>
      <c r="S87" s="34">
        <f>IF(PA_8[[#This Row],[String Type(If String BD)]]="",1,0)</f>
        <v>1</v>
      </c>
      <c r="T8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IS6Inv1</v>
      </c>
      <c r="U87" s="37">
        <f>IFERROR(_xlfn.XLOOKUP(PA_8[[#This Row],[Affected Equipment ]],'Basic Data'!$P:$P,'Basic Data'!$S:$S),"")</f>
        <v>3716.35</v>
      </c>
      <c r="V87" s="322">
        <f>IFERROR(_xlfn.XLOOKUP(PA_8[[#This Row],[Affected Equipment ]],'Basic Data'!$P:$P,'Basic Data'!$T:$T),"")</f>
        <v>3.0674342784036978E-2</v>
      </c>
      <c r="W87" s="326" t="s">
        <v>330</v>
      </c>
      <c r="X87" s="156" t="s">
        <v>1285</v>
      </c>
      <c r="Y87" s="156" t="s">
        <v>1285</v>
      </c>
      <c r="Z87" s="273">
        <v>0.41597222222222224</v>
      </c>
      <c r="AA87" s="39"/>
      <c r="AB87" s="40">
        <v>0.42708333333333331</v>
      </c>
      <c r="AC87" s="39">
        <v>0.44236111111111109</v>
      </c>
      <c r="AD87" s="41">
        <f>IF(PA_8[[#This Row],[Acknowledgement Time ]]="NA","",(PA_8[[#This Row],[Acknowledgement Time ]]-PA_8[[#This Row],[Fault Time]])*24)</f>
        <v>-9.9833333333333343</v>
      </c>
      <c r="AE87" s="41">
        <f>IF(PA_8[[#This Row],[Work Start time on Fault]]="NA","",(PA_8[[#This Row],[Work Start time on Fault]]-PA_8[[#This Row],[Fault Time]])*24)</f>
        <v>0.26666666666666572</v>
      </c>
      <c r="AF87" s="42">
        <f>IF(PA_8[[#This Row],[Status]]="Open","",(PA_8[[#This Row],[Work Completion time on fault]]-PA_8[[#This Row],[Fault Time]])*24)</f>
        <v>0.63333333333333242</v>
      </c>
      <c r="AG87" s="41">
        <f>IFERROR((PA_8[[#This Row],[Work Completion time on fault]]-PA_8[[#This Row],[Fault Time]])*24,"")</f>
        <v>0.63333333333333242</v>
      </c>
      <c r="AH87" s="38" t="s">
        <v>1286</v>
      </c>
      <c r="AI87" s="155" t="s">
        <v>368</v>
      </c>
      <c r="AJ87" s="37">
        <f>IFERROR(PA_8[[#This Row],[Breakdown Time]]*PA_8[[#This Row],[Plant Equivalent Weightage]],"")</f>
        <v>1.9427083763223392E-2</v>
      </c>
      <c r="AK87" s="275">
        <v>0.42</v>
      </c>
      <c r="AL87" s="157">
        <f>U87*PA_8[[#This Row],[Lost PoA(Wh/m2)]]*84.2%</f>
        <v>1314.2500140000002</v>
      </c>
      <c r="AM87" s="157"/>
    </row>
    <row r="88" spans="1:39">
      <c r="A88" s="153">
        <v>79</v>
      </c>
      <c r="B88" s="154">
        <v>45840</v>
      </c>
      <c r="C88" s="187">
        <f>YEAR(PA_8[[#This Row],[Date]])+IF(MONTH(PA_8[[#This Row],[Date]])&gt;=4,1,0)</f>
        <v>2026</v>
      </c>
      <c r="D88" s="34">
        <f>YEAR(PA_8[[#This Row],[Date]])</f>
        <v>2025</v>
      </c>
      <c r="E88" s="155" t="s">
        <v>325</v>
      </c>
      <c r="F88" s="155" t="s">
        <v>325</v>
      </c>
      <c r="G88" s="175">
        <f>PA_8[[#This Row],[Date]]-DAY(PA_8[[#This Row],[Date]])+1</f>
        <v>45839</v>
      </c>
      <c r="H88" s="34">
        <f>DAY(EOMONTH(PA_8[[#This Row],[Month Year]],0))</f>
        <v>31</v>
      </c>
      <c r="I88" s="36">
        <f>IFERROR(_xlfn.XLOOKUP(PA_8[[#This Row],[Date]],Input_Raw!$A:$A,Input_Raw!F:F),"")</f>
        <v>0.26041666666666669</v>
      </c>
      <c r="J88" s="36">
        <f>IFERROR(_xlfn.XLOOKUP(PA_8[[#This Row],[Date]],Input_Raw!$A:$A,Input_Raw!G:G),"")</f>
        <v>0.79305555555555551</v>
      </c>
      <c r="K88" s="37">
        <f>IFERROR((PA_8[[#This Row],[Sunset Time (POA&lt;20 W/m2)]]-PA_8[[#This Row],[Sunrise Time (POA&gt;20 W/m2)]])*24,"")</f>
        <v>12.783333333333333</v>
      </c>
      <c r="L88" s="155" t="s">
        <v>387</v>
      </c>
      <c r="M88" s="35" t="s">
        <v>362</v>
      </c>
      <c r="N88" s="35" t="s">
        <v>363</v>
      </c>
      <c r="O88" s="38"/>
      <c r="P88" s="35"/>
      <c r="Q88" s="35"/>
      <c r="R88" s="34">
        <f>IF((PA_8[[#This Row],[String Type(If String BD)]]&amp;PA_8[[#This Row],[Equipment (If any BD other than PV  array and inv)]])="",1,0)</f>
        <v>1</v>
      </c>
      <c r="S88" s="34">
        <f>IF(PA_8[[#This Row],[String Type(If String BD)]]="",1,0)</f>
        <v>1</v>
      </c>
      <c r="T8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IS6Inv2M2</v>
      </c>
      <c r="U88" s="37">
        <f>IFERROR(_xlfn.XLOOKUP(PA_8[[#This Row],[Affected Equipment ]],'Basic Data'!$P:$P,'Basic Data'!$S:$S),"")</f>
        <v>1850.2</v>
      </c>
      <c r="V88" s="325">
        <f>IFERROR(_xlfn.XLOOKUP(PA_8[[#This Row],[Affected Equipment ]],'Basic Data'!$P:$P,'Basic Data'!$T:$T),"")</f>
        <v>1.5271346622095663E-2</v>
      </c>
      <c r="W88" s="326" t="s">
        <v>330</v>
      </c>
      <c r="X88" s="156" t="s">
        <v>1285</v>
      </c>
      <c r="Y88" s="156" t="s">
        <v>1285</v>
      </c>
      <c r="Z88" s="273">
        <v>0.41597222222222224</v>
      </c>
      <c r="AA88" s="39"/>
      <c r="AB88" s="40">
        <v>0.42708333333333331</v>
      </c>
      <c r="AC88" s="39">
        <v>0.47638888888888886</v>
      </c>
      <c r="AD88" s="41">
        <f>IF(PA_8[[#This Row],[Acknowledgement Time ]]="NA","",(PA_8[[#This Row],[Acknowledgement Time ]]-PA_8[[#This Row],[Fault Time]])*24)</f>
        <v>-9.9833333333333343</v>
      </c>
      <c r="AE88" s="41">
        <f>IF(PA_8[[#This Row],[Work Start time on Fault]]="NA","",(PA_8[[#This Row],[Work Start time on Fault]]-PA_8[[#This Row],[Fault Time]])*24)</f>
        <v>0.26666666666666572</v>
      </c>
      <c r="AF88" s="42">
        <f>IF(PA_8[[#This Row],[Status]]="Open","",(PA_8[[#This Row],[Work Completion time on fault]]-PA_8[[#This Row],[Fault Time]])*24)</f>
        <v>1.4499999999999988</v>
      </c>
      <c r="AG88" s="41">
        <f>IFERROR((PA_8[[#This Row],[Work Completion time on fault]]-PA_8[[#This Row],[Fault Time]])*24,"")</f>
        <v>1.4499999999999988</v>
      </c>
      <c r="AH88" s="38" t="s">
        <v>1286</v>
      </c>
      <c r="AI88" s="155" t="s">
        <v>368</v>
      </c>
      <c r="AJ88" s="37">
        <f>IFERROR(PA_8[[#This Row],[Breakdown Time]]*PA_8[[#This Row],[Plant Equivalent Weightage]],"")</f>
        <v>2.2143452602038694E-2</v>
      </c>
      <c r="AK88" s="275">
        <v>0.95</v>
      </c>
      <c r="AL88" s="157">
        <f>U88*PA_8[[#This Row],[Lost PoA(Wh/m2)]]*84.2%</f>
        <v>1479.9749800000002</v>
      </c>
      <c r="AM88" s="157"/>
    </row>
    <row r="89" spans="1:39">
      <c r="A89" s="153">
        <v>80</v>
      </c>
      <c r="B89" s="154">
        <v>45840</v>
      </c>
      <c r="C89" s="187">
        <f>YEAR(PA_8[[#This Row],[Date]])+IF(MONTH(PA_8[[#This Row],[Date]])&gt;=4,1,0)</f>
        <v>2026</v>
      </c>
      <c r="D89" s="34">
        <f>YEAR(PA_8[[#This Row],[Date]])</f>
        <v>2025</v>
      </c>
      <c r="E89" s="155" t="s">
        <v>325</v>
      </c>
      <c r="F89" s="155" t="s">
        <v>325</v>
      </c>
      <c r="G89" s="175">
        <f>PA_8[[#This Row],[Date]]-DAY(PA_8[[#This Row],[Date]])+1</f>
        <v>45839</v>
      </c>
      <c r="H89" s="34">
        <f>DAY(EOMONTH(PA_8[[#This Row],[Month Year]],0))</f>
        <v>31</v>
      </c>
      <c r="I89" s="36">
        <f>IFERROR(_xlfn.XLOOKUP(PA_8[[#This Row],[Date]],Input_Raw!$A:$A,Input_Raw!F:F),"")</f>
        <v>0.26041666666666669</v>
      </c>
      <c r="J89" s="36">
        <f>IFERROR(_xlfn.XLOOKUP(PA_8[[#This Row],[Date]],Input_Raw!$A:$A,Input_Raw!G:G),"")</f>
        <v>0.79305555555555551</v>
      </c>
      <c r="K89" s="37">
        <f>IFERROR((PA_8[[#This Row],[Sunset Time (POA&lt;20 W/m2)]]-PA_8[[#This Row],[Sunrise Time (POA&gt;20 W/m2)]])*24,"")</f>
        <v>12.783333333333333</v>
      </c>
      <c r="L89" s="155" t="s">
        <v>387</v>
      </c>
      <c r="M89" s="35" t="s">
        <v>362</v>
      </c>
      <c r="N89" s="35"/>
      <c r="O89" s="38"/>
      <c r="P89" s="35"/>
      <c r="Q89" s="35"/>
      <c r="R89" s="34">
        <f>IF((PA_8[[#This Row],[String Type(If String BD)]]&amp;PA_8[[#This Row],[Equipment (If any BD other than PV  array and inv)]])="",1,0)</f>
        <v>1</v>
      </c>
      <c r="S89" s="34">
        <f>IF(PA_8[[#This Row],[String Type(If String BD)]]="",1,0)</f>
        <v>1</v>
      </c>
      <c r="T8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IS6Inv2</v>
      </c>
      <c r="U89" s="37">
        <f>IFERROR(_xlfn.XLOOKUP(PA_8[[#This Row],[Affected Equipment ]],'Basic Data'!$P:$P,'Basic Data'!$S:$S),"")</f>
        <v>3732.3000000000006</v>
      </c>
      <c r="V89" s="322">
        <f>IFERROR(_xlfn.XLOOKUP(PA_8[[#This Row],[Affected Equipment ]],'Basic Data'!$P:$P,'Basic Data'!$T:$T),"")</f>
        <v>3.0805992323882633E-2</v>
      </c>
      <c r="W89" s="326" t="s">
        <v>330</v>
      </c>
      <c r="X89" s="156" t="s">
        <v>1285</v>
      </c>
      <c r="Y89" s="156" t="s">
        <v>1285</v>
      </c>
      <c r="Z89" s="273">
        <v>0.41597222222222224</v>
      </c>
      <c r="AA89" s="39"/>
      <c r="AB89" s="40">
        <v>0.42708333333333331</v>
      </c>
      <c r="AC89" s="39">
        <v>0.44236111111111109</v>
      </c>
      <c r="AD89" s="41">
        <f>IF(PA_8[[#This Row],[Acknowledgement Time ]]="NA","",(PA_8[[#This Row],[Acknowledgement Time ]]-PA_8[[#This Row],[Fault Time]])*24)</f>
        <v>-9.9833333333333343</v>
      </c>
      <c r="AE89" s="41">
        <f>IF(PA_8[[#This Row],[Work Start time on Fault]]="NA","",(PA_8[[#This Row],[Work Start time on Fault]]-PA_8[[#This Row],[Fault Time]])*24)</f>
        <v>0.26666666666666572</v>
      </c>
      <c r="AF89" s="42">
        <f>IF(PA_8[[#This Row],[Status]]="Open","",(PA_8[[#This Row],[Work Completion time on fault]]-PA_8[[#This Row],[Fault Time]])*24)</f>
        <v>0.63333333333333242</v>
      </c>
      <c r="AG89" s="41">
        <f>IFERROR((PA_8[[#This Row],[Work Completion time on fault]]-PA_8[[#This Row],[Fault Time]])*24,"")</f>
        <v>0.63333333333333242</v>
      </c>
      <c r="AH89" s="38" t="s">
        <v>1286</v>
      </c>
      <c r="AI89" s="155" t="s">
        <v>368</v>
      </c>
      <c r="AJ89" s="37">
        <f>IFERROR(PA_8[[#This Row],[Breakdown Time]]*PA_8[[#This Row],[Plant Equivalent Weightage]],"")</f>
        <v>1.951046180512564E-2</v>
      </c>
      <c r="AK89" s="275">
        <v>0.42</v>
      </c>
      <c r="AL89" s="157">
        <f>U89*PA_8[[#This Row],[Lost PoA(Wh/m2)]]*84.2%</f>
        <v>1319.8905720000002</v>
      </c>
      <c r="AM89" s="157"/>
    </row>
    <row r="90" spans="1:39">
      <c r="A90" s="153">
        <v>81</v>
      </c>
      <c r="B90" s="154">
        <v>45840</v>
      </c>
      <c r="C90" s="187">
        <f>YEAR(PA_8[[#This Row],[Date]])+IF(MONTH(PA_8[[#This Row],[Date]])&gt;=4,1,0)</f>
        <v>2026</v>
      </c>
      <c r="D90" s="34">
        <f>YEAR(PA_8[[#This Row],[Date]])</f>
        <v>2025</v>
      </c>
      <c r="E90" s="155" t="s">
        <v>325</v>
      </c>
      <c r="F90" s="155" t="s">
        <v>325</v>
      </c>
      <c r="G90" s="175">
        <f>PA_8[[#This Row],[Date]]-DAY(PA_8[[#This Row],[Date]])+1</f>
        <v>45839</v>
      </c>
      <c r="H90" s="34">
        <f>DAY(EOMONTH(PA_8[[#This Row],[Month Year]],0))</f>
        <v>31</v>
      </c>
      <c r="I90" s="36">
        <f>IFERROR(_xlfn.XLOOKUP(PA_8[[#This Row],[Date]],Input_Raw!$A:$A,Input_Raw!F:F),"")</f>
        <v>0.26041666666666669</v>
      </c>
      <c r="J90" s="36">
        <f>IFERROR(_xlfn.XLOOKUP(PA_8[[#This Row],[Date]],Input_Raw!$A:$A,Input_Raw!G:G),"")</f>
        <v>0.79305555555555551</v>
      </c>
      <c r="K90" s="37">
        <f>IFERROR((PA_8[[#This Row],[Sunset Time (POA&lt;20 W/m2)]]-PA_8[[#This Row],[Sunrise Time (POA&gt;20 W/m2)]])*24,"")</f>
        <v>12.783333333333333</v>
      </c>
      <c r="L90" s="155" t="s">
        <v>398</v>
      </c>
      <c r="M90" s="35" t="s">
        <v>350</v>
      </c>
      <c r="N90" s="35"/>
      <c r="O90" s="38"/>
      <c r="P90" s="35"/>
      <c r="Q90" s="35"/>
      <c r="R90" s="34">
        <f>IF((PA_8[[#This Row],[String Type(If String BD)]]&amp;PA_8[[#This Row],[Equipment (If any BD other than PV  array and inv)]])="",1,0)</f>
        <v>1</v>
      </c>
      <c r="S90" s="34">
        <f>IF(PA_8[[#This Row],[String Type(If String BD)]]="",1,0)</f>
        <v>1</v>
      </c>
      <c r="T9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IS8Inv1</v>
      </c>
      <c r="U90" s="37">
        <f>IFERROR(_xlfn.XLOOKUP(PA_8[[#This Row],[Affected Equipment ]],'Basic Data'!$P:$P,'Basic Data'!$S:$S),"")</f>
        <v>5992.4150000000009</v>
      </c>
      <c r="V90" s="322">
        <f>IFERROR(_xlfn.XLOOKUP(PA_8[[#This Row],[Affected Equipment ]],'Basic Data'!$P:$P,'Basic Data'!$T:$T),"")</f>
        <v>4.9460732120011563E-2</v>
      </c>
      <c r="W90" s="326" t="s">
        <v>330</v>
      </c>
      <c r="X90" s="156" t="s">
        <v>1285</v>
      </c>
      <c r="Y90" s="156" t="s">
        <v>1285</v>
      </c>
      <c r="Z90" s="273">
        <v>0.40763888888888888</v>
      </c>
      <c r="AA90" s="39"/>
      <c r="AB90" s="40">
        <v>0.42708333333333331</v>
      </c>
      <c r="AC90" s="39">
        <v>0.47083333333333333</v>
      </c>
      <c r="AD90" s="41">
        <f>IF(PA_8[[#This Row],[Acknowledgement Time ]]="NA","",(PA_8[[#This Row],[Acknowledgement Time ]]-PA_8[[#This Row],[Fault Time]])*24)</f>
        <v>-9.7833333333333332</v>
      </c>
      <c r="AE90" s="41">
        <f>IF(PA_8[[#This Row],[Work Start time on Fault]]="NA","",(PA_8[[#This Row],[Work Start time on Fault]]-PA_8[[#This Row],[Fault Time]])*24)</f>
        <v>0.46666666666666634</v>
      </c>
      <c r="AF90" s="42">
        <f>IF(PA_8[[#This Row],[Status]]="Open","",(PA_8[[#This Row],[Work Completion time on fault]]-PA_8[[#This Row],[Fault Time]])*24)</f>
        <v>1.5166666666666666</v>
      </c>
      <c r="AG90" s="41">
        <f>IFERROR((PA_8[[#This Row],[Work Completion time on fault]]-PA_8[[#This Row],[Fault Time]])*24,"")</f>
        <v>1.5166666666666666</v>
      </c>
      <c r="AH90" s="38" t="s">
        <v>1286</v>
      </c>
      <c r="AI90" s="155" t="s">
        <v>368</v>
      </c>
      <c r="AJ90" s="37">
        <f>IFERROR(PA_8[[#This Row],[Breakdown Time]]*PA_8[[#This Row],[Plant Equivalent Weightage]],"")</f>
        <v>7.5015443715350863E-2</v>
      </c>
      <c r="AK90" s="275">
        <v>0.99</v>
      </c>
      <c r="AL90" s="157">
        <f>U90*PA_8[[#This Row],[Lost PoA(Wh/m2)]]*84.2%</f>
        <v>4995.1572957000017</v>
      </c>
      <c r="AM90" s="157"/>
    </row>
    <row r="91" spans="1:39">
      <c r="A91" s="153">
        <v>82</v>
      </c>
      <c r="B91" s="154">
        <v>45842</v>
      </c>
      <c r="C91" s="187">
        <f>YEAR(PA_8[[#This Row],[Date]])+IF(MONTH(PA_8[[#This Row],[Date]])&gt;=4,1,0)</f>
        <v>2026</v>
      </c>
      <c r="D91" s="34">
        <f>YEAR(PA_8[[#This Row],[Date]])</f>
        <v>2025</v>
      </c>
      <c r="E91" s="155" t="s">
        <v>325</v>
      </c>
      <c r="F91" s="155" t="s">
        <v>325</v>
      </c>
      <c r="G91" s="175">
        <f>PA_8[[#This Row],[Date]]-DAY(PA_8[[#This Row],[Date]])+1</f>
        <v>45839</v>
      </c>
      <c r="H91" s="34">
        <f>DAY(EOMONTH(PA_8[[#This Row],[Month Year]],0))</f>
        <v>31</v>
      </c>
      <c r="I91" s="36">
        <f>IFERROR(_xlfn.XLOOKUP(PA_8[[#This Row],[Date]],Input_Raw!$A:$A,Input_Raw!F:F),"")</f>
        <v>0.25763888888888886</v>
      </c>
      <c r="J91" s="36">
        <f>IFERROR(_xlfn.XLOOKUP(PA_8[[#This Row],[Date]],Input_Raw!$A:$A,Input_Raw!G:G),"")</f>
        <v>0.7729166666666667</v>
      </c>
      <c r="K91" s="37">
        <f>IFERROR((PA_8[[#This Row],[Sunset Time (POA&lt;20 W/m2)]]-PA_8[[#This Row],[Sunrise Time (POA&gt;20 W/m2)]])*24,"")</f>
        <v>12.366666666666667</v>
      </c>
      <c r="L91" s="155" t="s">
        <v>409</v>
      </c>
      <c r="M91" s="35" t="s">
        <v>362</v>
      </c>
      <c r="N91" s="35" t="s">
        <v>363</v>
      </c>
      <c r="O91" s="38"/>
      <c r="P91" s="35"/>
      <c r="Q91" s="35"/>
      <c r="R91" s="34">
        <f>IF((PA_8[[#This Row],[String Type(If String BD)]]&amp;PA_8[[#This Row],[Equipment (If any BD other than PV  array and inv)]])="",1,0)</f>
        <v>1</v>
      </c>
      <c r="S91" s="34">
        <f>IF(PA_8[[#This Row],[String Type(If String BD)]]="",1,0)</f>
        <v>1</v>
      </c>
      <c r="T9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91" s="37">
        <f>IFERROR(_xlfn.XLOOKUP(PA_8[[#This Row],[Affected Equipment ]],'Basic Data'!$P:$P,'Basic Data'!$S:$S),"")</f>
        <v>2041.6000000000001</v>
      </c>
      <c r="V91" s="325">
        <f>IFERROR(_xlfn.XLOOKUP(PA_8[[#This Row],[Affected Equipment ]],'Basic Data'!$P:$P,'Basic Data'!$T:$T),"")</f>
        <v>1.6851141100243491E-2</v>
      </c>
      <c r="W91" s="338" t="s">
        <v>1293</v>
      </c>
      <c r="X91" s="156" t="s">
        <v>1290</v>
      </c>
      <c r="Y91" s="156" t="s">
        <v>1290</v>
      </c>
      <c r="Z91" s="273">
        <v>0.45555555555555555</v>
      </c>
      <c r="AA91" s="39"/>
      <c r="AB91" s="40">
        <v>0.46527777777777779</v>
      </c>
      <c r="AC91" s="39">
        <v>0.53194444444444444</v>
      </c>
      <c r="AD91" s="41">
        <f>IF(PA_8[[#This Row],[Acknowledgement Time ]]="NA","",(PA_8[[#This Row],[Acknowledgement Time ]]-PA_8[[#This Row],[Fault Time]])*24)</f>
        <v>-10.933333333333334</v>
      </c>
      <c r="AE91" s="41">
        <f>IF(PA_8[[#This Row],[Work Start time on Fault]]="NA","",(PA_8[[#This Row],[Work Start time on Fault]]-PA_8[[#This Row],[Fault Time]])*24)</f>
        <v>0.23333333333333384</v>
      </c>
      <c r="AF91" s="42">
        <f>IF(PA_8[[#This Row],[Status]]="Open","",(PA_8[[#This Row],[Work Completion time on fault]]-PA_8[[#This Row],[Fault Time]])*24)</f>
        <v>1.8333333333333335</v>
      </c>
      <c r="AG91" s="41">
        <f>IFERROR((PA_8[[#This Row],[Work Completion time on fault]]-PA_8[[#This Row],[Fault Time]])*24,"")</f>
        <v>1.8333333333333335</v>
      </c>
      <c r="AH91" s="38" t="s">
        <v>1291</v>
      </c>
      <c r="AI91" s="155" t="s">
        <v>368</v>
      </c>
      <c r="AJ91" s="37">
        <f>IFERROR(PA_8[[#This Row],[Breakdown Time]]*PA_8[[#This Row],[Plant Equivalent Weightage]],"")</f>
        <v>3.0893758683779735E-2</v>
      </c>
      <c r="AK91" s="275">
        <v>0.92</v>
      </c>
      <c r="AL91" s="157">
        <f>U91*PA_8[[#This Row],[Lost PoA(Wh/m2)]]*84.2%</f>
        <v>1581.5050240000003</v>
      </c>
      <c r="AM91" s="157"/>
    </row>
    <row r="92" spans="1:39">
      <c r="A92" s="153">
        <v>83</v>
      </c>
      <c r="B92" s="154">
        <v>45843</v>
      </c>
      <c r="C92" s="187">
        <f>YEAR(PA_8[[#This Row],[Date]])+IF(MONTH(PA_8[[#This Row],[Date]])&gt;=4,1,0)</f>
        <v>2026</v>
      </c>
      <c r="D92" s="34">
        <f>YEAR(PA_8[[#This Row],[Date]])</f>
        <v>2025</v>
      </c>
      <c r="E92" s="155" t="s">
        <v>325</v>
      </c>
      <c r="F92" s="155" t="s">
        <v>325</v>
      </c>
      <c r="G92" s="175">
        <f>PA_8[[#This Row],[Date]]-DAY(PA_8[[#This Row],[Date]])+1</f>
        <v>45839</v>
      </c>
      <c r="H92" s="34">
        <f>DAY(EOMONTH(PA_8[[#This Row],[Month Year]],0))</f>
        <v>31</v>
      </c>
      <c r="I92" s="36">
        <f>IFERROR(_xlfn.XLOOKUP(PA_8[[#This Row],[Date]],Input_Raw!$A:$A,Input_Raw!F:F),"")</f>
        <v>0.25486111111111109</v>
      </c>
      <c r="J92" s="36">
        <f>IFERROR(_xlfn.XLOOKUP(PA_8[[#This Row],[Date]],Input_Raw!$A:$A,Input_Raw!G:G),"")</f>
        <v>0.77361111111111114</v>
      </c>
      <c r="K92" s="37">
        <f>IFERROR((PA_8[[#This Row],[Sunset Time (POA&lt;20 W/m2)]]-PA_8[[#This Row],[Sunrise Time (POA&gt;20 W/m2)]])*24,"")</f>
        <v>12.450000000000001</v>
      </c>
      <c r="L92" s="155" t="s">
        <v>369</v>
      </c>
      <c r="M92" s="35"/>
      <c r="N92" s="35"/>
      <c r="O92" s="38"/>
      <c r="P92" s="35"/>
      <c r="Q92" s="35" t="s">
        <v>354</v>
      </c>
      <c r="R92" s="34">
        <f>IF((PA_8[[#This Row],[String Type(If String BD)]]&amp;PA_8[[#This Row],[Equipment (If any BD other than PV  array and inv)]])="",1,0)</f>
        <v>0</v>
      </c>
      <c r="S92" s="34">
        <f>IF(PA_8[[#This Row],[String Type(If String BD)]]="",1,0)</f>
        <v>1</v>
      </c>
      <c r="T9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IS3Tx</v>
      </c>
      <c r="U92" s="37">
        <f>IFERROR(_xlfn.XLOOKUP(PA_8[[#This Row],[Affected Equipment ]],'Basic Data'!$P:$P,'Basic Data'!$S:$S),"")</f>
        <v>8911.4500000000007</v>
      </c>
      <c r="V92" s="325">
        <f>IFERROR(_xlfn.XLOOKUP(PA_8[[#This Row],[Affected Equipment ]],'Basic Data'!$P:$P,'Basic Data'!$T:$T),"")</f>
        <v>7.3554124881350338E-2</v>
      </c>
      <c r="W92" s="326" t="s">
        <v>330</v>
      </c>
      <c r="X92" s="156" t="s">
        <v>1295</v>
      </c>
      <c r="Y92" s="156" t="s">
        <v>1298</v>
      </c>
      <c r="Z92" s="273">
        <v>0.5</v>
      </c>
      <c r="AA92" s="39"/>
      <c r="AB92" s="40">
        <v>0.50694444444444442</v>
      </c>
      <c r="AC92" s="39">
        <v>0.51388888888888884</v>
      </c>
      <c r="AD92" s="41">
        <f>IF(PA_8[[#This Row],[Acknowledgement Time ]]="NA","",(PA_8[[#This Row],[Acknowledgement Time ]]-PA_8[[#This Row],[Fault Time]])*24)</f>
        <v>-12</v>
      </c>
      <c r="AE92" s="41">
        <f>IF(PA_8[[#This Row],[Work Start time on Fault]]="NA","",(PA_8[[#This Row],[Work Start time on Fault]]-PA_8[[#This Row],[Fault Time]])*24)</f>
        <v>0.16666666666666607</v>
      </c>
      <c r="AF92" s="42">
        <f>IF(PA_8[[#This Row],[Status]]="Open","",(PA_8[[#This Row],[Work Completion time on fault]]-PA_8[[#This Row],[Fault Time]])*24)</f>
        <v>0.33333333333333215</v>
      </c>
      <c r="AG92" s="41">
        <f>IFERROR((PA_8[[#This Row],[Work Completion time on fault]]-PA_8[[#This Row],[Fault Time]])*24,"")</f>
        <v>0.33333333333333215</v>
      </c>
      <c r="AH92" s="38" t="s">
        <v>1299</v>
      </c>
      <c r="AI92" s="155" t="s">
        <v>368</v>
      </c>
      <c r="AJ92" s="37">
        <f>IFERROR(PA_8[[#This Row],[Breakdown Time]]*PA_8[[#This Row],[Plant Equivalent Weightage]],"")</f>
        <v>2.4518041627116693E-2</v>
      </c>
      <c r="AK92" s="275">
        <v>0.25</v>
      </c>
      <c r="AL92" s="157">
        <f>U92*PA_8[[#This Row],[Lost PoA(Wh/m2)]]*84.2%</f>
        <v>1875.8602250000004</v>
      </c>
      <c r="AM92" s="157"/>
    </row>
    <row r="93" spans="1:39">
      <c r="A93" s="153">
        <v>84</v>
      </c>
      <c r="B93" s="154">
        <v>45843</v>
      </c>
      <c r="C93" s="187">
        <f>YEAR(PA_8[[#This Row],[Date]])+IF(MONTH(PA_8[[#This Row],[Date]])&gt;=4,1,0)</f>
        <v>2026</v>
      </c>
      <c r="D93" s="34">
        <f>YEAR(PA_8[[#This Row],[Date]])</f>
        <v>2025</v>
      </c>
      <c r="E93" s="155" t="s">
        <v>325</v>
      </c>
      <c r="F93" s="155" t="s">
        <v>325</v>
      </c>
      <c r="G93" s="175">
        <f>PA_8[[#This Row],[Date]]-DAY(PA_8[[#This Row],[Date]])+1</f>
        <v>45839</v>
      </c>
      <c r="H93" s="34">
        <f>DAY(EOMONTH(PA_8[[#This Row],[Month Year]],0))</f>
        <v>31</v>
      </c>
      <c r="I93" s="36">
        <f>IFERROR(_xlfn.XLOOKUP(PA_8[[#This Row],[Date]],Input_Raw!$A:$A,Input_Raw!F:F),"")</f>
        <v>0.25486111111111109</v>
      </c>
      <c r="J93" s="36">
        <f>IFERROR(_xlfn.XLOOKUP(PA_8[[#This Row],[Date]],Input_Raw!$A:$A,Input_Raw!G:G),"")</f>
        <v>0.77361111111111114</v>
      </c>
      <c r="K93" s="37">
        <f>IFERROR((PA_8[[#This Row],[Sunset Time (POA&lt;20 W/m2)]]-PA_8[[#This Row],[Sunrise Time (POA&gt;20 W/m2)]])*24,"")</f>
        <v>12.450000000000001</v>
      </c>
      <c r="L93" s="155" t="s">
        <v>424</v>
      </c>
      <c r="M93" s="35"/>
      <c r="N93" s="35"/>
      <c r="O93" s="38"/>
      <c r="P93" s="35"/>
      <c r="Q93" s="35" t="s">
        <v>354</v>
      </c>
      <c r="R93" s="34">
        <f>IF((PA_8[[#This Row],[String Type(If String BD)]]&amp;PA_8[[#This Row],[Equipment (If any BD other than PV  array and inv)]])="",1,0)</f>
        <v>0</v>
      </c>
      <c r="S93" s="34">
        <f>IF(PA_8[[#This Row],[String Type(If String BD)]]="",1,0)</f>
        <v>1</v>
      </c>
      <c r="T9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IS14Tx</v>
      </c>
      <c r="U93" s="37">
        <f>IFERROR(_xlfn.XLOOKUP(PA_8[[#This Row],[Affected Equipment ]],'Basic Data'!$P:$P,'Basic Data'!$S:$S),"")</f>
        <v>8906.48</v>
      </c>
      <c r="V93" s="325">
        <f>IFERROR(_xlfn.XLOOKUP(PA_8[[#This Row],[Affected Equipment ]],'Basic Data'!$P:$P,'Basic Data'!$T:$T),"")</f>
        <v>7.351310304981222E-2</v>
      </c>
      <c r="W93" s="326" t="s">
        <v>330</v>
      </c>
      <c r="X93" s="156" t="s">
        <v>1296</v>
      </c>
      <c r="Y93" s="156" t="s">
        <v>1296</v>
      </c>
      <c r="Z93" s="273">
        <v>0.60277777777777775</v>
      </c>
      <c r="AA93" s="39"/>
      <c r="AB93" s="40">
        <v>0.60763888888888884</v>
      </c>
      <c r="AC93" s="39">
        <v>0.62986111111111109</v>
      </c>
      <c r="AD93" s="41">
        <f>IF(PA_8[[#This Row],[Acknowledgement Time ]]="NA","",(PA_8[[#This Row],[Acknowledgement Time ]]-PA_8[[#This Row],[Fault Time]])*24)</f>
        <v>-14.466666666666665</v>
      </c>
      <c r="AE93" s="41">
        <f>IF(PA_8[[#This Row],[Work Start time on Fault]]="NA","",(PA_8[[#This Row],[Work Start time on Fault]]-PA_8[[#This Row],[Fault Time]])*24)</f>
        <v>0.11666666666666625</v>
      </c>
      <c r="AF93" s="42">
        <f>IF(PA_8[[#This Row],[Status]]="Open","",(PA_8[[#This Row],[Work Completion time on fault]]-PA_8[[#This Row],[Fault Time]])*24)</f>
        <v>0.65000000000000036</v>
      </c>
      <c r="AG93" s="41">
        <f>IFERROR((PA_8[[#This Row],[Work Completion time on fault]]-PA_8[[#This Row],[Fault Time]])*24,"")</f>
        <v>0.65000000000000036</v>
      </c>
      <c r="AH93" s="38" t="s">
        <v>1299</v>
      </c>
      <c r="AI93" s="155" t="s">
        <v>368</v>
      </c>
      <c r="AJ93" s="37">
        <f>IFERROR(PA_8[[#This Row],[Breakdown Time]]*PA_8[[#This Row],[Plant Equivalent Weightage]],"")</f>
        <v>4.7783516982377969E-2</v>
      </c>
      <c r="AK93" s="275">
        <v>0.04</v>
      </c>
      <c r="AL93" s="157">
        <f>U93*PA_8[[#This Row],[Lost PoA(Wh/m2)]]*84.2%</f>
        <v>299.97024640000001</v>
      </c>
      <c r="AM93" s="157"/>
    </row>
    <row r="94" spans="1:39">
      <c r="A94" s="153">
        <v>85</v>
      </c>
      <c r="B94" s="154">
        <v>45843</v>
      </c>
      <c r="C94" s="187">
        <f>YEAR(PA_8[[#This Row],[Date]])+IF(MONTH(PA_8[[#This Row],[Date]])&gt;=4,1,0)</f>
        <v>2026</v>
      </c>
      <c r="D94" s="34">
        <f>YEAR(PA_8[[#This Row],[Date]])</f>
        <v>2025</v>
      </c>
      <c r="E94" s="155" t="s">
        <v>325</v>
      </c>
      <c r="F94" s="155" t="s">
        <v>325</v>
      </c>
      <c r="G94" s="175">
        <f>PA_8[[#This Row],[Date]]-DAY(PA_8[[#This Row],[Date]])+1</f>
        <v>45839</v>
      </c>
      <c r="H94" s="34">
        <f>DAY(EOMONTH(PA_8[[#This Row],[Month Year]],0))</f>
        <v>31</v>
      </c>
      <c r="I94" s="36">
        <f>IFERROR(_xlfn.XLOOKUP(PA_8[[#This Row],[Date]],Input_Raw!$A:$A,Input_Raw!F:F),"")</f>
        <v>0.25486111111111109</v>
      </c>
      <c r="J94" s="36">
        <f>IFERROR(_xlfn.XLOOKUP(PA_8[[#This Row],[Date]],Input_Raw!$A:$A,Input_Raw!G:G),"")</f>
        <v>0.77361111111111114</v>
      </c>
      <c r="K94" s="37">
        <f>IFERROR((PA_8[[#This Row],[Sunset Time (POA&lt;20 W/m2)]]-PA_8[[#This Row],[Sunrise Time (POA&gt;20 W/m2)]])*24,"")</f>
        <v>12.450000000000001</v>
      </c>
      <c r="L94" s="155" t="s">
        <v>376</v>
      </c>
      <c r="M94" s="35" t="s">
        <v>350</v>
      </c>
      <c r="N94" s="35"/>
      <c r="O94" s="38"/>
      <c r="P94" s="35"/>
      <c r="Q94" s="35"/>
      <c r="R94" s="34">
        <f>IF((PA_8[[#This Row],[String Type(If String BD)]]&amp;PA_8[[#This Row],[Equipment (If any BD other than PV  array and inv)]])="",1,0)</f>
        <v>1</v>
      </c>
      <c r="S94" s="34">
        <f>IF(PA_8[[#This Row],[String Type(If String BD)]]="",1,0)</f>
        <v>1</v>
      </c>
      <c r="T9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IS4Inv1</v>
      </c>
      <c r="U94" s="37">
        <f>IFERROR(_xlfn.XLOOKUP(PA_8[[#This Row],[Affected Equipment ]],'Basic Data'!$P:$P,'Basic Data'!$S:$S),"")</f>
        <v>3865.9049999999997</v>
      </c>
      <c r="V94" s="325">
        <f>IFERROR(_xlfn.XLOOKUP(PA_8[[#This Row],[Affected Equipment ]],'Basic Data'!$P:$P,'Basic Data'!$T:$T),"")</f>
        <v>3.1908753249969043E-2</v>
      </c>
      <c r="W94" s="341" t="s">
        <v>330</v>
      </c>
      <c r="X94" s="156" t="s">
        <v>1303</v>
      </c>
      <c r="Y94" s="156" t="s">
        <v>1303</v>
      </c>
      <c r="Z94" s="273">
        <v>0.51875000000000004</v>
      </c>
      <c r="AA94" s="39"/>
      <c r="AB94" s="40">
        <v>0.51388888888888884</v>
      </c>
      <c r="AC94" s="39">
        <v>0.52500000000000002</v>
      </c>
      <c r="AD94" s="41">
        <f>IF(PA_8[[#This Row],[Acknowledgement Time ]]="NA","",(PA_8[[#This Row],[Acknowledgement Time ]]-PA_8[[#This Row],[Fault Time]])*24)</f>
        <v>-12.450000000000001</v>
      </c>
      <c r="AE94" s="41">
        <f>IF(PA_8[[#This Row],[Work Start time on Fault]]="NA","",(PA_8[[#This Row],[Work Start time on Fault]]-PA_8[[#This Row],[Fault Time]])*24)</f>
        <v>-0.11666666666666892</v>
      </c>
      <c r="AF94" s="42">
        <f>IF(PA_8[[#This Row],[Status]]="Open","",(PA_8[[#This Row],[Work Completion time on fault]]-PA_8[[#This Row],[Fault Time]])*24)</f>
        <v>0.14999999999999947</v>
      </c>
      <c r="AG94" s="41">
        <f>IFERROR((PA_8[[#This Row],[Work Completion time on fault]]-PA_8[[#This Row],[Fault Time]])*24,"")</f>
        <v>0.14999999999999947</v>
      </c>
      <c r="AH94" s="38" t="s">
        <v>1304</v>
      </c>
      <c r="AI94" s="155" t="s">
        <v>368</v>
      </c>
      <c r="AJ94" s="37">
        <f>IFERROR(PA_8[[#This Row],[Breakdown Time]]*PA_8[[#This Row],[Plant Equivalent Weightage]],"")</f>
        <v>4.7863129874953399E-3</v>
      </c>
      <c r="AK94" s="275">
        <v>0.09</v>
      </c>
      <c r="AL94" s="157">
        <f>U94*PA_8[[#This Row],[Lost PoA(Wh/m2)]]*84.2%</f>
        <v>292.95828090000003</v>
      </c>
      <c r="AM94" s="157"/>
    </row>
    <row r="95" spans="1:39">
      <c r="A95" s="153">
        <v>86</v>
      </c>
      <c r="B95" s="154">
        <v>45843</v>
      </c>
      <c r="C95" s="187">
        <f>YEAR(PA_8[[#This Row],[Date]])+IF(MONTH(PA_8[[#This Row],[Date]])&gt;=4,1,0)</f>
        <v>2026</v>
      </c>
      <c r="D95" s="34">
        <f>YEAR(PA_8[[#This Row],[Date]])</f>
        <v>2025</v>
      </c>
      <c r="E95" s="155" t="s">
        <v>325</v>
      </c>
      <c r="F95" s="155" t="s">
        <v>325</v>
      </c>
      <c r="G95" s="175">
        <f>PA_8[[#This Row],[Date]]-DAY(PA_8[[#This Row],[Date]])+1</f>
        <v>45839</v>
      </c>
      <c r="H95" s="34">
        <f>DAY(EOMONTH(PA_8[[#This Row],[Month Year]],0))</f>
        <v>31</v>
      </c>
      <c r="I95" s="36">
        <f>IFERROR(_xlfn.XLOOKUP(PA_8[[#This Row],[Date]],Input_Raw!$A:$A,Input_Raw!F:F),"")</f>
        <v>0.25486111111111109</v>
      </c>
      <c r="J95" s="36">
        <f>IFERROR(_xlfn.XLOOKUP(PA_8[[#This Row],[Date]],Input_Raw!$A:$A,Input_Raw!G:G),"")</f>
        <v>0.77361111111111114</v>
      </c>
      <c r="K95" s="37">
        <f>IFERROR((PA_8[[#This Row],[Sunset Time (POA&lt;20 W/m2)]]-PA_8[[#This Row],[Sunrise Time (POA&gt;20 W/m2)]])*24,"")</f>
        <v>12.450000000000001</v>
      </c>
      <c r="L95" s="155" t="s">
        <v>376</v>
      </c>
      <c r="M95" s="35" t="s">
        <v>362</v>
      </c>
      <c r="N95" s="35"/>
      <c r="O95" s="38"/>
      <c r="P95" s="35"/>
      <c r="Q95" s="35"/>
      <c r="R95" s="34">
        <f>IF((PA_8[[#This Row],[String Type(If String BD)]]&amp;PA_8[[#This Row],[Equipment (If any BD other than PV  array and inv)]])="",1,0)</f>
        <v>1</v>
      </c>
      <c r="S95" s="34">
        <f>IF(PA_8[[#This Row],[String Type(If String BD)]]="",1,0)</f>
        <v>1</v>
      </c>
      <c r="T9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IS4Inv2</v>
      </c>
      <c r="U95" s="37">
        <f>IFERROR(_xlfn.XLOOKUP(PA_8[[#This Row],[Affected Equipment ]],'Basic Data'!$P:$P,'Basic Data'!$S:$S),"")</f>
        <v>4409.0500000000011</v>
      </c>
      <c r="V95" s="325">
        <f>IFERROR(_xlfn.XLOOKUP(PA_8[[#This Row],[Affected Equipment ]],'Basic Data'!$P:$P,'Basic Data'!$T:$T),"")</f>
        <v>3.6391812141471677E-2</v>
      </c>
      <c r="W95" s="341" t="s">
        <v>330</v>
      </c>
      <c r="X95" s="156" t="s">
        <v>1303</v>
      </c>
      <c r="Y95" s="156" t="s">
        <v>1303</v>
      </c>
      <c r="Z95" s="273">
        <v>0.51875000000000004</v>
      </c>
      <c r="AA95" s="39"/>
      <c r="AB95" s="40">
        <v>0.51388888888888884</v>
      </c>
      <c r="AC95" s="39">
        <v>0.52500000000000002</v>
      </c>
      <c r="AD95" s="41">
        <f>IF(PA_8[[#This Row],[Acknowledgement Time ]]="NA","",(PA_8[[#This Row],[Acknowledgement Time ]]-PA_8[[#This Row],[Fault Time]])*24)</f>
        <v>-12.450000000000001</v>
      </c>
      <c r="AE95" s="41">
        <f>IF(PA_8[[#This Row],[Work Start time on Fault]]="NA","",(PA_8[[#This Row],[Work Start time on Fault]]-PA_8[[#This Row],[Fault Time]])*24)</f>
        <v>-0.11666666666666892</v>
      </c>
      <c r="AF95" s="42">
        <f>IF(PA_8[[#This Row],[Status]]="Open","",(PA_8[[#This Row],[Work Completion time on fault]]-PA_8[[#This Row],[Fault Time]])*24)</f>
        <v>0.14999999999999947</v>
      </c>
      <c r="AG95" s="41">
        <f>IFERROR((PA_8[[#This Row],[Work Completion time on fault]]-PA_8[[#This Row],[Fault Time]])*24,"")</f>
        <v>0.14999999999999947</v>
      </c>
      <c r="AH95" s="38" t="s">
        <v>1304</v>
      </c>
      <c r="AI95" s="155" t="s">
        <v>368</v>
      </c>
      <c r="AJ95" s="37">
        <f>IFERROR(PA_8[[#This Row],[Breakdown Time]]*PA_8[[#This Row],[Plant Equivalent Weightage]],"")</f>
        <v>5.4587718212207323E-3</v>
      </c>
      <c r="AK95" s="275">
        <v>0.09</v>
      </c>
      <c r="AL95" s="157">
        <f>U95*PA_8[[#This Row],[Lost PoA(Wh/m2)]]*84.2%</f>
        <v>334.11780900000008</v>
      </c>
      <c r="AM95" s="157"/>
    </row>
    <row r="96" spans="1:39" ht="15.75" customHeight="1">
      <c r="A96" s="153">
        <v>87</v>
      </c>
      <c r="B96" s="154">
        <v>45843</v>
      </c>
      <c r="C96" s="187">
        <f>YEAR(PA_8[[#This Row],[Date]])+IF(MONTH(PA_8[[#This Row],[Date]])&gt;=4,1,0)</f>
        <v>2026</v>
      </c>
      <c r="D96" s="34">
        <f>YEAR(PA_8[[#This Row],[Date]])</f>
        <v>2025</v>
      </c>
      <c r="E96" s="155" t="s">
        <v>325</v>
      </c>
      <c r="F96" s="155" t="s">
        <v>325</v>
      </c>
      <c r="G96" s="175">
        <f>PA_8[[#This Row],[Date]]-DAY(PA_8[[#This Row],[Date]])+1</f>
        <v>45839</v>
      </c>
      <c r="H96" s="34">
        <f>DAY(EOMONTH(PA_8[[#This Row],[Month Year]],0))</f>
        <v>31</v>
      </c>
      <c r="I96" s="36">
        <f>IFERROR(_xlfn.XLOOKUP(PA_8[[#This Row],[Date]],Input_Raw!$A:$A,Input_Raw!F:F),"")</f>
        <v>0.25486111111111109</v>
      </c>
      <c r="J96" s="36">
        <f>IFERROR(_xlfn.XLOOKUP(PA_8[[#This Row],[Date]],Input_Raw!$A:$A,Input_Raw!G:G),"")</f>
        <v>0.77361111111111114</v>
      </c>
      <c r="K96" s="37">
        <f>IFERROR((PA_8[[#This Row],[Sunset Time (POA&lt;20 W/m2)]]-PA_8[[#This Row],[Sunrise Time (POA&gt;20 W/m2)]])*24,"")</f>
        <v>12.450000000000001</v>
      </c>
      <c r="L96" s="155" t="s">
        <v>409</v>
      </c>
      <c r="M96" s="35" t="s">
        <v>362</v>
      </c>
      <c r="N96" s="35" t="s">
        <v>363</v>
      </c>
      <c r="O96" s="38"/>
      <c r="P96" s="35"/>
      <c r="Q96" s="35"/>
      <c r="R96" s="34">
        <f>IF((PA_8[[#This Row],[String Type(If String BD)]]&amp;PA_8[[#This Row],[Equipment (If any BD other than PV  array and inv)]])="",1,0)</f>
        <v>1</v>
      </c>
      <c r="S96" s="34">
        <f>IF(PA_8[[#This Row],[String Type(If String BD)]]="",1,0)</f>
        <v>1</v>
      </c>
      <c r="T9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96" s="37">
        <f>IFERROR(_xlfn.XLOOKUP(PA_8[[#This Row],[Affected Equipment ]],'Basic Data'!$P:$P,'Basic Data'!$S:$S),"")</f>
        <v>2041.6000000000001</v>
      </c>
      <c r="V96" s="325">
        <f>IFERROR(_xlfn.XLOOKUP(PA_8[[#This Row],[Affected Equipment ]],'Basic Data'!$P:$P,'Basic Data'!$T:$T),"")</f>
        <v>1.6851141100243491E-2</v>
      </c>
      <c r="W96" s="338" t="s">
        <v>1293</v>
      </c>
      <c r="X96" s="156" t="s">
        <v>1297</v>
      </c>
      <c r="Y96" s="156" t="s">
        <v>1297</v>
      </c>
      <c r="Z96" s="273">
        <v>0.27083333333333331</v>
      </c>
      <c r="AA96" s="39"/>
      <c r="AB96" s="40">
        <v>0.27777777777777779</v>
      </c>
      <c r="AC96" s="39">
        <v>0.77777777777777779</v>
      </c>
      <c r="AD96" s="41">
        <f>IF(PA_8[[#This Row],[Acknowledgement Time ]]="NA","",(PA_8[[#This Row],[Acknowledgement Time ]]-PA_8[[#This Row],[Fault Time]])*24)</f>
        <v>-6.5</v>
      </c>
      <c r="AE96" s="41">
        <f>IF(PA_8[[#This Row],[Work Start time on Fault]]="NA","",(PA_8[[#This Row],[Work Start time on Fault]]-PA_8[[#This Row],[Fault Time]])*24)</f>
        <v>0.16666666666666741</v>
      </c>
      <c r="AF96" s="42" t="str">
        <f>IF(PA_8[[#This Row],[Status]]="Open","",(PA_8[[#This Row],[Work Completion time on fault]]-PA_8[[#This Row],[Fault Time]])*24)</f>
        <v/>
      </c>
      <c r="AG96" s="41">
        <f>IFERROR((PA_8[[#This Row],[Work Completion time on fault]]-PA_8[[#This Row],[Fault Time]])*24,"")</f>
        <v>12.166666666666666</v>
      </c>
      <c r="AH96" s="38" t="s">
        <v>1300</v>
      </c>
      <c r="AI96" s="155" t="s">
        <v>360</v>
      </c>
      <c r="AJ96" s="37">
        <f>IFERROR(PA_8[[#This Row],[Breakdown Time]]*PA_8[[#This Row],[Plant Equivalent Weightage]],"")</f>
        <v>0.20502221671962911</v>
      </c>
      <c r="AK96" s="275">
        <v>3.24</v>
      </c>
      <c r="AL96" s="157">
        <f>U96*PA_8[[#This Row],[Lost PoA(Wh/m2)]]*84.2%</f>
        <v>5569.6481280000007</v>
      </c>
      <c r="AM96" s="157"/>
    </row>
    <row r="97" spans="1:39">
      <c r="A97" s="153">
        <v>88</v>
      </c>
      <c r="B97" s="154">
        <v>45844</v>
      </c>
      <c r="C97" s="187">
        <f>YEAR(PA_8[[#This Row],[Date]])+IF(MONTH(PA_8[[#This Row],[Date]])&gt;=4,1,0)</f>
        <v>2026</v>
      </c>
      <c r="D97" s="34">
        <f>YEAR(PA_8[[#This Row],[Date]])</f>
        <v>2025</v>
      </c>
      <c r="E97" s="155" t="s">
        <v>325</v>
      </c>
      <c r="F97" s="155" t="s">
        <v>325</v>
      </c>
      <c r="G97" s="175">
        <f>PA_8[[#This Row],[Date]]-DAY(PA_8[[#This Row],[Date]])+1</f>
        <v>45839</v>
      </c>
      <c r="H97" s="34">
        <f>DAY(EOMONTH(PA_8[[#This Row],[Month Year]],0))</f>
        <v>31</v>
      </c>
      <c r="I97" s="36">
        <f>IFERROR(_xlfn.XLOOKUP(PA_8[[#This Row],[Date]],Input_Raw!$A:$A,Input_Raw!F:F),"")</f>
        <v>0.25972222222222224</v>
      </c>
      <c r="J97" s="36">
        <f>IFERROR(_xlfn.XLOOKUP(PA_8[[#This Row],[Date]],Input_Raw!$A:$A,Input_Raw!G:G),"")</f>
        <v>0.78541666666666665</v>
      </c>
      <c r="K97" s="37">
        <f>IFERROR((PA_8[[#This Row],[Sunset Time (POA&lt;20 W/m2)]]-PA_8[[#This Row],[Sunrise Time (POA&gt;20 W/m2)]])*24,"")</f>
        <v>12.616666666666667</v>
      </c>
      <c r="L97" s="155" t="s">
        <v>409</v>
      </c>
      <c r="M97" s="35" t="s">
        <v>362</v>
      </c>
      <c r="N97" s="35" t="s">
        <v>351</v>
      </c>
      <c r="O97" s="38"/>
      <c r="P97" s="35"/>
      <c r="Q97" s="35"/>
      <c r="R97" s="34">
        <f>IF((PA_8[[#This Row],[String Type(If String BD)]]&amp;PA_8[[#This Row],[Equipment (If any BD other than PV  array and inv)]])="",1,0)</f>
        <v>1</v>
      </c>
      <c r="S97" s="34">
        <f>IF(PA_8[[#This Row],[String Type(If String BD)]]="",1,0)</f>
        <v>1</v>
      </c>
      <c r="T9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IS10Inv2M1</v>
      </c>
      <c r="U97" s="37">
        <f>IFERROR(_xlfn.XLOOKUP(PA_8[[#This Row],[Affected Equipment ]],'Basic Data'!$P:$P,'Basic Data'!$S:$S),"")</f>
        <v>478.5</v>
      </c>
      <c r="V97" s="325">
        <f>IFERROR(_xlfn.XLOOKUP(PA_8[[#This Row],[Affected Equipment ]],'Basic Data'!$P:$P,'Basic Data'!$T:$T),"")</f>
        <v>3.9494861953695681E-3</v>
      </c>
      <c r="W97" s="338" t="s">
        <v>1293</v>
      </c>
      <c r="X97" s="156" t="s">
        <v>1297</v>
      </c>
      <c r="Y97" s="156" t="s">
        <v>1297</v>
      </c>
      <c r="Z97" s="273">
        <v>0.27083333333333331</v>
      </c>
      <c r="AA97" s="39"/>
      <c r="AB97" s="40">
        <v>0.27777777777777779</v>
      </c>
      <c r="AC97" s="39">
        <v>0.77777777777777779</v>
      </c>
      <c r="AD97" s="41">
        <f>IF(PA_8[[#This Row],[Acknowledgement Time ]]="NA","",(PA_8[[#This Row],[Acknowledgement Time ]]-PA_8[[#This Row],[Fault Time]])*24)</f>
        <v>-6.5</v>
      </c>
      <c r="AE97" s="41">
        <f>IF(PA_8[[#This Row],[Work Start time on Fault]]="NA","",(PA_8[[#This Row],[Work Start time on Fault]]-PA_8[[#This Row],[Fault Time]])*24)</f>
        <v>0.16666666666666741</v>
      </c>
      <c r="AF97" s="42" t="str">
        <f>IF(PA_8[[#This Row],[Status]]="Open","",(PA_8[[#This Row],[Work Completion time on fault]]-PA_8[[#This Row],[Fault Time]])*24)</f>
        <v/>
      </c>
      <c r="AG97" s="41">
        <f>IFERROR((PA_8[[#This Row],[Work Completion time on fault]]-PA_8[[#This Row],[Fault Time]])*24,"")</f>
        <v>12.166666666666666</v>
      </c>
      <c r="AH97" s="38" t="s">
        <v>1300</v>
      </c>
      <c r="AI97" s="155" t="s">
        <v>360</v>
      </c>
      <c r="AJ97" s="37">
        <f>IFERROR(PA_8[[#This Row],[Breakdown Time]]*PA_8[[#This Row],[Plant Equivalent Weightage]],"")</f>
        <v>4.8052082043663076E-2</v>
      </c>
      <c r="AK97" s="275">
        <v>3.04</v>
      </c>
      <c r="AL97" s="157">
        <f>U97*PA_8[[#This Row],[Lost PoA(Wh/m2)]]*84.2%</f>
        <v>1224.8068800000001</v>
      </c>
      <c r="AM97" s="157"/>
    </row>
    <row r="98" spans="1:39">
      <c r="A98" s="153">
        <v>89</v>
      </c>
      <c r="B98" s="154">
        <v>45844</v>
      </c>
      <c r="C98" s="187">
        <f>YEAR(PA_8[[#This Row],[Date]])+IF(MONTH(PA_8[[#This Row],[Date]])&gt;=4,1,0)</f>
        <v>2026</v>
      </c>
      <c r="D98" s="34">
        <f>YEAR(PA_8[[#This Row],[Date]])</f>
        <v>2025</v>
      </c>
      <c r="E98" s="155" t="s">
        <v>325</v>
      </c>
      <c r="F98" s="155" t="s">
        <v>325</v>
      </c>
      <c r="G98" s="175">
        <f>PA_8[[#This Row],[Date]]-DAY(PA_8[[#This Row],[Date]])+1</f>
        <v>45839</v>
      </c>
      <c r="H98" s="34">
        <f>DAY(EOMONTH(PA_8[[#This Row],[Month Year]],0))</f>
        <v>31</v>
      </c>
      <c r="I98" s="36">
        <f>IFERROR(_xlfn.XLOOKUP(PA_8[[#This Row],[Date]],Input_Raw!$A:$A,Input_Raw!F:F),"")</f>
        <v>0.25972222222222224</v>
      </c>
      <c r="J98" s="36">
        <f>IFERROR(_xlfn.XLOOKUP(PA_8[[#This Row],[Date]],Input_Raw!$A:$A,Input_Raw!G:G),"")</f>
        <v>0.78541666666666665</v>
      </c>
      <c r="K98" s="37">
        <f>IFERROR((PA_8[[#This Row],[Sunset Time (POA&lt;20 W/m2)]]-PA_8[[#This Row],[Sunrise Time (POA&gt;20 W/m2)]])*24,"")</f>
        <v>12.616666666666667</v>
      </c>
      <c r="L98" s="155" t="s">
        <v>409</v>
      </c>
      <c r="M98" s="35" t="s">
        <v>362</v>
      </c>
      <c r="N98" s="35" t="s">
        <v>363</v>
      </c>
      <c r="O98" s="38"/>
      <c r="P98" s="35"/>
      <c r="Q98" s="35"/>
      <c r="R98" s="34">
        <f>IF((PA_8[[#This Row],[String Type(If String BD)]]&amp;PA_8[[#This Row],[Equipment (If any BD other than PV  array and inv)]])="",1,0)</f>
        <v>1</v>
      </c>
      <c r="S98" s="34">
        <f>IF(PA_8[[#This Row],[String Type(If String BD)]]="",1,0)</f>
        <v>1</v>
      </c>
      <c r="T9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98" s="37">
        <f>IFERROR(_xlfn.XLOOKUP(PA_8[[#This Row],[Affected Equipment ]],'Basic Data'!$P:$P,'Basic Data'!$S:$S),"")</f>
        <v>2041.6000000000001</v>
      </c>
      <c r="V98" s="325">
        <f>IFERROR(_xlfn.XLOOKUP(PA_8[[#This Row],[Affected Equipment ]],'Basic Data'!$P:$P,'Basic Data'!$T:$T),"")</f>
        <v>1.6851141100243491E-2</v>
      </c>
      <c r="W98" s="338" t="s">
        <v>1293</v>
      </c>
      <c r="X98" s="156" t="s">
        <v>1297</v>
      </c>
      <c r="Y98" s="156" t="s">
        <v>1297</v>
      </c>
      <c r="Z98" s="273">
        <v>0.27083333333333331</v>
      </c>
      <c r="AA98" s="39"/>
      <c r="AB98" s="40">
        <v>0.27777777777777779</v>
      </c>
      <c r="AC98" s="39">
        <v>0.77777777777777779</v>
      </c>
      <c r="AD98" s="41">
        <f>IF(PA_8[[#This Row],[Acknowledgement Time ]]="NA","",(PA_8[[#This Row],[Acknowledgement Time ]]-PA_8[[#This Row],[Fault Time]])*24)</f>
        <v>-6.5</v>
      </c>
      <c r="AE98" s="41">
        <f>IF(PA_8[[#This Row],[Work Start time on Fault]]="NA","",(PA_8[[#This Row],[Work Start time on Fault]]-PA_8[[#This Row],[Fault Time]])*24)</f>
        <v>0.16666666666666741</v>
      </c>
      <c r="AF98" s="42" t="str">
        <f>IF(PA_8[[#This Row],[Status]]="Open","",(PA_8[[#This Row],[Work Completion time on fault]]-PA_8[[#This Row],[Fault Time]])*24)</f>
        <v/>
      </c>
      <c r="AG98" s="41">
        <f>IFERROR((PA_8[[#This Row],[Work Completion time on fault]]-PA_8[[#This Row],[Fault Time]])*24,"")</f>
        <v>12.166666666666666</v>
      </c>
      <c r="AH98" s="38" t="s">
        <v>1300</v>
      </c>
      <c r="AI98" s="155" t="s">
        <v>360</v>
      </c>
      <c r="AJ98" s="37">
        <f>IFERROR(PA_8[[#This Row],[Breakdown Time]]*PA_8[[#This Row],[Plant Equivalent Weightage]],"")</f>
        <v>0.20502221671962911</v>
      </c>
      <c r="AK98" s="275">
        <v>3.04</v>
      </c>
      <c r="AL98" s="157">
        <f>U98*PA_8[[#This Row],[Lost PoA(Wh/m2)]]*84.2%</f>
        <v>5225.8426880000015</v>
      </c>
      <c r="AM98" s="157"/>
    </row>
    <row r="99" spans="1:39">
      <c r="A99" s="153">
        <v>90</v>
      </c>
      <c r="B99" s="154">
        <v>45844</v>
      </c>
      <c r="C99" s="187">
        <f>YEAR(PA_8[[#This Row],[Date]])+IF(MONTH(PA_8[[#This Row],[Date]])&gt;=4,1,0)</f>
        <v>2026</v>
      </c>
      <c r="D99" s="34">
        <f>YEAR(PA_8[[#This Row],[Date]])</f>
        <v>2025</v>
      </c>
      <c r="E99" s="155" t="s">
        <v>325</v>
      </c>
      <c r="F99" s="155" t="s">
        <v>325</v>
      </c>
      <c r="G99" s="175">
        <f>PA_8[[#This Row],[Date]]-DAY(PA_8[[#This Row],[Date]])+1</f>
        <v>45839</v>
      </c>
      <c r="H99" s="34">
        <f>DAY(EOMONTH(PA_8[[#This Row],[Month Year]],0))</f>
        <v>31</v>
      </c>
      <c r="I99" s="36">
        <f>IFERROR(_xlfn.XLOOKUP(PA_8[[#This Row],[Date]],Input_Raw!$A:$A,Input_Raw!F:F),"")</f>
        <v>0.25972222222222224</v>
      </c>
      <c r="J99" s="36">
        <f>IFERROR(_xlfn.XLOOKUP(PA_8[[#This Row],[Date]],Input_Raw!$A:$A,Input_Raw!G:G),"")</f>
        <v>0.78541666666666665</v>
      </c>
      <c r="K99" s="37">
        <f>IFERROR((PA_8[[#This Row],[Sunset Time (POA&lt;20 W/m2)]]-PA_8[[#This Row],[Sunrise Time (POA&gt;20 W/m2)]])*24,"")</f>
        <v>12.616666666666667</v>
      </c>
      <c r="L99" s="155" t="s">
        <v>409</v>
      </c>
      <c r="M99" s="35" t="s">
        <v>350</v>
      </c>
      <c r="N99" s="35"/>
      <c r="O99" s="38"/>
      <c r="P99" s="35"/>
      <c r="Q99" s="35"/>
      <c r="R99" s="34">
        <f>IF((PA_8[[#This Row],[String Type(If String BD)]]&amp;PA_8[[#This Row],[Equipment (If any BD other than PV  array and inv)]])="",1,0)</f>
        <v>1</v>
      </c>
      <c r="S99" s="34">
        <f>IF(PA_8[[#This Row],[String Type(If String BD)]]="",1,0)</f>
        <v>1</v>
      </c>
      <c r="T9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</v>
      </c>
      <c r="U99" s="37">
        <f>IFERROR(_xlfn.XLOOKUP(PA_8[[#This Row],[Affected Equipment ]],'Basic Data'!$P:$P,'Basic Data'!$S:$S),"")</f>
        <v>2583.9</v>
      </c>
      <c r="V99" s="325">
        <f>IFERROR(_xlfn.XLOOKUP(PA_8[[#This Row],[Affected Equipment ]],'Basic Data'!$P:$P,'Basic Data'!$T:$T),"")</f>
        <v>2.1327225454995668E-2</v>
      </c>
      <c r="W99" s="341" t="s">
        <v>330</v>
      </c>
      <c r="X99" s="156" t="s">
        <v>1297</v>
      </c>
      <c r="Y99" s="156" t="s">
        <v>1297</v>
      </c>
      <c r="Z99" s="273">
        <v>0.27083333333333331</v>
      </c>
      <c r="AA99" s="39"/>
      <c r="AB99" s="40">
        <v>0.27777777777777779</v>
      </c>
      <c r="AC99" s="39">
        <v>0.77777777777777779</v>
      </c>
      <c r="AD99" s="41">
        <f>IF(PA_8[[#This Row],[Acknowledgement Time ]]="NA","",(PA_8[[#This Row],[Acknowledgement Time ]]-PA_8[[#This Row],[Fault Time]])*24)</f>
        <v>-6.5</v>
      </c>
      <c r="AE99" s="41">
        <f>IF(PA_8[[#This Row],[Work Start time on Fault]]="NA","",(PA_8[[#This Row],[Work Start time on Fault]]-PA_8[[#This Row],[Fault Time]])*24)</f>
        <v>0.16666666666666741</v>
      </c>
      <c r="AF99" s="42" t="str">
        <f>IF(PA_8[[#This Row],[Status]]="Open","",(PA_8[[#This Row],[Work Completion time on fault]]-PA_8[[#This Row],[Fault Time]])*24)</f>
        <v/>
      </c>
      <c r="AG99" s="41">
        <f>IFERROR((PA_8[[#This Row],[Work Completion time on fault]]-PA_8[[#This Row],[Fault Time]])*24,"")</f>
        <v>12.166666666666666</v>
      </c>
      <c r="AH99" s="38" t="s">
        <v>1300</v>
      </c>
      <c r="AI99" s="155" t="s">
        <v>360</v>
      </c>
      <c r="AJ99" s="37">
        <f>IFERROR(PA_8[[#This Row],[Breakdown Time]]*PA_8[[#This Row],[Plant Equivalent Weightage]],"")</f>
        <v>0.25948124303578063</v>
      </c>
      <c r="AK99" s="275">
        <v>3.04</v>
      </c>
      <c r="AL99" s="157">
        <f>U99*PA_8[[#This Row],[Lost PoA(Wh/m2)]]*84.2%</f>
        <v>6613.9571520000009</v>
      </c>
      <c r="AM99" s="157"/>
    </row>
    <row r="100" spans="1:39">
      <c r="A100" s="153">
        <v>91</v>
      </c>
      <c r="B100" s="154">
        <v>45844</v>
      </c>
      <c r="C100" s="187">
        <f>YEAR(PA_8[[#This Row],[Date]])+IF(MONTH(PA_8[[#This Row],[Date]])&gt;=4,1,0)</f>
        <v>2026</v>
      </c>
      <c r="D100" s="34">
        <f>YEAR(PA_8[[#This Row],[Date]])</f>
        <v>2025</v>
      </c>
      <c r="E100" s="155" t="s">
        <v>325</v>
      </c>
      <c r="F100" s="155" t="s">
        <v>325</v>
      </c>
      <c r="G100" s="175">
        <f>PA_8[[#This Row],[Date]]-DAY(PA_8[[#This Row],[Date]])+1</f>
        <v>45839</v>
      </c>
      <c r="H100" s="34">
        <f>DAY(EOMONTH(PA_8[[#This Row],[Month Year]],0))</f>
        <v>31</v>
      </c>
      <c r="I100" s="36">
        <f>IFERROR(_xlfn.XLOOKUP(PA_8[[#This Row],[Date]],Input_Raw!$A:$A,Input_Raw!F:F),"")</f>
        <v>0.25972222222222224</v>
      </c>
      <c r="J100" s="36">
        <f>IFERROR(_xlfn.XLOOKUP(PA_8[[#This Row],[Date]],Input_Raw!$A:$A,Input_Raw!G:G),"")</f>
        <v>0.78541666666666665</v>
      </c>
      <c r="K100" s="37">
        <f>IFERROR((PA_8[[#This Row],[Sunset Time (POA&lt;20 W/m2)]]-PA_8[[#This Row],[Sunrise Time (POA&gt;20 W/m2)]])*24,"")</f>
        <v>12.616666666666667</v>
      </c>
      <c r="L100" s="155" t="s">
        <v>409</v>
      </c>
      <c r="M100" s="35" t="s">
        <v>350</v>
      </c>
      <c r="N100" s="35" t="s">
        <v>351</v>
      </c>
      <c r="O100" s="38"/>
      <c r="P100" s="35"/>
      <c r="Q100" s="35"/>
      <c r="R100" s="34">
        <f>IF((PA_8[[#This Row],[String Type(If String BD)]]&amp;PA_8[[#This Row],[Equipment (If any BD other than PV  array and inv)]])="",1,0)</f>
        <v>1</v>
      </c>
      <c r="S100" s="34">
        <f>IF(PA_8[[#This Row],[String Type(If String BD)]]="",1,0)</f>
        <v>1</v>
      </c>
      <c r="T10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IS10Inv1M1</v>
      </c>
      <c r="U100" s="37">
        <f>IFERROR(_xlfn.XLOOKUP(PA_8[[#This Row],[Affected Equipment ]],'Basic Data'!$P:$P,'Basic Data'!$S:$S),"")</f>
        <v>1914</v>
      </c>
      <c r="V100" s="325">
        <f>IFERROR(_xlfn.XLOOKUP(PA_8[[#This Row],[Affected Equipment ]],'Basic Data'!$P:$P,'Basic Data'!$T:$T),"")</f>
        <v>1.5797944781478272E-2</v>
      </c>
      <c r="W100" s="341" t="s">
        <v>330</v>
      </c>
      <c r="X100" s="156" t="s">
        <v>1306</v>
      </c>
      <c r="Y100" s="156" t="s">
        <v>1305</v>
      </c>
      <c r="Z100" s="273">
        <v>0.52083333333333337</v>
      </c>
      <c r="AA100" s="39"/>
      <c r="AB100" s="40">
        <v>0.52777777777777779</v>
      </c>
      <c r="AC100" s="39">
        <v>0.59722222222222221</v>
      </c>
      <c r="AD100" s="41">
        <f>IF(PA_8[[#This Row],[Acknowledgement Time ]]="NA","",(PA_8[[#This Row],[Acknowledgement Time ]]-PA_8[[#This Row],[Fault Time]])*24)</f>
        <v>-12.5</v>
      </c>
      <c r="AE100" s="41">
        <f>IF(PA_8[[#This Row],[Work Start time on Fault]]="NA","",(PA_8[[#This Row],[Work Start time on Fault]]-PA_8[[#This Row],[Fault Time]])*24)</f>
        <v>0.16666666666666607</v>
      </c>
      <c r="AF100" s="42">
        <f>IF(PA_8[[#This Row],[Status]]="Open","",(PA_8[[#This Row],[Work Completion time on fault]]-PA_8[[#This Row],[Fault Time]])*24)</f>
        <v>1.8333333333333321</v>
      </c>
      <c r="AG100" s="41">
        <f>IFERROR((PA_8[[#This Row],[Work Completion time on fault]]-PA_8[[#This Row],[Fault Time]])*24,"")</f>
        <v>1.8333333333333321</v>
      </c>
      <c r="AH100" s="38" t="s">
        <v>1307</v>
      </c>
      <c r="AI100" s="155" t="s">
        <v>368</v>
      </c>
      <c r="AJ100" s="37">
        <f>IFERROR(PA_8[[#This Row],[Breakdown Time]]*PA_8[[#This Row],[Plant Equivalent Weightage]],"")</f>
        <v>2.8962898766043479E-2</v>
      </c>
      <c r="AK100" s="275">
        <v>0.34</v>
      </c>
      <c r="AL100" s="157">
        <f>U100*PA_8[[#This Row],[Lost PoA(Wh/m2)]]*84.2%</f>
        <v>547.93992000000003</v>
      </c>
      <c r="AM100" s="157"/>
    </row>
    <row r="101" spans="1:39">
      <c r="A101" s="153">
        <v>92</v>
      </c>
      <c r="B101" s="154">
        <v>45844</v>
      </c>
      <c r="C101" s="187">
        <f>YEAR(PA_8[[#This Row],[Date]])+IF(MONTH(PA_8[[#This Row],[Date]])&gt;=4,1,0)</f>
        <v>2026</v>
      </c>
      <c r="D101" s="34">
        <f>YEAR(PA_8[[#This Row],[Date]])</f>
        <v>2025</v>
      </c>
      <c r="E101" s="155" t="s">
        <v>325</v>
      </c>
      <c r="F101" s="155" t="s">
        <v>325</v>
      </c>
      <c r="G101" s="175">
        <f>PA_8[[#This Row],[Date]]-DAY(PA_8[[#This Row],[Date]])+1</f>
        <v>45839</v>
      </c>
      <c r="H101" s="34">
        <f>DAY(EOMONTH(PA_8[[#This Row],[Month Year]],0))</f>
        <v>31</v>
      </c>
      <c r="I101" s="36">
        <f>IFERROR(_xlfn.XLOOKUP(PA_8[[#This Row],[Date]],Input_Raw!$A:$A,Input_Raw!F:F),"")</f>
        <v>0.25972222222222224</v>
      </c>
      <c r="J101" s="36">
        <f>IFERROR(_xlfn.XLOOKUP(PA_8[[#This Row],[Date]],Input_Raw!$A:$A,Input_Raw!G:G),"")</f>
        <v>0.78541666666666665</v>
      </c>
      <c r="K101" s="37">
        <f>IFERROR((PA_8[[#This Row],[Sunset Time (POA&lt;20 W/m2)]]-PA_8[[#This Row],[Sunrise Time (POA&gt;20 W/m2)]])*24,"")</f>
        <v>12.616666666666667</v>
      </c>
      <c r="L101" s="155" t="s">
        <v>409</v>
      </c>
      <c r="M101" s="35" t="s">
        <v>350</v>
      </c>
      <c r="N101" s="35" t="s">
        <v>363</v>
      </c>
      <c r="O101" s="38"/>
      <c r="P101" s="35"/>
      <c r="Q101" s="35"/>
      <c r="R101" s="34">
        <f>IF((PA_8[[#This Row],[String Type(If String BD)]]&amp;PA_8[[#This Row],[Equipment (If any BD other than PV  array and inv)]])="",1,0)</f>
        <v>1</v>
      </c>
      <c r="S101" s="34">
        <f>IF(PA_8[[#This Row],[String Type(If String BD)]]="",1,0)</f>
        <v>1</v>
      </c>
      <c r="T10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IS10Inv1M2</v>
      </c>
      <c r="U101" s="37">
        <f>IFERROR(_xlfn.XLOOKUP(PA_8[[#This Row],[Affected Equipment ]],'Basic Data'!$P:$P,'Basic Data'!$S:$S),"")</f>
        <v>669.90000000000009</v>
      </c>
      <c r="V101" s="325">
        <f>IFERROR(_xlfn.XLOOKUP(PA_8[[#This Row],[Affected Equipment ]],'Basic Data'!$P:$P,'Basic Data'!$T:$T),"")</f>
        <v>5.5292806735173956E-3</v>
      </c>
      <c r="W101" s="341" t="s">
        <v>330</v>
      </c>
      <c r="X101" s="156" t="s">
        <v>1306</v>
      </c>
      <c r="Y101" s="156" t="s">
        <v>1305</v>
      </c>
      <c r="Z101" s="273">
        <v>0.52083333333333337</v>
      </c>
      <c r="AA101" s="39"/>
      <c r="AB101" s="40">
        <v>0.52777777777777779</v>
      </c>
      <c r="AC101" s="39">
        <v>0.59722222222222221</v>
      </c>
      <c r="AD101" s="41">
        <f>IF(PA_8[[#This Row],[Acknowledgement Time ]]="NA","",(PA_8[[#This Row],[Acknowledgement Time ]]-PA_8[[#This Row],[Fault Time]])*24)</f>
        <v>-12.5</v>
      </c>
      <c r="AE101" s="41">
        <f>IF(PA_8[[#This Row],[Work Start time on Fault]]="NA","",(PA_8[[#This Row],[Work Start time on Fault]]-PA_8[[#This Row],[Fault Time]])*24)</f>
        <v>0.16666666666666607</v>
      </c>
      <c r="AF101" s="42">
        <f>IF(PA_8[[#This Row],[Status]]="Open","",(PA_8[[#This Row],[Work Completion time on fault]]-PA_8[[#This Row],[Fault Time]])*24)</f>
        <v>1.8333333333333321</v>
      </c>
      <c r="AG101" s="41">
        <f>IFERROR((PA_8[[#This Row],[Work Completion time on fault]]-PA_8[[#This Row],[Fault Time]])*24,"")</f>
        <v>1.8333333333333321</v>
      </c>
      <c r="AH101" s="38" t="s">
        <v>1307</v>
      </c>
      <c r="AI101" s="155" t="s">
        <v>368</v>
      </c>
      <c r="AJ101" s="37">
        <f>IFERROR(PA_8[[#This Row],[Breakdown Time]]*PA_8[[#This Row],[Plant Equivalent Weightage]],"")</f>
        <v>1.013701456811522E-2</v>
      </c>
      <c r="AK101" s="275">
        <v>0.34</v>
      </c>
      <c r="AL101" s="157">
        <f>U101*PA_8[[#This Row],[Lost PoA(Wh/m2)]]*84.2%</f>
        <v>191.77897200000007</v>
      </c>
      <c r="AM101" s="157"/>
    </row>
    <row r="102" spans="1:39">
      <c r="A102" s="153">
        <v>93</v>
      </c>
      <c r="B102" s="154">
        <v>45845</v>
      </c>
      <c r="C102" s="187">
        <f>YEAR(PA_8[[#This Row],[Date]])+IF(MONTH(PA_8[[#This Row],[Date]])&gt;=4,1,0)</f>
        <v>2026</v>
      </c>
      <c r="D102" s="34">
        <f>YEAR(PA_8[[#This Row],[Date]])</f>
        <v>2025</v>
      </c>
      <c r="E102" s="155" t="s">
        <v>325</v>
      </c>
      <c r="F102" s="155" t="s">
        <v>325</v>
      </c>
      <c r="G102" s="175">
        <f>PA_8[[#This Row],[Date]]-DAY(PA_8[[#This Row],[Date]])+1</f>
        <v>45839</v>
      </c>
      <c r="H102" s="34">
        <f>DAY(EOMONTH(PA_8[[#This Row],[Month Year]],0))</f>
        <v>31</v>
      </c>
      <c r="I102" s="36">
        <f>IFERROR(_xlfn.XLOOKUP(PA_8[[#This Row],[Date]],Input_Raw!$A:$A,Input_Raw!F:F),"")</f>
        <v>0.26180555555555557</v>
      </c>
      <c r="J102" s="36">
        <f>IFERROR(_xlfn.XLOOKUP(PA_8[[#This Row],[Date]],Input_Raw!$A:$A,Input_Raw!G:G),"")</f>
        <v>0.76736111111111116</v>
      </c>
      <c r="K102" s="37">
        <f>IFERROR((PA_8[[#This Row],[Sunset Time (POA&lt;20 W/m2)]]-PA_8[[#This Row],[Sunrise Time (POA&gt;20 W/m2)]])*24,"")</f>
        <v>12.133333333333333</v>
      </c>
      <c r="L102" s="155" t="s">
        <v>387</v>
      </c>
      <c r="M102" s="35" t="s">
        <v>362</v>
      </c>
      <c r="N102" s="35" t="s">
        <v>351</v>
      </c>
      <c r="O102" s="38"/>
      <c r="P102" s="35"/>
      <c r="Q102" s="35"/>
      <c r="R102" s="34">
        <f>IF((PA_8[[#This Row],[String Type(If String BD)]]&amp;PA_8[[#This Row],[Equipment (If any BD other than PV  array and inv)]])="",1,0)</f>
        <v>1</v>
      </c>
      <c r="S102" s="34">
        <f>IF(PA_8[[#This Row],[String Type(If String BD)]]="",1,0)</f>
        <v>1</v>
      </c>
      <c r="T10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IS6Inv2M1</v>
      </c>
      <c r="U102" s="37">
        <f>IFERROR(_xlfn.XLOOKUP(PA_8[[#This Row],[Affected Equipment ]],'Basic Data'!$P:$P,'Basic Data'!$S:$S),"")</f>
        <v>1882.1</v>
      </c>
      <c r="V102" s="325">
        <f>IFERROR(_xlfn.XLOOKUP(PA_8[[#This Row],[Affected Equipment ]],'Basic Data'!$P:$P,'Basic Data'!$T:$T),"")</f>
        <v>1.5534645701786967E-2</v>
      </c>
      <c r="W102" s="341" t="s">
        <v>1293</v>
      </c>
      <c r="X102" s="156" t="s">
        <v>1308</v>
      </c>
      <c r="Y102" s="156" t="s">
        <v>1308</v>
      </c>
      <c r="Z102" s="273">
        <v>0.63888888888888884</v>
      </c>
      <c r="AA102" s="39"/>
      <c r="AB102" s="40">
        <v>0.64583333333333337</v>
      </c>
      <c r="AC102" s="39">
        <v>0.65416666666666667</v>
      </c>
      <c r="AD102" s="41">
        <f>IF(PA_8[[#This Row],[Acknowledgement Time ]]="NA","",(PA_8[[#This Row],[Acknowledgement Time ]]-PA_8[[#This Row],[Fault Time]])*24)</f>
        <v>-15.333333333333332</v>
      </c>
      <c r="AE102" s="41">
        <f>IF(PA_8[[#This Row],[Work Start time on Fault]]="NA","",(PA_8[[#This Row],[Work Start time on Fault]]-PA_8[[#This Row],[Fault Time]])*24)</f>
        <v>0.16666666666666874</v>
      </c>
      <c r="AF102" s="42">
        <f>IF(PA_8[[#This Row],[Status]]="Open","",(PA_8[[#This Row],[Work Completion time on fault]]-PA_8[[#This Row],[Fault Time]])*24)</f>
        <v>0.36666666666666803</v>
      </c>
      <c r="AG102" s="41">
        <f>IFERROR((PA_8[[#This Row],[Work Completion time on fault]]-PA_8[[#This Row],[Fault Time]])*24,"")</f>
        <v>0.36666666666666803</v>
      </c>
      <c r="AH102" s="38" t="s">
        <v>1309</v>
      </c>
      <c r="AI102" s="155" t="s">
        <v>368</v>
      </c>
      <c r="AJ102" s="37">
        <f>IFERROR(PA_8[[#This Row],[Breakdown Time]]*PA_8[[#This Row],[Plant Equivalent Weightage]],"")</f>
        <v>5.696036757321909E-3</v>
      </c>
      <c r="AK102" s="275">
        <v>0.02</v>
      </c>
      <c r="AL102" s="157">
        <f>U102*PA_8[[#This Row],[Lost PoA(Wh/m2)]]*84.2%</f>
        <v>31.694564</v>
      </c>
      <c r="AM102" s="157"/>
    </row>
    <row r="103" spans="1:39">
      <c r="A103" s="153">
        <v>94</v>
      </c>
      <c r="B103" s="154">
        <v>45845</v>
      </c>
      <c r="C103" s="187">
        <f>YEAR(PA_8[[#This Row],[Date]])+IF(MONTH(PA_8[[#This Row],[Date]])&gt;=4,1,0)</f>
        <v>2026</v>
      </c>
      <c r="D103" s="34">
        <f>YEAR(PA_8[[#This Row],[Date]])</f>
        <v>2025</v>
      </c>
      <c r="E103" s="155" t="s">
        <v>325</v>
      </c>
      <c r="F103" s="155" t="s">
        <v>325</v>
      </c>
      <c r="G103" s="175">
        <f>PA_8[[#This Row],[Date]]-DAY(PA_8[[#This Row],[Date]])+1</f>
        <v>45839</v>
      </c>
      <c r="H103" s="34">
        <f>DAY(EOMONTH(PA_8[[#This Row],[Month Year]],0))</f>
        <v>31</v>
      </c>
      <c r="I103" s="36">
        <f>IFERROR(_xlfn.XLOOKUP(PA_8[[#This Row],[Date]],Input_Raw!$A:$A,Input_Raw!F:F),"")</f>
        <v>0.26180555555555557</v>
      </c>
      <c r="J103" s="36">
        <f>IFERROR(_xlfn.XLOOKUP(PA_8[[#This Row],[Date]],Input_Raw!$A:$A,Input_Raw!G:G),"")</f>
        <v>0.76736111111111116</v>
      </c>
      <c r="K103" s="37">
        <f>IFERROR((PA_8[[#This Row],[Sunset Time (POA&lt;20 W/m2)]]-PA_8[[#This Row],[Sunrise Time (POA&gt;20 W/m2)]])*24,"")</f>
        <v>12.133333333333333</v>
      </c>
      <c r="L103" s="155" t="s">
        <v>387</v>
      </c>
      <c r="M103" s="35" t="s">
        <v>362</v>
      </c>
      <c r="N103" s="35" t="s">
        <v>363</v>
      </c>
      <c r="O103" s="38"/>
      <c r="P103" s="35"/>
      <c r="Q103" s="35"/>
      <c r="R103" s="34">
        <f>IF((PA_8[[#This Row],[String Type(If String BD)]]&amp;PA_8[[#This Row],[Equipment (If any BD other than PV  array and inv)]])="",1,0)</f>
        <v>1</v>
      </c>
      <c r="S103" s="34">
        <f>IF(PA_8[[#This Row],[String Type(If String BD)]]="",1,0)</f>
        <v>1</v>
      </c>
      <c r="T10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IS6Inv2M2</v>
      </c>
      <c r="U103" s="37">
        <f>IFERROR(_xlfn.XLOOKUP(PA_8[[#This Row],[Affected Equipment ]],'Basic Data'!$P:$P,'Basic Data'!$S:$S),"")</f>
        <v>1850.2</v>
      </c>
      <c r="V103" s="325">
        <f>IFERROR(_xlfn.XLOOKUP(PA_8[[#This Row],[Affected Equipment ]],'Basic Data'!$P:$P,'Basic Data'!$T:$T),"")</f>
        <v>1.5271346622095663E-2</v>
      </c>
      <c r="W103" s="341" t="s">
        <v>1293</v>
      </c>
      <c r="X103" s="156" t="s">
        <v>1308</v>
      </c>
      <c r="Y103" s="156" t="s">
        <v>1308</v>
      </c>
      <c r="Z103" s="273">
        <v>0.66180555555555554</v>
      </c>
      <c r="AA103" s="39"/>
      <c r="AB103" s="40">
        <v>0.65972222222222221</v>
      </c>
      <c r="AC103" s="39">
        <v>0.69861111111111107</v>
      </c>
      <c r="AD103" s="41">
        <f>IF(PA_8[[#This Row],[Acknowledgement Time ]]="NA","",(PA_8[[#This Row],[Acknowledgement Time ]]-PA_8[[#This Row],[Fault Time]])*24)</f>
        <v>-15.883333333333333</v>
      </c>
      <c r="AE103" s="41">
        <f>IF(PA_8[[#This Row],[Work Start time on Fault]]="NA","",(PA_8[[#This Row],[Work Start time on Fault]]-PA_8[[#This Row],[Fault Time]])*24)</f>
        <v>-4.9999999999999822E-2</v>
      </c>
      <c r="AF103" s="42">
        <f>IF(PA_8[[#This Row],[Status]]="Open","",(PA_8[[#This Row],[Work Completion time on fault]]-PA_8[[#This Row],[Fault Time]])*24)</f>
        <v>0.88333333333333286</v>
      </c>
      <c r="AG103" s="41">
        <f>IFERROR((PA_8[[#This Row],[Work Completion time on fault]]-PA_8[[#This Row],[Fault Time]])*24,"")</f>
        <v>0.88333333333333286</v>
      </c>
      <c r="AH103" s="38" t="s">
        <v>1309</v>
      </c>
      <c r="AI103" s="155" t="s">
        <v>368</v>
      </c>
      <c r="AJ103" s="37">
        <f>IFERROR(PA_8[[#This Row],[Breakdown Time]]*PA_8[[#This Row],[Plant Equivalent Weightage]],"")</f>
        <v>1.3489689516184495E-2</v>
      </c>
      <c r="AK103" s="275">
        <v>0.14000000000000001</v>
      </c>
      <c r="AL103" s="157">
        <f>U103*PA_8[[#This Row],[Lost PoA(Wh/m2)]]*84.2%</f>
        <v>218.10157600000005</v>
      </c>
      <c r="AM103" s="157"/>
    </row>
    <row r="104" spans="1:39">
      <c r="A104" s="153">
        <v>95</v>
      </c>
      <c r="B104" s="154">
        <v>45846</v>
      </c>
      <c r="C104" s="187">
        <f>YEAR(PA_8[[#This Row],[Date]])+IF(MONTH(PA_8[[#This Row],[Date]])&gt;=4,1,0)</f>
        <v>2026</v>
      </c>
      <c r="D104" s="34">
        <f>YEAR(PA_8[[#This Row],[Date]])</f>
        <v>2025</v>
      </c>
      <c r="E104" s="155" t="s">
        <v>325</v>
      </c>
      <c r="F104" s="155" t="s">
        <v>325</v>
      </c>
      <c r="G104" s="175">
        <f>PA_8[[#This Row],[Date]]-DAY(PA_8[[#This Row],[Date]])+1</f>
        <v>45839</v>
      </c>
      <c r="H104" s="34">
        <f>DAY(EOMONTH(PA_8[[#This Row],[Month Year]],0))</f>
        <v>31</v>
      </c>
      <c r="I104" s="36">
        <f>IFERROR(_xlfn.XLOOKUP(PA_8[[#This Row],[Date]],Input_Raw!$A:$A,Input_Raw!F:F),"")</f>
        <v>0.26805555555555555</v>
      </c>
      <c r="J104" s="36">
        <f>IFERROR(_xlfn.XLOOKUP(PA_8[[#This Row],[Date]],Input_Raw!$A:$A,Input_Raw!G:G),"")</f>
        <v>0.77013888888888893</v>
      </c>
      <c r="K104" s="37">
        <f>IFERROR((PA_8[[#This Row],[Sunset Time (POA&lt;20 W/m2)]]-PA_8[[#This Row],[Sunrise Time (POA&gt;20 W/m2)]])*24,"")</f>
        <v>12.050000000000002</v>
      </c>
      <c r="L104" s="155" t="s">
        <v>409</v>
      </c>
      <c r="M104" s="35" t="s">
        <v>362</v>
      </c>
      <c r="N104" s="35" t="s">
        <v>351</v>
      </c>
      <c r="O104" s="38"/>
      <c r="P104" s="35"/>
      <c r="Q104" s="35"/>
      <c r="R104" s="34">
        <f>IF((PA_8[[#This Row],[String Type(If String BD)]]&amp;PA_8[[#This Row],[Equipment (If any BD other than PV  array and inv)]])="",1,0)</f>
        <v>1</v>
      </c>
      <c r="S104" s="34">
        <f>IF(PA_8[[#This Row],[String Type(If String BD)]]="",1,0)</f>
        <v>1</v>
      </c>
      <c r="T10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IS10Inv2M1</v>
      </c>
      <c r="U104" s="37">
        <f>IFERROR(_xlfn.XLOOKUP(PA_8[[#This Row],[Affected Equipment ]],'Basic Data'!$P:$P,'Basic Data'!$S:$S),"")</f>
        <v>478.5</v>
      </c>
      <c r="V104" s="325">
        <f>IFERROR(_xlfn.XLOOKUP(PA_8[[#This Row],[Affected Equipment ]],'Basic Data'!$P:$P,'Basic Data'!$T:$T),"")</f>
        <v>3.9494861953695681E-3</v>
      </c>
      <c r="W104" s="341" t="s">
        <v>1293</v>
      </c>
      <c r="X104" s="156" t="s">
        <v>1308</v>
      </c>
      <c r="Y104" s="156" t="s">
        <v>1308</v>
      </c>
      <c r="Z104" s="273">
        <v>0.5708333333333333</v>
      </c>
      <c r="AA104" s="39"/>
      <c r="AB104" s="40">
        <v>0.58680555555555558</v>
      </c>
      <c r="AC104" s="39">
        <v>0.66319444444444442</v>
      </c>
      <c r="AD104" s="41">
        <f>IF(PA_8[[#This Row],[Acknowledgement Time ]]="NA","",(PA_8[[#This Row],[Acknowledgement Time ]]-PA_8[[#This Row],[Fault Time]])*24)</f>
        <v>-13.7</v>
      </c>
      <c r="AE104" s="41">
        <f>IF(PA_8[[#This Row],[Work Start time on Fault]]="NA","",(PA_8[[#This Row],[Work Start time on Fault]]-PA_8[[#This Row],[Fault Time]])*24)</f>
        <v>0.38333333333333464</v>
      </c>
      <c r="AF104" s="42">
        <f>IF(PA_8[[#This Row],[Status]]="Open","",(PA_8[[#This Row],[Work Completion time on fault]]-PA_8[[#This Row],[Fault Time]])*24)</f>
        <v>2.2166666666666668</v>
      </c>
      <c r="AG104" s="41">
        <f>IFERROR((PA_8[[#This Row],[Work Completion time on fault]]-PA_8[[#This Row],[Fault Time]])*24,"")</f>
        <v>2.2166666666666668</v>
      </c>
      <c r="AH104" s="38" t="s">
        <v>1311</v>
      </c>
      <c r="AI104" s="155" t="s">
        <v>368</v>
      </c>
      <c r="AJ104" s="37">
        <f>IFERROR(PA_8[[#This Row],[Breakdown Time]]*PA_8[[#This Row],[Plant Equivalent Weightage]],"")</f>
        <v>8.7546943997358767E-3</v>
      </c>
      <c r="AK104" s="275">
        <v>0.53</v>
      </c>
      <c r="AL104" s="157">
        <f>U104*PA_8[[#This Row],[Lost PoA(Wh/m2)]]*84.2%</f>
        <v>213.53541000000004</v>
      </c>
      <c r="AM104" s="157"/>
    </row>
    <row r="105" spans="1:39">
      <c r="A105" s="153">
        <v>96</v>
      </c>
      <c r="B105" s="154">
        <v>45846</v>
      </c>
      <c r="C105" s="187">
        <f>YEAR(PA_8[[#This Row],[Date]])+IF(MONTH(PA_8[[#This Row],[Date]])&gt;=4,1,0)</f>
        <v>2026</v>
      </c>
      <c r="D105" s="34">
        <f>YEAR(PA_8[[#This Row],[Date]])</f>
        <v>2025</v>
      </c>
      <c r="E105" s="155" t="s">
        <v>325</v>
      </c>
      <c r="F105" s="155" t="s">
        <v>325</v>
      </c>
      <c r="G105" s="175">
        <f>PA_8[[#This Row],[Date]]-DAY(PA_8[[#This Row],[Date]])+1</f>
        <v>45839</v>
      </c>
      <c r="H105" s="34">
        <f>DAY(EOMONTH(PA_8[[#This Row],[Month Year]],0))</f>
        <v>31</v>
      </c>
      <c r="I105" s="36">
        <f>IFERROR(_xlfn.XLOOKUP(PA_8[[#This Row],[Date]],Input_Raw!$A:$A,Input_Raw!F:F),"")</f>
        <v>0.26805555555555555</v>
      </c>
      <c r="J105" s="36">
        <f>IFERROR(_xlfn.XLOOKUP(PA_8[[#This Row],[Date]],Input_Raw!$A:$A,Input_Raw!G:G),"")</f>
        <v>0.77013888888888893</v>
      </c>
      <c r="K105" s="37">
        <f>IFERROR((PA_8[[#This Row],[Sunset Time (POA&lt;20 W/m2)]]-PA_8[[#This Row],[Sunrise Time (POA&gt;20 W/m2)]])*24,"")</f>
        <v>12.050000000000002</v>
      </c>
      <c r="L105" s="155" t="s">
        <v>409</v>
      </c>
      <c r="M105" s="35" t="s">
        <v>362</v>
      </c>
      <c r="N105" s="35" t="s">
        <v>363</v>
      </c>
      <c r="O105" s="38"/>
      <c r="P105" s="35"/>
      <c r="Q105" s="35"/>
      <c r="R105" s="34">
        <f>IF((PA_8[[#This Row],[String Type(If String BD)]]&amp;PA_8[[#This Row],[Equipment (If any BD other than PV  array and inv)]])="",1,0)</f>
        <v>1</v>
      </c>
      <c r="S105" s="34">
        <f>IF(PA_8[[#This Row],[String Type(If String BD)]]="",1,0)</f>
        <v>1</v>
      </c>
      <c r="T10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IS10Inv2M2</v>
      </c>
      <c r="U105" s="37">
        <f>IFERROR(_xlfn.XLOOKUP(PA_8[[#This Row],[Affected Equipment ]],'Basic Data'!$P:$P,'Basic Data'!$S:$S),"")</f>
        <v>2041.6000000000001</v>
      </c>
      <c r="V105" s="325">
        <f>IFERROR(_xlfn.XLOOKUP(PA_8[[#This Row],[Affected Equipment ]],'Basic Data'!$P:$P,'Basic Data'!$T:$T),"")</f>
        <v>1.6851141100243491E-2</v>
      </c>
      <c r="W105" s="341" t="s">
        <v>1293</v>
      </c>
      <c r="X105" s="156" t="s">
        <v>1313</v>
      </c>
      <c r="Y105" s="156" t="s">
        <v>1313</v>
      </c>
      <c r="Z105" s="273">
        <v>0.6333333333333333</v>
      </c>
      <c r="AA105" s="39"/>
      <c r="AB105" s="40">
        <v>0.6333333333333333</v>
      </c>
      <c r="AC105" s="39">
        <v>0.65972222222222221</v>
      </c>
      <c r="AD105" s="41">
        <f>IF(PA_8[[#This Row],[Acknowledgement Time ]]="NA","",(PA_8[[#This Row],[Acknowledgement Time ]]-PA_8[[#This Row],[Fault Time]])*24)</f>
        <v>-15.2</v>
      </c>
      <c r="AE105" s="41">
        <f>IF(PA_8[[#This Row],[Work Start time on Fault]]="NA","",(PA_8[[#This Row],[Work Start time on Fault]]-PA_8[[#This Row],[Fault Time]])*24)</f>
        <v>0</v>
      </c>
      <c r="AF105" s="42">
        <f>IF(PA_8[[#This Row],[Status]]="Open","",(PA_8[[#This Row],[Work Completion time on fault]]-PA_8[[#This Row],[Fault Time]])*24)</f>
        <v>0.63333333333333375</v>
      </c>
      <c r="AG105" s="41">
        <f>IFERROR((PA_8[[#This Row],[Work Completion time on fault]]-PA_8[[#This Row],[Fault Time]])*24,"")</f>
        <v>0.63333333333333375</v>
      </c>
      <c r="AH105" s="38" t="s">
        <v>1314</v>
      </c>
      <c r="AI105" s="155" t="s">
        <v>368</v>
      </c>
      <c r="AJ105" s="37">
        <f>IFERROR(PA_8[[#This Row],[Breakdown Time]]*PA_8[[#This Row],[Plant Equivalent Weightage]],"")</f>
        <v>1.0672389363487552E-2</v>
      </c>
      <c r="AK105" s="275">
        <v>0.14000000000000001</v>
      </c>
      <c r="AL105" s="157">
        <f>U105*PA_8[[#This Row],[Lost PoA(Wh/m2)]]*84.2%</f>
        <v>240.66380800000007</v>
      </c>
      <c r="AM105" s="157"/>
    </row>
    <row r="106" spans="1:39" ht="14.25" customHeight="1">
      <c r="A106" s="153">
        <v>97</v>
      </c>
      <c r="B106" s="154">
        <v>45846</v>
      </c>
      <c r="C106" s="187">
        <f>YEAR(PA_8[[#This Row],[Date]])+IF(MONTH(PA_8[[#This Row],[Date]])&gt;=4,1,0)</f>
        <v>2026</v>
      </c>
      <c r="D106" s="34">
        <f>YEAR(PA_8[[#This Row],[Date]])</f>
        <v>2025</v>
      </c>
      <c r="E106" s="155" t="s">
        <v>325</v>
      </c>
      <c r="F106" s="155" t="s">
        <v>325</v>
      </c>
      <c r="G106" s="175">
        <f>PA_8[[#This Row],[Date]]-DAY(PA_8[[#This Row],[Date]])+1</f>
        <v>45839</v>
      </c>
      <c r="H106" s="34">
        <f>DAY(EOMONTH(PA_8[[#This Row],[Month Year]],0))</f>
        <v>31</v>
      </c>
      <c r="I106" s="36">
        <f>IFERROR(_xlfn.XLOOKUP(PA_8[[#This Row],[Date]],Input_Raw!$A:$A,Input_Raw!F:F),"")</f>
        <v>0.26805555555555555</v>
      </c>
      <c r="J106" s="36">
        <f>IFERROR(_xlfn.XLOOKUP(PA_8[[#This Row],[Date]],Input_Raw!$A:$A,Input_Raw!G:G),"")</f>
        <v>0.77013888888888893</v>
      </c>
      <c r="K106" s="37">
        <f>IFERROR((PA_8[[#This Row],[Sunset Time (POA&lt;20 W/m2)]]-PA_8[[#This Row],[Sunrise Time (POA&gt;20 W/m2)]])*24,"")</f>
        <v>12.050000000000002</v>
      </c>
      <c r="L106" s="155" t="s">
        <v>387</v>
      </c>
      <c r="M106" s="35" t="s">
        <v>362</v>
      </c>
      <c r="N106" s="35" t="s">
        <v>363</v>
      </c>
      <c r="O106" s="38" t="s">
        <v>389</v>
      </c>
      <c r="P106" s="35" t="s">
        <v>365</v>
      </c>
      <c r="Q106" s="35" t="s">
        <v>391</v>
      </c>
      <c r="R106" s="34">
        <f>IF((PA_8[[#This Row],[String Type(If String BD)]]&amp;PA_8[[#This Row],[Equipment (If any BD other than PV  array and inv)]])="",1,0)</f>
        <v>0</v>
      </c>
      <c r="S106" s="34">
        <f>IF(PA_8[[#This Row],[String Type(If String BD)]]="",1,0)</f>
        <v>0</v>
      </c>
      <c r="T10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Str_Typ2(545*29)</v>
      </c>
      <c r="U106" s="37">
        <f>IFERROR(_xlfn.XLOOKUP(PA_8[[#This Row],[Affected Equipment ]],'Basic Data'!$P:$P,'Basic Data'!$S:$S),"")</f>
        <v>15.805</v>
      </c>
      <c r="V106" s="325">
        <f>IFERROR(_xlfn.XLOOKUP(PA_8[[#This Row],[Affected Equipment ]],'Basic Data'!$P:$P,'Basic Data'!$T:$T),"")</f>
        <v>1.3045272584705542E-4</v>
      </c>
      <c r="W106" s="341" t="s">
        <v>1105</v>
      </c>
      <c r="X106" s="156" t="s">
        <v>1315</v>
      </c>
      <c r="Y106" s="156" t="s">
        <v>1315</v>
      </c>
      <c r="Z106" s="273">
        <v>0.25</v>
      </c>
      <c r="AA106" s="39"/>
      <c r="AB106" s="40">
        <v>0.60416666666666663</v>
      </c>
      <c r="AC106" s="39">
        <v>0.70138888888888884</v>
      </c>
      <c r="AD106" s="41">
        <f>IF(PA_8[[#This Row],[Acknowledgement Time ]]="NA","",(PA_8[[#This Row],[Acknowledgement Time ]]-PA_8[[#This Row],[Fault Time]])*24)</f>
        <v>-6</v>
      </c>
      <c r="AE106" s="41">
        <f>IF(PA_8[[#This Row],[Work Start time on Fault]]="NA","",(PA_8[[#This Row],[Work Start time on Fault]]-PA_8[[#This Row],[Fault Time]])*24)</f>
        <v>8.5</v>
      </c>
      <c r="AF106" s="42">
        <f>IF(PA_8[[#This Row],[Status]]="Open","",(PA_8[[#This Row],[Work Completion time on fault]]-PA_8[[#This Row],[Fault Time]])*24)</f>
        <v>10.833333333333332</v>
      </c>
      <c r="AG106" s="41">
        <f>IFERROR((PA_8[[#This Row],[Work Completion time on fault]]-PA_8[[#This Row],[Fault Time]])*24,"")</f>
        <v>10.833333333333332</v>
      </c>
      <c r="AH106" s="38" t="s">
        <v>1316</v>
      </c>
      <c r="AI106" s="155" t="s">
        <v>368</v>
      </c>
      <c r="AJ106" s="37">
        <f>IFERROR(PA_8[[#This Row],[Breakdown Time]]*PA_8[[#This Row],[Plant Equivalent Weightage]],"")</f>
        <v>1.4132378633431003E-3</v>
      </c>
      <c r="AK106" s="275">
        <v>2</v>
      </c>
      <c r="AL106" s="157">
        <f>U106*PA_8[[#This Row],[Lost PoA(Wh/m2)]]*84.2%</f>
        <v>26.615620000000003</v>
      </c>
      <c r="AM106" s="157"/>
    </row>
    <row r="107" spans="1:39">
      <c r="A107" s="153">
        <v>98</v>
      </c>
      <c r="B107" s="154">
        <v>45849</v>
      </c>
      <c r="C107" s="187">
        <f>YEAR(PA_8[[#This Row],[Date]])+IF(MONTH(PA_8[[#This Row],[Date]])&gt;=4,1,0)</f>
        <v>2026</v>
      </c>
      <c r="D107" s="34">
        <f>YEAR(PA_8[[#This Row],[Date]])</f>
        <v>2025</v>
      </c>
      <c r="E107" s="155" t="s">
        <v>325</v>
      </c>
      <c r="F107" s="155" t="s">
        <v>325</v>
      </c>
      <c r="G107" s="175">
        <f>PA_8[[#This Row],[Date]]-DAY(PA_8[[#This Row],[Date]])+1</f>
        <v>45839</v>
      </c>
      <c r="H107" s="34">
        <f>DAY(EOMONTH(PA_8[[#This Row],[Month Year]],0))</f>
        <v>31</v>
      </c>
      <c r="I107" s="36">
        <f>IFERROR(_xlfn.XLOOKUP(PA_8[[#This Row],[Date]],Input_Raw!$A:$A,Input_Raw!F:F),"")</f>
        <v>0.25486111111111109</v>
      </c>
      <c r="J107" s="36">
        <f>IFERROR(_xlfn.XLOOKUP(PA_8[[#This Row],[Date]],Input_Raw!$A:$A,Input_Raw!G:G),"")</f>
        <v>0.78541666666666665</v>
      </c>
      <c r="K107" s="37">
        <f>IFERROR((PA_8[[#This Row],[Sunset Time (POA&lt;20 W/m2)]]-PA_8[[#This Row],[Sunrise Time (POA&gt;20 W/m2)]])*24,"")</f>
        <v>12.733333333333334</v>
      </c>
      <c r="L107" s="155" t="s">
        <v>349</v>
      </c>
      <c r="M107" s="35" t="s">
        <v>362</v>
      </c>
      <c r="N107" s="35" t="s">
        <v>351</v>
      </c>
      <c r="O107" s="38"/>
      <c r="P107" s="35"/>
      <c r="Q107" s="35"/>
      <c r="R107" s="34">
        <f>IF((PA_8[[#This Row],[String Type(If String BD)]]&amp;PA_8[[#This Row],[Equipment (If any BD other than PV  array and inv)]])="",1,0)</f>
        <v>1</v>
      </c>
      <c r="S107" s="34">
        <f>IF(PA_8[[#This Row],[String Type(If String BD)]]="",1,0)</f>
        <v>1</v>
      </c>
      <c r="T10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IS1Inv2M1</v>
      </c>
      <c r="U107" s="37">
        <f>IFERROR(_xlfn.XLOOKUP(PA_8[[#This Row],[Affected Equipment ]],'Basic Data'!$P:$P,'Basic Data'!$S:$S),"")</f>
        <v>1560.49</v>
      </c>
      <c r="V107" s="325">
        <f>IFERROR(_xlfn.XLOOKUP(PA_8[[#This Row],[Affected Equipment ]],'Basic Data'!$P:$P,'Basic Data'!$T:$T),"")</f>
        <v>1.2880112252899178E-2</v>
      </c>
      <c r="W107" s="344" t="s">
        <v>1293</v>
      </c>
      <c r="X107" s="156" t="s">
        <v>1308</v>
      </c>
      <c r="Y107" s="156" t="s">
        <v>1308</v>
      </c>
      <c r="Z107" s="273">
        <v>0.47847222222222224</v>
      </c>
      <c r="AA107" s="39"/>
      <c r="AB107" s="40">
        <v>0.4826388888888889</v>
      </c>
      <c r="AC107" s="39">
        <v>0.4861111111111111</v>
      </c>
      <c r="AD107" s="41">
        <f>IF(PA_8[[#This Row],[Acknowledgement Time ]]="NA","",(PA_8[[#This Row],[Acknowledgement Time ]]-PA_8[[#This Row],[Fault Time]])*24)</f>
        <v>-11.483333333333334</v>
      </c>
      <c r="AE107" s="41">
        <f>IF(PA_8[[#This Row],[Work Start time on Fault]]="NA","",(PA_8[[#This Row],[Work Start time on Fault]]-PA_8[[#This Row],[Fault Time]])*24)</f>
        <v>9.9999999999999645E-2</v>
      </c>
      <c r="AF107" s="42">
        <f>IF(PA_8[[#This Row],[Status]]="Open","",(PA_8[[#This Row],[Work Completion time on fault]]-PA_8[[#This Row],[Fault Time]])*24)</f>
        <v>0.18333333333333268</v>
      </c>
      <c r="AG107" s="41">
        <f>IFERROR((PA_8[[#This Row],[Work Completion time on fault]]-PA_8[[#This Row],[Fault Time]])*24,"")</f>
        <v>0.18333333333333268</v>
      </c>
      <c r="AH107" s="38" t="s">
        <v>1321</v>
      </c>
      <c r="AI107" s="155" t="s">
        <v>368</v>
      </c>
      <c r="AJ107" s="37">
        <f>IFERROR(PA_8[[#This Row],[Breakdown Time]]*PA_8[[#This Row],[Plant Equivalent Weightage]],"")</f>
        <v>2.3613539130315077E-3</v>
      </c>
      <c r="AK107" s="275">
        <v>0.23</v>
      </c>
      <c r="AL107" s="157">
        <f>U107*PA_8[[#This Row],[Lost PoA(Wh/m2)]]*84.2%</f>
        <v>302.20449340000005</v>
      </c>
      <c r="AM107" s="157"/>
    </row>
    <row r="108" spans="1:39">
      <c r="A108" s="153">
        <v>99</v>
      </c>
      <c r="B108" s="154">
        <v>45849</v>
      </c>
      <c r="C108" s="187">
        <f>YEAR(PA_8[[#This Row],[Date]])+IF(MONTH(PA_8[[#This Row],[Date]])&gt;=4,1,0)</f>
        <v>2026</v>
      </c>
      <c r="D108" s="34">
        <f>YEAR(PA_8[[#This Row],[Date]])</f>
        <v>2025</v>
      </c>
      <c r="E108" s="155" t="s">
        <v>325</v>
      </c>
      <c r="F108" s="155" t="s">
        <v>325</v>
      </c>
      <c r="G108" s="175">
        <f>PA_8[[#This Row],[Date]]-DAY(PA_8[[#This Row],[Date]])+1</f>
        <v>45839</v>
      </c>
      <c r="H108" s="34">
        <f>DAY(EOMONTH(PA_8[[#This Row],[Month Year]],0))</f>
        <v>31</v>
      </c>
      <c r="I108" s="36">
        <f>IFERROR(_xlfn.XLOOKUP(PA_8[[#This Row],[Date]],Input_Raw!$A:$A,Input_Raw!F:F),"")</f>
        <v>0.25486111111111109</v>
      </c>
      <c r="J108" s="36">
        <f>IFERROR(_xlfn.XLOOKUP(PA_8[[#This Row],[Date]],Input_Raw!$A:$A,Input_Raw!G:G),"")</f>
        <v>0.78541666666666665</v>
      </c>
      <c r="K108" s="37">
        <f>IFERROR((PA_8[[#This Row],[Sunset Time (POA&lt;20 W/m2)]]-PA_8[[#This Row],[Sunrise Time (POA&gt;20 W/m2)]])*24,"")</f>
        <v>12.733333333333334</v>
      </c>
      <c r="L108" s="155" t="s">
        <v>349</v>
      </c>
      <c r="M108" s="35" t="s">
        <v>362</v>
      </c>
      <c r="N108" s="35" t="s">
        <v>363</v>
      </c>
      <c r="O108" s="38"/>
      <c r="P108" s="35"/>
      <c r="Q108" s="35"/>
      <c r="R108" s="34">
        <f>IF((PA_8[[#This Row],[String Type(If String BD)]]&amp;PA_8[[#This Row],[Equipment (If any BD other than PV  array and inv)]])="",1,0)</f>
        <v>1</v>
      </c>
      <c r="S108" s="34">
        <f>IF(PA_8[[#This Row],[String Type(If String BD)]]="",1,0)</f>
        <v>1</v>
      </c>
      <c r="T10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IS1Inv2M2</v>
      </c>
      <c r="U108" s="37">
        <f>IFERROR(_xlfn.XLOOKUP(PA_8[[#This Row],[Affected Equipment ]],'Basic Data'!$P:$P,'Basic Data'!$S:$S),"")</f>
        <v>1582.53</v>
      </c>
      <c r="V108" s="325">
        <f>IFERROR(_xlfn.XLOOKUP(PA_8[[#This Row],[Affected Equipment ]],'Basic Data'!$P:$P,'Basic Data'!$T:$T),"")</f>
        <v>1.3062027980685897E-2</v>
      </c>
      <c r="W108" s="344" t="s">
        <v>1293</v>
      </c>
      <c r="X108" s="156" t="s">
        <v>1308</v>
      </c>
      <c r="Y108" s="156" t="s">
        <v>1308</v>
      </c>
      <c r="Z108" s="273">
        <v>0.47847222222222224</v>
      </c>
      <c r="AA108" s="39"/>
      <c r="AB108" s="40">
        <v>0.4826388888888889</v>
      </c>
      <c r="AC108" s="39">
        <v>0.49027777777777776</v>
      </c>
      <c r="AD108" s="41">
        <f>IF(PA_8[[#This Row],[Acknowledgement Time ]]="NA","",(PA_8[[#This Row],[Acknowledgement Time ]]-PA_8[[#This Row],[Fault Time]])*24)</f>
        <v>-11.483333333333334</v>
      </c>
      <c r="AE108" s="41">
        <f>IF(PA_8[[#This Row],[Work Start time on Fault]]="NA","",(PA_8[[#This Row],[Work Start time on Fault]]-PA_8[[#This Row],[Fault Time]])*24)</f>
        <v>9.9999999999999645E-2</v>
      </c>
      <c r="AF108" s="42">
        <f>IF(PA_8[[#This Row],[Status]]="Open","",(PA_8[[#This Row],[Work Completion time on fault]]-PA_8[[#This Row],[Fault Time]])*24)</f>
        <v>0.28333333333333233</v>
      </c>
      <c r="AG108" s="41">
        <f>IFERROR((PA_8[[#This Row],[Work Completion time on fault]]-PA_8[[#This Row],[Fault Time]])*24,"")</f>
        <v>0.28333333333333233</v>
      </c>
      <c r="AH108" s="38" t="s">
        <v>1322</v>
      </c>
      <c r="AI108" s="155" t="s">
        <v>368</v>
      </c>
      <c r="AJ108" s="37">
        <f>IFERROR(PA_8[[#This Row],[Breakdown Time]]*PA_8[[#This Row],[Plant Equivalent Weightage]],"")</f>
        <v>3.700907927860991E-3</v>
      </c>
      <c r="AK108" s="275">
        <v>0.32</v>
      </c>
      <c r="AL108" s="157">
        <f>U108*PA_8[[#This Row],[Lost PoA(Wh/m2)]]*84.2%</f>
        <v>426.39688320000005</v>
      </c>
      <c r="AM108" s="157"/>
    </row>
    <row r="109" spans="1:39">
      <c r="A109" s="153">
        <v>100</v>
      </c>
      <c r="B109" s="154">
        <v>45849</v>
      </c>
      <c r="C109" s="187">
        <f>YEAR(PA_8[[#This Row],[Date]])+IF(MONTH(PA_8[[#This Row],[Date]])&gt;=4,1,0)</f>
        <v>2026</v>
      </c>
      <c r="D109" s="34">
        <f>YEAR(PA_8[[#This Row],[Date]])</f>
        <v>2025</v>
      </c>
      <c r="E109" s="155" t="s">
        <v>325</v>
      </c>
      <c r="F109" s="155" t="s">
        <v>325</v>
      </c>
      <c r="G109" s="175">
        <f>PA_8[[#This Row],[Date]]-DAY(PA_8[[#This Row],[Date]])+1</f>
        <v>45839</v>
      </c>
      <c r="H109" s="34">
        <f>DAY(EOMONTH(PA_8[[#This Row],[Month Year]],0))</f>
        <v>31</v>
      </c>
      <c r="I109" s="36">
        <f>IFERROR(_xlfn.XLOOKUP(PA_8[[#This Row],[Date]],Input_Raw!$A:$A,Input_Raw!F:F),"")</f>
        <v>0.25486111111111109</v>
      </c>
      <c r="J109" s="36">
        <f>IFERROR(_xlfn.XLOOKUP(PA_8[[#This Row],[Date]],Input_Raw!$A:$A,Input_Raw!G:G),"")</f>
        <v>0.78541666666666665</v>
      </c>
      <c r="K109" s="37">
        <f>IFERROR((PA_8[[#This Row],[Sunset Time (POA&lt;20 W/m2)]]-PA_8[[#This Row],[Sunrise Time (POA&gt;20 W/m2)]])*24,"")</f>
        <v>12.733333333333334</v>
      </c>
      <c r="L109" s="155" t="s">
        <v>349</v>
      </c>
      <c r="M109" s="35" t="s">
        <v>362</v>
      </c>
      <c r="N109" s="35" t="s">
        <v>371</v>
      </c>
      <c r="O109" s="38"/>
      <c r="P109" s="35"/>
      <c r="Q109" s="35"/>
      <c r="R109" s="34">
        <f>IF((PA_8[[#This Row],[String Type(If String BD)]]&amp;PA_8[[#This Row],[Equipment (If any BD other than PV  array and inv)]])="",1,0)</f>
        <v>1</v>
      </c>
      <c r="S109" s="34">
        <f>IF(PA_8[[#This Row],[String Type(If String BD)]]="",1,0)</f>
        <v>1</v>
      </c>
      <c r="T10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IS1Inv2M3</v>
      </c>
      <c r="U109" s="37">
        <f>IFERROR(_xlfn.XLOOKUP(PA_8[[#This Row],[Affected Equipment ]],'Basic Data'!$P:$P,'Basic Data'!$S:$S),"")</f>
        <v>1473.4900000000002</v>
      </c>
      <c r="V109" s="325">
        <f>IFERROR(_xlfn.XLOOKUP(PA_8[[#This Row],[Affected Equipment ]],'Basic Data'!$P:$P,'Basic Data'!$T:$T),"")</f>
        <v>1.2162023853741077E-2</v>
      </c>
      <c r="W109" s="344" t="s">
        <v>1293</v>
      </c>
      <c r="X109" s="156" t="s">
        <v>1308</v>
      </c>
      <c r="Y109" s="156" t="s">
        <v>1308</v>
      </c>
      <c r="Z109" s="273">
        <v>0.47847222222222224</v>
      </c>
      <c r="AA109" s="39"/>
      <c r="AB109" s="40">
        <v>0.4826388888888889</v>
      </c>
      <c r="AC109" s="39">
        <v>0.4861111111111111</v>
      </c>
      <c r="AD109" s="41">
        <f>IF(PA_8[[#This Row],[Acknowledgement Time ]]="NA","",(PA_8[[#This Row],[Acknowledgement Time ]]-PA_8[[#This Row],[Fault Time]])*24)</f>
        <v>-11.483333333333334</v>
      </c>
      <c r="AE109" s="41">
        <f>IF(PA_8[[#This Row],[Work Start time on Fault]]="NA","",(PA_8[[#This Row],[Work Start time on Fault]]-PA_8[[#This Row],[Fault Time]])*24)</f>
        <v>9.9999999999999645E-2</v>
      </c>
      <c r="AF109" s="42">
        <f>IF(PA_8[[#This Row],[Status]]="Open","",(PA_8[[#This Row],[Work Completion time on fault]]-PA_8[[#This Row],[Fault Time]])*24)</f>
        <v>0.18333333333333268</v>
      </c>
      <c r="AG109" s="41">
        <f>IFERROR((PA_8[[#This Row],[Work Completion time on fault]]-PA_8[[#This Row],[Fault Time]])*24,"")</f>
        <v>0.18333333333333268</v>
      </c>
      <c r="AH109" s="38" t="s">
        <v>1321</v>
      </c>
      <c r="AI109" s="155" t="s">
        <v>368</v>
      </c>
      <c r="AJ109" s="37">
        <f>IFERROR(PA_8[[#This Row],[Breakdown Time]]*PA_8[[#This Row],[Plant Equivalent Weightage]],"")</f>
        <v>2.2297043731858562E-3</v>
      </c>
      <c r="AK109" s="275">
        <v>0.23</v>
      </c>
      <c r="AL109" s="157">
        <f>U109*PA_8[[#This Row],[Lost PoA(Wh/m2)]]*84.2%</f>
        <v>285.35607340000013</v>
      </c>
      <c r="AM109" s="157"/>
    </row>
    <row r="110" spans="1:39">
      <c r="A110" s="153">
        <v>101</v>
      </c>
      <c r="B110" s="154">
        <v>45849</v>
      </c>
      <c r="C110" s="187">
        <f>YEAR(PA_8[[#This Row],[Date]])+IF(MONTH(PA_8[[#This Row],[Date]])&gt;=4,1,0)</f>
        <v>2026</v>
      </c>
      <c r="D110" s="34">
        <f>YEAR(PA_8[[#This Row],[Date]])</f>
        <v>2025</v>
      </c>
      <c r="E110" s="155" t="s">
        <v>325</v>
      </c>
      <c r="F110" s="155" t="s">
        <v>325</v>
      </c>
      <c r="G110" s="175">
        <f>PA_8[[#This Row],[Date]]-DAY(PA_8[[#This Row],[Date]])+1</f>
        <v>45839</v>
      </c>
      <c r="H110" s="34">
        <f>DAY(EOMONTH(PA_8[[#This Row],[Month Year]],0))</f>
        <v>31</v>
      </c>
      <c r="I110" s="36">
        <f>IFERROR(_xlfn.XLOOKUP(PA_8[[#This Row],[Date]],Input_Raw!$A:$A,Input_Raw!F:F),"")</f>
        <v>0.25486111111111109</v>
      </c>
      <c r="J110" s="36">
        <f>IFERROR(_xlfn.XLOOKUP(PA_8[[#This Row],[Date]],Input_Raw!$A:$A,Input_Raw!G:G),"")</f>
        <v>0.78541666666666665</v>
      </c>
      <c r="K110" s="37">
        <f>IFERROR((PA_8[[#This Row],[Sunset Time (POA&lt;20 W/m2)]]-PA_8[[#This Row],[Sunrise Time (POA&gt;20 W/m2)]])*24,"")</f>
        <v>12.733333333333334</v>
      </c>
      <c r="L110" s="155" t="s">
        <v>349</v>
      </c>
      <c r="M110" s="35" t="s">
        <v>362</v>
      </c>
      <c r="N110" s="35" t="s">
        <v>378</v>
      </c>
      <c r="O110" s="38"/>
      <c r="P110" s="35"/>
      <c r="Q110" s="35"/>
      <c r="R110" s="34">
        <f>IF((PA_8[[#This Row],[String Type(If String BD)]]&amp;PA_8[[#This Row],[Equipment (If any BD other than PV  array and inv)]])="",1,0)</f>
        <v>1</v>
      </c>
      <c r="S110" s="34">
        <f>IF(PA_8[[#This Row],[String Type(If String BD)]]="",1,0)</f>
        <v>1</v>
      </c>
      <c r="T11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IS1Inv2M4</v>
      </c>
      <c r="U110" s="37">
        <f>IFERROR(_xlfn.XLOOKUP(PA_8[[#This Row],[Affected Equipment ]],'Basic Data'!$P:$P,'Basic Data'!$S:$S),"")</f>
        <v>1675.33</v>
      </c>
      <c r="V110" s="325">
        <f>IFERROR(_xlfn.XLOOKUP(PA_8[[#This Row],[Affected Equipment ]],'Basic Data'!$P:$P,'Basic Data'!$T:$T),"")</f>
        <v>1.3827988939787874E-2</v>
      </c>
      <c r="W110" s="344" t="s">
        <v>1293</v>
      </c>
      <c r="X110" s="156" t="s">
        <v>1308</v>
      </c>
      <c r="Y110" s="156" t="s">
        <v>1308</v>
      </c>
      <c r="Z110" s="273">
        <v>0.47847222222222224</v>
      </c>
      <c r="AA110" s="39"/>
      <c r="AB110" s="40">
        <v>0.4826388888888889</v>
      </c>
      <c r="AC110" s="39">
        <v>0.4861111111111111</v>
      </c>
      <c r="AD110" s="41">
        <f>IF(PA_8[[#This Row],[Acknowledgement Time ]]="NA","",(PA_8[[#This Row],[Acknowledgement Time ]]-PA_8[[#This Row],[Fault Time]])*24)</f>
        <v>-11.483333333333334</v>
      </c>
      <c r="AE110" s="41">
        <f>IF(PA_8[[#This Row],[Work Start time on Fault]]="NA","",(PA_8[[#This Row],[Work Start time on Fault]]-PA_8[[#This Row],[Fault Time]])*24)</f>
        <v>9.9999999999999645E-2</v>
      </c>
      <c r="AF110" s="42">
        <f>IF(PA_8[[#This Row],[Status]]="Open","",(PA_8[[#This Row],[Work Completion time on fault]]-PA_8[[#This Row],[Fault Time]])*24)</f>
        <v>0.18333333333333268</v>
      </c>
      <c r="AG110" s="41">
        <f>IFERROR((PA_8[[#This Row],[Work Completion time on fault]]-PA_8[[#This Row],[Fault Time]])*24,"")</f>
        <v>0.18333333333333268</v>
      </c>
      <c r="AH110" s="38" t="s">
        <v>1321</v>
      </c>
      <c r="AI110" s="155" t="s">
        <v>368</v>
      </c>
      <c r="AJ110" s="37">
        <f>IFERROR(PA_8[[#This Row],[Breakdown Time]]*PA_8[[#This Row],[Plant Equivalent Weightage]],"")</f>
        <v>2.5351313056277678E-3</v>
      </c>
      <c r="AK110" s="275">
        <v>0.23</v>
      </c>
      <c r="AL110" s="157">
        <f>U110*PA_8[[#This Row],[Lost PoA(Wh/m2)]]*84.2%</f>
        <v>324.44440780000002</v>
      </c>
      <c r="AM110" s="157"/>
    </row>
    <row r="111" spans="1:39">
      <c r="A111" s="153">
        <v>102</v>
      </c>
      <c r="B111" s="154">
        <v>45849</v>
      </c>
      <c r="C111" s="187">
        <f>YEAR(PA_8[[#This Row],[Date]])+IF(MONTH(PA_8[[#This Row],[Date]])&gt;=4,1,0)</f>
        <v>2026</v>
      </c>
      <c r="D111" s="34">
        <f>YEAR(PA_8[[#This Row],[Date]])</f>
        <v>2025</v>
      </c>
      <c r="E111" s="155" t="s">
        <v>325</v>
      </c>
      <c r="F111" s="155" t="s">
        <v>325</v>
      </c>
      <c r="G111" s="175">
        <f>PA_8[[#This Row],[Date]]-DAY(PA_8[[#This Row],[Date]])+1</f>
        <v>45839</v>
      </c>
      <c r="H111" s="34">
        <f>DAY(EOMONTH(PA_8[[#This Row],[Month Year]],0))</f>
        <v>31</v>
      </c>
      <c r="I111" s="36">
        <f>IFERROR(_xlfn.XLOOKUP(PA_8[[#This Row],[Date]],Input_Raw!$A:$A,Input_Raw!F:F),"")</f>
        <v>0.25486111111111109</v>
      </c>
      <c r="J111" s="36">
        <f>IFERROR(_xlfn.XLOOKUP(PA_8[[#This Row],[Date]],Input_Raw!$A:$A,Input_Raw!G:G),"")</f>
        <v>0.78541666666666665</v>
      </c>
      <c r="K111" s="37">
        <f>IFERROR((PA_8[[#This Row],[Sunset Time (POA&lt;20 W/m2)]]-PA_8[[#This Row],[Sunrise Time (POA&gt;20 W/m2)]])*24,"")</f>
        <v>12.733333333333334</v>
      </c>
      <c r="L111" s="155" t="s">
        <v>349</v>
      </c>
      <c r="M111" s="35" t="s">
        <v>362</v>
      </c>
      <c r="N111" s="35" t="s">
        <v>363</v>
      </c>
      <c r="O111" s="38" t="s">
        <v>364</v>
      </c>
      <c r="P111" s="35" t="s">
        <v>385</v>
      </c>
      <c r="Q111" s="35" t="s">
        <v>386</v>
      </c>
      <c r="R111" s="34">
        <f>IF((PA_8[[#This Row],[String Type(If String BD)]]&amp;PA_8[[#This Row],[Equipment (If any BD other than PV  array and inv)]])="",1,0)</f>
        <v>0</v>
      </c>
      <c r="S111" s="34">
        <f>IF(PA_8[[#This Row],[String Type(If String BD)]]="",1,0)</f>
        <v>0</v>
      </c>
      <c r="T111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>Str_Typ5(545*58)</v>
      </c>
      <c r="U111" s="37">
        <f>IFERROR(_xlfn.XLOOKUP(PA_8[[#This Row],[Affected Equipment ]],'Basic Data'!$P:$P,'Basic Data'!$S:$S),"")</f>
        <v>31.61</v>
      </c>
      <c r="V111" s="325">
        <f>IFERROR(_xlfn.XLOOKUP(PA_8[[#This Row],[Affected Equipment ]],'Basic Data'!$P:$P,'Basic Data'!$T:$T),"")</f>
        <v>2.6090545169411085E-4</v>
      </c>
      <c r="W111" s="341" t="s">
        <v>1105</v>
      </c>
      <c r="X111" s="156" t="s">
        <v>1318</v>
      </c>
      <c r="Y111" s="156" t="s">
        <v>1319</v>
      </c>
      <c r="Z111" s="273">
        <v>0.47847222222222224</v>
      </c>
      <c r="AA111" s="39"/>
      <c r="AB111" s="40">
        <v>0.4826388888888889</v>
      </c>
      <c r="AC111" s="39">
        <v>0.50347222222222221</v>
      </c>
      <c r="AD111" s="41">
        <f>IF(PA_8[[#This Row],[Acknowledgement Time ]]="NA","",(PA_8[[#This Row],[Acknowledgement Time ]]-PA_8[[#This Row],[Fault Time]])*24)</f>
        <v>-11.483333333333334</v>
      </c>
      <c r="AE111" s="41">
        <f>IF(PA_8[[#This Row],[Work Start time on Fault]]="NA","",(PA_8[[#This Row],[Work Start time on Fault]]-PA_8[[#This Row],[Fault Time]])*24)</f>
        <v>9.9999999999999645E-2</v>
      </c>
      <c r="AF111" s="42">
        <f>IF(PA_8[[#This Row],[Status]]="Open","",(PA_8[[#This Row],[Work Completion time on fault]]-PA_8[[#This Row],[Fault Time]])*24)</f>
        <v>0.5999999999999992</v>
      </c>
      <c r="AG111" s="41">
        <f>IFERROR((PA_8[[#This Row],[Work Completion time on fault]]-PA_8[[#This Row],[Fault Time]])*24,"")</f>
        <v>0.5999999999999992</v>
      </c>
      <c r="AH111" s="38" t="s">
        <v>1320</v>
      </c>
      <c r="AI111" s="155" t="s">
        <v>368</v>
      </c>
      <c r="AJ111" s="37">
        <f>IFERROR(PA_8[[#This Row],[Breakdown Time]]*PA_8[[#This Row],[Plant Equivalent Weightage]],"")</f>
        <v>1.565432710164663E-4</v>
      </c>
      <c r="AK111" s="275">
        <v>0.63</v>
      </c>
      <c r="AL111" s="157">
        <f>U111*PA_8[[#This Row],[Lost PoA(Wh/m2)]]*84.2%</f>
        <v>16.767840600000003</v>
      </c>
      <c r="AM111" s="157"/>
    </row>
    <row r="112" spans="1:39">
      <c r="A112" s="153">
        <v>103</v>
      </c>
      <c r="B112" s="154"/>
      <c r="C112" s="187">
        <f>YEAR(PA_8[[#This Row],[Date]])+IF(MONTH(PA_8[[#This Row],[Date]])&gt;=4,1,0)</f>
        <v>1900</v>
      </c>
      <c r="D112" s="34">
        <f>YEAR(PA_8[[#This Row],[Date]])</f>
        <v>1900</v>
      </c>
      <c r="E112" s="155"/>
      <c r="F112" s="155"/>
      <c r="G112" s="175">
        <f>PA_8[[#This Row],[Date]]-DAY(PA_8[[#This Row],[Date]])+1</f>
        <v>1</v>
      </c>
      <c r="H112" s="34">
        <f>DAY(EOMONTH(PA_8[[#This Row],[Month Year]],0))</f>
        <v>31</v>
      </c>
      <c r="I112" s="36">
        <f>IFERROR(_xlfn.XLOOKUP(PA_8[[#This Row],[Date]],Input_Raw!$A:$A,Input_Raw!F:F),"")</f>
        <v>0</v>
      </c>
      <c r="J112" s="36">
        <f>IFERROR(_xlfn.XLOOKUP(PA_8[[#This Row],[Date]],Input_Raw!$A:$A,Input_Raw!G:G),"")</f>
        <v>0</v>
      </c>
      <c r="K112" s="37">
        <f>IFERROR((PA_8[[#This Row],[Sunset Time (POA&lt;20 W/m2)]]-PA_8[[#This Row],[Sunrise Time (POA&gt;20 W/m2)]])*24,"")</f>
        <v>0</v>
      </c>
      <c r="L112" s="155"/>
      <c r="M112" s="35"/>
      <c r="N112" s="35"/>
      <c r="O112" s="38"/>
      <c r="P112" s="35"/>
      <c r="Q112" s="35"/>
      <c r="R112" s="34">
        <f>IF((PA_8[[#This Row],[String Type(If String BD)]]&amp;PA_8[[#This Row],[Equipment (If any BD other than PV  array and inv)]])="",1,0)</f>
        <v>1</v>
      </c>
      <c r="S112" s="34">
        <f>IF(PA_8[[#This Row],[String Type(If String BD)]]="",1,0)</f>
        <v>1</v>
      </c>
      <c r="T112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2" s="37" t="str">
        <f>IFERROR(_xlfn.XLOOKUP(PA_8[[#This Row],[Affected Equipment ]],'Basic Data'!$P:$P,'Basic Data'!$S:$S),"")</f>
        <v/>
      </c>
      <c r="V112" s="325" t="str">
        <f>IFERROR(_xlfn.XLOOKUP(PA_8[[#This Row],[Affected Equipment ]],'Basic Data'!$P:$P,'Basic Data'!$T:$T),"")</f>
        <v/>
      </c>
      <c r="W112" s="341"/>
      <c r="X112" s="156"/>
      <c r="Y112" s="156"/>
      <c r="Z112" s="273"/>
      <c r="AA112" s="39"/>
      <c r="AB112" s="40"/>
      <c r="AC112" s="39"/>
      <c r="AD112" s="41">
        <f>IF(PA_8[[#This Row],[Acknowledgement Time ]]="NA","",(PA_8[[#This Row],[Acknowledgement Time ]]-PA_8[[#This Row],[Fault Time]])*24)</f>
        <v>0</v>
      </c>
      <c r="AE112" s="41">
        <f>IF(PA_8[[#This Row],[Work Start time on Fault]]="NA","",(PA_8[[#This Row],[Work Start time on Fault]]-PA_8[[#This Row],[Fault Time]])*24)</f>
        <v>0</v>
      </c>
      <c r="AF112" s="42">
        <f>IF(PA_8[[#This Row],[Status]]="Open","",(PA_8[[#This Row],[Work Completion time on fault]]-PA_8[[#This Row],[Fault Time]])*24)</f>
        <v>0</v>
      </c>
      <c r="AG112" s="41">
        <f>IFERROR((PA_8[[#This Row],[Work Completion time on fault]]-PA_8[[#This Row],[Fault Time]])*24,"")</f>
        <v>0</v>
      </c>
      <c r="AH112" s="38"/>
      <c r="AI112" s="155"/>
      <c r="AJ112" s="37" t="str">
        <f>IFERROR(PA_8[[#This Row],[Breakdown Time]]*PA_8[[#This Row],[Plant Equivalent Weightage]],"")</f>
        <v/>
      </c>
      <c r="AK112" s="275"/>
      <c r="AL112" s="157" t="e">
        <f>U112*PA_8[[#This Row],[Lost PoA(Wh/m2)]]*84.2%</f>
        <v>#VALUE!</v>
      </c>
      <c r="AM112" s="157"/>
    </row>
    <row r="113" spans="1:39">
      <c r="A113" s="153">
        <v>104</v>
      </c>
      <c r="B113" s="154"/>
      <c r="C113" s="187">
        <f>YEAR(PA_8[[#This Row],[Date]])+IF(MONTH(PA_8[[#This Row],[Date]])&gt;=4,1,0)</f>
        <v>1900</v>
      </c>
      <c r="D113" s="34">
        <f>YEAR(PA_8[[#This Row],[Date]])</f>
        <v>1900</v>
      </c>
      <c r="E113" s="155"/>
      <c r="F113" s="155"/>
      <c r="G113" s="175">
        <f>PA_8[[#This Row],[Date]]-DAY(PA_8[[#This Row],[Date]])+1</f>
        <v>1</v>
      </c>
      <c r="H113" s="34">
        <f>DAY(EOMONTH(PA_8[[#This Row],[Month Year]],0))</f>
        <v>31</v>
      </c>
      <c r="I113" s="36">
        <f>IFERROR(_xlfn.XLOOKUP(PA_8[[#This Row],[Date]],Input_Raw!$A:$A,Input_Raw!F:F),"")</f>
        <v>0</v>
      </c>
      <c r="J113" s="36">
        <f>IFERROR(_xlfn.XLOOKUP(PA_8[[#This Row],[Date]],Input_Raw!$A:$A,Input_Raw!G:G),"")</f>
        <v>0</v>
      </c>
      <c r="K113" s="37">
        <f>IFERROR((PA_8[[#This Row],[Sunset Time (POA&lt;20 W/m2)]]-PA_8[[#This Row],[Sunrise Time (POA&gt;20 W/m2)]])*24,"")</f>
        <v>0</v>
      </c>
      <c r="L113" s="155"/>
      <c r="M113" s="35"/>
      <c r="N113" s="35"/>
      <c r="O113" s="38"/>
      <c r="P113" s="35"/>
      <c r="Q113" s="35"/>
      <c r="R113" s="34">
        <f>IF((PA_8[[#This Row],[String Type(If String BD)]]&amp;PA_8[[#This Row],[Equipment (If any BD other than PV  array and inv)]])="",1,0)</f>
        <v>1</v>
      </c>
      <c r="S113" s="34">
        <f>IF(PA_8[[#This Row],[String Type(If String BD)]]="",1,0)</f>
        <v>1</v>
      </c>
      <c r="T113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3" s="37" t="str">
        <f>IFERROR(_xlfn.XLOOKUP(PA_8[[#This Row],[Affected Equipment ]],'Basic Data'!$P:$P,'Basic Data'!$S:$S),"")</f>
        <v/>
      </c>
      <c r="V113" s="325" t="str">
        <f>IFERROR(_xlfn.XLOOKUP(PA_8[[#This Row],[Affected Equipment ]],'Basic Data'!$P:$P,'Basic Data'!$T:$T),"")</f>
        <v/>
      </c>
      <c r="W113" s="341"/>
      <c r="X113" s="156"/>
      <c r="Y113" s="156"/>
      <c r="Z113" s="273"/>
      <c r="AA113" s="39"/>
      <c r="AB113" s="40"/>
      <c r="AC113" s="39"/>
      <c r="AD113" s="41">
        <f>IF(PA_8[[#This Row],[Acknowledgement Time ]]="NA","",(PA_8[[#This Row],[Acknowledgement Time ]]-PA_8[[#This Row],[Fault Time]])*24)</f>
        <v>0</v>
      </c>
      <c r="AE113" s="41">
        <f>IF(PA_8[[#This Row],[Work Start time on Fault]]="NA","",(PA_8[[#This Row],[Work Start time on Fault]]-PA_8[[#This Row],[Fault Time]])*24)</f>
        <v>0</v>
      </c>
      <c r="AF113" s="42">
        <f>IF(PA_8[[#This Row],[Status]]="Open","",(PA_8[[#This Row],[Work Completion time on fault]]-PA_8[[#This Row],[Fault Time]])*24)</f>
        <v>0</v>
      </c>
      <c r="AG113" s="41">
        <f>IFERROR((PA_8[[#This Row],[Work Completion time on fault]]-PA_8[[#This Row],[Fault Time]])*24,"")</f>
        <v>0</v>
      </c>
      <c r="AH113" s="38"/>
      <c r="AI113" s="155"/>
      <c r="AJ113" s="37" t="str">
        <f>IFERROR(PA_8[[#This Row],[Breakdown Time]]*PA_8[[#This Row],[Plant Equivalent Weightage]],"")</f>
        <v/>
      </c>
      <c r="AK113" s="275"/>
      <c r="AL113" s="157" t="e">
        <f>U113*PA_8[[#This Row],[Lost PoA(Wh/m2)]]*84.2%</f>
        <v>#VALUE!</v>
      </c>
      <c r="AM113" s="157"/>
    </row>
    <row r="114" spans="1:39">
      <c r="A114" s="153">
        <v>105</v>
      </c>
      <c r="B114" s="154"/>
      <c r="C114" s="187">
        <f>YEAR(PA_8[[#This Row],[Date]])+IF(MONTH(PA_8[[#This Row],[Date]])&gt;=4,1,0)</f>
        <v>1900</v>
      </c>
      <c r="D114" s="34">
        <f>YEAR(PA_8[[#This Row],[Date]])</f>
        <v>1900</v>
      </c>
      <c r="E114" s="155"/>
      <c r="F114" s="155"/>
      <c r="G114" s="175">
        <f>PA_8[[#This Row],[Date]]-DAY(PA_8[[#This Row],[Date]])+1</f>
        <v>1</v>
      </c>
      <c r="H114" s="34">
        <f>DAY(EOMONTH(PA_8[[#This Row],[Month Year]],0))</f>
        <v>31</v>
      </c>
      <c r="I114" s="36">
        <f>IFERROR(_xlfn.XLOOKUP(PA_8[[#This Row],[Date]],Input_Raw!$A:$A,Input_Raw!F:F),"")</f>
        <v>0</v>
      </c>
      <c r="J114" s="36">
        <f>IFERROR(_xlfn.XLOOKUP(PA_8[[#This Row],[Date]],Input_Raw!$A:$A,Input_Raw!G:G),"")</f>
        <v>0</v>
      </c>
      <c r="K114" s="37">
        <f>IFERROR((PA_8[[#This Row],[Sunset Time (POA&lt;20 W/m2)]]-PA_8[[#This Row],[Sunrise Time (POA&gt;20 W/m2)]])*24,"")</f>
        <v>0</v>
      </c>
      <c r="L114" s="155"/>
      <c r="M114" s="35"/>
      <c r="N114" s="35"/>
      <c r="O114" s="38"/>
      <c r="P114" s="35"/>
      <c r="Q114" s="35"/>
      <c r="R114" s="34">
        <f>IF((PA_8[[#This Row],[String Type(If String BD)]]&amp;PA_8[[#This Row],[Equipment (If any BD other than PV  array and inv)]])="",1,0)</f>
        <v>1</v>
      </c>
      <c r="S114" s="34">
        <f>IF(PA_8[[#This Row],[String Type(If String BD)]]="",1,0)</f>
        <v>1</v>
      </c>
      <c r="T114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4" s="37" t="str">
        <f>IFERROR(_xlfn.XLOOKUP(PA_8[[#This Row],[Affected Equipment ]],'Basic Data'!$P:$P,'Basic Data'!$S:$S),"")</f>
        <v/>
      </c>
      <c r="V114" s="325" t="str">
        <f>IFERROR(_xlfn.XLOOKUP(PA_8[[#This Row],[Affected Equipment ]],'Basic Data'!$P:$P,'Basic Data'!$T:$T),"")</f>
        <v/>
      </c>
      <c r="W114" s="341"/>
      <c r="X114" s="156"/>
      <c r="Y114" s="156"/>
      <c r="Z114" s="273"/>
      <c r="AA114" s="39"/>
      <c r="AB114" s="40"/>
      <c r="AC114" s="39"/>
      <c r="AD114" s="41">
        <f>IF(PA_8[[#This Row],[Acknowledgement Time ]]="NA","",(PA_8[[#This Row],[Acknowledgement Time ]]-PA_8[[#This Row],[Fault Time]])*24)</f>
        <v>0</v>
      </c>
      <c r="AE114" s="41">
        <f>IF(PA_8[[#This Row],[Work Start time on Fault]]="NA","",(PA_8[[#This Row],[Work Start time on Fault]]-PA_8[[#This Row],[Fault Time]])*24)</f>
        <v>0</v>
      </c>
      <c r="AF114" s="42">
        <f>IF(PA_8[[#This Row],[Status]]="Open","",(PA_8[[#This Row],[Work Completion time on fault]]-PA_8[[#This Row],[Fault Time]])*24)</f>
        <v>0</v>
      </c>
      <c r="AG114" s="41">
        <f>IFERROR((PA_8[[#This Row],[Work Completion time on fault]]-PA_8[[#This Row],[Fault Time]])*24,"")</f>
        <v>0</v>
      </c>
      <c r="AH114" s="38"/>
      <c r="AI114" s="155"/>
      <c r="AJ114" s="37" t="str">
        <f>IFERROR(PA_8[[#This Row],[Breakdown Time]]*PA_8[[#This Row],[Plant Equivalent Weightage]],"")</f>
        <v/>
      </c>
      <c r="AK114" s="275"/>
      <c r="AL114" s="157" t="e">
        <f>U114*PA_8[[#This Row],[Lost PoA(Wh/m2)]]*84.2%</f>
        <v>#VALUE!</v>
      </c>
      <c r="AM114" s="157"/>
    </row>
    <row r="115" spans="1:39">
      <c r="A115" s="153">
        <v>106</v>
      </c>
      <c r="B115" s="154"/>
      <c r="C115" s="187">
        <f>YEAR(PA_8[[#This Row],[Date]])+IF(MONTH(PA_8[[#This Row],[Date]])&gt;=4,1,0)</f>
        <v>1900</v>
      </c>
      <c r="D115" s="34">
        <f>YEAR(PA_8[[#This Row],[Date]])</f>
        <v>1900</v>
      </c>
      <c r="E115" s="155"/>
      <c r="F115" s="155"/>
      <c r="G115" s="175">
        <f>PA_8[[#This Row],[Date]]-DAY(PA_8[[#This Row],[Date]])+1</f>
        <v>1</v>
      </c>
      <c r="H115" s="34">
        <f>DAY(EOMONTH(PA_8[[#This Row],[Month Year]],0))</f>
        <v>31</v>
      </c>
      <c r="I115" s="36">
        <f>IFERROR(_xlfn.XLOOKUP(PA_8[[#This Row],[Date]],Input_Raw!$A:$A,Input_Raw!F:F),"")</f>
        <v>0</v>
      </c>
      <c r="J115" s="36">
        <f>IFERROR(_xlfn.XLOOKUP(PA_8[[#This Row],[Date]],Input_Raw!$A:$A,Input_Raw!G:G),"")</f>
        <v>0</v>
      </c>
      <c r="K115" s="37">
        <f>IFERROR((PA_8[[#This Row],[Sunset Time (POA&lt;20 W/m2)]]-PA_8[[#This Row],[Sunrise Time (POA&gt;20 W/m2)]])*24,"")</f>
        <v>0</v>
      </c>
      <c r="L115" s="155"/>
      <c r="M115" s="35"/>
      <c r="N115" s="35"/>
      <c r="O115" s="38"/>
      <c r="P115" s="35"/>
      <c r="Q115" s="35"/>
      <c r="R115" s="34">
        <f>IF((PA_8[[#This Row],[String Type(If String BD)]]&amp;PA_8[[#This Row],[Equipment (If any BD other than PV  array and inv)]])="",1,0)</f>
        <v>1</v>
      </c>
      <c r="S115" s="34">
        <f>IF(PA_8[[#This Row],[String Type(If String BD)]]="",1,0)</f>
        <v>1</v>
      </c>
      <c r="T115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5" s="37" t="str">
        <f>IFERROR(_xlfn.XLOOKUP(PA_8[[#This Row],[Affected Equipment ]],'Basic Data'!$P:$P,'Basic Data'!$S:$S),"")</f>
        <v/>
      </c>
      <c r="V115" s="325" t="str">
        <f>IFERROR(_xlfn.XLOOKUP(PA_8[[#This Row],[Affected Equipment ]],'Basic Data'!$P:$P,'Basic Data'!$T:$T),"")</f>
        <v/>
      </c>
      <c r="W115" s="341"/>
      <c r="X115" s="156"/>
      <c r="Y115" s="156"/>
      <c r="Z115" s="273"/>
      <c r="AA115" s="39"/>
      <c r="AB115" s="40"/>
      <c r="AC115" s="39"/>
      <c r="AD115" s="41">
        <f>IF(PA_8[[#This Row],[Acknowledgement Time ]]="NA","",(PA_8[[#This Row],[Acknowledgement Time ]]-PA_8[[#This Row],[Fault Time]])*24)</f>
        <v>0</v>
      </c>
      <c r="AE115" s="41">
        <f>IF(PA_8[[#This Row],[Work Start time on Fault]]="NA","",(PA_8[[#This Row],[Work Start time on Fault]]-PA_8[[#This Row],[Fault Time]])*24)</f>
        <v>0</v>
      </c>
      <c r="AF115" s="42">
        <f>IF(PA_8[[#This Row],[Status]]="Open","",(PA_8[[#This Row],[Work Completion time on fault]]-PA_8[[#This Row],[Fault Time]])*24)</f>
        <v>0</v>
      </c>
      <c r="AG115" s="41">
        <f>IFERROR((PA_8[[#This Row],[Work Completion time on fault]]-PA_8[[#This Row],[Fault Time]])*24,"")</f>
        <v>0</v>
      </c>
      <c r="AH115" s="38"/>
      <c r="AI115" s="155"/>
      <c r="AJ115" s="37" t="str">
        <f>IFERROR(PA_8[[#This Row],[Breakdown Time]]*PA_8[[#This Row],[Plant Equivalent Weightage]],"")</f>
        <v/>
      </c>
      <c r="AK115" s="275"/>
      <c r="AL115" s="157" t="e">
        <f>U115*PA_8[[#This Row],[Lost PoA(Wh/m2)]]*84.2%</f>
        <v>#VALUE!</v>
      </c>
      <c r="AM115" s="157"/>
    </row>
    <row r="116" spans="1:39">
      <c r="A116" s="153">
        <v>107</v>
      </c>
      <c r="B116" s="154"/>
      <c r="C116" s="187">
        <f>YEAR(PA_8[[#This Row],[Date]])+IF(MONTH(PA_8[[#This Row],[Date]])&gt;=4,1,0)</f>
        <v>1900</v>
      </c>
      <c r="D116" s="34">
        <f>YEAR(PA_8[[#This Row],[Date]])</f>
        <v>1900</v>
      </c>
      <c r="E116" s="155"/>
      <c r="F116" s="155"/>
      <c r="G116" s="175">
        <f>PA_8[[#This Row],[Date]]-DAY(PA_8[[#This Row],[Date]])+1</f>
        <v>1</v>
      </c>
      <c r="H116" s="34">
        <f>DAY(EOMONTH(PA_8[[#This Row],[Month Year]],0))</f>
        <v>31</v>
      </c>
      <c r="I116" s="36">
        <f>IFERROR(_xlfn.XLOOKUP(PA_8[[#This Row],[Date]],Input_Raw!$A:$A,Input_Raw!F:F),"")</f>
        <v>0</v>
      </c>
      <c r="J116" s="36">
        <f>IFERROR(_xlfn.XLOOKUP(PA_8[[#This Row],[Date]],Input_Raw!$A:$A,Input_Raw!G:G),"")</f>
        <v>0</v>
      </c>
      <c r="K116" s="37">
        <f>IFERROR((PA_8[[#This Row],[Sunset Time (POA&lt;20 W/m2)]]-PA_8[[#This Row],[Sunrise Time (POA&gt;20 W/m2)]])*24,"")</f>
        <v>0</v>
      </c>
      <c r="L116" s="155"/>
      <c r="M116" s="35"/>
      <c r="N116" s="35"/>
      <c r="O116" s="38"/>
      <c r="P116" s="35"/>
      <c r="Q116" s="35"/>
      <c r="R116" s="34">
        <f>IF((PA_8[[#This Row],[String Type(If String BD)]]&amp;PA_8[[#This Row],[Equipment (If any BD other than PV  array and inv)]])="",1,0)</f>
        <v>1</v>
      </c>
      <c r="S116" s="34">
        <f>IF(PA_8[[#This Row],[String Type(If String BD)]]="",1,0)</f>
        <v>1</v>
      </c>
      <c r="T116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6" s="37" t="str">
        <f>IFERROR(_xlfn.XLOOKUP(PA_8[[#This Row],[Affected Equipment ]],'Basic Data'!$P:$P,'Basic Data'!$S:$S),"")</f>
        <v/>
      </c>
      <c r="V116" s="325" t="str">
        <f>IFERROR(_xlfn.XLOOKUP(PA_8[[#This Row],[Affected Equipment ]],'Basic Data'!$P:$P,'Basic Data'!$T:$T),"")</f>
        <v/>
      </c>
      <c r="W116" s="341"/>
      <c r="X116" s="156"/>
      <c r="Y116" s="156"/>
      <c r="Z116" s="273"/>
      <c r="AA116" s="39"/>
      <c r="AB116" s="40"/>
      <c r="AC116" s="39"/>
      <c r="AD116" s="41">
        <f>IF(PA_8[[#This Row],[Acknowledgement Time ]]="NA","",(PA_8[[#This Row],[Acknowledgement Time ]]-PA_8[[#This Row],[Fault Time]])*24)</f>
        <v>0</v>
      </c>
      <c r="AE116" s="41">
        <f>IF(PA_8[[#This Row],[Work Start time on Fault]]="NA","",(PA_8[[#This Row],[Work Start time on Fault]]-PA_8[[#This Row],[Fault Time]])*24)</f>
        <v>0</v>
      </c>
      <c r="AF116" s="42">
        <f>IF(PA_8[[#This Row],[Status]]="Open","",(PA_8[[#This Row],[Work Completion time on fault]]-PA_8[[#This Row],[Fault Time]])*24)</f>
        <v>0</v>
      </c>
      <c r="AG116" s="41">
        <f>IFERROR((PA_8[[#This Row],[Work Completion time on fault]]-PA_8[[#This Row],[Fault Time]])*24,"")</f>
        <v>0</v>
      </c>
      <c r="AH116" s="38"/>
      <c r="AI116" s="155"/>
      <c r="AJ116" s="37" t="str">
        <f>IFERROR(PA_8[[#This Row],[Breakdown Time]]*PA_8[[#This Row],[Plant Equivalent Weightage]],"")</f>
        <v/>
      </c>
      <c r="AK116" s="275"/>
      <c r="AL116" s="157" t="e">
        <f>U116*PA_8[[#This Row],[Lost PoA(Wh/m2)]]*84.2%</f>
        <v>#VALUE!</v>
      </c>
      <c r="AM116" s="157"/>
    </row>
    <row r="117" spans="1:39">
      <c r="A117" s="153">
        <v>108</v>
      </c>
      <c r="B117" s="154"/>
      <c r="C117" s="187">
        <f>YEAR(PA_8[[#This Row],[Date]])+IF(MONTH(PA_8[[#This Row],[Date]])&gt;=4,1,0)</f>
        <v>1900</v>
      </c>
      <c r="D117" s="34">
        <f>YEAR(PA_8[[#This Row],[Date]])</f>
        <v>1900</v>
      </c>
      <c r="E117" s="155"/>
      <c r="F117" s="155"/>
      <c r="G117" s="175">
        <f>PA_8[[#This Row],[Date]]-DAY(PA_8[[#This Row],[Date]])+1</f>
        <v>1</v>
      </c>
      <c r="H117" s="34">
        <f>DAY(EOMONTH(PA_8[[#This Row],[Month Year]],0))</f>
        <v>31</v>
      </c>
      <c r="I117" s="36">
        <f>IFERROR(_xlfn.XLOOKUP(PA_8[[#This Row],[Date]],Input_Raw!$A:$A,Input_Raw!F:F),"")</f>
        <v>0</v>
      </c>
      <c r="J117" s="36">
        <f>IFERROR(_xlfn.XLOOKUP(PA_8[[#This Row],[Date]],Input_Raw!$A:$A,Input_Raw!G:G),"")</f>
        <v>0</v>
      </c>
      <c r="K117" s="37">
        <f>IFERROR((PA_8[[#This Row],[Sunset Time (POA&lt;20 W/m2)]]-PA_8[[#This Row],[Sunrise Time (POA&gt;20 W/m2)]])*24,"")</f>
        <v>0</v>
      </c>
      <c r="L117" s="155"/>
      <c r="M117" s="35"/>
      <c r="N117" s="35"/>
      <c r="O117" s="38"/>
      <c r="P117" s="35"/>
      <c r="Q117" s="35"/>
      <c r="R117" s="34">
        <f>IF((PA_8[[#This Row],[String Type(If String BD)]]&amp;PA_8[[#This Row],[Equipment (If any BD other than PV  array and inv)]])="",1,0)</f>
        <v>1</v>
      </c>
      <c r="S117" s="34">
        <f>IF(PA_8[[#This Row],[String Type(If String BD)]]="",1,0)</f>
        <v>1</v>
      </c>
      <c r="T117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7" s="37" t="str">
        <f>IFERROR(_xlfn.XLOOKUP(PA_8[[#This Row],[Affected Equipment ]],'Basic Data'!$P:$P,'Basic Data'!$S:$S),"")</f>
        <v/>
      </c>
      <c r="V117" s="325" t="str">
        <f>IFERROR(_xlfn.XLOOKUP(PA_8[[#This Row],[Affected Equipment ]],'Basic Data'!$P:$P,'Basic Data'!$T:$T),"")</f>
        <v/>
      </c>
      <c r="W117" s="341"/>
      <c r="X117" s="156"/>
      <c r="Y117" s="156"/>
      <c r="Z117" s="273"/>
      <c r="AA117" s="39"/>
      <c r="AB117" s="40"/>
      <c r="AC117" s="39"/>
      <c r="AD117" s="41">
        <f>IF(PA_8[[#This Row],[Acknowledgement Time ]]="NA","",(PA_8[[#This Row],[Acknowledgement Time ]]-PA_8[[#This Row],[Fault Time]])*24)</f>
        <v>0</v>
      </c>
      <c r="AE117" s="41">
        <f>IF(PA_8[[#This Row],[Work Start time on Fault]]="NA","",(PA_8[[#This Row],[Work Start time on Fault]]-PA_8[[#This Row],[Fault Time]])*24)</f>
        <v>0</v>
      </c>
      <c r="AF117" s="42">
        <f>IF(PA_8[[#This Row],[Status]]="Open","",(PA_8[[#This Row],[Work Completion time on fault]]-PA_8[[#This Row],[Fault Time]])*24)</f>
        <v>0</v>
      </c>
      <c r="AG117" s="41">
        <f>IFERROR((PA_8[[#This Row],[Work Completion time on fault]]-PA_8[[#This Row],[Fault Time]])*24,"")</f>
        <v>0</v>
      </c>
      <c r="AH117" s="38"/>
      <c r="AI117" s="155"/>
      <c r="AJ117" s="37" t="str">
        <f>IFERROR(PA_8[[#This Row],[Breakdown Time]]*PA_8[[#This Row],[Plant Equivalent Weightage]],"")</f>
        <v/>
      </c>
      <c r="AK117" s="275"/>
      <c r="AL117" s="157" t="e">
        <f>U117*PA_8[[#This Row],[Lost PoA(Wh/m2)]]*84.2%</f>
        <v>#VALUE!</v>
      </c>
      <c r="AM117" s="157"/>
    </row>
    <row r="118" spans="1:39">
      <c r="A118" s="153">
        <v>109</v>
      </c>
      <c r="B118" s="154"/>
      <c r="C118" s="187">
        <f>YEAR(PA_8[[#This Row],[Date]])+IF(MONTH(PA_8[[#This Row],[Date]])&gt;=4,1,0)</f>
        <v>1900</v>
      </c>
      <c r="D118" s="34">
        <f>YEAR(PA_8[[#This Row],[Date]])</f>
        <v>1900</v>
      </c>
      <c r="E118" s="155"/>
      <c r="F118" s="155"/>
      <c r="G118" s="175">
        <f>PA_8[[#This Row],[Date]]-DAY(PA_8[[#This Row],[Date]])+1</f>
        <v>1</v>
      </c>
      <c r="H118" s="34">
        <f>DAY(EOMONTH(PA_8[[#This Row],[Month Year]],0))</f>
        <v>31</v>
      </c>
      <c r="I118" s="36">
        <f>IFERROR(_xlfn.XLOOKUP(PA_8[[#This Row],[Date]],Input_Raw!$A:$A,Input_Raw!F:F),"")</f>
        <v>0</v>
      </c>
      <c r="J118" s="36">
        <f>IFERROR(_xlfn.XLOOKUP(PA_8[[#This Row],[Date]],Input_Raw!$A:$A,Input_Raw!G:G),"")</f>
        <v>0</v>
      </c>
      <c r="K118" s="37">
        <f>IFERROR((PA_8[[#This Row],[Sunset Time (POA&lt;20 W/m2)]]-PA_8[[#This Row],[Sunrise Time (POA&gt;20 W/m2)]])*24,"")</f>
        <v>0</v>
      </c>
      <c r="L118" s="155"/>
      <c r="M118" s="35"/>
      <c r="N118" s="35"/>
      <c r="O118" s="38"/>
      <c r="P118" s="35"/>
      <c r="Q118" s="35"/>
      <c r="R118" s="34">
        <f>IF((PA_8[[#This Row],[String Type(If String BD)]]&amp;PA_8[[#This Row],[Equipment (If any BD other than PV  array and inv)]])="",1,0)</f>
        <v>1</v>
      </c>
      <c r="S118" s="34">
        <f>IF(PA_8[[#This Row],[String Type(If String BD)]]="",1,0)</f>
        <v>1</v>
      </c>
      <c r="T118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8" s="37" t="str">
        <f>IFERROR(_xlfn.XLOOKUP(PA_8[[#This Row],[Affected Equipment ]],'Basic Data'!$P:$P,'Basic Data'!$S:$S),"")</f>
        <v/>
      </c>
      <c r="V118" s="325" t="str">
        <f>IFERROR(_xlfn.XLOOKUP(PA_8[[#This Row],[Affected Equipment ]],'Basic Data'!$P:$P,'Basic Data'!$T:$T),"")</f>
        <v/>
      </c>
      <c r="W118" s="341"/>
      <c r="X118" s="156"/>
      <c r="Y118" s="156"/>
      <c r="Z118" s="273"/>
      <c r="AA118" s="39"/>
      <c r="AB118" s="40"/>
      <c r="AC118" s="39"/>
      <c r="AD118" s="41">
        <f>IF(PA_8[[#This Row],[Acknowledgement Time ]]="NA","",(PA_8[[#This Row],[Acknowledgement Time ]]-PA_8[[#This Row],[Fault Time]])*24)</f>
        <v>0</v>
      </c>
      <c r="AE118" s="41">
        <f>IF(PA_8[[#This Row],[Work Start time on Fault]]="NA","",(PA_8[[#This Row],[Work Start time on Fault]]-PA_8[[#This Row],[Fault Time]])*24)</f>
        <v>0</v>
      </c>
      <c r="AF118" s="42">
        <f>IF(PA_8[[#This Row],[Status]]="Open","",(PA_8[[#This Row],[Work Completion time on fault]]-PA_8[[#This Row],[Fault Time]])*24)</f>
        <v>0</v>
      </c>
      <c r="AG118" s="41">
        <f>IFERROR((PA_8[[#This Row],[Work Completion time on fault]]-PA_8[[#This Row],[Fault Time]])*24,"")</f>
        <v>0</v>
      </c>
      <c r="AH118" s="38"/>
      <c r="AI118" s="155"/>
      <c r="AJ118" s="37" t="str">
        <f>IFERROR(PA_8[[#This Row],[Breakdown Time]]*PA_8[[#This Row],[Plant Equivalent Weightage]],"")</f>
        <v/>
      </c>
      <c r="AK118" s="275"/>
      <c r="AL118" s="157" t="e">
        <f>U118*PA_8[[#This Row],[Lost PoA(Wh/m2)]]*84.2%</f>
        <v>#VALUE!</v>
      </c>
      <c r="AM118" s="157"/>
    </row>
    <row r="119" spans="1:39">
      <c r="A119" s="153">
        <v>110</v>
      </c>
      <c r="B119" s="154"/>
      <c r="C119" s="187">
        <f>YEAR(PA_8[[#This Row],[Date]])+IF(MONTH(PA_8[[#This Row],[Date]])&gt;=4,1,0)</f>
        <v>1900</v>
      </c>
      <c r="D119" s="34">
        <f>YEAR(PA_8[[#This Row],[Date]])</f>
        <v>1900</v>
      </c>
      <c r="E119" s="155"/>
      <c r="F119" s="155"/>
      <c r="G119" s="175">
        <f>PA_8[[#This Row],[Date]]-DAY(PA_8[[#This Row],[Date]])+1</f>
        <v>1</v>
      </c>
      <c r="H119" s="34">
        <f>DAY(EOMONTH(PA_8[[#This Row],[Month Year]],0))</f>
        <v>31</v>
      </c>
      <c r="I119" s="36">
        <f>IFERROR(_xlfn.XLOOKUP(PA_8[[#This Row],[Date]],Input_Raw!$A:$A,Input_Raw!F:F),"")</f>
        <v>0</v>
      </c>
      <c r="J119" s="36">
        <f>IFERROR(_xlfn.XLOOKUP(PA_8[[#This Row],[Date]],Input_Raw!$A:$A,Input_Raw!G:G),"")</f>
        <v>0</v>
      </c>
      <c r="K119" s="37">
        <f>IFERROR((PA_8[[#This Row],[Sunset Time (POA&lt;20 W/m2)]]-PA_8[[#This Row],[Sunrise Time (POA&gt;20 W/m2)]])*24,"")</f>
        <v>0</v>
      </c>
      <c r="L119" s="155"/>
      <c r="M119" s="35"/>
      <c r="N119" s="35"/>
      <c r="O119" s="38"/>
      <c r="P119" s="35"/>
      <c r="Q119" s="35"/>
      <c r="R119" s="34">
        <f>IF((PA_8[[#This Row],[String Type(If String BD)]]&amp;PA_8[[#This Row],[Equipment (If any BD other than PV  array and inv)]])="",1,0)</f>
        <v>1</v>
      </c>
      <c r="S119" s="34">
        <f>IF(PA_8[[#This Row],[String Type(If String BD)]]="",1,0)</f>
        <v>1</v>
      </c>
      <c r="T119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19" s="37" t="str">
        <f>IFERROR(_xlfn.XLOOKUP(PA_8[[#This Row],[Affected Equipment ]],'Basic Data'!$P:$P,'Basic Data'!$S:$S),"")</f>
        <v/>
      </c>
      <c r="V119" s="325" t="str">
        <f>IFERROR(_xlfn.XLOOKUP(PA_8[[#This Row],[Affected Equipment ]],'Basic Data'!$P:$P,'Basic Data'!$T:$T),"")</f>
        <v/>
      </c>
      <c r="W119" s="341"/>
      <c r="X119" s="156"/>
      <c r="Y119" s="156"/>
      <c r="Z119" s="273"/>
      <c r="AA119" s="39"/>
      <c r="AB119" s="40"/>
      <c r="AC119" s="39"/>
      <c r="AD119" s="41">
        <f>IF(PA_8[[#This Row],[Acknowledgement Time ]]="NA","",(PA_8[[#This Row],[Acknowledgement Time ]]-PA_8[[#This Row],[Fault Time]])*24)</f>
        <v>0</v>
      </c>
      <c r="AE119" s="41">
        <f>IF(PA_8[[#This Row],[Work Start time on Fault]]="NA","",(PA_8[[#This Row],[Work Start time on Fault]]-PA_8[[#This Row],[Fault Time]])*24)</f>
        <v>0</v>
      </c>
      <c r="AF119" s="42">
        <f>IF(PA_8[[#This Row],[Status]]="Open","",(PA_8[[#This Row],[Work Completion time on fault]]-PA_8[[#This Row],[Fault Time]])*24)</f>
        <v>0</v>
      </c>
      <c r="AG119" s="41">
        <f>IFERROR((PA_8[[#This Row],[Work Completion time on fault]]-PA_8[[#This Row],[Fault Time]])*24,"")</f>
        <v>0</v>
      </c>
      <c r="AH119" s="38"/>
      <c r="AI119" s="155"/>
      <c r="AJ119" s="37" t="str">
        <f>IFERROR(PA_8[[#This Row],[Breakdown Time]]*PA_8[[#This Row],[Plant Equivalent Weightage]],"")</f>
        <v/>
      </c>
      <c r="AK119" s="275"/>
      <c r="AL119" s="157" t="e">
        <f>U119*PA_8[[#This Row],[Lost PoA(Wh/m2)]]*84.2%</f>
        <v>#VALUE!</v>
      </c>
      <c r="AM119" s="157"/>
    </row>
    <row r="120" spans="1:39">
      <c r="A120" s="153">
        <v>111</v>
      </c>
      <c r="B120" s="154"/>
      <c r="C120" s="187">
        <f>YEAR(PA_8[[#This Row],[Date]])+IF(MONTH(PA_8[[#This Row],[Date]])&gt;=4,1,0)</f>
        <v>1900</v>
      </c>
      <c r="D120" s="34">
        <f>YEAR(PA_8[[#This Row],[Date]])</f>
        <v>1900</v>
      </c>
      <c r="E120" s="155"/>
      <c r="F120" s="155"/>
      <c r="G120" s="175">
        <f>PA_8[[#This Row],[Date]]-DAY(PA_8[[#This Row],[Date]])+1</f>
        <v>1</v>
      </c>
      <c r="H120" s="34">
        <f>DAY(EOMONTH(PA_8[[#This Row],[Month Year]],0))</f>
        <v>31</v>
      </c>
      <c r="I120" s="36">
        <f>IFERROR(_xlfn.XLOOKUP(PA_8[[#This Row],[Date]],Input_Raw!$A:$A,Input_Raw!F:F),"")</f>
        <v>0</v>
      </c>
      <c r="J120" s="36">
        <f>IFERROR(_xlfn.XLOOKUP(PA_8[[#This Row],[Date]],Input_Raw!$A:$A,Input_Raw!G:G),"")</f>
        <v>0</v>
      </c>
      <c r="K120" s="37">
        <f>IFERROR((PA_8[[#This Row],[Sunset Time (POA&lt;20 W/m2)]]-PA_8[[#This Row],[Sunrise Time (POA&gt;20 W/m2)]])*24,"")</f>
        <v>0</v>
      </c>
      <c r="L120" s="155"/>
      <c r="M120" s="35"/>
      <c r="N120" s="35"/>
      <c r="O120" s="38"/>
      <c r="P120" s="35"/>
      <c r="Q120" s="35"/>
      <c r="R120" s="34">
        <f>IF((PA_8[[#This Row],[String Type(If String BD)]]&amp;PA_8[[#This Row],[Equipment (If any BD other than PV  array and inv)]])="",1,0)</f>
        <v>1</v>
      </c>
      <c r="S120" s="34">
        <f>IF(PA_8[[#This Row],[String Type(If String BD)]]="",1,0)</f>
        <v>1</v>
      </c>
      <c r="T120" s="34" t="str">
        <f>IF(PA_8[[#This Row],[C1]]=1,CONCATENATE(PA_8[[#This Row],[Inverter  Station Number (if Bd in filed)]],PA_8[[#This Row],[Inverter number (If Inv, SCb or Str BD)]],PA_8[[#This Row],[Inverter Module Number (If Inv, SCb or Str BD)]],PA_8[[#This Row],[SCB Number (If SCB or Str BD)]]),IF(PA_8[[#This Row],[C2]]=0,PA_8[[#This Row],[String Type(If String BD)]],CONCATENATE(PA_8[[#This Row],[Inverter  Station Number (if Bd in filed)]],PA_8[[#This Row],[Equipment (If any BD other than PV  array and inv)]])))</f>
        <v/>
      </c>
      <c r="U120" s="37" t="str">
        <f>IFERROR(_xlfn.XLOOKUP(PA_8[[#This Row],[Affected Equipment ]],'Basic Data'!$P:$P,'Basic Data'!$S:$S),"")</f>
        <v/>
      </c>
      <c r="V120" s="325" t="str">
        <f>IFERROR(_xlfn.XLOOKUP(PA_8[[#This Row],[Affected Equipment ]],'Basic Data'!$P:$P,'Basic Data'!$T:$T),"")</f>
        <v/>
      </c>
      <c r="W120" s="306"/>
      <c r="X120" s="156"/>
      <c r="Y120" s="156"/>
      <c r="Z120" s="273"/>
      <c r="AA120" s="39"/>
      <c r="AB120" s="40"/>
      <c r="AC120" s="39"/>
      <c r="AD120" s="41">
        <f>IF(PA_8[[#This Row],[Acknowledgement Time ]]="NA","",(PA_8[[#This Row],[Acknowledgement Time ]]-PA_8[[#This Row],[Fault Time]])*24)</f>
        <v>0</v>
      </c>
      <c r="AE120" s="41">
        <f>IF(PA_8[[#This Row],[Work Start time on Fault]]="NA","",(PA_8[[#This Row],[Work Start time on Fault]]-PA_8[[#This Row],[Fault Time]])*24)</f>
        <v>0</v>
      </c>
      <c r="AF120" s="42">
        <f>IF(PA_8[[#This Row],[Status]]="Open","",(PA_8[[#This Row],[Work Completion time on fault]]-PA_8[[#This Row],[Fault Time]])*24)</f>
        <v>0</v>
      </c>
      <c r="AG120" s="41">
        <f>IFERROR((PA_8[[#This Row],[Work Completion time on fault]]-PA_8[[#This Row],[Fault Time]])*24,"")</f>
        <v>0</v>
      </c>
      <c r="AH120" s="38"/>
      <c r="AI120" s="155"/>
      <c r="AJ120" s="37" t="str">
        <f>IFERROR(PA_8[[#This Row],[Breakdown Time]]*PA_8[[#This Row],[Plant Equivalent Weightage]],"")</f>
        <v/>
      </c>
      <c r="AK120" s="275"/>
      <c r="AL120" s="157" t="e">
        <f>U120*PA_8[[#This Row],[Lost PoA(Wh/m2)]]*84.2%</f>
        <v>#VALUE!</v>
      </c>
      <c r="AM120" s="157"/>
    </row>
  </sheetData>
  <phoneticPr fontId="74" type="noConversion"/>
  <pageMargins left="0.7" right="0.7" top="0.75" bottom="0.75" header="0.3" footer="0.3"/>
  <ignoredErrors>
    <ignoredError sqref="U2:V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6000000}">
          <x14:formula1>
            <xm:f>'Basic Data'!$AA$2:$AA$20</xm:f>
          </x14:formula1>
          <xm:sqref>W2:W7</xm:sqref>
        </x14:dataValidation>
        <x14:dataValidation type="list" allowBlank="1" showInputMessage="1" showErrorMessage="1" xr:uid="{00000000-0002-0000-0700-000007000000}">
          <x14:formula1>
            <xm:f>'Basic Data'!$AC$2:$AC$3</xm:f>
          </x14:formula1>
          <xm:sqref>AI2:AI7</xm:sqref>
        </x14:dataValidation>
        <x14:dataValidation type="list" allowBlank="1" showInputMessage="1" showErrorMessage="1" xr:uid="{00000000-0002-0000-0700-000004000000}">
          <x14:formula1>
            <xm:f>'Basic Data'!$L$2:$L$10</xm:f>
          </x14:formula1>
          <xm:sqref>P2:P1048576</xm:sqref>
        </x14:dataValidation>
        <x14:dataValidation type="list" allowBlank="1" showInputMessage="1" showErrorMessage="1" xr:uid="{00000000-0002-0000-0700-000005000000}">
          <x14:formula1>
            <xm:f>'Basic Data'!$N$2:$N$15</xm:f>
          </x14:formula1>
          <xm:sqref>Q2:Q1048576</xm:sqref>
        </x14:dataValidation>
        <x14:dataValidation type="list" allowBlank="1" showInputMessage="1" showErrorMessage="1" xr:uid="{25549FB1-B3A5-4113-B7E8-C3157139750E}">
          <x14:formula1>
            <xm:f>'Basic Data'!$D$2:$D$16</xm:f>
          </x14:formula1>
          <xm:sqref>L2:L1048576</xm:sqref>
        </x14:dataValidation>
        <x14:dataValidation type="list" allowBlank="1" showInputMessage="1" showErrorMessage="1" xr:uid="{247DA60E-BE2D-4AC5-A5FC-FA161F95E17D}">
          <x14:formula1>
            <xm:f>'Basic Data'!$F$2:$F$31</xm:f>
          </x14:formula1>
          <xm:sqref>M2:M1048576</xm:sqref>
        </x14:dataValidation>
        <x14:dataValidation type="list" allowBlank="1" showInputMessage="1" showErrorMessage="1" xr:uid="{3FCEAF51-41BB-4291-B9ED-B19AE58703E9}">
          <x14:formula1>
            <xm:f>'Basic Data'!$H$2:$H$5</xm:f>
          </x14:formula1>
          <xm:sqref>N2:N1048576</xm:sqref>
        </x14:dataValidation>
        <x14:dataValidation type="list" allowBlank="1" showInputMessage="1" showErrorMessage="1" xr:uid="{B11F13BB-2B9F-413F-B719-0BACE1EBE2E7}">
          <x14:formula1>
            <xm:f>'Basic Data'!$J$2:$J$12</xm:f>
          </x14:formula1>
          <xm:sqref>O2:O1048576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08"/>
  <sheetViews>
    <sheetView zoomScale="90" zoomScaleNormal="9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ColWidth="8.85546875" defaultRowHeight="15"/>
  <cols>
    <col min="1" max="1" width="10.140625" customWidth="1"/>
    <col min="2" max="2" width="9.85546875" customWidth="1"/>
    <col min="3" max="3" width="12.140625" customWidth="1"/>
    <col min="4" max="4" width="12.85546875" customWidth="1"/>
    <col min="5" max="5" width="13.85546875" customWidth="1"/>
    <col min="6" max="6" width="8.85546875" style="5"/>
    <col min="7" max="8" width="10.140625" style="5" customWidth="1"/>
    <col min="9" max="9" width="10.140625" customWidth="1"/>
    <col min="10" max="10" width="32.85546875" customWidth="1"/>
    <col min="11" max="11" width="10.140625" customWidth="1"/>
    <col min="12" max="12" width="12.140625" customWidth="1"/>
    <col min="13" max="13" width="13" bestFit="1" customWidth="1"/>
    <col min="14" max="14" width="13.85546875" bestFit="1" customWidth="1"/>
    <col min="15" max="15" width="16.140625" bestFit="1" customWidth="1"/>
    <col min="16" max="17" width="12.140625" bestFit="1" customWidth="1"/>
    <col min="18" max="18" width="25.140625" customWidth="1"/>
    <col min="19" max="19" width="10.140625" bestFit="1" customWidth="1"/>
    <col min="20" max="21" width="13.85546875" customWidth="1"/>
    <col min="22" max="22" width="11.140625" style="15" customWidth="1"/>
    <col min="23" max="23" width="13.140625" bestFit="1" customWidth="1"/>
    <col min="24" max="25" width="13.85546875" bestFit="1" customWidth="1"/>
    <col min="31" max="31" width="22.140625" customWidth="1"/>
  </cols>
  <sheetData>
    <row r="1" spans="1:24" ht="42" customHeight="1">
      <c r="A1" s="16" t="s">
        <v>6</v>
      </c>
      <c r="B1" s="17" t="s">
        <v>68</v>
      </c>
      <c r="C1" s="16" t="s">
        <v>113</v>
      </c>
      <c r="D1" s="16" t="s">
        <v>114</v>
      </c>
      <c r="E1" s="16" t="s">
        <v>309</v>
      </c>
      <c r="F1" s="16" t="s">
        <v>310</v>
      </c>
      <c r="G1" s="16" t="s">
        <v>1136</v>
      </c>
      <c r="H1" s="16" t="s">
        <v>1137</v>
      </c>
      <c r="I1" s="16" t="s">
        <v>312</v>
      </c>
      <c r="J1" s="126" t="s">
        <v>313</v>
      </c>
      <c r="K1" s="16" t="s">
        <v>1138</v>
      </c>
      <c r="L1" s="16" t="s">
        <v>314</v>
      </c>
      <c r="M1" s="16" t="s">
        <v>315</v>
      </c>
      <c r="N1" s="16" t="s">
        <v>316</v>
      </c>
      <c r="O1" s="16" t="s">
        <v>317</v>
      </c>
      <c r="P1" s="16" t="s">
        <v>318</v>
      </c>
      <c r="Q1" s="16" t="s">
        <v>319</v>
      </c>
      <c r="R1" s="16" t="s">
        <v>320</v>
      </c>
      <c r="S1" s="16" t="s">
        <v>321</v>
      </c>
      <c r="T1" s="23" t="s">
        <v>322</v>
      </c>
      <c r="U1" s="23" t="s">
        <v>1139</v>
      </c>
      <c r="V1" s="24" t="s">
        <v>324</v>
      </c>
      <c r="W1" s="24" t="s">
        <v>1140</v>
      </c>
      <c r="X1" s="24" t="s">
        <v>1141</v>
      </c>
    </row>
    <row r="2" spans="1:24" ht="60">
      <c r="A2" s="9">
        <v>1</v>
      </c>
      <c r="B2" s="18">
        <v>45809</v>
      </c>
      <c r="C2" s="29">
        <f>YEAR(Grid_BD[[#This Row],[Date]])+IF(MONTH(Grid_BD[[#This Row],[Date]])&gt;=4,1,0)</f>
        <v>2026</v>
      </c>
      <c r="D2" s="9">
        <f>YEAR(Grid_BD[[#This Row],[Date]])</f>
        <v>2025</v>
      </c>
      <c r="E2" s="9" t="s">
        <v>325</v>
      </c>
      <c r="F2" s="9" t="s">
        <v>358</v>
      </c>
      <c r="G2" s="9">
        <f>IFERROR(_xlfn.XLOOKUP(Grid_BD[[#This Row],[Date]],RD[Date],RD[Solar Operating Hours]),"")</f>
        <v>12.766666666666666</v>
      </c>
      <c r="H2" s="5" t="str">
        <f>IFERROR(VLOOKUP(Grid_BD[[#This Row],[Affected Feeder ]],'Basic Data'!#REF!,3,0),"")</f>
        <v/>
      </c>
      <c r="I2" s="289">
        <v>1</v>
      </c>
      <c r="J2" s="272" t="s">
        <v>295</v>
      </c>
      <c r="L2" s="290">
        <v>0.43958333333333333</v>
      </c>
      <c r="M2" s="290">
        <v>0.43958333333333333</v>
      </c>
      <c r="N2" s="290">
        <v>0.62222222222222223</v>
      </c>
      <c r="O2" s="291">
        <f>(Grid_BD[[#This Row],[Work Start TimeStamp]]-Grid_BD[[#This Row],[Fault Start TimeStamp]])*24</f>
        <v>0</v>
      </c>
      <c r="P2" s="291">
        <f>(Grid_BD[[#This Row],[Fault Clearance time]]-Grid_BD[[#This Row],[Work Start TimeStamp]])*24</f>
        <v>4.3833333333333337</v>
      </c>
      <c r="Q2" s="291">
        <f>(Grid_BD[[#This Row],[Fault Clearance time]]-Grid_BD[[#This Row],[Fault Start TimeStamp]])*24</f>
        <v>4.3833333333333337</v>
      </c>
      <c r="R2" s="292" t="s">
        <v>1142</v>
      </c>
      <c r="S2" s="5"/>
      <c r="T2" s="293">
        <f>IFERROR(Grid_BD[[#This Row],[Breakdown Time]]*Grid_BD[[#This Row],[Plant Equivalent Weightage]],"")</f>
        <v>4.3833333333333337</v>
      </c>
      <c r="U2" s="293">
        <v>3.82</v>
      </c>
      <c r="V2" s="294">
        <f>IFERROR(Grid_BD[[#This Row],[POA Lost (kWh/m2)]]*_xlfn.XLOOKUP(Grid_BD[[#This Row],[Date]],'Daily KPI'!$A:$A,'Daily KPI'!$AE:$AE)*_xlfn.XLOOKUP(Grid_BD[[#This Row],[Date]],RD[Date],RD[Connected DC Capcity (MWp)])*1000,"")</f>
        <v>388248.19723194477</v>
      </c>
      <c r="W2" s="44">
        <v>0</v>
      </c>
      <c r="X2" s="295">
        <f>IF(K2="Curtailment Order",(((100%*(Grid_BD[[#This Row],[Op. Hours]]-T2))+(((W2)/'Basic Data'!$B$2)*T2))/Grid_BD[[#This Row],[Op. Hours]]),1)</f>
        <v>1</v>
      </c>
    </row>
    <row r="3" spans="1:24" ht="60">
      <c r="A3" s="9">
        <f t="shared" ref="A3:A15" si="0">A2+1</f>
        <v>2</v>
      </c>
      <c r="B3" s="18">
        <v>45832</v>
      </c>
      <c r="C3" s="29">
        <f>YEAR(Grid_BD[[#This Row],[Date]])+IF(MONTH(Grid_BD[[#This Row],[Date]])&gt;=4,1,0)</f>
        <v>2026</v>
      </c>
      <c r="D3" s="9">
        <f>YEAR(Grid_BD[[#This Row],[Date]])</f>
        <v>2025</v>
      </c>
      <c r="E3" s="9" t="s">
        <v>325</v>
      </c>
      <c r="F3" s="9" t="s">
        <v>358</v>
      </c>
      <c r="G3" s="9">
        <f>IFERROR(_xlfn.XLOOKUP(Grid_BD[[#This Row],[Date]],RD[Date],RD[Solar Operating Hours]),"")</f>
        <v>11.866666666666665</v>
      </c>
      <c r="H3" s="5" t="str">
        <f>IFERROR(VLOOKUP(Grid_BD[[#This Row],[Affected Feeder ]],'Basic Data'!#REF!,3,0),"")</f>
        <v/>
      </c>
      <c r="I3" s="289">
        <v>1</v>
      </c>
      <c r="J3" s="272" t="s">
        <v>1255</v>
      </c>
      <c r="L3" s="290">
        <v>0.46944444444444444</v>
      </c>
      <c r="M3" s="290">
        <v>0.46944444444444444</v>
      </c>
      <c r="N3" s="290">
        <v>0.82708333333333328</v>
      </c>
      <c r="O3" s="291">
        <f>(Grid_BD[[#This Row],[Work Start TimeStamp]]-Grid_BD[[#This Row],[Fault Start TimeStamp]])*24</f>
        <v>0</v>
      </c>
      <c r="P3" s="291">
        <f>(Grid_BD[[#This Row],[Fault Clearance time]]-Grid_BD[[#This Row],[Work Start TimeStamp]])*24</f>
        <v>8.5833333333333321</v>
      </c>
      <c r="Q3" s="291">
        <f>(Grid_BD[[#This Row],[Fault Clearance time]]-Grid_BD[[#This Row],[Fault Start TimeStamp]])*24</f>
        <v>8.5833333333333321</v>
      </c>
      <c r="R3" s="272" t="s">
        <v>1256</v>
      </c>
      <c r="S3" s="5"/>
      <c r="T3" s="293">
        <f>IFERROR(Grid_BD[[#This Row],[Breakdown Time]]*Grid_BD[[#This Row],[Plant Equivalent Weightage]],"")</f>
        <v>8.5833333333333321</v>
      </c>
      <c r="U3" s="293">
        <v>1.02</v>
      </c>
      <c r="V3" s="294">
        <f>IFERROR(Grid_BD[[#This Row],[POA Lost (kWh/m2)]]*_xlfn.XLOOKUP(Grid_BD[[#This Row],[Date]],'Daily KPI'!$A:$A,'Daily KPI'!$AE:$AE)*_xlfn.XLOOKUP(Grid_BD[[#This Row],[Date]],RD[Date],RD[Connected DC Capcity (MWp)])*1000,"")</f>
        <v>107533.3846178884</v>
      </c>
      <c r="W3" s="44">
        <v>0</v>
      </c>
      <c r="X3" s="295">
        <f>IF(K3="Curtailment Order",(((100%*(Grid_BD[[#This Row],[Op. Hours]]-T3))+(((W3)/'Basic Data'!$B$2)*T3))/Grid_BD[[#This Row],[Op. Hours]]),1)</f>
        <v>1</v>
      </c>
    </row>
    <row r="4" spans="1:24">
      <c r="A4" s="9">
        <f t="shared" si="0"/>
        <v>3</v>
      </c>
      <c r="B4" s="18"/>
      <c r="C4" s="29">
        <f>YEAR(Grid_BD[[#This Row],[Date]])+IF(MONTH(Grid_BD[[#This Row],[Date]])&gt;=4,1,0)</f>
        <v>1900</v>
      </c>
      <c r="D4" s="9">
        <f>YEAR(Grid_BD[[#This Row],[Date]])</f>
        <v>1900</v>
      </c>
      <c r="E4" s="9" t="s">
        <v>325</v>
      </c>
      <c r="F4" s="9" t="s">
        <v>358</v>
      </c>
      <c r="G4" s="5" t="str">
        <f>IFERROR(_xlfn.XLOOKUP(Grid_BD[[#This Row],[Date]],RD[Date],RD[Solar Operating Hours]),"")</f>
        <v/>
      </c>
      <c r="H4" s="5" t="str">
        <f>IFERROR(VLOOKUP(Grid_BD[[#This Row],[Affected Feeder ]],'Basic Data'!#REF!,3,0),"")</f>
        <v/>
      </c>
      <c r="I4" s="8" t="str">
        <f>IFERROR(VLOOKUP(Grid_BD[[#This Row],[Affected Feeder ]],'Basic Data'!#REF!,5,0),"")</f>
        <v/>
      </c>
      <c r="L4" s="20"/>
      <c r="M4" s="20"/>
      <c r="N4" s="20"/>
      <c r="O4" s="21">
        <f>(Grid_BD[[#This Row],[Work Start TimeStamp]]-Grid_BD[[#This Row],[Fault Start TimeStamp]])*24</f>
        <v>0</v>
      </c>
      <c r="P4" s="21">
        <f>(Grid_BD[[#This Row],[Fault Clearance time]]-Grid_BD[[#This Row],[Work Start TimeStamp]])*24</f>
        <v>0</v>
      </c>
      <c r="Q4" s="21">
        <f>(Grid_BD[[#This Row],[Fault Clearance time]]-Grid_BD[[#This Row],[Fault Start TimeStamp]])*24</f>
        <v>0</v>
      </c>
      <c r="R4" s="25"/>
      <c r="S4" s="5"/>
      <c r="T4" s="26" t="str">
        <f>IFERROR(Grid_BD[[#This Row],[Breakdown Time]]*Grid_BD[[#This Row],[Plant Equivalent Weightage]],"")</f>
        <v/>
      </c>
      <c r="U4" s="26"/>
      <c r="V4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4" s="4">
        <f>IF(K4="Curtailment Order",(((100%*(Grid_BD[[#This Row],[Op. Hours]]-T4))+(((W4)/'Basic Data'!$B$2)*T4))/Grid_BD[[#This Row],[Op. Hours]]),1)</f>
        <v>1</v>
      </c>
    </row>
    <row r="5" spans="1:24">
      <c r="A5" s="9">
        <f t="shared" si="0"/>
        <v>4</v>
      </c>
      <c r="B5" s="18"/>
      <c r="C5" s="29">
        <f>YEAR(Grid_BD[[#This Row],[Date]])+IF(MONTH(Grid_BD[[#This Row],[Date]])&gt;=4,1,0)</f>
        <v>1900</v>
      </c>
      <c r="D5" s="9">
        <f>YEAR(Grid_BD[[#This Row],[Date]])</f>
        <v>1900</v>
      </c>
      <c r="E5" s="9" t="s">
        <v>325</v>
      </c>
      <c r="F5" s="9" t="s">
        <v>358</v>
      </c>
      <c r="G5" s="5" t="str">
        <f>IFERROR(_xlfn.XLOOKUP(Grid_BD[[#This Row],[Date]],RD[Date],RD[Solar Operating Hours]),"")</f>
        <v/>
      </c>
      <c r="H5" s="5" t="str">
        <f>IFERROR(VLOOKUP(Grid_BD[[#This Row],[Affected Feeder ]],'Basic Data'!#REF!,3,0),"")</f>
        <v/>
      </c>
      <c r="I5" s="8" t="str">
        <f>IFERROR(VLOOKUP(Grid_BD[[#This Row],[Affected Feeder ]],'Basic Data'!#REF!,5,0),"")</f>
        <v/>
      </c>
      <c r="L5" s="20"/>
      <c r="M5" s="22"/>
      <c r="N5" s="20"/>
      <c r="O5" s="21">
        <f>(Grid_BD[[#This Row],[Work Start TimeStamp]]-Grid_BD[[#This Row],[Fault Start TimeStamp]])*24</f>
        <v>0</v>
      </c>
      <c r="P5" s="21">
        <f>(Grid_BD[[#This Row],[Fault Clearance time]]-Grid_BD[[#This Row],[Work Start TimeStamp]])*24</f>
        <v>0</v>
      </c>
      <c r="Q5" s="21">
        <f>(Grid_BD[[#This Row],[Fault Clearance time]]-Grid_BD[[#This Row],[Fault Start TimeStamp]])*24</f>
        <v>0</v>
      </c>
      <c r="R5" s="25"/>
      <c r="S5" s="5"/>
      <c r="T5" s="26" t="str">
        <f>IFERROR(Grid_BD[[#This Row],[Breakdown Time]]*Grid_BD[[#This Row],[Plant Equivalent Weightage]],"")</f>
        <v/>
      </c>
      <c r="U5" s="26"/>
      <c r="V5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4">
        <f>IF(K5="Curtailment Order",(((100%*(Grid_BD[[#This Row],[Op. Hours]]-T5))+(((W5)/'Basic Data'!$B$2)*T5))/Grid_BD[[#This Row],[Op. Hours]]),1)</f>
        <v>1</v>
      </c>
    </row>
    <row r="6" spans="1:24">
      <c r="A6" s="9">
        <f t="shared" si="0"/>
        <v>5</v>
      </c>
      <c r="B6" s="18"/>
      <c r="C6" s="29">
        <f>YEAR(Grid_BD[[#This Row],[Date]])+IF(MONTH(Grid_BD[[#This Row],[Date]])&gt;=4,1,0)</f>
        <v>1900</v>
      </c>
      <c r="D6" s="9">
        <f>YEAR(Grid_BD[[#This Row],[Date]])</f>
        <v>1900</v>
      </c>
      <c r="E6" s="9" t="s">
        <v>325</v>
      </c>
      <c r="F6" s="9" t="s">
        <v>358</v>
      </c>
      <c r="G6" s="5" t="str">
        <f>IFERROR(_xlfn.XLOOKUP(Grid_BD[[#This Row],[Date]],RD[Date],RD[Solar Operating Hours]),"")</f>
        <v/>
      </c>
      <c r="H6" s="5" t="str">
        <f>IFERROR(VLOOKUP(Grid_BD[[#This Row],[Affected Feeder ]],'Basic Data'!#REF!,3,0),"")</f>
        <v/>
      </c>
      <c r="I6" s="8" t="str">
        <f>IFERROR(VLOOKUP(Grid_BD[[#This Row],[Affected Feeder ]],'Basic Data'!#REF!,5,0),"")</f>
        <v/>
      </c>
      <c r="L6" s="20"/>
      <c r="M6" s="22"/>
      <c r="N6" s="20"/>
      <c r="O6" s="21">
        <f>(Grid_BD[[#This Row],[Work Start TimeStamp]]-Grid_BD[[#This Row],[Fault Start TimeStamp]])*24</f>
        <v>0</v>
      </c>
      <c r="P6" s="21">
        <f>(Grid_BD[[#This Row],[Fault Clearance time]]-Grid_BD[[#This Row],[Work Start TimeStamp]])*24</f>
        <v>0</v>
      </c>
      <c r="Q6" s="21">
        <f>(Grid_BD[[#This Row],[Fault Clearance time]]-Grid_BD[[#This Row],[Fault Start TimeStamp]])*24</f>
        <v>0</v>
      </c>
      <c r="R6" s="25"/>
      <c r="S6" s="5"/>
      <c r="T6" s="26" t="str">
        <f>IFERROR(Grid_BD[[#This Row],[Breakdown Time]]*Grid_BD[[#This Row],[Plant Equivalent Weightage]],"")</f>
        <v/>
      </c>
      <c r="U6" s="26"/>
      <c r="V6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4">
        <f>IF(K6="Curtailment Order",(((100%*(Grid_BD[[#This Row],[Op. Hours]]-T6))+(((W6)/'Basic Data'!$B$2)*T6))/Grid_BD[[#This Row],[Op. Hours]]),1)</f>
        <v>1</v>
      </c>
    </row>
    <row r="7" spans="1:24">
      <c r="A7" s="9">
        <f t="shared" si="0"/>
        <v>6</v>
      </c>
      <c r="B7" s="18"/>
      <c r="C7" s="29">
        <f>YEAR(Grid_BD[[#This Row],[Date]])+IF(MONTH(Grid_BD[[#This Row],[Date]])&gt;=4,1,0)</f>
        <v>1900</v>
      </c>
      <c r="D7" s="9">
        <f>YEAR(Grid_BD[[#This Row],[Date]])</f>
        <v>1900</v>
      </c>
      <c r="E7" s="9" t="s">
        <v>325</v>
      </c>
      <c r="F7" s="9" t="s">
        <v>358</v>
      </c>
      <c r="G7" s="5" t="str">
        <f>IFERROR(_xlfn.XLOOKUP(Grid_BD[[#This Row],[Date]],RD[Date],RD[Solar Operating Hours]),"")</f>
        <v/>
      </c>
      <c r="H7" s="5" t="str">
        <f>IFERROR(VLOOKUP(Grid_BD[[#This Row],[Affected Feeder ]],'Basic Data'!#REF!,3,0),"")</f>
        <v/>
      </c>
      <c r="I7" s="8" t="str">
        <f>IFERROR(VLOOKUP(Grid_BD[[#This Row],[Affected Feeder ]],'Basic Data'!#REF!,5,0),"")</f>
        <v/>
      </c>
      <c r="L7" s="20"/>
      <c r="M7" s="22"/>
      <c r="N7" s="20"/>
      <c r="O7" s="21">
        <f>(Grid_BD[[#This Row],[Work Start TimeStamp]]-Grid_BD[[#This Row],[Fault Start TimeStamp]])*24</f>
        <v>0</v>
      </c>
      <c r="P7" s="21">
        <f>(Grid_BD[[#This Row],[Fault Clearance time]]-Grid_BD[[#This Row],[Work Start TimeStamp]])*24</f>
        <v>0</v>
      </c>
      <c r="Q7" s="21">
        <f>(Grid_BD[[#This Row],[Fault Clearance time]]-Grid_BD[[#This Row],[Fault Start TimeStamp]])*24</f>
        <v>0</v>
      </c>
      <c r="R7" s="25"/>
      <c r="S7" s="5"/>
      <c r="T7" s="26" t="str">
        <f>IFERROR(Grid_BD[[#This Row],[Breakdown Time]]*Grid_BD[[#This Row],[Plant Equivalent Weightage]],"")</f>
        <v/>
      </c>
      <c r="U7" s="26"/>
      <c r="V7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4">
        <f>IF(K7="Curtailment Order",(((100%*(Grid_BD[[#This Row],[Op. Hours]]-T7))+(((W7)/'Basic Data'!$B$2)*T7))/Grid_BD[[#This Row],[Op. Hours]]),1)</f>
        <v>1</v>
      </c>
    </row>
    <row r="8" spans="1:24">
      <c r="A8" s="9">
        <f t="shared" si="0"/>
        <v>7</v>
      </c>
      <c r="B8" s="18"/>
      <c r="C8" s="29">
        <f>YEAR(Grid_BD[[#This Row],[Date]])+IF(MONTH(Grid_BD[[#This Row],[Date]])&gt;=4,1,0)</f>
        <v>1900</v>
      </c>
      <c r="D8" s="9">
        <f>YEAR(Grid_BD[[#This Row],[Date]])</f>
        <v>1900</v>
      </c>
      <c r="E8" s="9" t="s">
        <v>325</v>
      </c>
      <c r="F8" s="9" t="s">
        <v>358</v>
      </c>
      <c r="G8" s="5" t="str">
        <f>IFERROR(_xlfn.XLOOKUP(Grid_BD[[#This Row],[Date]],RD[Date],RD[Solar Operating Hours]),"")</f>
        <v/>
      </c>
      <c r="H8" s="5" t="str">
        <f>IFERROR(VLOOKUP(Grid_BD[[#This Row],[Affected Feeder ]],'Basic Data'!#REF!,3,0),"")</f>
        <v/>
      </c>
      <c r="I8" s="8" t="str">
        <f>IFERROR(VLOOKUP(Grid_BD[[#This Row],[Affected Feeder ]],'Basic Data'!#REF!,5,0),"")</f>
        <v/>
      </c>
      <c r="L8" s="20"/>
      <c r="M8" s="22"/>
      <c r="N8" s="20"/>
      <c r="O8" s="21">
        <f>(Grid_BD[[#This Row],[Work Start TimeStamp]]-Grid_BD[[#This Row],[Fault Start TimeStamp]])*24</f>
        <v>0</v>
      </c>
      <c r="P8" s="21">
        <f>(Grid_BD[[#This Row],[Fault Clearance time]]-Grid_BD[[#This Row],[Work Start TimeStamp]])*24</f>
        <v>0</v>
      </c>
      <c r="Q8" s="21">
        <f>(Grid_BD[[#This Row],[Fault Clearance time]]-Grid_BD[[#This Row],[Fault Start TimeStamp]])*24</f>
        <v>0</v>
      </c>
      <c r="R8" s="25"/>
      <c r="S8" s="5"/>
      <c r="T8" s="26" t="str">
        <f>IFERROR(Grid_BD[[#This Row],[Breakdown Time]]*Grid_BD[[#This Row],[Plant Equivalent Weightage]],"")</f>
        <v/>
      </c>
      <c r="U8" s="26"/>
      <c r="V8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4">
        <f>IF(K8="Curtailment Order",(((100%*(Grid_BD[[#This Row],[Op. Hours]]-T8))+(((W8)/'Basic Data'!$B$2)*T8))/Grid_BD[[#This Row],[Op. Hours]]),1)</f>
        <v>1</v>
      </c>
    </row>
    <row r="9" spans="1:24">
      <c r="A9" s="9">
        <f t="shared" si="0"/>
        <v>8</v>
      </c>
      <c r="B9" s="18"/>
      <c r="C9" s="29">
        <f>YEAR(Grid_BD[[#This Row],[Date]])+IF(MONTH(Grid_BD[[#This Row],[Date]])&gt;=4,1,0)</f>
        <v>1900</v>
      </c>
      <c r="D9" s="9">
        <f>YEAR(Grid_BD[[#This Row],[Date]])</f>
        <v>1900</v>
      </c>
      <c r="E9" s="9" t="s">
        <v>325</v>
      </c>
      <c r="F9" s="9" t="s">
        <v>358</v>
      </c>
      <c r="G9" s="5" t="str">
        <f>IFERROR(_xlfn.XLOOKUP(Grid_BD[[#This Row],[Date]],RD[Date],RD[Solar Operating Hours]),"")</f>
        <v/>
      </c>
      <c r="H9" s="5" t="str">
        <f>IFERROR(VLOOKUP(Grid_BD[[#This Row],[Affected Feeder ]],'Basic Data'!#REF!,3,0),"")</f>
        <v/>
      </c>
      <c r="I9" s="8" t="str">
        <f>IFERROR(VLOOKUP(Grid_BD[[#This Row],[Affected Feeder ]],'Basic Data'!#REF!,5,0),"")</f>
        <v/>
      </c>
      <c r="L9" s="20"/>
      <c r="M9" s="22"/>
      <c r="N9" s="20"/>
      <c r="O9" s="21">
        <f>(Grid_BD[[#This Row],[Work Start TimeStamp]]-Grid_BD[[#This Row],[Fault Start TimeStamp]])*24</f>
        <v>0</v>
      </c>
      <c r="P9" s="21">
        <f>(Grid_BD[[#This Row],[Fault Clearance time]]-Grid_BD[[#This Row],[Work Start TimeStamp]])*24</f>
        <v>0</v>
      </c>
      <c r="Q9" s="21">
        <f>(Grid_BD[[#This Row],[Fault Clearance time]]-Grid_BD[[#This Row],[Fault Start TimeStamp]])*24</f>
        <v>0</v>
      </c>
      <c r="R9" s="25"/>
      <c r="S9" s="5"/>
      <c r="T9" s="26" t="str">
        <f>IFERROR(Grid_BD[[#This Row],[Breakdown Time]]*Grid_BD[[#This Row],[Plant Equivalent Weightage]],"")</f>
        <v/>
      </c>
      <c r="U9" s="26"/>
      <c r="V9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4">
        <f>IF(K9="Curtailment Order",(((100%*(Grid_BD[[#This Row],[Op. Hours]]-T9))+(((W9)/'Basic Data'!$B$2)*T9))/Grid_BD[[#This Row],[Op. Hours]]),1)</f>
        <v>1</v>
      </c>
    </row>
    <row r="10" spans="1:24">
      <c r="A10" s="9">
        <f t="shared" si="0"/>
        <v>9</v>
      </c>
      <c r="B10" s="18"/>
      <c r="C10" s="29">
        <f>YEAR(Grid_BD[[#This Row],[Date]])+IF(MONTH(Grid_BD[[#This Row],[Date]])&gt;=4,1,0)</f>
        <v>1900</v>
      </c>
      <c r="D10" s="9">
        <f>YEAR(Grid_BD[[#This Row],[Date]])</f>
        <v>1900</v>
      </c>
      <c r="E10" s="9" t="s">
        <v>325</v>
      </c>
      <c r="F10" s="9" t="s">
        <v>358</v>
      </c>
      <c r="G10" s="5" t="str">
        <f>IFERROR(_xlfn.XLOOKUP(Grid_BD[[#This Row],[Date]],RD[Date],RD[Solar Operating Hours]),"")</f>
        <v/>
      </c>
      <c r="H10" s="5" t="str">
        <f>IFERROR(VLOOKUP(Grid_BD[[#This Row],[Affected Feeder ]],'Basic Data'!#REF!,3,0),"")</f>
        <v/>
      </c>
      <c r="I10" s="8" t="str">
        <f>IFERROR(VLOOKUP(Grid_BD[[#This Row],[Affected Feeder ]],'Basic Data'!#REF!,5,0),"")</f>
        <v/>
      </c>
      <c r="L10" s="20"/>
      <c r="M10" s="22"/>
      <c r="N10" s="20"/>
      <c r="O10" s="21">
        <f>(Grid_BD[[#This Row],[Work Start TimeStamp]]-Grid_BD[[#This Row],[Fault Start TimeStamp]])*24</f>
        <v>0</v>
      </c>
      <c r="P10" s="21">
        <f>(Grid_BD[[#This Row],[Fault Clearance time]]-Grid_BD[[#This Row],[Work Start TimeStamp]])*24</f>
        <v>0</v>
      </c>
      <c r="Q10" s="21">
        <f>(Grid_BD[[#This Row],[Fault Clearance time]]-Grid_BD[[#This Row],[Fault Start TimeStamp]])*24</f>
        <v>0</v>
      </c>
      <c r="R10" s="25"/>
      <c r="S10" s="5"/>
      <c r="T10" s="26" t="str">
        <f>IFERROR(Grid_BD[[#This Row],[Breakdown Time]]*Grid_BD[[#This Row],[Plant Equivalent Weightage]],"")</f>
        <v/>
      </c>
      <c r="U10" s="26"/>
      <c r="V10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4">
        <f>IF(K10="Curtailment Order",(((100%*(Grid_BD[[#This Row],[Op. Hours]]-T10))+(((W10)/'Basic Data'!$B$2)*T10))/Grid_BD[[#This Row],[Op. Hours]]),1)</f>
        <v>1</v>
      </c>
    </row>
    <row r="11" spans="1:24">
      <c r="A11" s="9">
        <f t="shared" si="0"/>
        <v>10</v>
      </c>
      <c r="B11" s="18"/>
      <c r="C11" s="29">
        <f>YEAR(Grid_BD[[#This Row],[Date]])+IF(MONTH(Grid_BD[[#This Row],[Date]])&gt;=4,1,0)</f>
        <v>1900</v>
      </c>
      <c r="D11" s="9">
        <f>YEAR(Grid_BD[[#This Row],[Date]])</f>
        <v>1900</v>
      </c>
      <c r="E11" s="9" t="s">
        <v>325</v>
      </c>
      <c r="G11" s="5" t="str">
        <f>IFERROR(_xlfn.XLOOKUP(Grid_BD[[#This Row],[Date]],RD[Date],RD[Solar Operating Hours]),"")</f>
        <v/>
      </c>
      <c r="H11" s="5" t="str">
        <f>IFERROR(VLOOKUP(Grid_BD[[#This Row],[Affected Feeder ]],'Basic Data'!#REF!,3,0),"")</f>
        <v/>
      </c>
      <c r="I11" s="8" t="str">
        <f>IFERROR(VLOOKUP(Grid_BD[[#This Row],[Affected Feeder ]],'Basic Data'!#REF!,5,0),"")</f>
        <v/>
      </c>
      <c r="L11" s="20"/>
      <c r="M11" s="22"/>
      <c r="N11" s="20"/>
      <c r="O11" s="21">
        <f>(Grid_BD[[#This Row],[Work Start TimeStamp]]-Grid_BD[[#This Row],[Fault Start TimeStamp]])*24</f>
        <v>0</v>
      </c>
      <c r="P11" s="21">
        <f>(Grid_BD[[#This Row],[Fault Clearance time]]-Grid_BD[[#This Row],[Work Start TimeStamp]])*24</f>
        <v>0</v>
      </c>
      <c r="Q11" s="21">
        <f>(Grid_BD[[#This Row],[Fault Clearance time]]-Grid_BD[[#This Row],[Fault Start TimeStamp]])*24</f>
        <v>0</v>
      </c>
      <c r="R11" s="25"/>
      <c r="S11" s="5"/>
      <c r="T11" s="26" t="str">
        <f>IFERROR(Grid_BD[[#This Row],[Breakdown Time]]*Grid_BD[[#This Row],[Plant Equivalent Weightage]],"")</f>
        <v/>
      </c>
      <c r="U11" s="26"/>
      <c r="V11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4">
        <f>IF(K11="Curtailment Order",(((100%*(Grid_BD[[#This Row],[Op. Hours]]-T11))+(((W11)/'Basic Data'!$B$2)*T11))/Grid_BD[[#This Row],[Op. Hours]]),1)</f>
        <v>1</v>
      </c>
    </row>
    <row r="12" spans="1:24">
      <c r="A12" s="9">
        <f t="shared" si="0"/>
        <v>11</v>
      </c>
      <c r="B12" s="18"/>
      <c r="C12" s="29">
        <f>YEAR(Grid_BD[[#This Row],[Date]])+IF(MONTH(Grid_BD[[#This Row],[Date]])&gt;=4,1,0)</f>
        <v>1900</v>
      </c>
      <c r="D12" s="9">
        <f>YEAR(Grid_BD[[#This Row],[Date]])</f>
        <v>1900</v>
      </c>
      <c r="E12" s="9" t="s">
        <v>325</v>
      </c>
      <c r="G12" s="5" t="str">
        <f>IFERROR(_xlfn.XLOOKUP(Grid_BD[[#This Row],[Date]],RD[Date],RD[Solar Operating Hours]),"")</f>
        <v/>
      </c>
      <c r="H12" s="5" t="str">
        <f>IFERROR(VLOOKUP(Grid_BD[[#This Row],[Affected Feeder ]],'Basic Data'!#REF!,3,0),"")</f>
        <v/>
      </c>
      <c r="I12" s="8" t="str">
        <f>IFERROR(VLOOKUP(Grid_BD[[#This Row],[Affected Feeder ]],'Basic Data'!#REF!,5,0),"")</f>
        <v/>
      </c>
      <c r="L12" s="20"/>
      <c r="M12" s="20"/>
      <c r="N12" s="20"/>
      <c r="O12" s="21">
        <f>(Grid_BD[[#This Row],[Work Start TimeStamp]]-Grid_BD[[#This Row],[Fault Start TimeStamp]])*24</f>
        <v>0</v>
      </c>
      <c r="P12" s="21">
        <f>(Grid_BD[[#This Row],[Fault Clearance time]]-Grid_BD[[#This Row],[Work Start TimeStamp]])*24</f>
        <v>0</v>
      </c>
      <c r="Q12" s="21">
        <f>(Grid_BD[[#This Row],[Fault Clearance time]]-Grid_BD[[#This Row],[Fault Start TimeStamp]])*24</f>
        <v>0</v>
      </c>
      <c r="R12" s="25"/>
      <c r="S12" s="5"/>
      <c r="T12" s="26" t="str">
        <f>IFERROR(Grid_BD[[#This Row],[Breakdown Time]]*Grid_BD[[#This Row],[Plant Equivalent Weightage]],"")</f>
        <v/>
      </c>
      <c r="U12" s="26"/>
      <c r="V12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4">
        <f>IF(K12="Curtailment Order",(((100%*(Grid_BD[[#This Row],[Op. Hours]]-T12))+(((W12)/'Basic Data'!$B$2)*T12))/Grid_BD[[#This Row],[Op. Hours]]),1)</f>
        <v>1</v>
      </c>
    </row>
    <row r="13" spans="1:24">
      <c r="A13" s="9">
        <f t="shared" si="0"/>
        <v>12</v>
      </c>
      <c r="B13" s="18"/>
      <c r="C13" s="29">
        <f>YEAR(Grid_BD[[#This Row],[Date]])+IF(MONTH(Grid_BD[[#This Row],[Date]])&gt;=4,1,0)</f>
        <v>1900</v>
      </c>
      <c r="D13" s="9">
        <f>YEAR(Grid_BD[[#This Row],[Date]])</f>
        <v>1900</v>
      </c>
      <c r="E13" s="9" t="s">
        <v>325</v>
      </c>
      <c r="G13" s="5" t="str">
        <f>IFERROR(_xlfn.XLOOKUP(Grid_BD[[#This Row],[Date]],RD[Date],RD[Solar Operating Hours]),"")</f>
        <v/>
      </c>
      <c r="H13" s="5" t="str">
        <f>IFERROR(VLOOKUP(Grid_BD[[#This Row],[Affected Feeder ]],'Basic Data'!#REF!,3,0),"")</f>
        <v/>
      </c>
      <c r="I13" s="8" t="str">
        <f>IFERROR(VLOOKUP(Grid_BD[[#This Row],[Affected Feeder ]],'Basic Data'!#REF!,5,0),"")</f>
        <v/>
      </c>
      <c r="L13" s="20"/>
      <c r="M13" s="20"/>
      <c r="N13" s="20"/>
      <c r="O13" s="21">
        <f>(Grid_BD[[#This Row],[Work Start TimeStamp]]-Grid_BD[[#This Row],[Fault Start TimeStamp]])*24</f>
        <v>0</v>
      </c>
      <c r="P13" s="21">
        <f>(Grid_BD[[#This Row],[Fault Clearance time]]-Grid_BD[[#This Row],[Work Start TimeStamp]])*24</f>
        <v>0</v>
      </c>
      <c r="Q13" s="21">
        <f>(Grid_BD[[#This Row],[Fault Clearance time]]-Grid_BD[[#This Row],[Fault Start TimeStamp]])*24</f>
        <v>0</v>
      </c>
      <c r="R13" s="25"/>
      <c r="S13" s="5"/>
      <c r="T13" s="26" t="str">
        <f>IFERROR(Grid_BD[[#This Row],[Breakdown Time]]*Grid_BD[[#This Row],[Plant Equivalent Weightage]],"")</f>
        <v/>
      </c>
      <c r="U13" s="26"/>
      <c r="V13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4">
        <f>IF(K13="Curtailment Order",(((100%*(Grid_BD[[#This Row],[Op. Hours]]-T13))+(((W13)/'Basic Data'!$B$2)*T13))/Grid_BD[[#This Row],[Op. Hours]]),1)</f>
        <v>1</v>
      </c>
    </row>
    <row r="14" spans="1:24">
      <c r="A14" s="9">
        <f t="shared" si="0"/>
        <v>13</v>
      </c>
      <c r="B14" s="18"/>
      <c r="C14" s="29">
        <f>YEAR(Grid_BD[[#This Row],[Date]])+IF(MONTH(Grid_BD[[#This Row],[Date]])&gt;=4,1,0)</f>
        <v>1900</v>
      </c>
      <c r="D14" s="9">
        <f>YEAR(Grid_BD[[#This Row],[Date]])</f>
        <v>1900</v>
      </c>
      <c r="E14" s="9" t="s">
        <v>325</v>
      </c>
      <c r="G14" s="5" t="str">
        <f>IFERROR(_xlfn.XLOOKUP(Grid_BD[[#This Row],[Date]],RD[Date],RD[Solar Operating Hours]),"")</f>
        <v/>
      </c>
      <c r="H14" s="5" t="str">
        <f>IFERROR(VLOOKUP(Grid_BD[[#This Row],[Affected Feeder ]],'Basic Data'!#REF!,3,0),"")</f>
        <v/>
      </c>
      <c r="I14" s="8" t="str">
        <f>IFERROR(VLOOKUP(Grid_BD[[#This Row],[Affected Feeder ]],'Basic Data'!#REF!,5,0),"")</f>
        <v/>
      </c>
      <c r="L14" s="20"/>
      <c r="M14" s="20"/>
      <c r="N14" s="20"/>
      <c r="O14" s="21">
        <f>(Grid_BD[[#This Row],[Work Start TimeStamp]]-Grid_BD[[#This Row],[Fault Start TimeStamp]])*24</f>
        <v>0</v>
      </c>
      <c r="P14" s="21">
        <f>(Grid_BD[[#This Row],[Fault Clearance time]]-Grid_BD[[#This Row],[Work Start TimeStamp]])*24</f>
        <v>0</v>
      </c>
      <c r="Q14" s="21">
        <f>(Grid_BD[[#This Row],[Fault Clearance time]]-Grid_BD[[#This Row],[Fault Start TimeStamp]])*24</f>
        <v>0</v>
      </c>
      <c r="R14" s="25"/>
      <c r="S14" s="5"/>
      <c r="T14" s="26" t="str">
        <f>IFERROR(Grid_BD[[#This Row],[Breakdown Time]]*Grid_BD[[#This Row],[Plant Equivalent Weightage]],"")</f>
        <v/>
      </c>
      <c r="U14" s="26"/>
      <c r="V14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4">
        <f>IF(K14="Curtailment Order",(((100%*(Grid_BD[[#This Row],[Op. Hours]]-T14))+(((W14)/'Basic Data'!$B$2)*T14))/Grid_BD[[#This Row],[Op. Hours]]),1)</f>
        <v>1</v>
      </c>
    </row>
    <row r="15" spans="1:24">
      <c r="A15" s="9">
        <f t="shared" si="0"/>
        <v>14</v>
      </c>
      <c r="B15" s="18"/>
      <c r="C15" s="29">
        <f>YEAR(Grid_BD[[#This Row],[Date]])+IF(MONTH(Grid_BD[[#This Row],[Date]])&gt;=4,1,0)</f>
        <v>1900</v>
      </c>
      <c r="D15" s="9">
        <f>YEAR(Grid_BD[[#This Row],[Date]])</f>
        <v>1900</v>
      </c>
      <c r="E15" s="9" t="s">
        <v>325</v>
      </c>
      <c r="G15" s="5" t="str">
        <f>IFERROR(_xlfn.XLOOKUP(Grid_BD[[#This Row],[Date]],RD[Date],RD[Solar Operating Hours]),"")</f>
        <v/>
      </c>
      <c r="H15" s="5" t="str">
        <f>IFERROR(VLOOKUP(Grid_BD[[#This Row],[Affected Feeder ]],'Basic Data'!#REF!,3,0),"")</f>
        <v/>
      </c>
      <c r="I15" s="8" t="str">
        <f>IFERROR(VLOOKUP(Grid_BD[[#This Row],[Affected Feeder ]],'Basic Data'!#REF!,5,0),"")</f>
        <v/>
      </c>
      <c r="L15" s="20"/>
      <c r="M15" s="20"/>
      <c r="N15" s="20"/>
      <c r="O15" s="21">
        <f>(Grid_BD[[#This Row],[Work Start TimeStamp]]-Grid_BD[[#This Row],[Fault Start TimeStamp]])*24</f>
        <v>0</v>
      </c>
      <c r="P15" s="21">
        <f>(Grid_BD[[#This Row],[Fault Clearance time]]-Grid_BD[[#This Row],[Work Start TimeStamp]])*24</f>
        <v>0</v>
      </c>
      <c r="Q15" s="21">
        <f>(Grid_BD[[#This Row],[Fault Clearance time]]-Grid_BD[[#This Row],[Fault Start TimeStamp]])*24</f>
        <v>0</v>
      </c>
      <c r="R15" s="25"/>
      <c r="S15" s="5"/>
      <c r="T15" s="26" t="str">
        <f>IFERROR(Grid_BD[[#This Row],[Breakdown Time]]*Grid_BD[[#This Row],[Plant Equivalent Weightage]],"")</f>
        <v/>
      </c>
      <c r="U15" s="26"/>
      <c r="V15" s="29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4">
        <f>IF(K15="Curtailment Order",(((100%*(Grid_BD[[#This Row],[Op. Hours]]-T15))+(((W15)/'Basic Data'!$B$2)*T15))/Grid_BD[[#This Row],[Op. Hours]]),1)</f>
        <v>1</v>
      </c>
    </row>
    <row r="548" spans="7:7">
      <c r="G548" s="5" t="s">
        <v>27</v>
      </c>
    </row>
    <row r="608" spans="7:7">
      <c r="G608" s="5" t="s">
        <v>1143</v>
      </c>
    </row>
  </sheetData>
  <phoneticPr fontId="105" type="noConversion"/>
  <dataValidations count="1">
    <dataValidation type="decimal" allowBlank="1" showInputMessage="1" showErrorMessage="1" sqref="W2:W15" xr:uid="{00000000-0002-0000-0A00-000003000000}">
      <formula1>0</formula1>
      <formula2>50.6</formula2>
    </dataValidation>
  </dataValidations>
  <pageMargins left="0.7" right="0.7" top="0.75" bottom="0.75" header="0.3" footer="0.3"/>
  <pageSetup orientation="portrait"/>
  <headerFooter>
    <oddFooter>&amp;C&amp;1#&amp;"Calibri"&amp;8&amp;K000000Classification: Confidential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2000000}">
          <x14:formula1>
            <xm:f>'Basic Data'!#REF!</xm:f>
          </x14:formula1>
          <xm:sqref>S2:S15 L16:L1048576 K2:K15</xm:sqref>
        </x14:dataValidation>
        <x14:dataValidation type="list" allowBlank="1" showInputMessage="1" showErrorMessage="1" xr:uid="{34AEA63B-12FD-4DF3-B78B-E81BD1A20AAE}">
          <x14:formula1>
            <xm:f>'Basic Data'!$N$2:$N$11</xm:f>
          </x14:formula1>
          <xm:sqref>F2:F1048576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50A3-A1AA-42BD-811F-803F2BF17B31}">
  <dimension ref="A1:AT185"/>
  <sheetViews>
    <sheetView topLeftCell="A2" zoomScale="112" zoomScaleNormal="112" workbookViewId="0">
      <pane xSplit="2" ySplit="1" topLeftCell="C180" activePane="bottomRight" state="frozen"/>
      <selection pane="topRight" activeCell="C2" sqref="C2"/>
      <selection pane="bottomLeft" activeCell="A3" sqref="A3"/>
      <selection pane="bottomRight" activeCell="M148" sqref="M148"/>
    </sheetView>
  </sheetViews>
  <sheetFormatPr defaultColWidth="8.85546875" defaultRowHeight="15"/>
  <cols>
    <col min="1" max="1" width="13.140625" customWidth="1"/>
    <col min="2" max="2" width="11.140625" customWidth="1"/>
    <col min="3" max="6" width="13.140625" customWidth="1"/>
    <col min="7" max="7" width="10.85546875" style="5" customWidth="1"/>
    <col min="8" max="8" width="9.140625" style="5"/>
    <col min="10" max="36" width="13.140625" customWidth="1"/>
    <col min="37" max="38" width="11.85546875" bestFit="1" customWidth="1"/>
    <col min="39" max="39" width="13.140625" customWidth="1"/>
    <col min="40" max="40" width="11.140625" style="5" customWidth="1"/>
    <col min="41" max="46" width="13.140625" customWidth="1"/>
    <col min="47" max="47" width="48.140625" customWidth="1"/>
  </cols>
  <sheetData>
    <row r="1" spans="1:46" hidden="1">
      <c r="AM1" s="5"/>
      <c r="AN1"/>
    </row>
    <row r="2" spans="1:46" s="44" customFormat="1" ht="38.25">
      <c r="A2" s="110" t="s">
        <v>6</v>
      </c>
      <c r="B2" s="111" t="s">
        <v>68</v>
      </c>
      <c r="C2" s="110" t="s">
        <v>113</v>
      </c>
      <c r="D2" s="110" t="s">
        <v>114</v>
      </c>
      <c r="E2" s="110" t="s">
        <v>1144</v>
      </c>
      <c r="F2" s="110" t="s">
        <v>309</v>
      </c>
      <c r="G2" s="110" t="s">
        <v>71</v>
      </c>
      <c r="H2" s="110" t="s">
        <v>47</v>
      </c>
      <c r="I2" s="110" t="s">
        <v>1145</v>
      </c>
      <c r="J2" s="110" t="s">
        <v>1146</v>
      </c>
      <c r="K2" s="141" t="s">
        <v>117</v>
      </c>
      <c r="L2" s="141" t="s">
        <v>118</v>
      </c>
      <c r="M2" s="141" t="s">
        <v>119</v>
      </c>
      <c r="N2" s="141" t="s">
        <v>120</v>
      </c>
      <c r="O2" s="141" t="s">
        <v>121</v>
      </c>
      <c r="P2" s="141" t="s">
        <v>122</v>
      </c>
      <c r="Q2" s="141" t="s">
        <v>123</v>
      </c>
      <c r="R2" s="141" t="s">
        <v>124</v>
      </c>
      <c r="S2" s="141" t="s">
        <v>1147</v>
      </c>
      <c r="T2" s="141" t="s">
        <v>1148</v>
      </c>
      <c r="U2" s="141" t="s">
        <v>1149</v>
      </c>
      <c r="V2" s="141" t="s">
        <v>1150</v>
      </c>
      <c r="W2" s="141" t="s">
        <v>1151</v>
      </c>
      <c r="X2" s="141" t="s">
        <v>1152</v>
      </c>
      <c r="Y2" s="141" t="s">
        <v>1153</v>
      </c>
      <c r="Z2" s="141" t="s">
        <v>1154</v>
      </c>
      <c r="AA2" s="49" t="s">
        <v>1155</v>
      </c>
      <c r="AB2" s="49" t="s">
        <v>1156</v>
      </c>
      <c r="AC2" s="49" t="s">
        <v>1157</v>
      </c>
      <c r="AD2" s="49" t="s">
        <v>1158</v>
      </c>
      <c r="AE2" s="49" t="s">
        <v>1159</v>
      </c>
      <c r="AF2" s="49" t="s">
        <v>1160</v>
      </c>
      <c r="AG2" s="49" t="s">
        <v>1161</v>
      </c>
      <c r="AH2" s="49" t="s">
        <v>1162</v>
      </c>
      <c r="AI2" s="49" t="s">
        <v>1163</v>
      </c>
      <c r="AJ2" s="49" t="s">
        <v>1164</v>
      </c>
      <c r="AK2" s="49" t="s">
        <v>1165</v>
      </c>
      <c r="AL2" s="49" t="s">
        <v>1166</v>
      </c>
      <c r="AM2" s="110" t="s">
        <v>1167</v>
      </c>
      <c r="AN2" s="110" t="s">
        <v>1168</v>
      </c>
      <c r="AO2" s="110" t="s">
        <v>1169</v>
      </c>
      <c r="AP2" s="110" t="s">
        <v>1170</v>
      </c>
      <c r="AQ2" s="110" t="s">
        <v>1171</v>
      </c>
      <c r="AR2" s="110" t="s">
        <v>1172</v>
      </c>
      <c r="AS2" s="110" t="s">
        <v>1173</v>
      </c>
      <c r="AT2" s="110" t="s">
        <v>1174</v>
      </c>
    </row>
    <row r="3" spans="1:46">
      <c r="A3" s="112">
        <v>1</v>
      </c>
      <c r="B3" s="113">
        <v>45323</v>
      </c>
      <c r="C3" s="114">
        <f>YEAR(MC[[#This Row],[Date]])+IF(MONTH(MC[[#This Row],[Date]])&gt;=4,1,0)</f>
        <v>2024</v>
      </c>
      <c r="D3" s="115">
        <f>YEAR(MC[[#This Row],[Date]])</f>
        <v>2024</v>
      </c>
      <c r="E3" s="112" t="s">
        <v>326</v>
      </c>
      <c r="F3" s="112" t="s">
        <v>326</v>
      </c>
      <c r="G3" s="116" t="str">
        <f>TEXT(MC[[#This Row],[Date]],"mmm-yy")</f>
        <v>Feb-24</v>
      </c>
      <c r="H3" s="116">
        <f>DAY(EOMONTH(MC[[#This Row],[Month Year]],0))</f>
        <v>29</v>
      </c>
      <c r="I3" s="112">
        <v>1</v>
      </c>
      <c r="J3" s="112">
        <v>2</v>
      </c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5">
        <f>SUM(MC[[#This Row],[IS1Inv1M1]:[IS4Inv10M2]])</f>
        <v>0</v>
      </c>
      <c r="AN3" s="117"/>
      <c r="AO3" s="117"/>
      <c r="AP3" s="117"/>
      <c r="AQ3" s="117"/>
      <c r="AR3" s="112"/>
      <c r="AS3" s="112"/>
      <c r="AT3" s="118"/>
    </row>
    <row r="4" spans="1:46">
      <c r="A4" s="119">
        <v>2</v>
      </c>
      <c r="B4" s="113">
        <f>B3+1</f>
        <v>45324</v>
      </c>
      <c r="C4" s="114">
        <f>YEAR(MC[[#This Row],[Date]])+IF(MONTH(MC[[#This Row],[Date]])&gt;=4,1,0)</f>
        <v>2024</v>
      </c>
      <c r="D4" s="115">
        <f>YEAR(MC[[#This Row],[Date]])</f>
        <v>2024</v>
      </c>
      <c r="E4" s="112" t="s">
        <v>326</v>
      </c>
      <c r="F4" s="112" t="s">
        <v>326</v>
      </c>
      <c r="G4" s="116" t="str">
        <f>TEXT(MC[[#This Row],[Date]],"mmm-yy")</f>
        <v>Feb-24</v>
      </c>
      <c r="H4" s="116">
        <f>DAY(EOMONTH(MC[[#This Row],[Month Year]],0))</f>
        <v>29</v>
      </c>
      <c r="I4" s="119">
        <v>1</v>
      </c>
      <c r="J4" s="119">
        <v>2</v>
      </c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5">
        <f>SUM(MC[[#This Row],[IS1Inv1M1]:[IS4Inv10M2]])</f>
        <v>0</v>
      </c>
      <c r="AN4" s="120"/>
      <c r="AO4" s="120"/>
      <c r="AP4" s="120"/>
      <c r="AQ4" s="120"/>
      <c r="AR4" s="119"/>
      <c r="AS4" s="119"/>
      <c r="AT4" s="118"/>
    </row>
    <row r="5" spans="1:46">
      <c r="A5" s="119">
        <v>3</v>
      </c>
      <c r="B5" s="113">
        <f t="shared" ref="B5:B68" si="0">B4+1</f>
        <v>45325</v>
      </c>
      <c r="C5" s="114">
        <f>YEAR(MC[[#This Row],[Date]])+IF(MONTH(MC[[#This Row],[Date]])&gt;=4,1,0)</f>
        <v>2024</v>
      </c>
      <c r="D5" s="115">
        <f>YEAR(MC[[#This Row],[Date]])</f>
        <v>2024</v>
      </c>
      <c r="E5" s="112" t="s">
        <v>326</v>
      </c>
      <c r="F5" s="112" t="s">
        <v>326</v>
      </c>
      <c r="G5" s="116" t="str">
        <f>TEXT(MC[[#This Row],[Date]],"mmm-yy")</f>
        <v>Feb-24</v>
      </c>
      <c r="H5" s="116">
        <f>DAY(EOMONTH(MC[[#This Row],[Month Year]],0))</f>
        <v>29</v>
      </c>
      <c r="I5" s="119">
        <v>1</v>
      </c>
      <c r="J5" s="119">
        <v>2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5">
        <f>SUM(MC[[#This Row],[IS1Inv1M1]:[IS4Inv10M2]])</f>
        <v>0</v>
      </c>
      <c r="AN5" s="119"/>
      <c r="AO5" s="119"/>
      <c r="AP5" s="120"/>
      <c r="AQ5" s="120"/>
      <c r="AR5" s="119"/>
      <c r="AS5" s="119"/>
      <c r="AT5" s="119"/>
    </row>
    <row r="6" spans="1:46">
      <c r="A6" s="119">
        <v>4</v>
      </c>
      <c r="B6" s="113">
        <f t="shared" si="0"/>
        <v>45326</v>
      </c>
      <c r="C6" s="114">
        <f>YEAR(MC[[#This Row],[Date]])+IF(MONTH(MC[[#This Row],[Date]])&gt;=4,1,0)</f>
        <v>2024</v>
      </c>
      <c r="D6" s="115">
        <f>YEAR(MC[[#This Row],[Date]])</f>
        <v>2024</v>
      </c>
      <c r="E6" s="112" t="s">
        <v>326</v>
      </c>
      <c r="F6" s="112" t="s">
        <v>326</v>
      </c>
      <c r="G6" s="116" t="str">
        <f>TEXT(MC[[#This Row],[Date]],"mmm-yy")</f>
        <v>Feb-24</v>
      </c>
      <c r="H6" s="116">
        <f>DAY(EOMONTH(MC[[#This Row],[Month Year]],0))</f>
        <v>29</v>
      </c>
      <c r="I6" s="119">
        <v>1</v>
      </c>
      <c r="J6" s="119">
        <v>0</v>
      </c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5">
        <f>SUM(MC[[#This Row],[IS1Inv1M1]:[IS4Inv10M2]])</f>
        <v>0</v>
      </c>
      <c r="AN6" s="120"/>
      <c r="AO6" s="120"/>
      <c r="AP6" s="120"/>
      <c r="AQ6" s="120"/>
      <c r="AR6" s="119"/>
      <c r="AS6" s="119"/>
      <c r="AT6" s="119"/>
    </row>
    <row r="7" spans="1:46">
      <c r="A7" s="119">
        <v>5</v>
      </c>
      <c r="B7" s="113">
        <f t="shared" si="0"/>
        <v>45327</v>
      </c>
      <c r="C7" s="114">
        <f>YEAR(MC[[#This Row],[Date]])+IF(MONTH(MC[[#This Row],[Date]])&gt;=4,1,0)</f>
        <v>2024</v>
      </c>
      <c r="D7" s="115">
        <f>YEAR(MC[[#This Row],[Date]])</f>
        <v>2024</v>
      </c>
      <c r="E7" s="112" t="s">
        <v>326</v>
      </c>
      <c r="F7" s="112" t="s">
        <v>326</v>
      </c>
      <c r="G7" s="116" t="str">
        <f>TEXT(MC[[#This Row],[Date]],"mmm-yy")</f>
        <v>Feb-24</v>
      </c>
      <c r="H7" s="116">
        <f>DAY(EOMONTH(MC[[#This Row],[Month Year]],0))</f>
        <v>29</v>
      </c>
      <c r="I7" s="119">
        <v>1</v>
      </c>
      <c r="J7" s="119">
        <v>2</v>
      </c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5">
        <f>SUM(MC[[#This Row],[IS1Inv1M1]:[IS4Inv10M2]])</f>
        <v>0</v>
      </c>
      <c r="AN7" s="120"/>
      <c r="AO7" s="120"/>
      <c r="AP7" s="120"/>
      <c r="AQ7" s="120"/>
      <c r="AR7" s="119"/>
      <c r="AS7" s="119"/>
      <c r="AT7" s="119"/>
    </row>
    <row r="8" spans="1:46">
      <c r="A8" s="119">
        <v>6</v>
      </c>
      <c r="B8" s="113">
        <f t="shared" si="0"/>
        <v>45328</v>
      </c>
      <c r="C8" s="114">
        <f>YEAR(MC[[#This Row],[Date]])+IF(MONTH(MC[[#This Row],[Date]])&gt;=4,1,0)</f>
        <v>2024</v>
      </c>
      <c r="D8" s="115">
        <f>YEAR(MC[[#This Row],[Date]])</f>
        <v>2024</v>
      </c>
      <c r="E8" s="112" t="s">
        <v>326</v>
      </c>
      <c r="F8" s="112" t="s">
        <v>326</v>
      </c>
      <c r="G8" s="116" t="str">
        <f>TEXT(MC[[#This Row],[Date]],"mmm-yy")</f>
        <v>Feb-24</v>
      </c>
      <c r="H8" s="116">
        <f>DAY(EOMONTH(MC[[#This Row],[Month Year]],0))</f>
        <v>29</v>
      </c>
      <c r="I8" s="119">
        <v>1</v>
      </c>
      <c r="J8" s="119">
        <v>2</v>
      </c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5">
        <f>SUM(MC[[#This Row],[IS1Inv1M1]:[IS4Inv10M2]])</f>
        <v>0</v>
      </c>
      <c r="AN8" s="119"/>
      <c r="AO8" s="119"/>
      <c r="AP8" s="119"/>
      <c r="AQ8" s="119"/>
      <c r="AR8" s="119"/>
      <c r="AS8" s="119"/>
      <c r="AT8" s="119"/>
    </row>
    <row r="9" spans="1:46">
      <c r="A9" s="119">
        <v>7</v>
      </c>
      <c r="B9" s="113">
        <f t="shared" si="0"/>
        <v>45329</v>
      </c>
      <c r="C9" s="114">
        <f>YEAR(MC[[#This Row],[Date]])+IF(MONTH(MC[[#This Row],[Date]])&gt;=4,1,0)</f>
        <v>2024</v>
      </c>
      <c r="D9" s="115">
        <f>YEAR(MC[[#This Row],[Date]])</f>
        <v>2024</v>
      </c>
      <c r="E9" s="112" t="s">
        <v>326</v>
      </c>
      <c r="F9" s="112" t="s">
        <v>326</v>
      </c>
      <c r="G9" s="116" t="str">
        <f>TEXT(MC[[#This Row],[Date]],"mmm-yy")</f>
        <v>Feb-24</v>
      </c>
      <c r="H9" s="116">
        <f>DAY(EOMONTH(MC[[#This Row],[Month Year]],0))</f>
        <v>29</v>
      </c>
      <c r="I9" s="119">
        <v>1</v>
      </c>
      <c r="J9" s="119">
        <v>2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5">
        <f>SUM(MC[[#This Row],[IS1Inv1M1]:[IS4Inv10M2]])</f>
        <v>0</v>
      </c>
      <c r="AN9" s="119"/>
      <c r="AO9" s="119"/>
      <c r="AP9" s="120"/>
      <c r="AQ9" s="120"/>
      <c r="AR9" s="119"/>
      <c r="AS9" s="119"/>
      <c r="AT9" s="119"/>
    </row>
    <row r="10" spans="1:46">
      <c r="A10" s="119">
        <v>8</v>
      </c>
      <c r="B10" s="113">
        <f t="shared" si="0"/>
        <v>45330</v>
      </c>
      <c r="C10" s="114">
        <f>YEAR(MC[[#This Row],[Date]])+IF(MONTH(MC[[#This Row],[Date]])&gt;=4,1,0)</f>
        <v>2024</v>
      </c>
      <c r="D10" s="115">
        <f>YEAR(MC[[#This Row],[Date]])</f>
        <v>2024</v>
      </c>
      <c r="E10" s="112" t="s">
        <v>326</v>
      </c>
      <c r="F10" s="112" t="s">
        <v>326</v>
      </c>
      <c r="G10" s="116" t="str">
        <f>TEXT(MC[[#This Row],[Date]],"mmm-yy")</f>
        <v>Feb-24</v>
      </c>
      <c r="H10" s="116">
        <f>DAY(EOMONTH(MC[[#This Row],[Month Year]],0))</f>
        <v>29</v>
      </c>
      <c r="I10" s="119">
        <v>1</v>
      </c>
      <c r="J10" s="119">
        <v>2</v>
      </c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5">
        <f>SUM(MC[[#This Row],[IS1Inv1M1]:[IS4Inv10M2]])</f>
        <v>0</v>
      </c>
      <c r="AN10" s="120"/>
      <c r="AO10" s="120"/>
      <c r="AP10" s="120"/>
      <c r="AQ10" s="120"/>
      <c r="AR10" s="119"/>
      <c r="AS10" s="119"/>
      <c r="AT10" s="119"/>
    </row>
    <row r="11" spans="1:46">
      <c r="A11" s="119">
        <v>9</v>
      </c>
      <c r="B11" s="113">
        <f t="shared" si="0"/>
        <v>45331</v>
      </c>
      <c r="C11" s="114">
        <f>YEAR(MC[[#This Row],[Date]])+IF(MONTH(MC[[#This Row],[Date]])&gt;=4,1,0)</f>
        <v>2024</v>
      </c>
      <c r="D11" s="115">
        <f>YEAR(MC[[#This Row],[Date]])</f>
        <v>2024</v>
      </c>
      <c r="E11" s="112" t="s">
        <v>326</v>
      </c>
      <c r="F11" s="112" t="s">
        <v>326</v>
      </c>
      <c r="G11" s="116" t="str">
        <f>TEXT(MC[[#This Row],[Date]],"mmm-yy")</f>
        <v>Feb-24</v>
      </c>
      <c r="H11" s="116">
        <f>DAY(EOMONTH(MC[[#This Row],[Month Year]],0))</f>
        <v>29</v>
      </c>
      <c r="I11" s="119">
        <v>1</v>
      </c>
      <c r="J11" s="119">
        <v>2</v>
      </c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5">
        <f>SUM(MC[[#This Row],[IS1Inv1M1]:[IS4Inv10M2]])</f>
        <v>0</v>
      </c>
      <c r="AN11" s="120"/>
      <c r="AO11" s="120"/>
      <c r="AP11" s="120"/>
      <c r="AQ11" s="120"/>
      <c r="AR11" s="119"/>
      <c r="AS11" s="119"/>
      <c r="AT11" s="119"/>
    </row>
    <row r="12" spans="1:46">
      <c r="A12" s="119">
        <v>10</v>
      </c>
      <c r="B12" s="113">
        <f t="shared" si="0"/>
        <v>45332</v>
      </c>
      <c r="C12" s="114">
        <f>YEAR(MC[[#This Row],[Date]])+IF(MONTH(MC[[#This Row],[Date]])&gt;=4,1,0)</f>
        <v>2024</v>
      </c>
      <c r="D12" s="115">
        <f>YEAR(MC[[#This Row],[Date]])</f>
        <v>2024</v>
      </c>
      <c r="E12" s="112" t="s">
        <v>326</v>
      </c>
      <c r="F12" s="112" t="s">
        <v>326</v>
      </c>
      <c r="G12" s="116" t="str">
        <f>TEXT(MC[[#This Row],[Date]],"mmm-yy")</f>
        <v>Feb-24</v>
      </c>
      <c r="H12" s="116">
        <f>DAY(EOMONTH(MC[[#This Row],[Month Year]],0))</f>
        <v>29</v>
      </c>
      <c r="I12" s="119">
        <v>1</v>
      </c>
      <c r="J12" s="119">
        <v>0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5">
        <f>SUM(MC[[#This Row],[IS1Inv1M1]:[IS4Inv10M2]])</f>
        <v>0</v>
      </c>
      <c r="AN12" s="119"/>
      <c r="AO12" s="119"/>
      <c r="AP12" s="120"/>
      <c r="AQ12" s="120"/>
      <c r="AR12" s="119"/>
      <c r="AS12" s="119"/>
      <c r="AT12" s="119"/>
    </row>
    <row r="13" spans="1:46">
      <c r="A13" s="119">
        <v>11</v>
      </c>
      <c r="B13" s="113">
        <f t="shared" si="0"/>
        <v>45333</v>
      </c>
      <c r="C13" s="114">
        <f>YEAR(MC[[#This Row],[Date]])+IF(MONTH(MC[[#This Row],[Date]])&gt;=4,1,0)</f>
        <v>2024</v>
      </c>
      <c r="D13" s="115">
        <f>YEAR(MC[[#This Row],[Date]])</f>
        <v>2024</v>
      </c>
      <c r="E13" s="112" t="s">
        <v>326</v>
      </c>
      <c r="F13" s="112" t="s">
        <v>326</v>
      </c>
      <c r="G13" s="116" t="str">
        <f>TEXT(MC[[#This Row],[Date]],"mmm-yy")</f>
        <v>Feb-24</v>
      </c>
      <c r="H13" s="116">
        <f>DAY(EOMONTH(MC[[#This Row],[Month Year]],0))</f>
        <v>29</v>
      </c>
      <c r="I13" s="119">
        <v>1</v>
      </c>
      <c r="J13" s="119">
        <v>2</v>
      </c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5">
        <f>SUM(MC[[#This Row],[IS1Inv1M1]:[IS4Inv10M2]])</f>
        <v>0</v>
      </c>
      <c r="AN13" s="120"/>
      <c r="AO13" s="120"/>
      <c r="AP13" s="120"/>
      <c r="AQ13" s="120"/>
      <c r="AR13" s="119"/>
      <c r="AS13" s="119"/>
      <c r="AT13" s="119"/>
    </row>
    <row r="14" spans="1:46">
      <c r="A14" s="119">
        <v>12</v>
      </c>
      <c r="B14" s="113">
        <f t="shared" si="0"/>
        <v>45334</v>
      </c>
      <c r="C14" s="114">
        <f>YEAR(MC[[#This Row],[Date]])+IF(MONTH(MC[[#This Row],[Date]])&gt;=4,1,0)</f>
        <v>2024</v>
      </c>
      <c r="D14" s="115">
        <f>YEAR(MC[[#This Row],[Date]])</f>
        <v>2024</v>
      </c>
      <c r="E14" s="112" t="s">
        <v>326</v>
      </c>
      <c r="F14" s="112" t="s">
        <v>326</v>
      </c>
      <c r="G14" s="116" t="str">
        <f>TEXT(MC[[#This Row],[Date]],"mmm-yy")</f>
        <v>Feb-24</v>
      </c>
      <c r="H14" s="116">
        <f>DAY(EOMONTH(MC[[#This Row],[Month Year]],0))</f>
        <v>29</v>
      </c>
      <c r="I14" s="119">
        <v>1</v>
      </c>
      <c r="J14" s="119">
        <v>2</v>
      </c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5">
        <f>SUM(MC[[#This Row],[IS1Inv1M1]:[IS4Inv10M2]])</f>
        <v>0</v>
      </c>
      <c r="AN14" s="120"/>
      <c r="AO14" s="120"/>
      <c r="AP14" s="120"/>
      <c r="AQ14" s="120"/>
      <c r="AR14" s="119"/>
      <c r="AS14" s="119"/>
      <c r="AT14" s="119"/>
    </row>
    <row r="15" spans="1:46">
      <c r="A15" s="119">
        <v>13</v>
      </c>
      <c r="B15" s="113">
        <f t="shared" si="0"/>
        <v>45335</v>
      </c>
      <c r="C15" s="114">
        <f>YEAR(MC[[#This Row],[Date]])+IF(MONTH(MC[[#This Row],[Date]])&gt;=4,1,0)</f>
        <v>2024</v>
      </c>
      <c r="D15" s="115">
        <f>YEAR(MC[[#This Row],[Date]])</f>
        <v>2024</v>
      </c>
      <c r="E15" s="112" t="s">
        <v>326</v>
      </c>
      <c r="F15" s="112" t="s">
        <v>326</v>
      </c>
      <c r="G15" s="116" t="str">
        <f>TEXT(MC[[#This Row],[Date]],"mmm-yy")</f>
        <v>Feb-24</v>
      </c>
      <c r="H15" s="116">
        <f>DAY(EOMONTH(MC[[#This Row],[Month Year]],0))</f>
        <v>29</v>
      </c>
      <c r="I15" s="119">
        <v>1</v>
      </c>
      <c r="J15" s="119">
        <v>2</v>
      </c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5">
        <f>SUM(MC[[#This Row],[IS1Inv1M1]:[IS4Inv10M2]])</f>
        <v>0</v>
      </c>
      <c r="AN15" s="120"/>
      <c r="AO15" s="120"/>
      <c r="AP15" s="120"/>
      <c r="AQ15" s="120"/>
      <c r="AR15" s="119"/>
      <c r="AS15" s="119"/>
      <c r="AT15" s="119"/>
    </row>
    <row r="16" spans="1:46">
      <c r="A16" s="119">
        <v>14</v>
      </c>
      <c r="B16" s="113">
        <f t="shared" si="0"/>
        <v>45336</v>
      </c>
      <c r="C16" s="114">
        <f>YEAR(MC[[#This Row],[Date]])+IF(MONTH(MC[[#This Row],[Date]])&gt;=4,1,0)</f>
        <v>2024</v>
      </c>
      <c r="D16" s="115">
        <f>YEAR(MC[[#This Row],[Date]])</f>
        <v>2024</v>
      </c>
      <c r="E16" s="112" t="s">
        <v>326</v>
      </c>
      <c r="F16" s="112" t="s">
        <v>326</v>
      </c>
      <c r="G16" s="116" t="str">
        <f>TEXT(MC[[#This Row],[Date]],"mmm-yy")</f>
        <v>Feb-24</v>
      </c>
      <c r="H16" s="116">
        <f>DAY(EOMONTH(MC[[#This Row],[Month Year]],0))</f>
        <v>29</v>
      </c>
      <c r="I16" s="119">
        <v>1</v>
      </c>
      <c r="J16" s="119">
        <v>2</v>
      </c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5">
        <f>SUM(MC[[#This Row],[IS1Inv1M1]:[IS4Inv10M2]])</f>
        <v>0</v>
      </c>
      <c r="AN16" s="120"/>
      <c r="AO16" s="120"/>
      <c r="AP16" s="120"/>
      <c r="AQ16" s="120"/>
      <c r="AR16" s="119"/>
      <c r="AS16" s="119"/>
      <c r="AT16" s="119"/>
    </row>
    <row r="17" spans="1:46">
      <c r="A17" s="119">
        <v>15</v>
      </c>
      <c r="B17" s="113">
        <f t="shared" si="0"/>
        <v>45337</v>
      </c>
      <c r="C17" s="114">
        <f>YEAR(MC[[#This Row],[Date]])+IF(MONTH(MC[[#This Row],[Date]])&gt;=4,1,0)</f>
        <v>2024</v>
      </c>
      <c r="D17" s="115">
        <f>YEAR(MC[[#This Row],[Date]])</f>
        <v>2024</v>
      </c>
      <c r="E17" s="112" t="s">
        <v>326</v>
      </c>
      <c r="F17" s="112" t="s">
        <v>326</v>
      </c>
      <c r="G17" s="116" t="str">
        <f>TEXT(MC[[#This Row],[Date]],"mmm-yy")</f>
        <v>Feb-24</v>
      </c>
      <c r="H17" s="116">
        <f>DAY(EOMONTH(MC[[#This Row],[Month Year]],0))</f>
        <v>29</v>
      </c>
      <c r="I17" s="119">
        <v>1</v>
      </c>
      <c r="J17" s="119">
        <v>2</v>
      </c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5">
        <f>SUM(MC[[#This Row],[IS1Inv1M1]:[IS4Inv10M2]])</f>
        <v>0</v>
      </c>
      <c r="AN17" s="120"/>
      <c r="AO17" s="120"/>
      <c r="AP17" s="120"/>
      <c r="AQ17" s="120"/>
      <c r="AR17" s="119"/>
      <c r="AS17" s="119"/>
      <c r="AT17" s="119"/>
    </row>
    <row r="18" spans="1:46">
      <c r="A18" s="119">
        <v>16</v>
      </c>
      <c r="B18" s="113">
        <f t="shared" si="0"/>
        <v>45338</v>
      </c>
      <c r="C18" s="114">
        <f>YEAR(MC[[#This Row],[Date]])+IF(MONTH(MC[[#This Row],[Date]])&gt;=4,1,0)</f>
        <v>2024</v>
      </c>
      <c r="D18" s="115">
        <f>YEAR(MC[[#This Row],[Date]])</f>
        <v>2024</v>
      </c>
      <c r="E18" s="112" t="s">
        <v>326</v>
      </c>
      <c r="F18" s="112" t="s">
        <v>326</v>
      </c>
      <c r="G18" s="116" t="str">
        <f>TEXT(MC[[#This Row],[Date]],"mmm-yy")</f>
        <v>Feb-24</v>
      </c>
      <c r="H18" s="116">
        <f>DAY(EOMONTH(MC[[#This Row],[Month Year]],0))</f>
        <v>29</v>
      </c>
      <c r="I18" s="119">
        <v>1</v>
      </c>
      <c r="J18" s="119">
        <v>2</v>
      </c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5">
        <f>SUM(MC[[#This Row],[IS1Inv1M1]:[IS4Inv10M2]])</f>
        <v>0</v>
      </c>
      <c r="AN18" s="120"/>
      <c r="AO18" s="120"/>
      <c r="AP18" s="120"/>
      <c r="AQ18" s="120"/>
      <c r="AR18" s="119"/>
      <c r="AS18" s="119"/>
      <c r="AT18" s="119"/>
    </row>
    <row r="19" spans="1:46">
      <c r="A19" s="119">
        <v>17</v>
      </c>
      <c r="B19" s="113">
        <f t="shared" si="0"/>
        <v>45339</v>
      </c>
      <c r="C19" s="114">
        <f>YEAR(MC[[#This Row],[Date]])+IF(MONTH(MC[[#This Row],[Date]])&gt;=4,1,0)</f>
        <v>2024</v>
      </c>
      <c r="D19" s="115">
        <f>YEAR(MC[[#This Row],[Date]])</f>
        <v>2024</v>
      </c>
      <c r="E19" s="112" t="s">
        <v>326</v>
      </c>
      <c r="F19" s="112" t="s">
        <v>326</v>
      </c>
      <c r="G19" s="116" t="str">
        <f>TEXT(MC[[#This Row],[Date]],"mmm-yy")</f>
        <v>Feb-24</v>
      </c>
      <c r="H19" s="116">
        <f>DAY(EOMONTH(MC[[#This Row],[Month Year]],0))</f>
        <v>29</v>
      </c>
      <c r="I19" s="119">
        <v>1</v>
      </c>
      <c r="J19" s="119">
        <v>2</v>
      </c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5">
        <f>SUM(MC[[#This Row],[IS1Inv1M1]:[IS4Inv10M2]])</f>
        <v>0</v>
      </c>
      <c r="AN19" s="120"/>
      <c r="AO19" s="120"/>
      <c r="AP19" s="120"/>
      <c r="AQ19" s="120"/>
      <c r="AR19" s="119"/>
      <c r="AS19" s="119"/>
      <c r="AT19" s="119"/>
    </row>
    <row r="20" spans="1:46">
      <c r="A20" s="119">
        <v>18</v>
      </c>
      <c r="B20" s="113">
        <f t="shared" si="0"/>
        <v>45340</v>
      </c>
      <c r="C20" s="114">
        <f>YEAR(MC[[#This Row],[Date]])+IF(MONTH(MC[[#This Row],[Date]])&gt;=4,1,0)</f>
        <v>2024</v>
      </c>
      <c r="D20" s="115">
        <f>YEAR(MC[[#This Row],[Date]])</f>
        <v>2024</v>
      </c>
      <c r="E20" s="112" t="s">
        <v>326</v>
      </c>
      <c r="F20" s="112" t="s">
        <v>326</v>
      </c>
      <c r="G20" s="116" t="str">
        <f>TEXT(MC[[#This Row],[Date]],"mmm-yy")</f>
        <v>Feb-24</v>
      </c>
      <c r="H20" s="116">
        <f>DAY(EOMONTH(MC[[#This Row],[Month Year]],0))</f>
        <v>29</v>
      </c>
      <c r="I20" s="119">
        <v>1</v>
      </c>
      <c r="J20" s="119">
        <v>0</v>
      </c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5">
        <f>SUM(MC[[#This Row],[IS1Inv1M1]:[IS4Inv10M2]])</f>
        <v>0</v>
      </c>
      <c r="AN20" s="120"/>
      <c r="AO20" s="120"/>
      <c r="AP20" s="120"/>
      <c r="AQ20" s="120"/>
      <c r="AR20" s="119"/>
      <c r="AS20" s="119"/>
      <c r="AT20" s="119"/>
    </row>
    <row r="21" spans="1:46">
      <c r="A21" s="119">
        <v>19</v>
      </c>
      <c r="B21" s="113">
        <f t="shared" si="0"/>
        <v>45341</v>
      </c>
      <c r="C21" s="114">
        <f>YEAR(MC[[#This Row],[Date]])+IF(MONTH(MC[[#This Row],[Date]])&gt;=4,1,0)</f>
        <v>2024</v>
      </c>
      <c r="D21" s="115">
        <f>YEAR(MC[[#This Row],[Date]])</f>
        <v>2024</v>
      </c>
      <c r="E21" s="112" t="s">
        <v>326</v>
      </c>
      <c r="F21" s="112" t="s">
        <v>326</v>
      </c>
      <c r="G21" s="116" t="str">
        <f>TEXT(MC[[#This Row],[Date]],"mmm-yy")</f>
        <v>Feb-24</v>
      </c>
      <c r="H21" s="116">
        <f>DAY(EOMONTH(MC[[#This Row],[Month Year]],0))</f>
        <v>29</v>
      </c>
      <c r="I21" s="119">
        <v>1</v>
      </c>
      <c r="J21" s="119">
        <v>2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5">
        <f>SUM(MC[[#This Row],[IS1Inv1M1]:[IS4Inv10M2]])</f>
        <v>0</v>
      </c>
      <c r="AN21" s="120"/>
      <c r="AO21" s="120"/>
      <c r="AP21" s="119"/>
      <c r="AQ21" s="119"/>
      <c r="AR21" s="119"/>
      <c r="AS21" s="119"/>
      <c r="AT21" s="119"/>
    </row>
    <row r="22" spans="1:46">
      <c r="A22" s="119">
        <v>20</v>
      </c>
      <c r="B22" s="113">
        <f t="shared" si="0"/>
        <v>45342</v>
      </c>
      <c r="C22" s="114">
        <f>YEAR(MC[[#This Row],[Date]])+IF(MONTH(MC[[#This Row],[Date]])&gt;=4,1,0)</f>
        <v>2024</v>
      </c>
      <c r="D22" s="115">
        <f>YEAR(MC[[#This Row],[Date]])</f>
        <v>2024</v>
      </c>
      <c r="E22" s="112" t="s">
        <v>326</v>
      </c>
      <c r="F22" s="112" t="s">
        <v>326</v>
      </c>
      <c r="G22" s="116" t="str">
        <f>TEXT(MC[[#This Row],[Date]],"mmm-yy")</f>
        <v>Feb-24</v>
      </c>
      <c r="H22" s="116">
        <f>DAY(EOMONTH(MC[[#This Row],[Month Year]],0))</f>
        <v>29</v>
      </c>
      <c r="I22" s="119">
        <v>1</v>
      </c>
      <c r="J22" s="119">
        <v>2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5">
        <f>SUM(MC[[#This Row],[IS1Inv1M1]:[IS4Inv10M2]])</f>
        <v>0</v>
      </c>
      <c r="AN22" s="119"/>
      <c r="AO22" s="119"/>
      <c r="AP22" s="119"/>
      <c r="AQ22" s="119"/>
      <c r="AR22" s="119"/>
      <c r="AS22" s="119"/>
      <c r="AT22" s="119"/>
    </row>
    <row r="23" spans="1:46">
      <c r="A23" s="119">
        <v>21</v>
      </c>
      <c r="B23" s="113">
        <f t="shared" si="0"/>
        <v>45343</v>
      </c>
      <c r="C23" s="114">
        <f>YEAR(MC[[#This Row],[Date]])+IF(MONTH(MC[[#This Row],[Date]])&gt;=4,1,0)</f>
        <v>2024</v>
      </c>
      <c r="D23" s="115">
        <f>YEAR(MC[[#This Row],[Date]])</f>
        <v>2024</v>
      </c>
      <c r="E23" s="112" t="s">
        <v>326</v>
      </c>
      <c r="F23" s="112" t="s">
        <v>326</v>
      </c>
      <c r="G23" s="116" t="str">
        <f>TEXT(MC[[#This Row],[Date]],"mmm-yy")</f>
        <v>Feb-24</v>
      </c>
      <c r="H23" s="116">
        <f>DAY(EOMONTH(MC[[#This Row],[Month Year]],0))</f>
        <v>29</v>
      </c>
      <c r="I23" s="119">
        <v>1</v>
      </c>
      <c r="J23" s="119">
        <v>2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5">
        <f>SUM(MC[[#This Row],[IS1Inv1M1]:[IS4Inv10M2]])</f>
        <v>0</v>
      </c>
      <c r="AN23" s="120"/>
      <c r="AO23" s="120"/>
      <c r="AP23" s="120"/>
      <c r="AQ23" s="120"/>
      <c r="AR23" s="119"/>
      <c r="AS23" s="119"/>
      <c r="AT23" s="119"/>
    </row>
    <row r="24" spans="1:46">
      <c r="A24" s="119">
        <v>22</v>
      </c>
      <c r="B24" s="113">
        <f t="shared" si="0"/>
        <v>45344</v>
      </c>
      <c r="C24" s="114">
        <f>YEAR(MC[[#This Row],[Date]])+IF(MONTH(MC[[#This Row],[Date]])&gt;=4,1,0)</f>
        <v>2024</v>
      </c>
      <c r="D24" s="115">
        <f>YEAR(MC[[#This Row],[Date]])</f>
        <v>2024</v>
      </c>
      <c r="E24" s="112" t="s">
        <v>326</v>
      </c>
      <c r="F24" s="112" t="s">
        <v>326</v>
      </c>
      <c r="G24" s="116" t="str">
        <f>TEXT(MC[[#This Row],[Date]],"mmm-yy")</f>
        <v>Feb-24</v>
      </c>
      <c r="H24" s="116">
        <f>DAY(EOMONTH(MC[[#This Row],[Month Year]],0))</f>
        <v>29</v>
      </c>
      <c r="I24" s="119">
        <v>1</v>
      </c>
      <c r="J24" s="119">
        <v>2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5">
        <f>SUM(MC[[#This Row],[IS1Inv1M1]:[IS4Inv10M2]])</f>
        <v>0</v>
      </c>
      <c r="AN24" s="119"/>
      <c r="AO24" s="119"/>
      <c r="AP24" s="119"/>
      <c r="AQ24" s="119"/>
      <c r="AR24" s="119"/>
      <c r="AS24" s="119"/>
      <c r="AT24" s="119"/>
    </row>
    <row r="25" spans="1:46">
      <c r="A25" s="119">
        <v>23</v>
      </c>
      <c r="B25" s="113">
        <f t="shared" si="0"/>
        <v>45345</v>
      </c>
      <c r="C25" s="114">
        <f>YEAR(MC[[#This Row],[Date]])+IF(MONTH(MC[[#This Row],[Date]])&gt;=4,1,0)</f>
        <v>2024</v>
      </c>
      <c r="D25" s="115">
        <f>YEAR(MC[[#This Row],[Date]])</f>
        <v>2024</v>
      </c>
      <c r="E25" s="112" t="s">
        <v>326</v>
      </c>
      <c r="F25" s="112" t="s">
        <v>326</v>
      </c>
      <c r="G25" s="116" t="str">
        <f>TEXT(MC[[#This Row],[Date]],"mmm-yy")</f>
        <v>Feb-24</v>
      </c>
      <c r="H25" s="116">
        <f>DAY(EOMONTH(MC[[#This Row],[Month Year]],0))</f>
        <v>29</v>
      </c>
      <c r="I25" s="119">
        <v>1</v>
      </c>
      <c r="J25" s="119">
        <v>2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5">
        <f>SUM(MC[[#This Row],[IS1Inv1M1]:[IS4Inv10M2]])</f>
        <v>0</v>
      </c>
      <c r="AN25" s="120"/>
      <c r="AO25" s="120"/>
      <c r="AP25" s="120"/>
      <c r="AQ25" s="120"/>
      <c r="AR25" s="119"/>
      <c r="AS25" s="119"/>
      <c r="AT25" s="119"/>
    </row>
    <row r="26" spans="1:46">
      <c r="A26" s="119">
        <v>24</v>
      </c>
      <c r="B26" s="113">
        <f t="shared" si="0"/>
        <v>45346</v>
      </c>
      <c r="C26" s="114">
        <f>YEAR(MC[[#This Row],[Date]])+IF(MONTH(MC[[#This Row],[Date]])&gt;=4,1,0)</f>
        <v>2024</v>
      </c>
      <c r="D26" s="115">
        <f>YEAR(MC[[#This Row],[Date]])</f>
        <v>2024</v>
      </c>
      <c r="E26" s="112" t="s">
        <v>326</v>
      </c>
      <c r="F26" s="112" t="s">
        <v>326</v>
      </c>
      <c r="G26" s="116" t="str">
        <f>TEXT(MC[[#This Row],[Date]],"mmm-yy")</f>
        <v>Feb-24</v>
      </c>
      <c r="H26" s="116">
        <f>DAY(EOMONTH(MC[[#This Row],[Month Year]],0))</f>
        <v>29</v>
      </c>
      <c r="I26" s="119">
        <v>1</v>
      </c>
      <c r="J26" s="119">
        <v>2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5">
        <f>SUM(MC[[#This Row],[IS1Inv1M1]:[IS4Inv10M2]])</f>
        <v>0</v>
      </c>
      <c r="AN26" s="120"/>
      <c r="AO26" s="120"/>
      <c r="AP26" s="120"/>
      <c r="AQ26" s="120"/>
      <c r="AR26" s="119"/>
      <c r="AS26" s="119"/>
      <c r="AT26" s="119"/>
    </row>
    <row r="27" spans="1:46">
      <c r="A27" s="119">
        <v>25</v>
      </c>
      <c r="B27" s="113">
        <f t="shared" si="0"/>
        <v>45347</v>
      </c>
      <c r="C27" s="114">
        <f>YEAR(MC[[#This Row],[Date]])+IF(MONTH(MC[[#This Row],[Date]])&gt;=4,1,0)</f>
        <v>2024</v>
      </c>
      <c r="D27" s="115">
        <f>YEAR(MC[[#This Row],[Date]])</f>
        <v>2024</v>
      </c>
      <c r="E27" s="112" t="s">
        <v>326</v>
      </c>
      <c r="F27" s="112" t="s">
        <v>326</v>
      </c>
      <c r="G27" s="116" t="str">
        <f>TEXT(MC[[#This Row],[Date]],"mmm-yy")</f>
        <v>Feb-24</v>
      </c>
      <c r="H27" s="116">
        <f>DAY(EOMONTH(MC[[#This Row],[Month Year]],0))</f>
        <v>29</v>
      </c>
      <c r="I27" s="119">
        <v>1</v>
      </c>
      <c r="J27" s="119">
        <v>0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5">
        <f>SUM(MC[[#This Row],[IS1Inv1M1]:[IS4Inv10M2]])</f>
        <v>0</v>
      </c>
      <c r="AN27" s="120"/>
      <c r="AO27" s="120"/>
      <c r="AP27" s="120"/>
      <c r="AQ27" s="120"/>
      <c r="AR27" s="119"/>
      <c r="AS27" s="119"/>
      <c r="AT27" s="119"/>
    </row>
    <row r="28" spans="1:46">
      <c r="A28" s="119">
        <v>26</v>
      </c>
      <c r="B28" s="113">
        <f t="shared" si="0"/>
        <v>45348</v>
      </c>
      <c r="C28" s="114">
        <f>YEAR(MC[[#This Row],[Date]])+IF(MONTH(MC[[#This Row],[Date]])&gt;=4,1,0)</f>
        <v>2024</v>
      </c>
      <c r="D28" s="115">
        <f>YEAR(MC[[#This Row],[Date]])</f>
        <v>2024</v>
      </c>
      <c r="E28" s="112" t="s">
        <v>326</v>
      </c>
      <c r="F28" s="112" t="s">
        <v>326</v>
      </c>
      <c r="G28" s="116" t="str">
        <f>TEXT(MC[[#This Row],[Date]],"mmm-yy")</f>
        <v>Feb-24</v>
      </c>
      <c r="H28" s="116">
        <f>DAY(EOMONTH(MC[[#This Row],[Month Year]],0))</f>
        <v>29</v>
      </c>
      <c r="I28" s="119">
        <v>1</v>
      </c>
      <c r="J28" s="119">
        <v>2</v>
      </c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5">
        <f>SUM(MC[[#This Row],[IS1Inv1M1]:[IS4Inv10M2]])</f>
        <v>0</v>
      </c>
      <c r="AN28" s="120"/>
      <c r="AO28" s="120"/>
      <c r="AP28" s="120"/>
      <c r="AQ28" s="120"/>
      <c r="AR28" s="119"/>
      <c r="AS28" s="119"/>
      <c r="AT28" s="119"/>
    </row>
    <row r="29" spans="1:46">
      <c r="A29" s="119">
        <v>27</v>
      </c>
      <c r="B29" s="113">
        <f t="shared" si="0"/>
        <v>45349</v>
      </c>
      <c r="C29" s="114">
        <f>YEAR(MC[[#This Row],[Date]])+IF(MONTH(MC[[#This Row],[Date]])&gt;=4,1,0)</f>
        <v>2024</v>
      </c>
      <c r="D29" s="115">
        <f>YEAR(MC[[#This Row],[Date]])</f>
        <v>2024</v>
      </c>
      <c r="E29" s="112" t="s">
        <v>326</v>
      </c>
      <c r="F29" s="112" t="s">
        <v>326</v>
      </c>
      <c r="G29" s="116" t="str">
        <f>TEXT(MC[[#This Row],[Date]],"mmm-yy")</f>
        <v>Feb-24</v>
      </c>
      <c r="H29" s="116">
        <f>DAY(EOMONTH(MC[[#This Row],[Month Year]],0))</f>
        <v>29</v>
      </c>
      <c r="I29" s="119">
        <v>1</v>
      </c>
      <c r="J29" s="119">
        <v>2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5">
        <f>SUM(MC[[#This Row],[IS1Inv1M1]:[IS4Inv10M2]])</f>
        <v>0</v>
      </c>
      <c r="AN29" s="120"/>
      <c r="AO29" s="120"/>
      <c r="AP29" s="120"/>
      <c r="AQ29" s="120"/>
      <c r="AR29" s="119"/>
      <c r="AS29" s="119"/>
      <c r="AT29" s="119"/>
    </row>
    <row r="30" spans="1:46">
      <c r="A30" s="119">
        <v>28</v>
      </c>
      <c r="B30" s="113">
        <f t="shared" si="0"/>
        <v>45350</v>
      </c>
      <c r="C30" s="114">
        <f>YEAR(MC[[#This Row],[Date]])+IF(MONTH(MC[[#This Row],[Date]])&gt;=4,1,0)</f>
        <v>2024</v>
      </c>
      <c r="D30" s="115">
        <f>YEAR(MC[[#This Row],[Date]])</f>
        <v>2024</v>
      </c>
      <c r="E30" s="112" t="s">
        <v>326</v>
      </c>
      <c r="F30" s="112" t="s">
        <v>326</v>
      </c>
      <c r="G30" s="116" t="str">
        <f>TEXT(MC[[#This Row],[Date]],"mmm-yy")</f>
        <v>Feb-24</v>
      </c>
      <c r="H30" s="116">
        <f>DAY(EOMONTH(MC[[#This Row],[Month Year]],0))</f>
        <v>29</v>
      </c>
      <c r="I30" s="119">
        <v>1</v>
      </c>
      <c r="J30" s="119">
        <v>2</v>
      </c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5">
        <f>SUM(MC[[#This Row],[IS1Inv1M1]:[IS4Inv10M2]])</f>
        <v>0</v>
      </c>
      <c r="AN30" s="120"/>
      <c r="AO30" s="120"/>
      <c r="AP30" s="120"/>
      <c r="AQ30" s="120"/>
      <c r="AR30" s="119"/>
      <c r="AS30" s="119"/>
      <c r="AT30" s="119"/>
    </row>
    <row r="31" spans="1:46">
      <c r="A31" s="119">
        <v>29</v>
      </c>
      <c r="B31" s="113">
        <f t="shared" si="0"/>
        <v>45351</v>
      </c>
      <c r="C31" s="114">
        <f>YEAR(MC[[#This Row],[Date]])+IF(MONTH(MC[[#This Row],[Date]])&gt;=4,1,0)</f>
        <v>2024</v>
      </c>
      <c r="D31" s="115">
        <f>YEAR(MC[[#This Row],[Date]])</f>
        <v>2024</v>
      </c>
      <c r="E31" s="112" t="s">
        <v>326</v>
      </c>
      <c r="F31" s="112" t="s">
        <v>326</v>
      </c>
      <c r="G31" s="116" t="str">
        <f>TEXT(MC[[#This Row],[Date]],"mmm-yy")</f>
        <v>Feb-24</v>
      </c>
      <c r="H31" s="116">
        <f>DAY(EOMONTH(MC[[#This Row],[Month Year]],0))</f>
        <v>29</v>
      </c>
      <c r="I31" s="119">
        <v>1</v>
      </c>
      <c r="J31" s="119">
        <v>2</v>
      </c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5">
        <f>SUM(MC[[#This Row],[IS1Inv1M1]:[IS4Inv10M2]])</f>
        <v>0</v>
      </c>
      <c r="AN31" s="120"/>
      <c r="AO31" s="120"/>
      <c r="AP31" s="119"/>
      <c r="AQ31" s="119"/>
      <c r="AR31" s="119"/>
      <c r="AS31" s="119"/>
      <c r="AT31" s="119"/>
    </row>
    <row r="32" spans="1:46">
      <c r="A32" s="119">
        <v>30</v>
      </c>
      <c r="B32" s="113">
        <f t="shared" si="0"/>
        <v>45352</v>
      </c>
      <c r="C32" s="114">
        <f>YEAR(MC[[#This Row],[Date]])+IF(MONTH(MC[[#This Row],[Date]])&gt;=4,1,0)</f>
        <v>2024</v>
      </c>
      <c r="D32" s="115">
        <f>YEAR(MC[[#This Row],[Date]])</f>
        <v>2024</v>
      </c>
      <c r="E32" s="112" t="s">
        <v>326</v>
      </c>
      <c r="F32" s="112" t="s">
        <v>326</v>
      </c>
      <c r="G32" s="116" t="str">
        <f>TEXT(MC[[#This Row],[Date]],"mmm-yy")</f>
        <v>Mar-24</v>
      </c>
      <c r="H32" s="116">
        <f>DAY(EOMONTH(MC[[#This Row],[Month Year]],0))</f>
        <v>31</v>
      </c>
      <c r="I32" s="119">
        <v>2</v>
      </c>
      <c r="J32" s="119">
        <v>2</v>
      </c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5">
        <f>SUM(MC[[#This Row],[IS1Inv1M1]:[IS4Inv10M2]])</f>
        <v>0</v>
      </c>
      <c r="AN32" s="119"/>
      <c r="AO32" s="119"/>
      <c r="AP32" s="119"/>
      <c r="AQ32" s="119"/>
      <c r="AR32" s="119"/>
      <c r="AS32" s="119"/>
      <c r="AT32" s="119"/>
    </row>
    <row r="33" spans="1:46">
      <c r="A33" s="119">
        <v>31</v>
      </c>
      <c r="B33" s="113">
        <f t="shared" si="0"/>
        <v>45353</v>
      </c>
      <c r="C33" s="114">
        <f>YEAR(MC[[#This Row],[Date]])+IF(MONTH(MC[[#This Row],[Date]])&gt;=4,1,0)</f>
        <v>2024</v>
      </c>
      <c r="D33" s="115">
        <f>YEAR(MC[[#This Row],[Date]])</f>
        <v>2024</v>
      </c>
      <c r="E33" s="112" t="s">
        <v>326</v>
      </c>
      <c r="F33" s="112" t="s">
        <v>326</v>
      </c>
      <c r="G33" s="116" t="str">
        <f>TEXT(MC[[#This Row],[Date]],"mmm-yy")</f>
        <v>Mar-24</v>
      </c>
      <c r="H33" s="116">
        <f>DAY(EOMONTH(MC[[#This Row],[Month Year]],0))</f>
        <v>31</v>
      </c>
      <c r="I33" s="119">
        <v>2</v>
      </c>
      <c r="J33" s="119">
        <v>2</v>
      </c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5">
        <f>SUM(MC[[#This Row],[IS1Inv1M1]:[IS4Inv10M2]])</f>
        <v>0</v>
      </c>
      <c r="AN33" s="119"/>
      <c r="AO33" s="119"/>
      <c r="AP33" s="119"/>
      <c r="AQ33" s="119"/>
      <c r="AR33" s="119"/>
      <c r="AS33" s="119"/>
      <c r="AT33" s="119"/>
    </row>
    <row r="34" spans="1:46">
      <c r="A34" s="119">
        <v>32</v>
      </c>
      <c r="B34" s="113">
        <f t="shared" si="0"/>
        <v>45354</v>
      </c>
      <c r="C34" s="114">
        <f>YEAR(MC[[#This Row],[Date]])+IF(MONTH(MC[[#This Row],[Date]])&gt;=4,1,0)</f>
        <v>2024</v>
      </c>
      <c r="D34" s="115">
        <f>YEAR(MC[[#This Row],[Date]])</f>
        <v>2024</v>
      </c>
      <c r="E34" s="112" t="s">
        <v>326</v>
      </c>
      <c r="F34" s="112" t="s">
        <v>326</v>
      </c>
      <c r="G34" s="116" t="str">
        <f>TEXT(MC[[#This Row],[Date]],"mmm-yy")</f>
        <v>Mar-24</v>
      </c>
      <c r="H34" s="116">
        <f>DAY(EOMONTH(MC[[#This Row],[Month Year]],0))</f>
        <v>31</v>
      </c>
      <c r="I34" s="119">
        <v>2</v>
      </c>
      <c r="J34" s="119">
        <v>2</v>
      </c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5">
        <f>SUM(MC[[#This Row],[IS1Inv1M1]:[IS4Inv10M2]])</f>
        <v>0</v>
      </c>
      <c r="AN34" s="119"/>
      <c r="AO34" s="119"/>
      <c r="AP34" s="119"/>
      <c r="AQ34" s="119"/>
      <c r="AR34" s="119"/>
      <c r="AS34" s="119"/>
      <c r="AT34" s="119"/>
    </row>
    <row r="35" spans="1:46">
      <c r="A35" s="119">
        <v>33</v>
      </c>
      <c r="B35" s="113">
        <f t="shared" si="0"/>
        <v>45355</v>
      </c>
      <c r="C35" s="114">
        <f>YEAR(MC[[#This Row],[Date]])+IF(MONTH(MC[[#This Row],[Date]])&gt;=4,1,0)</f>
        <v>2024</v>
      </c>
      <c r="D35" s="115">
        <f>YEAR(MC[[#This Row],[Date]])</f>
        <v>2024</v>
      </c>
      <c r="E35" s="112" t="s">
        <v>326</v>
      </c>
      <c r="F35" s="112" t="s">
        <v>326</v>
      </c>
      <c r="G35" s="116" t="str">
        <f>TEXT(MC[[#This Row],[Date]],"mmm-yy")</f>
        <v>Mar-24</v>
      </c>
      <c r="H35" s="116">
        <f>DAY(EOMONTH(MC[[#This Row],[Month Year]],0))</f>
        <v>31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5">
        <f>SUM(MC[[#This Row],[IS1Inv1M1]:[IS4Inv10M2]])</f>
        <v>0</v>
      </c>
      <c r="AN35" s="119"/>
      <c r="AO35" s="119"/>
      <c r="AP35" s="119"/>
      <c r="AQ35" s="119"/>
      <c r="AR35" s="119"/>
      <c r="AS35" s="119"/>
      <c r="AT35" s="119"/>
    </row>
    <row r="36" spans="1:46">
      <c r="A36" s="119">
        <v>34</v>
      </c>
      <c r="B36" s="113">
        <f t="shared" si="0"/>
        <v>45356</v>
      </c>
      <c r="C36" s="114">
        <f>YEAR(MC[[#This Row],[Date]])+IF(MONTH(MC[[#This Row],[Date]])&gt;=4,1,0)</f>
        <v>2024</v>
      </c>
      <c r="D36" s="115">
        <f>YEAR(MC[[#This Row],[Date]])</f>
        <v>2024</v>
      </c>
      <c r="E36" s="112" t="s">
        <v>326</v>
      </c>
      <c r="F36" s="112" t="s">
        <v>326</v>
      </c>
      <c r="G36" s="116" t="str">
        <f>TEXT(MC[[#This Row],[Date]],"mmm-yy")</f>
        <v>Mar-24</v>
      </c>
      <c r="H36" s="116">
        <f>DAY(EOMONTH(MC[[#This Row],[Month Year]],0))</f>
        <v>31</v>
      </c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5">
        <f>SUM(MC[[#This Row],[IS1Inv1M1]:[IS4Inv10M2]])</f>
        <v>0</v>
      </c>
      <c r="AN36" s="119"/>
      <c r="AO36" s="119"/>
      <c r="AP36" s="119"/>
      <c r="AQ36" s="119"/>
      <c r="AR36" s="119"/>
      <c r="AS36" s="119"/>
      <c r="AT36" s="119"/>
    </row>
    <row r="37" spans="1:46">
      <c r="A37" s="119">
        <v>35</v>
      </c>
      <c r="B37" s="113">
        <f t="shared" si="0"/>
        <v>45357</v>
      </c>
      <c r="C37" s="114">
        <f>YEAR(MC[[#This Row],[Date]])+IF(MONTH(MC[[#This Row],[Date]])&gt;=4,1,0)</f>
        <v>2024</v>
      </c>
      <c r="D37" s="115">
        <f>YEAR(MC[[#This Row],[Date]])</f>
        <v>2024</v>
      </c>
      <c r="E37" s="112" t="s">
        <v>326</v>
      </c>
      <c r="F37" s="112" t="s">
        <v>326</v>
      </c>
      <c r="G37" s="116" t="str">
        <f>TEXT(MC[[#This Row],[Date]],"mmm-yy")</f>
        <v>Mar-24</v>
      </c>
      <c r="H37" s="116">
        <f>DAY(EOMONTH(MC[[#This Row],[Month Year]],0))</f>
        <v>31</v>
      </c>
      <c r="I37" s="119">
        <v>2</v>
      </c>
      <c r="J37" s="119">
        <v>2</v>
      </c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5">
        <f>SUM(MC[[#This Row],[IS1Inv1M1]:[IS4Inv10M2]])</f>
        <v>0</v>
      </c>
      <c r="AN37" s="119"/>
      <c r="AO37" s="119"/>
      <c r="AP37" s="119"/>
      <c r="AQ37" s="119"/>
      <c r="AR37" s="119"/>
      <c r="AS37" s="119"/>
      <c r="AT37" s="119"/>
    </row>
    <row r="38" spans="1:46">
      <c r="A38" s="119">
        <v>36</v>
      </c>
      <c r="B38" s="113">
        <f t="shared" si="0"/>
        <v>45358</v>
      </c>
      <c r="C38" s="114">
        <f>YEAR(MC[[#This Row],[Date]])+IF(MONTH(MC[[#This Row],[Date]])&gt;=4,1,0)</f>
        <v>2024</v>
      </c>
      <c r="D38" s="115">
        <f>YEAR(MC[[#This Row],[Date]])</f>
        <v>2024</v>
      </c>
      <c r="E38" s="112" t="s">
        <v>326</v>
      </c>
      <c r="F38" s="112" t="s">
        <v>326</v>
      </c>
      <c r="G38" s="116" t="str">
        <f>TEXT(MC[[#This Row],[Date]],"mmm-yy")</f>
        <v>Mar-24</v>
      </c>
      <c r="H38" s="116">
        <f>DAY(EOMONTH(MC[[#This Row],[Month Year]],0))</f>
        <v>31</v>
      </c>
      <c r="I38" s="119">
        <v>2</v>
      </c>
      <c r="J38" s="119">
        <v>2</v>
      </c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5">
        <f>SUM(MC[[#This Row],[IS1Inv1M1]:[IS4Inv10M2]])</f>
        <v>0</v>
      </c>
      <c r="AN38" s="120"/>
      <c r="AO38" s="120"/>
      <c r="AP38" s="119"/>
      <c r="AQ38" s="120"/>
      <c r="AR38" s="119"/>
      <c r="AS38" s="119"/>
      <c r="AT38" s="119"/>
    </row>
    <row r="39" spans="1:46">
      <c r="A39" s="119">
        <v>37</v>
      </c>
      <c r="B39" s="113">
        <f t="shared" si="0"/>
        <v>45359</v>
      </c>
      <c r="C39" s="114">
        <f>YEAR(MC[[#This Row],[Date]])+IF(MONTH(MC[[#This Row],[Date]])&gt;=4,1,0)</f>
        <v>2024</v>
      </c>
      <c r="D39" s="115">
        <f>YEAR(MC[[#This Row],[Date]])</f>
        <v>2024</v>
      </c>
      <c r="E39" s="112" t="s">
        <v>326</v>
      </c>
      <c r="F39" s="112" t="s">
        <v>326</v>
      </c>
      <c r="G39" s="116" t="str">
        <f>TEXT(MC[[#This Row],[Date]],"mmm-yy")</f>
        <v>Mar-24</v>
      </c>
      <c r="H39" s="116">
        <f>DAY(EOMONTH(MC[[#This Row],[Month Year]],0))</f>
        <v>31</v>
      </c>
      <c r="I39" s="119">
        <v>2</v>
      </c>
      <c r="J39" s="119">
        <v>2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5">
        <f>SUM(MC[[#This Row],[IS1Inv1M1]:[IS4Inv10M2]])</f>
        <v>0</v>
      </c>
      <c r="AN39" s="120"/>
      <c r="AO39" s="119"/>
      <c r="AP39" s="119"/>
      <c r="AQ39" s="120"/>
      <c r="AR39" s="119"/>
      <c r="AS39" s="119"/>
      <c r="AT39" s="119"/>
    </row>
    <row r="40" spans="1:46">
      <c r="A40" s="119">
        <v>38</v>
      </c>
      <c r="B40" s="113">
        <f t="shared" si="0"/>
        <v>45360</v>
      </c>
      <c r="C40" s="114">
        <f>YEAR(MC[[#This Row],[Date]])+IF(MONTH(MC[[#This Row],[Date]])&gt;=4,1,0)</f>
        <v>2024</v>
      </c>
      <c r="D40" s="115">
        <f>YEAR(MC[[#This Row],[Date]])</f>
        <v>2024</v>
      </c>
      <c r="E40" s="112" t="s">
        <v>326</v>
      </c>
      <c r="F40" s="112" t="s">
        <v>326</v>
      </c>
      <c r="G40" s="116" t="str">
        <f>TEXT(MC[[#This Row],[Date]],"mmm-yy")</f>
        <v>Mar-24</v>
      </c>
      <c r="H40" s="116">
        <f>DAY(EOMONTH(MC[[#This Row],[Month Year]],0))</f>
        <v>31</v>
      </c>
      <c r="I40" s="119">
        <v>2</v>
      </c>
      <c r="J40" s="119">
        <v>2</v>
      </c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5">
        <f>SUM(MC[[#This Row],[IS1Inv1M1]:[IS4Inv10M2]])</f>
        <v>0</v>
      </c>
      <c r="AN40" s="120"/>
      <c r="AO40" s="120"/>
      <c r="AP40" s="119"/>
      <c r="AQ40" s="119"/>
      <c r="AR40" s="119"/>
      <c r="AS40" s="119"/>
      <c r="AT40" s="119"/>
    </row>
    <row r="41" spans="1:46">
      <c r="A41" s="119">
        <v>39</v>
      </c>
      <c r="B41" s="113">
        <f t="shared" si="0"/>
        <v>45361</v>
      </c>
      <c r="C41" s="114">
        <f>YEAR(MC[[#This Row],[Date]])+IF(MONTH(MC[[#This Row],[Date]])&gt;=4,1,0)</f>
        <v>2024</v>
      </c>
      <c r="D41" s="115">
        <f>YEAR(MC[[#This Row],[Date]])</f>
        <v>2024</v>
      </c>
      <c r="E41" s="112" t="s">
        <v>326</v>
      </c>
      <c r="F41" s="112" t="s">
        <v>326</v>
      </c>
      <c r="G41" s="116" t="str">
        <f>TEXT(MC[[#This Row],[Date]],"mmm-yy")</f>
        <v>Mar-24</v>
      </c>
      <c r="H41" s="116">
        <f>DAY(EOMONTH(MC[[#This Row],[Month Year]],0))</f>
        <v>31</v>
      </c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5">
        <f>SUM(MC[[#This Row],[IS1Inv1M1]:[IS4Inv10M2]])</f>
        <v>0</v>
      </c>
      <c r="AN41" s="119"/>
      <c r="AO41" s="119"/>
      <c r="AP41" s="119"/>
      <c r="AQ41" s="119"/>
      <c r="AR41" s="119"/>
      <c r="AS41" s="119"/>
      <c r="AT41" s="119"/>
    </row>
    <row r="42" spans="1:46">
      <c r="A42" s="119">
        <v>40</v>
      </c>
      <c r="B42" s="113">
        <f t="shared" si="0"/>
        <v>45362</v>
      </c>
      <c r="C42" s="114">
        <f>YEAR(MC[[#This Row],[Date]])+IF(MONTH(MC[[#This Row],[Date]])&gt;=4,1,0)</f>
        <v>2024</v>
      </c>
      <c r="D42" s="115">
        <f>YEAR(MC[[#This Row],[Date]])</f>
        <v>2024</v>
      </c>
      <c r="E42" s="112" t="s">
        <v>326</v>
      </c>
      <c r="F42" s="112" t="s">
        <v>326</v>
      </c>
      <c r="G42" s="116" t="str">
        <f>TEXT(MC[[#This Row],[Date]],"mmm-yy")</f>
        <v>Mar-24</v>
      </c>
      <c r="H42" s="116">
        <f>DAY(EOMONTH(MC[[#This Row],[Month Year]],0))</f>
        <v>31</v>
      </c>
      <c r="I42" s="119">
        <v>2</v>
      </c>
      <c r="J42" s="119">
        <v>2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5">
        <f>SUM(MC[[#This Row],[IS1Inv1M1]:[IS4Inv10M2]])</f>
        <v>0</v>
      </c>
      <c r="AN42" s="120"/>
      <c r="AO42" s="120"/>
      <c r="AP42" s="119"/>
      <c r="AQ42" s="119"/>
      <c r="AR42" s="119"/>
      <c r="AS42" s="119"/>
      <c r="AT42" s="119"/>
    </row>
    <row r="43" spans="1:46">
      <c r="A43" s="119">
        <v>41</v>
      </c>
      <c r="B43" s="113">
        <f t="shared" si="0"/>
        <v>45363</v>
      </c>
      <c r="C43" s="114">
        <f>YEAR(MC[[#This Row],[Date]])+IF(MONTH(MC[[#This Row],[Date]])&gt;=4,1,0)</f>
        <v>2024</v>
      </c>
      <c r="D43" s="115">
        <f>YEAR(MC[[#This Row],[Date]])</f>
        <v>2024</v>
      </c>
      <c r="E43" s="112" t="s">
        <v>326</v>
      </c>
      <c r="F43" s="112" t="s">
        <v>326</v>
      </c>
      <c r="G43" s="116" t="str">
        <f>TEXT(MC[[#This Row],[Date]],"mmm-yy")</f>
        <v>Mar-24</v>
      </c>
      <c r="H43" s="116">
        <f>DAY(EOMONTH(MC[[#This Row],[Month Year]],0))</f>
        <v>31</v>
      </c>
      <c r="I43" s="119">
        <v>2</v>
      </c>
      <c r="J43" s="119">
        <v>2</v>
      </c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5">
        <f>SUM(MC[[#This Row],[IS1Inv1M1]:[IS4Inv10M2]])</f>
        <v>0</v>
      </c>
      <c r="AN43" s="119"/>
      <c r="AO43" s="119"/>
      <c r="AP43" s="119"/>
      <c r="AQ43" s="119"/>
      <c r="AR43" s="119"/>
      <c r="AS43" s="119"/>
      <c r="AT43" s="119"/>
    </row>
    <row r="44" spans="1:46">
      <c r="A44" s="119">
        <v>42</v>
      </c>
      <c r="B44" s="113">
        <f t="shared" si="0"/>
        <v>45364</v>
      </c>
      <c r="C44" s="114">
        <f>YEAR(MC[[#This Row],[Date]])+IF(MONTH(MC[[#This Row],[Date]])&gt;=4,1,0)</f>
        <v>2024</v>
      </c>
      <c r="D44" s="115">
        <f>YEAR(MC[[#This Row],[Date]])</f>
        <v>2024</v>
      </c>
      <c r="E44" s="112" t="s">
        <v>326</v>
      </c>
      <c r="F44" s="112" t="s">
        <v>326</v>
      </c>
      <c r="G44" s="116" t="str">
        <f>TEXT(MC[[#This Row],[Date]],"mmm-yy")</f>
        <v>Mar-24</v>
      </c>
      <c r="H44" s="116">
        <f>DAY(EOMONTH(MC[[#This Row],[Month Year]],0))</f>
        <v>31</v>
      </c>
      <c r="I44" s="119">
        <v>2</v>
      </c>
      <c r="J44" s="119">
        <v>2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5">
        <f>SUM(MC[[#This Row],[IS1Inv1M1]:[IS4Inv10M2]])</f>
        <v>0</v>
      </c>
      <c r="AN44" s="119"/>
      <c r="AO44" s="119"/>
      <c r="AP44" s="119"/>
      <c r="AQ44" s="119"/>
      <c r="AR44" s="119"/>
      <c r="AS44" s="119"/>
      <c r="AT44" s="119"/>
    </row>
    <row r="45" spans="1:46">
      <c r="A45" s="119">
        <v>43</v>
      </c>
      <c r="B45" s="113">
        <f t="shared" si="0"/>
        <v>45365</v>
      </c>
      <c r="C45" s="114">
        <f>YEAR(MC[[#This Row],[Date]])+IF(MONTH(MC[[#This Row],[Date]])&gt;=4,1,0)</f>
        <v>2024</v>
      </c>
      <c r="D45" s="115">
        <f>YEAR(MC[[#This Row],[Date]])</f>
        <v>2024</v>
      </c>
      <c r="E45" s="112" t="s">
        <v>326</v>
      </c>
      <c r="F45" s="112" t="s">
        <v>326</v>
      </c>
      <c r="G45" s="116" t="str">
        <f>TEXT(MC[[#This Row],[Date]],"mmm-yy")</f>
        <v>Mar-24</v>
      </c>
      <c r="H45" s="116">
        <f>DAY(EOMONTH(MC[[#This Row],[Month Year]],0))</f>
        <v>31</v>
      </c>
      <c r="I45" s="119">
        <v>2</v>
      </c>
      <c r="J45" s="119">
        <v>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5">
        <f>SUM(MC[[#This Row],[IS1Inv1M1]:[IS4Inv10M2]])</f>
        <v>0</v>
      </c>
      <c r="AN45" s="120"/>
      <c r="AO45" s="120"/>
      <c r="AP45" s="119"/>
      <c r="AQ45" s="119"/>
      <c r="AR45" s="119"/>
      <c r="AS45" s="119"/>
      <c r="AT45" s="119"/>
    </row>
    <row r="46" spans="1:46">
      <c r="A46" s="119">
        <v>44</v>
      </c>
      <c r="B46" s="113">
        <f t="shared" si="0"/>
        <v>45366</v>
      </c>
      <c r="C46" s="114">
        <f>YEAR(MC[[#This Row],[Date]])+IF(MONTH(MC[[#This Row],[Date]])&gt;=4,1,0)</f>
        <v>2024</v>
      </c>
      <c r="D46" s="115">
        <f>YEAR(MC[[#This Row],[Date]])</f>
        <v>2024</v>
      </c>
      <c r="E46" s="112" t="s">
        <v>326</v>
      </c>
      <c r="F46" s="112" t="s">
        <v>326</v>
      </c>
      <c r="G46" s="116" t="str">
        <f>TEXT(MC[[#This Row],[Date]],"mmm-yy")</f>
        <v>Mar-24</v>
      </c>
      <c r="H46" s="116">
        <f>DAY(EOMONTH(MC[[#This Row],[Month Year]],0))</f>
        <v>31</v>
      </c>
      <c r="I46" s="119">
        <v>2</v>
      </c>
      <c r="J46" s="119">
        <v>2</v>
      </c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5">
        <f>SUM(MC[[#This Row],[IS1Inv1M1]:[IS4Inv10M2]])</f>
        <v>0</v>
      </c>
      <c r="AN46" s="119"/>
      <c r="AO46" s="119"/>
      <c r="AP46" s="119"/>
      <c r="AQ46" s="119"/>
      <c r="AR46" s="119"/>
      <c r="AS46" s="119"/>
      <c r="AT46" s="119"/>
    </row>
    <row r="47" spans="1:46">
      <c r="A47" s="119">
        <v>45</v>
      </c>
      <c r="B47" s="113">
        <f t="shared" si="0"/>
        <v>45367</v>
      </c>
      <c r="C47" s="114">
        <f>YEAR(MC[[#This Row],[Date]])+IF(MONTH(MC[[#This Row],[Date]])&gt;=4,1,0)</f>
        <v>2024</v>
      </c>
      <c r="D47" s="115">
        <f>YEAR(MC[[#This Row],[Date]])</f>
        <v>2024</v>
      </c>
      <c r="E47" s="112" t="s">
        <v>326</v>
      </c>
      <c r="F47" s="112" t="s">
        <v>326</v>
      </c>
      <c r="G47" s="116" t="str">
        <f>TEXT(MC[[#This Row],[Date]],"mmm-yy")</f>
        <v>Mar-24</v>
      </c>
      <c r="H47" s="116">
        <f>DAY(EOMONTH(MC[[#This Row],[Month Year]],0))</f>
        <v>31</v>
      </c>
      <c r="I47" s="119">
        <v>2</v>
      </c>
      <c r="J47" s="119">
        <v>2</v>
      </c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5">
        <f>SUM(MC[[#This Row],[IS1Inv1M1]:[IS4Inv10M2]])</f>
        <v>0</v>
      </c>
      <c r="AN47" s="119"/>
      <c r="AO47" s="119"/>
      <c r="AP47" s="119"/>
      <c r="AQ47" s="119"/>
      <c r="AR47" s="119"/>
      <c r="AS47" s="119"/>
      <c r="AT47" s="119"/>
    </row>
    <row r="48" spans="1:46">
      <c r="A48" s="119">
        <v>46</v>
      </c>
      <c r="B48" s="113">
        <f t="shared" si="0"/>
        <v>45368</v>
      </c>
      <c r="C48" s="114">
        <f>YEAR(MC[[#This Row],[Date]])+IF(MONTH(MC[[#This Row],[Date]])&gt;=4,1,0)</f>
        <v>2024</v>
      </c>
      <c r="D48" s="115">
        <f>YEAR(MC[[#This Row],[Date]])</f>
        <v>2024</v>
      </c>
      <c r="E48" s="112" t="s">
        <v>326</v>
      </c>
      <c r="F48" s="112" t="s">
        <v>326</v>
      </c>
      <c r="G48" s="116" t="str">
        <f>TEXT(MC[[#This Row],[Date]],"mmm-yy")</f>
        <v>Mar-24</v>
      </c>
      <c r="H48" s="116">
        <f>DAY(EOMONTH(MC[[#This Row],[Month Year]],0))</f>
        <v>31</v>
      </c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5">
        <f>SUM(MC[[#This Row],[IS1Inv1M1]:[IS4Inv10M2]])</f>
        <v>0</v>
      </c>
      <c r="AN48" s="119"/>
      <c r="AO48" s="119"/>
      <c r="AP48" s="119"/>
      <c r="AQ48" s="119"/>
      <c r="AR48" s="119"/>
      <c r="AS48" s="119"/>
      <c r="AT48" s="119"/>
    </row>
    <row r="49" spans="1:46">
      <c r="A49" s="119">
        <v>47</v>
      </c>
      <c r="B49" s="113">
        <f t="shared" si="0"/>
        <v>45369</v>
      </c>
      <c r="C49" s="114">
        <f>YEAR(MC[[#This Row],[Date]])+IF(MONTH(MC[[#This Row],[Date]])&gt;=4,1,0)</f>
        <v>2024</v>
      </c>
      <c r="D49" s="115">
        <f>YEAR(MC[[#This Row],[Date]])</f>
        <v>2024</v>
      </c>
      <c r="E49" s="112" t="s">
        <v>326</v>
      </c>
      <c r="F49" s="112" t="s">
        <v>326</v>
      </c>
      <c r="G49" s="116" t="str">
        <f>TEXT(MC[[#This Row],[Date]],"mmm-yy")</f>
        <v>Mar-24</v>
      </c>
      <c r="H49" s="116">
        <f>DAY(EOMONTH(MC[[#This Row],[Month Year]],0))</f>
        <v>31</v>
      </c>
      <c r="I49" s="119">
        <v>2</v>
      </c>
      <c r="J49" s="119">
        <v>2</v>
      </c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5">
        <f>SUM(MC[[#This Row],[IS1Inv1M1]:[IS4Inv10M2]])</f>
        <v>0</v>
      </c>
      <c r="AN49" s="119"/>
      <c r="AO49" s="119"/>
      <c r="AP49" s="119"/>
      <c r="AQ49" s="119"/>
      <c r="AR49" s="119"/>
      <c r="AS49" s="119"/>
      <c r="AT49" s="119"/>
    </row>
    <row r="50" spans="1:46">
      <c r="A50" s="119">
        <v>48</v>
      </c>
      <c r="B50" s="113">
        <f t="shared" si="0"/>
        <v>45370</v>
      </c>
      <c r="C50" s="114">
        <f>YEAR(MC[[#This Row],[Date]])+IF(MONTH(MC[[#This Row],[Date]])&gt;=4,1,0)</f>
        <v>2024</v>
      </c>
      <c r="D50" s="115">
        <f>YEAR(MC[[#This Row],[Date]])</f>
        <v>2024</v>
      </c>
      <c r="E50" s="112" t="s">
        <v>326</v>
      </c>
      <c r="F50" s="112" t="s">
        <v>326</v>
      </c>
      <c r="G50" s="116" t="str">
        <f>TEXT(MC[[#This Row],[Date]],"mmm-yy")</f>
        <v>Mar-24</v>
      </c>
      <c r="H50" s="116">
        <f>DAY(EOMONTH(MC[[#This Row],[Month Year]],0))</f>
        <v>31</v>
      </c>
      <c r="I50" s="119">
        <v>2</v>
      </c>
      <c r="J50" s="119">
        <v>2</v>
      </c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5">
        <f>SUM(MC[[#This Row],[IS1Inv1M1]:[IS4Inv10M2]])</f>
        <v>0</v>
      </c>
      <c r="AN50" s="119"/>
      <c r="AO50" s="119"/>
      <c r="AP50" s="119"/>
      <c r="AQ50" s="119"/>
      <c r="AR50" s="119"/>
      <c r="AS50" s="119"/>
      <c r="AT50" s="119"/>
    </row>
    <row r="51" spans="1:46">
      <c r="A51" s="119">
        <v>49</v>
      </c>
      <c r="B51" s="113">
        <f t="shared" si="0"/>
        <v>45371</v>
      </c>
      <c r="C51" s="114">
        <f>YEAR(MC[[#This Row],[Date]])+IF(MONTH(MC[[#This Row],[Date]])&gt;=4,1,0)</f>
        <v>2024</v>
      </c>
      <c r="D51" s="115">
        <f>YEAR(MC[[#This Row],[Date]])</f>
        <v>2024</v>
      </c>
      <c r="E51" s="112" t="s">
        <v>326</v>
      </c>
      <c r="F51" s="112" t="s">
        <v>326</v>
      </c>
      <c r="G51" s="116" t="str">
        <f>TEXT(MC[[#This Row],[Date]],"mmm-yy")</f>
        <v>Mar-24</v>
      </c>
      <c r="H51" s="116">
        <f>DAY(EOMONTH(MC[[#This Row],[Month Year]],0))</f>
        <v>31</v>
      </c>
      <c r="I51" s="119">
        <v>2</v>
      </c>
      <c r="J51" s="119">
        <v>2</v>
      </c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5">
        <f>SUM(MC[[#This Row],[IS1Inv1M1]:[IS4Inv10M2]])</f>
        <v>0</v>
      </c>
      <c r="AN51" s="119"/>
      <c r="AO51" s="119"/>
      <c r="AP51" s="119"/>
      <c r="AQ51" s="119"/>
      <c r="AR51" s="119"/>
      <c r="AS51" s="119"/>
      <c r="AT51" s="119"/>
    </row>
    <row r="52" spans="1:46">
      <c r="A52" s="119">
        <v>50</v>
      </c>
      <c r="B52" s="113">
        <f t="shared" si="0"/>
        <v>45372</v>
      </c>
      <c r="C52" s="114">
        <f>YEAR(MC[[#This Row],[Date]])+IF(MONTH(MC[[#This Row],[Date]])&gt;=4,1,0)</f>
        <v>2024</v>
      </c>
      <c r="D52" s="115">
        <f>YEAR(MC[[#This Row],[Date]])</f>
        <v>2024</v>
      </c>
      <c r="E52" s="112" t="s">
        <v>326</v>
      </c>
      <c r="F52" s="112" t="s">
        <v>326</v>
      </c>
      <c r="G52" s="116" t="str">
        <f>TEXT(MC[[#This Row],[Date]],"mmm-yy")</f>
        <v>Mar-24</v>
      </c>
      <c r="H52" s="116">
        <f>DAY(EOMONTH(MC[[#This Row],[Month Year]],0))</f>
        <v>31</v>
      </c>
      <c r="I52" s="119">
        <v>2</v>
      </c>
      <c r="J52" s="119">
        <v>2</v>
      </c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5">
        <f>SUM(MC[[#This Row],[IS1Inv1M1]:[IS4Inv10M2]])</f>
        <v>0</v>
      </c>
      <c r="AN52" s="119"/>
      <c r="AO52" s="119"/>
      <c r="AP52" s="119"/>
      <c r="AQ52" s="119"/>
      <c r="AR52" s="119"/>
      <c r="AS52" s="119"/>
      <c r="AT52" s="119"/>
    </row>
    <row r="53" spans="1:46">
      <c r="A53" s="119">
        <v>51</v>
      </c>
      <c r="B53" s="113">
        <f t="shared" si="0"/>
        <v>45373</v>
      </c>
      <c r="C53" s="114">
        <f>YEAR(MC[[#This Row],[Date]])+IF(MONTH(MC[[#This Row],[Date]])&gt;=4,1,0)</f>
        <v>2024</v>
      </c>
      <c r="D53" s="115">
        <f>YEAR(MC[[#This Row],[Date]])</f>
        <v>2024</v>
      </c>
      <c r="E53" s="112" t="s">
        <v>326</v>
      </c>
      <c r="F53" s="112" t="s">
        <v>326</v>
      </c>
      <c r="G53" s="116" t="str">
        <f>TEXT(MC[[#This Row],[Date]],"mmm-yy")</f>
        <v>Mar-24</v>
      </c>
      <c r="H53" s="116">
        <f>DAY(EOMONTH(MC[[#This Row],[Month Year]],0))</f>
        <v>31</v>
      </c>
      <c r="I53" s="119">
        <v>2</v>
      </c>
      <c r="J53" s="119">
        <v>2</v>
      </c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5">
        <f>SUM(MC[[#This Row],[IS1Inv1M1]:[IS4Inv10M2]])</f>
        <v>0</v>
      </c>
      <c r="AN53" s="119"/>
      <c r="AO53" s="119"/>
      <c r="AP53" s="119"/>
      <c r="AQ53" s="119"/>
      <c r="AR53" s="119"/>
      <c r="AS53" s="119"/>
      <c r="AT53" s="119"/>
    </row>
    <row r="54" spans="1:46">
      <c r="A54" s="119">
        <v>52</v>
      </c>
      <c r="B54" s="113">
        <f t="shared" si="0"/>
        <v>45374</v>
      </c>
      <c r="C54" s="114">
        <f>YEAR(MC[[#This Row],[Date]])+IF(MONTH(MC[[#This Row],[Date]])&gt;=4,1,0)</f>
        <v>2024</v>
      </c>
      <c r="D54" s="115">
        <f>YEAR(MC[[#This Row],[Date]])</f>
        <v>2024</v>
      </c>
      <c r="E54" s="112" t="s">
        <v>326</v>
      </c>
      <c r="F54" s="112" t="s">
        <v>326</v>
      </c>
      <c r="G54" s="116" t="str">
        <f>TEXT(MC[[#This Row],[Date]],"mmm-yy")</f>
        <v>Mar-24</v>
      </c>
      <c r="H54" s="116">
        <f>DAY(EOMONTH(MC[[#This Row],[Month Year]],0))</f>
        <v>31</v>
      </c>
      <c r="I54" s="119">
        <v>2</v>
      </c>
      <c r="J54" s="119">
        <v>2</v>
      </c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5">
        <f>SUM(MC[[#This Row],[IS1Inv1M1]:[IS4Inv10M2]])</f>
        <v>0</v>
      </c>
      <c r="AN54" s="119"/>
      <c r="AO54" s="119"/>
      <c r="AP54" s="119"/>
      <c r="AQ54" s="119"/>
      <c r="AR54" s="119"/>
      <c r="AS54" s="119"/>
      <c r="AT54" s="119"/>
    </row>
    <row r="55" spans="1:46">
      <c r="A55" s="119">
        <v>53</v>
      </c>
      <c r="B55" s="113">
        <f t="shared" si="0"/>
        <v>45375</v>
      </c>
      <c r="C55" s="114">
        <f>YEAR(MC[[#This Row],[Date]])+IF(MONTH(MC[[#This Row],[Date]])&gt;=4,1,0)</f>
        <v>2024</v>
      </c>
      <c r="D55" s="115">
        <f>YEAR(MC[[#This Row],[Date]])</f>
        <v>2024</v>
      </c>
      <c r="E55" s="112" t="s">
        <v>326</v>
      </c>
      <c r="F55" s="112" t="s">
        <v>326</v>
      </c>
      <c r="G55" s="116" t="str">
        <f>TEXT(MC[[#This Row],[Date]],"mmm-yy")</f>
        <v>Mar-24</v>
      </c>
      <c r="H55" s="116">
        <f>DAY(EOMONTH(MC[[#This Row],[Month Year]],0))</f>
        <v>31</v>
      </c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5">
        <f>SUM(MC[[#This Row],[IS1Inv1M1]:[IS4Inv10M2]])</f>
        <v>0</v>
      </c>
      <c r="AN55" s="120"/>
      <c r="AO55" s="119"/>
      <c r="AP55" s="119"/>
      <c r="AQ55" s="120"/>
      <c r="AR55" s="119"/>
      <c r="AS55" s="119"/>
      <c r="AT55" s="119"/>
    </row>
    <row r="56" spans="1:46">
      <c r="A56" s="119">
        <v>54</v>
      </c>
      <c r="B56" s="113">
        <f t="shared" si="0"/>
        <v>45376</v>
      </c>
      <c r="C56" s="114">
        <f>YEAR(MC[[#This Row],[Date]])+IF(MONTH(MC[[#This Row],[Date]])&gt;=4,1,0)</f>
        <v>2024</v>
      </c>
      <c r="D56" s="115">
        <f>YEAR(MC[[#This Row],[Date]])</f>
        <v>2024</v>
      </c>
      <c r="E56" s="112" t="s">
        <v>326</v>
      </c>
      <c r="F56" s="112" t="s">
        <v>326</v>
      </c>
      <c r="G56" s="116" t="str">
        <f>TEXT(MC[[#This Row],[Date]],"mmm-yy")</f>
        <v>Mar-24</v>
      </c>
      <c r="H56" s="116">
        <f>DAY(EOMONTH(MC[[#This Row],[Month Year]],0))</f>
        <v>31</v>
      </c>
      <c r="I56" s="119">
        <v>3</v>
      </c>
      <c r="J56" s="119">
        <v>2</v>
      </c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5">
        <f>SUM(MC[[#This Row],[IS1Inv1M1]:[IS4Inv10M2]])</f>
        <v>0</v>
      </c>
      <c r="AN56" s="120"/>
      <c r="AO56" s="119"/>
      <c r="AP56" s="119"/>
      <c r="AQ56" s="120"/>
      <c r="AR56" s="119"/>
      <c r="AS56" s="119"/>
      <c r="AT56" s="119"/>
    </row>
    <row r="57" spans="1:46">
      <c r="A57" s="119">
        <v>55</v>
      </c>
      <c r="B57" s="113">
        <f t="shared" si="0"/>
        <v>45377</v>
      </c>
      <c r="C57" s="114">
        <f>YEAR(MC[[#This Row],[Date]])+IF(MONTH(MC[[#This Row],[Date]])&gt;=4,1,0)</f>
        <v>2024</v>
      </c>
      <c r="D57" s="115">
        <f>YEAR(MC[[#This Row],[Date]])</f>
        <v>2024</v>
      </c>
      <c r="E57" s="112" t="s">
        <v>326</v>
      </c>
      <c r="F57" s="112" t="s">
        <v>326</v>
      </c>
      <c r="G57" s="116" t="str">
        <f>TEXT(MC[[#This Row],[Date]],"mmm-yy")</f>
        <v>Mar-24</v>
      </c>
      <c r="H57" s="116">
        <f>DAY(EOMONTH(MC[[#This Row],[Month Year]],0))</f>
        <v>31</v>
      </c>
      <c r="I57" s="119">
        <v>3</v>
      </c>
      <c r="J57" s="119">
        <v>2</v>
      </c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5">
        <f>SUM(MC[[#This Row],[IS1Inv1M1]:[IS4Inv10M2]])</f>
        <v>0</v>
      </c>
      <c r="AN57" s="120"/>
      <c r="AO57" s="119"/>
      <c r="AP57" s="119"/>
      <c r="AQ57" s="120"/>
      <c r="AR57" s="119"/>
      <c r="AS57" s="119"/>
      <c r="AT57" s="119"/>
    </row>
    <row r="58" spans="1:46">
      <c r="A58" s="119">
        <v>56</v>
      </c>
      <c r="B58" s="113">
        <f t="shared" si="0"/>
        <v>45378</v>
      </c>
      <c r="C58" s="114">
        <f>YEAR(MC[[#This Row],[Date]])+IF(MONTH(MC[[#This Row],[Date]])&gt;=4,1,0)</f>
        <v>2024</v>
      </c>
      <c r="D58" s="115">
        <f>YEAR(MC[[#This Row],[Date]])</f>
        <v>2024</v>
      </c>
      <c r="E58" s="112" t="s">
        <v>326</v>
      </c>
      <c r="F58" s="112" t="s">
        <v>326</v>
      </c>
      <c r="G58" s="116" t="str">
        <f>TEXT(MC[[#This Row],[Date]],"mmm-yy")</f>
        <v>Mar-24</v>
      </c>
      <c r="H58" s="116">
        <f>DAY(EOMONTH(MC[[#This Row],[Month Year]],0))</f>
        <v>31</v>
      </c>
      <c r="I58" s="119">
        <v>3</v>
      </c>
      <c r="J58" s="119">
        <v>2</v>
      </c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5">
        <f>SUM(MC[[#This Row],[IS1Inv1M1]:[IS4Inv10M2]])</f>
        <v>0</v>
      </c>
      <c r="AN58" s="120"/>
      <c r="AO58" s="119"/>
      <c r="AP58" s="119"/>
      <c r="AQ58" s="120"/>
      <c r="AR58" s="119"/>
      <c r="AS58" s="119"/>
      <c r="AT58" s="119"/>
    </row>
    <row r="59" spans="1:46">
      <c r="A59" s="119">
        <v>57</v>
      </c>
      <c r="B59" s="113">
        <f t="shared" si="0"/>
        <v>45379</v>
      </c>
      <c r="C59" s="114">
        <f>YEAR(MC[[#This Row],[Date]])+IF(MONTH(MC[[#This Row],[Date]])&gt;=4,1,0)</f>
        <v>2024</v>
      </c>
      <c r="D59" s="115">
        <f>YEAR(MC[[#This Row],[Date]])</f>
        <v>2024</v>
      </c>
      <c r="E59" s="112" t="s">
        <v>326</v>
      </c>
      <c r="F59" s="112" t="s">
        <v>326</v>
      </c>
      <c r="G59" s="116" t="str">
        <f>TEXT(MC[[#This Row],[Date]],"mmm-yy")</f>
        <v>Mar-24</v>
      </c>
      <c r="H59" s="116">
        <f>DAY(EOMONTH(MC[[#This Row],[Month Year]],0))</f>
        <v>31</v>
      </c>
      <c r="I59" s="119">
        <v>3</v>
      </c>
      <c r="J59" s="119">
        <v>2</v>
      </c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5">
        <f>SUM(MC[[#This Row],[IS1Inv1M1]:[IS4Inv10M2]])</f>
        <v>0</v>
      </c>
      <c r="AN59" s="120"/>
      <c r="AO59" s="119"/>
      <c r="AP59" s="119"/>
      <c r="AQ59" s="120"/>
      <c r="AR59" s="119"/>
      <c r="AS59" s="119"/>
      <c r="AT59" s="119"/>
    </row>
    <row r="60" spans="1:46">
      <c r="A60" s="119">
        <v>58</v>
      </c>
      <c r="B60" s="113">
        <f t="shared" si="0"/>
        <v>45380</v>
      </c>
      <c r="C60" s="114">
        <f>YEAR(MC[[#This Row],[Date]])+IF(MONTH(MC[[#This Row],[Date]])&gt;=4,1,0)</f>
        <v>2024</v>
      </c>
      <c r="D60" s="115">
        <f>YEAR(MC[[#This Row],[Date]])</f>
        <v>2024</v>
      </c>
      <c r="E60" s="112" t="s">
        <v>326</v>
      </c>
      <c r="F60" s="112" t="s">
        <v>326</v>
      </c>
      <c r="G60" s="116" t="str">
        <f>TEXT(MC[[#This Row],[Date]],"mmm-yy")</f>
        <v>Mar-24</v>
      </c>
      <c r="H60" s="116">
        <f>DAY(EOMONTH(MC[[#This Row],[Month Year]],0))</f>
        <v>31</v>
      </c>
      <c r="I60" s="119">
        <v>3</v>
      </c>
      <c r="J60" s="119">
        <v>2</v>
      </c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5">
        <f>SUM(MC[[#This Row],[IS1Inv1M1]:[IS4Inv10M2]])</f>
        <v>0</v>
      </c>
      <c r="AN60" s="120"/>
      <c r="AO60" s="119"/>
      <c r="AP60" s="119"/>
      <c r="AQ60" s="120"/>
      <c r="AR60" s="119"/>
      <c r="AS60" s="119"/>
      <c r="AT60" s="119"/>
    </row>
    <row r="61" spans="1:46">
      <c r="A61" s="119">
        <v>59</v>
      </c>
      <c r="B61" s="113">
        <f t="shared" si="0"/>
        <v>45381</v>
      </c>
      <c r="C61" s="114">
        <f>YEAR(MC[[#This Row],[Date]])+IF(MONTH(MC[[#This Row],[Date]])&gt;=4,1,0)</f>
        <v>2024</v>
      </c>
      <c r="D61" s="115">
        <f>YEAR(MC[[#This Row],[Date]])</f>
        <v>2024</v>
      </c>
      <c r="E61" s="112" t="s">
        <v>326</v>
      </c>
      <c r="F61" s="112" t="s">
        <v>326</v>
      </c>
      <c r="G61" s="116" t="str">
        <f>TEXT(MC[[#This Row],[Date]],"mmm-yy")</f>
        <v>Mar-24</v>
      </c>
      <c r="H61" s="116">
        <f>DAY(EOMONTH(MC[[#This Row],[Month Year]],0))</f>
        <v>31</v>
      </c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5">
        <f>SUM(MC[[#This Row],[IS1Inv1M1]:[IS4Inv10M2]])</f>
        <v>0</v>
      </c>
      <c r="AN61" s="120"/>
      <c r="AO61" s="119"/>
      <c r="AP61" s="119"/>
      <c r="AQ61" s="120"/>
      <c r="AR61" s="119"/>
      <c r="AS61" s="119"/>
      <c r="AT61" s="119"/>
    </row>
    <row r="62" spans="1:46">
      <c r="A62" s="119">
        <v>60</v>
      </c>
      <c r="B62" s="113">
        <f t="shared" si="0"/>
        <v>45382</v>
      </c>
      <c r="C62" s="114">
        <f>YEAR(MC[[#This Row],[Date]])+IF(MONTH(MC[[#This Row],[Date]])&gt;=4,1,0)</f>
        <v>2024</v>
      </c>
      <c r="D62" s="115">
        <f>YEAR(MC[[#This Row],[Date]])</f>
        <v>2024</v>
      </c>
      <c r="E62" s="112" t="s">
        <v>326</v>
      </c>
      <c r="F62" s="112" t="s">
        <v>326</v>
      </c>
      <c r="G62" s="116" t="str">
        <f>TEXT(MC[[#This Row],[Date]],"mmm-yy")</f>
        <v>Mar-24</v>
      </c>
      <c r="H62" s="116">
        <f>DAY(EOMONTH(MC[[#This Row],[Month Year]],0))</f>
        <v>31</v>
      </c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5">
        <f>SUM(MC[[#This Row],[IS1Inv1M1]:[IS4Inv10M2]])</f>
        <v>0</v>
      </c>
      <c r="AN62" s="120"/>
      <c r="AO62" s="119"/>
      <c r="AP62" s="119"/>
      <c r="AQ62" s="120"/>
      <c r="AR62" s="119"/>
      <c r="AS62" s="119"/>
      <c r="AT62" s="119"/>
    </row>
    <row r="63" spans="1:46">
      <c r="A63" s="119">
        <v>61</v>
      </c>
      <c r="B63" s="113">
        <f t="shared" si="0"/>
        <v>45383</v>
      </c>
      <c r="C63" s="114">
        <f>YEAR(MC[[#This Row],[Date]])+IF(MONTH(MC[[#This Row],[Date]])&gt;=4,1,0)</f>
        <v>2025</v>
      </c>
      <c r="D63" s="115">
        <f>YEAR(MC[[#This Row],[Date]])</f>
        <v>2024</v>
      </c>
      <c r="E63" s="112" t="s">
        <v>326</v>
      </c>
      <c r="F63" s="112" t="s">
        <v>326</v>
      </c>
      <c r="G63" s="116" t="str">
        <f>TEXT(MC[[#This Row],[Date]],"mmm-yy")</f>
        <v>Apr-24</v>
      </c>
      <c r="H63" s="116">
        <f>DAY(EOMONTH(MC[[#This Row],[Month Year]],0))</f>
        <v>30</v>
      </c>
      <c r="I63" s="119">
        <v>3</v>
      </c>
      <c r="J63" s="119">
        <v>2</v>
      </c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5">
        <f>SUM(MC[[#This Row],[IS1Inv1M1]:[IS4Inv10M2]])</f>
        <v>0</v>
      </c>
      <c r="AN63" s="119"/>
      <c r="AO63" s="119"/>
      <c r="AP63" s="119"/>
      <c r="AQ63" s="119"/>
      <c r="AR63" s="119"/>
      <c r="AS63" s="119"/>
      <c r="AT63" s="119"/>
    </row>
    <row r="64" spans="1:46">
      <c r="A64" s="119">
        <v>62</v>
      </c>
      <c r="B64" s="113">
        <f t="shared" si="0"/>
        <v>45384</v>
      </c>
      <c r="C64" s="114">
        <f>YEAR(MC[[#This Row],[Date]])+IF(MONTH(MC[[#This Row],[Date]])&gt;=4,1,0)</f>
        <v>2025</v>
      </c>
      <c r="D64" s="115">
        <f>YEAR(MC[[#This Row],[Date]])</f>
        <v>2024</v>
      </c>
      <c r="E64" s="112" t="s">
        <v>326</v>
      </c>
      <c r="F64" s="112" t="s">
        <v>326</v>
      </c>
      <c r="G64" s="116" t="str">
        <f>TEXT(MC[[#This Row],[Date]],"mmm-yy")</f>
        <v>Apr-24</v>
      </c>
      <c r="H64" s="116">
        <f>DAY(EOMONTH(MC[[#This Row],[Month Year]],0))</f>
        <v>30</v>
      </c>
      <c r="I64" s="119">
        <v>3</v>
      </c>
      <c r="J64" s="119">
        <v>2</v>
      </c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5">
        <f>SUM(MC[[#This Row],[IS1Inv1M1]:[IS4Inv10M2]])</f>
        <v>0</v>
      </c>
      <c r="AN64" s="120"/>
      <c r="AO64" s="119"/>
      <c r="AP64" s="119"/>
      <c r="AQ64" s="120"/>
      <c r="AR64" s="119"/>
      <c r="AS64" s="119"/>
      <c r="AT64" s="119"/>
    </row>
    <row r="65" spans="1:46">
      <c r="A65" s="119">
        <v>63</v>
      </c>
      <c r="B65" s="113">
        <f t="shared" si="0"/>
        <v>45385</v>
      </c>
      <c r="C65" s="114">
        <f>YEAR(MC[[#This Row],[Date]])+IF(MONTH(MC[[#This Row],[Date]])&gt;=4,1,0)</f>
        <v>2025</v>
      </c>
      <c r="D65" s="115">
        <f>YEAR(MC[[#This Row],[Date]])</f>
        <v>2024</v>
      </c>
      <c r="E65" s="112" t="s">
        <v>326</v>
      </c>
      <c r="F65" s="112" t="s">
        <v>326</v>
      </c>
      <c r="G65" s="116" t="str">
        <f>TEXT(MC[[#This Row],[Date]],"mmm-yy")</f>
        <v>Apr-24</v>
      </c>
      <c r="H65" s="116">
        <f>DAY(EOMONTH(MC[[#This Row],[Month Year]],0))</f>
        <v>30</v>
      </c>
      <c r="I65" s="119">
        <v>3</v>
      </c>
      <c r="J65" s="119">
        <v>2</v>
      </c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5">
        <f>SUM(MC[[#This Row],[IS1Inv1M1]:[IS4Inv10M2]])</f>
        <v>0</v>
      </c>
      <c r="AN65" s="120"/>
      <c r="AO65" s="119"/>
      <c r="AP65" s="119"/>
      <c r="AQ65" s="120"/>
      <c r="AR65" s="119"/>
      <c r="AS65" s="119"/>
      <c r="AT65" s="119"/>
    </row>
    <row r="66" spans="1:46">
      <c r="A66" s="119">
        <v>64</v>
      </c>
      <c r="B66" s="113">
        <f t="shared" si="0"/>
        <v>45386</v>
      </c>
      <c r="C66" s="114">
        <f>YEAR(MC[[#This Row],[Date]])+IF(MONTH(MC[[#This Row],[Date]])&gt;=4,1,0)</f>
        <v>2025</v>
      </c>
      <c r="D66" s="115">
        <f>YEAR(MC[[#This Row],[Date]])</f>
        <v>2024</v>
      </c>
      <c r="E66" s="112" t="s">
        <v>326</v>
      </c>
      <c r="F66" s="112" t="s">
        <v>326</v>
      </c>
      <c r="G66" s="116" t="str">
        <f>TEXT(MC[[#This Row],[Date]],"mmm-yy")</f>
        <v>Apr-24</v>
      </c>
      <c r="H66" s="116">
        <f>DAY(EOMONTH(MC[[#This Row],[Month Year]],0))</f>
        <v>30</v>
      </c>
      <c r="I66" s="119">
        <v>3</v>
      </c>
      <c r="J66" s="119">
        <v>2</v>
      </c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5">
        <f>SUM(MC[[#This Row],[IS1Inv1M1]:[IS4Inv10M2]])</f>
        <v>0</v>
      </c>
      <c r="AN66" s="120"/>
      <c r="AO66" s="119"/>
      <c r="AP66" s="119"/>
      <c r="AQ66" s="120"/>
      <c r="AR66" s="119"/>
      <c r="AS66" s="119"/>
      <c r="AT66" s="119"/>
    </row>
    <row r="67" spans="1:46">
      <c r="A67" s="119">
        <v>65</v>
      </c>
      <c r="B67" s="113">
        <f t="shared" si="0"/>
        <v>45387</v>
      </c>
      <c r="C67" s="114">
        <f>YEAR(MC[[#This Row],[Date]])+IF(MONTH(MC[[#This Row],[Date]])&gt;=4,1,0)</f>
        <v>2025</v>
      </c>
      <c r="D67" s="115">
        <f>YEAR(MC[[#This Row],[Date]])</f>
        <v>2024</v>
      </c>
      <c r="E67" s="112" t="s">
        <v>326</v>
      </c>
      <c r="F67" s="112" t="s">
        <v>326</v>
      </c>
      <c r="G67" s="116" t="str">
        <f>TEXT(MC[[#This Row],[Date]],"mmm-yy")</f>
        <v>Apr-24</v>
      </c>
      <c r="H67" s="116">
        <f>DAY(EOMONTH(MC[[#This Row],[Month Year]],0))</f>
        <v>30</v>
      </c>
      <c r="I67" s="119">
        <v>3</v>
      </c>
      <c r="J67" s="119">
        <v>2</v>
      </c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5">
        <f>SUM(MC[[#This Row],[IS1Inv1M1]:[IS4Inv10M2]])</f>
        <v>0</v>
      </c>
      <c r="AN67" s="120"/>
      <c r="AO67" s="119"/>
      <c r="AP67" s="119"/>
      <c r="AQ67" s="120"/>
      <c r="AR67" s="119"/>
      <c r="AS67" s="119"/>
      <c r="AT67" s="119"/>
    </row>
    <row r="68" spans="1:46">
      <c r="A68" s="119">
        <v>66</v>
      </c>
      <c r="B68" s="113">
        <f t="shared" si="0"/>
        <v>45388</v>
      </c>
      <c r="C68" s="114">
        <f>YEAR(MC[[#This Row],[Date]])+IF(MONTH(MC[[#This Row],[Date]])&gt;=4,1,0)</f>
        <v>2025</v>
      </c>
      <c r="D68" s="115">
        <f>YEAR(MC[[#This Row],[Date]])</f>
        <v>2024</v>
      </c>
      <c r="E68" s="112" t="s">
        <v>326</v>
      </c>
      <c r="F68" s="112" t="s">
        <v>326</v>
      </c>
      <c r="G68" s="116" t="str">
        <f>TEXT(MC[[#This Row],[Date]],"mmm-yy")</f>
        <v>Apr-24</v>
      </c>
      <c r="H68" s="116">
        <f>DAY(EOMONTH(MC[[#This Row],[Month Year]],0))</f>
        <v>30</v>
      </c>
      <c r="I68" s="119">
        <v>3</v>
      </c>
      <c r="J68" s="119">
        <v>2</v>
      </c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5">
        <f>SUM(MC[[#This Row],[IS1Inv1M1]:[IS4Inv10M2]])</f>
        <v>0</v>
      </c>
      <c r="AN68" s="119"/>
      <c r="AO68" s="119"/>
      <c r="AP68" s="119"/>
      <c r="AQ68" s="119"/>
      <c r="AR68" s="119"/>
      <c r="AS68" s="119"/>
      <c r="AT68" s="119"/>
    </row>
    <row r="69" spans="1:46">
      <c r="A69" s="119">
        <v>67</v>
      </c>
      <c r="B69" s="113">
        <f t="shared" ref="B69:B132" si="1">B68+1</f>
        <v>45389</v>
      </c>
      <c r="C69" s="114">
        <f>YEAR(MC[[#This Row],[Date]])+IF(MONTH(MC[[#This Row],[Date]])&gt;=4,1,0)</f>
        <v>2025</v>
      </c>
      <c r="D69" s="115">
        <f>YEAR(MC[[#This Row],[Date]])</f>
        <v>2024</v>
      </c>
      <c r="E69" s="112" t="s">
        <v>326</v>
      </c>
      <c r="F69" s="112" t="s">
        <v>326</v>
      </c>
      <c r="G69" s="116" t="str">
        <f>TEXT(MC[[#This Row],[Date]],"mmm-yy")</f>
        <v>Apr-24</v>
      </c>
      <c r="H69" s="116">
        <f>DAY(EOMONTH(MC[[#This Row],[Month Year]],0))</f>
        <v>30</v>
      </c>
      <c r="I69" s="119">
        <v>3</v>
      </c>
      <c r="J69" s="119">
        <v>2</v>
      </c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5">
        <f>SUM(MC[[#This Row],[IS1Inv1M1]:[IS4Inv10M2]])</f>
        <v>0</v>
      </c>
      <c r="AN69" s="120"/>
      <c r="AO69" s="119"/>
      <c r="AP69" s="119"/>
      <c r="AQ69" s="120"/>
      <c r="AR69" s="119"/>
      <c r="AS69" s="119"/>
      <c r="AT69" s="119"/>
    </row>
    <row r="70" spans="1:46">
      <c r="A70" s="119">
        <v>68</v>
      </c>
      <c r="B70" s="113">
        <f t="shared" si="1"/>
        <v>45390</v>
      </c>
      <c r="C70" s="114">
        <f>YEAR(MC[[#This Row],[Date]])+IF(MONTH(MC[[#This Row],[Date]])&gt;=4,1,0)</f>
        <v>2025</v>
      </c>
      <c r="D70" s="115">
        <f>YEAR(MC[[#This Row],[Date]])</f>
        <v>2024</v>
      </c>
      <c r="E70" s="112" t="s">
        <v>326</v>
      </c>
      <c r="F70" s="112" t="s">
        <v>326</v>
      </c>
      <c r="G70" s="116" t="str">
        <f>TEXT(MC[[#This Row],[Date]],"mmm-yy")</f>
        <v>Apr-24</v>
      </c>
      <c r="H70" s="116">
        <f>DAY(EOMONTH(MC[[#This Row],[Month Year]],0))</f>
        <v>30</v>
      </c>
      <c r="I70" s="119">
        <v>3</v>
      </c>
      <c r="J70" s="119">
        <v>2</v>
      </c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5">
        <f>SUM(MC[[#This Row],[IS1Inv1M1]:[IS4Inv10M2]])</f>
        <v>0</v>
      </c>
      <c r="AN70" s="119"/>
      <c r="AO70" s="119"/>
      <c r="AP70" s="119"/>
      <c r="AQ70" s="119"/>
      <c r="AR70" s="119"/>
      <c r="AS70" s="119"/>
      <c r="AT70" s="119"/>
    </row>
    <row r="71" spans="1:46">
      <c r="A71" s="119">
        <v>69</v>
      </c>
      <c r="B71" s="113">
        <f t="shared" si="1"/>
        <v>45391</v>
      </c>
      <c r="C71" s="114">
        <f>YEAR(MC[[#This Row],[Date]])+IF(MONTH(MC[[#This Row],[Date]])&gt;=4,1,0)</f>
        <v>2025</v>
      </c>
      <c r="D71" s="115">
        <f>YEAR(MC[[#This Row],[Date]])</f>
        <v>2024</v>
      </c>
      <c r="E71" s="112" t="s">
        <v>326</v>
      </c>
      <c r="F71" s="112" t="s">
        <v>326</v>
      </c>
      <c r="G71" s="116" t="str">
        <f>TEXT(MC[[#This Row],[Date]],"mmm-yy")</f>
        <v>Apr-24</v>
      </c>
      <c r="H71" s="116">
        <f>DAY(EOMONTH(MC[[#This Row],[Month Year]],0))</f>
        <v>30</v>
      </c>
      <c r="I71" s="119">
        <v>3</v>
      </c>
      <c r="J71" s="119">
        <v>2</v>
      </c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5">
        <f>SUM(MC[[#This Row],[IS1Inv1M1]:[IS4Inv10M2]])</f>
        <v>0</v>
      </c>
      <c r="AN71" s="119"/>
      <c r="AO71" s="119"/>
      <c r="AP71" s="119"/>
      <c r="AQ71" s="119"/>
      <c r="AR71" s="119"/>
      <c r="AS71" s="119"/>
      <c r="AT71" s="119"/>
    </row>
    <row r="72" spans="1:46">
      <c r="A72" s="119">
        <v>70</v>
      </c>
      <c r="B72" s="113">
        <f t="shared" si="1"/>
        <v>45392</v>
      </c>
      <c r="C72" s="114">
        <f>YEAR(MC[[#This Row],[Date]])+IF(MONTH(MC[[#This Row],[Date]])&gt;=4,1,0)</f>
        <v>2025</v>
      </c>
      <c r="D72" s="115">
        <f>YEAR(MC[[#This Row],[Date]])</f>
        <v>2024</v>
      </c>
      <c r="E72" s="112" t="s">
        <v>326</v>
      </c>
      <c r="F72" s="112" t="s">
        <v>326</v>
      </c>
      <c r="G72" s="116" t="str">
        <f>TEXT(MC[[#This Row],[Date]],"mmm-yy")</f>
        <v>Apr-24</v>
      </c>
      <c r="H72" s="116">
        <f>DAY(EOMONTH(MC[[#This Row],[Month Year]],0))</f>
        <v>30</v>
      </c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5">
        <f>SUM(MC[[#This Row],[IS1Inv1M1]:[IS4Inv10M2]])</f>
        <v>0</v>
      </c>
      <c r="AN72" s="119"/>
      <c r="AO72" s="119"/>
      <c r="AP72" s="119"/>
      <c r="AQ72" s="119"/>
      <c r="AR72" s="119"/>
      <c r="AS72" s="119"/>
      <c r="AT72" s="119"/>
    </row>
    <row r="73" spans="1:46">
      <c r="A73" s="119">
        <v>71</v>
      </c>
      <c r="B73" s="113">
        <f t="shared" si="1"/>
        <v>45393</v>
      </c>
      <c r="C73" s="114">
        <f>YEAR(MC[[#This Row],[Date]])+IF(MONTH(MC[[#This Row],[Date]])&gt;=4,1,0)</f>
        <v>2025</v>
      </c>
      <c r="D73" s="115">
        <f>YEAR(MC[[#This Row],[Date]])</f>
        <v>2024</v>
      </c>
      <c r="E73" s="112" t="s">
        <v>326</v>
      </c>
      <c r="F73" s="112" t="s">
        <v>326</v>
      </c>
      <c r="G73" s="116" t="str">
        <f>TEXT(MC[[#This Row],[Date]],"mmm-yy")</f>
        <v>Apr-24</v>
      </c>
      <c r="H73" s="116">
        <f>DAY(EOMONTH(MC[[#This Row],[Month Year]],0))</f>
        <v>30</v>
      </c>
      <c r="I73" s="119">
        <v>3</v>
      </c>
      <c r="J73" s="119">
        <v>2</v>
      </c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5">
        <f>SUM(MC[[#This Row],[IS1Inv1M1]:[IS4Inv10M2]])</f>
        <v>0</v>
      </c>
      <c r="AN73" s="119"/>
      <c r="AO73" s="119"/>
      <c r="AP73" s="119"/>
      <c r="AQ73" s="119"/>
      <c r="AR73" s="119"/>
      <c r="AS73" s="119"/>
      <c r="AT73" s="119"/>
    </row>
    <row r="74" spans="1:46">
      <c r="A74" s="119">
        <v>72</v>
      </c>
      <c r="B74" s="113">
        <f t="shared" si="1"/>
        <v>45394</v>
      </c>
      <c r="C74" s="114">
        <f>YEAR(MC[[#This Row],[Date]])+IF(MONTH(MC[[#This Row],[Date]])&gt;=4,1,0)</f>
        <v>2025</v>
      </c>
      <c r="D74" s="115">
        <f>YEAR(MC[[#This Row],[Date]])</f>
        <v>2024</v>
      </c>
      <c r="E74" s="112" t="s">
        <v>326</v>
      </c>
      <c r="F74" s="112" t="s">
        <v>326</v>
      </c>
      <c r="G74" s="116" t="str">
        <f>TEXT(MC[[#This Row],[Date]],"mmm-yy")</f>
        <v>Apr-24</v>
      </c>
      <c r="H74" s="116">
        <f>DAY(EOMONTH(MC[[#This Row],[Month Year]],0))</f>
        <v>30</v>
      </c>
      <c r="I74" s="119">
        <v>3</v>
      </c>
      <c r="J74" s="119">
        <v>2</v>
      </c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5">
        <f>SUM(MC[[#This Row],[IS1Inv1M1]:[IS4Inv10M2]])</f>
        <v>0</v>
      </c>
      <c r="AN74" s="119"/>
      <c r="AO74" s="119"/>
      <c r="AP74" s="119"/>
      <c r="AQ74" s="119"/>
      <c r="AR74" s="119"/>
      <c r="AS74" s="119"/>
      <c r="AT74" s="119"/>
    </row>
    <row r="75" spans="1:46">
      <c r="A75" s="119">
        <v>73</v>
      </c>
      <c r="B75" s="113">
        <f t="shared" si="1"/>
        <v>45395</v>
      </c>
      <c r="C75" s="114">
        <f>YEAR(MC[[#This Row],[Date]])+IF(MONTH(MC[[#This Row],[Date]])&gt;=4,1,0)</f>
        <v>2025</v>
      </c>
      <c r="D75" s="115">
        <f>YEAR(MC[[#This Row],[Date]])</f>
        <v>2024</v>
      </c>
      <c r="E75" s="112" t="s">
        <v>326</v>
      </c>
      <c r="F75" s="112" t="s">
        <v>326</v>
      </c>
      <c r="G75" s="116" t="str">
        <f>TEXT(MC[[#This Row],[Date]],"mmm-yy")</f>
        <v>Apr-24</v>
      </c>
      <c r="H75" s="116">
        <f>DAY(EOMONTH(MC[[#This Row],[Month Year]],0))</f>
        <v>30</v>
      </c>
      <c r="I75" s="119">
        <v>3</v>
      </c>
      <c r="J75" s="119">
        <v>2</v>
      </c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5">
        <f>SUM(MC[[#This Row],[IS1Inv1M1]:[IS4Inv10M2]])</f>
        <v>0</v>
      </c>
      <c r="AN75" s="119"/>
      <c r="AO75" s="119"/>
      <c r="AP75" s="119"/>
      <c r="AQ75" s="119"/>
      <c r="AR75" s="119"/>
      <c r="AS75" s="119"/>
      <c r="AT75" s="119"/>
    </row>
    <row r="76" spans="1:46">
      <c r="A76" s="119">
        <v>74</v>
      </c>
      <c r="B76" s="113">
        <f t="shared" si="1"/>
        <v>45396</v>
      </c>
      <c r="C76" s="114">
        <f>YEAR(MC[[#This Row],[Date]])+IF(MONTH(MC[[#This Row],[Date]])&gt;=4,1,0)</f>
        <v>2025</v>
      </c>
      <c r="D76" s="115">
        <f>YEAR(MC[[#This Row],[Date]])</f>
        <v>2024</v>
      </c>
      <c r="E76" s="112" t="s">
        <v>326</v>
      </c>
      <c r="F76" s="112" t="s">
        <v>326</v>
      </c>
      <c r="G76" s="116" t="str">
        <f>TEXT(MC[[#This Row],[Date]],"mmm-yy")</f>
        <v>Apr-24</v>
      </c>
      <c r="H76" s="116">
        <f>DAY(EOMONTH(MC[[#This Row],[Month Year]],0))</f>
        <v>30</v>
      </c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5">
        <f>SUM(MC[[#This Row],[IS1Inv1M1]:[IS4Inv10M2]])</f>
        <v>0</v>
      </c>
      <c r="AN76" s="120"/>
      <c r="AO76" s="119"/>
      <c r="AP76" s="119"/>
      <c r="AQ76" s="120"/>
      <c r="AR76" s="119"/>
      <c r="AS76" s="119"/>
      <c r="AT76" s="119"/>
    </row>
    <row r="77" spans="1:46">
      <c r="A77" s="119">
        <v>75</v>
      </c>
      <c r="B77" s="113">
        <f t="shared" si="1"/>
        <v>45397</v>
      </c>
      <c r="C77" s="114">
        <f>YEAR(MC[[#This Row],[Date]])+IF(MONTH(MC[[#This Row],[Date]])&gt;=4,1,0)</f>
        <v>2025</v>
      </c>
      <c r="D77" s="115">
        <f>YEAR(MC[[#This Row],[Date]])</f>
        <v>2024</v>
      </c>
      <c r="E77" s="112" t="s">
        <v>326</v>
      </c>
      <c r="F77" s="112" t="s">
        <v>326</v>
      </c>
      <c r="G77" s="116" t="str">
        <f>TEXT(MC[[#This Row],[Date]],"mmm-yy")</f>
        <v>Apr-24</v>
      </c>
      <c r="H77" s="116">
        <f>DAY(EOMONTH(MC[[#This Row],[Month Year]],0))</f>
        <v>30</v>
      </c>
      <c r="I77" s="119">
        <v>3</v>
      </c>
      <c r="J77" s="119">
        <v>2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5">
        <f>SUM(MC[[#This Row],[IS1Inv1M1]:[IS4Inv10M2]])</f>
        <v>0</v>
      </c>
      <c r="AN77" s="120"/>
      <c r="AO77" s="119"/>
      <c r="AP77" s="119"/>
      <c r="AQ77" s="120"/>
      <c r="AR77" s="119"/>
      <c r="AS77" s="119"/>
      <c r="AT77" s="119"/>
    </row>
    <row r="78" spans="1:46">
      <c r="A78" s="119">
        <v>76</v>
      </c>
      <c r="B78" s="113">
        <f t="shared" si="1"/>
        <v>45398</v>
      </c>
      <c r="C78" s="114">
        <f>YEAR(MC[[#This Row],[Date]])+IF(MONTH(MC[[#This Row],[Date]])&gt;=4,1,0)</f>
        <v>2025</v>
      </c>
      <c r="D78" s="115">
        <f>YEAR(MC[[#This Row],[Date]])</f>
        <v>2024</v>
      </c>
      <c r="E78" s="112" t="s">
        <v>326</v>
      </c>
      <c r="F78" s="112" t="s">
        <v>326</v>
      </c>
      <c r="G78" s="116" t="str">
        <f>TEXT(MC[[#This Row],[Date]],"mmm-yy")</f>
        <v>Apr-24</v>
      </c>
      <c r="H78" s="116">
        <f>DAY(EOMONTH(MC[[#This Row],[Month Year]],0))</f>
        <v>30</v>
      </c>
      <c r="I78" s="119">
        <v>4</v>
      </c>
      <c r="J78" s="119">
        <v>2</v>
      </c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5">
        <f>SUM(MC[[#This Row],[IS1Inv1M1]:[IS4Inv10M2]])</f>
        <v>0</v>
      </c>
      <c r="AN78" s="119"/>
      <c r="AO78" s="119"/>
      <c r="AP78" s="119"/>
      <c r="AQ78" s="119"/>
      <c r="AR78" s="119"/>
      <c r="AS78" s="119"/>
      <c r="AT78" s="119"/>
    </row>
    <row r="79" spans="1:46">
      <c r="A79" s="119">
        <v>77</v>
      </c>
      <c r="B79" s="113">
        <f t="shared" si="1"/>
        <v>45399</v>
      </c>
      <c r="C79" s="114">
        <f>YEAR(MC[[#This Row],[Date]])+IF(MONTH(MC[[#This Row],[Date]])&gt;=4,1,0)</f>
        <v>2025</v>
      </c>
      <c r="D79" s="115">
        <f>YEAR(MC[[#This Row],[Date]])</f>
        <v>2024</v>
      </c>
      <c r="E79" s="112" t="s">
        <v>326</v>
      </c>
      <c r="F79" s="112" t="s">
        <v>326</v>
      </c>
      <c r="G79" s="116" t="str">
        <f>TEXT(MC[[#This Row],[Date]],"mmm-yy")</f>
        <v>Apr-24</v>
      </c>
      <c r="H79" s="116">
        <f>DAY(EOMONTH(MC[[#This Row],[Month Year]],0))</f>
        <v>30</v>
      </c>
      <c r="I79" s="119">
        <v>4</v>
      </c>
      <c r="J79" s="119">
        <v>2</v>
      </c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5">
        <f>SUM(MC[[#This Row],[IS1Inv1M1]:[IS4Inv10M2]])</f>
        <v>0</v>
      </c>
      <c r="AN79" s="119"/>
      <c r="AO79" s="119"/>
      <c r="AP79" s="119"/>
      <c r="AQ79" s="119"/>
      <c r="AR79" s="119"/>
      <c r="AS79" s="119"/>
      <c r="AT79" s="119"/>
    </row>
    <row r="80" spans="1:46">
      <c r="A80" s="119">
        <v>78</v>
      </c>
      <c r="B80" s="113">
        <f t="shared" si="1"/>
        <v>45400</v>
      </c>
      <c r="C80" s="114">
        <f>YEAR(MC[[#This Row],[Date]])+IF(MONTH(MC[[#This Row],[Date]])&gt;=4,1,0)</f>
        <v>2025</v>
      </c>
      <c r="D80" s="115">
        <f>YEAR(MC[[#This Row],[Date]])</f>
        <v>2024</v>
      </c>
      <c r="E80" s="112" t="s">
        <v>326</v>
      </c>
      <c r="F80" s="112" t="s">
        <v>326</v>
      </c>
      <c r="G80" s="116" t="str">
        <f>TEXT(MC[[#This Row],[Date]],"mmm-yy")</f>
        <v>Apr-24</v>
      </c>
      <c r="H80" s="116">
        <f>DAY(EOMONTH(MC[[#This Row],[Month Year]],0))</f>
        <v>30</v>
      </c>
      <c r="I80" s="119">
        <v>4</v>
      </c>
      <c r="J80" s="119">
        <v>2</v>
      </c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5">
        <f>SUM(MC[[#This Row],[IS1Inv1M1]:[IS4Inv10M2]])</f>
        <v>0</v>
      </c>
      <c r="AN80" s="120"/>
      <c r="AO80" s="119"/>
      <c r="AP80" s="119"/>
      <c r="AQ80" s="120"/>
      <c r="AR80" s="119"/>
      <c r="AS80" s="119"/>
      <c r="AT80" s="119"/>
    </row>
    <row r="81" spans="1:46">
      <c r="A81" s="119">
        <v>79</v>
      </c>
      <c r="B81" s="113">
        <f t="shared" si="1"/>
        <v>45401</v>
      </c>
      <c r="C81" s="114">
        <f>YEAR(MC[[#This Row],[Date]])+IF(MONTH(MC[[#This Row],[Date]])&gt;=4,1,0)</f>
        <v>2025</v>
      </c>
      <c r="D81" s="115">
        <f>YEAR(MC[[#This Row],[Date]])</f>
        <v>2024</v>
      </c>
      <c r="E81" s="112" t="s">
        <v>326</v>
      </c>
      <c r="F81" s="112" t="s">
        <v>326</v>
      </c>
      <c r="G81" s="116" t="str">
        <f>TEXT(MC[[#This Row],[Date]],"mmm-yy")</f>
        <v>Apr-24</v>
      </c>
      <c r="H81" s="116">
        <f>DAY(EOMONTH(MC[[#This Row],[Month Year]],0))</f>
        <v>30</v>
      </c>
      <c r="I81" s="119">
        <v>4</v>
      </c>
      <c r="J81" s="119">
        <v>2</v>
      </c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5">
        <f>SUM(MC[[#This Row],[IS1Inv1M1]:[IS4Inv10M2]])</f>
        <v>0</v>
      </c>
      <c r="AN81" s="119"/>
      <c r="AO81" s="119"/>
      <c r="AP81" s="119"/>
      <c r="AQ81" s="119"/>
      <c r="AR81" s="119"/>
      <c r="AS81" s="119"/>
      <c r="AT81" s="119"/>
    </row>
    <row r="82" spans="1:46">
      <c r="A82" s="119">
        <v>80</v>
      </c>
      <c r="B82" s="113">
        <f t="shared" si="1"/>
        <v>45402</v>
      </c>
      <c r="C82" s="114">
        <f>YEAR(MC[[#This Row],[Date]])+IF(MONTH(MC[[#This Row],[Date]])&gt;=4,1,0)</f>
        <v>2025</v>
      </c>
      <c r="D82" s="115">
        <f>YEAR(MC[[#This Row],[Date]])</f>
        <v>2024</v>
      </c>
      <c r="E82" s="112" t="s">
        <v>326</v>
      </c>
      <c r="F82" s="112" t="s">
        <v>326</v>
      </c>
      <c r="G82" s="116" t="str">
        <f>TEXT(MC[[#This Row],[Date]],"mmm-yy")</f>
        <v>Apr-24</v>
      </c>
      <c r="H82" s="116">
        <f>DAY(EOMONTH(MC[[#This Row],[Month Year]],0))</f>
        <v>30</v>
      </c>
      <c r="I82" s="119">
        <v>4</v>
      </c>
      <c r="J82" s="119">
        <v>2</v>
      </c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5">
        <f>SUM(MC[[#This Row],[IS1Inv1M1]:[IS4Inv10M2]])</f>
        <v>0</v>
      </c>
      <c r="AN82" s="119"/>
      <c r="AO82" s="119"/>
      <c r="AP82" s="119"/>
      <c r="AQ82" s="119"/>
      <c r="AR82" s="119"/>
      <c r="AS82" s="119"/>
      <c r="AT82" s="119"/>
    </row>
    <row r="83" spans="1:46">
      <c r="A83" s="119">
        <v>81</v>
      </c>
      <c r="B83" s="113">
        <f t="shared" si="1"/>
        <v>45403</v>
      </c>
      <c r="C83" s="114">
        <f>YEAR(MC[[#This Row],[Date]])+IF(MONTH(MC[[#This Row],[Date]])&gt;=4,1,0)</f>
        <v>2025</v>
      </c>
      <c r="D83" s="115">
        <f>YEAR(MC[[#This Row],[Date]])</f>
        <v>2024</v>
      </c>
      <c r="E83" s="112" t="s">
        <v>326</v>
      </c>
      <c r="F83" s="112" t="s">
        <v>326</v>
      </c>
      <c r="G83" s="116" t="str">
        <f>TEXT(MC[[#This Row],[Date]],"mmm-yy")</f>
        <v>Apr-24</v>
      </c>
      <c r="H83" s="116">
        <f>DAY(EOMONTH(MC[[#This Row],[Month Year]],0))</f>
        <v>30</v>
      </c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5">
        <f>SUM(MC[[#This Row],[IS1Inv1M1]:[IS4Inv10M2]])</f>
        <v>0</v>
      </c>
      <c r="AN83" s="119"/>
      <c r="AO83" s="119"/>
      <c r="AP83" s="119"/>
      <c r="AQ83" s="119"/>
      <c r="AR83" s="119"/>
      <c r="AS83" s="119"/>
      <c r="AT83" s="119"/>
    </row>
    <row r="84" spans="1:46">
      <c r="A84" s="119">
        <v>82</v>
      </c>
      <c r="B84" s="113">
        <f t="shared" si="1"/>
        <v>45404</v>
      </c>
      <c r="C84" s="114">
        <f>YEAR(MC[[#This Row],[Date]])+IF(MONTH(MC[[#This Row],[Date]])&gt;=4,1,0)</f>
        <v>2025</v>
      </c>
      <c r="D84" s="115">
        <f>YEAR(MC[[#This Row],[Date]])</f>
        <v>2024</v>
      </c>
      <c r="E84" s="112" t="s">
        <v>326</v>
      </c>
      <c r="F84" s="112" t="s">
        <v>326</v>
      </c>
      <c r="G84" s="116" t="str">
        <f>TEXT(MC[[#This Row],[Date]],"mmm-yy")</f>
        <v>Apr-24</v>
      </c>
      <c r="H84" s="116">
        <f>DAY(EOMONTH(MC[[#This Row],[Month Year]],0))</f>
        <v>30</v>
      </c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5">
        <f>SUM(MC[[#This Row],[IS1Inv1M1]:[IS4Inv10M2]])</f>
        <v>0</v>
      </c>
      <c r="AN84" s="119"/>
      <c r="AO84" s="119"/>
      <c r="AP84" s="119"/>
      <c r="AQ84" s="119"/>
      <c r="AR84" s="119"/>
      <c r="AS84" s="119"/>
      <c r="AT84" s="119"/>
    </row>
    <row r="85" spans="1:46">
      <c r="A85" s="119">
        <v>83</v>
      </c>
      <c r="B85" s="113">
        <f t="shared" si="1"/>
        <v>45405</v>
      </c>
      <c r="C85" s="114">
        <f>YEAR(MC[[#This Row],[Date]])+IF(MONTH(MC[[#This Row],[Date]])&gt;=4,1,0)</f>
        <v>2025</v>
      </c>
      <c r="D85" s="115">
        <f>YEAR(MC[[#This Row],[Date]])</f>
        <v>2024</v>
      </c>
      <c r="E85" s="112" t="s">
        <v>326</v>
      </c>
      <c r="F85" s="112" t="s">
        <v>326</v>
      </c>
      <c r="G85" s="116" t="str">
        <f>TEXT(MC[[#This Row],[Date]],"mmm-yy")</f>
        <v>Apr-24</v>
      </c>
      <c r="H85" s="116">
        <f>DAY(EOMONTH(MC[[#This Row],[Month Year]],0))</f>
        <v>30</v>
      </c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5">
        <f>SUM(MC[[#This Row],[IS1Inv1M1]:[IS4Inv10M2]])</f>
        <v>0</v>
      </c>
      <c r="AN85" s="119"/>
      <c r="AO85" s="119"/>
      <c r="AP85" s="119"/>
      <c r="AQ85" s="119"/>
      <c r="AR85" s="119"/>
      <c r="AS85" s="119"/>
      <c r="AT85" s="119"/>
    </row>
    <row r="86" spans="1:46">
      <c r="A86" s="119">
        <v>84</v>
      </c>
      <c r="B86" s="113">
        <f t="shared" si="1"/>
        <v>45406</v>
      </c>
      <c r="C86" s="114">
        <f>YEAR(MC[[#This Row],[Date]])+IF(MONTH(MC[[#This Row],[Date]])&gt;=4,1,0)</f>
        <v>2025</v>
      </c>
      <c r="D86" s="115">
        <f>YEAR(MC[[#This Row],[Date]])</f>
        <v>2024</v>
      </c>
      <c r="E86" s="112" t="s">
        <v>326</v>
      </c>
      <c r="F86" s="112" t="s">
        <v>326</v>
      </c>
      <c r="G86" s="116" t="str">
        <f>TEXT(MC[[#This Row],[Date]],"mmm-yy")</f>
        <v>Apr-24</v>
      </c>
      <c r="H86" s="116">
        <f>DAY(EOMONTH(MC[[#This Row],[Month Year]],0))</f>
        <v>30</v>
      </c>
      <c r="I86" s="119">
        <v>4</v>
      </c>
      <c r="J86" s="119">
        <v>2</v>
      </c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5">
        <f>SUM(MC[[#This Row],[IS1Inv1M1]:[IS4Inv10M2]])</f>
        <v>0</v>
      </c>
      <c r="AN86" s="120"/>
      <c r="AO86" s="119"/>
      <c r="AP86" s="119"/>
      <c r="AQ86" s="120"/>
      <c r="AR86" s="119"/>
      <c r="AS86" s="119"/>
      <c r="AT86" s="119"/>
    </row>
    <row r="87" spans="1:46">
      <c r="A87" s="119">
        <v>85</v>
      </c>
      <c r="B87" s="113">
        <f t="shared" si="1"/>
        <v>45407</v>
      </c>
      <c r="C87" s="114">
        <f>YEAR(MC[[#This Row],[Date]])+IF(MONTH(MC[[#This Row],[Date]])&gt;=4,1,0)</f>
        <v>2025</v>
      </c>
      <c r="D87" s="115">
        <f>YEAR(MC[[#This Row],[Date]])</f>
        <v>2024</v>
      </c>
      <c r="E87" s="112" t="s">
        <v>326</v>
      </c>
      <c r="F87" s="112" t="s">
        <v>326</v>
      </c>
      <c r="G87" s="116" t="str">
        <f>TEXT(MC[[#This Row],[Date]],"mmm-yy")</f>
        <v>Apr-24</v>
      </c>
      <c r="H87" s="116">
        <f>DAY(EOMONTH(MC[[#This Row],[Month Year]],0))</f>
        <v>30</v>
      </c>
      <c r="I87" s="119">
        <v>4</v>
      </c>
      <c r="J87" s="119">
        <v>2</v>
      </c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5">
        <f>SUM(MC[[#This Row],[IS1Inv1M1]:[IS4Inv10M2]])</f>
        <v>0</v>
      </c>
      <c r="AN87" s="120"/>
      <c r="AO87" s="119"/>
      <c r="AP87" s="119"/>
      <c r="AQ87" s="120"/>
      <c r="AR87" s="119"/>
      <c r="AS87" s="119"/>
      <c r="AT87" s="119"/>
    </row>
    <row r="88" spans="1:46">
      <c r="A88" s="119">
        <v>86</v>
      </c>
      <c r="B88" s="113">
        <f t="shared" si="1"/>
        <v>45408</v>
      </c>
      <c r="C88" s="114">
        <f>YEAR(MC[[#This Row],[Date]])+IF(MONTH(MC[[#This Row],[Date]])&gt;=4,1,0)</f>
        <v>2025</v>
      </c>
      <c r="D88" s="115">
        <f>YEAR(MC[[#This Row],[Date]])</f>
        <v>2024</v>
      </c>
      <c r="E88" s="112" t="s">
        <v>326</v>
      </c>
      <c r="F88" s="112" t="s">
        <v>326</v>
      </c>
      <c r="G88" s="116" t="str">
        <f>TEXT(MC[[#This Row],[Date]],"mmm-yy")</f>
        <v>Apr-24</v>
      </c>
      <c r="H88" s="116">
        <f>DAY(EOMONTH(MC[[#This Row],[Month Year]],0))</f>
        <v>30</v>
      </c>
      <c r="I88" s="119">
        <v>4</v>
      </c>
      <c r="J88" s="119">
        <v>2</v>
      </c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5">
        <f>SUM(MC[[#This Row],[IS1Inv1M1]:[IS4Inv10M2]])</f>
        <v>0</v>
      </c>
      <c r="AN88" s="119"/>
      <c r="AO88" s="119"/>
      <c r="AP88" s="119"/>
      <c r="AQ88" s="119"/>
      <c r="AR88" s="119"/>
      <c r="AS88" s="119"/>
      <c r="AT88" s="119"/>
    </row>
    <row r="89" spans="1:46">
      <c r="A89" s="119">
        <v>87</v>
      </c>
      <c r="B89" s="113">
        <f t="shared" si="1"/>
        <v>45409</v>
      </c>
      <c r="C89" s="114">
        <f>YEAR(MC[[#This Row],[Date]])+IF(MONTH(MC[[#This Row],[Date]])&gt;=4,1,0)</f>
        <v>2025</v>
      </c>
      <c r="D89" s="115">
        <f>YEAR(MC[[#This Row],[Date]])</f>
        <v>2024</v>
      </c>
      <c r="E89" s="112" t="s">
        <v>326</v>
      </c>
      <c r="F89" s="112" t="s">
        <v>326</v>
      </c>
      <c r="G89" s="116" t="str">
        <f>TEXT(MC[[#This Row],[Date]],"mmm-yy")</f>
        <v>Apr-24</v>
      </c>
      <c r="H89" s="116">
        <f>DAY(EOMONTH(MC[[#This Row],[Month Year]],0))</f>
        <v>30</v>
      </c>
      <c r="I89" s="119">
        <v>4</v>
      </c>
      <c r="J89" s="119">
        <v>2</v>
      </c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5">
        <f>SUM(MC[[#This Row],[IS1Inv1M1]:[IS4Inv10M2]])</f>
        <v>0</v>
      </c>
      <c r="AN89" s="119"/>
      <c r="AO89" s="119"/>
      <c r="AP89" s="119"/>
      <c r="AQ89" s="119"/>
      <c r="AR89" s="119"/>
      <c r="AS89" s="119"/>
      <c r="AT89" s="119"/>
    </row>
    <row r="90" spans="1:46">
      <c r="A90" s="119">
        <v>88</v>
      </c>
      <c r="B90" s="113">
        <f t="shared" si="1"/>
        <v>45410</v>
      </c>
      <c r="C90" s="114">
        <f>YEAR(MC[[#This Row],[Date]])+IF(MONTH(MC[[#This Row],[Date]])&gt;=4,1,0)</f>
        <v>2025</v>
      </c>
      <c r="D90" s="115">
        <f>YEAR(MC[[#This Row],[Date]])</f>
        <v>2024</v>
      </c>
      <c r="E90" s="112" t="s">
        <v>326</v>
      </c>
      <c r="F90" s="112" t="s">
        <v>326</v>
      </c>
      <c r="G90" s="116" t="str">
        <f>TEXT(MC[[#This Row],[Date]],"mmm-yy")</f>
        <v>Apr-24</v>
      </c>
      <c r="H90" s="116">
        <f>DAY(EOMONTH(MC[[#This Row],[Month Year]],0))</f>
        <v>30</v>
      </c>
      <c r="I90" s="119">
        <v>4</v>
      </c>
      <c r="J90" s="119">
        <v>2</v>
      </c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5">
        <f>SUM(MC[[#This Row],[IS1Inv1M1]:[IS4Inv10M2]])</f>
        <v>0</v>
      </c>
      <c r="AN90" s="119"/>
      <c r="AO90" s="119"/>
      <c r="AP90" s="119"/>
      <c r="AQ90" s="119"/>
      <c r="AR90" s="119"/>
      <c r="AS90" s="119"/>
      <c r="AT90" s="119"/>
    </row>
    <row r="91" spans="1:46">
      <c r="A91" s="119">
        <v>89</v>
      </c>
      <c r="B91" s="113">
        <f t="shared" si="1"/>
        <v>45411</v>
      </c>
      <c r="C91" s="114">
        <f>YEAR(MC[[#This Row],[Date]])+IF(MONTH(MC[[#This Row],[Date]])&gt;=4,1,0)</f>
        <v>2025</v>
      </c>
      <c r="D91" s="115">
        <f>YEAR(MC[[#This Row],[Date]])</f>
        <v>2024</v>
      </c>
      <c r="E91" s="112" t="s">
        <v>326</v>
      </c>
      <c r="F91" s="112" t="s">
        <v>326</v>
      </c>
      <c r="G91" s="116" t="str">
        <f>TEXT(MC[[#This Row],[Date]],"mmm-yy")</f>
        <v>Apr-24</v>
      </c>
      <c r="H91" s="116">
        <f>DAY(EOMONTH(MC[[#This Row],[Month Year]],0))</f>
        <v>30</v>
      </c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5">
        <f>SUM(MC[[#This Row],[IS1Inv1M1]:[IS4Inv10M2]])</f>
        <v>0</v>
      </c>
      <c r="AN91" s="119"/>
      <c r="AO91" s="119"/>
      <c r="AP91" s="119"/>
      <c r="AQ91" s="119"/>
      <c r="AR91" s="119"/>
      <c r="AS91" s="119"/>
      <c r="AT91" s="119"/>
    </row>
    <row r="92" spans="1:46">
      <c r="A92" s="119">
        <v>90</v>
      </c>
      <c r="B92" s="113">
        <f t="shared" si="1"/>
        <v>45412</v>
      </c>
      <c r="C92" s="114">
        <f>YEAR(MC[[#This Row],[Date]])+IF(MONTH(MC[[#This Row],[Date]])&gt;=4,1,0)</f>
        <v>2025</v>
      </c>
      <c r="D92" s="115">
        <f>YEAR(MC[[#This Row],[Date]])</f>
        <v>2024</v>
      </c>
      <c r="E92" s="112" t="s">
        <v>326</v>
      </c>
      <c r="F92" s="112" t="s">
        <v>326</v>
      </c>
      <c r="G92" s="116" t="str">
        <f>TEXT(MC[[#This Row],[Date]],"mmm-yy")</f>
        <v>Apr-24</v>
      </c>
      <c r="H92" s="116">
        <f>DAY(EOMONTH(MC[[#This Row],[Month Year]],0))</f>
        <v>30</v>
      </c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5">
        <f>SUM(MC[[#This Row],[IS1Inv1M1]:[IS4Inv10M2]])</f>
        <v>0</v>
      </c>
      <c r="AN92" s="119"/>
      <c r="AO92" s="119"/>
      <c r="AP92" s="119"/>
      <c r="AQ92" s="119"/>
      <c r="AR92" s="119"/>
      <c r="AS92" s="119"/>
      <c r="AT92" s="119"/>
    </row>
    <row r="93" spans="1:46">
      <c r="A93" s="119">
        <v>91</v>
      </c>
      <c r="B93" s="113">
        <f t="shared" si="1"/>
        <v>45413</v>
      </c>
      <c r="C93" s="114">
        <f>YEAR(MC[[#This Row],[Date]])+IF(MONTH(MC[[#This Row],[Date]])&gt;=4,1,0)</f>
        <v>2025</v>
      </c>
      <c r="D93" s="115">
        <f>YEAR(MC[[#This Row],[Date]])</f>
        <v>2024</v>
      </c>
      <c r="E93" s="112" t="s">
        <v>326</v>
      </c>
      <c r="F93" s="112" t="s">
        <v>326</v>
      </c>
      <c r="G93" s="116" t="str">
        <f>TEXT(MC[[#This Row],[Date]],"mmm-yy")</f>
        <v>May-24</v>
      </c>
      <c r="H93" s="116">
        <f>DAY(EOMONTH(MC[[#This Row],[Month Year]],0))</f>
        <v>31</v>
      </c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5">
        <f>SUM(MC[[#This Row],[IS1Inv1M1]:[IS4Inv10M2]])</f>
        <v>0</v>
      </c>
      <c r="AN93" s="119"/>
      <c r="AO93" s="119"/>
      <c r="AP93" s="119"/>
      <c r="AQ93" s="119"/>
      <c r="AR93" s="119"/>
      <c r="AS93" s="119"/>
      <c r="AT93" s="119"/>
    </row>
    <row r="94" spans="1:46">
      <c r="A94" s="119">
        <v>92</v>
      </c>
      <c r="B94" s="113">
        <f t="shared" si="1"/>
        <v>45414</v>
      </c>
      <c r="C94" s="114">
        <f>YEAR(MC[[#This Row],[Date]])+IF(MONTH(MC[[#This Row],[Date]])&gt;=4,1,0)</f>
        <v>2025</v>
      </c>
      <c r="D94" s="115">
        <f>YEAR(MC[[#This Row],[Date]])</f>
        <v>2024</v>
      </c>
      <c r="E94" s="112" t="s">
        <v>326</v>
      </c>
      <c r="F94" s="112" t="s">
        <v>326</v>
      </c>
      <c r="G94" s="116" t="str">
        <f>TEXT(MC[[#This Row],[Date]],"mmm-yy")</f>
        <v>May-24</v>
      </c>
      <c r="H94" s="116">
        <f>DAY(EOMONTH(MC[[#This Row],[Month Year]],0))</f>
        <v>31</v>
      </c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5">
        <f>SUM(MC[[#This Row],[IS1Inv1M1]:[IS4Inv10M2]])</f>
        <v>0</v>
      </c>
      <c r="AN94" s="119"/>
      <c r="AO94" s="119"/>
      <c r="AP94" s="119"/>
      <c r="AQ94" s="119"/>
      <c r="AR94" s="119"/>
      <c r="AS94" s="119"/>
      <c r="AT94" s="119"/>
    </row>
    <row r="95" spans="1:46">
      <c r="A95" s="119">
        <v>93</v>
      </c>
      <c r="B95" s="113">
        <f t="shared" si="1"/>
        <v>45415</v>
      </c>
      <c r="C95" s="114">
        <f>YEAR(MC[[#This Row],[Date]])+IF(MONTH(MC[[#This Row],[Date]])&gt;=4,1,0)</f>
        <v>2025</v>
      </c>
      <c r="D95" s="115">
        <f>YEAR(MC[[#This Row],[Date]])</f>
        <v>2024</v>
      </c>
      <c r="E95" s="112" t="s">
        <v>326</v>
      </c>
      <c r="F95" s="112" t="s">
        <v>326</v>
      </c>
      <c r="G95" s="116" t="str">
        <f>TEXT(MC[[#This Row],[Date]],"mmm-yy")</f>
        <v>May-24</v>
      </c>
      <c r="H95" s="116">
        <f>DAY(EOMONTH(MC[[#This Row],[Month Year]],0))</f>
        <v>31</v>
      </c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5">
        <f>SUM(MC[[#This Row],[IS1Inv1M1]:[IS4Inv10M2]])</f>
        <v>0</v>
      </c>
      <c r="AN95" s="119"/>
      <c r="AO95" s="119"/>
      <c r="AP95" s="119"/>
      <c r="AQ95" s="119"/>
      <c r="AR95" s="119"/>
      <c r="AS95" s="119"/>
      <c r="AT95" s="119"/>
    </row>
    <row r="96" spans="1:46">
      <c r="A96" s="119">
        <v>94</v>
      </c>
      <c r="B96" s="113">
        <f t="shared" si="1"/>
        <v>45416</v>
      </c>
      <c r="C96" s="114">
        <f>YEAR(MC[[#This Row],[Date]])+IF(MONTH(MC[[#This Row],[Date]])&gt;=4,1,0)</f>
        <v>2025</v>
      </c>
      <c r="D96" s="115">
        <f>YEAR(MC[[#This Row],[Date]])</f>
        <v>2024</v>
      </c>
      <c r="E96" s="112" t="s">
        <v>326</v>
      </c>
      <c r="F96" s="112" t="s">
        <v>326</v>
      </c>
      <c r="G96" s="116" t="str">
        <f>TEXT(MC[[#This Row],[Date]],"mmm-yy")</f>
        <v>May-24</v>
      </c>
      <c r="H96" s="116">
        <f>DAY(EOMONTH(MC[[#This Row],[Month Year]],0))</f>
        <v>31</v>
      </c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5">
        <f>SUM(MC[[#This Row],[IS1Inv1M1]:[IS4Inv10M2]])</f>
        <v>0</v>
      </c>
      <c r="AN96" s="120"/>
      <c r="AO96" s="119"/>
      <c r="AP96" s="119"/>
      <c r="AQ96" s="120"/>
      <c r="AR96" s="119"/>
      <c r="AS96" s="119"/>
      <c r="AT96" s="119"/>
    </row>
    <row r="97" spans="1:46">
      <c r="A97" s="119">
        <v>95</v>
      </c>
      <c r="B97" s="113">
        <f t="shared" si="1"/>
        <v>45417</v>
      </c>
      <c r="C97" s="114">
        <f>YEAR(MC[[#This Row],[Date]])+IF(MONTH(MC[[#This Row],[Date]])&gt;=4,1,0)</f>
        <v>2025</v>
      </c>
      <c r="D97" s="115">
        <f>YEAR(MC[[#This Row],[Date]])</f>
        <v>2024</v>
      </c>
      <c r="E97" s="112" t="s">
        <v>326</v>
      </c>
      <c r="F97" s="112" t="s">
        <v>326</v>
      </c>
      <c r="G97" s="116" t="str">
        <f>TEXT(MC[[#This Row],[Date]],"mmm-yy")</f>
        <v>May-24</v>
      </c>
      <c r="H97" s="116">
        <f>DAY(EOMONTH(MC[[#This Row],[Month Year]],0))</f>
        <v>31</v>
      </c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5">
        <f>SUM(MC[[#This Row],[IS1Inv1M1]:[IS4Inv10M2]])</f>
        <v>0</v>
      </c>
      <c r="AN97" s="119"/>
      <c r="AO97" s="119"/>
      <c r="AP97" s="119"/>
      <c r="AQ97" s="119"/>
      <c r="AR97" s="119"/>
      <c r="AS97" s="119"/>
      <c r="AT97" s="119"/>
    </row>
    <row r="98" spans="1:46">
      <c r="A98" s="119">
        <v>96</v>
      </c>
      <c r="B98" s="113">
        <f t="shared" si="1"/>
        <v>45418</v>
      </c>
      <c r="C98" s="114">
        <f>YEAR(MC[[#This Row],[Date]])+IF(MONTH(MC[[#This Row],[Date]])&gt;=4,1,0)</f>
        <v>2025</v>
      </c>
      <c r="D98" s="115">
        <f>YEAR(MC[[#This Row],[Date]])</f>
        <v>2024</v>
      </c>
      <c r="E98" s="112" t="s">
        <v>326</v>
      </c>
      <c r="F98" s="112" t="s">
        <v>326</v>
      </c>
      <c r="G98" s="116" t="str">
        <f>TEXT(MC[[#This Row],[Date]],"mmm-yy")</f>
        <v>May-24</v>
      </c>
      <c r="H98" s="116">
        <f>DAY(EOMONTH(MC[[#This Row],[Month Year]],0))</f>
        <v>31</v>
      </c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5">
        <f>SUM(MC[[#This Row],[IS1Inv1M1]:[IS4Inv10M2]])</f>
        <v>0</v>
      </c>
      <c r="AN98" s="119"/>
      <c r="AO98" s="119"/>
      <c r="AP98" s="119"/>
      <c r="AQ98" s="119"/>
      <c r="AR98" s="119"/>
      <c r="AS98" s="119"/>
      <c r="AT98" s="119"/>
    </row>
    <row r="99" spans="1:46">
      <c r="A99" s="119">
        <v>97</v>
      </c>
      <c r="B99" s="113">
        <f t="shared" si="1"/>
        <v>45419</v>
      </c>
      <c r="C99" s="114">
        <f>YEAR(MC[[#This Row],[Date]])+IF(MONTH(MC[[#This Row],[Date]])&gt;=4,1,0)</f>
        <v>2025</v>
      </c>
      <c r="D99" s="115">
        <f>YEAR(MC[[#This Row],[Date]])</f>
        <v>2024</v>
      </c>
      <c r="E99" s="112" t="s">
        <v>326</v>
      </c>
      <c r="F99" s="112" t="s">
        <v>326</v>
      </c>
      <c r="G99" s="116" t="str">
        <f>TEXT(MC[[#This Row],[Date]],"mmm-yy")</f>
        <v>May-24</v>
      </c>
      <c r="H99" s="116">
        <f>DAY(EOMONTH(MC[[#This Row],[Month Year]],0))</f>
        <v>31</v>
      </c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5">
        <f>SUM(MC[[#This Row],[IS1Inv1M1]:[IS4Inv10M2]])</f>
        <v>0</v>
      </c>
      <c r="AN99" s="119"/>
      <c r="AO99" s="119"/>
      <c r="AP99" s="119"/>
      <c r="AQ99" s="119"/>
      <c r="AR99" s="119"/>
      <c r="AS99" s="119"/>
      <c r="AT99" s="119"/>
    </row>
    <row r="100" spans="1:46">
      <c r="A100" s="119">
        <v>98</v>
      </c>
      <c r="B100" s="113">
        <f t="shared" si="1"/>
        <v>45420</v>
      </c>
      <c r="C100" s="114">
        <f>YEAR(MC[[#This Row],[Date]])+IF(MONTH(MC[[#This Row],[Date]])&gt;=4,1,0)</f>
        <v>2025</v>
      </c>
      <c r="D100" s="115">
        <f>YEAR(MC[[#This Row],[Date]])</f>
        <v>2024</v>
      </c>
      <c r="E100" s="112" t="s">
        <v>326</v>
      </c>
      <c r="F100" s="112" t="s">
        <v>326</v>
      </c>
      <c r="G100" s="116" t="str">
        <f>TEXT(MC[[#This Row],[Date]],"mmm-yy")</f>
        <v>May-24</v>
      </c>
      <c r="H100" s="116">
        <f>DAY(EOMONTH(MC[[#This Row],[Month Year]],0))</f>
        <v>31</v>
      </c>
      <c r="I100" s="119">
        <v>1</v>
      </c>
      <c r="J100" s="119" t="s">
        <v>1175</v>
      </c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5">
        <f>SUM(MC[[#This Row],[IS1Inv1M1]:[IS4Inv10M2]])</f>
        <v>0</v>
      </c>
      <c r="AN100" s="119"/>
      <c r="AO100" s="119"/>
      <c r="AP100" s="119"/>
      <c r="AQ100" s="119"/>
      <c r="AR100" s="119"/>
      <c r="AS100" s="119"/>
      <c r="AT100" s="119"/>
    </row>
    <row r="101" spans="1:46">
      <c r="A101" s="119">
        <v>99</v>
      </c>
      <c r="B101" s="113">
        <f t="shared" si="1"/>
        <v>45421</v>
      </c>
      <c r="C101" s="114">
        <f>YEAR(MC[[#This Row],[Date]])+IF(MONTH(MC[[#This Row],[Date]])&gt;=4,1,0)</f>
        <v>2025</v>
      </c>
      <c r="D101" s="115">
        <f>YEAR(MC[[#This Row],[Date]])</f>
        <v>2024</v>
      </c>
      <c r="E101" s="112" t="s">
        <v>326</v>
      </c>
      <c r="F101" s="112" t="s">
        <v>326</v>
      </c>
      <c r="G101" s="116" t="str">
        <f>TEXT(MC[[#This Row],[Date]],"mmm-yy")</f>
        <v>May-24</v>
      </c>
      <c r="H101" s="116">
        <f>DAY(EOMONTH(MC[[#This Row],[Month Year]],0))</f>
        <v>31</v>
      </c>
      <c r="I101" s="119">
        <v>1</v>
      </c>
      <c r="J101" s="119" t="s">
        <v>1175</v>
      </c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5">
        <f>SUM(MC[[#This Row],[IS1Inv1M1]:[IS4Inv10M2]])</f>
        <v>0</v>
      </c>
      <c r="AN101" s="119"/>
      <c r="AO101" s="119"/>
      <c r="AP101" s="119"/>
      <c r="AQ101" s="119"/>
      <c r="AR101" s="119"/>
      <c r="AS101" s="119"/>
      <c r="AT101" s="119"/>
    </row>
    <row r="102" spans="1:46">
      <c r="A102" s="119">
        <v>100</v>
      </c>
      <c r="B102" s="113">
        <f t="shared" si="1"/>
        <v>45422</v>
      </c>
      <c r="C102" s="114">
        <f>YEAR(MC[[#This Row],[Date]])+IF(MONTH(MC[[#This Row],[Date]])&gt;=4,1,0)</f>
        <v>2025</v>
      </c>
      <c r="D102" s="115">
        <f>YEAR(MC[[#This Row],[Date]])</f>
        <v>2024</v>
      </c>
      <c r="E102" s="112" t="s">
        <v>326</v>
      </c>
      <c r="F102" s="112" t="s">
        <v>326</v>
      </c>
      <c r="G102" s="116" t="str">
        <f>TEXT(MC[[#This Row],[Date]],"mmm-yy")</f>
        <v>May-24</v>
      </c>
      <c r="H102" s="116">
        <f>DAY(EOMONTH(MC[[#This Row],[Month Year]],0))</f>
        <v>31</v>
      </c>
      <c r="I102" s="119">
        <v>1</v>
      </c>
      <c r="J102" s="119" t="s">
        <v>1175</v>
      </c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5">
        <f>SUM(MC[[#This Row],[IS1Inv1M1]:[IS4Inv10M2]])</f>
        <v>0</v>
      </c>
      <c r="AN102" s="119"/>
      <c r="AO102" s="119"/>
      <c r="AP102" s="119"/>
      <c r="AQ102" s="119"/>
      <c r="AR102" s="119"/>
      <c r="AS102" s="119"/>
      <c r="AT102" s="119"/>
    </row>
    <row r="103" spans="1:46">
      <c r="A103" s="119">
        <v>101</v>
      </c>
      <c r="B103" s="113">
        <f t="shared" si="1"/>
        <v>45423</v>
      </c>
      <c r="C103" s="114">
        <f>YEAR(MC[[#This Row],[Date]])+IF(MONTH(MC[[#This Row],[Date]])&gt;=4,1,0)</f>
        <v>2025</v>
      </c>
      <c r="D103" s="115">
        <f>YEAR(MC[[#This Row],[Date]])</f>
        <v>2024</v>
      </c>
      <c r="E103" s="112" t="s">
        <v>326</v>
      </c>
      <c r="F103" s="112" t="s">
        <v>326</v>
      </c>
      <c r="G103" s="116" t="str">
        <f>TEXT(MC[[#This Row],[Date]],"mmm-yy")</f>
        <v>May-24</v>
      </c>
      <c r="H103" s="116">
        <f>DAY(EOMONTH(MC[[#This Row],[Month Year]],0))</f>
        <v>31</v>
      </c>
      <c r="I103" s="119">
        <v>1</v>
      </c>
      <c r="J103" s="119" t="s">
        <v>1175</v>
      </c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5">
        <f>SUM(MC[[#This Row],[IS1Inv1M1]:[IS4Inv10M2]])</f>
        <v>0</v>
      </c>
      <c r="AN103" s="119"/>
      <c r="AO103" s="119"/>
      <c r="AP103" s="119"/>
      <c r="AQ103" s="119"/>
      <c r="AR103" s="119"/>
      <c r="AS103" s="119"/>
      <c r="AT103" s="119"/>
    </row>
    <row r="104" spans="1:46">
      <c r="A104" s="119">
        <v>102</v>
      </c>
      <c r="B104" s="113">
        <f t="shared" si="1"/>
        <v>45424</v>
      </c>
      <c r="C104" s="114">
        <f>YEAR(MC[[#This Row],[Date]])+IF(MONTH(MC[[#This Row],[Date]])&gt;=4,1,0)</f>
        <v>2025</v>
      </c>
      <c r="D104" s="115">
        <f>YEAR(MC[[#This Row],[Date]])</f>
        <v>2024</v>
      </c>
      <c r="E104" s="112" t="s">
        <v>326</v>
      </c>
      <c r="F104" s="112" t="s">
        <v>326</v>
      </c>
      <c r="G104" s="116" t="str">
        <f>TEXT(MC[[#This Row],[Date]],"mmm-yy")</f>
        <v>May-24</v>
      </c>
      <c r="H104" s="116">
        <f>DAY(EOMONTH(MC[[#This Row],[Month Year]],0))</f>
        <v>31</v>
      </c>
      <c r="I104" s="119">
        <v>1</v>
      </c>
      <c r="J104" s="119" t="s">
        <v>1175</v>
      </c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5">
        <f>SUM(MC[[#This Row],[IS1Inv1M1]:[IS4Inv10M2]])</f>
        <v>0</v>
      </c>
      <c r="AN104" s="119"/>
      <c r="AO104" s="119"/>
      <c r="AP104" s="119"/>
      <c r="AQ104" s="119"/>
      <c r="AR104" s="119"/>
      <c r="AS104" s="119"/>
      <c r="AT104" s="119"/>
    </row>
    <row r="105" spans="1:46">
      <c r="A105" s="119">
        <v>103</v>
      </c>
      <c r="B105" s="113">
        <f t="shared" si="1"/>
        <v>45425</v>
      </c>
      <c r="C105" s="114">
        <f>YEAR(MC[[#This Row],[Date]])+IF(MONTH(MC[[#This Row],[Date]])&gt;=4,1,0)</f>
        <v>2025</v>
      </c>
      <c r="D105" s="115">
        <f>YEAR(MC[[#This Row],[Date]])</f>
        <v>2024</v>
      </c>
      <c r="E105" s="112" t="s">
        <v>326</v>
      </c>
      <c r="F105" s="112" t="s">
        <v>326</v>
      </c>
      <c r="G105" s="116" t="str">
        <f>TEXT(MC[[#This Row],[Date]],"mmm-yy")</f>
        <v>May-24</v>
      </c>
      <c r="H105" s="116">
        <f>DAY(EOMONTH(MC[[#This Row],[Month Year]],0))</f>
        <v>31</v>
      </c>
      <c r="I105" s="119">
        <v>1</v>
      </c>
      <c r="J105" s="119" t="s">
        <v>1175</v>
      </c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5">
        <f>SUM(MC[[#This Row],[IS1Inv1M1]:[IS4Inv10M2]])</f>
        <v>0</v>
      </c>
      <c r="AN105" s="119"/>
      <c r="AO105" s="119"/>
      <c r="AP105" s="120"/>
      <c r="AQ105" s="120"/>
      <c r="AR105" s="119"/>
      <c r="AS105" s="119"/>
      <c r="AT105" s="119"/>
    </row>
    <row r="106" spans="1:46">
      <c r="A106" s="119">
        <v>104</v>
      </c>
      <c r="B106" s="113">
        <f t="shared" si="1"/>
        <v>45426</v>
      </c>
      <c r="C106" s="114">
        <f>YEAR(MC[[#This Row],[Date]])+IF(MONTH(MC[[#This Row],[Date]])&gt;=4,1,0)</f>
        <v>2025</v>
      </c>
      <c r="D106" s="115">
        <f>YEAR(MC[[#This Row],[Date]])</f>
        <v>2024</v>
      </c>
      <c r="E106" s="112" t="s">
        <v>326</v>
      </c>
      <c r="F106" s="112" t="s">
        <v>326</v>
      </c>
      <c r="G106" s="116" t="str">
        <f>TEXT(MC[[#This Row],[Date]],"mmm-yy")</f>
        <v>May-24</v>
      </c>
      <c r="H106" s="116">
        <f>DAY(EOMONTH(MC[[#This Row],[Month Year]],0))</f>
        <v>31</v>
      </c>
      <c r="I106" s="119">
        <v>1</v>
      </c>
      <c r="J106" s="119" t="s">
        <v>1175</v>
      </c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5">
        <f>SUM(MC[[#This Row],[IS1Inv1M1]:[IS4Inv10M2]])</f>
        <v>0</v>
      </c>
      <c r="AN106" s="120"/>
      <c r="AO106" s="120"/>
      <c r="AP106" s="120"/>
      <c r="AQ106" s="120"/>
      <c r="AR106" s="119"/>
      <c r="AS106" s="119"/>
      <c r="AT106" s="119"/>
    </row>
    <row r="107" spans="1:46">
      <c r="A107" s="119">
        <v>105</v>
      </c>
      <c r="B107" s="113">
        <f t="shared" si="1"/>
        <v>45427</v>
      </c>
      <c r="C107" s="114">
        <f>YEAR(MC[[#This Row],[Date]])+IF(MONTH(MC[[#This Row],[Date]])&gt;=4,1,0)</f>
        <v>2025</v>
      </c>
      <c r="D107" s="115">
        <f>YEAR(MC[[#This Row],[Date]])</f>
        <v>2024</v>
      </c>
      <c r="E107" s="112" t="s">
        <v>326</v>
      </c>
      <c r="F107" s="112" t="s">
        <v>326</v>
      </c>
      <c r="G107" s="116" t="str">
        <f>TEXT(MC[[#This Row],[Date]],"mmm-yy")</f>
        <v>May-24</v>
      </c>
      <c r="H107" s="116">
        <f>DAY(EOMONTH(MC[[#This Row],[Month Year]],0))</f>
        <v>31</v>
      </c>
      <c r="I107" s="119">
        <v>1</v>
      </c>
      <c r="J107" s="119" t="s">
        <v>1175</v>
      </c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5">
        <f>SUM(MC[[#This Row],[IS1Inv1M1]:[IS4Inv10M2]])</f>
        <v>0</v>
      </c>
      <c r="AN107" s="120"/>
      <c r="AO107" s="120"/>
      <c r="AP107" s="119"/>
      <c r="AQ107" s="119"/>
      <c r="AR107" s="119"/>
      <c r="AS107" s="119"/>
      <c r="AT107" s="119"/>
    </row>
    <row r="108" spans="1:46">
      <c r="A108" s="119">
        <v>106</v>
      </c>
      <c r="B108" s="113">
        <f t="shared" si="1"/>
        <v>45428</v>
      </c>
      <c r="C108" s="114">
        <f>YEAR(MC[[#This Row],[Date]])+IF(MONTH(MC[[#This Row],[Date]])&gt;=4,1,0)</f>
        <v>2025</v>
      </c>
      <c r="D108" s="115">
        <f>YEAR(MC[[#This Row],[Date]])</f>
        <v>2024</v>
      </c>
      <c r="E108" s="112" t="s">
        <v>326</v>
      </c>
      <c r="F108" s="112" t="s">
        <v>326</v>
      </c>
      <c r="G108" s="116" t="str">
        <f>TEXT(MC[[#This Row],[Date]],"mmm-yy")</f>
        <v>May-24</v>
      </c>
      <c r="H108" s="116">
        <f>DAY(EOMONTH(MC[[#This Row],[Month Year]],0))</f>
        <v>31</v>
      </c>
      <c r="I108" s="119">
        <v>1</v>
      </c>
      <c r="J108" s="119" t="s">
        <v>1175</v>
      </c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5">
        <f>SUM(MC[[#This Row],[IS1Inv1M1]:[IS4Inv10M2]])</f>
        <v>0</v>
      </c>
      <c r="AN108" s="119"/>
      <c r="AO108" s="119"/>
      <c r="AP108" s="119"/>
      <c r="AQ108" s="119"/>
      <c r="AR108" s="119"/>
      <c r="AS108" s="119"/>
      <c r="AT108" s="119"/>
    </row>
    <row r="109" spans="1:46">
      <c r="A109" s="119">
        <v>107</v>
      </c>
      <c r="B109" s="113">
        <f t="shared" si="1"/>
        <v>45429</v>
      </c>
      <c r="C109" s="114">
        <f>YEAR(MC[[#This Row],[Date]])+IF(MONTH(MC[[#This Row],[Date]])&gt;=4,1,0)</f>
        <v>2025</v>
      </c>
      <c r="D109" s="115">
        <f>YEAR(MC[[#This Row],[Date]])</f>
        <v>2024</v>
      </c>
      <c r="E109" s="112" t="s">
        <v>326</v>
      </c>
      <c r="F109" s="112" t="s">
        <v>326</v>
      </c>
      <c r="G109" s="116" t="str">
        <f>TEXT(MC[[#This Row],[Date]],"mmm-yy")</f>
        <v>May-24</v>
      </c>
      <c r="H109" s="116">
        <f>DAY(EOMONTH(MC[[#This Row],[Month Year]],0))</f>
        <v>31</v>
      </c>
      <c r="I109" s="119">
        <v>1</v>
      </c>
      <c r="J109" s="119" t="s">
        <v>1175</v>
      </c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5">
        <f>SUM(MC[[#This Row],[IS1Inv1M1]:[IS4Inv10M2]])</f>
        <v>0</v>
      </c>
      <c r="AN109" s="119"/>
      <c r="AO109" s="119"/>
      <c r="AP109" s="119"/>
      <c r="AQ109" s="119"/>
      <c r="AR109" s="119"/>
      <c r="AS109" s="119"/>
      <c r="AT109" s="119"/>
    </row>
    <row r="110" spans="1:46">
      <c r="A110" s="119">
        <v>108</v>
      </c>
      <c r="B110" s="113">
        <f t="shared" si="1"/>
        <v>45430</v>
      </c>
      <c r="C110" s="114">
        <f>YEAR(MC[[#This Row],[Date]])+IF(MONTH(MC[[#This Row],[Date]])&gt;=4,1,0)</f>
        <v>2025</v>
      </c>
      <c r="D110" s="115">
        <f>YEAR(MC[[#This Row],[Date]])</f>
        <v>2024</v>
      </c>
      <c r="E110" s="112" t="s">
        <v>326</v>
      </c>
      <c r="F110" s="112" t="s">
        <v>326</v>
      </c>
      <c r="G110" s="116" t="str">
        <f>TEXT(MC[[#This Row],[Date]],"mmm-yy")</f>
        <v>May-24</v>
      </c>
      <c r="H110" s="116">
        <f>DAY(EOMONTH(MC[[#This Row],[Month Year]],0))</f>
        <v>31</v>
      </c>
      <c r="I110" s="119">
        <v>1</v>
      </c>
      <c r="J110" s="119" t="s">
        <v>1175</v>
      </c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5">
        <f>SUM(MC[[#This Row],[IS1Inv1M1]:[IS4Inv10M2]])</f>
        <v>0</v>
      </c>
      <c r="AN110" s="119"/>
      <c r="AO110" s="119"/>
      <c r="AP110" s="120"/>
      <c r="AQ110" s="120"/>
      <c r="AR110" s="119"/>
      <c r="AS110" s="119"/>
      <c r="AT110" s="119"/>
    </row>
    <row r="111" spans="1:46">
      <c r="A111" s="119">
        <v>109</v>
      </c>
      <c r="B111" s="113">
        <f t="shared" si="1"/>
        <v>45431</v>
      </c>
      <c r="C111" s="114">
        <f>YEAR(MC[[#This Row],[Date]])+IF(MONTH(MC[[#This Row],[Date]])&gt;=4,1,0)</f>
        <v>2025</v>
      </c>
      <c r="D111" s="115">
        <f>YEAR(MC[[#This Row],[Date]])</f>
        <v>2024</v>
      </c>
      <c r="E111" s="112" t="s">
        <v>326</v>
      </c>
      <c r="F111" s="112" t="s">
        <v>326</v>
      </c>
      <c r="G111" s="116" t="str">
        <f>TEXT(MC[[#This Row],[Date]],"mmm-yy")</f>
        <v>May-24</v>
      </c>
      <c r="H111" s="116">
        <f>DAY(EOMONTH(MC[[#This Row],[Month Year]],0))</f>
        <v>31</v>
      </c>
      <c r="I111" s="119">
        <v>1</v>
      </c>
      <c r="J111" s="119" t="s">
        <v>1175</v>
      </c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5">
        <f>SUM(MC[[#This Row],[IS1Inv1M1]:[IS4Inv10M2]])</f>
        <v>0</v>
      </c>
      <c r="AN111" s="120"/>
      <c r="AO111" s="120"/>
      <c r="AP111" s="120"/>
      <c r="AQ111" s="120"/>
      <c r="AR111" s="119"/>
      <c r="AS111" s="119"/>
      <c r="AT111" s="119"/>
    </row>
    <row r="112" spans="1:46">
      <c r="A112" s="119">
        <v>110</v>
      </c>
      <c r="B112" s="113">
        <f t="shared" si="1"/>
        <v>45432</v>
      </c>
      <c r="C112" s="114">
        <f>YEAR(MC[[#This Row],[Date]])+IF(MONTH(MC[[#This Row],[Date]])&gt;=4,1,0)</f>
        <v>2025</v>
      </c>
      <c r="D112" s="115">
        <f>YEAR(MC[[#This Row],[Date]])</f>
        <v>2024</v>
      </c>
      <c r="E112" s="112" t="s">
        <v>326</v>
      </c>
      <c r="F112" s="112" t="s">
        <v>326</v>
      </c>
      <c r="G112" s="116" t="str">
        <f>TEXT(MC[[#This Row],[Date]],"mmm-yy")</f>
        <v>May-24</v>
      </c>
      <c r="H112" s="116">
        <f>DAY(EOMONTH(MC[[#This Row],[Month Year]],0))</f>
        <v>31</v>
      </c>
      <c r="I112" s="119">
        <v>1</v>
      </c>
      <c r="J112" s="119" t="s">
        <v>1175</v>
      </c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5">
        <f>SUM(MC[[#This Row],[IS1Inv1M1]:[IS4Inv10M2]])</f>
        <v>0</v>
      </c>
      <c r="AN112" s="120"/>
      <c r="AO112" s="120"/>
      <c r="AP112" s="120"/>
      <c r="AQ112" s="120"/>
      <c r="AR112" s="119"/>
      <c r="AS112" s="119"/>
      <c r="AT112" s="119"/>
    </row>
    <row r="113" spans="1:46">
      <c r="A113" s="119">
        <v>111</v>
      </c>
      <c r="B113" s="113">
        <f t="shared" si="1"/>
        <v>45433</v>
      </c>
      <c r="C113" s="114">
        <f>YEAR(MC[[#This Row],[Date]])+IF(MONTH(MC[[#This Row],[Date]])&gt;=4,1,0)</f>
        <v>2025</v>
      </c>
      <c r="D113" s="115">
        <f>YEAR(MC[[#This Row],[Date]])</f>
        <v>2024</v>
      </c>
      <c r="E113" s="112" t="s">
        <v>326</v>
      </c>
      <c r="F113" s="112" t="s">
        <v>326</v>
      </c>
      <c r="G113" s="116" t="str">
        <f>TEXT(MC[[#This Row],[Date]],"mmm-yy")</f>
        <v>May-24</v>
      </c>
      <c r="H113" s="116">
        <f>DAY(EOMONTH(MC[[#This Row],[Month Year]],0))</f>
        <v>31</v>
      </c>
      <c r="I113" s="119">
        <v>1</v>
      </c>
      <c r="J113" s="119" t="s">
        <v>1175</v>
      </c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5">
        <f>SUM(MC[[#This Row],[IS1Inv1M1]:[IS4Inv10M2]])</f>
        <v>0</v>
      </c>
      <c r="AN113" s="119"/>
      <c r="AO113" s="119"/>
      <c r="AP113" s="120"/>
      <c r="AQ113" s="120"/>
      <c r="AR113" s="119"/>
      <c r="AS113" s="119"/>
      <c r="AT113" s="119"/>
    </row>
    <row r="114" spans="1:46">
      <c r="A114" s="119">
        <v>112</v>
      </c>
      <c r="B114" s="113">
        <f t="shared" si="1"/>
        <v>45434</v>
      </c>
      <c r="C114" s="114">
        <f>YEAR(MC[[#This Row],[Date]])+IF(MONTH(MC[[#This Row],[Date]])&gt;=4,1,0)</f>
        <v>2025</v>
      </c>
      <c r="D114" s="115">
        <f>YEAR(MC[[#This Row],[Date]])</f>
        <v>2024</v>
      </c>
      <c r="E114" s="112" t="s">
        <v>326</v>
      </c>
      <c r="F114" s="112" t="s">
        <v>326</v>
      </c>
      <c r="G114" s="116" t="str">
        <f>TEXT(MC[[#This Row],[Date]],"mmm-yy")</f>
        <v>May-24</v>
      </c>
      <c r="H114" s="116">
        <f>DAY(EOMONTH(MC[[#This Row],[Month Year]],0))</f>
        <v>31</v>
      </c>
      <c r="I114" s="119">
        <v>1</v>
      </c>
      <c r="J114" s="119" t="s">
        <v>1175</v>
      </c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5">
        <f>SUM(MC[[#This Row],[IS1Inv1M1]:[IS4Inv10M2]])</f>
        <v>0</v>
      </c>
      <c r="AN114" s="120"/>
      <c r="AO114" s="120"/>
      <c r="AP114" s="120"/>
      <c r="AQ114" s="120"/>
      <c r="AR114" s="119"/>
      <c r="AS114" s="119"/>
      <c r="AT114" s="119"/>
    </row>
    <row r="115" spans="1:46">
      <c r="A115" s="119">
        <v>113</v>
      </c>
      <c r="B115" s="113">
        <f t="shared" si="1"/>
        <v>45435</v>
      </c>
      <c r="C115" s="114">
        <f>YEAR(MC[[#This Row],[Date]])+IF(MONTH(MC[[#This Row],[Date]])&gt;=4,1,0)</f>
        <v>2025</v>
      </c>
      <c r="D115" s="115">
        <f>YEAR(MC[[#This Row],[Date]])</f>
        <v>2024</v>
      </c>
      <c r="E115" s="112" t="s">
        <v>326</v>
      </c>
      <c r="F115" s="112" t="s">
        <v>326</v>
      </c>
      <c r="G115" s="116" t="str">
        <f>TEXT(MC[[#This Row],[Date]],"mmm-yy")</f>
        <v>May-24</v>
      </c>
      <c r="H115" s="116">
        <f>DAY(EOMONTH(MC[[#This Row],[Month Year]],0))</f>
        <v>31</v>
      </c>
      <c r="I115" s="119">
        <v>1</v>
      </c>
      <c r="J115" s="119" t="s">
        <v>1175</v>
      </c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5">
        <f>SUM(MC[[#This Row],[IS1Inv1M1]:[IS4Inv10M2]])</f>
        <v>0</v>
      </c>
      <c r="AN115" s="120"/>
      <c r="AO115" s="120"/>
      <c r="AP115" s="120"/>
      <c r="AQ115" s="120"/>
      <c r="AR115" s="119"/>
      <c r="AS115" s="119"/>
      <c r="AT115" s="119"/>
    </row>
    <row r="116" spans="1:46">
      <c r="A116" s="119">
        <v>114</v>
      </c>
      <c r="B116" s="113">
        <f t="shared" si="1"/>
        <v>45436</v>
      </c>
      <c r="C116" s="114">
        <f>YEAR(MC[[#This Row],[Date]])+IF(MONTH(MC[[#This Row],[Date]])&gt;=4,1,0)</f>
        <v>2025</v>
      </c>
      <c r="D116" s="115">
        <f>YEAR(MC[[#This Row],[Date]])</f>
        <v>2024</v>
      </c>
      <c r="E116" s="112" t="s">
        <v>326</v>
      </c>
      <c r="F116" s="112" t="s">
        <v>326</v>
      </c>
      <c r="G116" s="116" t="str">
        <f>TEXT(MC[[#This Row],[Date]],"mmm-yy")</f>
        <v>May-24</v>
      </c>
      <c r="H116" s="116">
        <f>DAY(EOMONTH(MC[[#This Row],[Month Year]],0))</f>
        <v>31</v>
      </c>
      <c r="I116" s="119">
        <v>1</v>
      </c>
      <c r="J116" s="119" t="s">
        <v>1175</v>
      </c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5">
        <f>SUM(MC[[#This Row],[IS1Inv1M1]:[IS4Inv10M2]])</f>
        <v>0</v>
      </c>
      <c r="AN116" s="120"/>
      <c r="AO116" s="120"/>
      <c r="AP116" s="120"/>
      <c r="AQ116" s="120"/>
      <c r="AR116" s="119"/>
      <c r="AS116" s="119"/>
      <c r="AT116" s="119"/>
    </row>
    <row r="117" spans="1:46">
      <c r="A117" s="119">
        <v>115</v>
      </c>
      <c r="B117" s="113">
        <f t="shared" si="1"/>
        <v>45437</v>
      </c>
      <c r="C117" s="114">
        <f>YEAR(MC[[#This Row],[Date]])+IF(MONTH(MC[[#This Row],[Date]])&gt;=4,1,0)</f>
        <v>2025</v>
      </c>
      <c r="D117" s="115">
        <f>YEAR(MC[[#This Row],[Date]])</f>
        <v>2024</v>
      </c>
      <c r="E117" s="112" t="s">
        <v>326</v>
      </c>
      <c r="F117" s="112" t="s">
        <v>326</v>
      </c>
      <c r="G117" s="116" t="str">
        <f>TEXT(MC[[#This Row],[Date]],"mmm-yy")</f>
        <v>May-24</v>
      </c>
      <c r="H117" s="116">
        <f>DAY(EOMONTH(MC[[#This Row],[Month Year]],0))</f>
        <v>31</v>
      </c>
      <c r="I117" s="119">
        <v>1</v>
      </c>
      <c r="J117" s="119" t="s">
        <v>1175</v>
      </c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5">
        <f>SUM(MC[[#This Row],[IS1Inv1M1]:[IS4Inv10M2]])</f>
        <v>0</v>
      </c>
      <c r="AN117" s="120"/>
      <c r="AO117" s="120"/>
      <c r="AP117" s="119"/>
      <c r="AQ117" s="119"/>
      <c r="AR117" s="119"/>
      <c r="AS117" s="119"/>
      <c r="AT117" s="119"/>
    </row>
    <row r="118" spans="1:46">
      <c r="A118" s="119">
        <v>116</v>
      </c>
      <c r="B118" s="113">
        <f t="shared" si="1"/>
        <v>45438</v>
      </c>
      <c r="C118" s="114">
        <f>YEAR(MC[[#This Row],[Date]])+IF(MONTH(MC[[#This Row],[Date]])&gt;=4,1,0)</f>
        <v>2025</v>
      </c>
      <c r="D118" s="115">
        <f>YEAR(MC[[#This Row],[Date]])</f>
        <v>2024</v>
      </c>
      <c r="E118" s="112" t="s">
        <v>326</v>
      </c>
      <c r="F118" s="112" t="s">
        <v>326</v>
      </c>
      <c r="G118" s="116" t="str">
        <f>TEXT(MC[[#This Row],[Date]],"mmm-yy")</f>
        <v>May-24</v>
      </c>
      <c r="H118" s="116">
        <f>DAY(EOMONTH(MC[[#This Row],[Month Year]],0))</f>
        <v>31</v>
      </c>
      <c r="I118" s="119">
        <v>1</v>
      </c>
      <c r="J118" s="119" t="s">
        <v>1175</v>
      </c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5">
        <f>SUM(MC[[#This Row],[IS1Inv1M1]:[IS4Inv10M2]])</f>
        <v>0</v>
      </c>
      <c r="AN118" s="119"/>
      <c r="AO118" s="119"/>
      <c r="AP118" s="119"/>
      <c r="AQ118" s="119"/>
      <c r="AR118" s="119"/>
      <c r="AS118" s="119"/>
      <c r="AT118" s="119"/>
    </row>
    <row r="119" spans="1:46">
      <c r="A119" s="119">
        <v>117</v>
      </c>
      <c r="B119" s="113">
        <f t="shared" si="1"/>
        <v>45439</v>
      </c>
      <c r="C119" s="114">
        <f>YEAR(MC[[#This Row],[Date]])+IF(MONTH(MC[[#This Row],[Date]])&gt;=4,1,0)</f>
        <v>2025</v>
      </c>
      <c r="D119" s="115">
        <f>YEAR(MC[[#This Row],[Date]])</f>
        <v>2024</v>
      </c>
      <c r="E119" s="112" t="s">
        <v>326</v>
      </c>
      <c r="F119" s="112" t="s">
        <v>326</v>
      </c>
      <c r="G119" s="116" t="str">
        <f>TEXT(MC[[#This Row],[Date]],"mmm-yy")</f>
        <v>May-24</v>
      </c>
      <c r="H119" s="116">
        <f>DAY(EOMONTH(MC[[#This Row],[Month Year]],0))</f>
        <v>31</v>
      </c>
      <c r="I119" s="119">
        <v>1</v>
      </c>
      <c r="J119" s="119" t="s">
        <v>1175</v>
      </c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5">
        <f>SUM(MC[[#This Row],[IS1Inv1M1]:[IS4Inv10M2]])</f>
        <v>0</v>
      </c>
      <c r="AN119" s="119"/>
      <c r="AO119" s="119"/>
      <c r="AP119" s="119"/>
      <c r="AQ119" s="119"/>
      <c r="AR119" s="119"/>
      <c r="AS119" s="119"/>
      <c r="AT119" s="119"/>
    </row>
    <row r="120" spans="1:46">
      <c r="A120" s="119">
        <v>118</v>
      </c>
      <c r="B120" s="113">
        <f t="shared" si="1"/>
        <v>45440</v>
      </c>
      <c r="C120" s="114">
        <f>YEAR(MC[[#This Row],[Date]])+IF(MONTH(MC[[#This Row],[Date]])&gt;=4,1,0)</f>
        <v>2025</v>
      </c>
      <c r="D120" s="115">
        <f>YEAR(MC[[#This Row],[Date]])</f>
        <v>2024</v>
      </c>
      <c r="E120" s="112" t="s">
        <v>326</v>
      </c>
      <c r="F120" s="112" t="s">
        <v>326</v>
      </c>
      <c r="G120" s="116" t="str">
        <f>TEXT(MC[[#This Row],[Date]],"mmm-yy")</f>
        <v>May-24</v>
      </c>
      <c r="H120" s="116">
        <f>DAY(EOMONTH(MC[[#This Row],[Month Year]],0))</f>
        <v>31</v>
      </c>
      <c r="I120" s="119">
        <v>1</v>
      </c>
      <c r="J120" s="119" t="s">
        <v>1175</v>
      </c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5">
        <f>SUM(MC[[#This Row],[IS1Inv1M1]:[IS4Inv10M2]])</f>
        <v>0</v>
      </c>
      <c r="AN120" s="119"/>
      <c r="AO120" s="119"/>
      <c r="AP120" s="119"/>
      <c r="AQ120" s="119"/>
      <c r="AR120" s="119"/>
      <c r="AS120" s="119"/>
      <c r="AT120" s="119"/>
    </row>
    <row r="121" spans="1:46">
      <c r="A121" s="119">
        <v>119</v>
      </c>
      <c r="B121" s="113">
        <f t="shared" si="1"/>
        <v>45441</v>
      </c>
      <c r="C121" s="114">
        <f>YEAR(MC[[#This Row],[Date]])+IF(MONTH(MC[[#This Row],[Date]])&gt;=4,1,0)</f>
        <v>2025</v>
      </c>
      <c r="D121" s="115">
        <f>YEAR(MC[[#This Row],[Date]])</f>
        <v>2024</v>
      </c>
      <c r="E121" s="112" t="s">
        <v>326</v>
      </c>
      <c r="F121" s="112" t="s">
        <v>326</v>
      </c>
      <c r="G121" s="116" t="str">
        <f>TEXT(MC[[#This Row],[Date]],"mmm-yy")</f>
        <v>May-24</v>
      </c>
      <c r="H121" s="116">
        <f>DAY(EOMONTH(MC[[#This Row],[Month Year]],0))</f>
        <v>31</v>
      </c>
      <c r="I121" s="119">
        <v>1</v>
      </c>
      <c r="J121" s="119" t="s">
        <v>1175</v>
      </c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5">
        <f>SUM(MC[[#This Row],[IS1Inv1M1]:[IS4Inv10M2]])</f>
        <v>0</v>
      </c>
      <c r="AN121" s="119"/>
      <c r="AO121" s="119"/>
      <c r="AP121" s="119"/>
      <c r="AQ121" s="119"/>
      <c r="AR121" s="119"/>
      <c r="AS121" s="119"/>
      <c r="AT121" s="119"/>
    </row>
    <row r="122" spans="1:46">
      <c r="A122" s="119">
        <v>120</v>
      </c>
      <c r="B122" s="113">
        <f t="shared" si="1"/>
        <v>45442</v>
      </c>
      <c r="C122" s="114">
        <f>YEAR(MC[[#This Row],[Date]])+IF(MONTH(MC[[#This Row],[Date]])&gt;=4,1,0)</f>
        <v>2025</v>
      </c>
      <c r="D122" s="115">
        <f>YEAR(MC[[#This Row],[Date]])</f>
        <v>2024</v>
      </c>
      <c r="E122" s="112" t="s">
        <v>326</v>
      </c>
      <c r="F122" s="112" t="s">
        <v>326</v>
      </c>
      <c r="G122" s="116" t="str">
        <f>TEXT(MC[[#This Row],[Date]],"mmm-yy")</f>
        <v>May-24</v>
      </c>
      <c r="H122" s="116">
        <f>DAY(EOMONTH(MC[[#This Row],[Month Year]],0))</f>
        <v>31</v>
      </c>
      <c r="I122" s="119">
        <v>1</v>
      </c>
      <c r="J122" s="119" t="s">
        <v>1175</v>
      </c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5">
        <f>SUM(MC[[#This Row],[IS1Inv1M1]:[IS4Inv10M2]])</f>
        <v>0</v>
      </c>
      <c r="AN122" s="119"/>
      <c r="AO122" s="119"/>
      <c r="AP122" s="119"/>
      <c r="AQ122" s="119"/>
      <c r="AR122" s="119"/>
      <c r="AS122" s="119"/>
      <c r="AT122" s="119"/>
    </row>
    <row r="123" spans="1:46">
      <c r="A123" s="119">
        <v>120</v>
      </c>
      <c r="B123" s="113">
        <f t="shared" si="1"/>
        <v>45443</v>
      </c>
      <c r="C123" s="114">
        <f>YEAR(MC[[#This Row],[Date]])+IF(MONTH(MC[[#This Row],[Date]])&gt;=4,1,0)</f>
        <v>2025</v>
      </c>
      <c r="D123" s="115">
        <f>YEAR(MC[[#This Row],[Date]])</f>
        <v>2024</v>
      </c>
      <c r="E123" s="112" t="s">
        <v>326</v>
      </c>
      <c r="F123" s="112" t="s">
        <v>326</v>
      </c>
      <c r="G123" s="116" t="str">
        <f>TEXT(MC[[#This Row],[Date]],"mmm-yy")</f>
        <v>May-24</v>
      </c>
      <c r="H123" s="116">
        <f>DAY(EOMONTH(MC[[#This Row],[Month Year]],0))</f>
        <v>31</v>
      </c>
      <c r="I123" s="119">
        <v>1</v>
      </c>
      <c r="J123" s="119" t="s">
        <v>1175</v>
      </c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5">
        <f>SUM(MC[[#This Row],[IS1Inv1M1]:[IS4Inv10M2]])</f>
        <v>0</v>
      </c>
      <c r="AN123" s="119"/>
      <c r="AO123" s="119"/>
      <c r="AP123" s="119"/>
      <c r="AQ123" s="119"/>
      <c r="AR123" s="119"/>
      <c r="AS123" s="119"/>
      <c r="AT123" s="119"/>
    </row>
    <row r="124" spans="1:46">
      <c r="A124" s="119">
        <v>122</v>
      </c>
      <c r="B124" s="113">
        <f t="shared" si="1"/>
        <v>45444</v>
      </c>
      <c r="C124" s="114">
        <f>YEAR(MC[[#This Row],[Date]])+IF(MONTH(MC[[#This Row],[Date]])&gt;=4,1,0)</f>
        <v>2025</v>
      </c>
      <c r="D124" s="115">
        <f>YEAR(MC[[#This Row],[Date]])</f>
        <v>2024</v>
      </c>
      <c r="E124" s="112" t="s">
        <v>326</v>
      </c>
      <c r="F124" s="112" t="s">
        <v>326</v>
      </c>
      <c r="G124" s="116" t="str">
        <f>TEXT(MC[[#This Row],[Date]],"mmm-yy")</f>
        <v>Jun-24</v>
      </c>
      <c r="H124" s="116">
        <f>DAY(EOMONTH(MC[[#This Row],[Month Year]],0))</f>
        <v>30</v>
      </c>
      <c r="I124" s="119">
        <v>1</v>
      </c>
      <c r="J124" s="119" t="s">
        <v>1175</v>
      </c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5">
        <f>SUM(MC[[#This Row],[IS1Inv1M1]:[IS4Inv10M2]])</f>
        <v>0</v>
      </c>
      <c r="AN124" s="119"/>
      <c r="AO124" s="119"/>
      <c r="AP124" s="119"/>
      <c r="AQ124" s="119"/>
      <c r="AR124" s="119"/>
      <c r="AS124" s="119"/>
      <c r="AT124" s="119"/>
    </row>
    <row r="125" spans="1:46">
      <c r="A125" s="119">
        <v>123</v>
      </c>
      <c r="B125" s="113">
        <f t="shared" si="1"/>
        <v>45445</v>
      </c>
      <c r="C125" s="114">
        <f>YEAR(MC[[#This Row],[Date]])+IF(MONTH(MC[[#This Row],[Date]])&gt;=4,1,0)</f>
        <v>2025</v>
      </c>
      <c r="D125" s="115">
        <f>YEAR(MC[[#This Row],[Date]])</f>
        <v>2024</v>
      </c>
      <c r="E125" s="112" t="s">
        <v>326</v>
      </c>
      <c r="F125" s="112" t="s">
        <v>326</v>
      </c>
      <c r="G125" s="116" t="str">
        <f>TEXT(MC[[#This Row],[Date]],"mmm-yy")</f>
        <v>Jun-24</v>
      </c>
      <c r="H125" s="116">
        <f>DAY(EOMONTH(MC[[#This Row],[Month Year]],0))</f>
        <v>30</v>
      </c>
      <c r="I125" s="119">
        <v>1</v>
      </c>
      <c r="J125" s="119" t="s">
        <v>1175</v>
      </c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5">
        <f>SUM(MC[[#This Row],[IS1Inv1M1]:[IS4Inv10M2]])</f>
        <v>0</v>
      </c>
      <c r="AN125" s="119"/>
      <c r="AO125" s="119"/>
      <c r="AP125" s="119"/>
      <c r="AQ125" s="119"/>
      <c r="AR125" s="119"/>
      <c r="AS125" s="119"/>
      <c r="AT125" s="119"/>
    </row>
    <row r="126" spans="1:46">
      <c r="A126" s="119">
        <v>124</v>
      </c>
      <c r="B126" s="113">
        <f t="shared" si="1"/>
        <v>45446</v>
      </c>
      <c r="C126" s="114">
        <f>YEAR(MC[[#This Row],[Date]])+IF(MONTH(MC[[#This Row],[Date]])&gt;=4,1,0)</f>
        <v>2025</v>
      </c>
      <c r="D126" s="115">
        <f>YEAR(MC[[#This Row],[Date]])</f>
        <v>2024</v>
      </c>
      <c r="E126" s="112" t="s">
        <v>326</v>
      </c>
      <c r="F126" s="112" t="s">
        <v>326</v>
      </c>
      <c r="G126" s="116" t="str">
        <f>TEXT(MC[[#This Row],[Date]],"mmm-yy")</f>
        <v>Jun-24</v>
      </c>
      <c r="H126" s="116">
        <f>DAY(EOMONTH(MC[[#This Row],[Month Year]],0))</f>
        <v>30</v>
      </c>
      <c r="I126" s="119">
        <v>1</v>
      </c>
      <c r="J126" s="119" t="s">
        <v>1175</v>
      </c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5">
        <f>SUM(MC[[#This Row],[IS1Inv1M1]:[IS4Inv10M2]])</f>
        <v>0</v>
      </c>
      <c r="AN126" s="119"/>
      <c r="AO126" s="119"/>
      <c r="AP126" s="119"/>
      <c r="AQ126" s="119"/>
      <c r="AR126" s="119"/>
      <c r="AS126" s="119"/>
      <c r="AT126" s="119"/>
    </row>
    <row r="127" spans="1:46">
      <c r="A127" s="119">
        <v>125</v>
      </c>
      <c r="B127" s="113">
        <f t="shared" si="1"/>
        <v>45447</v>
      </c>
      <c r="C127" s="114">
        <f>YEAR(MC[[#This Row],[Date]])+IF(MONTH(MC[[#This Row],[Date]])&gt;=4,1,0)</f>
        <v>2025</v>
      </c>
      <c r="D127" s="115">
        <f>YEAR(MC[[#This Row],[Date]])</f>
        <v>2024</v>
      </c>
      <c r="E127" s="112" t="s">
        <v>326</v>
      </c>
      <c r="F127" s="112" t="s">
        <v>326</v>
      </c>
      <c r="G127" s="116" t="str">
        <f>TEXT(MC[[#This Row],[Date]],"mmm-yy")</f>
        <v>Jun-24</v>
      </c>
      <c r="H127" s="116">
        <f>DAY(EOMONTH(MC[[#This Row],[Month Year]],0))</f>
        <v>30</v>
      </c>
      <c r="I127" s="119">
        <v>1</v>
      </c>
      <c r="J127" s="119" t="s">
        <v>1175</v>
      </c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5">
        <f>SUM(MC[[#This Row],[IS1Inv1M1]:[IS4Inv10M2]])</f>
        <v>0</v>
      </c>
      <c r="AN127" s="119"/>
      <c r="AO127" s="119"/>
      <c r="AP127" s="119"/>
      <c r="AQ127" s="119"/>
      <c r="AR127" s="119"/>
      <c r="AS127" s="119"/>
      <c r="AT127" s="119"/>
    </row>
    <row r="128" spans="1:46">
      <c r="A128" s="119">
        <v>126</v>
      </c>
      <c r="B128" s="113">
        <f t="shared" si="1"/>
        <v>45448</v>
      </c>
      <c r="C128" s="114">
        <f>YEAR(MC[[#This Row],[Date]])+IF(MONTH(MC[[#This Row],[Date]])&gt;=4,1,0)</f>
        <v>2025</v>
      </c>
      <c r="D128" s="115">
        <f>YEAR(MC[[#This Row],[Date]])</f>
        <v>2024</v>
      </c>
      <c r="E128" s="112" t="s">
        <v>326</v>
      </c>
      <c r="F128" s="112" t="s">
        <v>326</v>
      </c>
      <c r="G128" s="116" t="str">
        <f>TEXT(MC[[#This Row],[Date]],"mmm-yy")</f>
        <v>Jun-24</v>
      </c>
      <c r="H128" s="116">
        <f>DAY(EOMONTH(MC[[#This Row],[Month Year]],0))</f>
        <v>30</v>
      </c>
      <c r="I128" s="119">
        <v>1</v>
      </c>
      <c r="J128" s="119" t="s">
        <v>1175</v>
      </c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5">
        <f>SUM(MC[[#This Row],[IS1Inv1M1]:[IS4Inv10M2]])</f>
        <v>0</v>
      </c>
      <c r="AN128" s="119"/>
      <c r="AO128" s="119"/>
      <c r="AP128" s="119"/>
      <c r="AQ128" s="119"/>
      <c r="AR128" s="119"/>
      <c r="AS128" s="119"/>
      <c r="AT128" s="119"/>
    </row>
    <row r="129" spans="1:46">
      <c r="A129" s="119">
        <v>127</v>
      </c>
      <c r="B129" s="113">
        <f t="shared" si="1"/>
        <v>45449</v>
      </c>
      <c r="C129" s="114">
        <f>YEAR(MC[[#This Row],[Date]])+IF(MONTH(MC[[#This Row],[Date]])&gt;=4,1,0)</f>
        <v>2025</v>
      </c>
      <c r="D129" s="115">
        <f>YEAR(MC[[#This Row],[Date]])</f>
        <v>2024</v>
      </c>
      <c r="E129" s="112" t="s">
        <v>326</v>
      </c>
      <c r="F129" s="112" t="s">
        <v>326</v>
      </c>
      <c r="G129" s="116" t="str">
        <f>TEXT(MC[[#This Row],[Date]],"mmm-yy")</f>
        <v>Jun-24</v>
      </c>
      <c r="H129" s="116">
        <f>DAY(EOMONTH(MC[[#This Row],[Month Year]],0))</f>
        <v>30</v>
      </c>
      <c r="I129" s="119">
        <v>1</v>
      </c>
      <c r="J129" s="119" t="s">
        <v>1175</v>
      </c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5">
        <f>SUM(MC[[#This Row],[IS1Inv1M1]:[IS4Inv10M2]])</f>
        <v>0</v>
      </c>
      <c r="AN129" s="119"/>
      <c r="AO129" s="119"/>
      <c r="AP129" s="119"/>
      <c r="AQ129" s="119"/>
      <c r="AR129" s="119"/>
      <c r="AS129" s="119"/>
      <c r="AT129" s="119"/>
    </row>
    <row r="130" spans="1:46">
      <c r="A130" s="119">
        <v>127</v>
      </c>
      <c r="B130" s="113">
        <f t="shared" si="1"/>
        <v>45450</v>
      </c>
      <c r="C130" s="114">
        <f>YEAR(MC[[#This Row],[Date]])+IF(MONTH(MC[[#This Row],[Date]])&gt;=4,1,0)</f>
        <v>2025</v>
      </c>
      <c r="D130" s="115">
        <f>YEAR(MC[[#This Row],[Date]])</f>
        <v>2024</v>
      </c>
      <c r="E130" s="112" t="s">
        <v>326</v>
      </c>
      <c r="F130" s="112" t="s">
        <v>326</v>
      </c>
      <c r="G130" s="116" t="str">
        <f>TEXT(MC[[#This Row],[Date]],"mmm-yy")</f>
        <v>Jun-24</v>
      </c>
      <c r="H130" s="116">
        <f>DAY(EOMONTH(MC[[#This Row],[Month Year]],0))</f>
        <v>30</v>
      </c>
      <c r="I130" s="119">
        <v>1</v>
      </c>
      <c r="J130" s="119" t="s">
        <v>1175</v>
      </c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5">
        <f>SUM(MC[[#This Row],[IS1Inv1M1]:[IS4Inv10M2]])</f>
        <v>0</v>
      </c>
      <c r="AN130" s="119"/>
      <c r="AO130" s="119"/>
      <c r="AP130" s="120">
        <v>0.16666666666666666</v>
      </c>
      <c r="AQ130" s="120">
        <v>0.375</v>
      </c>
      <c r="AR130" s="119" t="s">
        <v>1176</v>
      </c>
      <c r="AS130" s="119"/>
      <c r="AT130" s="119"/>
    </row>
    <row r="131" spans="1:46">
      <c r="A131" s="119">
        <v>127</v>
      </c>
      <c r="B131" s="113">
        <f t="shared" si="1"/>
        <v>45451</v>
      </c>
      <c r="C131" s="114">
        <f>YEAR(MC[[#This Row],[Date]])+IF(MONTH(MC[[#This Row],[Date]])&gt;=4,1,0)</f>
        <v>2025</v>
      </c>
      <c r="D131" s="115">
        <f>YEAR(MC[[#This Row],[Date]])</f>
        <v>2024</v>
      </c>
      <c r="E131" s="112" t="s">
        <v>326</v>
      </c>
      <c r="F131" s="112" t="s">
        <v>326</v>
      </c>
      <c r="G131" s="116" t="str">
        <f>TEXT(MC[[#This Row],[Date]],"mmm-yy")</f>
        <v>Jun-24</v>
      </c>
      <c r="H131" s="116">
        <f>DAY(EOMONTH(MC[[#This Row],[Month Year]],0))</f>
        <v>30</v>
      </c>
      <c r="I131" s="119">
        <v>1</v>
      </c>
      <c r="J131" s="119" t="s">
        <v>1175</v>
      </c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5">
        <f>SUM(MC[[#This Row],[IS1Inv1M1]:[IS4Inv10M2]])</f>
        <v>0</v>
      </c>
      <c r="AN131" s="119"/>
      <c r="AO131" s="119"/>
      <c r="AP131" s="120">
        <v>0.16666666666666666</v>
      </c>
      <c r="AQ131" s="120">
        <v>0.375</v>
      </c>
      <c r="AR131" s="119" t="s">
        <v>1176</v>
      </c>
      <c r="AS131" s="119"/>
      <c r="AT131" s="119"/>
    </row>
    <row r="132" spans="1:46">
      <c r="A132" s="119">
        <v>127</v>
      </c>
      <c r="B132" s="113">
        <f t="shared" si="1"/>
        <v>45452</v>
      </c>
      <c r="C132" s="114">
        <f>YEAR(MC[[#This Row],[Date]])+IF(MONTH(MC[[#This Row],[Date]])&gt;=4,1,0)</f>
        <v>2025</v>
      </c>
      <c r="D132" s="115">
        <f>YEAR(MC[[#This Row],[Date]])</f>
        <v>2024</v>
      </c>
      <c r="E132" s="112" t="s">
        <v>326</v>
      </c>
      <c r="F132" s="112" t="s">
        <v>326</v>
      </c>
      <c r="G132" s="116" t="str">
        <f>TEXT(MC[[#This Row],[Date]],"mmm-yy")</f>
        <v>Jun-24</v>
      </c>
      <c r="H132" s="116">
        <f>DAY(EOMONTH(MC[[#This Row],[Month Year]],0))</f>
        <v>30</v>
      </c>
      <c r="I132" s="119">
        <v>1</v>
      </c>
      <c r="J132" s="119" t="s">
        <v>1175</v>
      </c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5">
        <f>SUM(MC[[#This Row],[IS1Inv1M1]:[IS4Inv10M2]])</f>
        <v>0</v>
      </c>
      <c r="AN132" s="119"/>
      <c r="AO132" s="119"/>
      <c r="AP132" s="120">
        <v>0.16666666666666666</v>
      </c>
      <c r="AQ132" s="120">
        <v>0.375</v>
      </c>
      <c r="AR132" s="119" t="s">
        <v>1176</v>
      </c>
      <c r="AS132" s="119"/>
      <c r="AT132" s="119"/>
    </row>
    <row r="133" spans="1:46">
      <c r="A133" s="119">
        <v>127</v>
      </c>
      <c r="B133" s="113">
        <f t="shared" ref="B133:B185" si="2">B132+1</f>
        <v>45453</v>
      </c>
      <c r="C133" s="114">
        <f>YEAR(MC[[#This Row],[Date]])+IF(MONTH(MC[[#This Row],[Date]])&gt;=4,1,0)</f>
        <v>2025</v>
      </c>
      <c r="D133" s="115">
        <f>YEAR(MC[[#This Row],[Date]])</f>
        <v>2024</v>
      </c>
      <c r="E133" s="112" t="s">
        <v>326</v>
      </c>
      <c r="F133" s="112" t="s">
        <v>326</v>
      </c>
      <c r="G133" s="116" t="str">
        <f>TEXT(MC[[#This Row],[Date]],"mmm-yy")</f>
        <v>Jun-24</v>
      </c>
      <c r="H133" s="116">
        <f>DAY(EOMONTH(MC[[#This Row],[Month Year]],0))</f>
        <v>30</v>
      </c>
      <c r="I133" s="119">
        <v>1</v>
      </c>
      <c r="J133" s="119" t="s">
        <v>1175</v>
      </c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5">
        <f>SUM(MC[[#This Row],[IS1Inv1M1]:[IS4Inv10M2]])</f>
        <v>0</v>
      </c>
      <c r="AN133" s="119"/>
      <c r="AO133" s="119"/>
      <c r="AP133" s="120">
        <v>0.16666666666666666</v>
      </c>
      <c r="AQ133" s="120">
        <v>0.375</v>
      </c>
      <c r="AR133" s="119" t="s">
        <v>1176</v>
      </c>
      <c r="AS133" s="119"/>
      <c r="AT133" s="119"/>
    </row>
    <row r="134" spans="1:46">
      <c r="A134" s="119">
        <v>127</v>
      </c>
      <c r="B134" s="113">
        <f t="shared" si="2"/>
        <v>45454</v>
      </c>
      <c r="C134" s="114">
        <f>YEAR(MC[[#This Row],[Date]])+IF(MONTH(MC[[#This Row],[Date]])&gt;=4,1,0)</f>
        <v>2025</v>
      </c>
      <c r="D134" s="115">
        <f>YEAR(MC[[#This Row],[Date]])</f>
        <v>2024</v>
      </c>
      <c r="E134" s="112" t="s">
        <v>326</v>
      </c>
      <c r="F134" s="112" t="s">
        <v>326</v>
      </c>
      <c r="G134" s="116" t="str">
        <f>TEXT(MC[[#This Row],[Date]],"mmm-yy")</f>
        <v>Jun-24</v>
      </c>
      <c r="H134" s="116">
        <f>DAY(EOMONTH(MC[[#This Row],[Month Year]],0))</f>
        <v>30</v>
      </c>
      <c r="I134" s="119">
        <v>1</v>
      </c>
      <c r="J134" s="119" t="s">
        <v>1175</v>
      </c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5">
        <f>SUM(MC[[#This Row],[IS1Inv1M1]:[IS4Inv10M2]])</f>
        <v>0</v>
      </c>
      <c r="AN134" s="119"/>
      <c r="AO134" s="119"/>
      <c r="AP134" s="120">
        <v>0.16666666666666666</v>
      </c>
      <c r="AQ134" s="120">
        <v>0.375</v>
      </c>
      <c r="AR134" s="119" t="s">
        <v>1176</v>
      </c>
      <c r="AS134" s="119"/>
      <c r="AT134" s="119"/>
    </row>
    <row r="135" spans="1:46">
      <c r="A135" s="119">
        <v>127</v>
      </c>
      <c r="B135" s="113">
        <f t="shared" si="2"/>
        <v>45455</v>
      </c>
      <c r="C135" s="114">
        <f>YEAR(MC[[#This Row],[Date]])+IF(MONTH(MC[[#This Row],[Date]])&gt;=4,1,0)</f>
        <v>2025</v>
      </c>
      <c r="D135" s="115">
        <f>YEAR(MC[[#This Row],[Date]])</f>
        <v>2024</v>
      </c>
      <c r="E135" s="112" t="s">
        <v>326</v>
      </c>
      <c r="F135" s="112" t="s">
        <v>326</v>
      </c>
      <c r="G135" s="116" t="str">
        <f>TEXT(MC[[#This Row],[Date]],"mmm-yy")</f>
        <v>Jun-24</v>
      </c>
      <c r="H135" s="116">
        <f>DAY(EOMONTH(MC[[#This Row],[Month Year]],0))</f>
        <v>30</v>
      </c>
      <c r="I135" s="119">
        <v>1</v>
      </c>
      <c r="J135" s="119" t="s">
        <v>1175</v>
      </c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5">
        <f>SUM(MC[[#This Row],[IS1Inv1M1]:[IS4Inv10M2]])</f>
        <v>0</v>
      </c>
      <c r="AN135" s="120"/>
      <c r="AO135" s="120"/>
      <c r="AP135" s="120">
        <v>0.16666666666666666</v>
      </c>
      <c r="AQ135" s="120">
        <v>0.375</v>
      </c>
      <c r="AR135" s="119" t="s">
        <v>1176</v>
      </c>
      <c r="AS135" s="119"/>
      <c r="AT135" s="119"/>
    </row>
    <row r="136" spans="1:46">
      <c r="A136" s="119">
        <v>127</v>
      </c>
      <c r="B136" s="113">
        <f t="shared" si="2"/>
        <v>45456</v>
      </c>
      <c r="C136" s="114">
        <f>YEAR(MC[[#This Row],[Date]])+IF(MONTH(MC[[#This Row],[Date]])&gt;=4,1,0)</f>
        <v>2025</v>
      </c>
      <c r="D136" s="115">
        <f>YEAR(MC[[#This Row],[Date]])</f>
        <v>2024</v>
      </c>
      <c r="E136" s="112" t="s">
        <v>326</v>
      </c>
      <c r="F136" s="112" t="s">
        <v>326</v>
      </c>
      <c r="G136" s="116" t="str">
        <f>TEXT(MC[[#This Row],[Date]],"mmm-yy")</f>
        <v>Jun-24</v>
      </c>
      <c r="H136" s="116">
        <f>DAY(EOMONTH(MC[[#This Row],[Month Year]],0))</f>
        <v>30</v>
      </c>
      <c r="I136" s="119">
        <v>1</v>
      </c>
      <c r="J136" s="119" t="s">
        <v>1175</v>
      </c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5">
        <f>SUM(MC[[#This Row],[IS1Inv1M1]:[IS4Inv10M2]])</f>
        <v>0</v>
      </c>
      <c r="AN136" s="120"/>
      <c r="AO136" s="120"/>
      <c r="AP136" s="120">
        <v>0.16666666666666666</v>
      </c>
      <c r="AQ136" s="120">
        <v>0.375</v>
      </c>
      <c r="AR136" s="119" t="s">
        <v>1176</v>
      </c>
      <c r="AS136" s="119"/>
      <c r="AT136" s="119" t="s">
        <v>1177</v>
      </c>
    </row>
    <row r="137" spans="1:46">
      <c r="A137" s="119">
        <v>127</v>
      </c>
      <c r="B137" s="113">
        <f t="shared" si="2"/>
        <v>45457</v>
      </c>
      <c r="C137" s="114">
        <f>YEAR(MC[[#This Row],[Date]])+IF(MONTH(MC[[#This Row],[Date]])&gt;=4,1,0)</f>
        <v>2025</v>
      </c>
      <c r="D137" s="115">
        <f>YEAR(MC[[#This Row],[Date]])</f>
        <v>2024</v>
      </c>
      <c r="E137" s="112" t="s">
        <v>326</v>
      </c>
      <c r="F137" s="112" t="s">
        <v>326</v>
      </c>
      <c r="G137" s="116" t="str">
        <f>TEXT(MC[[#This Row],[Date]],"mmm-yy")</f>
        <v>Jun-24</v>
      </c>
      <c r="H137" s="116">
        <f>DAY(EOMONTH(MC[[#This Row],[Month Year]],0))</f>
        <v>30</v>
      </c>
      <c r="I137" s="119">
        <v>1</v>
      </c>
      <c r="J137" s="119" t="s">
        <v>1175</v>
      </c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5">
        <f>SUM(MC[[#This Row],[IS1Inv1M1]:[IS4Inv10M2]])</f>
        <v>0</v>
      </c>
      <c r="AN137" s="120"/>
      <c r="AO137" s="120"/>
      <c r="AP137" s="120">
        <v>0.16666666666666699</v>
      </c>
      <c r="AQ137" s="120">
        <v>0.375</v>
      </c>
      <c r="AR137" s="119" t="s">
        <v>1176</v>
      </c>
      <c r="AS137" s="119"/>
      <c r="AT137" s="119"/>
    </row>
    <row r="138" spans="1:46">
      <c r="A138" s="119">
        <v>127</v>
      </c>
      <c r="B138" s="113">
        <f t="shared" si="2"/>
        <v>45458</v>
      </c>
      <c r="C138" s="114">
        <f>YEAR(MC[[#This Row],[Date]])+IF(MONTH(MC[[#This Row],[Date]])&gt;=4,1,0)</f>
        <v>2025</v>
      </c>
      <c r="D138" s="115">
        <f>YEAR(MC[[#This Row],[Date]])</f>
        <v>2024</v>
      </c>
      <c r="E138" s="112" t="s">
        <v>326</v>
      </c>
      <c r="F138" s="112" t="s">
        <v>326</v>
      </c>
      <c r="G138" s="116" t="str">
        <f>TEXT(MC[[#This Row],[Date]],"mmm-yy")</f>
        <v>Jun-24</v>
      </c>
      <c r="H138" s="116">
        <f>DAY(EOMONTH(MC[[#This Row],[Month Year]],0))</f>
        <v>30</v>
      </c>
      <c r="I138" s="119">
        <v>1</v>
      </c>
      <c r="J138" s="119" t="s">
        <v>1175</v>
      </c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5">
        <f>SUM(MC[[#This Row],[IS1Inv1M1]:[IS4Inv10M2]])</f>
        <v>0</v>
      </c>
      <c r="AN138" s="120"/>
      <c r="AO138" s="120"/>
      <c r="AP138" s="120">
        <v>0.16666666666666699</v>
      </c>
      <c r="AQ138" s="120">
        <v>0.375</v>
      </c>
      <c r="AR138" s="119" t="s">
        <v>1176</v>
      </c>
      <c r="AS138" s="119"/>
      <c r="AT138" s="119"/>
    </row>
    <row r="139" spans="1:46">
      <c r="A139" s="119">
        <v>127</v>
      </c>
      <c r="B139" s="113">
        <f t="shared" si="2"/>
        <v>45459</v>
      </c>
      <c r="C139" s="114">
        <f>YEAR(MC[[#This Row],[Date]])+IF(MONTH(MC[[#This Row],[Date]])&gt;=4,1,0)</f>
        <v>2025</v>
      </c>
      <c r="D139" s="115">
        <f>YEAR(MC[[#This Row],[Date]])</f>
        <v>2024</v>
      </c>
      <c r="E139" s="112" t="s">
        <v>326</v>
      </c>
      <c r="F139" s="112" t="s">
        <v>326</v>
      </c>
      <c r="G139" s="116" t="str">
        <f>TEXT(MC[[#This Row],[Date]],"mmm-yy")</f>
        <v>Jun-24</v>
      </c>
      <c r="H139" s="116">
        <f>DAY(EOMONTH(MC[[#This Row],[Month Year]],0))</f>
        <v>30</v>
      </c>
      <c r="I139" s="119">
        <v>1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5">
        <f>SUM(MC[[#This Row],[IS1Inv1M1]:[IS4Inv10M2]])</f>
        <v>0</v>
      </c>
      <c r="AN139" s="120"/>
      <c r="AO139" s="120"/>
      <c r="AP139" s="120"/>
      <c r="AQ139" s="120"/>
      <c r="AR139" s="119"/>
      <c r="AS139" s="119"/>
      <c r="AT139" s="119" t="s">
        <v>1178</v>
      </c>
    </row>
    <row r="140" spans="1:46">
      <c r="A140" s="119">
        <v>127</v>
      </c>
      <c r="B140" s="113">
        <f t="shared" si="2"/>
        <v>45460</v>
      </c>
      <c r="C140" s="114">
        <f>YEAR(MC[[#This Row],[Date]])+IF(MONTH(MC[[#This Row],[Date]])&gt;=4,1,0)</f>
        <v>2025</v>
      </c>
      <c r="D140" s="115">
        <f>YEAR(MC[[#This Row],[Date]])</f>
        <v>2024</v>
      </c>
      <c r="E140" s="112" t="s">
        <v>326</v>
      </c>
      <c r="F140" s="112" t="s">
        <v>326</v>
      </c>
      <c r="G140" s="116" t="str">
        <f>TEXT(MC[[#This Row],[Date]],"mmm-yy")</f>
        <v>Jun-24</v>
      </c>
      <c r="H140" s="116">
        <f>DAY(EOMONTH(MC[[#This Row],[Month Year]],0))</f>
        <v>30</v>
      </c>
      <c r="I140" s="119">
        <v>1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5">
        <f>SUM(MC[[#This Row],[IS1Inv1M1]:[IS4Inv10M2]])</f>
        <v>0</v>
      </c>
      <c r="AN140" s="120"/>
      <c r="AO140" s="120"/>
      <c r="AP140" s="120"/>
      <c r="AQ140" s="120"/>
      <c r="AR140" s="119"/>
      <c r="AS140" s="119"/>
      <c r="AT140" s="119" t="s">
        <v>1178</v>
      </c>
    </row>
    <row r="141" spans="1:46">
      <c r="A141" s="119">
        <v>139</v>
      </c>
      <c r="B141" s="113">
        <f t="shared" si="2"/>
        <v>45461</v>
      </c>
      <c r="C141" s="114">
        <f>YEAR(MC[[#This Row],[Date]])+IF(MONTH(MC[[#This Row],[Date]])&gt;=4,1,0)</f>
        <v>2025</v>
      </c>
      <c r="D141" s="115">
        <f>YEAR(MC[[#This Row],[Date]])</f>
        <v>2024</v>
      </c>
      <c r="E141" s="112" t="s">
        <v>326</v>
      </c>
      <c r="F141" s="112" t="s">
        <v>326</v>
      </c>
      <c r="G141" s="116" t="str">
        <f>TEXT(MC[[#This Row],[Date]],"mmm-yy")</f>
        <v>Jun-24</v>
      </c>
      <c r="H141" s="116">
        <f>DAY(EOMONTH(MC[[#This Row],[Month Year]],0))</f>
        <v>30</v>
      </c>
      <c r="I141" s="119">
        <v>1</v>
      </c>
      <c r="J141" s="119" t="s">
        <v>1175</v>
      </c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5">
        <f>SUM(MC[[#This Row],[IS1Inv1M1]:[IS4Inv10M2]])</f>
        <v>0</v>
      </c>
      <c r="AN141" s="120"/>
      <c r="AO141" s="119"/>
      <c r="AP141" s="120">
        <v>0.16666666666666699</v>
      </c>
      <c r="AQ141" s="120">
        <v>0.375</v>
      </c>
      <c r="AR141" s="119" t="s">
        <v>1176</v>
      </c>
      <c r="AS141" s="119"/>
      <c r="AT141" s="119" t="s">
        <v>1179</v>
      </c>
    </row>
    <row r="142" spans="1:46">
      <c r="A142" s="119">
        <v>140</v>
      </c>
      <c r="B142" s="113">
        <f t="shared" si="2"/>
        <v>45462</v>
      </c>
      <c r="C142" s="114">
        <f>YEAR(MC[[#This Row],[Date]])+IF(MONTH(MC[[#This Row],[Date]])&gt;=4,1,0)</f>
        <v>2025</v>
      </c>
      <c r="D142" s="115">
        <f>YEAR(MC[[#This Row],[Date]])</f>
        <v>2024</v>
      </c>
      <c r="E142" s="112" t="s">
        <v>326</v>
      </c>
      <c r="F142" s="112" t="s">
        <v>326</v>
      </c>
      <c r="G142" s="116" t="str">
        <f>TEXT(MC[[#This Row],[Date]],"mmm-yy")</f>
        <v>Jun-24</v>
      </c>
      <c r="H142" s="116">
        <f>DAY(EOMONTH(MC[[#This Row],[Month Year]],0))</f>
        <v>30</v>
      </c>
      <c r="I142" s="119">
        <v>1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5">
        <f>SUM(MC[[#This Row],[IS1Inv1M1]:[IS4Inv10M2]])</f>
        <v>0</v>
      </c>
      <c r="AN142" s="120"/>
      <c r="AO142" s="119"/>
      <c r="AP142" s="119"/>
      <c r="AQ142" s="120"/>
      <c r="AR142" s="119"/>
      <c r="AS142" s="119"/>
      <c r="AT142" s="119" t="s">
        <v>1180</v>
      </c>
    </row>
    <row r="143" spans="1:46">
      <c r="A143" s="119">
        <v>141</v>
      </c>
      <c r="B143" s="113">
        <f t="shared" si="2"/>
        <v>45463</v>
      </c>
      <c r="C143" s="114">
        <f>YEAR(MC[[#This Row],[Date]])+IF(MONTH(MC[[#This Row],[Date]])&gt;=4,1,0)</f>
        <v>2025</v>
      </c>
      <c r="D143" s="115">
        <f>YEAR(MC[[#This Row],[Date]])</f>
        <v>2024</v>
      </c>
      <c r="E143" s="112" t="s">
        <v>326</v>
      </c>
      <c r="F143" s="112" t="s">
        <v>326</v>
      </c>
      <c r="G143" s="116" t="str">
        <f>TEXT(MC[[#This Row],[Date]],"mmm-yy")</f>
        <v>Jun-24</v>
      </c>
      <c r="H143" s="116">
        <f>DAY(EOMONTH(MC[[#This Row],[Month Year]],0))</f>
        <v>30</v>
      </c>
      <c r="I143" s="119">
        <v>1</v>
      </c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5">
        <f>SUM(MC[[#This Row],[IS1Inv1M1]:[IS4Inv10M2]])</f>
        <v>0</v>
      </c>
      <c r="AN143" s="120"/>
      <c r="AO143" s="119"/>
      <c r="AP143" s="119"/>
      <c r="AQ143" s="120"/>
      <c r="AR143" s="119"/>
      <c r="AS143" s="119"/>
      <c r="AT143" s="119" t="s">
        <v>1180</v>
      </c>
    </row>
    <row r="144" spans="1:46">
      <c r="A144" s="119">
        <v>142</v>
      </c>
      <c r="B144" s="113">
        <f t="shared" si="2"/>
        <v>45464</v>
      </c>
      <c r="C144" s="114">
        <f>YEAR(MC[[#This Row],[Date]])+IF(MONTH(MC[[#This Row],[Date]])&gt;=4,1,0)</f>
        <v>2025</v>
      </c>
      <c r="D144" s="115">
        <f>YEAR(MC[[#This Row],[Date]])</f>
        <v>2024</v>
      </c>
      <c r="E144" s="112" t="s">
        <v>326</v>
      </c>
      <c r="F144" s="112" t="s">
        <v>326</v>
      </c>
      <c r="G144" s="116" t="str">
        <f>TEXT(MC[[#This Row],[Date]],"mmm-yy")</f>
        <v>Jun-24</v>
      </c>
      <c r="H144" s="116">
        <f>DAY(EOMONTH(MC[[#This Row],[Month Year]],0))</f>
        <v>30</v>
      </c>
      <c r="I144" s="119">
        <v>1</v>
      </c>
      <c r="J144" s="119" t="s">
        <v>1175</v>
      </c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5">
        <f>SUM(MC[[#This Row],[IS1Inv1M1]:[IS4Inv10M2]])</f>
        <v>0</v>
      </c>
      <c r="AN144" s="120"/>
      <c r="AO144" s="119"/>
      <c r="AP144" s="120">
        <v>0.16666666666666699</v>
      </c>
      <c r="AQ144" s="120">
        <v>0.375</v>
      </c>
      <c r="AR144" s="119" t="s">
        <v>1176</v>
      </c>
      <c r="AS144" s="119"/>
      <c r="AT144" s="119"/>
    </row>
    <row r="145" spans="1:46">
      <c r="A145" s="119">
        <v>143</v>
      </c>
      <c r="B145" s="113">
        <f t="shared" si="2"/>
        <v>45465</v>
      </c>
      <c r="C145" s="114">
        <f>YEAR(MC[[#This Row],[Date]])+IF(MONTH(MC[[#This Row],[Date]])&gt;=4,1,0)</f>
        <v>2025</v>
      </c>
      <c r="D145" s="115">
        <f>YEAR(MC[[#This Row],[Date]])</f>
        <v>2024</v>
      </c>
      <c r="E145" s="112" t="s">
        <v>326</v>
      </c>
      <c r="F145" s="112" t="s">
        <v>326</v>
      </c>
      <c r="G145" s="116" t="str">
        <f>TEXT(MC[[#This Row],[Date]],"mmm-yy")</f>
        <v>Jun-24</v>
      </c>
      <c r="H145" s="116">
        <f>DAY(EOMONTH(MC[[#This Row],[Month Year]],0))</f>
        <v>30</v>
      </c>
      <c r="I145" s="119">
        <v>1</v>
      </c>
      <c r="J145" s="119" t="s">
        <v>1175</v>
      </c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5">
        <f>SUM(MC[[#This Row],[IS1Inv1M1]:[IS4Inv10M2]])</f>
        <v>0</v>
      </c>
      <c r="AN145" s="120"/>
      <c r="AO145" s="119"/>
      <c r="AP145" s="120">
        <v>0.20833333333333334</v>
      </c>
      <c r="AQ145" s="120">
        <v>0.45833333333333331</v>
      </c>
      <c r="AR145" s="119" t="s">
        <v>1176</v>
      </c>
      <c r="AS145" s="119"/>
      <c r="AT145" s="119"/>
    </row>
    <row r="146" spans="1:46">
      <c r="A146" s="119">
        <v>144</v>
      </c>
      <c r="B146" s="113">
        <f t="shared" si="2"/>
        <v>45466</v>
      </c>
      <c r="C146" s="114">
        <f>YEAR(MC[[#This Row],[Date]])+IF(MONTH(MC[[#This Row],[Date]])&gt;=4,1,0)</f>
        <v>2025</v>
      </c>
      <c r="D146" s="115">
        <f>YEAR(MC[[#This Row],[Date]])</f>
        <v>2024</v>
      </c>
      <c r="E146" s="112" t="s">
        <v>326</v>
      </c>
      <c r="F146" s="112" t="s">
        <v>326</v>
      </c>
      <c r="G146" s="116" t="str">
        <f>TEXT(MC[[#This Row],[Date]],"mmm-yy")</f>
        <v>Jun-24</v>
      </c>
      <c r="H146" s="116">
        <f>DAY(EOMONTH(MC[[#This Row],[Month Year]],0))</f>
        <v>30</v>
      </c>
      <c r="I146" s="119">
        <v>1</v>
      </c>
      <c r="J146" s="119" t="s">
        <v>1175</v>
      </c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5">
        <f>SUM(MC[[#This Row],[IS1Inv1M1]:[IS4Inv10M2]])</f>
        <v>0</v>
      </c>
      <c r="AN146" s="119"/>
      <c r="AO146" s="119"/>
      <c r="AP146" s="120">
        <v>0.22916666666666666</v>
      </c>
      <c r="AQ146" s="120">
        <v>0.39583333333333331</v>
      </c>
      <c r="AR146" s="120">
        <v>0.6875</v>
      </c>
      <c r="AS146" s="120">
        <v>0.95833333333333337</v>
      </c>
      <c r="AT146" s="119" t="s">
        <v>1176</v>
      </c>
    </row>
    <row r="147" spans="1:46">
      <c r="A147" s="119">
        <v>145</v>
      </c>
      <c r="B147" s="113">
        <f t="shared" si="2"/>
        <v>45467</v>
      </c>
      <c r="C147" s="114">
        <f>YEAR(MC[[#This Row],[Date]])+IF(MONTH(MC[[#This Row],[Date]])&gt;=4,1,0)</f>
        <v>2025</v>
      </c>
      <c r="D147" s="115">
        <f>YEAR(MC[[#This Row],[Date]])</f>
        <v>2024</v>
      </c>
      <c r="E147" s="112" t="s">
        <v>326</v>
      </c>
      <c r="F147" s="112" t="s">
        <v>326</v>
      </c>
      <c r="G147" s="116" t="str">
        <f>TEXT(MC[[#This Row],[Date]],"mmm-yy")</f>
        <v>Jun-24</v>
      </c>
      <c r="H147" s="116">
        <f>DAY(EOMONTH(MC[[#This Row],[Month Year]],0))</f>
        <v>30</v>
      </c>
      <c r="I147" s="119">
        <v>1</v>
      </c>
      <c r="J147" s="119" t="s">
        <v>1175</v>
      </c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5">
        <f>SUM(MC[[#This Row],[IS1Inv1M1]:[IS4Inv10M2]])</f>
        <v>0</v>
      </c>
      <c r="AN147" s="119"/>
      <c r="AO147" s="119"/>
      <c r="AP147" s="120">
        <v>0.22916666666666666</v>
      </c>
      <c r="AQ147" s="120">
        <v>0.39583333333333331</v>
      </c>
      <c r="AR147" s="120">
        <v>0.6875</v>
      </c>
      <c r="AS147" s="120">
        <v>0.95833333333333337</v>
      </c>
      <c r="AT147" s="119" t="s">
        <v>1176</v>
      </c>
    </row>
    <row r="148" spans="1:46">
      <c r="A148" s="119">
        <v>146</v>
      </c>
      <c r="B148" s="113">
        <f t="shared" si="2"/>
        <v>45468</v>
      </c>
      <c r="C148" s="114">
        <f>YEAR(MC[[#This Row],[Date]])+IF(MONTH(MC[[#This Row],[Date]])&gt;=4,1,0)</f>
        <v>2025</v>
      </c>
      <c r="D148" s="115">
        <f>YEAR(MC[[#This Row],[Date]])</f>
        <v>2024</v>
      </c>
      <c r="E148" s="112" t="s">
        <v>326</v>
      </c>
      <c r="F148" s="112" t="s">
        <v>326</v>
      </c>
      <c r="G148" s="116" t="str">
        <f>TEXT(MC[[#This Row],[Date]],"mmm-yy")</f>
        <v>Jun-24</v>
      </c>
      <c r="H148" s="116">
        <f>DAY(EOMONTH(MC[[#This Row],[Month Year]],0))</f>
        <v>30</v>
      </c>
      <c r="I148" s="119">
        <v>1</v>
      </c>
      <c r="J148" s="119" t="s">
        <v>1175</v>
      </c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5">
        <f>SUM(MC[[#This Row],[IS1Inv1M1]:[IS4Inv10M2]])</f>
        <v>0</v>
      </c>
      <c r="AN148" s="119"/>
      <c r="AO148" s="119"/>
      <c r="AP148" s="120">
        <v>0.22916666666666666</v>
      </c>
      <c r="AQ148" s="120">
        <v>0.39583333333333331</v>
      </c>
      <c r="AR148" s="120">
        <v>0.6875</v>
      </c>
      <c r="AS148" s="120">
        <v>0.95833333333333337</v>
      </c>
      <c r="AT148" s="119" t="s">
        <v>1176</v>
      </c>
    </row>
    <row r="149" spans="1:46">
      <c r="A149" s="119">
        <v>147</v>
      </c>
      <c r="B149" s="113">
        <f t="shared" si="2"/>
        <v>45469</v>
      </c>
      <c r="C149" s="114">
        <f>YEAR(MC[[#This Row],[Date]])+IF(MONTH(MC[[#This Row],[Date]])&gt;=4,1,0)</f>
        <v>2025</v>
      </c>
      <c r="D149" s="115">
        <f>YEAR(MC[[#This Row],[Date]])</f>
        <v>2024</v>
      </c>
      <c r="E149" s="112" t="s">
        <v>326</v>
      </c>
      <c r="F149" s="112" t="s">
        <v>326</v>
      </c>
      <c r="G149" s="116" t="str">
        <f>TEXT(MC[[#This Row],[Date]],"mmm-yy")</f>
        <v>Jun-24</v>
      </c>
      <c r="H149" s="116">
        <f>DAY(EOMONTH(MC[[#This Row],[Month Year]],0))</f>
        <v>30</v>
      </c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5">
        <f>SUM(MC[[#This Row],[IS1Inv1M1]:[IS4Inv10M2]])</f>
        <v>0</v>
      </c>
      <c r="AN149" s="120"/>
      <c r="AO149" s="119"/>
      <c r="AP149" s="119"/>
      <c r="AQ149" s="120"/>
      <c r="AR149" s="119"/>
      <c r="AS149" s="119"/>
      <c r="AT149" s="119"/>
    </row>
    <row r="150" spans="1:46">
      <c r="A150" s="119">
        <v>148</v>
      </c>
      <c r="B150" s="113">
        <f t="shared" si="2"/>
        <v>45470</v>
      </c>
      <c r="C150" s="114">
        <f>YEAR(MC[[#This Row],[Date]])+IF(MONTH(MC[[#This Row],[Date]])&gt;=4,1,0)</f>
        <v>2025</v>
      </c>
      <c r="D150" s="115">
        <f>YEAR(MC[[#This Row],[Date]])</f>
        <v>2024</v>
      </c>
      <c r="E150" s="112" t="s">
        <v>326</v>
      </c>
      <c r="F150" s="112" t="s">
        <v>326</v>
      </c>
      <c r="G150" s="116" t="str">
        <f>TEXT(MC[[#This Row],[Date]],"mmm-yy")</f>
        <v>Jun-24</v>
      </c>
      <c r="H150" s="116">
        <f>DAY(EOMONTH(MC[[#This Row],[Month Year]],0))</f>
        <v>30</v>
      </c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5">
        <f>SUM(MC[[#This Row],[IS1Inv1M1]:[IS4Inv10M2]])</f>
        <v>0</v>
      </c>
      <c r="AN150" s="119"/>
      <c r="AO150" s="119"/>
      <c r="AP150" s="119"/>
      <c r="AQ150" s="119"/>
      <c r="AR150" s="119"/>
      <c r="AS150" s="119"/>
      <c r="AT150" s="121"/>
    </row>
    <row r="151" spans="1:46">
      <c r="A151" s="119">
        <v>149</v>
      </c>
      <c r="B151" s="113">
        <f t="shared" si="2"/>
        <v>45471</v>
      </c>
      <c r="C151" s="114">
        <f>YEAR(MC[[#This Row],[Date]])+IF(MONTH(MC[[#This Row],[Date]])&gt;=4,1,0)</f>
        <v>2025</v>
      </c>
      <c r="D151" s="115">
        <f>YEAR(MC[[#This Row],[Date]])</f>
        <v>2024</v>
      </c>
      <c r="E151" s="112" t="s">
        <v>326</v>
      </c>
      <c r="F151" s="112" t="s">
        <v>326</v>
      </c>
      <c r="G151" s="116" t="str">
        <f>TEXT(MC[[#This Row],[Date]],"mmm-yy")</f>
        <v>Jun-24</v>
      </c>
      <c r="H151" s="116">
        <f>DAY(EOMONTH(MC[[#This Row],[Month Year]],0))</f>
        <v>30</v>
      </c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5">
        <f>SUM(MC[[#This Row],[IS1Inv1M1]:[IS4Inv10M2]])</f>
        <v>0</v>
      </c>
      <c r="AN151" s="119"/>
      <c r="AO151" s="119"/>
      <c r="AP151" s="119"/>
      <c r="AQ151" s="119"/>
      <c r="AR151" s="119"/>
      <c r="AS151" s="119"/>
      <c r="AT151" s="121"/>
    </row>
    <row r="152" spans="1:46">
      <c r="A152" s="119">
        <v>150</v>
      </c>
      <c r="B152" s="113">
        <f t="shared" si="2"/>
        <v>45472</v>
      </c>
      <c r="C152" s="114">
        <f>YEAR(MC[[#This Row],[Date]])+IF(MONTH(MC[[#This Row],[Date]])&gt;=4,1,0)</f>
        <v>2025</v>
      </c>
      <c r="D152" s="115">
        <f>YEAR(MC[[#This Row],[Date]])</f>
        <v>2024</v>
      </c>
      <c r="E152" s="112" t="s">
        <v>326</v>
      </c>
      <c r="F152" s="112" t="s">
        <v>326</v>
      </c>
      <c r="G152" s="116" t="str">
        <f>TEXT(MC[[#This Row],[Date]],"mmm-yy")</f>
        <v>Jun-24</v>
      </c>
      <c r="H152" s="116">
        <f>DAY(EOMONTH(MC[[#This Row],[Month Year]],0))</f>
        <v>30</v>
      </c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5">
        <f>SUM(MC[[#This Row],[IS1Inv1M1]:[IS4Inv10M2]])</f>
        <v>0</v>
      </c>
      <c r="AN152" s="119"/>
      <c r="AO152" s="119"/>
      <c r="AP152" s="119"/>
      <c r="AQ152" s="119"/>
      <c r="AR152" s="119"/>
      <c r="AS152" s="119"/>
      <c r="AT152" s="121"/>
    </row>
    <row r="153" spans="1:46">
      <c r="A153" s="119">
        <v>151</v>
      </c>
      <c r="B153" s="113">
        <f t="shared" si="2"/>
        <v>45473</v>
      </c>
      <c r="C153" s="114">
        <f>YEAR(MC[[#This Row],[Date]])+IF(MONTH(MC[[#This Row],[Date]])&gt;=4,1,0)</f>
        <v>2025</v>
      </c>
      <c r="D153" s="115">
        <f>YEAR(MC[[#This Row],[Date]])</f>
        <v>2024</v>
      </c>
      <c r="E153" s="112" t="s">
        <v>326</v>
      </c>
      <c r="F153" s="112" t="s">
        <v>326</v>
      </c>
      <c r="G153" s="116" t="str">
        <f>TEXT(MC[[#This Row],[Date]],"mmm-yy")</f>
        <v>Jun-24</v>
      </c>
      <c r="H153" s="116">
        <f>DAY(EOMONTH(MC[[#This Row],[Month Year]],0))</f>
        <v>30</v>
      </c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5">
        <f>SUM(MC[[#This Row],[IS1Inv1M1]:[IS4Inv10M2]])</f>
        <v>0</v>
      </c>
      <c r="AN153" s="119"/>
      <c r="AO153" s="119"/>
      <c r="AP153" s="119"/>
      <c r="AQ153" s="119"/>
      <c r="AR153" s="119"/>
      <c r="AS153" s="119"/>
      <c r="AT153" s="121"/>
    </row>
    <row r="154" spans="1:46">
      <c r="A154" s="119">
        <v>152</v>
      </c>
      <c r="B154" s="113">
        <f t="shared" si="2"/>
        <v>45474</v>
      </c>
      <c r="C154" s="114">
        <f>YEAR(MC[[#This Row],[Date]])+IF(MONTH(MC[[#This Row],[Date]])&gt;=4,1,0)</f>
        <v>2025</v>
      </c>
      <c r="D154" s="115">
        <f>YEAR(MC[[#This Row],[Date]])</f>
        <v>2024</v>
      </c>
      <c r="E154" s="112" t="s">
        <v>326</v>
      </c>
      <c r="F154" s="112" t="s">
        <v>326</v>
      </c>
      <c r="G154" s="116" t="str">
        <f>TEXT(MC[[#This Row],[Date]],"mmm-yy")</f>
        <v>Jul-24</v>
      </c>
      <c r="H154" s="116">
        <f>DAY(EOMONTH(MC[[#This Row],[Month Year]],0))</f>
        <v>31</v>
      </c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5">
        <f>SUM(MC[[#This Row],[IS1Inv1M1]:[IS4Inv10M2]])</f>
        <v>0</v>
      </c>
      <c r="AN154" s="119"/>
      <c r="AO154" s="119"/>
      <c r="AP154" s="119"/>
      <c r="AQ154" s="119"/>
      <c r="AR154" s="119"/>
      <c r="AS154" s="119"/>
      <c r="AT154" s="121"/>
    </row>
    <row r="155" spans="1:46">
      <c r="A155" s="119">
        <v>153</v>
      </c>
      <c r="B155" s="113">
        <f t="shared" si="2"/>
        <v>45475</v>
      </c>
      <c r="C155" s="114">
        <f>YEAR(MC[[#This Row],[Date]])+IF(MONTH(MC[[#This Row],[Date]])&gt;=4,1,0)</f>
        <v>2025</v>
      </c>
      <c r="D155" s="115">
        <f>YEAR(MC[[#This Row],[Date]])</f>
        <v>2024</v>
      </c>
      <c r="E155" s="112" t="s">
        <v>326</v>
      </c>
      <c r="F155" s="112" t="s">
        <v>326</v>
      </c>
      <c r="G155" s="116" t="str">
        <f>TEXT(MC[[#This Row],[Date]],"mmm-yy")</f>
        <v>Jul-24</v>
      </c>
      <c r="H155" s="116">
        <f>DAY(EOMONTH(MC[[#This Row],[Month Year]],0))</f>
        <v>31</v>
      </c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5">
        <f>SUM(MC[[#This Row],[IS1Inv1M1]:[IS4Inv10M2]])</f>
        <v>0</v>
      </c>
      <c r="AN155" s="119"/>
      <c r="AO155" s="119"/>
      <c r="AP155" s="119"/>
      <c r="AQ155" s="119"/>
      <c r="AR155" s="119"/>
      <c r="AS155" s="119"/>
      <c r="AT155" s="121"/>
    </row>
    <row r="156" spans="1:46">
      <c r="A156" s="119">
        <v>154</v>
      </c>
      <c r="B156" s="113">
        <f t="shared" si="2"/>
        <v>45476</v>
      </c>
      <c r="C156" s="114">
        <f>YEAR(MC[[#This Row],[Date]])+IF(MONTH(MC[[#This Row],[Date]])&gt;=4,1,0)</f>
        <v>2025</v>
      </c>
      <c r="D156" s="115">
        <f>YEAR(MC[[#This Row],[Date]])</f>
        <v>2024</v>
      </c>
      <c r="E156" s="112" t="s">
        <v>326</v>
      </c>
      <c r="F156" s="112" t="s">
        <v>326</v>
      </c>
      <c r="G156" s="116" t="str">
        <f>TEXT(MC[[#This Row],[Date]],"mmm-yy")</f>
        <v>Jul-24</v>
      </c>
      <c r="H156" s="116">
        <f>DAY(EOMONTH(MC[[#This Row],[Month Year]],0))</f>
        <v>31</v>
      </c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5">
        <f>SUM(MC[[#This Row],[IS1Inv1M1]:[IS4Inv10M2]])</f>
        <v>0</v>
      </c>
      <c r="AN156" s="120"/>
      <c r="AO156" s="119"/>
      <c r="AP156" s="119"/>
      <c r="AQ156" s="120"/>
      <c r="AR156" s="119"/>
      <c r="AS156" s="119"/>
      <c r="AT156" s="119"/>
    </row>
    <row r="157" spans="1:46">
      <c r="A157" s="119">
        <v>155</v>
      </c>
      <c r="B157" s="113">
        <f t="shared" si="2"/>
        <v>45477</v>
      </c>
      <c r="C157" s="114">
        <f>YEAR(MC[[#This Row],[Date]])+IF(MONTH(MC[[#This Row],[Date]])&gt;=4,1,0)</f>
        <v>2025</v>
      </c>
      <c r="D157" s="115">
        <f>YEAR(MC[[#This Row],[Date]])</f>
        <v>2024</v>
      </c>
      <c r="E157" s="112" t="s">
        <v>326</v>
      </c>
      <c r="F157" s="112" t="s">
        <v>326</v>
      </c>
      <c r="G157" s="116" t="str">
        <f>TEXT(MC[[#This Row],[Date]],"mmm-yy")</f>
        <v>Jul-24</v>
      </c>
      <c r="H157" s="116">
        <f>DAY(EOMONTH(MC[[#This Row],[Month Year]],0))</f>
        <v>31</v>
      </c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5">
        <f>SUM(MC[[#This Row],[IS1Inv1M1]:[IS4Inv10M2]])</f>
        <v>0</v>
      </c>
      <c r="AN157" s="120"/>
      <c r="AO157" s="119"/>
      <c r="AP157" s="119"/>
      <c r="AQ157" s="120"/>
      <c r="AR157" s="119"/>
      <c r="AS157" s="119"/>
      <c r="AT157" s="119"/>
    </row>
    <row r="158" spans="1:46">
      <c r="A158" s="119">
        <v>156</v>
      </c>
      <c r="B158" s="113">
        <f t="shared" si="2"/>
        <v>45478</v>
      </c>
      <c r="C158" s="114">
        <f>YEAR(MC[[#This Row],[Date]])+IF(MONTH(MC[[#This Row],[Date]])&gt;=4,1,0)</f>
        <v>2025</v>
      </c>
      <c r="D158" s="115">
        <f>YEAR(MC[[#This Row],[Date]])</f>
        <v>2024</v>
      </c>
      <c r="E158" s="112" t="s">
        <v>326</v>
      </c>
      <c r="F158" s="112" t="s">
        <v>326</v>
      </c>
      <c r="G158" s="116" t="str">
        <f>TEXT(MC[[#This Row],[Date]],"mmm-yy")</f>
        <v>Jul-24</v>
      </c>
      <c r="H158" s="116">
        <f>DAY(EOMONTH(MC[[#This Row],[Month Year]],0))</f>
        <v>31</v>
      </c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5">
        <f>SUM(MC[[#This Row],[IS1Inv1M1]:[IS4Inv10M2]])</f>
        <v>0</v>
      </c>
      <c r="AN158" s="120"/>
      <c r="AO158" s="119"/>
      <c r="AP158" s="119"/>
      <c r="AQ158" s="120"/>
      <c r="AR158" s="119"/>
      <c r="AS158" s="119"/>
      <c r="AT158" s="119"/>
    </row>
    <row r="159" spans="1:46">
      <c r="A159" s="119">
        <v>157</v>
      </c>
      <c r="B159" s="113">
        <f t="shared" si="2"/>
        <v>45479</v>
      </c>
      <c r="C159" s="114">
        <f>YEAR(MC[[#This Row],[Date]])+IF(MONTH(MC[[#This Row],[Date]])&gt;=4,1,0)</f>
        <v>2025</v>
      </c>
      <c r="D159" s="115">
        <f>YEAR(MC[[#This Row],[Date]])</f>
        <v>2024</v>
      </c>
      <c r="E159" s="112" t="s">
        <v>326</v>
      </c>
      <c r="F159" s="112" t="s">
        <v>326</v>
      </c>
      <c r="G159" s="116" t="str">
        <f>TEXT(MC[[#This Row],[Date]],"mmm-yy")</f>
        <v>Jul-24</v>
      </c>
      <c r="H159" s="116">
        <f>DAY(EOMONTH(MC[[#This Row],[Month Year]],0))</f>
        <v>31</v>
      </c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5">
        <f>SUM(MC[[#This Row],[IS1Inv1M1]:[IS4Inv10M2]])</f>
        <v>0</v>
      </c>
      <c r="AN159" s="120"/>
      <c r="AO159" s="119"/>
      <c r="AP159" s="119"/>
      <c r="AQ159" s="120"/>
      <c r="AR159" s="119"/>
      <c r="AS159" s="119"/>
      <c r="AT159" s="119"/>
    </row>
    <row r="160" spans="1:46">
      <c r="A160" s="119">
        <v>158</v>
      </c>
      <c r="B160" s="113">
        <f t="shared" si="2"/>
        <v>45480</v>
      </c>
      <c r="C160" s="114">
        <f>YEAR(MC[[#This Row],[Date]])+IF(MONTH(MC[[#This Row],[Date]])&gt;=4,1,0)</f>
        <v>2025</v>
      </c>
      <c r="D160" s="115">
        <f>YEAR(MC[[#This Row],[Date]])</f>
        <v>2024</v>
      </c>
      <c r="E160" s="112" t="s">
        <v>326</v>
      </c>
      <c r="F160" s="112" t="s">
        <v>326</v>
      </c>
      <c r="G160" s="116" t="str">
        <f>TEXT(MC[[#This Row],[Date]],"mmm-yy")</f>
        <v>Jul-24</v>
      </c>
      <c r="H160" s="116">
        <f>DAY(EOMONTH(MC[[#This Row],[Month Year]],0))</f>
        <v>31</v>
      </c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5">
        <f>SUM(MC[[#This Row],[IS1Inv1M1]:[IS4Inv10M2]])</f>
        <v>0</v>
      </c>
      <c r="AN160" s="119"/>
      <c r="AO160" s="119"/>
      <c r="AP160" s="119"/>
      <c r="AQ160" s="119"/>
      <c r="AR160" s="119"/>
      <c r="AS160" s="119"/>
      <c r="AT160" s="119"/>
    </row>
    <row r="161" spans="1:46">
      <c r="A161" s="119">
        <v>159</v>
      </c>
      <c r="B161" s="113">
        <f t="shared" si="2"/>
        <v>45481</v>
      </c>
      <c r="C161" s="114">
        <f>YEAR(MC[[#This Row],[Date]])+IF(MONTH(MC[[#This Row],[Date]])&gt;=4,1,0)</f>
        <v>2025</v>
      </c>
      <c r="D161" s="115">
        <f>YEAR(MC[[#This Row],[Date]])</f>
        <v>2024</v>
      </c>
      <c r="E161" s="112" t="s">
        <v>326</v>
      </c>
      <c r="F161" s="112" t="s">
        <v>326</v>
      </c>
      <c r="G161" s="116" t="str">
        <f>TEXT(MC[[#This Row],[Date]],"mmm-yy")</f>
        <v>Jul-24</v>
      </c>
      <c r="H161" s="116">
        <f>DAY(EOMONTH(MC[[#This Row],[Month Year]],0))</f>
        <v>31</v>
      </c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5">
        <f>SUM(MC[[#This Row],[IS1Inv1M1]:[IS4Inv10M2]])</f>
        <v>0</v>
      </c>
      <c r="AN161" s="120"/>
      <c r="AO161" s="119"/>
      <c r="AP161" s="119"/>
      <c r="AQ161" s="120"/>
      <c r="AR161" s="119"/>
      <c r="AS161" s="119"/>
      <c r="AT161" s="119"/>
    </row>
    <row r="162" spans="1:46">
      <c r="A162" s="119">
        <v>160</v>
      </c>
      <c r="B162" s="113">
        <f t="shared" si="2"/>
        <v>45482</v>
      </c>
      <c r="C162" s="114">
        <f>YEAR(MC[[#This Row],[Date]])+IF(MONTH(MC[[#This Row],[Date]])&gt;=4,1,0)</f>
        <v>2025</v>
      </c>
      <c r="D162" s="115">
        <f>YEAR(MC[[#This Row],[Date]])</f>
        <v>2024</v>
      </c>
      <c r="E162" s="112" t="s">
        <v>326</v>
      </c>
      <c r="F162" s="112" t="s">
        <v>326</v>
      </c>
      <c r="G162" s="116" t="str">
        <f>TEXT(MC[[#This Row],[Date]],"mmm-yy")</f>
        <v>Jul-24</v>
      </c>
      <c r="H162" s="116">
        <f>DAY(EOMONTH(MC[[#This Row],[Month Year]],0))</f>
        <v>31</v>
      </c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5">
        <f>SUM(MC[[#This Row],[IS1Inv1M1]:[IS4Inv10M2]])</f>
        <v>0</v>
      </c>
      <c r="AN162" s="120"/>
      <c r="AO162" s="119"/>
      <c r="AP162" s="119"/>
      <c r="AQ162" s="120"/>
      <c r="AR162" s="119"/>
      <c r="AS162" s="119"/>
      <c r="AT162" s="119"/>
    </row>
    <row r="163" spans="1:46">
      <c r="A163" s="119">
        <v>161</v>
      </c>
      <c r="B163" s="113">
        <f t="shared" si="2"/>
        <v>45483</v>
      </c>
      <c r="C163" s="114">
        <f>YEAR(MC[[#This Row],[Date]])+IF(MONTH(MC[[#This Row],[Date]])&gt;=4,1,0)</f>
        <v>2025</v>
      </c>
      <c r="D163" s="115">
        <f>YEAR(MC[[#This Row],[Date]])</f>
        <v>2024</v>
      </c>
      <c r="E163" s="112" t="s">
        <v>326</v>
      </c>
      <c r="F163" s="112" t="s">
        <v>326</v>
      </c>
      <c r="G163" s="116" t="str">
        <f>TEXT(MC[[#This Row],[Date]],"mmm-yy")</f>
        <v>Jul-24</v>
      </c>
      <c r="H163" s="116">
        <f>DAY(EOMONTH(MC[[#This Row],[Month Year]],0))</f>
        <v>31</v>
      </c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5">
        <f>SUM(MC[[#This Row],[IS1Inv1M1]:[IS4Inv10M2]])</f>
        <v>0</v>
      </c>
      <c r="AN163" s="120"/>
      <c r="AO163" s="119"/>
      <c r="AP163" s="119"/>
      <c r="AQ163" s="120"/>
      <c r="AR163" s="119"/>
      <c r="AS163" s="119"/>
      <c r="AT163" s="119"/>
    </row>
    <row r="164" spans="1:46">
      <c r="A164" s="119">
        <v>162</v>
      </c>
      <c r="B164" s="113">
        <f t="shared" si="2"/>
        <v>45484</v>
      </c>
      <c r="C164" s="114">
        <f>YEAR(MC[[#This Row],[Date]])+IF(MONTH(MC[[#This Row],[Date]])&gt;=4,1,0)</f>
        <v>2025</v>
      </c>
      <c r="D164" s="115">
        <f>YEAR(MC[[#This Row],[Date]])</f>
        <v>2024</v>
      </c>
      <c r="E164" s="112" t="s">
        <v>326</v>
      </c>
      <c r="F164" s="112" t="s">
        <v>326</v>
      </c>
      <c r="G164" s="116" t="str">
        <f>TEXT(MC[[#This Row],[Date]],"mmm-yy")</f>
        <v>Jul-24</v>
      </c>
      <c r="H164" s="116">
        <f>DAY(EOMONTH(MC[[#This Row],[Month Year]],0))</f>
        <v>31</v>
      </c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5">
        <f>SUM(MC[[#This Row],[IS1Inv1M1]:[IS4Inv10M2]])</f>
        <v>0</v>
      </c>
      <c r="AN164" s="120"/>
      <c r="AO164" s="119"/>
      <c r="AP164" s="119"/>
      <c r="AQ164" s="120"/>
      <c r="AR164" s="119"/>
      <c r="AS164" s="119"/>
      <c r="AT164" s="119"/>
    </row>
    <row r="165" spans="1:46">
      <c r="A165" s="119">
        <v>163</v>
      </c>
      <c r="B165" s="113">
        <f t="shared" si="2"/>
        <v>45485</v>
      </c>
      <c r="C165" s="114">
        <f>YEAR(MC[[#This Row],[Date]])+IF(MONTH(MC[[#This Row],[Date]])&gt;=4,1,0)</f>
        <v>2025</v>
      </c>
      <c r="D165" s="115">
        <f>YEAR(MC[[#This Row],[Date]])</f>
        <v>2024</v>
      </c>
      <c r="E165" s="112" t="s">
        <v>326</v>
      </c>
      <c r="F165" s="112" t="s">
        <v>326</v>
      </c>
      <c r="G165" s="116" t="str">
        <f>TEXT(MC[[#This Row],[Date]],"mmm-yy")</f>
        <v>Jul-24</v>
      </c>
      <c r="H165" s="116">
        <f>DAY(EOMONTH(MC[[#This Row],[Month Year]],0))</f>
        <v>31</v>
      </c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5">
        <f>SUM(MC[[#This Row],[IS1Inv1M1]:[IS4Inv10M2]])</f>
        <v>0</v>
      </c>
      <c r="AN165" s="119"/>
      <c r="AO165" s="119"/>
      <c r="AP165" s="119"/>
      <c r="AQ165" s="119"/>
      <c r="AR165" s="119"/>
      <c r="AS165" s="119"/>
      <c r="AT165" s="119"/>
    </row>
    <row r="166" spans="1:46">
      <c r="A166" s="119">
        <v>164</v>
      </c>
      <c r="B166" s="113">
        <f t="shared" si="2"/>
        <v>45486</v>
      </c>
      <c r="C166" s="114">
        <f>YEAR(MC[[#This Row],[Date]])+IF(MONTH(MC[[#This Row],[Date]])&gt;=4,1,0)</f>
        <v>2025</v>
      </c>
      <c r="D166" s="115">
        <f>YEAR(MC[[#This Row],[Date]])</f>
        <v>2024</v>
      </c>
      <c r="E166" s="112" t="s">
        <v>326</v>
      </c>
      <c r="F166" s="112" t="s">
        <v>326</v>
      </c>
      <c r="G166" s="116" t="str">
        <f>TEXT(MC[[#This Row],[Date]],"mmm-yy")</f>
        <v>Jul-24</v>
      </c>
      <c r="H166" s="116">
        <f>DAY(EOMONTH(MC[[#This Row],[Month Year]],0))</f>
        <v>31</v>
      </c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5">
        <f>SUM(MC[[#This Row],[IS1Inv1M1]:[IS4Inv10M2]])</f>
        <v>0</v>
      </c>
      <c r="AN166" s="119"/>
      <c r="AO166" s="119"/>
      <c r="AP166" s="119"/>
      <c r="AQ166" s="119"/>
      <c r="AR166" s="119"/>
      <c r="AS166" s="119"/>
      <c r="AT166" s="121"/>
    </row>
    <row r="167" spans="1:46">
      <c r="A167" s="119">
        <v>165</v>
      </c>
      <c r="B167" s="113">
        <f t="shared" si="2"/>
        <v>45487</v>
      </c>
      <c r="C167" s="114">
        <f>YEAR(MC[[#This Row],[Date]])+IF(MONTH(MC[[#This Row],[Date]])&gt;=4,1,0)</f>
        <v>2025</v>
      </c>
      <c r="D167" s="115">
        <f>YEAR(MC[[#This Row],[Date]])</f>
        <v>2024</v>
      </c>
      <c r="E167" s="112" t="s">
        <v>326</v>
      </c>
      <c r="F167" s="112" t="s">
        <v>326</v>
      </c>
      <c r="G167" s="116" t="str">
        <f>TEXT(MC[[#This Row],[Date]],"mmm-yy")</f>
        <v>Jul-24</v>
      </c>
      <c r="H167" s="116">
        <f>DAY(EOMONTH(MC[[#This Row],[Month Year]],0))</f>
        <v>31</v>
      </c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5">
        <f>SUM(MC[[#This Row],[IS1Inv1M1]:[IS4Inv10M2]])</f>
        <v>0</v>
      </c>
      <c r="AN167" s="119"/>
      <c r="AO167" s="119"/>
      <c r="AP167" s="119"/>
      <c r="AQ167" s="119"/>
      <c r="AR167" s="119"/>
      <c r="AS167" s="119"/>
      <c r="AT167" s="121"/>
    </row>
    <row r="168" spans="1:46">
      <c r="A168" s="119">
        <v>166</v>
      </c>
      <c r="B168" s="113">
        <f t="shared" si="2"/>
        <v>45488</v>
      </c>
      <c r="C168" s="114">
        <f>YEAR(MC[[#This Row],[Date]])+IF(MONTH(MC[[#This Row],[Date]])&gt;=4,1,0)</f>
        <v>2025</v>
      </c>
      <c r="D168" s="115">
        <f>YEAR(MC[[#This Row],[Date]])</f>
        <v>2024</v>
      </c>
      <c r="E168" s="112" t="s">
        <v>326</v>
      </c>
      <c r="F168" s="112" t="s">
        <v>326</v>
      </c>
      <c r="G168" s="116" t="str">
        <f>TEXT(MC[[#This Row],[Date]],"mmm-yy")</f>
        <v>Jul-24</v>
      </c>
      <c r="H168" s="116">
        <f>DAY(EOMONTH(MC[[#This Row],[Month Year]],0))</f>
        <v>31</v>
      </c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5">
        <f>SUM(MC[[#This Row],[IS1Inv1M1]:[IS4Inv10M2]])</f>
        <v>0</v>
      </c>
      <c r="AN168" s="119"/>
      <c r="AO168" s="119"/>
      <c r="AP168" s="119"/>
      <c r="AQ168" s="119"/>
      <c r="AR168" s="119"/>
      <c r="AS168" s="119"/>
      <c r="AT168" s="121"/>
    </row>
    <row r="169" spans="1:46">
      <c r="A169" s="119">
        <v>167</v>
      </c>
      <c r="B169" s="113">
        <f t="shared" si="2"/>
        <v>45489</v>
      </c>
      <c r="C169" s="114">
        <f>YEAR(MC[[#This Row],[Date]])+IF(MONTH(MC[[#This Row],[Date]])&gt;=4,1,0)</f>
        <v>2025</v>
      </c>
      <c r="D169" s="115">
        <f>YEAR(MC[[#This Row],[Date]])</f>
        <v>2024</v>
      </c>
      <c r="E169" s="112" t="s">
        <v>326</v>
      </c>
      <c r="F169" s="112" t="s">
        <v>326</v>
      </c>
      <c r="G169" s="116" t="str">
        <f>TEXT(MC[[#This Row],[Date]],"mmm-yy")</f>
        <v>Jul-24</v>
      </c>
      <c r="H169" s="116">
        <f>DAY(EOMONTH(MC[[#This Row],[Month Year]],0))</f>
        <v>31</v>
      </c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5">
        <f>SUM(MC[[#This Row],[IS1Inv1M1]:[IS4Inv10M2]])</f>
        <v>0</v>
      </c>
      <c r="AN169" s="119"/>
      <c r="AO169" s="119"/>
      <c r="AP169" s="119"/>
      <c r="AQ169" s="119"/>
      <c r="AR169" s="119"/>
      <c r="AS169" s="119"/>
      <c r="AT169" s="121"/>
    </row>
    <row r="170" spans="1:46">
      <c r="A170" s="119">
        <v>168</v>
      </c>
      <c r="B170" s="113">
        <f t="shared" si="2"/>
        <v>45490</v>
      </c>
      <c r="C170" s="114">
        <f>YEAR(MC[[#This Row],[Date]])+IF(MONTH(MC[[#This Row],[Date]])&gt;=4,1,0)</f>
        <v>2025</v>
      </c>
      <c r="D170" s="115">
        <f>YEAR(MC[[#This Row],[Date]])</f>
        <v>2024</v>
      </c>
      <c r="E170" s="112" t="s">
        <v>326</v>
      </c>
      <c r="F170" s="112" t="s">
        <v>326</v>
      </c>
      <c r="G170" s="116" t="str">
        <f>TEXT(MC[[#This Row],[Date]],"mmm-yy")</f>
        <v>Jul-24</v>
      </c>
      <c r="H170" s="116">
        <f>DAY(EOMONTH(MC[[#This Row],[Month Year]],0))</f>
        <v>31</v>
      </c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5">
        <f>SUM(MC[[#This Row],[IS1Inv1M1]:[IS4Inv10M2]])</f>
        <v>0</v>
      </c>
      <c r="AN170" s="119"/>
      <c r="AO170" s="119"/>
      <c r="AP170" s="119"/>
      <c r="AQ170" s="119"/>
      <c r="AR170" s="119"/>
      <c r="AS170" s="119"/>
      <c r="AT170" s="121"/>
    </row>
    <row r="171" spans="1:46">
      <c r="A171" s="119">
        <v>169</v>
      </c>
      <c r="B171" s="113">
        <f t="shared" si="2"/>
        <v>45491</v>
      </c>
      <c r="C171" s="114">
        <f>YEAR(MC[[#This Row],[Date]])+IF(MONTH(MC[[#This Row],[Date]])&gt;=4,1,0)</f>
        <v>2025</v>
      </c>
      <c r="D171" s="115">
        <f>YEAR(MC[[#This Row],[Date]])</f>
        <v>2024</v>
      </c>
      <c r="E171" s="112" t="s">
        <v>326</v>
      </c>
      <c r="F171" s="112" t="s">
        <v>326</v>
      </c>
      <c r="G171" s="116" t="str">
        <f>TEXT(MC[[#This Row],[Date]],"mmm-yy")</f>
        <v>Jul-24</v>
      </c>
      <c r="H171" s="116">
        <f>DAY(EOMONTH(MC[[#This Row],[Month Year]],0))</f>
        <v>31</v>
      </c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5">
        <f>SUM(MC[[#This Row],[IS1Inv1M1]:[IS4Inv10M2]])</f>
        <v>0</v>
      </c>
      <c r="AN171" s="119"/>
      <c r="AO171" s="119"/>
      <c r="AP171" s="119"/>
      <c r="AQ171" s="119"/>
      <c r="AR171" s="119"/>
      <c r="AS171" s="119"/>
      <c r="AT171" s="121"/>
    </row>
    <row r="172" spans="1:46">
      <c r="A172" s="119">
        <v>170</v>
      </c>
      <c r="B172" s="113">
        <f t="shared" si="2"/>
        <v>45492</v>
      </c>
      <c r="C172" s="114">
        <f>YEAR(MC[[#This Row],[Date]])+IF(MONTH(MC[[#This Row],[Date]])&gt;=4,1,0)</f>
        <v>2025</v>
      </c>
      <c r="D172" s="115">
        <f>YEAR(MC[[#This Row],[Date]])</f>
        <v>2024</v>
      </c>
      <c r="E172" s="112" t="s">
        <v>326</v>
      </c>
      <c r="F172" s="112" t="s">
        <v>326</v>
      </c>
      <c r="G172" s="116" t="str">
        <f>TEXT(MC[[#This Row],[Date]],"mmm-yy")</f>
        <v>Jul-24</v>
      </c>
      <c r="H172" s="116">
        <f>DAY(EOMONTH(MC[[#This Row],[Month Year]],0))</f>
        <v>31</v>
      </c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5">
        <f>SUM(MC[[#This Row],[IS1Inv1M1]:[IS4Inv10M2]])</f>
        <v>0</v>
      </c>
      <c r="AN172" s="119"/>
      <c r="AO172" s="119"/>
      <c r="AP172" s="119"/>
      <c r="AQ172" s="119"/>
      <c r="AR172" s="119"/>
      <c r="AS172" s="119"/>
      <c r="AT172" s="121"/>
    </row>
    <row r="173" spans="1:46">
      <c r="A173" s="119">
        <v>171</v>
      </c>
      <c r="B173" s="113">
        <f t="shared" si="2"/>
        <v>45493</v>
      </c>
      <c r="C173" s="114">
        <f>YEAR(MC[[#This Row],[Date]])+IF(MONTH(MC[[#This Row],[Date]])&gt;=4,1,0)</f>
        <v>2025</v>
      </c>
      <c r="D173" s="115">
        <f>YEAR(MC[[#This Row],[Date]])</f>
        <v>2024</v>
      </c>
      <c r="E173" s="112" t="s">
        <v>326</v>
      </c>
      <c r="F173" s="112" t="s">
        <v>326</v>
      </c>
      <c r="G173" s="116" t="str">
        <f>TEXT(MC[[#This Row],[Date]],"mmm-yy")</f>
        <v>Jul-24</v>
      </c>
      <c r="H173" s="116">
        <f>DAY(EOMONTH(MC[[#This Row],[Month Year]],0))</f>
        <v>31</v>
      </c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5">
        <f>SUM(MC[[#This Row],[IS1Inv1M1]:[IS4Inv10M2]])</f>
        <v>0</v>
      </c>
      <c r="AN173" s="119"/>
      <c r="AO173" s="119"/>
      <c r="AP173" s="119"/>
      <c r="AQ173" s="119"/>
      <c r="AR173" s="119"/>
      <c r="AS173" s="119"/>
      <c r="AT173" s="121"/>
    </row>
    <row r="174" spans="1:46">
      <c r="A174" s="119">
        <v>172</v>
      </c>
      <c r="B174" s="113">
        <f t="shared" si="2"/>
        <v>45494</v>
      </c>
      <c r="C174" s="114">
        <f>YEAR(MC[[#This Row],[Date]])+IF(MONTH(MC[[#This Row],[Date]])&gt;=4,1,0)</f>
        <v>2025</v>
      </c>
      <c r="D174" s="115">
        <f>YEAR(MC[[#This Row],[Date]])</f>
        <v>2024</v>
      </c>
      <c r="E174" s="112" t="s">
        <v>326</v>
      </c>
      <c r="F174" s="112" t="s">
        <v>326</v>
      </c>
      <c r="G174" s="116" t="str">
        <f>TEXT(MC[[#This Row],[Date]],"mmm-yy")</f>
        <v>Jul-24</v>
      </c>
      <c r="H174" s="116">
        <f>DAY(EOMONTH(MC[[#This Row],[Month Year]],0))</f>
        <v>31</v>
      </c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5">
        <f>SUM(MC[[#This Row],[IS1Inv1M1]:[IS4Inv10M2]])</f>
        <v>0</v>
      </c>
      <c r="AN174" s="119"/>
      <c r="AO174" s="119"/>
      <c r="AP174" s="119"/>
      <c r="AQ174" s="119"/>
      <c r="AR174" s="119"/>
      <c r="AS174" s="119"/>
      <c r="AT174" s="121"/>
    </row>
    <row r="175" spans="1:46">
      <c r="A175" s="119">
        <v>173</v>
      </c>
      <c r="B175" s="113">
        <f t="shared" si="2"/>
        <v>45495</v>
      </c>
      <c r="C175" s="114">
        <f>YEAR(MC[[#This Row],[Date]])+IF(MONTH(MC[[#This Row],[Date]])&gt;=4,1,0)</f>
        <v>2025</v>
      </c>
      <c r="D175" s="115">
        <f>YEAR(MC[[#This Row],[Date]])</f>
        <v>2024</v>
      </c>
      <c r="E175" s="112" t="s">
        <v>326</v>
      </c>
      <c r="F175" s="112" t="s">
        <v>326</v>
      </c>
      <c r="G175" s="116" t="str">
        <f>TEXT(MC[[#This Row],[Date]],"mmm-yy")</f>
        <v>Jul-24</v>
      </c>
      <c r="H175" s="116">
        <f>DAY(EOMONTH(MC[[#This Row],[Month Year]],0))</f>
        <v>31</v>
      </c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5">
        <f>SUM(MC[[#This Row],[IS1Inv1M1]:[IS4Inv10M2]])</f>
        <v>0</v>
      </c>
      <c r="AN175" s="119"/>
      <c r="AO175" s="119"/>
      <c r="AP175" s="119"/>
      <c r="AQ175" s="119"/>
      <c r="AR175" s="119"/>
      <c r="AS175" s="119"/>
      <c r="AT175" s="121"/>
    </row>
    <row r="176" spans="1:46">
      <c r="A176" s="119">
        <v>174</v>
      </c>
      <c r="B176" s="113">
        <f t="shared" si="2"/>
        <v>45496</v>
      </c>
      <c r="C176" s="114">
        <f>YEAR(MC[[#This Row],[Date]])+IF(MONTH(MC[[#This Row],[Date]])&gt;=4,1,0)</f>
        <v>2025</v>
      </c>
      <c r="D176" s="115">
        <f>YEAR(MC[[#This Row],[Date]])</f>
        <v>2024</v>
      </c>
      <c r="E176" s="112" t="s">
        <v>326</v>
      </c>
      <c r="F176" s="112" t="s">
        <v>326</v>
      </c>
      <c r="G176" s="116" t="str">
        <f>TEXT(MC[[#This Row],[Date]],"mmm-yy")</f>
        <v>Jul-24</v>
      </c>
      <c r="H176" s="116">
        <f>DAY(EOMONTH(MC[[#This Row],[Month Year]],0))</f>
        <v>31</v>
      </c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5">
        <f>SUM(MC[[#This Row],[IS1Inv1M1]:[IS4Inv10M2]])</f>
        <v>0</v>
      </c>
      <c r="AN176" s="119"/>
      <c r="AO176" s="119"/>
      <c r="AP176" s="119"/>
      <c r="AQ176" s="119"/>
      <c r="AR176" s="119"/>
      <c r="AS176" s="119"/>
      <c r="AT176" s="121"/>
    </row>
    <row r="177" spans="1:46">
      <c r="A177" s="119">
        <v>175</v>
      </c>
      <c r="B177" s="113">
        <f t="shared" si="2"/>
        <v>45497</v>
      </c>
      <c r="C177" s="114">
        <f>YEAR(MC[[#This Row],[Date]])+IF(MONTH(MC[[#This Row],[Date]])&gt;=4,1,0)</f>
        <v>2025</v>
      </c>
      <c r="D177" s="115">
        <f>YEAR(MC[[#This Row],[Date]])</f>
        <v>2024</v>
      </c>
      <c r="E177" s="112" t="s">
        <v>326</v>
      </c>
      <c r="F177" s="112" t="s">
        <v>326</v>
      </c>
      <c r="G177" s="116" t="str">
        <f>TEXT(MC[[#This Row],[Date]],"mmm-yy")</f>
        <v>Jul-24</v>
      </c>
      <c r="H177" s="116">
        <f>DAY(EOMONTH(MC[[#This Row],[Month Year]],0))</f>
        <v>31</v>
      </c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5">
        <f>SUM(MC[[#This Row],[IS1Inv1M1]:[IS4Inv10M2]])</f>
        <v>0</v>
      </c>
      <c r="AN177" s="119"/>
      <c r="AO177" s="119"/>
      <c r="AP177" s="119"/>
      <c r="AQ177" s="119"/>
      <c r="AR177" s="119"/>
      <c r="AS177" s="119"/>
      <c r="AT177" s="121"/>
    </row>
    <row r="178" spans="1:46">
      <c r="A178" s="119">
        <v>176</v>
      </c>
      <c r="B178" s="113">
        <f t="shared" si="2"/>
        <v>45498</v>
      </c>
      <c r="C178" s="114">
        <f>YEAR(MC[[#This Row],[Date]])+IF(MONTH(MC[[#This Row],[Date]])&gt;=4,1,0)</f>
        <v>2025</v>
      </c>
      <c r="D178" s="115">
        <f>YEAR(MC[[#This Row],[Date]])</f>
        <v>2024</v>
      </c>
      <c r="E178" s="112" t="s">
        <v>326</v>
      </c>
      <c r="F178" s="112" t="s">
        <v>326</v>
      </c>
      <c r="G178" s="116" t="str">
        <f>TEXT(MC[[#This Row],[Date]],"mmm-yy")</f>
        <v>Jul-24</v>
      </c>
      <c r="H178" s="116">
        <f>DAY(EOMONTH(MC[[#This Row],[Month Year]],0))</f>
        <v>31</v>
      </c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5">
        <f>SUM(MC[[#This Row],[IS1Inv1M1]:[IS4Inv10M2]])</f>
        <v>0</v>
      </c>
      <c r="AN178" s="119"/>
      <c r="AO178" s="119"/>
      <c r="AP178" s="119"/>
      <c r="AQ178" s="119"/>
      <c r="AR178" s="119"/>
      <c r="AS178" s="119"/>
      <c r="AT178" s="121"/>
    </row>
    <row r="179" spans="1:46">
      <c r="A179" s="119">
        <v>177</v>
      </c>
      <c r="B179" s="113">
        <f t="shared" si="2"/>
        <v>45499</v>
      </c>
      <c r="C179" s="114">
        <f>YEAR(MC[[#This Row],[Date]])+IF(MONTH(MC[[#This Row],[Date]])&gt;=4,1,0)</f>
        <v>2025</v>
      </c>
      <c r="D179" s="115">
        <f>YEAR(MC[[#This Row],[Date]])</f>
        <v>2024</v>
      </c>
      <c r="E179" s="112" t="s">
        <v>326</v>
      </c>
      <c r="F179" s="112" t="s">
        <v>326</v>
      </c>
      <c r="G179" s="116" t="str">
        <f>TEXT(MC[[#This Row],[Date]],"mmm-yy")</f>
        <v>Jul-24</v>
      </c>
      <c r="H179" s="116">
        <f>DAY(EOMONTH(MC[[#This Row],[Month Year]],0))</f>
        <v>31</v>
      </c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5">
        <f>SUM(MC[[#This Row],[IS1Inv1M1]:[IS4Inv10M2]])</f>
        <v>0</v>
      </c>
      <c r="AN179" s="119"/>
      <c r="AO179" s="119"/>
      <c r="AP179" s="119"/>
      <c r="AQ179" s="119"/>
      <c r="AR179" s="119"/>
      <c r="AS179" s="119"/>
      <c r="AT179" s="121"/>
    </row>
    <row r="180" spans="1:46">
      <c r="A180" s="119">
        <v>177</v>
      </c>
      <c r="B180" s="113">
        <f t="shared" si="2"/>
        <v>45500</v>
      </c>
      <c r="C180" s="114">
        <f>YEAR(MC[[#This Row],[Date]])+IF(MONTH(MC[[#This Row],[Date]])&gt;=4,1,0)</f>
        <v>2025</v>
      </c>
      <c r="D180" s="115">
        <f>YEAR(MC[[#This Row],[Date]])</f>
        <v>2024</v>
      </c>
      <c r="E180" s="112" t="s">
        <v>326</v>
      </c>
      <c r="F180" s="112" t="s">
        <v>326</v>
      </c>
      <c r="G180" s="116" t="str">
        <f>TEXT(MC[[#This Row],[Date]],"mmm-yy")</f>
        <v>Jul-24</v>
      </c>
      <c r="H180" s="116">
        <f>DAY(EOMONTH(MC[[#This Row],[Month Year]],0))</f>
        <v>31</v>
      </c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5">
        <f>SUM(MC[[#This Row],[IS1Inv1M1]:[IS4Inv10M2]])</f>
        <v>0</v>
      </c>
      <c r="AN180" s="119"/>
      <c r="AO180" s="119"/>
      <c r="AP180" s="119"/>
      <c r="AQ180" s="119"/>
      <c r="AR180" s="119"/>
      <c r="AS180" s="119"/>
      <c r="AT180" s="121"/>
    </row>
    <row r="181" spans="1:46">
      <c r="A181" s="119">
        <v>179</v>
      </c>
      <c r="B181" s="113">
        <f t="shared" si="2"/>
        <v>45501</v>
      </c>
      <c r="C181" s="114">
        <f>YEAR(MC[[#This Row],[Date]])+IF(MONTH(MC[[#This Row],[Date]])&gt;=4,1,0)</f>
        <v>2025</v>
      </c>
      <c r="D181" s="115">
        <f>YEAR(MC[[#This Row],[Date]])</f>
        <v>2024</v>
      </c>
      <c r="E181" s="112" t="s">
        <v>326</v>
      </c>
      <c r="F181" s="112" t="s">
        <v>326</v>
      </c>
      <c r="G181" s="116" t="str">
        <f>TEXT(MC[[#This Row],[Date]],"mmm-yy")</f>
        <v>Jul-24</v>
      </c>
      <c r="H181" s="116">
        <f>DAY(EOMONTH(MC[[#This Row],[Month Year]],0))</f>
        <v>31</v>
      </c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5">
        <f>SUM(MC[[#This Row],[IS1Inv1M1]:[IS4Inv10M2]])</f>
        <v>0</v>
      </c>
      <c r="AN181" s="119"/>
      <c r="AO181" s="119"/>
      <c r="AP181" s="119"/>
      <c r="AQ181" s="119"/>
      <c r="AR181" s="119"/>
      <c r="AS181" s="119"/>
      <c r="AT181" s="121"/>
    </row>
    <row r="182" spans="1:46">
      <c r="A182" s="119">
        <v>180</v>
      </c>
      <c r="B182" s="113">
        <f t="shared" si="2"/>
        <v>45502</v>
      </c>
      <c r="C182" s="114">
        <f>YEAR(MC[[#This Row],[Date]])+IF(MONTH(MC[[#This Row],[Date]])&gt;=4,1,0)</f>
        <v>2025</v>
      </c>
      <c r="D182" s="115">
        <f>YEAR(MC[[#This Row],[Date]])</f>
        <v>2024</v>
      </c>
      <c r="E182" s="112" t="s">
        <v>326</v>
      </c>
      <c r="F182" s="112" t="s">
        <v>326</v>
      </c>
      <c r="G182" s="116" t="str">
        <f>TEXT(MC[[#This Row],[Date]],"mmm-yy")</f>
        <v>Jul-24</v>
      </c>
      <c r="H182" s="116">
        <f>DAY(EOMONTH(MC[[#This Row],[Month Year]],0))</f>
        <v>31</v>
      </c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5">
        <f>SUM(MC[[#This Row],[IS1Inv1M1]:[IS4Inv10M2]])</f>
        <v>0</v>
      </c>
      <c r="AN182" s="119"/>
      <c r="AO182" s="119"/>
      <c r="AP182" s="119"/>
      <c r="AQ182" s="119"/>
      <c r="AR182" s="119"/>
      <c r="AS182" s="119"/>
      <c r="AT182" s="121"/>
    </row>
    <row r="183" spans="1:46">
      <c r="A183" s="119">
        <v>181</v>
      </c>
      <c r="B183" s="113">
        <f t="shared" si="2"/>
        <v>45503</v>
      </c>
      <c r="C183" s="114">
        <f>YEAR(MC[[#This Row],[Date]])+IF(MONTH(MC[[#This Row],[Date]])&gt;=4,1,0)</f>
        <v>2025</v>
      </c>
      <c r="D183" s="115">
        <f>YEAR(MC[[#This Row],[Date]])</f>
        <v>2024</v>
      </c>
      <c r="E183" s="112" t="s">
        <v>326</v>
      </c>
      <c r="F183" s="112" t="s">
        <v>326</v>
      </c>
      <c r="G183" s="116" t="str">
        <f>TEXT(MC[[#This Row],[Date]],"mmm-yy")</f>
        <v>Jul-24</v>
      </c>
      <c r="H183" s="116">
        <f>DAY(EOMONTH(MC[[#This Row],[Month Year]],0))</f>
        <v>31</v>
      </c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5">
        <f>SUM(MC[[#This Row],[IS1Inv1M1]:[IS4Inv10M2]])</f>
        <v>0</v>
      </c>
      <c r="AN183" s="119"/>
      <c r="AO183" s="119"/>
      <c r="AP183" s="119"/>
      <c r="AQ183" s="119"/>
      <c r="AR183" s="119"/>
      <c r="AS183" s="119"/>
      <c r="AT183" s="121"/>
    </row>
    <row r="184" spans="1:46">
      <c r="A184" s="119">
        <v>182</v>
      </c>
      <c r="B184" s="113">
        <f t="shared" si="2"/>
        <v>45504</v>
      </c>
      <c r="C184" s="114">
        <f>YEAR(MC[[#This Row],[Date]])+IF(MONTH(MC[[#This Row],[Date]])&gt;=4,1,0)</f>
        <v>2025</v>
      </c>
      <c r="D184" s="115">
        <f>YEAR(MC[[#This Row],[Date]])</f>
        <v>2024</v>
      </c>
      <c r="E184" s="112" t="s">
        <v>326</v>
      </c>
      <c r="F184" s="112" t="s">
        <v>326</v>
      </c>
      <c r="G184" s="116" t="str">
        <f>TEXT(MC[[#This Row],[Date]],"mmm-yy")</f>
        <v>Jul-24</v>
      </c>
      <c r="H184" s="116">
        <f>DAY(EOMONTH(MC[[#This Row],[Month Year]],0))</f>
        <v>31</v>
      </c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5">
        <f>SUM(MC[[#This Row],[IS1Inv1M1]:[IS4Inv10M2]])</f>
        <v>0</v>
      </c>
      <c r="AN184" s="119"/>
      <c r="AO184" s="119"/>
      <c r="AP184" s="119"/>
      <c r="AQ184" s="119"/>
      <c r="AR184" s="119"/>
      <c r="AS184" s="119"/>
      <c r="AT184" s="121"/>
    </row>
    <row r="185" spans="1:46">
      <c r="A185" s="119">
        <v>183</v>
      </c>
      <c r="B185" s="113">
        <f t="shared" si="2"/>
        <v>45505</v>
      </c>
      <c r="C185" s="114">
        <f>YEAR(MC[[#This Row],[Date]])+IF(MONTH(MC[[#This Row],[Date]])&gt;=4,1,0)</f>
        <v>2025</v>
      </c>
      <c r="D185" s="115">
        <f>YEAR(MC[[#This Row],[Date]])</f>
        <v>2024</v>
      </c>
      <c r="E185" s="112" t="s">
        <v>326</v>
      </c>
      <c r="F185" s="112" t="s">
        <v>326</v>
      </c>
      <c r="G185" s="116" t="str">
        <f>TEXT(MC[[#This Row],[Date]],"mmm-yy")</f>
        <v>Aug-24</v>
      </c>
      <c r="H185" s="116">
        <f>DAY(EOMONTH(MC[[#This Row],[Month Year]],0))</f>
        <v>31</v>
      </c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5">
        <f>SUM(MC[[#This Row],[IS1Inv1M1]:[IS4Inv10M2]])</f>
        <v>0</v>
      </c>
      <c r="AN185" s="119"/>
      <c r="AO185" s="119"/>
      <c r="AP185" s="119"/>
      <c r="AQ185" s="119"/>
      <c r="AR185" s="119"/>
      <c r="AS185" s="119"/>
      <c r="AT185" s="121"/>
    </row>
  </sheetData>
  <phoneticPr fontId="9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002C-74CB-40FA-BA22-ECEC04E4463A}">
  <dimension ref="A1:BL502"/>
  <sheetViews>
    <sheetView topLeftCell="A2" zoomScale="97" zoomScaleNormal="97" workbookViewId="0">
      <pane xSplit="2" ySplit="1" topLeftCell="C471" activePane="bottomRight" state="frozen"/>
      <selection pane="topRight" activeCell="C2" sqref="C2"/>
      <selection pane="bottomLeft" activeCell="A3" sqref="A3"/>
      <selection pane="bottomRight" activeCell="BC445" sqref="BC445"/>
    </sheetView>
  </sheetViews>
  <sheetFormatPr defaultColWidth="8.85546875" defaultRowHeight="15"/>
  <cols>
    <col min="1" max="1" width="13.140625" customWidth="1"/>
    <col min="2" max="2" width="11.140625" customWidth="1"/>
    <col min="3" max="6" width="13.140625" customWidth="1"/>
    <col min="7" max="7" width="10.85546875" style="5" customWidth="1"/>
    <col min="8" max="8" width="9.140625" style="5"/>
    <col min="10" max="36" width="13.140625" customWidth="1"/>
    <col min="37" max="38" width="11.85546875" bestFit="1" customWidth="1"/>
    <col min="39" max="56" width="11.85546875" customWidth="1"/>
    <col min="57" max="57" width="13.42578125" customWidth="1"/>
    <col min="58" max="58" width="11.140625" style="5" customWidth="1"/>
    <col min="59" max="64" width="13.140625" customWidth="1"/>
    <col min="65" max="65" width="48.140625" customWidth="1"/>
  </cols>
  <sheetData>
    <row r="1" spans="1:64" hidden="1">
      <c r="BE1" s="5"/>
      <c r="BF1"/>
    </row>
    <row r="2" spans="1:64" s="44" customFormat="1" ht="38.25">
      <c r="A2" s="110" t="s">
        <v>6</v>
      </c>
      <c r="B2" s="111" t="s">
        <v>68</v>
      </c>
      <c r="C2" s="110" t="s">
        <v>113</v>
      </c>
      <c r="D2" s="110" t="s">
        <v>114</v>
      </c>
      <c r="E2" s="110" t="s">
        <v>1144</v>
      </c>
      <c r="F2" s="110" t="s">
        <v>309</v>
      </c>
      <c r="G2" s="110" t="s">
        <v>71</v>
      </c>
      <c r="H2" s="110" t="s">
        <v>47</v>
      </c>
      <c r="I2" s="110" t="s">
        <v>1145</v>
      </c>
      <c r="J2" s="110" t="s">
        <v>1146</v>
      </c>
      <c r="K2" s="141" t="s">
        <v>117</v>
      </c>
      <c r="L2" s="141" t="s">
        <v>118</v>
      </c>
      <c r="M2" s="141" t="s">
        <v>119</v>
      </c>
      <c r="N2" s="141" t="s">
        <v>120</v>
      </c>
      <c r="O2" s="141" t="s">
        <v>121</v>
      </c>
      <c r="P2" s="141" t="s">
        <v>122</v>
      </c>
      <c r="Q2" s="141" t="s">
        <v>123</v>
      </c>
      <c r="R2" s="141" t="s">
        <v>124</v>
      </c>
      <c r="S2" s="141" t="s">
        <v>1147</v>
      </c>
      <c r="T2" s="141" t="s">
        <v>1148</v>
      </c>
      <c r="U2" s="141" t="s">
        <v>1149</v>
      </c>
      <c r="V2" s="141" t="s">
        <v>1150</v>
      </c>
      <c r="W2" s="141" t="s">
        <v>1151</v>
      </c>
      <c r="X2" s="141" t="s">
        <v>1152</v>
      </c>
      <c r="Y2" s="141" t="s">
        <v>1153</v>
      </c>
      <c r="Z2" s="141" t="s">
        <v>1154</v>
      </c>
      <c r="AA2" s="49" t="s">
        <v>1155</v>
      </c>
      <c r="AB2" s="49" t="s">
        <v>1156</v>
      </c>
      <c r="AC2" s="49" t="s">
        <v>1157</v>
      </c>
      <c r="AD2" s="49" t="s">
        <v>1158</v>
      </c>
      <c r="AE2" s="49" t="s">
        <v>1159</v>
      </c>
      <c r="AF2" s="49" t="s">
        <v>1160</v>
      </c>
      <c r="AG2" s="49" t="s">
        <v>1161</v>
      </c>
      <c r="AH2" s="49" t="s">
        <v>1162</v>
      </c>
      <c r="AI2" s="49" t="s">
        <v>1163</v>
      </c>
      <c r="AJ2" s="49" t="s">
        <v>1164</v>
      </c>
      <c r="AK2" s="49" t="s">
        <v>1165</v>
      </c>
      <c r="AL2" s="49" t="s">
        <v>1166</v>
      </c>
      <c r="AM2" s="170" t="s">
        <v>1181</v>
      </c>
      <c r="AN2" s="170" t="s">
        <v>1182</v>
      </c>
      <c r="AO2" s="170" t="s">
        <v>1183</v>
      </c>
      <c r="AP2" s="170" t="s">
        <v>1184</v>
      </c>
      <c r="AQ2" s="170" t="s">
        <v>1185</v>
      </c>
      <c r="AR2" s="170" t="s">
        <v>1186</v>
      </c>
      <c r="AS2" s="170" t="s">
        <v>1187</v>
      </c>
      <c r="AT2" s="170" t="s">
        <v>1188</v>
      </c>
      <c r="AU2" s="170" t="s">
        <v>1189</v>
      </c>
      <c r="AV2" s="170" t="s">
        <v>1190</v>
      </c>
      <c r="AW2" s="170" t="s">
        <v>1191</v>
      </c>
      <c r="AX2" s="170" t="s">
        <v>1192</v>
      </c>
      <c r="AY2" s="170" t="s">
        <v>1193</v>
      </c>
      <c r="AZ2" s="170" t="s">
        <v>1194</v>
      </c>
      <c r="BA2" s="170" t="s">
        <v>1195</v>
      </c>
      <c r="BB2" s="170" t="s">
        <v>1196</v>
      </c>
      <c r="BC2" s="170" t="s">
        <v>1197</v>
      </c>
      <c r="BD2" s="170" t="s">
        <v>1198</v>
      </c>
      <c r="BE2" s="110" t="s">
        <v>1167</v>
      </c>
      <c r="BF2" s="110" t="s">
        <v>1168</v>
      </c>
      <c r="BG2" s="110" t="s">
        <v>1169</v>
      </c>
      <c r="BH2" s="110" t="s">
        <v>1170</v>
      </c>
      <c r="BI2" s="110" t="s">
        <v>1171</v>
      </c>
      <c r="BJ2" s="110" t="s">
        <v>1172</v>
      </c>
      <c r="BK2" s="110" t="s">
        <v>1173</v>
      </c>
      <c r="BL2" s="110" t="s">
        <v>1174</v>
      </c>
    </row>
    <row r="3" spans="1:64">
      <c r="A3" s="112">
        <v>1</v>
      </c>
      <c r="B3" s="113">
        <v>45323</v>
      </c>
      <c r="C3" s="114">
        <f>YEAR(MC_2[[#This Row],[Date]])+IF(MONTH(MC_2[[#This Row],[Date]])&gt;=4,1,0)</f>
        <v>2024</v>
      </c>
      <c r="D3" s="115">
        <f>YEAR(MC_2[[#This Row],[Date]])</f>
        <v>2024</v>
      </c>
      <c r="E3" s="112" t="s">
        <v>326</v>
      </c>
      <c r="F3" s="112" t="s">
        <v>326</v>
      </c>
      <c r="G3" s="116" t="str">
        <f>TEXT(MC_2[[#This Row],[Date]],"mmm-yy")</f>
        <v>Feb-24</v>
      </c>
      <c r="H3" s="116">
        <f>DAY(EOMONTH(MC_2[[#This Row],[Month Year]],0))</f>
        <v>29</v>
      </c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5">
        <f>SUM(MC_2[[#This Row],[IS1Inv1M1]:[IS9Inv19M2]])</f>
        <v>0</v>
      </c>
      <c r="BF3" s="117"/>
      <c r="BG3" s="117"/>
      <c r="BH3" s="117"/>
      <c r="BI3" s="117"/>
      <c r="BJ3" s="112"/>
      <c r="BK3" s="112"/>
      <c r="BL3" s="118"/>
    </row>
    <row r="4" spans="1:64">
      <c r="A4" s="119">
        <v>2</v>
      </c>
      <c r="B4" s="113">
        <f>B3+1</f>
        <v>45324</v>
      </c>
      <c r="C4" s="114">
        <f>YEAR(MC_2[[#This Row],[Date]])+IF(MONTH(MC_2[[#This Row],[Date]])&gt;=4,1,0)</f>
        <v>2024</v>
      </c>
      <c r="D4" s="115">
        <f>YEAR(MC_2[[#This Row],[Date]])</f>
        <v>2024</v>
      </c>
      <c r="E4" s="112" t="s">
        <v>326</v>
      </c>
      <c r="F4" s="112" t="s">
        <v>326</v>
      </c>
      <c r="G4" s="116" t="str">
        <f>TEXT(MC_2[[#This Row],[Date]],"mmm-yy")</f>
        <v>Feb-24</v>
      </c>
      <c r="H4" s="116">
        <f>DAY(EOMONTH(MC_2[[#This Row],[Month Year]],0))</f>
        <v>29</v>
      </c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5">
        <f>SUM(MC_2[[#This Row],[IS1Inv1M1]:[IS9Inv19M2]])</f>
        <v>0</v>
      </c>
      <c r="BF4" s="120"/>
      <c r="BG4" s="120"/>
      <c r="BH4" s="120"/>
      <c r="BI4" s="120"/>
      <c r="BJ4" s="119"/>
      <c r="BK4" s="119"/>
      <c r="BL4" s="118"/>
    </row>
    <row r="5" spans="1:64">
      <c r="A5" s="119">
        <v>3</v>
      </c>
      <c r="B5" s="113">
        <f t="shared" ref="B5:B68" si="0">B4+1</f>
        <v>45325</v>
      </c>
      <c r="C5" s="114">
        <f>YEAR(MC_2[[#This Row],[Date]])+IF(MONTH(MC_2[[#This Row],[Date]])&gt;=4,1,0)</f>
        <v>2024</v>
      </c>
      <c r="D5" s="115">
        <f>YEAR(MC_2[[#This Row],[Date]])</f>
        <v>2024</v>
      </c>
      <c r="E5" s="112" t="s">
        <v>326</v>
      </c>
      <c r="F5" s="112" t="s">
        <v>326</v>
      </c>
      <c r="G5" s="116" t="str">
        <f>TEXT(MC_2[[#This Row],[Date]],"mmm-yy")</f>
        <v>Feb-24</v>
      </c>
      <c r="H5" s="116">
        <f>DAY(EOMONTH(MC_2[[#This Row],[Month Year]],0))</f>
        <v>29</v>
      </c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5">
        <f>SUM(MC_2[[#This Row],[IS1Inv1M1]:[IS9Inv19M2]])</f>
        <v>0</v>
      </c>
      <c r="BF5" s="119"/>
      <c r="BG5" s="119"/>
      <c r="BH5" s="120"/>
      <c r="BI5" s="120"/>
      <c r="BJ5" s="119"/>
      <c r="BK5" s="119"/>
      <c r="BL5" s="119"/>
    </row>
    <row r="6" spans="1:64">
      <c r="A6" s="119">
        <v>4</v>
      </c>
      <c r="B6" s="113">
        <f t="shared" si="0"/>
        <v>45326</v>
      </c>
      <c r="C6" s="114">
        <f>YEAR(MC_2[[#This Row],[Date]])+IF(MONTH(MC_2[[#This Row],[Date]])&gt;=4,1,0)</f>
        <v>2024</v>
      </c>
      <c r="D6" s="115">
        <f>YEAR(MC_2[[#This Row],[Date]])</f>
        <v>2024</v>
      </c>
      <c r="E6" s="112" t="s">
        <v>326</v>
      </c>
      <c r="F6" s="112" t="s">
        <v>326</v>
      </c>
      <c r="G6" s="116" t="str">
        <f>TEXT(MC_2[[#This Row],[Date]],"mmm-yy")</f>
        <v>Feb-24</v>
      </c>
      <c r="H6" s="116">
        <f>DAY(EOMONTH(MC_2[[#This Row],[Month Year]],0))</f>
        <v>29</v>
      </c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5">
        <f>SUM(MC_2[[#This Row],[IS1Inv1M1]:[IS9Inv19M2]])</f>
        <v>0</v>
      </c>
      <c r="BF6" s="120"/>
      <c r="BG6" s="120"/>
      <c r="BH6" s="120"/>
      <c r="BI6" s="120"/>
      <c r="BJ6" s="119"/>
      <c r="BK6" s="119"/>
      <c r="BL6" s="119"/>
    </row>
    <row r="7" spans="1:64">
      <c r="A7" s="119">
        <v>5</v>
      </c>
      <c r="B7" s="113">
        <f t="shared" si="0"/>
        <v>45327</v>
      </c>
      <c r="C7" s="114">
        <f>YEAR(MC_2[[#This Row],[Date]])+IF(MONTH(MC_2[[#This Row],[Date]])&gt;=4,1,0)</f>
        <v>2024</v>
      </c>
      <c r="D7" s="115">
        <f>YEAR(MC_2[[#This Row],[Date]])</f>
        <v>2024</v>
      </c>
      <c r="E7" s="112" t="s">
        <v>326</v>
      </c>
      <c r="F7" s="112" t="s">
        <v>326</v>
      </c>
      <c r="G7" s="116" t="str">
        <f>TEXT(MC_2[[#This Row],[Date]],"mmm-yy")</f>
        <v>Feb-24</v>
      </c>
      <c r="H7" s="116">
        <f>DAY(EOMONTH(MC_2[[#This Row],[Month Year]],0))</f>
        <v>29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5">
        <f>SUM(MC_2[[#This Row],[IS1Inv1M1]:[IS9Inv19M2]])</f>
        <v>0</v>
      </c>
      <c r="BF7" s="120"/>
      <c r="BG7" s="120"/>
      <c r="BH7" s="120"/>
      <c r="BI7" s="120"/>
      <c r="BJ7" s="119"/>
      <c r="BK7" s="119"/>
      <c r="BL7" s="119"/>
    </row>
    <row r="8" spans="1:64">
      <c r="A8" s="119">
        <v>6</v>
      </c>
      <c r="B8" s="113">
        <f t="shared" si="0"/>
        <v>45328</v>
      </c>
      <c r="C8" s="114">
        <f>YEAR(MC_2[[#This Row],[Date]])+IF(MONTH(MC_2[[#This Row],[Date]])&gt;=4,1,0)</f>
        <v>2024</v>
      </c>
      <c r="D8" s="115">
        <f>YEAR(MC_2[[#This Row],[Date]])</f>
        <v>2024</v>
      </c>
      <c r="E8" s="112" t="s">
        <v>326</v>
      </c>
      <c r="F8" s="112" t="s">
        <v>326</v>
      </c>
      <c r="G8" s="116" t="str">
        <f>TEXT(MC_2[[#This Row],[Date]],"mmm-yy")</f>
        <v>Feb-24</v>
      </c>
      <c r="H8" s="116">
        <f>DAY(EOMONTH(MC_2[[#This Row],[Month Year]],0))</f>
        <v>29</v>
      </c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5">
        <f>SUM(MC_2[[#This Row],[IS1Inv1M1]:[IS9Inv19M2]])</f>
        <v>0</v>
      </c>
      <c r="BF8" s="119"/>
      <c r="BG8" s="119"/>
      <c r="BH8" s="119"/>
      <c r="BI8" s="119"/>
      <c r="BJ8" s="119"/>
      <c r="BK8" s="119"/>
      <c r="BL8" s="119"/>
    </row>
    <row r="9" spans="1:64">
      <c r="A9" s="119">
        <v>7</v>
      </c>
      <c r="B9" s="113">
        <f t="shared" si="0"/>
        <v>45329</v>
      </c>
      <c r="C9" s="114">
        <f>YEAR(MC_2[[#This Row],[Date]])+IF(MONTH(MC_2[[#This Row],[Date]])&gt;=4,1,0)</f>
        <v>2024</v>
      </c>
      <c r="D9" s="115">
        <f>YEAR(MC_2[[#This Row],[Date]])</f>
        <v>2024</v>
      </c>
      <c r="E9" s="112" t="s">
        <v>326</v>
      </c>
      <c r="F9" s="112" t="s">
        <v>326</v>
      </c>
      <c r="G9" s="116" t="str">
        <f>TEXT(MC_2[[#This Row],[Date]],"mmm-yy")</f>
        <v>Feb-24</v>
      </c>
      <c r="H9" s="116">
        <f>DAY(EOMONTH(MC_2[[#This Row],[Month Year]],0))</f>
        <v>29</v>
      </c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5">
        <f>SUM(MC_2[[#This Row],[IS1Inv1M1]:[IS9Inv19M2]])</f>
        <v>0</v>
      </c>
      <c r="BF9" s="119"/>
      <c r="BG9" s="119"/>
      <c r="BH9" s="120"/>
      <c r="BI9" s="120"/>
      <c r="BJ9" s="119"/>
      <c r="BK9" s="119"/>
      <c r="BL9" s="119"/>
    </row>
    <row r="10" spans="1:64">
      <c r="A10" s="119">
        <v>8</v>
      </c>
      <c r="B10" s="113">
        <f t="shared" si="0"/>
        <v>45330</v>
      </c>
      <c r="C10" s="114">
        <f>YEAR(MC_2[[#This Row],[Date]])+IF(MONTH(MC_2[[#This Row],[Date]])&gt;=4,1,0)</f>
        <v>2024</v>
      </c>
      <c r="D10" s="115">
        <f>YEAR(MC_2[[#This Row],[Date]])</f>
        <v>2024</v>
      </c>
      <c r="E10" s="112" t="s">
        <v>326</v>
      </c>
      <c r="F10" s="112" t="s">
        <v>326</v>
      </c>
      <c r="G10" s="116" t="str">
        <f>TEXT(MC_2[[#This Row],[Date]],"mmm-yy")</f>
        <v>Feb-24</v>
      </c>
      <c r="H10" s="116">
        <f>DAY(EOMONTH(MC_2[[#This Row],[Month Year]],0))</f>
        <v>29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5">
        <f>SUM(MC_2[[#This Row],[IS1Inv1M1]:[IS9Inv19M2]])</f>
        <v>0</v>
      </c>
      <c r="BF10" s="120"/>
      <c r="BG10" s="120"/>
      <c r="BH10" s="120"/>
      <c r="BI10" s="120"/>
      <c r="BJ10" s="119"/>
      <c r="BK10" s="119"/>
      <c r="BL10" s="119"/>
    </row>
    <row r="11" spans="1:64">
      <c r="A11" s="119">
        <v>9</v>
      </c>
      <c r="B11" s="113">
        <f t="shared" si="0"/>
        <v>45331</v>
      </c>
      <c r="C11" s="114">
        <f>YEAR(MC_2[[#This Row],[Date]])+IF(MONTH(MC_2[[#This Row],[Date]])&gt;=4,1,0)</f>
        <v>2024</v>
      </c>
      <c r="D11" s="115">
        <f>YEAR(MC_2[[#This Row],[Date]])</f>
        <v>2024</v>
      </c>
      <c r="E11" s="112" t="s">
        <v>326</v>
      </c>
      <c r="F11" s="112" t="s">
        <v>326</v>
      </c>
      <c r="G11" s="116" t="str">
        <f>TEXT(MC_2[[#This Row],[Date]],"mmm-yy")</f>
        <v>Feb-24</v>
      </c>
      <c r="H11" s="116">
        <f>DAY(EOMONTH(MC_2[[#This Row],[Month Year]],0))</f>
        <v>29</v>
      </c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5">
        <f>SUM(MC_2[[#This Row],[IS1Inv1M1]:[IS9Inv19M2]])</f>
        <v>0</v>
      </c>
      <c r="BF11" s="120"/>
      <c r="BG11" s="120"/>
      <c r="BH11" s="120"/>
      <c r="BI11" s="120"/>
      <c r="BJ11" s="119"/>
      <c r="BK11" s="119"/>
      <c r="BL11" s="119"/>
    </row>
    <row r="12" spans="1:64">
      <c r="A12" s="119">
        <v>10</v>
      </c>
      <c r="B12" s="113">
        <f t="shared" si="0"/>
        <v>45332</v>
      </c>
      <c r="C12" s="114">
        <f>YEAR(MC_2[[#This Row],[Date]])+IF(MONTH(MC_2[[#This Row],[Date]])&gt;=4,1,0)</f>
        <v>2024</v>
      </c>
      <c r="D12" s="115">
        <f>YEAR(MC_2[[#This Row],[Date]])</f>
        <v>2024</v>
      </c>
      <c r="E12" s="112" t="s">
        <v>326</v>
      </c>
      <c r="F12" s="112" t="s">
        <v>326</v>
      </c>
      <c r="G12" s="116" t="str">
        <f>TEXT(MC_2[[#This Row],[Date]],"mmm-yy")</f>
        <v>Feb-24</v>
      </c>
      <c r="H12" s="116">
        <f>DAY(EOMONTH(MC_2[[#This Row],[Month Year]],0))</f>
        <v>29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5">
        <f>SUM(MC_2[[#This Row],[IS1Inv1M1]:[IS9Inv19M2]])</f>
        <v>0</v>
      </c>
      <c r="BF12" s="119"/>
      <c r="BG12" s="119"/>
      <c r="BH12" s="120"/>
      <c r="BI12" s="120"/>
      <c r="BJ12" s="119"/>
      <c r="BK12" s="119"/>
      <c r="BL12" s="119"/>
    </row>
    <row r="13" spans="1:64">
      <c r="A13" s="119">
        <v>11</v>
      </c>
      <c r="B13" s="113">
        <f t="shared" si="0"/>
        <v>45333</v>
      </c>
      <c r="C13" s="114">
        <f>YEAR(MC_2[[#This Row],[Date]])+IF(MONTH(MC_2[[#This Row],[Date]])&gt;=4,1,0)</f>
        <v>2024</v>
      </c>
      <c r="D13" s="115">
        <f>YEAR(MC_2[[#This Row],[Date]])</f>
        <v>2024</v>
      </c>
      <c r="E13" s="112" t="s">
        <v>326</v>
      </c>
      <c r="F13" s="112" t="s">
        <v>326</v>
      </c>
      <c r="G13" s="116" t="str">
        <f>TEXT(MC_2[[#This Row],[Date]],"mmm-yy")</f>
        <v>Feb-24</v>
      </c>
      <c r="H13" s="116">
        <f>DAY(EOMONTH(MC_2[[#This Row],[Month Year]],0))</f>
        <v>29</v>
      </c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5">
        <f>SUM(MC_2[[#This Row],[IS1Inv1M1]:[IS9Inv19M2]])</f>
        <v>0</v>
      </c>
      <c r="BF13" s="120"/>
      <c r="BG13" s="120"/>
      <c r="BH13" s="120"/>
      <c r="BI13" s="120"/>
      <c r="BJ13" s="119"/>
      <c r="BK13" s="119"/>
      <c r="BL13" s="119"/>
    </row>
    <row r="14" spans="1:64">
      <c r="A14" s="119">
        <v>12</v>
      </c>
      <c r="B14" s="113">
        <f t="shared" si="0"/>
        <v>45334</v>
      </c>
      <c r="C14" s="114">
        <f>YEAR(MC_2[[#This Row],[Date]])+IF(MONTH(MC_2[[#This Row],[Date]])&gt;=4,1,0)</f>
        <v>2024</v>
      </c>
      <c r="D14" s="115">
        <f>YEAR(MC_2[[#This Row],[Date]])</f>
        <v>2024</v>
      </c>
      <c r="E14" s="112" t="s">
        <v>326</v>
      </c>
      <c r="F14" s="112" t="s">
        <v>326</v>
      </c>
      <c r="G14" s="116" t="str">
        <f>TEXT(MC_2[[#This Row],[Date]],"mmm-yy")</f>
        <v>Feb-24</v>
      </c>
      <c r="H14" s="116">
        <f>DAY(EOMONTH(MC_2[[#This Row],[Month Year]],0))</f>
        <v>29</v>
      </c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5">
        <f>SUM(MC_2[[#This Row],[IS1Inv1M1]:[IS9Inv19M2]])</f>
        <v>0</v>
      </c>
      <c r="BF14" s="120"/>
      <c r="BG14" s="120"/>
      <c r="BH14" s="120"/>
      <c r="BI14" s="120"/>
      <c r="BJ14" s="119"/>
      <c r="BK14" s="119"/>
      <c r="BL14" s="119"/>
    </row>
    <row r="15" spans="1:64">
      <c r="A15" s="119">
        <v>13</v>
      </c>
      <c r="B15" s="113">
        <f t="shared" si="0"/>
        <v>45335</v>
      </c>
      <c r="C15" s="114">
        <f>YEAR(MC_2[[#This Row],[Date]])+IF(MONTH(MC_2[[#This Row],[Date]])&gt;=4,1,0)</f>
        <v>2024</v>
      </c>
      <c r="D15" s="115">
        <f>YEAR(MC_2[[#This Row],[Date]])</f>
        <v>2024</v>
      </c>
      <c r="E15" s="112" t="s">
        <v>326</v>
      </c>
      <c r="F15" s="112" t="s">
        <v>326</v>
      </c>
      <c r="G15" s="116" t="str">
        <f>TEXT(MC_2[[#This Row],[Date]],"mmm-yy")</f>
        <v>Feb-24</v>
      </c>
      <c r="H15" s="116">
        <f>DAY(EOMONTH(MC_2[[#This Row],[Month Year]],0))</f>
        <v>29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5">
        <f>SUM(MC_2[[#This Row],[IS1Inv1M1]:[IS9Inv19M2]])</f>
        <v>0</v>
      </c>
      <c r="BF15" s="120"/>
      <c r="BG15" s="120"/>
      <c r="BH15" s="120"/>
      <c r="BI15" s="120"/>
      <c r="BJ15" s="119"/>
      <c r="BK15" s="119"/>
      <c r="BL15" s="119"/>
    </row>
    <row r="16" spans="1:64">
      <c r="A16" s="119">
        <v>14</v>
      </c>
      <c r="B16" s="113">
        <f t="shared" si="0"/>
        <v>45336</v>
      </c>
      <c r="C16" s="114">
        <f>YEAR(MC_2[[#This Row],[Date]])+IF(MONTH(MC_2[[#This Row],[Date]])&gt;=4,1,0)</f>
        <v>2024</v>
      </c>
      <c r="D16" s="115">
        <f>YEAR(MC_2[[#This Row],[Date]])</f>
        <v>2024</v>
      </c>
      <c r="E16" s="112" t="s">
        <v>326</v>
      </c>
      <c r="F16" s="112" t="s">
        <v>326</v>
      </c>
      <c r="G16" s="116" t="str">
        <f>TEXT(MC_2[[#This Row],[Date]],"mmm-yy")</f>
        <v>Feb-24</v>
      </c>
      <c r="H16" s="116">
        <f>DAY(EOMONTH(MC_2[[#This Row],[Month Year]],0))</f>
        <v>29</v>
      </c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5">
        <f>SUM(MC_2[[#This Row],[IS1Inv1M1]:[IS9Inv19M2]])</f>
        <v>0</v>
      </c>
      <c r="BF16" s="120"/>
      <c r="BG16" s="120"/>
      <c r="BH16" s="120"/>
      <c r="BI16" s="120"/>
      <c r="BJ16" s="119"/>
      <c r="BK16" s="119"/>
      <c r="BL16" s="119"/>
    </row>
    <row r="17" spans="1:64">
      <c r="A17" s="119">
        <v>15</v>
      </c>
      <c r="B17" s="113">
        <f t="shared" si="0"/>
        <v>45337</v>
      </c>
      <c r="C17" s="114">
        <f>YEAR(MC_2[[#This Row],[Date]])+IF(MONTH(MC_2[[#This Row],[Date]])&gt;=4,1,0)</f>
        <v>2024</v>
      </c>
      <c r="D17" s="115">
        <f>YEAR(MC_2[[#This Row],[Date]])</f>
        <v>2024</v>
      </c>
      <c r="E17" s="112" t="s">
        <v>326</v>
      </c>
      <c r="F17" s="112" t="s">
        <v>326</v>
      </c>
      <c r="G17" s="116" t="str">
        <f>TEXT(MC_2[[#This Row],[Date]],"mmm-yy")</f>
        <v>Feb-24</v>
      </c>
      <c r="H17" s="116">
        <f>DAY(EOMONTH(MC_2[[#This Row],[Month Year]],0))</f>
        <v>29</v>
      </c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5">
        <f>SUM(MC_2[[#This Row],[IS1Inv1M1]:[IS9Inv19M2]])</f>
        <v>0</v>
      </c>
      <c r="BF17" s="120"/>
      <c r="BG17" s="120"/>
      <c r="BH17" s="120"/>
      <c r="BI17" s="120"/>
      <c r="BJ17" s="119"/>
      <c r="BK17" s="119"/>
      <c r="BL17" s="119"/>
    </row>
    <row r="18" spans="1:64">
      <c r="A18" s="119">
        <v>16</v>
      </c>
      <c r="B18" s="113">
        <f t="shared" si="0"/>
        <v>45338</v>
      </c>
      <c r="C18" s="114">
        <f>YEAR(MC_2[[#This Row],[Date]])+IF(MONTH(MC_2[[#This Row],[Date]])&gt;=4,1,0)</f>
        <v>2024</v>
      </c>
      <c r="D18" s="115">
        <f>YEAR(MC_2[[#This Row],[Date]])</f>
        <v>2024</v>
      </c>
      <c r="E18" s="112" t="s">
        <v>326</v>
      </c>
      <c r="F18" s="112" t="s">
        <v>326</v>
      </c>
      <c r="G18" s="116" t="str">
        <f>TEXT(MC_2[[#This Row],[Date]],"mmm-yy")</f>
        <v>Feb-24</v>
      </c>
      <c r="H18" s="116">
        <f>DAY(EOMONTH(MC_2[[#This Row],[Month Year]],0))</f>
        <v>29</v>
      </c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5">
        <f>SUM(MC_2[[#This Row],[IS1Inv1M1]:[IS9Inv19M2]])</f>
        <v>0</v>
      </c>
      <c r="BF18" s="120"/>
      <c r="BG18" s="120"/>
      <c r="BH18" s="120"/>
      <c r="BI18" s="120"/>
      <c r="BJ18" s="119"/>
      <c r="BK18" s="119"/>
      <c r="BL18" s="119"/>
    </row>
    <row r="19" spans="1:64">
      <c r="A19" s="119">
        <v>17</v>
      </c>
      <c r="B19" s="113">
        <f t="shared" si="0"/>
        <v>45339</v>
      </c>
      <c r="C19" s="114">
        <f>YEAR(MC_2[[#This Row],[Date]])+IF(MONTH(MC_2[[#This Row],[Date]])&gt;=4,1,0)</f>
        <v>2024</v>
      </c>
      <c r="D19" s="115">
        <f>YEAR(MC_2[[#This Row],[Date]])</f>
        <v>2024</v>
      </c>
      <c r="E19" s="112" t="s">
        <v>326</v>
      </c>
      <c r="F19" s="112" t="s">
        <v>326</v>
      </c>
      <c r="G19" s="116" t="str">
        <f>TEXT(MC_2[[#This Row],[Date]],"mmm-yy")</f>
        <v>Feb-24</v>
      </c>
      <c r="H19" s="116">
        <f>DAY(EOMONTH(MC_2[[#This Row],[Month Year]],0))</f>
        <v>29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5">
        <f>SUM(MC_2[[#This Row],[IS1Inv1M1]:[IS9Inv19M2]])</f>
        <v>0</v>
      </c>
      <c r="BF19" s="120"/>
      <c r="BG19" s="120"/>
      <c r="BH19" s="120"/>
      <c r="BI19" s="120"/>
      <c r="BJ19" s="119"/>
      <c r="BK19" s="119"/>
      <c r="BL19" s="119"/>
    </row>
    <row r="20" spans="1:64">
      <c r="A20" s="119">
        <v>18</v>
      </c>
      <c r="B20" s="113">
        <f t="shared" si="0"/>
        <v>45340</v>
      </c>
      <c r="C20" s="114">
        <f>YEAR(MC_2[[#This Row],[Date]])+IF(MONTH(MC_2[[#This Row],[Date]])&gt;=4,1,0)</f>
        <v>2024</v>
      </c>
      <c r="D20" s="115">
        <f>YEAR(MC_2[[#This Row],[Date]])</f>
        <v>2024</v>
      </c>
      <c r="E20" s="112" t="s">
        <v>326</v>
      </c>
      <c r="F20" s="112" t="s">
        <v>326</v>
      </c>
      <c r="G20" s="116" t="str">
        <f>TEXT(MC_2[[#This Row],[Date]],"mmm-yy")</f>
        <v>Feb-24</v>
      </c>
      <c r="H20" s="116">
        <f>DAY(EOMONTH(MC_2[[#This Row],[Month Year]],0))</f>
        <v>29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5">
        <f>SUM(MC_2[[#This Row],[IS1Inv1M1]:[IS9Inv19M2]])</f>
        <v>0</v>
      </c>
      <c r="BF20" s="120"/>
      <c r="BG20" s="120"/>
      <c r="BH20" s="120"/>
      <c r="BI20" s="120"/>
      <c r="BJ20" s="119"/>
      <c r="BK20" s="119"/>
      <c r="BL20" s="119"/>
    </row>
    <row r="21" spans="1:64">
      <c r="A21" s="119">
        <v>19</v>
      </c>
      <c r="B21" s="113">
        <f t="shared" si="0"/>
        <v>45341</v>
      </c>
      <c r="C21" s="114">
        <f>YEAR(MC_2[[#This Row],[Date]])+IF(MONTH(MC_2[[#This Row],[Date]])&gt;=4,1,0)</f>
        <v>2024</v>
      </c>
      <c r="D21" s="115">
        <f>YEAR(MC_2[[#This Row],[Date]])</f>
        <v>2024</v>
      </c>
      <c r="E21" s="112" t="s">
        <v>326</v>
      </c>
      <c r="F21" s="112" t="s">
        <v>326</v>
      </c>
      <c r="G21" s="116" t="str">
        <f>TEXT(MC_2[[#This Row],[Date]],"mmm-yy")</f>
        <v>Feb-24</v>
      </c>
      <c r="H21" s="116">
        <f>DAY(EOMONTH(MC_2[[#This Row],[Month Year]],0))</f>
        <v>29</v>
      </c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5">
        <f>SUM(MC_2[[#This Row],[IS1Inv1M1]:[IS9Inv19M2]])</f>
        <v>0</v>
      </c>
      <c r="BF21" s="120"/>
      <c r="BG21" s="120"/>
      <c r="BH21" s="119"/>
      <c r="BI21" s="119"/>
      <c r="BJ21" s="119"/>
      <c r="BK21" s="119"/>
      <c r="BL21" s="119"/>
    </row>
    <row r="22" spans="1:64">
      <c r="A22" s="119">
        <v>20</v>
      </c>
      <c r="B22" s="113">
        <f t="shared" si="0"/>
        <v>45342</v>
      </c>
      <c r="C22" s="114">
        <f>YEAR(MC_2[[#This Row],[Date]])+IF(MONTH(MC_2[[#This Row],[Date]])&gt;=4,1,0)</f>
        <v>2024</v>
      </c>
      <c r="D22" s="115">
        <f>YEAR(MC_2[[#This Row],[Date]])</f>
        <v>2024</v>
      </c>
      <c r="E22" s="112" t="s">
        <v>326</v>
      </c>
      <c r="F22" s="112" t="s">
        <v>326</v>
      </c>
      <c r="G22" s="116" t="str">
        <f>TEXT(MC_2[[#This Row],[Date]],"mmm-yy")</f>
        <v>Feb-24</v>
      </c>
      <c r="H22" s="116">
        <f>DAY(EOMONTH(MC_2[[#This Row],[Month Year]],0))</f>
        <v>29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5">
        <f>SUM(MC_2[[#This Row],[IS1Inv1M1]:[IS9Inv19M2]])</f>
        <v>0</v>
      </c>
      <c r="BF22" s="119"/>
      <c r="BG22" s="119"/>
      <c r="BH22" s="119"/>
      <c r="BI22" s="119"/>
      <c r="BJ22" s="119"/>
      <c r="BK22" s="119"/>
      <c r="BL22" s="119"/>
    </row>
    <row r="23" spans="1:64">
      <c r="A23" s="119">
        <v>21</v>
      </c>
      <c r="B23" s="113">
        <f t="shared" si="0"/>
        <v>45343</v>
      </c>
      <c r="C23" s="114">
        <f>YEAR(MC_2[[#This Row],[Date]])+IF(MONTH(MC_2[[#This Row],[Date]])&gt;=4,1,0)</f>
        <v>2024</v>
      </c>
      <c r="D23" s="115">
        <f>YEAR(MC_2[[#This Row],[Date]])</f>
        <v>2024</v>
      </c>
      <c r="E23" s="112" t="s">
        <v>326</v>
      </c>
      <c r="F23" s="112" t="s">
        <v>326</v>
      </c>
      <c r="G23" s="116" t="str">
        <f>TEXT(MC_2[[#This Row],[Date]],"mmm-yy")</f>
        <v>Feb-24</v>
      </c>
      <c r="H23" s="116">
        <f>DAY(EOMONTH(MC_2[[#This Row],[Month Year]],0))</f>
        <v>29</v>
      </c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5">
        <f>SUM(MC_2[[#This Row],[IS1Inv1M1]:[IS9Inv19M2]])</f>
        <v>0</v>
      </c>
      <c r="BF23" s="120"/>
      <c r="BG23" s="120"/>
      <c r="BH23" s="120"/>
      <c r="BI23" s="120"/>
      <c r="BJ23" s="119"/>
      <c r="BK23" s="119"/>
      <c r="BL23" s="119"/>
    </row>
    <row r="24" spans="1:64">
      <c r="A24" s="119">
        <v>22</v>
      </c>
      <c r="B24" s="113">
        <f t="shared" si="0"/>
        <v>45344</v>
      </c>
      <c r="C24" s="114">
        <f>YEAR(MC_2[[#This Row],[Date]])+IF(MONTH(MC_2[[#This Row],[Date]])&gt;=4,1,0)</f>
        <v>2024</v>
      </c>
      <c r="D24" s="115">
        <f>YEAR(MC_2[[#This Row],[Date]])</f>
        <v>2024</v>
      </c>
      <c r="E24" s="112" t="s">
        <v>326</v>
      </c>
      <c r="F24" s="112" t="s">
        <v>326</v>
      </c>
      <c r="G24" s="116" t="str">
        <f>TEXT(MC_2[[#This Row],[Date]],"mmm-yy")</f>
        <v>Feb-24</v>
      </c>
      <c r="H24" s="116">
        <f>DAY(EOMONTH(MC_2[[#This Row],[Month Year]],0))</f>
        <v>29</v>
      </c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5">
        <f>SUM(MC_2[[#This Row],[IS1Inv1M1]:[IS9Inv19M2]])</f>
        <v>0</v>
      </c>
      <c r="BF24" s="119"/>
      <c r="BG24" s="119"/>
      <c r="BH24" s="119"/>
      <c r="BI24" s="119"/>
      <c r="BJ24" s="119"/>
      <c r="BK24" s="119"/>
      <c r="BL24" s="119"/>
    </row>
    <row r="25" spans="1:64">
      <c r="A25" s="119">
        <v>23</v>
      </c>
      <c r="B25" s="113">
        <f t="shared" si="0"/>
        <v>45345</v>
      </c>
      <c r="C25" s="114">
        <f>YEAR(MC_2[[#This Row],[Date]])+IF(MONTH(MC_2[[#This Row],[Date]])&gt;=4,1,0)</f>
        <v>2024</v>
      </c>
      <c r="D25" s="115">
        <f>YEAR(MC_2[[#This Row],[Date]])</f>
        <v>2024</v>
      </c>
      <c r="E25" s="112" t="s">
        <v>326</v>
      </c>
      <c r="F25" s="112" t="s">
        <v>326</v>
      </c>
      <c r="G25" s="116" t="str">
        <f>TEXT(MC_2[[#This Row],[Date]],"mmm-yy")</f>
        <v>Feb-24</v>
      </c>
      <c r="H25" s="116">
        <f>DAY(EOMONTH(MC_2[[#This Row],[Month Year]],0))</f>
        <v>29</v>
      </c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5">
        <f>SUM(MC_2[[#This Row],[IS1Inv1M1]:[IS9Inv19M2]])</f>
        <v>0</v>
      </c>
      <c r="BF25" s="120"/>
      <c r="BG25" s="120"/>
      <c r="BH25" s="120"/>
      <c r="BI25" s="120"/>
      <c r="BJ25" s="119"/>
      <c r="BK25" s="119"/>
      <c r="BL25" s="119"/>
    </row>
    <row r="26" spans="1:64">
      <c r="A26" s="119">
        <v>24</v>
      </c>
      <c r="B26" s="113">
        <f t="shared" si="0"/>
        <v>45346</v>
      </c>
      <c r="C26" s="114">
        <f>YEAR(MC_2[[#This Row],[Date]])+IF(MONTH(MC_2[[#This Row],[Date]])&gt;=4,1,0)</f>
        <v>2024</v>
      </c>
      <c r="D26" s="115">
        <f>YEAR(MC_2[[#This Row],[Date]])</f>
        <v>2024</v>
      </c>
      <c r="E26" s="112" t="s">
        <v>326</v>
      </c>
      <c r="F26" s="112" t="s">
        <v>326</v>
      </c>
      <c r="G26" s="116" t="str">
        <f>TEXT(MC_2[[#This Row],[Date]],"mmm-yy")</f>
        <v>Feb-24</v>
      </c>
      <c r="H26" s="116">
        <f>DAY(EOMONTH(MC_2[[#This Row],[Month Year]],0))</f>
        <v>29</v>
      </c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5">
        <f>SUM(MC_2[[#This Row],[IS1Inv1M1]:[IS9Inv19M2]])</f>
        <v>0</v>
      </c>
      <c r="BF26" s="120"/>
      <c r="BG26" s="120"/>
      <c r="BH26" s="120"/>
      <c r="BI26" s="120"/>
      <c r="BJ26" s="119"/>
      <c r="BK26" s="119"/>
      <c r="BL26" s="119"/>
    </row>
    <row r="27" spans="1:64">
      <c r="A27" s="119">
        <v>25</v>
      </c>
      <c r="B27" s="113">
        <f t="shared" si="0"/>
        <v>45347</v>
      </c>
      <c r="C27" s="114">
        <f>YEAR(MC_2[[#This Row],[Date]])+IF(MONTH(MC_2[[#This Row],[Date]])&gt;=4,1,0)</f>
        <v>2024</v>
      </c>
      <c r="D27" s="115">
        <f>YEAR(MC_2[[#This Row],[Date]])</f>
        <v>2024</v>
      </c>
      <c r="E27" s="112" t="s">
        <v>326</v>
      </c>
      <c r="F27" s="112" t="s">
        <v>326</v>
      </c>
      <c r="G27" s="116" t="str">
        <f>TEXT(MC_2[[#This Row],[Date]],"mmm-yy")</f>
        <v>Feb-24</v>
      </c>
      <c r="H27" s="116">
        <f>DAY(EOMONTH(MC_2[[#This Row],[Month Year]],0))</f>
        <v>29</v>
      </c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5">
        <f>SUM(MC_2[[#This Row],[IS1Inv1M1]:[IS9Inv19M2]])</f>
        <v>0</v>
      </c>
      <c r="BF27" s="120"/>
      <c r="BG27" s="120"/>
      <c r="BH27" s="120"/>
      <c r="BI27" s="120"/>
      <c r="BJ27" s="119"/>
      <c r="BK27" s="119"/>
      <c r="BL27" s="119"/>
    </row>
    <row r="28" spans="1:64">
      <c r="A28" s="119">
        <v>26</v>
      </c>
      <c r="B28" s="113">
        <f t="shared" si="0"/>
        <v>45348</v>
      </c>
      <c r="C28" s="114">
        <f>YEAR(MC_2[[#This Row],[Date]])+IF(MONTH(MC_2[[#This Row],[Date]])&gt;=4,1,0)</f>
        <v>2024</v>
      </c>
      <c r="D28" s="115">
        <f>YEAR(MC_2[[#This Row],[Date]])</f>
        <v>2024</v>
      </c>
      <c r="E28" s="112" t="s">
        <v>326</v>
      </c>
      <c r="F28" s="112" t="s">
        <v>326</v>
      </c>
      <c r="G28" s="116" t="str">
        <f>TEXT(MC_2[[#This Row],[Date]],"mmm-yy")</f>
        <v>Feb-24</v>
      </c>
      <c r="H28" s="116">
        <f>DAY(EOMONTH(MC_2[[#This Row],[Month Year]],0))</f>
        <v>29</v>
      </c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5">
        <f>SUM(MC_2[[#This Row],[IS1Inv1M1]:[IS9Inv19M2]])</f>
        <v>0</v>
      </c>
      <c r="BF28" s="120"/>
      <c r="BG28" s="120"/>
      <c r="BH28" s="120"/>
      <c r="BI28" s="120"/>
      <c r="BJ28" s="119"/>
      <c r="BK28" s="119"/>
      <c r="BL28" s="119"/>
    </row>
    <row r="29" spans="1:64">
      <c r="A29" s="119">
        <v>27</v>
      </c>
      <c r="B29" s="113">
        <f t="shared" si="0"/>
        <v>45349</v>
      </c>
      <c r="C29" s="114">
        <f>YEAR(MC_2[[#This Row],[Date]])+IF(MONTH(MC_2[[#This Row],[Date]])&gt;=4,1,0)</f>
        <v>2024</v>
      </c>
      <c r="D29" s="115">
        <f>YEAR(MC_2[[#This Row],[Date]])</f>
        <v>2024</v>
      </c>
      <c r="E29" s="112" t="s">
        <v>326</v>
      </c>
      <c r="F29" s="112" t="s">
        <v>326</v>
      </c>
      <c r="G29" s="116" t="str">
        <f>TEXT(MC_2[[#This Row],[Date]],"mmm-yy")</f>
        <v>Feb-24</v>
      </c>
      <c r="H29" s="116">
        <f>DAY(EOMONTH(MC_2[[#This Row],[Month Year]],0))</f>
        <v>29</v>
      </c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5">
        <f>SUM(MC_2[[#This Row],[IS1Inv1M1]:[IS9Inv19M2]])</f>
        <v>0</v>
      </c>
      <c r="BF29" s="120"/>
      <c r="BG29" s="120"/>
      <c r="BH29" s="120"/>
      <c r="BI29" s="120"/>
      <c r="BJ29" s="119"/>
      <c r="BK29" s="119"/>
      <c r="BL29" s="119"/>
    </row>
    <row r="30" spans="1:64">
      <c r="A30" s="119">
        <v>28</v>
      </c>
      <c r="B30" s="113">
        <f t="shared" si="0"/>
        <v>45350</v>
      </c>
      <c r="C30" s="114">
        <f>YEAR(MC_2[[#This Row],[Date]])+IF(MONTH(MC_2[[#This Row],[Date]])&gt;=4,1,0)</f>
        <v>2024</v>
      </c>
      <c r="D30" s="115">
        <f>YEAR(MC_2[[#This Row],[Date]])</f>
        <v>2024</v>
      </c>
      <c r="E30" s="112" t="s">
        <v>326</v>
      </c>
      <c r="F30" s="112" t="s">
        <v>326</v>
      </c>
      <c r="G30" s="116" t="str">
        <f>TEXT(MC_2[[#This Row],[Date]],"mmm-yy")</f>
        <v>Feb-24</v>
      </c>
      <c r="H30" s="116">
        <f>DAY(EOMONTH(MC_2[[#This Row],[Month Year]],0))</f>
        <v>29</v>
      </c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5">
        <f>SUM(MC_2[[#This Row],[IS1Inv1M1]:[IS9Inv19M2]])</f>
        <v>0</v>
      </c>
      <c r="BF30" s="120"/>
      <c r="BG30" s="120"/>
      <c r="BH30" s="120"/>
      <c r="BI30" s="120"/>
      <c r="BJ30" s="119"/>
      <c r="BK30" s="119"/>
      <c r="BL30" s="119"/>
    </row>
    <row r="31" spans="1:64">
      <c r="A31" s="119">
        <v>29</v>
      </c>
      <c r="B31" s="113">
        <f t="shared" si="0"/>
        <v>45351</v>
      </c>
      <c r="C31" s="114">
        <f>YEAR(MC_2[[#This Row],[Date]])+IF(MONTH(MC_2[[#This Row],[Date]])&gt;=4,1,0)</f>
        <v>2024</v>
      </c>
      <c r="D31" s="115">
        <f>YEAR(MC_2[[#This Row],[Date]])</f>
        <v>2024</v>
      </c>
      <c r="E31" s="112" t="s">
        <v>326</v>
      </c>
      <c r="F31" s="112" t="s">
        <v>326</v>
      </c>
      <c r="G31" s="116" t="str">
        <f>TEXT(MC_2[[#This Row],[Date]],"mmm-yy")</f>
        <v>Feb-24</v>
      </c>
      <c r="H31" s="116">
        <f>DAY(EOMONTH(MC_2[[#This Row],[Month Year]],0))</f>
        <v>29</v>
      </c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5">
        <f>SUM(MC_2[[#This Row],[IS1Inv1M1]:[IS9Inv19M2]])</f>
        <v>0</v>
      </c>
      <c r="BF31" s="120"/>
      <c r="BG31" s="120"/>
      <c r="BH31" s="119"/>
      <c r="BI31" s="119"/>
      <c r="BJ31" s="119"/>
      <c r="BK31" s="119"/>
      <c r="BL31" s="119"/>
    </row>
    <row r="32" spans="1:64">
      <c r="A32" s="119">
        <v>30</v>
      </c>
      <c r="B32" s="113">
        <f t="shared" si="0"/>
        <v>45352</v>
      </c>
      <c r="C32" s="114">
        <f>YEAR(MC_2[[#This Row],[Date]])+IF(MONTH(MC_2[[#This Row],[Date]])&gt;=4,1,0)</f>
        <v>2024</v>
      </c>
      <c r="D32" s="115">
        <f>YEAR(MC_2[[#This Row],[Date]])</f>
        <v>2024</v>
      </c>
      <c r="E32" s="112" t="s">
        <v>326</v>
      </c>
      <c r="F32" s="112" t="s">
        <v>326</v>
      </c>
      <c r="G32" s="116" t="str">
        <f>TEXT(MC_2[[#This Row],[Date]],"mmm-yy")</f>
        <v>Mar-24</v>
      </c>
      <c r="H32" s="116">
        <f>DAY(EOMONTH(MC_2[[#This Row],[Month Year]],0))</f>
        <v>31</v>
      </c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5">
        <f>SUM(MC_2[[#This Row],[IS1Inv1M1]:[IS9Inv19M2]])</f>
        <v>0</v>
      </c>
      <c r="BF32" s="119"/>
      <c r="BG32" s="119"/>
      <c r="BH32" s="119"/>
      <c r="BI32" s="119"/>
      <c r="BJ32" s="119"/>
      <c r="BK32" s="119"/>
      <c r="BL32" s="119"/>
    </row>
    <row r="33" spans="1:64">
      <c r="A33" s="119">
        <v>31</v>
      </c>
      <c r="B33" s="113">
        <f t="shared" si="0"/>
        <v>45353</v>
      </c>
      <c r="C33" s="114">
        <f>YEAR(MC_2[[#This Row],[Date]])+IF(MONTH(MC_2[[#This Row],[Date]])&gt;=4,1,0)</f>
        <v>2024</v>
      </c>
      <c r="D33" s="115">
        <f>YEAR(MC_2[[#This Row],[Date]])</f>
        <v>2024</v>
      </c>
      <c r="E33" s="112" t="s">
        <v>326</v>
      </c>
      <c r="F33" s="112" t="s">
        <v>326</v>
      </c>
      <c r="G33" s="116" t="str">
        <f>TEXT(MC_2[[#This Row],[Date]],"mmm-yy")</f>
        <v>Mar-24</v>
      </c>
      <c r="H33" s="116">
        <f>DAY(EOMONTH(MC_2[[#This Row],[Month Year]],0))</f>
        <v>31</v>
      </c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5">
        <f>SUM(MC_2[[#This Row],[IS1Inv1M1]:[IS9Inv19M2]])</f>
        <v>0</v>
      </c>
      <c r="BF33" s="119"/>
      <c r="BG33" s="119"/>
      <c r="BH33" s="119"/>
      <c r="BI33" s="119"/>
      <c r="BJ33" s="119"/>
      <c r="BK33" s="119"/>
      <c r="BL33" s="119"/>
    </row>
    <row r="34" spans="1:64">
      <c r="A34" s="119">
        <v>32</v>
      </c>
      <c r="B34" s="113">
        <f t="shared" si="0"/>
        <v>45354</v>
      </c>
      <c r="C34" s="114">
        <f>YEAR(MC_2[[#This Row],[Date]])+IF(MONTH(MC_2[[#This Row],[Date]])&gt;=4,1,0)</f>
        <v>2024</v>
      </c>
      <c r="D34" s="115">
        <f>YEAR(MC_2[[#This Row],[Date]])</f>
        <v>2024</v>
      </c>
      <c r="E34" s="112" t="s">
        <v>326</v>
      </c>
      <c r="F34" s="112" t="s">
        <v>326</v>
      </c>
      <c r="G34" s="116" t="str">
        <f>TEXT(MC_2[[#This Row],[Date]],"mmm-yy")</f>
        <v>Mar-24</v>
      </c>
      <c r="H34" s="116">
        <f>DAY(EOMONTH(MC_2[[#This Row],[Month Year]],0))</f>
        <v>31</v>
      </c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5">
        <f>SUM(MC_2[[#This Row],[IS1Inv1M1]:[IS9Inv19M2]])</f>
        <v>0</v>
      </c>
      <c r="BF34" s="119"/>
      <c r="BG34" s="119"/>
      <c r="BH34" s="119"/>
      <c r="BI34" s="119"/>
      <c r="BJ34" s="119"/>
      <c r="BK34" s="119"/>
      <c r="BL34" s="119"/>
    </row>
    <row r="35" spans="1:64">
      <c r="A35" s="119">
        <v>33</v>
      </c>
      <c r="B35" s="113">
        <f t="shared" si="0"/>
        <v>45355</v>
      </c>
      <c r="C35" s="114">
        <f>YEAR(MC_2[[#This Row],[Date]])+IF(MONTH(MC_2[[#This Row],[Date]])&gt;=4,1,0)</f>
        <v>2024</v>
      </c>
      <c r="D35" s="115">
        <f>YEAR(MC_2[[#This Row],[Date]])</f>
        <v>2024</v>
      </c>
      <c r="E35" s="112" t="s">
        <v>326</v>
      </c>
      <c r="F35" s="112" t="s">
        <v>326</v>
      </c>
      <c r="G35" s="116" t="str">
        <f>TEXT(MC_2[[#This Row],[Date]],"mmm-yy")</f>
        <v>Mar-24</v>
      </c>
      <c r="H35" s="116">
        <f>DAY(EOMONTH(MC_2[[#This Row],[Month Year]],0))</f>
        <v>31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5">
        <f>SUM(MC_2[[#This Row],[IS1Inv1M1]:[IS9Inv19M2]])</f>
        <v>0</v>
      </c>
      <c r="BF35" s="119"/>
      <c r="BG35" s="119"/>
      <c r="BH35" s="119"/>
      <c r="BI35" s="119"/>
      <c r="BJ35" s="119"/>
      <c r="BK35" s="119"/>
      <c r="BL35" s="119"/>
    </row>
    <row r="36" spans="1:64">
      <c r="A36" s="119">
        <v>34</v>
      </c>
      <c r="B36" s="113">
        <f t="shared" si="0"/>
        <v>45356</v>
      </c>
      <c r="C36" s="114">
        <f>YEAR(MC_2[[#This Row],[Date]])+IF(MONTH(MC_2[[#This Row],[Date]])&gt;=4,1,0)</f>
        <v>2024</v>
      </c>
      <c r="D36" s="115">
        <f>YEAR(MC_2[[#This Row],[Date]])</f>
        <v>2024</v>
      </c>
      <c r="E36" s="112" t="s">
        <v>326</v>
      </c>
      <c r="F36" s="112" t="s">
        <v>326</v>
      </c>
      <c r="G36" s="116" t="str">
        <f>TEXT(MC_2[[#This Row],[Date]],"mmm-yy")</f>
        <v>Mar-24</v>
      </c>
      <c r="H36" s="116">
        <f>DAY(EOMONTH(MC_2[[#This Row],[Month Year]],0))</f>
        <v>31</v>
      </c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5">
        <f>SUM(MC_2[[#This Row],[IS1Inv1M1]:[IS9Inv19M2]])</f>
        <v>0</v>
      </c>
      <c r="BF36" s="119"/>
      <c r="BG36" s="119"/>
      <c r="BH36" s="119"/>
      <c r="BI36" s="119"/>
      <c r="BJ36" s="119"/>
      <c r="BK36" s="119"/>
      <c r="BL36" s="119"/>
    </row>
    <row r="37" spans="1:64">
      <c r="A37" s="119">
        <v>35</v>
      </c>
      <c r="B37" s="113">
        <f t="shared" si="0"/>
        <v>45357</v>
      </c>
      <c r="C37" s="114">
        <f>YEAR(MC_2[[#This Row],[Date]])+IF(MONTH(MC_2[[#This Row],[Date]])&gt;=4,1,0)</f>
        <v>2024</v>
      </c>
      <c r="D37" s="115">
        <f>YEAR(MC_2[[#This Row],[Date]])</f>
        <v>2024</v>
      </c>
      <c r="E37" s="112" t="s">
        <v>326</v>
      </c>
      <c r="F37" s="112" t="s">
        <v>326</v>
      </c>
      <c r="G37" s="116" t="str">
        <f>TEXT(MC_2[[#This Row],[Date]],"mmm-yy")</f>
        <v>Mar-24</v>
      </c>
      <c r="H37" s="116">
        <f>DAY(EOMONTH(MC_2[[#This Row],[Month Year]],0))</f>
        <v>31</v>
      </c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5">
        <f>SUM(MC_2[[#This Row],[IS1Inv1M1]:[IS9Inv19M2]])</f>
        <v>0</v>
      </c>
      <c r="BF37" s="119"/>
      <c r="BG37" s="119"/>
      <c r="BH37" s="119"/>
      <c r="BI37" s="119"/>
      <c r="BJ37" s="119"/>
      <c r="BK37" s="119"/>
      <c r="BL37" s="119"/>
    </row>
    <row r="38" spans="1:64">
      <c r="A38" s="119">
        <v>36</v>
      </c>
      <c r="B38" s="113">
        <f t="shared" si="0"/>
        <v>45358</v>
      </c>
      <c r="C38" s="114">
        <f>YEAR(MC_2[[#This Row],[Date]])+IF(MONTH(MC_2[[#This Row],[Date]])&gt;=4,1,0)</f>
        <v>2024</v>
      </c>
      <c r="D38" s="115">
        <f>YEAR(MC_2[[#This Row],[Date]])</f>
        <v>2024</v>
      </c>
      <c r="E38" s="112" t="s">
        <v>326</v>
      </c>
      <c r="F38" s="112" t="s">
        <v>326</v>
      </c>
      <c r="G38" s="116" t="str">
        <f>TEXT(MC_2[[#This Row],[Date]],"mmm-yy")</f>
        <v>Mar-24</v>
      </c>
      <c r="H38" s="116">
        <f>DAY(EOMONTH(MC_2[[#This Row],[Month Year]],0))</f>
        <v>31</v>
      </c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5">
        <f>SUM(MC_2[[#This Row],[IS1Inv1M1]:[IS9Inv19M2]])</f>
        <v>0</v>
      </c>
      <c r="BF38" s="120"/>
      <c r="BG38" s="120"/>
      <c r="BH38" s="119"/>
      <c r="BI38" s="120"/>
      <c r="BJ38" s="119"/>
      <c r="BK38" s="119"/>
      <c r="BL38" s="119"/>
    </row>
    <row r="39" spans="1:64">
      <c r="A39" s="119">
        <v>37</v>
      </c>
      <c r="B39" s="113">
        <f t="shared" si="0"/>
        <v>45359</v>
      </c>
      <c r="C39" s="114">
        <f>YEAR(MC_2[[#This Row],[Date]])+IF(MONTH(MC_2[[#This Row],[Date]])&gt;=4,1,0)</f>
        <v>2024</v>
      </c>
      <c r="D39" s="115">
        <f>YEAR(MC_2[[#This Row],[Date]])</f>
        <v>2024</v>
      </c>
      <c r="E39" s="112" t="s">
        <v>326</v>
      </c>
      <c r="F39" s="112" t="s">
        <v>326</v>
      </c>
      <c r="G39" s="116" t="str">
        <f>TEXT(MC_2[[#This Row],[Date]],"mmm-yy")</f>
        <v>Mar-24</v>
      </c>
      <c r="H39" s="116">
        <f>DAY(EOMONTH(MC_2[[#This Row],[Month Year]],0))</f>
        <v>31</v>
      </c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5">
        <f>SUM(MC_2[[#This Row],[IS1Inv1M1]:[IS9Inv19M2]])</f>
        <v>0</v>
      </c>
      <c r="BF39" s="120"/>
      <c r="BG39" s="119"/>
      <c r="BH39" s="119"/>
      <c r="BI39" s="120"/>
      <c r="BJ39" s="119"/>
      <c r="BK39" s="119"/>
      <c r="BL39" s="119"/>
    </row>
    <row r="40" spans="1:64">
      <c r="A40" s="119">
        <v>38</v>
      </c>
      <c r="B40" s="113">
        <f t="shared" si="0"/>
        <v>45360</v>
      </c>
      <c r="C40" s="114">
        <f>YEAR(MC_2[[#This Row],[Date]])+IF(MONTH(MC_2[[#This Row],[Date]])&gt;=4,1,0)</f>
        <v>2024</v>
      </c>
      <c r="D40" s="115">
        <f>YEAR(MC_2[[#This Row],[Date]])</f>
        <v>2024</v>
      </c>
      <c r="E40" s="112" t="s">
        <v>326</v>
      </c>
      <c r="F40" s="112" t="s">
        <v>326</v>
      </c>
      <c r="G40" s="116" t="str">
        <f>TEXT(MC_2[[#This Row],[Date]],"mmm-yy")</f>
        <v>Mar-24</v>
      </c>
      <c r="H40" s="116">
        <f>DAY(EOMONTH(MC_2[[#This Row],[Month Year]],0))</f>
        <v>31</v>
      </c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5">
        <f>SUM(MC_2[[#This Row],[IS1Inv1M1]:[IS9Inv19M2]])</f>
        <v>0</v>
      </c>
      <c r="BF40" s="120"/>
      <c r="BG40" s="120"/>
      <c r="BH40" s="119"/>
      <c r="BI40" s="119"/>
      <c r="BJ40" s="119"/>
      <c r="BK40" s="119"/>
      <c r="BL40" s="119"/>
    </row>
    <row r="41" spans="1:64">
      <c r="A41" s="119">
        <v>39</v>
      </c>
      <c r="B41" s="113">
        <f t="shared" si="0"/>
        <v>45361</v>
      </c>
      <c r="C41" s="114">
        <f>YEAR(MC_2[[#This Row],[Date]])+IF(MONTH(MC_2[[#This Row],[Date]])&gt;=4,1,0)</f>
        <v>2024</v>
      </c>
      <c r="D41" s="115">
        <f>YEAR(MC_2[[#This Row],[Date]])</f>
        <v>2024</v>
      </c>
      <c r="E41" s="112" t="s">
        <v>326</v>
      </c>
      <c r="F41" s="112" t="s">
        <v>326</v>
      </c>
      <c r="G41" s="116" t="str">
        <f>TEXT(MC_2[[#This Row],[Date]],"mmm-yy")</f>
        <v>Mar-24</v>
      </c>
      <c r="H41" s="116">
        <f>DAY(EOMONTH(MC_2[[#This Row],[Month Year]],0))</f>
        <v>31</v>
      </c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5">
        <f>SUM(MC_2[[#This Row],[IS1Inv1M1]:[IS9Inv19M2]])</f>
        <v>0</v>
      </c>
      <c r="BF41" s="119"/>
      <c r="BG41" s="119"/>
      <c r="BH41" s="119"/>
      <c r="BI41" s="119"/>
      <c r="BJ41" s="119"/>
      <c r="BK41" s="119"/>
      <c r="BL41" s="119"/>
    </row>
    <row r="42" spans="1:64">
      <c r="A42" s="119">
        <v>40</v>
      </c>
      <c r="B42" s="113">
        <f t="shared" si="0"/>
        <v>45362</v>
      </c>
      <c r="C42" s="114">
        <f>YEAR(MC_2[[#This Row],[Date]])+IF(MONTH(MC_2[[#This Row],[Date]])&gt;=4,1,0)</f>
        <v>2024</v>
      </c>
      <c r="D42" s="115">
        <f>YEAR(MC_2[[#This Row],[Date]])</f>
        <v>2024</v>
      </c>
      <c r="E42" s="112" t="s">
        <v>326</v>
      </c>
      <c r="F42" s="112" t="s">
        <v>326</v>
      </c>
      <c r="G42" s="116" t="str">
        <f>TEXT(MC_2[[#This Row],[Date]],"mmm-yy")</f>
        <v>Mar-24</v>
      </c>
      <c r="H42" s="116">
        <f>DAY(EOMONTH(MC_2[[#This Row],[Month Year]],0))</f>
        <v>31</v>
      </c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5">
        <f>SUM(MC_2[[#This Row],[IS1Inv1M1]:[IS9Inv19M2]])</f>
        <v>0</v>
      </c>
      <c r="BF42" s="120"/>
      <c r="BG42" s="120"/>
      <c r="BH42" s="119"/>
      <c r="BI42" s="119"/>
      <c r="BJ42" s="119"/>
      <c r="BK42" s="119"/>
      <c r="BL42" s="119"/>
    </row>
    <row r="43" spans="1:64">
      <c r="A43" s="119">
        <v>41</v>
      </c>
      <c r="B43" s="113">
        <f t="shared" si="0"/>
        <v>45363</v>
      </c>
      <c r="C43" s="114">
        <f>YEAR(MC_2[[#This Row],[Date]])+IF(MONTH(MC_2[[#This Row],[Date]])&gt;=4,1,0)</f>
        <v>2024</v>
      </c>
      <c r="D43" s="115">
        <f>YEAR(MC_2[[#This Row],[Date]])</f>
        <v>2024</v>
      </c>
      <c r="E43" s="112" t="s">
        <v>326</v>
      </c>
      <c r="F43" s="112" t="s">
        <v>326</v>
      </c>
      <c r="G43" s="116" t="str">
        <f>TEXT(MC_2[[#This Row],[Date]],"mmm-yy")</f>
        <v>Mar-24</v>
      </c>
      <c r="H43" s="116">
        <f>DAY(EOMONTH(MC_2[[#This Row],[Month Year]],0))</f>
        <v>31</v>
      </c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5">
        <f>SUM(MC_2[[#This Row],[IS1Inv1M1]:[IS9Inv19M2]])</f>
        <v>0</v>
      </c>
      <c r="BF43" s="119"/>
      <c r="BG43" s="119"/>
      <c r="BH43" s="119"/>
      <c r="BI43" s="119"/>
      <c r="BJ43" s="119"/>
      <c r="BK43" s="119"/>
      <c r="BL43" s="119"/>
    </row>
    <row r="44" spans="1:64">
      <c r="A44" s="119">
        <v>42</v>
      </c>
      <c r="B44" s="113">
        <f t="shared" si="0"/>
        <v>45364</v>
      </c>
      <c r="C44" s="114">
        <f>YEAR(MC_2[[#This Row],[Date]])+IF(MONTH(MC_2[[#This Row],[Date]])&gt;=4,1,0)</f>
        <v>2024</v>
      </c>
      <c r="D44" s="115">
        <f>YEAR(MC_2[[#This Row],[Date]])</f>
        <v>2024</v>
      </c>
      <c r="E44" s="112" t="s">
        <v>326</v>
      </c>
      <c r="F44" s="112" t="s">
        <v>326</v>
      </c>
      <c r="G44" s="116" t="str">
        <f>TEXT(MC_2[[#This Row],[Date]],"mmm-yy")</f>
        <v>Mar-24</v>
      </c>
      <c r="H44" s="116">
        <f>DAY(EOMONTH(MC_2[[#This Row],[Month Year]],0))</f>
        <v>31</v>
      </c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5">
        <f>SUM(MC_2[[#This Row],[IS1Inv1M1]:[IS9Inv19M2]])</f>
        <v>0</v>
      </c>
      <c r="BF44" s="119"/>
      <c r="BG44" s="119"/>
      <c r="BH44" s="119"/>
      <c r="BI44" s="119"/>
      <c r="BJ44" s="119"/>
      <c r="BK44" s="119"/>
      <c r="BL44" s="119"/>
    </row>
    <row r="45" spans="1:64">
      <c r="A45" s="119">
        <v>43</v>
      </c>
      <c r="B45" s="113">
        <f t="shared" si="0"/>
        <v>45365</v>
      </c>
      <c r="C45" s="114">
        <f>YEAR(MC_2[[#This Row],[Date]])+IF(MONTH(MC_2[[#This Row],[Date]])&gt;=4,1,0)</f>
        <v>2024</v>
      </c>
      <c r="D45" s="115">
        <f>YEAR(MC_2[[#This Row],[Date]])</f>
        <v>2024</v>
      </c>
      <c r="E45" s="112" t="s">
        <v>326</v>
      </c>
      <c r="F45" s="112" t="s">
        <v>326</v>
      </c>
      <c r="G45" s="116" t="str">
        <f>TEXT(MC_2[[#This Row],[Date]],"mmm-yy")</f>
        <v>Mar-24</v>
      </c>
      <c r="H45" s="116">
        <f>DAY(EOMONTH(MC_2[[#This Row],[Month Year]],0))</f>
        <v>31</v>
      </c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5">
        <f>SUM(MC_2[[#This Row],[IS1Inv1M1]:[IS9Inv19M2]])</f>
        <v>0</v>
      </c>
      <c r="BF45" s="120"/>
      <c r="BG45" s="120"/>
      <c r="BH45" s="119"/>
      <c r="BI45" s="119"/>
      <c r="BJ45" s="119"/>
      <c r="BK45" s="119"/>
      <c r="BL45" s="119"/>
    </row>
    <row r="46" spans="1:64">
      <c r="A46" s="119">
        <v>44</v>
      </c>
      <c r="B46" s="113">
        <f t="shared" si="0"/>
        <v>45366</v>
      </c>
      <c r="C46" s="114">
        <f>YEAR(MC_2[[#This Row],[Date]])+IF(MONTH(MC_2[[#This Row],[Date]])&gt;=4,1,0)</f>
        <v>2024</v>
      </c>
      <c r="D46" s="115">
        <f>YEAR(MC_2[[#This Row],[Date]])</f>
        <v>2024</v>
      </c>
      <c r="E46" s="112" t="s">
        <v>326</v>
      </c>
      <c r="F46" s="112" t="s">
        <v>326</v>
      </c>
      <c r="G46" s="116" t="str">
        <f>TEXT(MC_2[[#This Row],[Date]],"mmm-yy")</f>
        <v>Mar-24</v>
      </c>
      <c r="H46" s="116">
        <f>DAY(EOMONTH(MC_2[[#This Row],[Month Year]],0))</f>
        <v>31</v>
      </c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5">
        <f>SUM(MC_2[[#This Row],[IS1Inv1M1]:[IS9Inv19M2]])</f>
        <v>0</v>
      </c>
      <c r="BF46" s="119"/>
      <c r="BG46" s="119"/>
      <c r="BH46" s="119"/>
      <c r="BI46" s="119"/>
      <c r="BJ46" s="119"/>
      <c r="BK46" s="119"/>
      <c r="BL46" s="119"/>
    </row>
    <row r="47" spans="1:64">
      <c r="A47" s="119">
        <v>45</v>
      </c>
      <c r="B47" s="113">
        <f t="shared" si="0"/>
        <v>45367</v>
      </c>
      <c r="C47" s="114">
        <f>YEAR(MC_2[[#This Row],[Date]])+IF(MONTH(MC_2[[#This Row],[Date]])&gt;=4,1,0)</f>
        <v>2024</v>
      </c>
      <c r="D47" s="115">
        <f>YEAR(MC_2[[#This Row],[Date]])</f>
        <v>2024</v>
      </c>
      <c r="E47" s="112" t="s">
        <v>326</v>
      </c>
      <c r="F47" s="112" t="s">
        <v>326</v>
      </c>
      <c r="G47" s="116" t="str">
        <f>TEXT(MC_2[[#This Row],[Date]],"mmm-yy")</f>
        <v>Mar-24</v>
      </c>
      <c r="H47" s="116">
        <f>DAY(EOMONTH(MC_2[[#This Row],[Month Year]],0))</f>
        <v>31</v>
      </c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5">
        <f>SUM(MC_2[[#This Row],[IS1Inv1M1]:[IS9Inv19M2]])</f>
        <v>0</v>
      </c>
      <c r="BF47" s="119"/>
      <c r="BG47" s="119"/>
      <c r="BH47" s="119"/>
      <c r="BI47" s="119"/>
      <c r="BJ47" s="119"/>
      <c r="BK47" s="119"/>
      <c r="BL47" s="119"/>
    </row>
    <row r="48" spans="1:64">
      <c r="A48" s="119">
        <v>46</v>
      </c>
      <c r="B48" s="113">
        <f t="shared" si="0"/>
        <v>45368</v>
      </c>
      <c r="C48" s="114">
        <f>YEAR(MC_2[[#This Row],[Date]])+IF(MONTH(MC_2[[#This Row],[Date]])&gt;=4,1,0)</f>
        <v>2024</v>
      </c>
      <c r="D48" s="115">
        <f>YEAR(MC_2[[#This Row],[Date]])</f>
        <v>2024</v>
      </c>
      <c r="E48" s="112" t="s">
        <v>326</v>
      </c>
      <c r="F48" s="112" t="s">
        <v>326</v>
      </c>
      <c r="G48" s="116" t="str">
        <f>TEXT(MC_2[[#This Row],[Date]],"mmm-yy")</f>
        <v>Mar-24</v>
      </c>
      <c r="H48" s="116">
        <f>DAY(EOMONTH(MC_2[[#This Row],[Month Year]],0))</f>
        <v>31</v>
      </c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5">
        <f>SUM(MC_2[[#This Row],[IS1Inv1M1]:[IS9Inv19M2]])</f>
        <v>0</v>
      </c>
      <c r="BF48" s="119"/>
      <c r="BG48" s="119"/>
      <c r="BH48" s="119"/>
      <c r="BI48" s="119"/>
      <c r="BJ48" s="119"/>
      <c r="BK48" s="119"/>
      <c r="BL48" s="119"/>
    </row>
    <row r="49" spans="1:64">
      <c r="A49" s="119">
        <v>47</v>
      </c>
      <c r="B49" s="113">
        <f t="shared" si="0"/>
        <v>45369</v>
      </c>
      <c r="C49" s="114">
        <f>YEAR(MC_2[[#This Row],[Date]])+IF(MONTH(MC_2[[#This Row],[Date]])&gt;=4,1,0)</f>
        <v>2024</v>
      </c>
      <c r="D49" s="115">
        <f>YEAR(MC_2[[#This Row],[Date]])</f>
        <v>2024</v>
      </c>
      <c r="E49" s="112" t="s">
        <v>326</v>
      </c>
      <c r="F49" s="112" t="s">
        <v>326</v>
      </c>
      <c r="G49" s="116" t="str">
        <f>TEXT(MC_2[[#This Row],[Date]],"mmm-yy")</f>
        <v>Mar-24</v>
      </c>
      <c r="H49" s="116">
        <f>DAY(EOMONTH(MC_2[[#This Row],[Month Year]],0))</f>
        <v>31</v>
      </c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5">
        <f>SUM(MC_2[[#This Row],[IS1Inv1M1]:[IS9Inv19M2]])</f>
        <v>0</v>
      </c>
      <c r="BF49" s="119"/>
      <c r="BG49" s="119"/>
      <c r="BH49" s="119"/>
      <c r="BI49" s="119"/>
      <c r="BJ49" s="119"/>
      <c r="BK49" s="119"/>
      <c r="BL49" s="119"/>
    </row>
    <row r="50" spans="1:64">
      <c r="A50" s="119">
        <v>48</v>
      </c>
      <c r="B50" s="113">
        <f t="shared" si="0"/>
        <v>45370</v>
      </c>
      <c r="C50" s="114">
        <f>YEAR(MC_2[[#This Row],[Date]])+IF(MONTH(MC_2[[#This Row],[Date]])&gt;=4,1,0)</f>
        <v>2024</v>
      </c>
      <c r="D50" s="115">
        <f>YEAR(MC_2[[#This Row],[Date]])</f>
        <v>2024</v>
      </c>
      <c r="E50" s="112" t="s">
        <v>326</v>
      </c>
      <c r="F50" s="112" t="s">
        <v>326</v>
      </c>
      <c r="G50" s="116" t="str">
        <f>TEXT(MC_2[[#This Row],[Date]],"mmm-yy")</f>
        <v>Mar-24</v>
      </c>
      <c r="H50" s="116">
        <f>DAY(EOMONTH(MC_2[[#This Row],[Month Year]],0))</f>
        <v>31</v>
      </c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5">
        <f>SUM(MC_2[[#This Row],[IS1Inv1M1]:[IS9Inv19M2]])</f>
        <v>0</v>
      </c>
      <c r="BF50" s="119"/>
      <c r="BG50" s="119"/>
      <c r="BH50" s="119"/>
      <c r="BI50" s="119"/>
      <c r="BJ50" s="119"/>
      <c r="BK50" s="119"/>
      <c r="BL50" s="119"/>
    </row>
    <row r="51" spans="1:64">
      <c r="A51" s="119">
        <v>49</v>
      </c>
      <c r="B51" s="113">
        <f t="shared" si="0"/>
        <v>45371</v>
      </c>
      <c r="C51" s="114">
        <f>YEAR(MC_2[[#This Row],[Date]])+IF(MONTH(MC_2[[#This Row],[Date]])&gt;=4,1,0)</f>
        <v>2024</v>
      </c>
      <c r="D51" s="115">
        <f>YEAR(MC_2[[#This Row],[Date]])</f>
        <v>2024</v>
      </c>
      <c r="E51" s="112" t="s">
        <v>326</v>
      </c>
      <c r="F51" s="112" t="s">
        <v>326</v>
      </c>
      <c r="G51" s="116" t="str">
        <f>TEXT(MC_2[[#This Row],[Date]],"mmm-yy")</f>
        <v>Mar-24</v>
      </c>
      <c r="H51" s="116">
        <f>DAY(EOMONTH(MC_2[[#This Row],[Month Year]],0))</f>
        <v>31</v>
      </c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5">
        <f>SUM(MC_2[[#This Row],[IS1Inv1M1]:[IS9Inv19M2]])</f>
        <v>0</v>
      </c>
      <c r="BF51" s="119"/>
      <c r="BG51" s="119"/>
      <c r="BH51" s="119"/>
      <c r="BI51" s="119"/>
      <c r="BJ51" s="119"/>
      <c r="BK51" s="119"/>
      <c r="BL51" s="119"/>
    </row>
    <row r="52" spans="1:64">
      <c r="A52" s="119">
        <v>50</v>
      </c>
      <c r="B52" s="113">
        <f t="shared" si="0"/>
        <v>45372</v>
      </c>
      <c r="C52" s="114">
        <f>YEAR(MC_2[[#This Row],[Date]])+IF(MONTH(MC_2[[#This Row],[Date]])&gt;=4,1,0)</f>
        <v>2024</v>
      </c>
      <c r="D52" s="115">
        <f>YEAR(MC_2[[#This Row],[Date]])</f>
        <v>2024</v>
      </c>
      <c r="E52" s="112" t="s">
        <v>326</v>
      </c>
      <c r="F52" s="112" t="s">
        <v>326</v>
      </c>
      <c r="G52" s="116" t="str">
        <f>TEXT(MC_2[[#This Row],[Date]],"mmm-yy")</f>
        <v>Mar-24</v>
      </c>
      <c r="H52" s="116">
        <f>DAY(EOMONTH(MC_2[[#This Row],[Month Year]],0))</f>
        <v>31</v>
      </c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5">
        <f>SUM(MC_2[[#This Row],[IS1Inv1M1]:[IS9Inv19M2]])</f>
        <v>0</v>
      </c>
      <c r="BF52" s="119"/>
      <c r="BG52" s="119"/>
      <c r="BH52" s="119"/>
      <c r="BI52" s="119"/>
      <c r="BJ52" s="119"/>
      <c r="BK52" s="119"/>
      <c r="BL52" s="119"/>
    </row>
    <row r="53" spans="1:64">
      <c r="A53" s="119">
        <v>51</v>
      </c>
      <c r="B53" s="113">
        <f t="shared" si="0"/>
        <v>45373</v>
      </c>
      <c r="C53" s="114">
        <f>YEAR(MC_2[[#This Row],[Date]])+IF(MONTH(MC_2[[#This Row],[Date]])&gt;=4,1,0)</f>
        <v>2024</v>
      </c>
      <c r="D53" s="115">
        <f>YEAR(MC_2[[#This Row],[Date]])</f>
        <v>2024</v>
      </c>
      <c r="E53" s="112" t="s">
        <v>326</v>
      </c>
      <c r="F53" s="112" t="s">
        <v>326</v>
      </c>
      <c r="G53" s="116" t="str">
        <f>TEXT(MC_2[[#This Row],[Date]],"mmm-yy")</f>
        <v>Mar-24</v>
      </c>
      <c r="H53" s="116">
        <f>DAY(EOMONTH(MC_2[[#This Row],[Month Year]],0))</f>
        <v>31</v>
      </c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5">
        <f>SUM(MC_2[[#This Row],[IS1Inv1M1]:[IS9Inv19M2]])</f>
        <v>0</v>
      </c>
      <c r="BF53" s="119"/>
      <c r="BG53" s="119"/>
      <c r="BH53" s="119"/>
      <c r="BI53" s="119"/>
      <c r="BJ53" s="119"/>
      <c r="BK53" s="119"/>
      <c r="BL53" s="119"/>
    </row>
    <row r="54" spans="1:64">
      <c r="A54" s="119">
        <v>52</v>
      </c>
      <c r="B54" s="113">
        <f t="shared" si="0"/>
        <v>45374</v>
      </c>
      <c r="C54" s="114">
        <f>YEAR(MC_2[[#This Row],[Date]])+IF(MONTH(MC_2[[#This Row],[Date]])&gt;=4,1,0)</f>
        <v>2024</v>
      </c>
      <c r="D54" s="115">
        <f>YEAR(MC_2[[#This Row],[Date]])</f>
        <v>2024</v>
      </c>
      <c r="E54" s="112" t="s">
        <v>326</v>
      </c>
      <c r="F54" s="112" t="s">
        <v>326</v>
      </c>
      <c r="G54" s="116" t="str">
        <f>TEXT(MC_2[[#This Row],[Date]],"mmm-yy")</f>
        <v>Mar-24</v>
      </c>
      <c r="H54" s="116">
        <f>DAY(EOMONTH(MC_2[[#This Row],[Month Year]],0))</f>
        <v>31</v>
      </c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5">
        <f>SUM(MC_2[[#This Row],[IS1Inv1M1]:[IS9Inv19M2]])</f>
        <v>0</v>
      </c>
      <c r="BF54" s="119"/>
      <c r="BG54" s="119"/>
      <c r="BH54" s="119"/>
      <c r="BI54" s="119"/>
      <c r="BJ54" s="119"/>
      <c r="BK54" s="119"/>
      <c r="BL54" s="119"/>
    </row>
    <row r="55" spans="1:64">
      <c r="A55" s="119">
        <v>53</v>
      </c>
      <c r="B55" s="113">
        <f t="shared" si="0"/>
        <v>45375</v>
      </c>
      <c r="C55" s="114">
        <f>YEAR(MC_2[[#This Row],[Date]])+IF(MONTH(MC_2[[#This Row],[Date]])&gt;=4,1,0)</f>
        <v>2024</v>
      </c>
      <c r="D55" s="115">
        <f>YEAR(MC_2[[#This Row],[Date]])</f>
        <v>2024</v>
      </c>
      <c r="E55" s="112" t="s">
        <v>326</v>
      </c>
      <c r="F55" s="112" t="s">
        <v>326</v>
      </c>
      <c r="G55" s="116" t="str">
        <f>TEXT(MC_2[[#This Row],[Date]],"mmm-yy")</f>
        <v>Mar-24</v>
      </c>
      <c r="H55" s="116">
        <f>DAY(EOMONTH(MC_2[[#This Row],[Month Year]],0))</f>
        <v>31</v>
      </c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5">
        <f>SUM(MC_2[[#This Row],[IS1Inv1M1]:[IS9Inv19M2]])</f>
        <v>0</v>
      </c>
      <c r="BF55" s="120"/>
      <c r="BG55" s="119"/>
      <c r="BH55" s="119"/>
      <c r="BI55" s="120"/>
      <c r="BJ55" s="119"/>
      <c r="BK55" s="119"/>
      <c r="BL55" s="119"/>
    </row>
    <row r="56" spans="1:64">
      <c r="A56" s="119">
        <v>54</v>
      </c>
      <c r="B56" s="113">
        <f t="shared" si="0"/>
        <v>45376</v>
      </c>
      <c r="C56" s="114">
        <f>YEAR(MC_2[[#This Row],[Date]])+IF(MONTH(MC_2[[#This Row],[Date]])&gt;=4,1,0)</f>
        <v>2024</v>
      </c>
      <c r="D56" s="115">
        <f>YEAR(MC_2[[#This Row],[Date]])</f>
        <v>2024</v>
      </c>
      <c r="E56" s="112" t="s">
        <v>326</v>
      </c>
      <c r="F56" s="112" t="s">
        <v>326</v>
      </c>
      <c r="G56" s="116" t="str">
        <f>TEXT(MC_2[[#This Row],[Date]],"mmm-yy")</f>
        <v>Mar-24</v>
      </c>
      <c r="H56" s="116">
        <f>DAY(EOMONTH(MC_2[[#This Row],[Month Year]],0))</f>
        <v>31</v>
      </c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5">
        <f>SUM(MC_2[[#This Row],[IS1Inv1M1]:[IS9Inv19M2]])</f>
        <v>0</v>
      </c>
      <c r="BF56" s="120"/>
      <c r="BG56" s="119"/>
      <c r="BH56" s="119"/>
      <c r="BI56" s="120"/>
      <c r="BJ56" s="119"/>
      <c r="BK56" s="119"/>
      <c r="BL56" s="119"/>
    </row>
    <row r="57" spans="1:64">
      <c r="A57" s="119">
        <v>55</v>
      </c>
      <c r="B57" s="113">
        <f t="shared" si="0"/>
        <v>45377</v>
      </c>
      <c r="C57" s="114">
        <f>YEAR(MC_2[[#This Row],[Date]])+IF(MONTH(MC_2[[#This Row],[Date]])&gt;=4,1,0)</f>
        <v>2024</v>
      </c>
      <c r="D57" s="115">
        <f>YEAR(MC_2[[#This Row],[Date]])</f>
        <v>2024</v>
      </c>
      <c r="E57" s="112" t="s">
        <v>326</v>
      </c>
      <c r="F57" s="112" t="s">
        <v>326</v>
      </c>
      <c r="G57" s="116" t="str">
        <f>TEXT(MC_2[[#This Row],[Date]],"mmm-yy")</f>
        <v>Mar-24</v>
      </c>
      <c r="H57" s="116">
        <f>DAY(EOMONTH(MC_2[[#This Row],[Month Year]],0))</f>
        <v>31</v>
      </c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5">
        <f>SUM(MC_2[[#This Row],[IS1Inv1M1]:[IS9Inv19M2]])</f>
        <v>0</v>
      </c>
      <c r="BF57" s="120"/>
      <c r="BG57" s="119"/>
      <c r="BH57" s="119"/>
      <c r="BI57" s="120"/>
      <c r="BJ57" s="119"/>
      <c r="BK57" s="119"/>
      <c r="BL57" s="119"/>
    </row>
    <row r="58" spans="1:64">
      <c r="A58" s="119">
        <v>56</v>
      </c>
      <c r="B58" s="113">
        <f t="shared" si="0"/>
        <v>45378</v>
      </c>
      <c r="C58" s="114">
        <f>YEAR(MC_2[[#This Row],[Date]])+IF(MONTH(MC_2[[#This Row],[Date]])&gt;=4,1,0)</f>
        <v>2024</v>
      </c>
      <c r="D58" s="115">
        <f>YEAR(MC_2[[#This Row],[Date]])</f>
        <v>2024</v>
      </c>
      <c r="E58" s="112" t="s">
        <v>326</v>
      </c>
      <c r="F58" s="112" t="s">
        <v>326</v>
      </c>
      <c r="G58" s="116" t="str">
        <f>TEXT(MC_2[[#This Row],[Date]],"mmm-yy")</f>
        <v>Mar-24</v>
      </c>
      <c r="H58" s="116">
        <f>DAY(EOMONTH(MC_2[[#This Row],[Month Year]],0))</f>
        <v>31</v>
      </c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5">
        <f>SUM(MC_2[[#This Row],[IS1Inv1M1]:[IS9Inv19M2]])</f>
        <v>0</v>
      </c>
      <c r="BF58" s="120"/>
      <c r="BG58" s="119"/>
      <c r="BH58" s="119"/>
      <c r="BI58" s="120"/>
      <c r="BJ58" s="119"/>
      <c r="BK58" s="119"/>
      <c r="BL58" s="119"/>
    </row>
    <row r="59" spans="1:64">
      <c r="A59" s="119">
        <v>57</v>
      </c>
      <c r="B59" s="113">
        <f t="shared" si="0"/>
        <v>45379</v>
      </c>
      <c r="C59" s="114">
        <f>YEAR(MC_2[[#This Row],[Date]])+IF(MONTH(MC_2[[#This Row],[Date]])&gt;=4,1,0)</f>
        <v>2024</v>
      </c>
      <c r="D59" s="115">
        <f>YEAR(MC_2[[#This Row],[Date]])</f>
        <v>2024</v>
      </c>
      <c r="E59" s="112" t="s">
        <v>326</v>
      </c>
      <c r="F59" s="112" t="s">
        <v>326</v>
      </c>
      <c r="G59" s="116" t="str">
        <f>TEXT(MC_2[[#This Row],[Date]],"mmm-yy")</f>
        <v>Mar-24</v>
      </c>
      <c r="H59" s="116">
        <f>DAY(EOMONTH(MC_2[[#This Row],[Month Year]],0))</f>
        <v>31</v>
      </c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5">
        <f>SUM(MC_2[[#This Row],[IS1Inv1M1]:[IS9Inv19M2]])</f>
        <v>0</v>
      </c>
      <c r="BF59" s="120"/>
      <c r="BG59" s="119"/>
      <c r="BH59" s="119"/>
      <c r="BI59" s="120"/>
      <c r="BJ59" s="119"/>
      <c r="BK59" s="119"/>
      <c r="BL59" s="119"/>
    </row>
    <row r="60" spans="1:64">
      <c r="A60" s="119">
        <v>58</v>
      </c>
      <c r="B60" s="113">
        <f t="shared" si="0"/>
        <v>45380</v>
      </c>
      <c r="C60" s="114">
        <f>YEAR(MC_2[[#This Row],[Date]])+IF(MONTH(MC_2[[#This Row],[Date]])&gt;=4,1,0)</f>
        <v>2024</v>
      </c>
      <c r="D60" s="115">
        <f>YEAR(MC_2[[#This Row],[Date]])</f>
        <v>2024</v>
      </c>
      <c r="E60" s="112" t="s">
        <v>326</v>
      </c>
      <c r="F60" s="112" t="s">
        <v>326</v>
      </c>
      <c r="G60" s="116" t="str">
        <f>TEXT(MC_2[[#This Row],[Date]],"mmm-yy")</f>
        <v>Mar-24</v>
      </c>
      <c r="H60" s="116">
        <f>DAY(EOMONTH(MC_2[[#This Row],[Month Year]],0))</f>
        <v>31</v>
      </c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5">
        <f>SUM(MC_2[[#This Row],[IS1Inv1M1]:[IS9Inv19M2]])</f>
        <v>0</v>
      </c>
      <c r="BF60" s="120"/>
      <c r="BG60" s="119"/>
      <c r="BH60" s="119"/>
      <c r="BI60" s="120"/>
      <c r="BJ60" s="119"/>
      <c r="BK60" s="119"/>
      <c r="BL60" s="119"/>
    </row>
    <row r="61" spans="1:64">
      <c r="A61" s="119">
        <v>59</v>
      </c>
      <c r="B61" s="113">
        <f t="shared" si="0"/>
        <v>45381</v>
      </c>
      <c r="C61" s="114">
        <f>YEAR(MC_2[[#This Row],[Date]])+IF(MONTH(MC_2[[#This Row],[Date]])&gt;=4,1,0)</f>
        <v>2024</v>
      </c>
      <c r="D61" s="115">
        <f>YEAR(MC_2[[#This Row],[Date]])</f>
        <v>2024</v>
      </c>
      <c r="E61" s="112" t="s">
        <v>326</v>
      </c>
      <c r="F61" s="112" t="s">
        <v>326</v>
      </c>
      <c r="G61" s="116" t="str">
        <f>TEXT(MC_2[[#This Row],[Date]],"mmm-yy")</f>
        <v>Mar-24</v>
      </c>
      <c r="H61" s="116">
        <f>DAY(EOMONTH(MC_2[[#This Row],[Month Year]],0))</f>
        <v>31</v>
      </c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5">
        <f>SUM(MC_2[[#This Row],[IS1Inv1M1]:[IS9Inv19M2]])</f>
        <v>0</v>
      </c>
      <c r="BF61" s="120"/>
      <c r="BG61" s="119"/>
      <c r="BH61" s="119"/>
      <c r="BI61" s="120"/>
      <c r="BJ61" s="119"/>
      <c r="BK61" s="119"/>
      <c r="BL61" s="119"/>
    </row>
    <row r="62" spans="1:64">
      <c r="A62" s="119">
        <v>60</v>
      </c>
      <c r="B62" s="113">
        <f t="shared" si="0"/>
        <v>45382</v>
      </c>
      <c r="C62" s="114">
        <f>YEAR(MC_2[[#This Row],[Date]])+IF(MONTH(MC_2[[#This Row],[Date]])&gt;=4,1,0)</f>
        <v>2024</v>
      </c>
      <c r="D62" s="115">
        <f>YEAR(MC_2[[#This Row],[Date]])</f>
        <v>2024</v>
      </c>
      <c r="E62" s="112" t="s">
        <v>326</v>
      </c>
      <c r="F62" s="112" t="s">
        <v>326</v>
      </c>
      <c r="G62" s="116" t="str">
        <f>TEXT(MC_2[[#This Row],[Date]],"mmm-yy")</f>
        <v>Mar-24</v>
      </c>
      <c r="H62" s="116">
        <f>DAY(EOMONTH(MC_2[[#This Row],[Month Year]],0))</f>
        <v>31</v>
      </c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5">
        <f>SUM(MC_2[[#This Row],[IS1Inv1M1]:[IS9Inv19M2]])</f>
        <v>0</v>
      </c>
      <c r="BF62" s="120"/>
      <c r="BG62" s="119"/>
      <c r="BH62" s="119"/>
      <c r="BI62" s="120"/>
      <c r="BJ62" s="119"/>
      <c r="BK62" s="119"/>
      <c r="BL62" s="119"/>
    </row>
    <row r="63" spans="1:64">
      <c r="A63" s="119">
        <v>61</v>
      </c>
      <c r="B63" s="113">
        <f t="shared" si="0"/>
        <v>45383</v>
      </c>
      <c r="C63" s="114">
        <f>YEAR(MC_2[[#This Row],[Date]])+IF(MONTH(MC_2[[#This Row],[Date]])&gt;=4,1,0)</f>
        <v>2025</v>
      </c>
      <c r="D63" s="115">
        <f>YEAR(MC_2[[#This Row],[Date]])</f>
        <v>2024</v>
      </c>
      <c r="E63" s="112" t="s">
        <v>326</v>
      </c>
      <c r="F63" s="112" t="s">
        <v>326</v>
      </c>
      <c r="G63" s="116" t="str">
        <f>TEXT(MC_2[[#This Row],[Date]],"mmm-yy")</f>
        <v>Apr-24</v>
      </c>
      <c r="H63" s="116">
        <f>DAY(EOMONTH(MC_2[[#This Row],[Month Year]],0))</f>
        <v>30</v>
      </c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5">
        <f>SUM(MC_2[[#This Row],[IS1Inv1M1]:[IS9Inv19M2]])</f>
        <v>0</v>
      </c>
      <c r="BF63" s="119"/>
      <c r="BG63" s="119"/>
      <c r="BH63" s="119"/>
      <c r="BI63" s="119"/>
      <c r="BJ63" s="119"/>
      <c r="BK63" s="119"/>
      <c r="BL63" s="119"/>
    </row>
    <row r="64" spans="1:64">
      <c r="A64" s="119">
        <v>62</v>
      </c>
      <c r="B64" s="113">
        <f t="shared" si="0"/>
        <v>45384</v>
      </c>
      <c r="C64" s="114">
        <f>YEAR(MC_2[[#This Row],[Date]])+IF(MONTH(MC_2[[#This Row],[Date]])&gt;=4,1,0)</f>
        <v>2025</v>
      </c>
      <c r="D64" s="115">
        <f>YEAR(MC_2[[#This Row],[Date]])</f>
        <v>2024</v>
      </c>
      <c r="E64" s="112" t="s">
        <v>326</v>
      </c>
      <c r="F64" s="112" t="s">
        <v>326</v>
      </c>
      <c r="G64" s="116" t="str">
        <f>TEXT(MC_2[[#This Row],[Date]],"mmm-yy")</f>
        <v>Apr-24</v>
      </c>
      <c r="H64" s="116">
        <f>DAY(EOMONTH(MC_2[[#This Row],[Month Year]],0))</f>
        <v>30</v>
      </c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5">
        <f>SUM(MC_2[[#This Row],[IS1Inv1M1]:[IS9Inv19M2]])</f>
        <v>0</v>
      </c>
      <c r="BF64" s="120"/>
      <c r="BG64" s="119"/>
      <c r="BH64" s="119"/>
      <c r="BI64" s="120"/>
      <c r="BJ64" s="119"/>
      <c r="BK64" s="119"/>
      <c r="BL64" s="119"/>
    </row>
    <row r="65" spans="1:64">
      <c r="A65" s="119">
        <v>63</v>
      </c>
      <c r="B65" s="113">
        <f t="shared" si="0"/>
        <v>45385</v>
      </c>
      <c r="C65" s="114">
        <f>YEAR(MC_2[[#This Row],[Date]])+IF(MONTH(MC_2[[#This Row],[Date]])&gt;=4,1,0)</f>
        <v>2025</v>
      </c>
      <c r="D65" s="115">
        <f>YEAR(MC_2[[#This Row],[Date]])</f>
        <v>2024</v>
      </c>
      <c r="E65" s="112" t="s">
        <v>326</v>
      </c>
      <c r="F65" s="112" t="s">
        <v>326</v>
      </c>
      <c r="G65" s="116" t="str">
        <f>TEXT(MC_2[[#This Row],[Date]],"mmm-yy")</f>
        <v>Apr-24</v>
      </c>
      <c r="H65" s="116">
        <f>DAY(EOMONTH(MC_2[[#This Row],[Month Year]],0))</f>
        <v>30</v>
      </c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5">
        <f>SUM(MC_2[[#This Row],[IS1Inv1M1]:[IS9Inv19M2]])</f>
        <v>0</v>
      </c>
      <c r="BF65" s="120"/>
      <c r="BG65" s="119"/>
      <c r="BH65" s="119"/>
      <c r="BI65" s="120"/>
      <c r="BJ65" s="119"/>
      <c r="BK65" s="119"/>
      <c r="BL65" s="119"/>
    </row>
    <row r="66" spans="1:64">
      <c r="A66" s="119">
        <v>64</v>
      </c>
      <c r="B66" s="113">
        <f t="shared" si="0"/>
        <v>45386</v>
      </c>
      <c r="C66" s="114">
        <f>YEAR(MC_2[[#This Row],[Date]])+IF(MONTH(MC_2[[#This Row],[Date]])&gt;=4,1,0)</f>
        <v>2025</v>
      </c>
      <c r="D66" s="115">
        <f>YEAR(MC_2[[#This Row],[Date]])</f>
        <v>2024</v>
      </c>
      <c r="E66" s="112" t="s">
        <v>326</v>
      </c>
      <c r="F66" s="112" t="s">
        <v>326</v>
      </c>
      <c r="G66" s="116" t="str">
        <f>TEXT(MC_2[[#This Row],[Date]],"mmm-yy")</f>
        <v>Apr-24</v>
      </c>
      <c r="H66" s="116">
        <f>DAY(EOMONTH(MC_2[[#This Row],[Month Year]],0))</f>
        <v>30</v>
      </c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5">
        <f>SUM(MC_2[[#This Row],[IS1Inv1M1]:[IS9Inv19M2]])</f>
        <v>0</v>
      </c>
      <c r="BF66" s="120"/>
      <c r="BG66" s="119"/>
      <c r="BH66" s="119"/>
      <c r="BI66" s="120"/>
      <c r="BJ66" s="119"/>
      <c r="BK66" s="119"/>
      <c r="BL66" s="119"/>
    </row>
    <row r="67" spans="1:64">
      <c r="A67" s="119">
        <v>65</v>
      </c>
      <c r="B67" s="113">
        <f t="shared" si="0"/>
        <v>45387</v>
      </c>
      <c r="C67" s="114">
        <f>YEAR(MC_2[[#This Row],[Date]])+IF(MONTH(MC_2[[#This Row],[Date]])&gt;=4,1,0)</f>
        <v>2025</v>
      </c>
      <c r="D67" s="115">
        <f>YEAR(MC_2[[#This Row],[Date]])</f>
        <v>2024</v>
      </c>
      <c r="E67" s="112" t="s">
        <v>326</v>
      </c>
      <c r="F67" s="112" t="s">
        <v>326</v>
      </c>
      <c r="G67" s="116" t="str">
        <f>TEXT(MC_2[[#This Row],[Date]],"mmm-yy")</f>
        <v>Apr-24</v>
      </c>
      <c r="H67" s="116">
        <f>DAY(EOMONTH(MC_2[[#This Row],[Month Year]],0))</f>
        <v>30</v>
      </c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5">
        <f>SUM(MC_2[[#This Row],[IS1Inv1M1]:[IS9Inv19M2]])</f>
        <v>0</v>
      </c>
      <c r="BF67" s="120"/>
      <c r="BG67" s="119"/>
      <c r="BH67" s="119"/>
      <c r="BI67" s="120"/>
      <c r="BJ67" s="119"/>
      <c r="BK67" s="119"/>
      <c r="BL67" s="119"/>
    </row>
    <row r="68" spans="1:64">
      <c r="A68" s="119">
        <v>66</v>
      </c>
      <c r="B68" s="113">
        <f t="shared" si="0"/>
        <v>45388</v>
      </c>
      <c r="C68" s="114">
        <f>YEAR(MC_2[[#This Row],[Date]])+IF(MONTH(MC_2[[#This Row],[Date]])&gt;=4,1,0)</f>
        <v>2025</v>
      </c>
      <c r="D68" s="115">
        <f>YEAR(MC_2[[#This Row],[Date]])</f>
        <v>2024</v>
      </c>
      <c r="E68" s="112" t="s">
        <v>326</v>
      </c>
      <c r="F68" s="112" t="s">
        <v>326</v>
      </c>
      <c r="G68" s="116" t="str">
        <f>TEXT(MC_2[[#This Row],[Date]],"mmm-yy")</f>
        <v>Apr-24</v>
      </c>
      <c r="H68" s="116">
        <f>DAY(EOMONTH(MC_2[[#This Row],[Month Year]],0))</f>
        <v>30</v>
      </c>
      <c r="I68" s="119">
        <v>1</v>
      </c>
      <c r="J68" s="119">
        <v>4</v>
      </c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5">
        <f>SUM(MC_2[[#This Row],[IS1Inv1M1]:[IS9Inv19M2]])</f>
        <v>0</v>
      </c>
      <c r="BF68" s="120">
        <v>0.35416666666666669</v>
      </c>
      <c r="BG68" s="120">
        <v>0.41666666666666669</v>
      </c>
      <c r="BH68" s="120">
        <v>0.66666666666666663</v>
      </c>
      <c r="BI68" s="120">
        <v>0.77083333333333337</v>
      </c>
      <c r="BJ68" s="119"/>
      <c r="BK68" s="119"/>
      <c r="BL68" s="119"/>
    </row>
    <row r="69" spans="1:64">
      <c r="A69" s="119">
        <v>67</v>
      </c>
      <c r="B69" s="113">
        <f t="shared" ref="B69:B132" si="1">B68+1</f>
        <v>45389</v>
      </c>
      <c r="C69" s="114">
        <f>YEAR(MC_2[[#This Row],[Date]])+IF(MONTH(MC_2[[#This Row],[Date]])&gt;=4,1,0)</f>
        <v>2025</v>
      </c>
      <c r="D69" s="115">
        <f>YEAR(MC_2[[#This Row],[Date]])</f>
        <v>2024</v>
      </c>
      <c r="E69" s="112" t="s">
        <v>326</v>
      </c>
      <c r="F69" s="112" t="s">
        <v>326</v>
      </c>
      <c r="G69" s="116" t="str">
        <f>TEXT(MC_2[[#This Row],[Date]],"mmm-yy")</f>
        <v>Apr-24</v>
      </c>
      <c r="H69" s="116">
        <f>DAY(EOMONTH(MC_2[[#This Row],[Month Year]],0))</f>
        <v>30</v>
      </c>
      <c r="I69" s="119">
        <v>1</v>
      </c>
      <c r="J69" s="119">
        <v>4</v>
      </c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5">
        <f>SUM(MC_2[[#This Row],[IS1Inv1M1]:[IS9Inv19M2]])</f>
        <v>0</v>
      </c>
      <c r="BF69" s="120">
        <v>0.28125</v>
      </c>
      <c r="BG69" s="120">
        <v>0.40625</v>
      </c>
      <c r="BH69" s="120">
        <v>0.6875</v>
      </c>
      <c r="BI69" s="120">
        <v>0.79166666666666663</v>
      </c>
      <c r="BJ69" s="119"/>
      <c r="BK69" s="119"/>
      <c r="BL69" s="119"/>
    </row>
    <row r="70" spans="1:64">
      <c r="A70" s="119">
        <v>68</v>
      </c>
      <c r="B70" s="113">
        <f t="shared" si="1"/>
        <v>45390</v>
      </c>
      <c r="C70" s="114">
        <f>YEAR(MC_2[[#This Row],[Date]])+IF(MONTH(MC_2[[#This Row],[Date]])&gt;=4,1,0)</f>
        <v>2025</v>
      </c>
      <c r="D70" s="115">
        <f>YEAR(MC_2[[#This Row],[Date]])</f>
        <v>2024</v>
      </c>
      <c r="E70" s="112" t="s">
        <v>326</v>
      </c>
      <c r="F70" s="112" t="s">
        <v>326</v>
      </c>
      <c r="G70" s="116" t="str">
        <f>TEXT(MC_2[[#This Row],[Date]],"mmm-yy")</f>
        <v>Apr-24</v>
      </c>
      <c r="H70" s="116">
        <f>DAY(EOMONTH(MC_2[[#This Row],[Month Year]],0))</f>
        <v>30</v>
      </c>
      <c r="I70" s="119">
        <v>1</v>
      </c>
      <c r="J70" s="119">
        <v>4</v>
      </c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5">
        <f>SUM(MC_2[[#This Row],[IS1Inv1M1]:[IS9Inv19M2]])</f>
        <v>0</v>
      </c>
      <c r="BF70" s="120">
        <v>0.23958333333333334</v>
      </c>
      <c r="BG70" s="120">
        <v>0.39583333333333331</v>
      </c>
      <c r="BH70" s="120">
        <v>0.64583333333333337</v>
      </c>
      <c r="BI70" s="120">
        <v>0.77083333333333337</v>
      </c>
      <c r="BJ70" s="119"/>
      <c r="BK70" s="119"/>
      <c r="BL70" s="119"/>
    </row>
    <row r="71" spans="1:64">
      <c r="A71" s="119">
        <v>69</v>
      </c>
      <c r="B71" s="113">
        <f t="shared" si="1"/>
        <v>45391</v>
      </c>
      <c r="C71" s="114">
        <f>YEAR(MC_2[[#This Row],[Date]])+IF(MONTH(MC_2[[#This Row],[Date]])&gt;=4,1,0)</f>
        <v>2025</v>
      </c>
      <c r="D71" s="115">
        <f>YEAR(MC_2[[#This Row],[Date]])</f>
        <v>2024</v>
      </c>
      <c r="E71" s="112" t="s">
        <v>326</v>
      </c>
      <c r="F71" s="112" t="s">
        <v>326</v>
      </c>
      <c r="G71" s="116" t="str">
        <f>TEXT(MC_2[[#This Row],[Date]],"mmm-yy")</f>
        <v>Apr-24</v>
      </c>
      <c r="H71" s="116">
        <f>DAY(EOMONTH(MC_2[[#This Row],[Month Year]],0))</f>
        <v>30</v>
      </c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5">
        <f>SUM(MC_2[[#This Row],[IS1Inv1M1]:[IS9Inv19M2]])</f>
        <v>0</v>
      </c>
      <c r="BF71" s="119"/>
      <c r="BG71" s="119"/>
      <c r="BH71" s="119"/>
      <c r="BI71" s="119"/>
      <c r="BJ71" s="119"/>
      <c r="BK71" s="119"/>
      <c r="BL71" s="119"/>
    </row>
    <row r="72" spans="1:64">
      <c r="A72" s="119">
        <v>70</v>
      </c>
      <c r="B72" s="113">
        <f t="shared" si="1"/>
        <v>45392</v>
      </c>
      <c r="C72" s="114">
        <f>YEAR(MC_2[[#This Row],[Date]])+IF(MONTH(MC_2[[#This Row],[Date]])&gt;=4,1,0)</f>
        <v>2025</v>
      </c>
      <c r="D72" s="115">
        <f>YEAR(MC_2[[#This Row],[Date]])</f>
        <v>2024</v>
      </c>
      <c r="E72" s="112" t="s">
        <v>326</v>
      </c>
      <c r="F72" s="112" t="s">
        <v>326</v>
      </c>
      <c r="G72" s="116" t="str">
        <f>TEXT(MC_2[[#This Row],[Date]],"mmm-yy")</f>
        <v>Apr-24</v>
      </c>
      <c r="H72" s="116">
        <f>DAY(EOMONTH(MC_2[[#This Row],[Month Year]],0))</f>
        <v>30</v>
      </c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5">
        <f>SUM(MC_2[[#This Row],[IS1Inv1M1]:[IS9Inv19M2]])</f>
        <v>0</v>
      </c>
      <c r="BF72" s="119"/>
      <c r="BG72" s="119"/>
      <c r="BH72" s="119"/>
      <c r="BI72" s="119"/>
      <c r="BJ72" s="119"/>
      <c r="BK72" s="119"/>
      <c r="BL72" s="119"/>
    </row>
    <row r="73" spans="1:64">
      <c r="A73" s="119">
        <v>71</v>
      </c>
      <c r="B73" s="113">
        <f t="shared" si="1"/>
        <v>45393</v>
      </c>
      <c r="C73" s="114">
        <f>YEAR(MC_2[[#This Row],[Date]])+IF(MONTH(MC_2[[#This Row],[Date]])&gt;=4,1,0)</f>
        <v>2025</v>
      </c>
      <c r="D73" s="115">
        <f>YEAR(MC_2[[#This Row],[Date]])</f>
        <v>2024</v>
      </c>
      <c r="E73" s="112" t="s">
        <v>326</v>
      </c>
      <c r="F73" s="112" t="s">
        <v>326</v>
      </c>
      <c r="G73" s="116" t="str">
        <f>TEXT(MC_2[[#This Row],[Date]],"mmm-yy")</f>
        <v>Apr-24</v>
      </c>
      <c r="H73" s="116">
        <f>DAY(EOMONTH(MC_2[[#This Row],[Month Year]],0))</f>
        <v>30</v>
      </c>
      <c r="I73" s="119">
        <v>1</v>
      </c>
      <c r="J73" s="119">
        <v>4</v>
      </c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5">
        <f>SUM(MC_2[[#This Row],[IS1Inv1M1]:[IS9Inv19M2]])</f>
        <v>0</v>
      </c>
      <c r="BF73" s="120">
        <v>0.23958333333333334</v>
      </c>
      <c r="BG73" s="120">
        <v>0.39583333333333331</v>
      </c>
      <c r="BH73" s="120">
        <v>0.64583333333333337</v>
      </c>
      <c r="BI73" s="120">
        <v>0.77083333333333337</v>
      </c>
      <c r="BJ73" s="119"/>
      <c r="BK73" s="119"/>
      <c r="BL73" s="119"/>
    </row>
    <row r="74" spans="1:64">
      <c r="A74" s="119">
        <v>72</v>
      </c>
      <c r="B74" s="113">
        <f t="shared" si="1"/>
        <v>45394</v>
      </c>
      <c r="C74" s="114">
        <f>YEAR(MC_2[[#This Row],[Date]])+IF(MONTH(MC_2[[#This Row],[Date]])&gt;=4,1,0)</f>
        <v>2025</v>
      </c>
      <c r="D74" s="115">
        <f>YEAR(MC_2[[#This Row],[Date]])</f>
        <v>2024</v>
      </c>
      <c r="E74" s="112" t="s">
        <v>326</v>
      </c>
      <c r="F74" s="112" t="s">
        <v>326</v>
      </c>
      <c r="G74" s="116" t="str">
        <f>TEXT(MC_2[[#This Row],[Date]],"mmm-yy")</f>
        <v>Apr-24</v>
      </c>
      <c r="H74" s="116">
        <f>DAY(EOMONTH(MC_2[[#This Row],[Month Year]],0))</f>
        <v>30</v>
      </c>
      <c r="I74" s="119">
        <v>1</v>
      </c>
      <c r="J74" s="119">
        <v>4</v>
      </c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5">
        <f>SUM(MC_2[[#This Row],[IS1Inv1M1]:[IS9Inv19M2]])</f>
        <v>0</v>
      </c>
      <c r="BF74" s="120">
        <v>0.22916666666666666</v>
      </c>
      <c r="BG74" s="120">
        <v>0.39583333333333331</v>
      </c>
      <c r="BH74" s="120">
        <v>0.60416666666666663</v>
      </c>
      <c r="BI74" s="120">
        <v>0.6875</v>
      </c>
      <c r="BJ74" s="119"/>
      <c r="BK74" s="119"/>
      <c r="BL74" s="119"/>
    </row>
    <row r="75" spans="1:64">
      <c r="A75" s="119">
        <v>73</v>
      </c>
      <c r="B75" s="113">
        <f t="shared" si="1"/>
        <v>45395</v>
      </c>
      <c r="C75" s="114">
        <f>YEAR(MC_2[[#This Row],[Date]])+IF(MONTH(MC_2[[#This Row],[Date]])&gt;=4,1,0)</f>
        <v>2025</v>
      </c>
      <c r="D75" s="115">
        <f>YEAR(MC_2[[#This Row],[Date]])</f>
        <v>2024</v>
      </c>
      <c r="E75" s="112" t="s">
        <v>326</v>
      </c>
      <c r="F75" s="112" t="s">
        <v>326</v>
      </c>
      <c r="G75" s="116" t="str">
        <f>TEXT(MC_2[[#This Row],[Date]],"mmm-yy")</f>
        <v>Apr-24</v>
      </c>
      <c r="H75" s="116">
        <f>DAY(EOMONTH(MC_2[[#This Row],[Month Year]],0))</f>
        <v>30</v>
      </c>
      <c r="I75" s="119">
        <v>1</v>
      </c>
      <c r="J75" s="119">
        <v>4</v>
      </c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5">
        <f>SUM(MC_2[[#This Row],[IS1Inv1M1]:[IS9Inv19M2]])</f>
        <v>0</v>
      </c>
      <c r="BF75" s="120">
        <v>0.21875</v>
      </c>
      <c r="BG75" s="120">
        <v>0.39583333333333331</v>
      </c>
      <c r="BH75" s="120">
        <v>0.625</v>
      </c>
      <c r="BI75" s="120">
        <v>0.6875</v>
      </c>
      <c r="BJ75" s="119"/>
      <c r="BK75" s="119"/>
      <c r="BL75" s="119"/>
    </row>
    <row r="76" spans="1:64">
      <c r="A76" s="119">
        <v>74</v>
      </c>
      <c r="B76" s="113">
        <f t="shared" si="1"/>
        <v>45396</v>
      </c>
      <c r="C76" s="114">
        <f>YEAR(MC_2[[#This Row],[Date]])+IF(MONTH(MC_2[[#This Row],[Date]])&gt;=4,1,0)</f>
        <v>2025</v>
      </c>
      <c r="D76" s="115">
        <f>YEAR(MC_2[[#This Row],[Date]])</f>
        <v>2024</v>
      </c>
      <c r="E76" s="112" t="s">
        <v>326</v>
      </c>
      <c r="F76" s="112" t="s">
        <v>326</v>
      </c>
      <c r="G76" s="116" t="str">
        <f>TEXT(MC_2[[#This Row],[Date]],"mmm-yy")</f>
        <v>Apr-24</v>
      </c>
      <c r="H76" s="116">
        <f>DAY(EOMONTH(MC_2[[#This Row],[Month Year]],0))</f>
        <v>30</v>
      </c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5">
        <f>SUM(MC_2[[#This Row],[IS1Inv1M1]:[IS9Inv19M2]])</f>
        <v>0</v>
      </c>
      <c r="BF76" s="120"/>
      <c r="BG76" s="119"/>
      <c r="BH76" s="119"/>
      <c r="BI76" s="120"/>
      <c r="BJ76" s="119"/>
      <c r="BK76" s="119"/>
      <c r="BL76" s="119"/>
    </row>
    <row r="77" spans="1:64">
      <c r="A77" s="119">
        <v>75</v>
      </c>
      <c r="B77" s="113">
        <f t="shared" si="1"/>
        <v>45397</v>
      </c>
      <c r="C77" s="114">
        <f>YEAR(MC_2[[#This Row],[Date]])+IF(MONTH(MC_2[[#This Row],[Date]])&gt;=4,1,0)</f>
        <v>2025</v>
      </c>
      <c r="D77" s="115">
        <f>YEAR(MC_2[[#This Row],[Date]])</f>
        <v>2024</v>
      </c>
      <c r="E77" s="112" t="s">
        <v>326</v>
      </c>
      <c r="F77" s="112" t="s">
        <v>326</v>
      </c>
      <c r="G77" s="116" t="str">
        <f>TEXT(MC_2[[#This Row],[Date]],"mmm-yy")</f>
        <v>Apr-24</v>
      </c>
      <c r="H77" s="116">
        <f>DAY(EOMONTH(MC_2[[#This Row],[Month Year]],0))</f>
        <v>30</v>
      </c>
      <c r="I77" s="119">
        <v>1</v>
      </c>
      <c r="J77" s="119">
        <v>4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5">
        <f>SUM(MC_2[[#This Row],[IS1Inv1M1]:[IS9Inv19M2]])</f>
        <v>0</v>
      </c>
      <c r="BF77" s="120">
        <v>0.22916666666666666</v>
      </c>
      <c r="BG77" s="120">
        <v>0.39583333333333331</v>
      </c>
      <c r="BH77" s="120">
        <v>0.60416666666666663</v>
      </c>
      <c r="BI77" s="120">
        <v>0.6875</v>
      </c>
      <c r="BJ77" s="119"/>
      <c r="BK77" s="119"/>
      <c r="BL77" s="119"/>
    </row>
    <row r="78" spans="1:64">
      <c r="A78" s="119">
        <v>76</v>
      </c>
      <c r="B78" s="113">
        <f t="shared" si="1"/>
        <v>45398</v>
      </c>
      <c r="C78" s="114">
        <f>YEAR(MC_2[[#This Row],[Date]])+IF(MONTH(MC_2[[#This Row],[Date]])&gt;=4,1,0)</f>
        <v>2025</v>
      </c>
      <c r="D78" s="115">
        <f>YEAR(MC_2[[#This Row],[Date]])</f>
        <v>2024</v>
      </c>
      <c r="E78" s="112" t="s">
        <v>326</v>
      </c>
      <c r="F78" s="112" t="s">
        <v>326</v>
      </c>
      <c r="G78" s="116" t="str">
        <f>TEXT(MC_2[[#This Row],[Date]],"mmm-yy")</f>
        <v>Apr-24</v>
      </c>
      <c r="H78" s="116">
        <f>DAY(EOMONTH(MC_2[[#This Row],[Month Year]],0))</f>
        <v>30</v>
      </c>
      <c r="I78" s="119">
        <v>1</v>
      </c>
      <c r="J78" s="119">
        <v>4</v>
      </c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5">
        <f>SUM(MC_2[[#This Row],[IS1Inv1M1]:[IS9Inv19M2]])</f>
        <v>0</v>
      </c>
      <c r="BF78" s="120">
        <v>0.22916666666666666</v>
      </c>
      <c r="BG78" s="120">
        <v>0.39583333333333331</v>
      </c>
      <c r="BH78" s="120">
        <v>0.60416666666666663</v>
      </c>
      <c r="BI78" s="120">
        <v>0.6875</v>
      </c>
      <c r="BJ78" s="119"/>
      <c r="BK78" s="119"/>
      <c r="BL78" s="119"/>
    </row>
    <row r="79" spans="1:64">
      <c r="A79" s="119">
        <v>77</v>
      </c>
      <c r="B79" s="113">
        <f t="shared" si="1"/>
        <v>45399</v>
      </c>
      <c r="C79" s="114">
        <f>YEAR(MC_2[[#This Row],[Date]])+IF(MONTH(MC_2[[#This Row],[Date]])&gt;=4,1,0)</f>
        <v>2025</v>
      </c>
      <c r="D79" s="115">
        <f>YEAR(MC_2[[#This Row],[Date]])</f>
        <v>2024</v>
      </c>
      <c r="E79" s="112" t="s">
        <v>326</v>
      </c>
      <c r="F79" s="112" t="s">
        <v>326</v>
      </c>
      <c r="G79" s="116" t="str">
        <f>TEXT(MC_2[[#This Row],[Date]],"mmm-yy")</f>
        <v>Apr-24</v>
      </c>
      <c r="H79" s="116">
        <f>DAY(EOMONTH(MC_2[[#This Row],[Month Year]],0))</f>
        <v>30</v>
      </c>
      <c r="I79" s="119">
        <v>1</v>
      </c>
      <c r="J79" s="119">
        <v>4</v>
      </c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5">
        <f>SUM(MC_2[[#This Row],[IS1Inv1M1]:[IS9Inv19M2]])</f>
        <v>0</v>
      </c>
      <c r="BF79" s="120">
        <v>0.22916666666666666</v>
      </c>
      <c r="BG79" s="120">
        <v>0.39583333333333331</v>
      </c>
      <c r="BH79" s="120">
        <v>0.60416666666666663</v>
      </c>
      <c r="BI79" s="120">
        <v>0.6875</v>
      </c>
      <c r="BJ79" s="119"/>
      <c r="BK79" s="119"/>
      <c r="BL79" s="119"/>
    </row>
    <row r="80" spans="1:64">
      <c r="A80" s="119">
        <v>78</v>
      </c>
      <c r="B80" s="113">
        <f t="shared" si="1"/>
        <v>45400</v>
      </c>
      <c r="C80" s="114">
        <f>YEAR(MC_2[[#This Row],[Date]])+IF(MONTH(MC_2[[#This Row],[Date]])&gt;=4,1,0)</f>
        <v>2025</v>
      </c>
      <c r="D80" s="115">
        <f>YEAR(MC_2[[#This Row],[Date]])</f>
        <v>2024</v>
      </c>
      <c r="E80" s="112" t="s">
        <v>326</v>
      </c>
      <c r="F80" s="112" t="s">
        <v>326</v>
      </c>
      <c r="G80" s="116" t="str">
        <f>TEXT(MC_2[[#This Row],[Date]],"mmm-yy")</f>
        <v>Apr-24</v>
      </c>
      <c r="H80" s="116">
        <f>DAY(EOMONTH(MC_2[[#This Row],[Month Year]],0))</f>
        <v>30</v>
      </c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5">
        <f>SUM(MC_2[[#This Row],[IS1Inv1M1]:[IS9Inv19M2]])</f>
        <v>0</v>
      </c>
      <c r="BF80" s="120"/>
      <c r="BG80" s="119"/>
      <c r="BH80" s="119"/>
      <c r="BI80" s="120"/>
      <c r="BJ80" s="119"/>
      <c r="BK80" s="119"/>
      <c r="BL80" s="119"/>
    </row>
    <row r="81" spans="1:64">
      <c r="A81" s="119">
        <v>79</v>
      </c>
      <c r="B81" s="113">
        <f t="shared" si="1"/>
        <v>45401</v>
      </c>
      <c r="C81" s="114">
        <f>YEAR(MC_2[[#This Row],[Date]])+IF(MONTH(MC_2[[#This Row],[Date]])&gt;=4,1,0)</f>
        <v>2025</v>
      </c>
      <c r="D81" s="115">
        <f>YEAR(MC_2[[#This Row],[Date]])</f>
        <v>2024</v>
      </c>
      <c r="E81" s="112" t="s">
        <v>326</v>
      </c>
      <c r="F81" s="112" t="s">
        <v>326</v>
      </c>
      <c r="G81" s="116" t="str">
        <f>TEXT(MC_2[[#This Row],[Date]],"mmm-yy")</f>
        <v>Apr-24</v>
      </c>
      <c r="H81" s="116">
        <f>DAY(EOMONTH(MC_2[[#This Row],[Month Year]],0))</f>
        <v>30</v>
      </c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5">
        <f>SUM(MC_2[[#This Row],[IS1Inv1M1]:[IS9Inv19M2]])</f>
        <v>0</v>
      </c>
      <c r="BF81" s="119"/>
      <c r="BG81" s="119"/>
      <c r="BH81" s="119"/>
      <c r="BI81" s="119"/>
      <c r="BJ81" s="119"/>
      <c r="BK81" s="119"/>
      <c r="BL81" s="119"/>
    </row>
    <row r="82" spans="1:64">
      <c r="A82" s="119">
        <v>80</v>
      </c>
      <c r="B82" s="113">
        <f t="shared" si="1"/>
        <v>45402</v>
      </c>
      <c r="C82" s="114">
        <f>YEAR(MC_2[[#This Row],[Date]])+IF(MONTH(MC_2[[#This Row],[Date]])&gt;=4,1,0)</f>
        <v>2025</v>
      </c>
      <c r="D82" s="115">
        <f>YEAR(MC_2[[#This Row],[Date]])</f>
        <v>2024</v>
      </c>
      <c r="E82" s="112" t="s">
        <v>326</v>
      </c>
      <c r="F82" s="112" t="s">
        <v>326</v>
      </c>
      <c r="G82" s="116" t="str">
        <f>TEXT(MC_2[[#This Row],[Date]],"mmm-yy")</f>
        <v>Apr-24</v>
      </c>
      <c r="H82" s="116">
        <f>DAY(EOMONTH(MC_2[[#This Row],[Month Year]],0))</f>
        <v>30</v>
      </c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5">
        <f>SUM(MC_2[[#This Row],[IS1Inv1M1]:[IS9Inv19M2]])</f>
        <v>0</v>
      </c>
      <c r="BF82" s="119"/>
      <c r="BG82" s="119"/>
      <c r="BH82" s="119"/>
      <c r="BI82" s="119"/>
      <c r="BJ82" s="119"/>
      <c r="BK82" s="119"/>
      <c r="BL82" s="119"/>
    </row>
    <row r="83" spans="1:64">
      <c r="A83" s="119">
        <v>81</v>
      </c>
      <c r="B83" s="113">
        <f t="shared" si="1"/>
        <v>45403</v>
      </c>
      <c r="C83" s="114">
        <f>YEAR(MC_2[[#This Row],[Date]])+IF(MONTH(MC_2[[#This Row],[Date]])&gt;=4,1,0)</f>
        <v>2025</v>
      </c>
      <c r="D83" s="115">
        <f>YEAR(MC_2[[#This Row],[Date]])</f>
        <v>2024</v>
      </c>
      <c r="E83" s="112" t="s">
        <v>326</v>
      </c>
      <c r="F83" s="112" t="s">
        <v>326</v>
      </c>
      <c r="G83" s="116" t="str">
        <f>TEXT(MC_2[[#This Row],[Date]],"mmm-yy")</f>
        <v>Apr-24</v>
      </c>
      <c r="H83" s="116">
        <f>DAY(EOMONTH(MC_2[[#This Row],[Month Year]],0))</f>
        <v>30</v>
      </c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5">
        <f>SUM(MC_2[[#This Row],[IS1Inv1M1]:[IS9Inv19M2]])</f>
        <v>0</v>
      </c>
      <c r="BF83" s="119"/>
      <c r="BG83" s="119"/>
      <c r="BH83" s="119"/>
      <c r="BI83" s="119"/>
      <c r="BJ83" s="119"/>
      <c r="BK83" s="119"/>
      <c r="BL83" s="119"/>
    </row>
    <row r="84" spans="1:64">
      <c r="A84" s="119">
        <v>82</v>
      </c>
      <c r="B84" s="113">
        <f t="shared" si="1"/>
        <v>45404</v>
      </c>
      <c r="C84" s="114">
        <f>YEAR(MC_2[[#This Row],[Date]])+IF(MONTH(MC_2[[#This Row],[Date]])&gt;=4,1,0)</f>
        <v>2025</v>
      </c>
      <c r="D84" s="115">
        <f>YEAR(MC_2[[#This Row],[Date]])</f>
        <v>2024</v>
      </c>
      <c r="E84" s="112" t="s">
        <v>326</v>
      </c>
      <c r="F84" s="112" t="s">
        <v>326</v>
      </c>
      <c r="G84" s="116" t="str">
        <f>TEXT(MC_2[[#This Row],[Date]],"mmm-yy")</f>
        <v>Apr-24</v>
      </c>
      <c r="H84" s="116">
        <f>DAY(EOMONTH(MC_2[[#This Row],[Month Year]],0))</f>
        <v>30</v>
      </c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5">
        <f>SUM(MC_2[[#This Row],[IS1Inv1M1]:[IS9Inv19M2]])</f>
        <v>0</v>
      </c>
      <c r="BF84" s="119"/>
      <c r="BG84" s="119"/>
      <c r="BH84" s="119"/>
      <c r="BI84" s="119"/>
      <c r="BJ84" s="119"/>
      <c r="BK84" s="119"/>
      <c r="BL84" s="119"/>
    </row>
    <row r="85" spans="1:64">
      <c r="A85" s="119">
        <v>83</v>
      </c>
      <c r="B85" s="113">
        <f t="shared" si="1"/>
        <v>45405</v>
      </c>
      <c r="C85" s="114">
        <f>YEAR(MC_2[[#This Row],[Date]])+IF(MONTH(MC_2[[#This Row],[Date]])&gt;=4,1,0)</f>
        <v>2025</v>
      </c>
      <c r="D85" s="115">
        <f>YEAR(MC_2[[#This Row],[Date]])</f>
        <v>2024</v>
      </c>
      <c r="E85" s="112" t="s">
        <v>326</v>
      </c>
      <c r="F85" s="112" t="s">
        <v>326</v>
      </c>
      <c r="G85" s="116" t="str">
        <f>TEXT(MC_2[[#This Row],[Date]],"mmm-yy")</f>
        <v>Apr-24</v>
      </c>
      <c r="H85" s="116">
        <f>DAY(EOMONTH(MC_2[[#This Row],[Month Year]],0))</f>
        <v>30</v>
      </c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5">
        <f>SUM(MC_2[[#This Row],[IS1Inv1M1]:[IS9Inv19M2]])</f>
        <v>0</v>
      </c>
      <c r="BF85" s="119"/>
      <c r="BG85" s="119"/>
      <c r="BH85" s="119"/>
      <c r="BI85" s="119"/>
      <c r="BJ85" s="119"/>
      <c r="BK85" s="119"/>
      <c r="BL85" s="119"/>
    </row>
    <row r="86" spans="1:64">
      <c r="A86" s="119">
        <v>84</v>
      </c>
      <c r="B86" s="113">
        <f t="shared" si="1"/>
        <v>45406</v>
      </c>
      <c r="C86" s="114">
        <f>YEAR(MC_2[[#This Row],[Date]])+IF(MONTH(MC_2[[#This Row],[Date]])&gt;=4,1,0)</f>
        <v>2025</v>
      </c>
      <c r="D86" s="115">
        <f>YEAR(MC_2[[#This Row],[Date]])</f>
        <v>2024</v>
      </c>
      <c r="E86" s="112" t="s">
        <v>326</v>
      </c>
      <c r="F86" s="112" t="s">
        <v>326</v>
      </c>
      <c r="G86" s="116" t="str">
        <f>TEXT(MC_2[[#This Row],[Date]],"mmm-yy")</f>
        <v>Apr-24</v>
      </c>
      <c r="H86" s="116">
        <f>DAY(EOMONTH(MC_2[[#This Row],[Month Year]],0))</f>
        <v>30</v>
      </c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5">
        <f>SUM(MC_2[[#This Row],[IS1Inv1M1]:[IS9Inv19M2]])</f>
        <v>0</v>
      </c>
      <c r="BF86" s="120"/>
      <c r="BG86" s="119"/>
      <c r="BH86" s="119"/>
      <c r="BI86" s="120"/>
      <c r="BJ86" s="119"/>
      <c r="BK86" s="119"/>
      <c r="BL86" s="119"/>
    </row>
    <row r="87" spans="1:64">
      <c r="A87" s="119">
        <v>85</v>
      </c>
      <c r="B87" s="113">
        <f t="shared" si="1"/>
        <v>45407</v>
      </c>
      <c r="C87" s="114">
        <f>YEAR(MC_2[[#This Row],[Date]])+IF(MONTH(MC_2[[#This Row],[Date]])&gt;=4,1,0)</f>
        <v>2025</v>
      </c>
      <c r="D87" s="115">
        <f>YEAR(MC_2[[#This Row],[Date]])</f>
        <v>2024</v>
      </c>
      <c r="E87" s="112" t="s">
        <v>326</v>
      </c>
      <c r="F87" s="112" t="s">
        <v>326</v>
      </c>
      <c r="G87" s="116" t="str">
        <f>TEXT(MC_2[[#This Row],[Date]],"mmm-yy")</f>
        <v>Apr-24</v>
      </c>
      <c r="H87" s="116">
        <f>DAY(EOMONTH(MC_2[[#This Row],[Month Year]],0))</f>
        <v>30</v>
      </c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5">
        <f>SUM(MC_2[[#This Row],[IS1Inv1M1]:[IS9Inv19M2]])</f>
        <v>0</v>
      </c>
      <c r="BF87" s="120"/>
      <c r="BG87" s="119"/>
      <c r="BH87" s="119"/>
      <c r="BI87" s="120"/>
      <c r="BJ87" s="119"/>
      <c r="BK87" s="119"/>
      <c r="BL87" s="119"/>
    </row>
    <row r="88" spans="1:64">
      <c r="A88" s="119">
        <v>86</v>
      </c>
      <c r="B88" s="113">
        <f t="shared" si="1"/>
        <v>45408</v>
      </c>
      <c r="C88" s="114">
        <f>YEAR(MC_2[[#This Row],[Date]])+IF(MONTH(MC_2[[#This Row],[Date]])&gt;=4,1,0)</f>
        <v>2025</v>
      </c>
      <c r="D88" s="115">
        <f>YEAR(MC_2[[#This Row],[Date]])</f>
        <v>2024</v>
      </c>
      <c r="E88" s="112" t="s">
        <v>326</v>
      </c>
      <c r="F88" s="112" t="s">
        <v>326</v>
      </c>
      <c r="G88" s="116" t="str">
        <f>TEXT(MC_2[[#This Row],[Date]],"mmm-yy")</f>
        <v>Apr-24</v>
      </c>
      <c r="H88" s="116">
        <f>DAY(EOMONTH(MC_2[[#This Row],[Month Year]],0))</f>
        <v>30</v>
      </c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5">
        <f>SUM(MC_2[[#This Row],[IS1Inv1M1]:[IS9Inv19M2]])</f>
        <v>0</v>
      </c>
      <c r="BF88" s="119"/>
      <c r="BG88" s="119"/>
      <c r="BH88" s="119"/>
      <c r="BI88" s="119"/>
      <c r="BJ88" s="119"/>
      <c r="BK88" s="119"/>
      <c r="BL88" s="119"/>
    </row>
    <row r="89" spans="1:64">
      <c r="A89" s="119">
        <v>87</v>
      </c>
      <c r="B89" s="113">
        <f t="shared" si="1"/>
        <v>45409</v>
      </c>
      <c r="C89" s="114">
        <f>YEAR(MC_2[[#This Row],[Date]])+IF(MONTH(MC_2[[#This Row],[Date]])&gt;=4,1,0)</f>
        <v>2025</v>
      </c>
      <c r="D89" s="115">
        <f>YEAR(MC_2[[#This Row],[Date]])</f>
        <v>2024</v>
      </c>
      <c r="E89" s="112" t="s">
        <v>326</v>
      </c>
      <c r="F89" s="112" t="s">
        <v>326</v>
      </c>
      <c r="G89" s="116" t="str">
        <f>TEXT(MC_2[[#This Row],[Date]],"mmm-yy")</f>
        <v>Apr-24</v>
      </c>
      <c r="H89" s="116">
        <f>DAY(EOMONTH(MC_2[[#This Row],[Month Year]],0))</f>
        <v>30</v>
      </c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5">
        <f>SUM(MC_2[[#This Row],[IS1Inv1M1]:[IS9Inv19M2]])</f>
        <v>0</v>
      </c>
      <c r="BF89" s="119"/>
      <c r="BG89" s="119"/>
      <c r="BH89" s="119"/>
      <c r="BI89" s="119"/>
      <c r="BJ89" s="119"/>
      <c r="BK89" s="119"/>
      <c r="BL89" s="119"/>
    </row>
    <row r="90" spans="1:64">
      <c r="A90" s="119">
        <v>88</v>
      </c>
      <c r="B90" s="113">
        <f t="shared" si="1"/>
        <v>45410</v>
      </c>
      <c r="C90" s="114">
        <f>YEAR(MC_2[[#This Row],[Date]])+IF(MONTH(MC_2[[#This Row],[Date]])&gt;=4,1,0)</f>
        <v>2025</v>
      </c>
      <c r="D90" s="115">
        <f>YEAR(MC_2[[#This Row],[Date]])</f>
        <v>2024</v>
      </c>
      <c r="E90" s="112" t="s">
        <v>326</v>
      </c>
      <c r="F90" s="112" t="s">
        <v>326</v>
      </c>
      <c r="G90" s="116" t="str">
        <f>TEXT(MC_2[[#This Row],[Date]],"mmm-yy")</f>
        <v>Apr-24</v>
      </c>
      <c r="H90" s="116">
        <f>DAY(EOMONTH(MC_2[[#This Row],[Month Year]],0))</f>
        <v>30</v>
      </c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5">
        <f>SUM(MC_2[[#This Row],[IS1Inv1M1]:[IS9Inv19M2]])</f>
        <v>0</v>
      </c>
      <c r="BF90" s="119"/>
      <c r="BG90" s="119"/>
      <c r="BH90" s="119"/>
      <c r="BI90" s="119"/>
      <c r="BJ90" s="119"/>
      <c r="BK90" s="119"/>
      <c r="BL90" s="119"/>
    </row>
    <row r="91" spans="1:64">
      <c r="A91" s="119">
        <v>89</v>
      </c>
      <c r="B91" s="113">
        <f t="shared" si="1"/>
        <v>45411</v>
      </c>
      <c r="C91" s="114">
        <f>YEAR(MC_2[[#This Row],[Date]])+IF(MONTH(MC_2[[#This Row],[Date]])&gt;=4,1,0)</f>
        <v>2025</v>
      </c>
      <c r="D91" s="115">
        <f>YEAR(MC_2[[#This Row],[Date]])</f>
        <v>2024</v>
      </c>
      <c r="E91" s="112" t="s">
        <v>326</v>
      </c>
      <c r="F91" s="112" t="s">
        <v>326</v>
      </c>
      <c r="G91" s="116" t="str">
        <f>TEXT(MC_2[[#This Row],[Date]],"mmm-yy")</f>
        <v>Apr-24</v>
      </c>
      <c r="H91" s="116">
        <f>DAY(EOMONTH(MC_2[[#This Row],[Month Year]],0))</f>
        <v>30</v>
      </c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5">
        <f>SUM(MC_2[[#This Row],[IS1Inv1M1]:[IS9Inv19M2]])</f>
        <v>0</v>
      </c>
      <c r="BF91" s="119"/>
      <c r="BG91" s="119"/>
      <c r="BH91" s="119"/>
      <c r="BI91" s="119"/>
      <c r="BJ91" s="119"/>
      <c r="BK91" s="119"/>
      <c r="BL91" s="119"/>
    </row>
    <row r="92" spans="1:64">
      <c r="A92" s="119">
        <v>90</v>
      </c>
      <c r="B92" s="113">
        <f t="shared" si="1"/>
        <v>45412</v>
      </c>
      <c r="C92" s="114">
        <f>YEAR(MC_2[[#This Row],[Date]])+IF(MONTH(MC_2[[#This Row],[Date]])&gt;=4,1,0)</f>
        <v>2025</v>
      </c>
      <c r="D92" s="115">
        <f>YEAR(MC_2[[#This Row],[Date]])</f>
        <v>2024</v>
      </c>
      <c r="E92" s="112" t="s">
        <v>326</v>
      </c>
      <c r="F92" s="112" t="s">
        <v>326</v>
      </c>
      <c r="G92" s="116" t="str">
        <f>TEXT(MC_2[[#This Row],[Date]],"mmm-yy")</f>
        <v>Apr-24</v>
      </c>
      <c r="H92" s="116">
        <f>DAY(EOMONTH(MC_2[[#This Row],[Month Year]],0))</f>
        <v>30</v>
      </c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5">
        <f>SUM(MC_2[[#This Row],[IS1Inv1M1]:[IS9Inv19M2]])</f>
        <v>0</v>
      </c>
      <c r="BF92" s="119"/>
      <c r="BG92" s="119"/>
      <c r="BH92" s="119"/>
      <c r="BI92" s="119"/>
      <c r="BJ92" s="119"/>
      <c r="BK92" s="119"/>
      <c r="BL92" s="119"/>
    </row>
    <row r="93" spans="1:64">
      <c r="A93" s="119">
        <v>91</v>
      </c>
      <c r="B93" s="113">
        <f t="shared" si="1"/>
        <v>45413</v>
      </c>
      <c r="C93" s="114">
        <f>YEAR(MC_2[[#This Row],[Date]])+IF(MONTH(MC_2[[#This Row],[Date]])&gt;=4,1,0)</f>
        <v>2025</v>
      </c>
      <c r="D93" s="115">
        <f>YEAR(MC_2[[#This Row],[Date]])</f>
        <v>2024</v>
      </c>
      <c r="E93" s="112" t="s">
        <v>326</v>
      </c>
      <c r="F93" s="112" t="s">
        <v>326</v>
      </c>
      <c r="G93" s="116" t="str">
        <f>TEXT(MC_2[[#This Row],[Date]],"mmm-yy")</f>
        <v>May-24</v>
      </c>
      <c r="H93" s="116">
        <f>DAY(EOMONTH(MC_2[[#This Row],[Month Year]],0))</f>
        <v>31</v>
      </c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5">
        <f>SUM(MC_2[[#This Row],[IS1Inv1M1]:[IS9Inv19M2]])</f>
        <v>0</v>
      </c>
      <c r="BF93" s="119"/>
      <c r="BG93" s="119"/>
      <c r="BH93" s="119"/>
      <c r="BI93" s="119"/>
      <c r="BJ93" s="119"/>
      <c r="BK93" s="119"/>
      <c r="BL93" s="119"/>
    </row>
    <row r="94" spans="1:64">
      <c r="A94" s="119">
        <v>92</v>
      </c>
      <c r="B94" s="113">
        <f t="shared" si="1"/>
        <v>45414</v>
      </c>
      <c r="C94" s="114">
        <f>YEAR(MC_2[[#This Row],[Date]])+IF(MONTH(MC_2[[#This Row],[Date]])&gt;=4,1,0)</f>
        <v>2025</v>
      </c>
      <c r="D94" s="115">
        <f>YEAR(MC_2[[#This Row],[Date]])</f>
        <v>2024</v>
      </c>
      <c r="E94" s="112" t="s">
        <v>326</v>
      </c>
      <c r="F94" s="112" t="s">
        <v>326</v>
      </c>
      <c r="G94" s="116" t="str">
        <f>TEXT(MC_2[[#This Row],[Date]],"mmm-yy")</f>
        <v>May-24</v>
      </c>
      <c r="H94" s="116">
        <f>DAY(EOMONTH(MC_2[[#This Row],[Month Year]],0))</f>
        <v>31</v>
      </c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5">
        <f>SUM(MC_2[[#This Row],[IS1Inv1M1]:[IS9Inv19M2]])</f>
        <v>0</v>
      </c>
      <c r="BF94" s="119"/>
      <c r="BG94" s="119"/>
      <c r="BH94" s="119"/>
      <c r="BI94" s="119"/>
      <c r="BJ94" s="119"/>
      <c r="BK94" s="119"/>
      <c r="BL94" s="119"/>
    </row>
    <row r="95" spans="1:64">
      <c r="A95" s="119">
        <v>93</v>
      </c>
      <c r="B95" s="113">
        <f t="shared" si="1"/>
        <v>45415</v>
      </c>
      <c r="C95" s="114">
        <f>YEAR(MC_2[[#This Row],[Date]])+IF(MONTH(MC_2[[#This Row],[Date]])&gt;=4,1,0)</f>
        <v>2025</v>
      </c>
      <c r="D95" s="115">
        <f>YEAR(MC_2[[#This Row],[Date]])</f>
        <v>2024</v>
      </c>
      <c r="E95" s="112" t="s">
        <v>326</v>
      </c>
      <c r="F95" s="112" t="s">
        <v>326</v>
      </c>
      <c r="G95" s="116" t="str">
        <f>TEXT(MC_2[[#This Row],[Date]],"mmm-yy")</f>
        <v>May-24</v>
      </c>
      <c r="H95" s="116">
        <f>DAY(EOMONTH(MC_2[[#This Row],[Month Year]],0))</f>
        <v>31</v>
      </c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5">
        <f>SUM(MC_2[[#This Row],[IS1Inv1M1]:[IS9Inv19M2]])</f>
        <v>0</v>
      </c>
      <c r="BF95" s="119"/>
      <c r="BG95" s="119"/>
      <c r="BH95" s="119"/>
      <c r="BI95" s="119"/>
      <c r="BJ95" s="119"/>
      <c r="BK95" s="119"/>
      <c r="BL95" s="119"/>
    </row>
    <row r="96" spans="1:64">
      <c r="A96" s="119">
        <v>94</v>
      </c>
      <c r="B96" s="113">
        <f t="shared" si="1"/>
        <v>45416</v>
      </c>
      <c r="C96" s="114">
        <f>YEAR(MC_2[[#This Row],[Date]])+IF(MONTH(MC_2[[#This Row],[Date]])&gt;=4,1,0)</f>
        <v>2025</v>
      </c>
      <c r="D96" s="115">
        <f>YEAR(MC_2[[#This Row],[Date]])</f>
        <v>2024</v>
      </c>
      <c r="E96" s="112" t="s">
        <v>326</v>
      </c>
      <c r="F96" s="112" t="s">
        <v>326</v>
      </c>
      <c r="G96" s="116" t="str">
        <f>TEXT(MC_2[[#This Row],[Date]],"mmm-yy")</f>
        <v>May-24</v>
      </c>
      <c r="H96" s="116">
        <f>DAY(EOMONTH(MC_2[[#This Row],[Month Year]],0))</f>
        <v>31</v>
      </c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5">
        <f>SUM(MC_2[[#This Row],[IS1Inv1M1]:[IS9Inv19M2]])</f>
        <v>0</v>
      </c>
      <c r="BF96" s="120"/>
      <c r="BG96" s="119"/>
      <c r="BH96" s="119"/>
      <c r="BI96" s="120"/>
      <c r="BJ96" s="119"/>
      <c r="BK96" s="119"/>
      <c r="BL96" s="119"/>
    </row>
    <row r="97" spans="1:64">
      <c r="A97" s="119">
        <v>95</v>
      </c>
      <c r="B97" s="113">
        <f t="shared" si="1"/>
        <v>45417</v>
      </c>
      <c r="C97" s="114">
        <f>YEAR(MC_2[[#This Row],[Date]])+IF(MONTH(MC_2[[#This Row],[Date]])&gt;=4,1,0)</f>
        <v>2025</v>
      </c>
      <c r="D97" s="115">
        <f>YEAR(MC_2[[#This Row],[Date]])</f>
        <v>2024</v>
      </c>
      <c r="E97" s="112" t="s">
        <v>326</v>
      </c>
      <c r="F97" s="112" t="s">
        <v>326</v>
      </c>
      <c r="G97" s="116" t="str">
        <f>TEXT(MC_2[[#This Row],[Date]],"mmm-yy")</f>
        <v>May-24</v>
      </c>
      <c r="H97" s="116">
        <f>DAY(EOMONTH(MC_2[[#This Row],[Month Year]],0))</f>
        <v>31</v>
      </c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5">
        <f>SUM(MC_2[[#This Row],[IS1Inv1M1]:[IS9Inv19M2]])</f>
        <v>0</v>
      </c>
      <c r="BF97" s="119"/>
      <c r="BG97" s="119"/>
      <c r="BH97" s="119"/>
      <c r="BI97" s="119"/>
      <c r="BJ97" s="119"/>
      <c r="BK97" s="119"/>
      <c r="BL97" s="119"/>
    </row>
    <row r="98" spans="1:64">
      <c r="A98" s="119">
        <v>96</v>
      </c>
      <c r="B98" s="113">
        <f t="shared" si="1"/>
        <v>45418</v>
      </c>
      <c r="C98" s="114">
        <f>YEAR(MC_2[[#This Row],[Date]])+IF(MONTH(MC_2[[#This Row],[Date]])&gt;=4,1,0)</f>
        <v>2025</v>
      </c>
      <c r="D98" s="115">
        <f>YEAR(MC_2[[#This Row],[Date]])</f>
        <v>2024</v>
      </c>
      <c r="E98" s="112" t="s">
        <v>326</v>
      </c>
      <c r="F98" s="112" t="s">
        <v>326</v>
      </c>
      <c r="G98" s="116" t="str">
        <f>TEXT(MC_2[[#This Row],[Date]],"mmm-yy")</f>
        <v>May-24</v>
      </c>
      <c r="H98" s="116">
        <f>DAY(EOMONTH(MC_2[[#This Row],[Month Year]],0))</f>
        <v>31</v>
      </c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5">
        <f>SUM(MC_2[[#This Row],[IS1Inv1M1]:[IS9Inv19M2]])</f>
        <v>0</v>
      </c>
      <c r="BF98" s="119"/>
      <c r="BG98" s="119"/>
      <c r="BH98" s="119"/>
      <c r="BI98" s="119"/>
      <c r="BJ98" s="119"/>
      <c r="BK98" s="119"/>
      <c r="BL98" s="119"/>
    </row>
    <row r="99" spans="1:64">
      <c r="A99" s="119">
        <v>97</v>
      </c>
      <c r="B99" s="113">
        <f t="shared" si="1"/>
        <v>45419</v>
      </c>
      <c r="C99" s="114">
        <f>YEAR(MC_2[[#This Row],[Date]])+IF(MONTH(MC_2[[#This Row],[Date]])&gt;=4,1,0)</f>
        <v>2025</v>
      </c>
      <c r="D99" s="115">
        <f>YEAR(MC_2[[#This Row],[Date]])</f>
        <v>2024</v>
      </c>
      <c r="E99" s="112" t="s">
        <v>326</v>
      </c>
      <c r="F99" s="112" t="s">
        <v>326</v>
      </c>
      <c r="G99" s="116" t="str">
        <f>TEXT(MC_2[[#This Row],[Date]],"mmm-yy")</f>
        <v>May-24</v>
      </c>
      <c r="H99" s="116">
        <f>DAY(EOMONTH(MC_2[[#This Row],[Month Year]],0))</f>
        <v>31</v>
      </c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5">
        <f>SUM(MC_2[[#This Row],[IS1Inv1M1]:[IS9Inv19M2]])</f>
        <v>0</v>
      </c>
      <c r="BF99" s="119"/>
      <c r="BG99" s="119"/>
      <c r="BH99" s="119"/>
      <c r="BI99" s="119"/>
      <c r="BJ99" s="119"/>
      <c r="BK99" s="119"/>
      <c r="BL99" s="119"/>
    </row>
    <row r="100" spans="1:64">
      <c r="A100" s="119">
        <v>98</v>
      </c>
      <c r="B100" s="113">
        <f t="shared" si="1"/>
        <v>45420</v>
      </c>
      <c r="C100" s="114">
        <f>YEAR(MC_2[[#This Row],[Date]])+IF(MONTH(MC_2[[#This Row],[Date]])&gt;=4,1,0)</f>
        <v>2025</v>
      </c>
      <c r="D100" s="115">
        <f>YEAR(MC_2[[#This Row],[Date]])</f>
        <v>2024</v>
      </c>
      <c r="E100" s="112" t="s">
        <v>326</v>
      </c>
      <c r="F100" s="112" t="s">
        <v>326</v>
      </c>
      <c r="G100" s="116" t="str">
        <f>TEXT(MC_2[[#This Row],[Date]],"mmm-yy")</f>
        <v>May-24</v>
      </c>
      <c r="H100" s="116">
        <f>DAY(EOMONTH(MC_2[[#This Row],[Month Year]],0))</f>
        <v>31</v>
      </c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5">
        <f>SUM(MC_2[[#This Row],[IS1Inv1M1]:[IS9Inv19M2]])</f>
        <v>0</v>
      </c>
      <c r="BF100" s="119"/>
      <c r="BG100" s="119"/>
      <c r="BH100" s="119"/>
      <c r="BI100" s="119"/>
      <c r="BJ100" s="119"/>
      <c r="BK100" s="119"/>
      <c r="BL100" s="119"/>
    </row>
    <row r="101" spans="1:64">
      <c r="A101" s="119">
        <v>99</v>
      </c>
      <c r="B101" s="113">
        <f t="shared" si="1"/>
        <v>45421</v>
      </c>
      <c r="C101" s="114">
        <f>YEAR(MC_2[[#This Row],[Date]])+IF(MONTH(MC_2[[#This Row],[Date]])&gt;=4,1,0)</f>
        <v>2025</v>
      </c>
      <c r="D101" s="115">
        <f>YEAR(MC_2[[#This Row],[Date]])</f>
        <v>2024</v>
      </c>
      <c r="E101" s="112" t="s">
        <v>326</v>
      </c>
      <c r="F101" s="112" t="s">
        <v>326</v>
      </c>
      <c r="G101" s="116" t="str">
        <f>TEXT(MC_2[[#This Row],[Date]],"mmm-yy")</f>
        <v>May-24</v>
      </c>
      <c r="H101" s="116">
        <f>DAY(EOMONTH(MC_2[[#This Row],[Month Year]],0))</f>
        <v>31</v>
      </c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5">
        <f>SUM(MC_2[[#This Row],[IS1Inv1M1]:[IS9Inv19M2]])</f>
        <v>0</v>
      </c>
      <c r="BF101" s="119"/>
      <c r="BG101" s="119"/>
      <c r="BH101" s="119"/>
      <c r="BI101" s="119"/>
      <c r="BJ101" s="119"/>
      <c r="BK101" s="119"/>
      <c r="BL101" s="119"/>
    </row>
    <row r="102" spans="1:64">
      <c r="A102" s="119">
        <v>100</v>
      </c>
      <c r="B102" s="113">
        <f t="shared" si="1"/>
        <v>45422</v>
      </c>
      <c r="C102" s="114">
        <f>YEAR(MC_2[[#This Row],[Date]])+IF(MONTH(MC_2[[#This Row],[Date]])&gt;=4,1,0)</f>
        <v>2025</v>
      </c>
      <c r="D102" s="115">
        <f>YEAR(MC_2[[#This Row],[Date]])</f>
        <v>2024</v>
      </c>
      <c r="E102" s="112" t="s">
        <v>326</v>
      </c>
      <c r="F102" s="112" t="s">
        <v>326</v>
      </c>
      <c r="G102" s="116" t="str">
        <f>TEXT(MC_2[[#This Row],[Date]],"mmm-yy")</f>
        <v>May-24</v>
      </c>
      <c r="H102" s="116">
        <f>DAY(EOMONTH(MC_2[[#This Row],[Month Year]],0))</f>
        <v>31</v>
      </c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5">
        <f>SUM(MC_2[[#This Row],[IS1Inv1M1]:[IS9Inv19M2]])</f>
        <v>0</v>
      </c>
      <c r="BF102" s="119"/>
      <c r="BG102" s="119"/>
      <c r="BH102" s="119"/>
      <c r="BI102" s="119"/>
      <c r="BJ102" s="119"/>
      <c r="BK102" s="119"/>
      <c r="BL102" s="119"/>
    </row>
    <row r="103" spans="1:64">
      <c r="A103" s="119">
        <v>101</v>
      </c>
      <c r="B103" s="113">
        <f t="shared" si="1"/>
        <v>45423</v>
      </c>
      <c r="C103" s="114">
        <f>YEAR(MC_2[[#This Row],[Date]])+IF(MONTH(MC_2[[#This Row],[Date]])&gt;=4,1,0)</f>
        <v>2025</v>
      </c>
      <c r="D103" s="115">
        <f>YEAR(MC_2[[#This Row],[Date]])</f>
        <v>2024</v>
      </c>
      <c r="E103" s="112" t="s">
        <v>326</v>
      </c>
      <c r="F103" s="112" t="s">
        <v>326</v>
      </c>
      <c r="G103" s="116" t="str">
        <f>TEXT(MC_2[[#This Row],[Date]],"mmm-yy")</f>
        <v>May-24</v>
      </c>
      <c r="H103" s="116">
        <f>DAY(EOMONTH(MC_2[[#This Row],[Month Year]],0))</f>
        <v>31</v>
      </c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5">
        <f>SUM(MC_2[[#This Row],[IS1Inv1M1]:[IS9Inv19M2]])</f>
        <v>0</v>
      </c>
      <c r="BF103" s="119"/>
      <c r="BG103" s="119"/>
      <c r="BH103" s="119"/>
      <c r="BI103" s="119"/>
      <c r="BJ103" s="119"/>
      <c r="BK103" s="119"/>
      <c r="BL103" s="119"/>
    </row>
    <row r="104" spans="1:64">
      <c r="A104" s="119">
        <v>102</v>
      </c>
      <c r="B104" s="113">
        <f t="shared" si="1"/>
        <v>45424</v>
      </c>
      <c r="C104" s="114">
        <f>YEAR(MC_2[[#This Row],[Date]])+IF(MONTH(MC_2[[#This Row],[Date]])&gt;=4,1,0)</f>
        <v>2025</v>
      </c>
      <c r="D104" s="115">
        <f>YEAR(MC_2[[#This Row],[Date]])</f>
        <v>2024</v>
      </c>
      <c r="E104" s="112" t="s">
        <v>326</v>
      </c>
      <c r="F104" s="112" t="s">
        <v>326</v>
      </c>
      <c r="G104" s="116" t="str">
        <f>TEXT(MC_2[[#This Row],[Date]],"mmm-yy")</f>
        <v>May-24</v>
      </c>
      <c r="H104" s="116">
        <f>DAY(EOMONTH(MC_2[[#This Row],[Month Year]],0))</f>
        <v>31</v>
      </c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5">
        <f>SUM(MC_2[[#This Row],[IS1Inv1M1]:[IS9Inv19M2]])</f>
        <v>0</v>
      </c>
      <c r="BF104" s="119"/>
      <c r="BG104" s="119"/>
      <c r="BH104" s="119"/>
      <c r="BI104" s="119"/>
      <c r="BJ104" s="119"/>
      <c r="BK104" s="119"/>
      <c r="BL104" s="119"/>
    </row>
    <row r="105" spans="1:64">
      <c r="A105" s="119">
        <v>103</v>
      </c>
      <c r="B105" s="113">
        <f t="shared" si="1"/>
        <v>45425</v>
      </c>
      <c r="C105" s="114">
        <f>YEAR(MC_2[[#This Row],[Date]])+IF(MONTH(MC_2[[#This Row],[Date]])&gt;=4,1,0)</f>
        <v>2025</v>
      </c>
      <c r="D105" s="115">
        <f>YEAR(MC_2[[#This Row],[Date]])</f>
        <v>2024</v>
      </c>
      <c r="E105" s="112" t="s">
        <v>326</v>
      </c>
      <c r="F105" s="112" t="s">
        <v>326</v>
      </c>
      <c r="G105" s="116" t="str">
        <f>TEXT(MC_2[[#This Row],[Date]],"mmm-yy")</f>
        <v>May-24</v>
      </c>
      <c r="H105" s="116">
        <f>DAY(EOMONTH(MC_2[[#This Row],[Month Year]],0))</f>
        <v>31</v>
      </c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5">
        <f>SUM(MC_2[[#This Row],[IS1Inv1M1]:[IS9Inv19M2]])</f>
        <v>0</v>
      </c>
      <c r="BF105" s="119"/>
      <c r="BG105" s="119"/>
      <c r="BH105" s="120"/>
      <c r="BI105" s="120"/>
      <c r="BJ105" s="119"/>
      <c r="BK105" s="119"/>
      <c r="BL105" s="119"/>
    </row>
    <row r="106" spans="1:64">
      <c r="A106" s="119">
        <v>104</v>
      </c>
      <c r="B106" s="113">
        <f t="shared" si="1"/>
        <v>45426</v>
      </c>
      <c r="C106" s="114">
        <f>YEAR(MC_2[[#This Row],[Date]])+IF(MONTH(MC_2[[#This Row],[Date]])&gt;=4,1,0)</f>
        <v>2025</v>
      </c>
      <c r="D106" s="115">
        <f>YEAR(MC_2[[#This Row],[Date]])</f>
        <v>2024</v>
      </c>
      <c r="E106" s="112" t="s">
        <v>326</v>
      </c>
      <c r="F106" s="112" t="s">
        <v>326</v>
      </c>
      <c r="G106" s="116" t="str">
        <f>TEXT(MC_2[[#This Row],[Date]],"mmm-yy")</f>
        <v>May-24</v>
      </c>
      <c r="H106" s="116">
        <f>DAY(EOMONTH(MC_2[[#This Row],[Month Year]],0))</f>
        <v>31</v>
      </c>
      <c r="I106" s="119">
        <v>1</v>
      </c>
      <c r="J106" s="119" t="s">
        <v>1199</v>
      </c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5">
        <f>SUM(MC_2[[#This Row],[IS1Inv1M1]:[IS9Inv19M2]])</f>
        <v>0</v>
      </c>
      <c r="BF106" s="120"/>
      <c r="BG106" s="120"/>
      <c r="BH106" s="120"/>
      <c r="BI106" s="120"/>
      <c r="BJ106" s="119"/>
      <c r="BK106" s="119"/>
      <c r="BL106" s="119"/>
    </row>
    <row r="107" spans="1:64">
      <c r="A107" s="119">
        <v>105</v>
      </c>
      <c r="B107" s="113">
        <f t="shared" si="1"/>
        <v>45427</v>
      </c>
      <c r="C107" s="114">
        <f>YEAR(MC_2[[#This Row],[Date]])+IF(MONTH(MC_2[[#This Row],[Date]])&gt;=4,1,0)</f>
        <v>2025</v>
      </c>
      <c r="D107" s="115">
        <f>YEAR(MC_2[[#This Row],[Date]])</f>
        <v>2024</v>
      </c>
      <c r="E107" s="112" t="s">
        <v>326</v>
      </c>
      <c r="F107" s="112" t="s">
        <v>326</v>
      </c>
      <c r="G107" s="116" t="str">
        <f>TEXT(MC_2[[#This Row],[Date]],"mmm-yy")</f>
        <v>May-24</v>
      </c>
      <c r="H107" s="116">
        <f>DAY(EOMONTH(MC_2[[#This Row],[Month Year]],0))</f>
        <v>31</v>
      </c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5">
        <f>SUM(MC_2[[#This Row],[IS1Inv1M1]:[IS9Inv19M2]])</f>
        <v>0</v>
      </c>
      <c r="BF107" s="120"/>
      <c r="BG107" s="120"/>
      <c r="BH107" s="119"/>
      <c r="BI107" s="119"/>
      <c r="BJ107" s="119"/>
      <c r="BK107" s="119"/>
      <c r="BL107" s="119"/>
    </row>
    <row r="108" spans="1:64">
      <c r="A108" s="119">
        <v>106</v>
      </c>
      <c r="B108" s="113">
        <f t="shared" si="1"/>
        <v>45428</v>
      </c>
      <c r="C108" s="114">
        <f>YEAR(MC_2[[#This Row],[Date]])+IF(MONTH(MC_2[[#This Row],[Date]])&gt;=4,1,0)</f>
        <v>2025</v>
      </c>
      <c r="D108" s="115">
        <f>YEAR(MC_2[[#This Row],[Date]])</f>
        <v>2024</v>
      </c>
      <c r="E108" s="112" t="s">
        <v>326</v>
      </c>
      <c r="F108" s="112" t="s">
        <v>326</v>
      </c>
      <c r="G108" s="116" t="str">
        <f>TEXT(MC_2[[#This Row],[Date]],"mmm-yy")</f>
        <v>May-24</v>
      </c>
      <c r="H108" s="116">
        <f>DAY(EOMONTH(MC_2[[#This Row],[Month Year]],0))</f>
        <v>31</v>
      </c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5">
        <f>SUM(MC_2[[#This Row],[IS1Inv1M1]:[IS9Inv19M2]])</f>
        <v>0</v>
      </c>
      <c r="BF108" s="119"/>
      <c r="BG108" s="119"/>
      <c r="BH108" s="119"/>
      <c r="BI108" s="119"/>
      <c r="BJ108" s="119"/>
      <c r="BK108" s="119"/>
      <c r="BL108" s="119"/>
    </row>
    <row r="109" spans="1:64">
      <c r="A109" s="119">
        <v>107</v>
      </c>
      <c r="B109" s="113">
        <f t="shared" si="1"/>
        <v>45429</v>
      </c>
      <c r="C109" s="114">
        <f>YEAR(MC_2[[#This Row],[Date]])+IF(MONTH(MC_2[[#This Row],[Date]])&gt;=4,1,0)</f>
        <v>2025</v>
      </c>
      <c r="D109" s="115">
        <f>YEAR(MC_2[[#This Row],[Date]])</f>
        <v>2024</v>
      </c>
      <c r="E109" s="112" t="s">
        <v>326</v>
      </c>
      <c r="F109" s="112" t="s">
        <v>326</v>
      </c>
      <c r="G109" s="116" t="str">
        <f>TEXT(MC_2[[#This Row],[Date]],"mmm-yy")</f>
        <v>May-24</v>
      </c>
      <c r="H109" s="116">
        <f>DAY(EOMONTH(MC_2[[#This Row],[Month Year]],0))</f>
        <v>31</v>
      </c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5">
        <f>SUM(MC_2[[#This Row],[IS1Inv1M1]:[IS9Inv19M2]])</f>
        <v>0</v>
      </c>
      <c r="BF109" s="119"/>
      <c r="BG109" s="119"/>
      <c r="BH109" s="119"/>
      <c r="BI109" s="119"/>
      <c r="BJ109" s="119"/>
      <c r="BK109" s="119"/>
      <c r="BL109" s="119"/>
    </row>
    <row r="110" spans="1:64">
      <c r="A110" s="119">
        <v>108</v>
      </c>
      <c r="B110" s="113">
        <f t="shared" si="1"/>
        <v>45430</v>
      </c>
      <c r="C110" s="114">
        <f>YEAR(MC_2[[#This Row],[Date]])+IF(MONTH(MC_2[[#This Row],[Date]])&gt;=4,1,0)</f>
        <v>2025</v>
      </c>
      <c r="D110" s="115">
        <f>YEAR(MC_2[[#This Row],[Date]])</f>
        <v>2024</v>
      </c>
      <c r="E110" s="112" t="s">
        <v>326</v>
      </c>
      <c r="F110" s="112" t="s">
        <v>326</v>
      </c>
      <c r="G110" s="116" t="str">
        <f>TEXT(MC_2[[#This Row],[Date]],"mmm-yy")</f>
        <v>May-24</v>
      </c>
      <c r="H110" s="116">
        <f>DAY(EOMONTH(MC_2[[#This Row],[Month Year]],0))</f>
        <v>31</v>
      </c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5">
        <f>SUM(MC_2[[#This Row],[IS1Inv1M1]:[IS9Inv19M2]])</f>
        <v>0</v>
      </c>
      <c r="BF110" s="119"/>
      <c r="BG110" s="119"/>
      <c r="BH110" s="120"/>
      <c r="BI110" s="120"/>
      <c r="BJ110" s="119"/>
      <c r="BK110" s="119"/>
      <c r="BL110" s="119"/>
    </row>
    <row r="111" spans="1:64">
      <c r="A111" s="119">
        <v>109</v>
      </c>
      <c r="B111" s="113">
        <f t="shared" si="1"/>
        <v>45431</v>
      </c>
      <c r="C111" s="114">
        <f>YEAR(MC_2[[#This Row],[Date]])+IF(MONTH(MC_2[[#This Row],[Date]])&gt;=4,1,0)</f>
        <v>2025</v>
      </c>
      <c r="D111" s="115">
        <f>YEAR(MC_2[[#This Row],[Date]])</f>
        <v>2024</v>
      </c>
      <c r="E111" s="112" t="s">
        <v>326</v>
      </c>
      <c r="F111" s="112" t="s">
        <v>326</v>
      </c>
      <c r="G111" s="116" t="str">
        <f>TEXT(MC_2[[#This Row],[Date]],"mmm-yy")</f>
        <v>May-24</v>
      </c>
      <c r="H111" s="116">
        <f>DAY(EOMONTH(MC_2[[#This Row],[Month Year]],0))</f>
        <v>31</v>
      </c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5">
        <f>SUM(MC_2[[#This Row],[IS1Inv1M1]:[IS9Inv19M2]])</f>
        <v>0</v>
      </c>
      <c r="BF111" s="120"/>
      <c r="BG111" s="120"/>
      <c r="BH111" s="120"/>
      <c r="BI111" s="120"/>
      <c r="BJ111" s="119"/>
      <c r="BK111" s="119"/>
      <c r="BL111" s="119"/>
    </row>
    <row r="112" spans="1:64">
      <c r="A112" s="119">
        <v>110</v>
      </c>
      <c r="B112" s="113">
        <f t="shared" si="1"/>
        <v>45432</v>
      </c>
      <c r="C112" s="114">
        <f>YEAR(MC_2[[#This Row],[Date]])+IF(MONTH(MC_2[[#This Row],[Date]])&gt;=4,1,0)</f>
        <v>2025</v>
      </c>
      <c r="D112" s="115">
        <f>YEAR(MC_2[[#This Row],[Date]])</f>
        <v>2024</v>
      </c>
      <c r="E112" s="112" t="s">
        <v>326</v>
      </c>
      <c r="F112" s="112" t="s">
        <v>326</v>
      </c>
      <c r="G112" s="116" t="str">
        <f>TEXT(MC_2[[#This Row],[Date]],"mmm-yy")</f>
        <v>May-24</v>
      </c>
      <c r="H112" s="116">
        <f>DAY(EOMONTH(MC_2[[#This Row],[Month Year]],0))</f>
        <v>31</v>
      </c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5">
        <f>SUM(MC_2[[#This Row],[IS1Inv1M1]:[IS9Inv19M2]])</f>
        <v>0</v>
      </c>
      <c r="BF112" s="120"/>
      <c r="BG112" s="120"/>
      <c r="BH112" s="120"/>
      <c r="BI112" s="120"/>
      <c r="BJ112" s="119"/>
      <c r="BK112" s="119"/>
      <c r="BL112" s="119"/>
    </row>
    <row r="113" spans="1:64">
      <c r="A113" s="119">
        <v>111</v>
      </c>
      <c r="B113" s="113">
        <f t="shared" si="1"/>
        <v>45433</v>
      </c>
      <c r="C113" s="114">
        <f>YEAR(MC_2[[#This Row],[Date]])+IF(MONTH(MC_2[[#This Row],[Date]])&gt;=4,1,0)</f>
        <v>2025</v>
      </c>
      <c r="D113" s="115">
        <f>YEAR(MC_2[[#This Row],[Date]])</f>
        <v>2024</v>
      </c>
      <c r="E113" s="112" t="s">
        <v>326</v>
      </c>
      <c r="F113" s="112" t="s">
        <v>326</v>
      </c>
      <c r="G113" s="116" t="str">
        <f>TEXT(MC_2[[#This Row],[Date]],"mmm-yy")</f>
        <v>May-24</v>
      </c>
      <c r="H113" s="116">
        <f>DAY(EOMONTH(MC_2[[#This Row],[Month Year]],0))</f>
        <v>31</v>
      </c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5">
        <f>SUM(MC_2[[#This Row],[IS1Inv1M1]:[IS9Inv19M2]])</f>
        <v>0</v>
      </c>
      <c r="BF113" s="119"/>
      <c r="BG113" s="119"/>
      <c r="BH113" s="120"/>
      <c r="BI113" s="120"/>
      <c r="BJ113" s="119"/>
      <c r="BK113" s="119"/>
      <c r="BL113" s="119"/>
    </row>
    <row r="114" spans="1:64">
      <c r="A114" s="119">
        <v>112</v>
      </c>
      <c r="B114" s="113">
        <f t="shared" si="1"/>
        <v>45434</v>
      </c>
      <c r="C114" s="114">
        <f>YEAR(MC_2[[#This Row],[Date]])+IF(MONTH(MC_2[[#This Row],[Date]])&gt;=4,1,0)</f>
        <v>2025</v>
      </c>
      <c r="D114" s="115">
        <f>YEAR(MC_2[[#This Row],[Date]])</f>
        <v>2024</v>
      </c>
      <c r="E114" s="112" t="s">
        <v>326</v>
      </c>
      <c r="F114" s="112" t="s">
        <v>326</v>
      </c>
      <c r="G114" s="116" t="str">
        <f>TEXT(MC_2[[#This Row],[Date]],"mmm-yy")</f>
        <v>May-24</v>
      </c>
      <c r="H114" s="116">
        <f>DAY(EOMONTH(MC_2[[#This Row],[Month Year]],0))</f>
        <v>31</v>
      </c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5">
        <f>SUM(MC_2[[#This Row],[IS1Inv1M1]:[IS9Inv19M2]])</f>
        <v>0</v>
      </c>
      <c r="BF114" s="120"/>
      <c r="BG114" s="120"/>
      <c r="BH114" s="120"/>
      <c r="BI114" s="120"/>
      <c r="BJ114" s="119"/>
      <c r="BK114" s="119"/>
      <c r="BL114" s="119"/>
    </row>
    <row r="115" spans="1:64">
      <c r="A115" s="119">
        <v>113</v>
      </c>
      <c r="B115" s="113">
        <f t="shared" si="1"/>
        <v>45435</v>
      </c>
      <c r="C115" s="114">
        <f>YEAR(MC_2[[#This Row],[Date]])+IF(MONTH(MC_2[[#This Row],[Date]])&gt;=4,1,0)</f>
        <v>2025</v>
      </c>
      <c r="D115" s="115">
        <f>YEAR(MC_2[[#This Row],[Date]])</f>
        <v>2024</v>
      </c>
      <c r="E115" s="112" t="s">
        <v>326</v>
      </c>
      <c r="F115" s="112" t="s">
        <v>326</v>
      </c>
      <c r="G115" s="116" t="str">
        <f>TEXT(MC_2[[#This Row],[Date]],"mmm-yy")</f>
        <v>May-24</v>
      </c>
      <c r="H115" s="116">
        <f>DAY(EOMONTH(MC_2[[#This Row],[Month Year]],0))</f>
        <v>31</v>
      </c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5">
        <f>SUM(MC_2[[#This Row],[IS1Inv1M1]:[IS9Inv19M2]])</f>
        <v>0</v>
      </c>
      <c r="BF115" s="120"/>
      <c r="BG115" s="120"/>
      <c r="BH115" s="120"/>
      <c r="BI115" s="120"/>
      <c r="BJ115" s="119"/>
      <c r="BK115" s="119"/>
      <c r="BL115" s="119"/>
    </row>
    <row r="116" spans="1:64">
      <c r="A116" s="119">
        <v>114</v>
      </c>
      <c r="B116" s="113">
        <f t="shared" si="1"/>
        <v>45436</v>
      </c>
      <c r="C116" s="114">
        <f>YEAR(MC_2[[#This Row],[Date]])+IF(MONTH(MC_2[[#This Row],[Date]])&gt;=4,1,0)</f>
        <v>2025</v>
      </c>
      <c r="D116" s="115">
        <f>YEAR(MC_2[[#This Row],[Date]])</f>
        <v>2024</v>
      </c>
      <c r="E116" s="112" t="s">
        <v>326</v>
      </c>
      <c r="F116" s="112" t="s">
        <v>326</v>
      </c>
      <c r="G116" s="116" t="str">
        <f>TEXT(MC_2[[#This Row],[Date]],"mmm-yy")</f>
        <v>May-24</v>
      </c>
      <c r="H116" s="116">
        <f>DAY(EOMONTH(MC_2[[#This Row],[Month Year]],0))</f>
        <v>31</v>
      </c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5">
        <f>SUM(MC_2[[#This Row],[IS1Inv1M1]:[IS9Inv19M2]])</f>
        <v>0</v>
      </c>
      <c r="BF116" s="120"/>
      <c r="BG116" s="120"/>
      <c r="BH116" s="120"/>
      <c r="BI116" s="120"/>
      <c r="BJ116" s="119"/>
      <c r="BK116" s="119"/>
      <c r="BL116" s="119"/>
    </row>
    <row r="117" spans="1:64">
      <c r="A117" s="119">
        <v>115</v>
      </c>
      <c r="B117" s="113">
        <f t="shared" si="1"/>
        <v>45437</v>
      </c>
      <c r="C117" s="114">
        <f>YEAR(MC_2[[#This Row],[Date]])+IF(MONTH(MC_2[[#This Row],[Date]])&gt;=4,1,0)</f>
        <v>2025</v>
      </c>
      <c r="D117" s="115">
        <f>YEAR(MC_2[[#This Row],[Date]])</f>
        <v>2024</v>
      </c>
      <c r="E117" s="112" t="s">
        <v>326</v>
      </c>
      <c r="F117" s="112" t="s">
        <v>326</v>
      </c>
      <c r="G117" s="116" t="str">
        <f>TEXT(MC_2[[#This Row],[Date]],"mmm-yy")</f>
        <v>May-24</v>
      </c>
      <c r="H117" s="116">
        <f>DAY(EOMONTH(MC_2[[#This Row],[Month Year]],0))</f>
        <v>31</v>
      </c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5">
        <f>SUM(MC_2[[#This Row],[IS1Inv1M1]:[IS9Inv19M2]])</f>
        <v>0</v>
      </c>
      <c r="BF117" s="120"/>
      <c r="BG117" s="120"/>
      <c r="BH117" s="119"/>
      <c r="BI117" s="119"/>
      <c r="BJ117" s="119"/>
      <c r="BK117" s="119"/>
      <c r="BL117" s="119"/>
    </row>
    <row r="118" spans="1:64">
      <c r="A118" s="119">
        <v>116</v>
      </c>
      <c r="B118" s="113">
        <f t="shared" si="1"/>
        <v>45438</v>
      </c>
      <c r="C118" s="114">
        <f>YEAR(MC_2[[#This Row],[Date]])+IF(MONTH(MC_2[[#This Row],[Date]])&gt;=4,1,0)</f>
        <v>2025</v>
      </c>
      <c r="D118" s="115">
        <f>YEAR(MC_2[[#This Row],[Date]])</f>
        <v>2024</v>
      </c>
      <c r="E118" s="112" t="s">
        <v>326</v>
      </c>
      <c r="F118" s="112" t="s">
        <v>326</v>
      </c>
      <c r="G118" s="116" t="str">
        <f>TEXT(MC_2[[#This Row],[Date]],"mmm-yy")</f>
        <v>May-24</v>
      </c>
      <c r="H118" s="116">
        <f>DAY(EOMONTH(MC_2[[#This Row],[Month Year]],0))</f>
        <v>31</v>
      </c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5">
        <f>SUM(MC_2[[#This Row],[IS1Inv1M1]:[IS9Inv19M2]])</f>
        <v>0</v>
      </c>
      <c r="BF118" s="119"/>
      <c r="BG118" s="119"/>
      <c r="BH118" s="119"/>
      <c r="BI118" s="119"/>
      <c r="BJ118" s="119"/>
      <c r="BK118" s="119"/>
      <c r="BL118" s="119"/>
    </row>
    <row r="119" spans="1:64">
      <c r="A119" s="119">
        <v>117</v>
      </c>
      <c r="B119" s="113">
        <f t="shared" si="1"/>
        <v>45439</v>
      </c>
      <c r="C119" s="114">
        <f>YEAR(MC_2[[#This Row],[Date]])+IF(MONTH(MC_2[[#This Row],[Date]])&gt;=4,1,0)</f>
        <v>2025</v>
      </c>
      <c r="D119" s="115">
        <f>YEAR(MC_2[[#This Row],[Date]])</f>
        <v>2024</v>
      </c>
      <c r="E119" s="112" t="s">
        <v>326</v>
      </c>
      <c r="F119" s="112" t="s">
        <v>326</v>
      </c>
      <c r="G119" s="116" t="str">
        <f>TEXT(MC_2[[#This Row],[Date]],"mmm-yy")</f>
        <v>May-24</v>
      </c>
      <c r="H119" s="116">
        <f>DAY(EOMONTH(MC_2[[#This Row],[Month Year]],0))</f>
        <v>31</v>
      </c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5">
        <f>SUM(MC_2[[#This Row],[IS1Inv1M1]:[IS9Inv19M2]])</f>
        <v>0</v>
      </c>
      <c r="BF119" s="119"/>
      <c r="BG119" s="119"/>
      <c r="BH119" s="119"/>
      <c r="BI119" s="119"/>
      <c r="BJ119" s="119"/>
      <c r="BK119" s="119"/>
      <c r="BL119" s="119"/>
    </row>
    <row r="120" spans="1:64">
      <c r="A120" s="119">
        <v>118</v>
      </c>
      <c r="B120" s="113">
        <f t="shared" si="1"/>
        <v>45440</v>
      </c>
      <c r="C120" s="114">
        <f>YEAR(MC_2[[#This Row],[Date]])+IF(MONTH(MC_2[[#This Row],[Date]])&gt;=4,1,0)</f>
        <v>2025</v>
      </c>
      <c r="D120" s="115">
        <f>YEAR(MC_2[[#This Row],[Date]])</f>
        <v>2024</v>
      </c>
      <c r="E120" s="112" t="s">
        <v>326</v>
      </c>
      <c r="F120" s="112" t="s">
        <v>326</v>
      </c>
      <c r="G120" s="116" t="str">
        <f>TEXT(MC_2[[#This Row],[Date]],"mmm-yy")</f>
        <v>May-24</v>
      </c>
      <c r="H120" s="116">
        <f>DAY(EOMONTH(MC_2[[#This Row],[Month Year]],0))</f>
        <v>31</v>
      </c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5">
        <f>SUM(MC_2[[#This Row],[IS1Inv1M1]:[IS9Inv19M2]])</f>
        <v>0</v>
      </c>
      <c r="BF120" s="119"/>
      <c r="BG120" s="119"/>
      <c r="BH120" s="119"/>
      <c r="BI120" s="119"/>
      <c r="BJ120" s="119"/>
      <c r="BK120" s="119"/>
      <c r="BL120" s="119"/>
    </row>
    <row r="121" spans="1:64">
      <c r="A121" s="119">
        <v>119</v>
      </c>
      <c r="B121" s="113">
        <f t="shared" si="1"/>
        <v>45441</v>
      </c>
      <c r="C121" s="114">
        <f>YEAR(MC_2[[#This Row],[Date]])+IF(MONTH(MC_2[[#This Row],[Date]])&gt;=4,1,0)</f>
        <v>2025</v>
      </c>
      <c r="D121" s="115">
        <f>YEAR(MC_2[[#This Row],[Date]])</f>
        <v>2024</v>
      </c>
      <c r="E121" s="112" t="s">
        <v>326</v>
      </c>
      <c r="F121" s="112" t="s">
        <v>326</v>
      </c>
      <c r="G121" s="116" t="str">
        <f>TEXT(MC_2[[#This Row],[Date]],"mmm-yy")</f>
        <v>May-24</v>
      </c>
      <c r="H121" s="116">
        <f>DAY(EOMONTH(MC_2[[#This Row],[Month Year]],0))</f>
        <v>31</v>
      </c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5">
        <f>SUM(MC_2[[#This Row],[IS1Inv1M1]:[IS9Inv19M2]])</f>
        <v>0</v>
      </c>
      <c r="BF121" s="119"/>
      <c r="BG121" s="119"/>
      <c r="BH121" s="119"/>
      <c r="BI121" s="119"/>
      <c r="BJ121" s="119"/>
      <c r="BK121" s="119"/>
      <c r="BL121" s="119"/>
    </row>
    <row r="122" spans="1:64">
      <c r="A122" s="119">
        <v>120</v>
      </c>
      <c r="B122" s="113">
        <f t="shared" si="1"/>
        <v>45442</v>
      </c>
      <c r="C122" s="114">
        <f>YEAR(MC_2[[#This Row],[Date]])+IF(MONTH(MC_2[[#This Row],[Date]])&gt;=4,1,0)</f>
        <v>2025</v>
      </c>
      <c r="D122" s="115">
        <f>YEAR(MC_2[[#This Row],[Date]])</f>
        <v>2024</v>
      </c>
      <c r="E122" s="112" t="s">
        <v>326</v>
      </c>
      <c r="F122" s="112" t="s">
        <v>326</v>
      </c>
      <c r="G122" s="116" t="str">
        <f>TEXT(MC_2[[#This Row],[Date]],"mmm-yy")</f>
        <v>May-24</v>
      </c>
      <c r="H122" s="116">
        <f>DAY(EOMONTH(MC_2[[#This Row],[Month Year]],0))</f>
        <v>31</v>
      </c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5">
        <f>SUM(MC_2[[#This Row],[IS1Inv1M1]:[IS9Inv19M2]])</f>
        <v>0</v>
      </c>
      <c r="BF122" s="119"/>
      <c r="BG122" s="119"/>
      <c r="BH122" s="119"/>
      <c r="BI122" s="119"/>
      <c r="BJ122" s="119"/>
      <c r="BK122" s="119"/>
      <c r="BL122" s="119"/>
    </row>
    <row r="123" spans="1:64">
      <c r="A123" s="119">
        <v>120</v>
      </c>
      <c r="B123" s="113">
        <f t="shared" si="1"/>
        <v>45443</v>
      </c>
      <c r="C123" s="114">
        <f>YEAR(MC_2[[#This Row],[Date]])+IF(MONTH(MC_2[[#This Row],[Date]])&gt;=4,1,0)</f>
        <v>2025</v>
      </c>
      <c r="D123" s="115">
        <f>YEAR(MC_2[[#This Row],[Date]])</f>
        <v>2024</v>
      </c>
      <c r="E123" s="112" t="s">
        <v>326</v>
      </c>
      <c r="F123" s="112" t="s">
        <v>326</v>
      </c>
      <c r="G123" s="116" t="str">
        <f>TEXT(MC_2[[#This Row],[Date]],"mmm-yy")</f>
        <v>May-24</v>
      </c>
      <c r="H123" s="116">
        <f>DAY(EOMONTH(MC_2[[#This Row],[Month Year]],0))</f>
        <v>31</v>
      </c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5">
        <f>SUM(MC_2[[#This Row],[IS1Inv1M1]:[IS9Inv19M2]])</f>
        <v>0</v>
      </c>
      <c r="BF123" s="119"/>
      <c r="BG123" s="119"/>
      <c r="BH123" s="119"/>
      <c r="BI123" s="119"/>
      <c r="BJ123" s="119"/>
      <c r="BK123" s="119"/>
      <c r="BL123" s="119"/>
    </row>
    <row r="124" spans="1:64">
      <c r="A124" s="119">
        <v>122</v>
      </c>
      <c r="B124" s="113">
        <f t="shared" si="1"/>
        <v>45444</v>
      </c>
      <c r="C124" s="114">
        <f>YEAR(MC_2[[#This Row],[Date]])+IF(MONTH(MC_2[[#This Row],[Date]])&gt;=4,1,0)</f>
        <v>2025</v>
      </c>
      <c r="D124" s="115">
        <f>YEAR(MC_2[[#This Row],[Date]])</f>
        <v>2024</v>
      </c>
      <c r="E124" s="112" t="s">
        <v>326</v>
      </c>
      <c r="F124" s="112" t="s">
        <v>326</v>
      </c>
      <c r="G124" s="116" t="str">
        <f>TEXT(MC_2[[#This Row],[Date]],"mmm-yy")</f>
        <v>Jun-24</v>
      </c>
      <c r="H124" s="116">
        <f>DAY(EOMONTH(MC_2[[#This Row],[Month Year]],0))</f>
        <v>30</v>
      </c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5">
        <f>SUM(MC_2[[#This Row],[IS1Inv1M1]:[IS9Inv19M2]])</f>
        <v>0</v>
      </c>
      <c r="BF124" s="119"/>
      <c r="BG124" s="119"/>
      <c r="BH124" s="119"/>
      <c r="BI124" s="119"/>
      <c r="BJ124" s="119"/>
      <c r="BK124" s="119"/>
      <c r="BL124" s="119"/>
    </row>
    <row r="125" spans="1:64">
      <c r="A125" s="119">
        <v>123</v>
      </c>
      <c r="B125" s="113">
        <f t="shared" si="1"/>
        <v>45445</v>
      </c>
      <c r="C125" s="114">
        <f>YEAR(MC_2[[#This Row],[Date]])+IF(MONTH(MC_2[[#This Row],[Date]])&gt;=4,1,0)</f>
        <v>2025</v>
      </c>
      <c r="D125" s="115">
        <f>YEAR(MC_2[[#This Row],[Date]])</f>
        <v>2024</v>
      </c>
      <c r="E125" s="112" t="s">
        <v>326</v>
      </c>
      <c r="F125" s="112" t="s">
        <v>326</v>
      </c>
      <c r="G125" s="116" t="str">
        <f>TEXT(MC_2[[#This Row],[Date]],"mmm-yy")</f>
        <v>Jun-24</v>
      </c>
      <c r="H125" s="116">
        <f>DAY(EOMONTH(MC_2[[#This Row],[Month Year]],0))</f>
        <v>30</v>
      </c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5">
        <f>SUM(MC_2[[#This Row],[IS1Inv1M1]:[IS9Inv19M2]])</f>
        <v>0</v>
      </c>
      <c r="BF125" s="119"/>
      <c r="BG125" s="119"/>
      <c r="BH125" s="119"/>
      <c r="BI125" s="119"/>
      <c r="BJ125" s="119"/>
      <c r="BK125" s="119"/>
      <c r="BL125" s="119"/>
    </row>
    <row r="126" spans="1:64">
      <c r="A126" s="119">
        <v>124</v>
      </c>
      <c r="B126" s="113">
        <f t="shared" si="1"/>
        <v>45446</v>
      </c>
      <c r="C126" s="114">
        <f>YEAR(MC_2[[#This Row],[Date]])+IF(MONTH(MC_2[[#This Row],[Date]])&gt;=4,1,0)</f>
        <v>2025</v>
      </c>
      <c r="D126" s="115">
        <f>YEAR(MC_2[[#This Row],[Date]])</f>
        <v>2024</v>
      </c>
      <c r="E126" s="112" t="s">
        <v>326</v>
      </c>
      <c r="F126" s="112" t="s">
        <v>326</v>
      </c>
      <c r="G126" s="116" t="str">
        <f>TEXT(MC_2[[#This Row],[Date]],"mmm-yy")</f>
        <v>Jun-24</v>
      </c>
      <c r="H126" s="116">
        <f>DAY(EOMONTH(MC_2[[#This Row],[Month Year]],0))</f>
        <v>30</v>
      </c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5">
        <f>SUM(MC_2[[#This Row],[IS1Inv1M1]:[IS9Inv19M2]])</f>
        <v>0</v>
      </c>
      <c r="BF126" s="119"/>
      <c r="BG126" s="119"/>
      <c r="BH126" s="119"/>
      <c r="BI126" s="119"/>
      <c r="BJ126" s="119"/>
      <c r="BK126" s="119"/>
      <c r="BL126" s="119"/>
    </row>
    <row r="127" spans="1:64">
      <c r="A127" s="119">
        <v>125</v>
      </c>
      <c r="B127" s="113">
        <f t="shared" si="1"/>
        <v>45447</v>
      </c>
      <c r="C127" s="114">
        <f>YEAR(MC_2[[#This Row],[Date]])+IF(MONTH(MC_2[[#This Row],[Date]])&gt;=4,1,0)</f>
        <v>2025</v>
      </c>
      <c r="D127" s="115">
        <f>YEAR(MC_2[[#This Row],[Date]])</f>
        <v>2024</v>
      </c>
      <c r="E127" s="112" t="s">
        <v>326</v>
      </c>
      <c r="F127" s="112" t="s">
        <v>326</v>
      </c>
      <c r="G127" s="116" t="str">
        <f>TEXT(MC_2[[#This Row],[Date]],"mmm-yy")</f>
        <v>Jun-24</v>
      </c>
      <c r="H127" s="116">
        <f>DAY(EOMONTH(MC_2[[#This Row],[Month Year]],0))</f>
        <v>30</v>
      </c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5">
        <f>SUM(MC_2[[#This Row],[IS1Inv1M1]:[IS9Inv19M2]])</f>
        <v>0</v>
      </c>
      <c r="BF127" s="119"/>
      <c r="BG127" s="119"/>
      <c r="BH127" s="119"/>
      <c r="BI127" s="119"/>
      <c r="BJ127" s="119"/>
      <c r="BK127" s="119"/>
      <c r="BL127" s="119"/>
    </row>
    <row r="128" spans="1:64">
      <c r="A128" s="119">
        <v>126</v>
      </c>
      <c r="B128" s="113">
        <f t="shared" si="1"/>
        <v>45448</v>
      </c>
      <c r="C128" s="114">
        <f>YEAR(MC_2[[#This Row],[Date]])+IF(MONTH(MC_2[[#This Row],[Date]])&gt;=4,1,0)</f>
        <v>2025</v>
      </c>
      <c r="D128" s="115">
        <f>YEAR(MC_2[[#This Row],[Date]])</f>
        <v>2024</v>
      </c>
      <c r="E128" s="112" t="s">
        <v>326</v>
      </c>
      <c r="F128" s="112" t="s">
        <v>326</v>
      </c>
      <c r="G128" s="116" t="str">
        <f>TEXT(MC_2[[#This Row],[Date]],"mmm-yy")</f>
        <v>Jun-24</v>
      </c>
      <c r="H128" s="116">
        <f>DAY(EOMONTH(MC_2[[#This Row],[Month Year]],0))</f>
        <v>30</v>
      </c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5">
        <f>SUM(MC_2[[#This Row],[IS1Inv1M1]:[IS9Inv19M2]])</f>
        <v>0</v>
      </c>
      <c r="BF128" s="119"/>
      <c r="BG128" s="119"/>
      <c r="BH128" s="119"/>
      <c r="BI128" s="119"/>
      <c r="BJ128" s="119"/>
      <c r="BK128" s="119"/>
      <c r="BL128" s="119"/>
    </row>
    <row r="129" spans="1:64">
      <c r="A129" s="119">
        <v>127</v>
      </c>
      <c r="B129" s="113">
        <f t="shared" si="1"/>
        <v>45449</v>
      </c>
      <c r="C129" s="114">
        <f>YEAR(MC_2[[#This Row],[Date]])+IF(MONTH(MC_2[[#This Row],[Date]])&gt;=4,1,0)</f>
        <v>2025</v>
      </c>
      <c r="D129" s="115">
        <f>YEAR(MC_2[[#This Row],[Date]])</f>
        <v>2024</v>
      </c>
      <c r="E129" s="112" t="s">
        <v>326</v>
      </c>
      <c r="F129" s="112" t="s">
        <v>326</v>
      </c>
      <c r="G129" s="116" t="str">
        <f>TEXT(MC_2[[#This Row],[Date]],"mmm-yy")</f>
        <v>Jun-24</v>
      </c>
      <c r="H129" s="116">
        <f>DAY(EOMONTH(MC_2[[#This Row],[Month Year]],0))</f>
        <v>30</v>
      </c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5">
        <f>SUM(MC_2[[#This Row],[IS1Inv1M1]:[IS9Inv19M2]])</f>
        <v>0</v>
      </c>
      <c r="BF129" s="119"/>
      <c r="BG129" s="119"/>
      <c r="BH129" s="119"/>
      <c r="BI129" s="119"/>
      <c r="BJ129" s="119"/>
      <c r="BK129" s="119"/>
      <c r="BL129" s="119"/>
    </row>
    <row r="130" spans="1:64">
      <c r="A130" s="119">
        <v>127</v>
      </c>
      <c r="B130" s="113">
        <f t="shared" si="1"/>
        <v>45450</v>
      </c>
      <c r="C130" s="114">
        <f>YEAR(MC_2[[#This Row],[Date]])+IF(MONTH(MC_2[[#This Row],[Date]])&gt;=4,1,0)</f>
        <v>2025</v>
      </c>
      <c r="D130" s="115">
        <f>YEAR(MC_2[[#This Row],[Date]])</f>
        <v>2024</v>
      </c>
      <c r="E130" s="112" t="s">
        <v>326</v>
      </c>
      <c r="F130" s="112" t="s">
        <v>326</v>
      </c>
      <c r="G130" s="116" t="str">
        <f>TEXT(MC_2[[#This Row],[Date]],"mmm-yy")</f>
        <v>Jun-24</v>
      </c>
      <c r="H130" s="116">
        <f>DAY(EOMONTH(MC_2[[#This Row],[Month Year]],0))</f>
        <v>30</v>
      </c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5">
        <f>SUM(MC_2[[#This Row],[IS1Inv1M1]:[IS9Inv19M2]])</f>
        <v>0</v>
      </c>
      <c r="BF130" s="119"/>
      <c r="BG130" s="119"/>
      <c r="BH130" s="120">
        <v>0.16666666666666666</v>
      </c>
      <c r="BI130" s="120">
        <v>0.375</v>
      </c>
      <c r="BJ130" s="119" t="s">
        <v>1176</v>
      </c>
      <c r="BK130" s="119"/>
      <c r="BL130" s="119"/>
    </row>
    <row r="131" spans="1:64">
      <c r="A131" s="119">
        <v>127</v>
      </c>
      <c r="B131" s="113">
        <f t="shared" si="1"/>
        <v>45451</v>
      </c>
      <c r="C131" s="114">
        <f>YEAR(MC_2[[#This Row],[Date]])+IF(MONTH(MC_2[[#This Row],[Date]])&gt;=4,1,0)</f>
        <v>2025</v>
      </c>
      <c r="D131" s="115">
        <f>YEAR(MC_2[[#This Row],[Date]])</f>
        <v>2024</v>
      </c>
      <c r="E131" s="112" t="s">
        <v>326</v>
      </c>
      <c r="F131" s="112" t="s">
        <v>326</v>
      </c>
      <c r="G131" s="116" t="str">
        <f>TEXT(MC_2[[#This Row],[Date]],"mmm-yy")</f>
        <v>Jun-24</v>
      </c>
      <c r="H131" s="116">
        <f>DAY(EOMONTH(MC_2[[#This Row],[Month Year]],0))</f>
        <v>30</v>
      </c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5">
        <f>SUM(MC_2[[#This Row],[IS1Inv1M1]:[IS9Inv19M2]])</f>
        <v>0</v>
      </c>
      <c r="BF131" s="119"/>
      <c r="BG131" s="119"/>
      <c r="BH131" s="120">
        <v>0.16666666666666666</v>
      </c>
      <c r="BI131" s="120">
        <v>0.375</v>
      </c>
      <c r="BJ131" s="119" t="s">
        <v>1176</v>
      </c>
      <c r="BK131" s="119"/>
      <c r="BL131" s="119"/>
    </row>
    <row r="132" spans="1:64">
      <c r="A132" s="119">
        <v>127</v>
      </c>
      <c r="B132" s="113">
        <f t="shared" si="1"/>
        <v>45452</v>
      </c>
      <c r="C132" s="114">
        <f>YEAR(MC_2[[#This Row],[Date]])+IF(MONTH(MC_2[[#This Row],[Date]])&gt;=4,1,0)</f>
        <v>2025</v>
      </c>
      <c r="D132" s="115">
        <f>YEAR(MC_2[[#This Row],[Date]])</f>
        <v>2024</v>
      </c>
      <c r="E132" s="112" t="s">
        <v>326</v>
      </c>
      <c r="F132" s="112" t="s">
        <v>326</v>
      </c>
      <c r="G132" s="116" t="str">
        <f>TEXT(MC_2[[#This Row],[Date]],"mmm-yy")</f>
        <v>Jun-24</v>
      </c>
      <c r="H132" s="116">
        <f>DAY(EOMONTH(MC_2[[#This Row],[Month Year]],0))</f>
        <v>30</v>
      </c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5">
        <f>SUM(MC_2[[#This Row],[IS1Inv1M1]:[IS9Inv19M2]])</f>
        <v>0</v>
      </c>
      <c r="BF132" s="119"/>
      <c r="BG132" s="119"/>
      <c r="BH132" s="120">
        <v>0.16666666666666666</v>
      </c>
      <c r="BI132" s="120">
        <v>0.375</v>
      </c>
      <c r="BJ132" s="119" t="s">
        <v>1176</v>
      </c>
      <c r="BK132" s="119"/>
      <c r="BL132" s="119"/>
    </row>
    <row r="133" spans="1:64">
      <c r="A133" s="119">
        <v>127</v>
      </c>
      <c r="B133" s="113">
        <f t="shared" ref="B133:B196" si="2">B132+1</f>
        <v>45453</v>
      </c>
      <c r="C133" s="114">
        <f>YEAR(MC_2[[#This Row],[Date]])+IF(MONTH(MC_2[[#This Row],[Date]])&gt;=4,1,0)</f>
        <v>2025</v>
      </c>
      <c r="D133" s="115">
        <f>YEAR(MC_2[[#This Row],[Date]])</f>
        <v>2024</v>
      </c>
      <c r="E133" s="112" t="s">
        <v>326</v>
      </c>
      <c r="F133" s="112" t="s">
        <v>326</v>
      </c>
      <c r="G133" s="116" t="str">
        <f>TEXT(MC_2[[#This Row],[Date]],"mmm-yy")</f>
        <v>Jun-24</v>
      </c>
      <c r="H133" s="116">
        <f>DAY(EOMONTH(MC_2[[#This Row],[Month Year]],0))</f>
        <v>30</v>
      </c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5">
        <f>SUM(MC_2[[#This Row],[IS1Inv1M1]:[IS9Inv19M2]])</f>
        <v>0</v>
      </c>
      <c r="BF133" s="119"/>
      <c r="BG133" s="119"/>
      <c r="BH133" s="120">
        <v>0.16666666666666666</v>
      </c>
      <c r="BI133" s="120">
        <v>0.375</v>
      </c>
      <c r="BJ133" s="119" t="s">
        <v>1176</v>
      </c>
      <c r="BK133" s="119"/>
      <c r="BL133" s="119"/>
    </row>
    <row r="134" spans="1:64">
      <c r="A134" s="119">
        <v>127</v>
      </c>
      <c r="B134" s="113">
        <f t="shared" si="2"/>
        <v>45454</v>
      </c>
      <c r="C134" s="114">
        <f>YEAR(MC_2[[#This Row],[Date]])+IF(MONTH(MC_2[[#This Row],[Date]])&gt;=4,1,0)</f>
        <v>2025</v>
      </c>
      <c r="D134" s="115">
        <f>YEAR(MC_2[[#This Row],[Date]])</f>
        <v>2024</v>
      </c>
      <c r="E134" s="112" t="s">
        <v>326</v>
      </c>
      <c r="F134" s="112" t="s">
        <v>326</v>
      </c>
      <c r="G134" s="116" t="str">
        <f>TEXT(MC_2[[#This Row],[Date]],"mmm-yy")</f>
        <v>Jun-24</v>
      </c>
      <c r="H134" s="116">
        <f>DAY(EOMONTH(MC_2[[#This Row],[Month Year]],0))</f>
        <v>30</v>
      </c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5">
        <f>SUM(MC_2[[#This Row],[IS1Inv1M1]:[IS9Inv19M2]])</f>
        <v>0</v>
      </c>
      <c r="BF134" s="119"/>
      <c r="BG134" s="119"/>
      <c r="BH134" s="120">
        <v>0.16666666666666666</v>
      </c>
      <c r="BI134" s="120">
        <v>0.375</v>
      </c>
      <c r="BJ134" s="119" t="s">
        <v>1176</v>
      </c>
      <c r="BK134" s="119"/>
      <c r="BL134" s="119"/>
    </row>
    <row r="135" spans="1:64">
      <c r="A135" s="119">
        <v>127</v>
      </c>
      <c r="B135" s="113">
        <f t="shared" si="2"/>
        <v>45455</v>
      </c>
      <c r="C135" s="114">
        <f>YEAR(MC_2[[#This Row],[Date]])+IF(MONTH(MC_2[[#This Row],[Date]])&gt;=4,1,0)</f>
        <v>2025</v>
      </c>
      <c r="D135" s="115">
        <f>YEAR(MC_2[[#This Row],[Date]])</f>
        <v>2024</v>
      </c>
      <c r="E135" s="112" t="s">
        <v>326</v>
      </c>
      <c r="F135" s="112" t="s">
        <v>326</v>
      </c>
      <c r="G135" s="116" t="str">
        <f>TEXT(MC_2[[#This Row],[Date]],"mmm-yy")</f>
        <v>Jun-24</v>
      </c>
      <c r="H135" s="116">
        <f>DAY(EOMONTH(MC_2[[#This Row],[Month Year]],0))</f>
        <v>30</v>
      </c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5">
        <f>SUM(MC_2[[#This Row],[IS1Inv1M1]:[IS9Inv19M2]])</f>
        <v>0</v>
      </c>
      <c r="BF135" s="120"/>
      <c r="BG135" s="120"/>
      <c r="BH135" s="120">
        <v>0.16666666666666666</v>
      </c>
      <c r="BI135" s="120">
        <v>0.375</v>
      </c>
      <c r="BJ135" s="119" t="s">
        <v>1176</v>
      </c>
      <c r="BK135" s="119"/>
      <c r="BL135" s="119"/>
    </row>
    <row r="136" spans="1:64">
      <c r="A136" s="119">
        <v>127</v>
      </c>
      <c r="B136" s="113">
        <f t="shared" si="2"/>
        <v>45456</v>
      </c>
      <c r="C136" s="114">
        <f>YEAR(MC_2[[#This Row],[Date]])+IF(MONTH(MC_2[[#This Row],[Date]])&gt;=4,1,0)</f>
        <v>2025</v>
      </c>
      <c r="D136" s="115">
        <f>YEAR(MC_2[[#This Row],[Date]])</f>
        <v>2024</v>
      </c>
      <c r="E136" s="112" t="s">
        <v>326</v>
      </c>
      <c r="F136" s="112" t="s">
        <v>326</v>
      </c>
      <c r="G136" s="116" t="str">
        <f>TEXT(MC_2[[#This Row],[Date]],"mmm-yy")</f>
        <v>Jun-24</v>
      </c>
      <c r="H136" s="116">
        <f>DAY(EOMONTH(MC_2[[#This Row],[Month Year]],0))</f>
        <v>30</v>
      </c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5">
        <f>SUM(MC_2[[#This Row],[IS1Inv1M1]:[IS9Inv19M2]])</f>
        <v>0</v>
      </c>
      <c r="BF136" s="120"/>
      <c r="BG136" s="120"/>
      <c r="BH136" s="120">
        <v>0.16666666666666666</v>
      </c>
      <c r="BI136" s="120">
        <v>0.375</v>
      </c>
      <c r="BJ136" s="119" t="s">
        <v>1176</v>
      </c>
      <c r="BK136" s="119"/>
      <c r="BL136" s="119" t="s">
        <v>1177</v>
      </c>
    </row>
    <row r="137" spans="1:64">
      <c r="A137" s="119">
        <v>127</v>
      </c>
      <c r="B137" s="113">
        <f t="shared" si="2"/>
        <v>45457</v>
      </c>
      <c r="C137" s="114">
        <f>YEAR(MC_2[[#This Row],[Date]])+IF(MONTH(MC_2[[#This Row],[Date]])&gt;=4,1,0)</f>
        <v>2025</v>
      </c>
      <c r="D137" s="115">
        <f>YEAR(MC_2[[#This Row],[Date]])</f>
        <v>2024</v>
      </c>
      <c r="E137" s="112" t="s">
        <v>326</v>
      </c>
      <c r="F137" s="112" t="s">
        <v>326</v>
      </c>
      <c r="G137" s="116" t="str">
        <f>TEXT(MC_2[[#This Row],[Date]],"mmm-yy")</f>
        <v>Jun-24</v>
      </c>
      <c r="H137" s="116">
        <f>DAY(EOMONTH(MC_2[[#This Row],[Month Year]],0))</f>
        <v>30</v>
      </c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5">
        <f>SUM(MC_2[[#This Row],[IS1Inv1M1]:[IS9Inv19M2]])</f>
        <v>0</v>
      </c>
      <c r="BF137" s="120"/>
      <c r="BG137" s="120"/>
      <c r="BH137" s="120">
        <v>0.16666666666666699</v>
      </c>
      <c r="BI137" s="120">
        <v>0.375</v>
      </c>
      <c r="BJ137" s="119" t="s">
        <v>1176</v>
      </c>
      <c r="BK137" s="119"/>
      <c r="BL137" s="119"/>
    </row>
    <row r="138" spans="1:64">
      <c r="A138" s="119">
        <v>127</v>
      </c>
      <c r="B138" s="113">
        <f t="shared" si="2"/>
        <v>45458</v>
      </c>
      <c r="C138" s="114">
        <f>YEAR(MC_2[[#This Row],[Date]])+IF(MONTH(MC_2[[#This Row],[Date]])&gt;=4,1,0)</f>
        <v>2025</v>
      </c>
      <c r="D138" s="115">
        <f>YEAR(MC_2[[#This Row],[Date]])</f>
        <v>2024</v>
      </c>
      <c r="E138" s="112" t="s">
        <v>326</v>
      </c>
      <c r="F138" s="112" t="s">
        <v>326</v>
      </c>
      <c r="G138" s="116" t="str">
        <f>TEXT(MC_2[[#This Row],[Date]],"mmm-yy")</f>
        <v>Jun-24</v>
      </c>
      <c r="H138" s="116">
        <f>DAY(EOMONTH(MC_2[[#This Row],[Month Year]],0))</f>
        <v>30</v>
      </c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5">
        <f>SUM(MC_2[[#This Row],[IS1Inv1M1]:[IS9Inv19M2]])</f>
        <v>0</v>
      </c>
      <c r="BF138" s="120"/>
      <c r="BG138" s="120"/>
      <c r="BH138" s="120">
        <v>0.16666666666666699</v>
      </c>
      <c r="BI138" s="120">
        <v>0.375</v>
      </c>
      <c r="BJ138" s="119" t="s">
        <v>1176</v>
      </c>
      <c r="BK138" s="119"/>
      <c r="BL138" s="119"/>
    </row>
    <row r="139" spans="1:64">
      <c r="A139" s="119">
        <v>127</v>
      </c>
      <c r="B139" s="113">
        <f t="shared" si="2"/>
        <v>45459</v>
      </c>
      <c r="C139" s="114">
        <f>YEAR(MC_2[[#This Row],[Date]])+IF(MONTH(MC_2[[#This Row],[Date]])&gt;=4,1,0)</f>
        <v>2025</v>
      </c>
      <c r="D139" s="115">
        <f>YEAR(MC_2[[#This Row],[Date]])</f>
        <v>2024</v>
      </c>
      <c r="E139" s="112" t="s">
        <v>326</v>
      </c>
      <c r="F139" s="112" t="s">
        <v>326</v>
      </c>
      <c r="G139" s="116" t="str">
        <f>TEXT(MC_2[[#This Row],[Date]],"mmm-yy")</f>
        <v>Jun-24</v>
      </c>
      <c r="H139" s="116">
        <f>DAY(EOMONTH(MC_2[[#This Row],[Month Year]],0))</f>
        <v>30</v>
      </c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5">
        <f>SUM(MC_2[[#This Row],[IS1Inv1M1]:[IS9Inv19M2]])</f>
        <v>0</v>
      </c>
      <c r="BF139" s="120"/>
      <c r="BG139" s="120"/>
      <c r="BH139" s="120"/>
      <c r="BI139" s="120"/>
      <c r="BJ139" s="119"/>
      <c r="BK139" s="119"/>
      <c r="BL139" s="119" t="s">
        <v>1178</v>
      </c>
    </row>
    <row r="140" spans="1:64">
      <c r="A140" s="119">
        <v>127</v>
      </c>
      <c r="B140" s="113">
        <f t="shared" si="2"/>
        <v>45460</v>
      </c>
      <c r="C140" s="114">
        <f>YEAR(MC_2[[#This Row],[Date]])+IF(MONTH(MC_2[[#This Row],[Date]])&gt;=4,1,0)</f>
        <v>2025</v>
      </c>
      <c r="D140" s="115">
        <f>YEAR(MC_2[[#This Row],[Date]])</f>
        <v>2024</v>
      </c>
      <c r="E140" s="112" t="s">
        <v>326</v>
      </c>
      <c r="F140" s="112" t="s">
        <v>326</v>
      </c>
      <c r="G140" s="116" t="str">
        <f>TEXT(MC_2[[#This Row],[Date]],"mmm-yy")</f>
        <v>Jun-24</v>
      </c>
      <c r="H140" s="116">
        <f>DAY(EOMONTH(MC_2[[#This Row],[Month Year]],0))</f>
        <v>30</v>
      </c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5">
        <f>SUM(MC_2[[#This Row],[IS1Inv1M1]:[IS9Inv19M2]])</f>
        <v>0</v>
      </c>
      <c r="BF140" s="120"/>
      <c r="BG140" s="120"/>
      <c r="BH140" s="120"/>
      <c r="BI140" s="120"/>
      <c r="BJ140" s="119"/>
      <c r="BK140" s="119"/>
      <c r="BL140" s="119" t="s">
        <v>1178</v>
      </c>
    </row>
    <row r="141" spans="1:64">
      <c r="A141" s="119">
        <v>139</v>
      </c>
      <c r="B141" s="113">
        <f t="shared" si="2"/>
        <v>45461</v>
      </c>
      <c r="C141" s="114">
        <f>YEAR(MC_2[[#This Row],[Date]])+IF(MONTH(MC_2[[#This Row],[Date]])&gt;=4,1,0)</f>
        <v>2025</v>
      </c>
      <c r="D141" s="115">
        <f>YEAR(MC_2[[#This Row],[Date]])</f>
        <v>2024</v>
      </c>
      <c r="E141" s="112" t="s">
        <v>326</v>
      </c>
      <c r="F141" s="112" t="s">
        <v>326</v>
      </c>
      <c r="G141" s="116" t="str">
        <f>TEXT(MC_2[[#This Row],[Date]],"mmm-yy")</f>
        <v>Jun-24</v>
      </c>
      <c r="H141" s="116">
        <f>DAY(EOMONTH(MC_2[[#This Row],[Month Year]],0))</f>
        <v>30</v>
      </c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5">
        <f>SUM(MC_2[[#This Row],[IS1Inv1M1]:[IS9Inv19M2]])</f>
        <v>0</v>
      </c>
      <c r="BF141" s="120"/>
      <c r="BG141" s="119"/>
      <c r="BH141" s="120">
        <v>0.16666666666666699</v>
      </c>
      <c r="BI141" s="120">
        <v>0.375</v>
      </c>
      <c r="BJ141" s="119" t="s">
        <v>1176</v>
      </c>
      <c r="BK141" s="119"/>
      <c r="BL141" s="119" t="s">
        <v>1179</v>
      </c>
    </row>
    <row r="142" spans="1:64">
      <c r="A142" s="119">
        <v>140</v>
      </c>
      <c r="B142" s="113">
        <f t="shared" si="2"/>
        <v>45462</v>
      </c>
      <c r="C142" s="114">
        <f>YEAR(MC_2[[#This Row],[Date]])+IF(MONTH(MC_2[[#This Row],[Date]])&gt;=4,1,0)</f>
        <v>2025</v>
      </c>
      <c r="D142" s="115">
        <f>YEAR(MC_2[[#This Row],[Date]])</f>
        <v>2024</v>
      </c>
      <c r="E142" s="112" t="s">
        <v>326</v>
      </c>
      <c r="F142" s="112" t="s">
        <v>326</v>
      </c>
      <c r="G142" s="116" t="str">
        <f>TEXT(MC_2[[#This Row],[Date]],"mmm-yy")</f>
        <v>Jun-24</v>
      </c>
      <c r="H142" s="116">
        <f>DAY(EOMONTH(MC_2[[#This Row],[Month Year]],0))</f>
        <v>30</v>
      </c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5">
        <f>SUM(MC_2[[#This Row],[IS1Inv1M1]:[IS9Inv19M2]])</f>
        <v>0</v>
      </c>
      <c r="BF142" s="120"/>
      <c r="BG142" s="119"/>
      <c r="BH142" s="119"/>
      <c r="BI142" s="120"/>
      <c r="BJ142" s="119"/>
      <c r="BK142" s="119"/>
      <c r="BL142" s="119" t="s">
        <v>1180</v>
      </c>
    </row>
    <row r="143" spans="1:64">
      <c r="A143" s="119">
        <v>141</v>
      </c>
      <c r="B143" s="113">
        <f t="shared" si="2"/>
        <v>45463</v>
      </c>
      <c r="C143" s="114">
        <f>YEAR(MC_2[[#This Row],[Date]])+IF(MONTH(MC_2[[#This Row],[Date]])&gt;=4,1,0)</f>
        <v>2025</v>
      </c>
      <c r="D143" s="115">
        <f>YEAR(MC_2[[#This Row],[Date]])</f>
        <v>2024</v>
      </c>
      <c r="E143" s="112" t="s">
        <v>326</v>
      </c>
      <c r="F143" s="112" t="s">
        <v>326</v>
      </c>
      <c r="G143" s="116" t="str">
        <f>TEXT(MC_2[[#This Row],[Date]],"mmm-yy")</f>
        <v>Jun-24</v>
      </c>
      <c r="H143" s="116">
        <f>DAY(EOMONTH(MC_2[[#This Row],[Month Year]],0))</f>
        <v>30</v>
      </c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5">
        <f>SUM(MC_2[[#This Row],[IS1Inv1M1]:[IS9Inv19M2]])</f>
        <v>0</v>
      </c>
      <c r="BF143" s="120"/>
      <c r="BG143" s="119"/>
      <c r="BH143" s="119"/>
      <c r="BI143" s="120"/>
      <c r="BJ143" s="119"/>
      <c r="BK143" s="119"/>
      <c r="BL143" s="119" t="s">
        <v>1180</v>
      </c>
    </row>
    <row r="144" spans="1:64">
      <c r="A144" s="119">
        <v>142</v>
      </c>
      <c r="B144" s="113">
        <f t="shared" si="2"/>
        <v>45464</v>
      </c>
      <c r="C144" s="114">
        <f>YEAR(MC_2[[#This Row],[Date]])+IF(MONTH(MC_2[[#This Row],[Date]])&gt;=4,1,0)</f>
        <v>2025</v>
      </c>
      <c r="D144" s="115">
        <f>YEAR(MC_2[[#This Row],[Date]])</f>
        <v>2024</v>
      </c>
      <c r="E144" s="112" t="s">
        <v>326</v>
      </c>
      <c r="F144" s="112" t="s">
        <v>326</v>
      </c>
      <c r="G144" s="116" t="str">
        <f>TEXT(MC_2[[#This Row],[Date]],"mmm-yy")</f>
        <v>Jun-24</v>
      </c>
      <c r="H144" s="116">
        <f>DAY(EOMONTH(MC_2[[#This Row],[Month Year]],0))</f>
        <v>30</v>
      </c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5">
        <f>SUM(MC_2[[#This Row],[IS1Inv1M1]:[IS9Inv19M2]])</f>
        <v>0</v>
      </c>
      <c r="BF144" s="120"/>
      <c r="BG144" s="119"/>
      <c r="BH144" s="120">
        <v>0.16666666666666699</v>
      </c>
      <c r="BI144" s="120">
        <v>0.375</v>
      </c>
      <c r="BJ144" s="119" t="s">
        <v>1176</v>
      </c>
      <c r="BK144" s="119"/>
      <c r="BL144" s="119"/>
    </row>
    <row r="145" spans="1:64">
      <c r="A145" s="119">
        <v>143</v>
      </c>
      <c r="B145" s="113">
        <f t="shared" si="2"/>
        <v>45465</v>
      </c>
      <c r="C145" s="114">
        <f>YEAR(MC_2[[#This Row],[Date]])+IF(MONTH(MC_2[[#This Row],[Date]])&gt;=4,1,0)</f>
        <v>2025</v>
      </c>
      <c r="D145" s="115">
        <f>YEAR(MC_2[[#This Row],[Date]])</f>
        <v>2024</v>
      </c>
      <c r="E145" s="112" t="s">
        <v>326</v>
      </c>
      <c r="F145" s="112" t="s">
        <v>326</v>
      </c>
      <c r="G145" s="116" t="str">
        <f>TEXT(MC_2[[#This Row],[Date]],"mmm-yy")</f>
        <v>Jun-24</v>
      </c>
      <c r="H145" s="116">
        <f>DAY(EOMONTH(MC_2[[#This Row],[Month Year]],0))</f>
        <v>30</v>
      </c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5">
        <f>SUM(MC_2[[#This Row],[IS1Inv1M1]:[IS9Inv19M2]])</f>
        <v>0</v>
      </c>
      <c r="BF145" s="120"/>
      <c r="BG145" s="119"/>
      <c r="BH145" s="120">
        <v>0.20833333333333334</v>
      </c>
      <c r="BI145" s="120">
        <v>0.45833333333333331</v>
      </c>
      <c r="BJ145" s="119" t="s">
        <v>1176</v>
      </c>
      <c r="BK145" s="119"/>
      <c r="BL145" s="119"/>
    </row>
    <row r="146" spans="1:64">
      <c r="A146" s="119">
        <v>144</v>
      </c>
      <c r="B146" s="113">
        <f t="shared" si="2"/>
        <v>45466</v>
      </c>
      <c r="C146" s="114">
        <f>YEAR(MC_2[[#This Row],[Date]])+IF(MONTH(MC_2[[#This Row],[Date]])&gt;=4,1,0)</f>
        <v>2025</v>
      </c>
      <c r="D146" s="115">
        <f>YEAR(MC_2[[#This Row],[Date]])</f>
        <v>2024</v>
      </c>
      <c r="E146" s="112" t="s">
        <v>326</v>
      </c>
      <c r="F146" s="112" t="s">
        <v>326</v>
      </c>
      <c r="G146" s="116" t="str">
        <f>TEXT(MC_2[[#This Row],[Date]],"mmm-yy")</f>
        <v>Jun-24</v>
      </c>
      <c r="H146" s="116">
        <f>DAY(EOMONTH(MC_2[[#This Row],[Month Year]],0))</f>
        <v>30</v>
      </c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5">
        <f>SUM(MC_2[[#This Row],[IS1Inv1M1]:[IS9Inv19M2]])</f>
        <v>0</v>
      </c>
      <c r="BF146" s="119"/>
      <c r="BG146" s="119"/>
      <c r="BH146" s="120">
        <v>0.22916666666666666</v>
      </c>
      <c r="BI146" s="120">
        <v>0.39583333333333331</v>
      </c>
      <c r="BJ146" s="120">
        <v>0.6875</v>
      </c>
      <c r="BK146" s="120">
        <v>0.95833333333333337</v>
      </c>
      <c r="BL146" s="119" t="s">
        <v>1176</v>
      </c>
    </row>
    <row r="147" spans="1:64">
      <c r="A147" s="119">
        <v>145</v>
      </c>
      <c r="B147" s="113">
        <f t="shared" si="2"/>
        <v>45467</v>
      </c>
      <c r="C147" s="114">
        <f>YEAR(MC_2[[#This Row],[Date]])+IF(MONTH(MC_2[[#This Row],[Date]])&gt;=4,1,0)</f>
        <v>2025</v>
      </c>
      <c r="D147" s="115">
        <f>YEAR(MC_2[[#This Row],[Date]])</f>
        <v>2024</v>
      </c>
      <c r="E147" s="112" t="s">
        <v>326</v>
      </c>
      <c r="F147" s="112" t="s">
        <v>326</v>
      </c>
      <c r="G147" s="116" t="str">
        <f>TEXT(MC_2[[#This Row],[Date]],"mmm-yy")</f>
        <v>Jun-24</v>
      </c>
      <c r="H147" s="116">
        <f>DAY(EOMONTH(MC_2[[#This Row],[Month Year]],0))</f>
        <v>30</v>
      </c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5">
        <f>SUM(MC_2[[#This Row],[IS1Inv1M1]:[IS9Inv19M2]])</f>
        <v>0</v>
      </c>
      <c r="BF147" s="119"/>
      <c r="BG147" s="119"/>
      <c r="BH147" s="120">
        <v>0.22916666666666666</v>
      </c>
      <c r="BI147" s="120">
        <v>0.39583333333333331</v>
      </c>
      <c r="BJ147" s="120">
        <v>0.6875</v>
      </c>
      <c r="BK147" s="120">
        <v>0.95833333333333337</v>
      </c>
      <c r="BL147" s="119" t="s">
        <v>1176</v>
      </c>
    </row>
    <row r="148" spans="1:64">
      <c r="A148" s="119">
        <v>146</v>
      </c>
      <c r="B148" s="113">
        <f t="shared" si="2"/>
        <v>45468</v>
      </c>
      <c r="C148" s="114">
        <f>YEAR(MC_2[[#This Row],[Date]])+IF(MONTH(MC_2[[#This Row],[Date]])&gt;=4,1,0)</f>
        <v>2025</v>
      </c>
      <c r="D148" s="115">
        <f>YEAR(MC_2[[#This Row],[Date]])</f>
        <v>2024</v>
      </c>
      <c r="E148" s="112" t="s">
        <v>326</v>
      </c>
      <c r="F148" s="112" t="s">
        <v>326</v>
      </c>
      <c r="G148" s="116" t="str">
        <f>TEXT(MC_2[[#This Row],[Date]],"mmm-yy")</f>
        <v>Jun-24</v>
      </c>
      <c r="H148" s="116">
        <f>DAY(EOMONTH(MC_2[[#This Row],[Month Year]],0))</f>
        <v>30</v>
      </c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5">
        <f>SUM(MC_2[[#This Row],[IS1Inv1M1]:[IS9Inv19M2]])</f>
        <v>0</v>
      </c>
      <c r="BF148" s="119"/>
      <c r="BG148" s="119"/>
      <c r="BH148" s="120">
        <v>0.22916666666666666</v>
      </c>
      <c r="BI148" s="120">
        <v>0.39583333333333331</v>
      </c>
      <c r="BJ148" s="120">
        <v>0.6875</v>
      </c>
      <c r="BK148" s="120">
        <v>0.95833333333333337</v>
      </c>
      <c r="BL148" s="119" t="s">
        <v>1176</v>
      </c>
    </row>
    <row r="149" spans="1:64">
      <c r="A149" s="119">
        <v>147</v>
      </c>
      <c r="B149" s="113">
        <f t="shared" si="2"/>
        <v>45469</v>
      </c>
      <c r="C149" s="114">
        <f>YEAR(MC_2[[#This Row],[Date]])+IF(MONTH(MC_2[[#This Row],[Date]])&gt;=4,1,0)</f>
        <v>2025</v>
      </c>
      <c r="D149" s="115">
        <f>YEAR(MC_2[[#This Row],[Date]])</f>
        <v>2024</v>
      </c>
      <c r="E149" s="112" t="s">
        <v>326</v>
      </c>
      <c r="F149" s="112" t="s">
        <v>326</v>
      </c>
      <c r="G149" s="116" t="str">
        <f>TEXT(MC_2[[#This Row],[Date]],"mmm-yy")</f>
        <v>Jun-24</v>
      </c>
      <c r="H149" s="116">
        <f>DAY(EOMONTH(MC_2[[#This Row],[Month Year]],0))</f>
        <v>30</v>
      </c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5">
        <f>SUM(MC_2[[#This Row],[IS1Inv1M1]:[IS9Inv19M2]])</f>
        <v>0</v>
      </c>
      <c r="BF149" s="120"/>
      <c r="BG149" s="119"/>
      <c r="BH149" s="119"/>
      <c r="BI149" s="120"/>
      <c r="BJ149" s="119"/>
      <c r="BK149" s="119"/>
      <c r="BL149" s="119"/>
    </row>
    <row r="150" spans="1:64">
      <c r="A150" s="119">
        <v>148</v>
      </c>
      <c r="B150" s="113">
        <f t="shared" si="2"/>
        <v>45470</v>
      </c>
      <c r="C150" s="114">
        <f>YEAR(MC_2[[#This Row],[Date]])+IF(MONTH(MC_2[[#This Row],[Date]])&gt;=4,1,0)</f>
        <v>2025</v>
      </c>
      <c r="D150" s="115">
        <f>YEAR(MC_2[[#This Row],[Date]])</f>
        <v>2024</v>
      </c>
      <c r="E150" s="112" t="s">
        <v>326</v>
      </c>
      <c r="F150" s="112" t="s">
        <v>326</v>
      </c>
      <c r="G150" s="116" t="str">
        <f>TEXT(MC_2[[#This Row],[Date]],"mmm-yy")</f>
        <v>Jun-24</v>
      </c>
      <c r="H150" s="116">
        <f>DAY(EOMONTH(MC_2[[#This Row],[Month Year]],0))</f>
        <v>30</v>
      </c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5">
        <f>SUM(MC_2[[#This Row],[IS1Inv1M1]:[IS9Inv19M2]])</f>
        <v>0</v>
      </c>
      <c r="BF150" s="119"/>
      <c r="BG150" s="119"/>
      <c r="BH150" s="119"/>
      <c r="BI150" s="119"/>
      <c r="BJ150" s="119"/>
      <c r="BK150" s="119"/>
      <c r="BL150" s="121"/>
    </row>
    <row r="151" spans="1:64">
      <c r="A151" s="119">
        <v>149</v>
      </c>
      <c r="B151" s="113">
        <f t="shared" si="2"/>
        <v>45471</v>
      </c>
      <c r="C151" s="114">
        <f>YEAR(MC_2[[#This Row],[Date]])+IF(MONTH(MC_2[[#This Row],[Date]])&gt;=4,1,0)</f>
        <v>2025</v>
      </c>
      <c r="D151" s="115">
        <f>YEAR(MC_2[[#This Row],[Date]])</f>
        <v>2024</v>
      </c>
      <c r="E151" s="112" t="s">
        <v>326</v>
      </c>
      <c r="F151" s="112" t="s">
        <v>326</v>
      </c>
      <c r="G151" s="116" t="str">
        <f>TEXT(MC_2[[#This Row],[Date]],"mmm-yy")</f>
        <v>Jun-24</v>
      </c>
      <c r="H151" s="116">
        <f>DAY(EOMONTH(MC_2[[#This Row],[Month Year]],0))</f>
        <v>30</v>
      </c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5">
        <f>SUM(MC_2[[#This Row],[IS1Inv1M1]:[IS9Inv19M2]])</f>
        <v>0</v>
      </c>
      <c r="BF151" s="119"/>
      <c r="BG151" s="119"/>
      <c r="BH151" s="119"/>
      <c r="BI151" s="119"/>
      <c r="BJ151" s="119"/>
      <c r="BK151" s="119"/>
      <c r="BL151" s="121"/>
    </row>
    <row r="152" spans="1:64">
      <c r="A152" s="119">
        <v>150</v>
      </c>
      <c r="B152" s="113">
        <f t="shared" si="2"/>
        <v>45472</v>
      </c>
      <c r="C152" s="114">
        <f>YEAR(MC_2[[#This Row],[Date]])+IF(MONTH(MC_2[[#This Row],[Date]])&gt;=4,1,0)</f>
        <v>2025</v>
      </c>
      <c r="D152" s="115">
        <f>YEAR(MC_2[[#This Row],[Date]])</f>
        <v>2024</v>
      </c>
      <c r="E152" s="112" t="s">
        <v>326</v>
      </c>
      <c r="F152" s="112" t="s">
        <v>326</v>
      </c>
      <c r="G152" s="116" t="str">
        <f>TEXT(MC_2[[#This Row],[Date]],"mmm-yy")</f>
        <v>Jun-24</v>
      </c>
      <c r="H152" s="116">
        <f>DAY(EOMONTH(MC_2[[#This Row],[Month Year]],0))</f>
        <v>30</v>
      </c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5">
        <f>SUM(MC_2[[#This Row],[IS1Inv1M1]:[IS9Inv19M2]])</f>
        <v>0</v>
      </c>
      <c r="BF152" s="119"/>
      <c r="BG152" s="119"/>
      <c r="BH152" s="119"/>
      <c r="BI152" s="119"/>
      <c r="BJ152" s="119"/>
      <c r="BK152" s="119"/>
      <c r="BL152" s="121"/>
    </row>
    <row r="153" spans="1:64">
      <c r="A153" s="119">
        <v>151</v>
      </c>
      <c r="B153" s="113">
        <f t="shared" si="2"/>
        <v>45473</v>
      </c>
      <c r="C153" s="114">
        <f>YEAR(MC_2[[#This Row],[Date]])+IF(MONTH(MC_2[[#This Row],[Date]])&gt;=4,1,0)</f>
        <v>2025</v>
      </c>
      <c r="D153" s="115">
        <f>YEAR(MC_2[[#This Row],[Date]])</f>
        <v>2024</v>
      </c>
      <c r="E153" s="112" t="s">
        <v>326</v>
      </c>
      <c r="F153" s="112" t="s">
        <v>326</v>
      </c>
      <c r="G153" s="116" t="str">
        <f>TEXT(MC_2[[#This Row],[Date]],"mmm-yy")</f>
        <v>Jun-24</v>
      </c>
      <c r="H153" s="116">
        <f>DAY(EOMONTH(MC_2[[#This Row],[Month Year]],0))</f>
        <v>30</v>
      </c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5">
        <f>SUM(MC_2[[#This Row],[IS1Inv1M1]:[IS9Inv19M2]])</f>
        <v>0</v>
      </c>
      <c r="BF153" s="119"/>
      <c r="BG153" s="119"/>
      <c r="BH153" s="119"/>
      <c r="BI153" s="119"/>
      <c r="BJ153" s="119"/>
      <c r="BK153" s="119"/>
      <c r="BL153" s="121"/>
    </row>
    <row r="154" spans="1:64">
      <c r="A154" s="119">
        <v>152</v>
      </c>
      <c r="B154" s="113">
        <f t="shared" si="2"/>
        <v>45474</v>
      </c>
      <c r="C154" s="114">
        <f>YEAR(MC_2[[#This Row],[Date]])+IF(MONTH(MC_2[[#This Row],[Date]])&gt;=4,1,0)</f>
        <v>2025</v>
      </c>
      <c r="D154" s="115">
        <f>YEAR(MC_2[[#This Row],[Date]])</f>
        <v>2024</v>
      </c>
      <c r="E154" s="112" t="s">
        <v>326</v>
      </c>
      <c r="F154" s="112" t="s">
        <v>326</v>
      </c>
      <c r="G154" s="116" t="str">
        <f>TEXT(MC_2[[#This Row],[Date]],"mmm-yy")</f>
        <v>Jul-24</v>
      </c>
      <c r="H154" s="116">
        <f>DAY(EOMONTH(MC_2[[#This Row],[Month Year]],0))</f>
        <v>31</v>
      </c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5">
        <f>SUM(MC_2[[#This Row],[IS1Inv1M1]:[IS9Inv19M2]])</f>
        <v>0</v>
      </c>
      <c r="BF154" s="119"/>
      <c r="BG154" s="119"/>
      <c r="BH154" s="119"/>
      <c r="BI154" s="119"/>
      <c r="BJ154" s="119"/>
      <c r="BK154" s="119"/>
      <c r="BL154" s="121"/>
    </row>
    <row r="155" spans="1:64">
      <c r="A155" s="119">
        <v>153</v>
      </c>
      <c r="B155" s="113">
        <f t="shared" si="2"/>
        <v>45475</v>
      </c>
      <c r="C155" s="114">
        <f>YEAR(MC_2[[#This Row],[Date]])+IF(MONTH(MC_2[[#This Row],[Date]])&gt;=4,1,0)</f>
        <v>2025</v>
      </c>
      <c r="D155" s="115">
        <f>YEAR(MC_2[[#This Row],[Date]])</f>
        <v>2024</v>
      </c>
      <c r="E155" s="112" t="s">
        <v>326</v>
      </c>
      <c r="F155" s="112" t="s">
        <v>326</v>
      </c>
      <c r="G155" s="116" t="str">
        <f>TEXT(MC_2[[#This Row],[Date]],"mmm-yy")</f>
        <v>Jul-24</v>
      </c>
      <c r="H155" s="116">
        <f>DAY(EOMONTH(MC_2[[#This Row],[Month Year]],0))</f>
        <v>31</v>
      </c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5">
        <f>SUM(MC_2[[#This Row],[IS1Inv1M1]:[IS9Inv19M2]])</f>
        <v>0</v>
      </c>
      <c r="BF155" s="119"/>
      <c r="BG155" s="119"/>
      <c r="BH155" s="119"/>
      <c r="BI155" s="119"/>
      <c r="BJ155" s="119"/>
      <c r="BK155" s="119"/>
      <c r="BL155" s="121"/>
    </row>
    <row r="156" spans="1:64">
      <c r="A156" s="119">
        <v>154</v>
      </c>
      <c r="B156" s="113">
        <f t="shared" si="2"/>
        <v>45476</v>
      </c>
      <c r="C156" s="114">
        <f>YEAR(MC_2[[#This Row],[Date]])+IF(MONTH(MC_2[[#This Row],[Date]])&gt;=4,1,0)</f>
        <v>2025</v>
      </c>
      <c r="D156" s="115">
        <f>YEAR(MC_2[[#This Row],[Date]])</f>
        <v>2024</v>
      </c>
      <c r="E156" s="112" t="s">
        <v>326</v>
      </c>
      <c r="F156" s="112" t="s">
        <v>326</v>
      </c>
      <c r="G156" s="116" t="str">
        <f>TEXT(MC_2[[#This Row],[Date]],"mmm-yy")</f>
        <v>Jul-24</v>
      </c>
      <c r="H156" s="116">
        <f>DAY(EOMONTH(MC_2[[#This Row],[Month Year]],0))</f>
        <v>31</v>
      </c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5">
        <f>SUM(MC_2[[#This Row],[IS1Inv1M1]:[IS9Inv19M2]])</f>
        <v>0</v>
      </c>
      <c r="BF156" s="120"/>
      <c r="BG156" s="119"/>
      <c r="BH156" s="119"/>
      <c r="BI156" s="120"/>
      <c r="BJ156" s="119"/>
      <c r="BK156" s="119"/>
      <c r="BL156" s="119"/>
    </row>
    <row r="157" spans="1:64">
      <c r="A157" s="119">
        <v>155</v>
      </c>
      <c r="B157" s="113">
        <f t="shared" si="2"/>
        <v>45477</v>
      </c>
      <c r="C157" s="114">
        <f>YEAR(MC_2[[#This Row],[Date]])+IF(MONTH(MC_2[[#This Row],[Date]])&gt;=4,1,0)</f>
        <v>2025</v>
      </c>
      <c r="D157" s="115">
        <f>YEAR(MC_2[[#This Row],[Date]])</f>
        <v>2024</v>
      </c>
      <c r="E157" s="112" t="s">
        <v>326</v>
      </c>
      <c r="F157" s="112" t="s">
        <v>326</v>
      </c>
      <c r="G157" s="116" t="str">
        <f>TEXT(MC_2[[#This Row],[Date]],"mmm-yy")</f>
        <v>Jul-24</v>
      </c>
      <c r="H157" s="116">
        <f>DAY(EOMONTH(MC_2[[#This Row],[Month Year]],0))</f>
        <v>31</v>
      </c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5">
        <f>SUM(MC_2[[#This Row],[IS1Inv1M1]:[IS9Inv19M2]])</f>
        <v>0</v>
      </c>
      <c r="BF157" s="120"/>
      <c r="BG157" s="119"/>
      <c r="BH157" s="119"/>
      <c r="BI157" s="120"/>
      <c r="BJ157" s="119"/>
      <c r="BK157" s="119"/>
      <c r="BL157" s="119"/>
    </row>
    <row r="158" spans="1:64">
      <c r="A158" s="119">
        <v>156</v>
      </c>
      <c r="B158" s="113">
        <f t="shared" si="2"/>
        <v>45478</v>
      </c>
      <c r="C158" s="114">
        <f>YEAR(MC_2[[#This Row],[Date]])+IF(MONTH(MC_2[[#This Row],[Date]])&gt;=4,1,0)</f>
        <v>2025</v>
      </c>
      <c r="D158" s="115">
        <f>YEAR(MC_2[[#This Row],[Date]])</f>
        <v>2024</v>
      </c>
      <c r="E158" s="112" t="s">
        <v>326</v>
      </c>
      <c r="F158" s="112" t="s">
        <v>326</v>
      </c>
      <c r="G158" s="116" t="str">
        <f>TEXT(MC_2[[#This Row],[Date]],"mmm-yy")</f>
        <v>Jul-24</v>
      </c>
      <c r="H158" s="116">
        <f>DAY(EOMONTH(MC_2[[#This Row],[Month Year]],0))</f>
        <v>31</v>
      </c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5">
        <f>SUM(MC_2[[#This Row],[IS1Inv1M1]:[IS9Inv19M2]])</f>
        <v>0</v>
      </c>
      <c r="BF158" s="120"/>
      <c r="BG158" s="119"/>
      <c r="BH158" s="119"/>
      <c r="BI158" s="120"/>
      <c r="BJ158" s="119"/>
      <c r="BK158" s="119"/>
      <c r="BL158" s="119"/>
    </row>
    <row r="159" spans="1:64">
      <c r="A159" s="119">
        <v>157</v>
      </c>
      <c r="B159" s="113">
        <f t="shared" si="2"/>
        <v>45479</v>
      </c>
      <c r="C159" s="114">
        <f>YEAR(MC_2[[#This Row],[Date]])+IF(MONTH(MC_2[[#This Row],[Date]])&gt;=4,1,0)</f>
        <v>2025</v>
      </c>
      <c r="D159" s="115">
        <f>YEAR(MC_2[[#This Row],[Date]])</f>
        <v>2024</v>
      </c>
      <c r="E159" s="112" t="s">
        <v>326</v>
      </c>
      <c r="F159" s="112" t="s">
        <v>326</v>
      </c>
      <c r="G159" s="116" t="str">
        <f>TEXT(MC_2[[#This Row],[Date]],"mmm-yy")</f>
        <v>Jul-24</v>
      </c>
      <c r="H159" s="116">
        <f>DAY(EOMONTH(MC_2[[#This Row],[Month Year]],0))</f>
        <v>31</v>
      </c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5">
        <f>SUM(MC_2[[#This Row],[IS1Inv1M1]:[IS9Inv19M2]])</f>
        <v>0</v>
      </c>
      <c r="BF159" s="120"/>
      <c r="BG159" s="119"/>
      <c r="BH159" s="119"/>
      <c r="BI159" s="120"/>
      <c r="BJ159" s="119"/>
      <c r="BK159" s="119"/>
      <c r="BL159" s="119"/>
    </row>
    <row r="160" spans="1:64">
      <c r="A160" s="119">
        <v>158</v>
      </c>
      <c r="B160" s="113">
        <f t="shared" si="2"/>
        <v>45480</v>
      </c>
      <c r="C160" s="114">
        <f>YEAR(MC_2[[#This Row],[Date]])+IF(MONTH(MC_2[[#This Row],[Date]])&gt;=4,1,0)</f>
        <v>2025</v>
      </c>
      <c r="D160" s="115">
        <f>YEAR(MC_2[[#This Row],[Date]])</f>
        <v>2024</v>
      </c>
      <c r="E160" s="112" t="s">
        <v>326</v>
      </c>
      <c r="F160" s="112" t="s">
        <v>326</v>
      </c>
      <c r="G160" s="116" t="str">
        <f>TEXT(MC_2[[#This Row],[Date]],"mmm-yy")</f>
        <v>Jul-24</v>
      </c>
      <c r="H160" s="116">
        <f>DAY(EOMONTH(MC_2[[#This Row],[Month Year]],0))</f>
        <v>31</v>
      </c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5">
        <f>SUM(MC_2[[#This Row],[IS1Inv1M1]:[IS9Inv19M2]])</f>
        <v>0</v>
      </c>
      <c r="BF160" s="119"/>
      <c r="BG160" s="119"/>
      <c r="BH160" s="119"/>
      <c r="BI160" s="119"/>
      <c r="BJ160" s="119"/>
      <c r="BK160" s="119"/>
      <c r="BL160" s="119"/>
    </row>
    <row r="161" spans="1:64">
      <c r="A161" s="119">
        <v>159</v>
      </c>
      <c r="B161" s="113">
        <f t="shared" si="2"/>
        <v>45481</v>
      </c>
      <c r="C161" s="114">
        <f>YEAR(MC_2[[#This Row],[Date]])+IF(MONTH(MC_2[[#This Row],[Date]])&gt;=4,1,0)</f>
        <v>2025</v>
      </c>
      <c r="D161" s="115">
        <f>YEAR(MC_2[[#This Row],[Date]])</f>
        <v>2024</v>
      </c>
      <c r="E161" s="112" t="s">
        <v>326</v>
      </c>
      <c r="F161" s="112" t="s">
        <v>326</v>
      </c>
      <c r="G161" s="116" t="str">
        <f>TEXT(MC_2[[#This Row],[Date]],"mmm-yy")</f>
        <v>Jul-24</v>
      </c>
      <c r="H161" s="116">
        <f>DAY(EOMONTH(MC_2[[#This Row],[Month Year]],0))</f>
        <v>31</v>
      </c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5">
        <f>SUM(MC_2[[#This Row],[IS1Inv1M1]:[IS9Inv19M2]])</f>
        <v>0</v>
      </c>
      <c r="BF161" s="120"/>
      <c r="BG161" s="119"/>
      <c r="BH161" s="119"/>
      <c r="BI161" s="120"/>
      <c r="BJ161" s="119"/>
      <c r="BK161" s="119"/>
      <c r="BL161" s="119"/>
    </row>
    <row r="162" spans="1:64">
      <c r="A162" s="119">
        <v>160</v>
      </c>
      <c r="B162" s="113">
        <f t="shared" si="2"/>
        <v>45482</v>
      </c>
      <c r="C162" s="114">
        <f>YEAR(MC_2[[#This Row],[Date]])+IF(MONTH(MC_2[[#This Row],[Date]])&gt;=4,1,0)</f>
        <v>2025</v>
      </c>
      <c r="D162" s="115">
        <f>YEAR(MC_2[[#This Row],[Date]])</f>
        <v>2024</v>
      </c>
      <c r="E162" s="112" t="s">
        <v>326</v>
      </c>
      <c r="F162" s="112" t="s">
        <v>326</v>
      </c>
      <c r="G162" s="116" t="str">
        <f>TEXT(MC_2[[#This Row],[Date]],"mmm-yy")</f>
        <v>Jul-24</v>
      </c>
      <c r="H162" s="116">
        <f>DAY(EOMONTH(MC_2[[#This Row],[Month Year]],0))</f>
        <v>31</v>
      </c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5">
        <f>SUM(MC_2[[#This Row],[IS1Inv1M1]:[IS9Inv19M2]])</f>
        <v>0</v>
      </c>
      <c r="BF162" s="120"/>
      <c r="BG162" s="119"/>
      <c r="BH162" s="119"/>
      <c r="BI162" s="120"/>
      <c r="BJ162" s="119"/>
      <c r="BK162" s="119"/>
      <c r="BL162" s="119"/>
    </row>
    <row r="163" spans="1:64">
      <c r="A163" s="119">
        <v>161</v>
      </c>
      <c r="B163" s="113">
        <f t="shared" si="2"/>
        <v>45483</v>
      </c>
      <c r="C163" s="114">
        <f>YEAR(MC_2[[#This Row],[Date]])+IF(MONTH(MC_2[[#This Row],[Date]])&gt;=4,1,0)</f>
        <v>2025</v>
      </c>
      <c r="D163" s="115">
        <f>YEAR(MC_2[[#This Row],[Date]])</f>
        <v>2024</v>
      </c>
      <c r="E163" s="112" t="s">
        <v>326</v>
      </c>
      <c r="F163" s="112" t="s">
        <v>326</v>
      </c>
      <c r="G163" s="116" t="str">
        <f>TEXT(MC_2[[#This Row],[Date]],"mmm-yy")</f>
        <v>Jul-24</v>
      </c>
      <c r="H163" s="116">
        <f>DAY(EOMONTH(MC_2[[#This Row],[Month Year]],0))</f>
        <v>31</v>
      </c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5">
        <f>SUM(MC_2[[#This Row],[IS1Inv1M1]:[IS9Inv19M2]])</f>
        <v>0</v>
      </c>
      <c r="BF163" s="120"/>
      <c r="BG163" s="119"/>
      <c r="BH163" s="119"/>
      <c r="BI163" s="120"/>
      <c r="BJ163" s="119"/>
      <c r="BK163" s="119"/>
      <c r="BL163" s="119"/>
    </row>
    <row r="164" spans="1:64">
      <c r="A164" s="119">
        <v>162</v>
      </c>
      <c r="B164" s="113">
        <f t="shared" si="2"/>
        <v>45484</v>
      </c>
      <c r="C164" s="114">
        <f>YEAR(MC_2[[#This Row],[Date]])+IF(MONTH(MC_2[[#This Row],[Date]])&gt;=4,1,0)</f>
        <v>2025</v>
      </c>
      <c r="D164" s="115">
        <f>YEAR(MC_2[[#This Row],[Date]])</f>
        <v>2024</v>
      </c>
      <c r="E164" s="112" t="s">
        <v>326</v>
      </c>
      <c r="F164" s="112" t="s">
        <v>326</v>
      </c>
      <c r="G164" s="116" t="str">
        <f>TEXT(MC_2[[#This Row],[Date]],"mmm-yy")</f>
        <v>Jul-24</v>
      </c>
      <c r="H164" s="116">
        <f>DAY(EOMONTH(MC_2[[#This Row],[Month Year]],0))</f>
        <v>31</v>
      </c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5">
        <f>SUM(MC_2[[#This Row],[IS1Inv1M1]:[IS9Inv19M2]])</f>
        <v>0</v>
      </c>
      <c r="BF164" s="120"/>
      <c r="BG164" s="119"/>
      <c r="BH164" s="119"/>
      <c r="BI164" s="120"/>
      <c r="BJ164" s="119"/>
      <c r="BK164" s="119"/>
      <c r="BL164" s="119"/>
    </row>
    <row r="165" spans="1:64">
      <c r="A165" s="119">
        <v>163</v>
      </c>
      <c r="B165" s="113">
        <f t="shared" si="2"/>
        <v>45485</v>
      </c>
      <c r="C165" s="114">
        <f>YEAR(MC_2[[#This Row],[Date]])+IF(MONTH(MC_2[[#This Row],[Date]])&gt;=4,1,0)</f>
        <v>2025</v>
      </c>
      <c r="D165" s="115">
        <f>YEAR(MC_2[[#This Row],[Date]])</f>
        <v>2024</v>
      </c>
      <c r="E165" s="112" t="s">
        <v>326</v>
      </c>
      <c r="F165" s="112" t="s">
        <v>326</v>
      </c>
      <c r="G165" s="116" t="str">
        <f>TEXT(MC_2[[#This Row],[Date]],"mmm-yy")</f>
        <v>Jul-24</v>
      </c>
      <c r="H165" s="116">
        <f>DAY(EOMONTH(MC_2[[#This Row],[Month Year]],0))</f>
        <v>31</v>
      </c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5">
        <f>SUM(MC_2[[#This Row],[IS1Inv1M1]:[IS9Inv19M2]])</f>
        <v>0</v>
      </c>
      <c r="BF165" s="119"/>
      <c r="BG165" s="119"/>
      <c r="BH165" s="119"/>
      <c r="BI165" s="119"/>
      <c r="BJ165" s="119"/>
      <c r="BK165" s="119"/>
      <c r="BL165" s="119"/>
    </row>
    <row r="166" spans="1:64">
      <c r="A166" s="119">
        <v>164</v>
      </c>
      <c r="B166" s="113">
        <f t="shared" si="2"/>
        <v>45486</v>
      </c>
      <c r="C166" s="114">
        <f>YEAR(MC_2[[#This Row],[Date]])+IF(MONTH(MC_2[[#This Row],[Date]])&gt;=4,1,0)</f>
        <v>2025</v>
      </c>
      <c r="D166" s="115">
        <f>YEAR(MC_2[[#This Row],[Date]])</f>
        <v>2024</v>
      </c>
      <c r="E166" s="112" t="s">
        <v>326</v>
      </c>
      <c r="F166" s="112" t="s">
        <v>326</v>
      </c>
      <c r="G166" s="116" t="str">
        <f>TEXT(MC_2[[#This Row],[Date]],"mmm-yy")</f>
        <v>Jul-24</v>
      </c>
      <c r="H166" s="116">
        <f>DAY(EOMONTH(MC_2[[#This Row],[Month Year]],0))</f>
        <v>31</v>
      </c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5">
        <f>SUM(MC_2[[#This Row],[IS1Inv1M1]:[IS9Inv19M2]])</f>
        <v>0</v>
      </c>
      <c r="BF166" s="119"/>
      <c r="BG166" s="119"/>
      <c r="BH166" s="119"/>
      <c r="BI166" s="119"/>
      <c r="BJ166" s="119"/>
      <c r="BK166" s="119"/>
      <c r="BL166" s="121"/>
    </row>
    <row r="167" spans="1:64">
      <c r="A167" s="119">
        <v>165</v>
      </c>
      <c r="B167" s="113">
        <f t="shared" si="2"/>
        <v>45487</v>
      </c>
      <c r="C167" s="114">
        <f>YEAR(MC_2[[#This Row],[Date]])+IF(MONTH(MC_2[[#This Row],[Date]])&gt;=4,1,0)</f>
        <v>2025</v>
      </c>
      <c r="D167" s="115">
        <f>YEAR(MC_2[[#This Row],[Date]])</f>
        <v>2024</v>
      </c>
      <c r="E167" s="112" t="s">
        <v>326</v>
      </c>
      <c r="F167" s="112" t="s">
        <v>326</v>
      </c>
      <c r="G167" s="116" t="str">
        <f>TEXT(MC_2[[#This Row],[Date]],"mmm-yy")</f>
        <v>Jul-24</v>
      </c>
      <c r="H167" s="116">
        <f>DAY(EOMONTH(MC_2[[#This Row],[Month Year]],0))</f>
        <v>31</v>
      </c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5">
        <f>SUM(MC_2[[#This Row],[IS1Inv1M1]:[IS9Inv19M2]])</f>
        <v>0</v>
      </c>
      <c r="BF167" s="119"/>
      <c r="BG167" s="119"/>
      <c r="BH167" s="119"/>
      <c r="BI167" s="119"/>
      <c r="BJ167" s="119"/>
      <c r="BK167" s="119"/>
      <c r="BL167" s="121"/>
    </row>
    <row r="168" spans="1:64">
      <c r="A168" s="119">
        <v>166</v>
      </c>
      <c r="B168" s="113">
        <f t="shared" si="2"/>
        <v>45488</v>
      </c>
      <c r="C168" s="114">
        <f>YEAR(MC_2[[#This Row],[Date]])+IF(MONTH(MC_2[[#This Row],[Date]])&gt;=4,1,0)</f>
        <v>2025</v>
      </c>
      <c r="D168" s="115">
        <f>YEAR(MC_2[[#This Row],[Date]])</f>
        <v>2024</v>
      </c>
      <c r="E168" s="112" t="s">
        <v>326</v>
      </c>
      <c r="F168" s="112" t="s">
        <v>326</v>
      </c>
      <c r="G168" s="116" t="str">
        <f>TEXT(MC_2[[#This Row],[Date]],"mmm-yy")</f>
        <v>Jul-24</v>
      </c>
      <c r="H168" s="116">
        <f>DAY(EOMONTH(MC_2[[#This Row],[Month Year]],0))</f>
        <v>31</v>
      </c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5">
        <f>SUM(MC_2[[#This Row],[IS1Inv1M1]:[IS9Inv19M2]])</f>
        <v>0</v>
      </c>
      <c r="BF168" s="119"/>
      <c r="BG168" s="119"/>
      <c r="BH168" s="119"/>
      <c r="BI168" s="119"/>
      <c r="BJ168" s="119"/>
      <c r="BK168" s="119"/>
      <c r="BL168" s="121"/>
    </row>
    <row r="169" spans="1:64">
      <c r="A169" s="119">
        <v>167</v>
      </c>
      <c r="B169" s="113">
        <f t="shared" si="2"/>
        <v>45489</v>
      </c>
      <c r="C169" s="114">
        <f>YEAR(MC_2[[#This Row],[Date]])+IF(MONTH(MC_2[[#This Row],[Date]])&gt;=4,1,0)</f>
        <v>2025</v>
      </c>
      <c r="D169" s="115">
        <f>YEAR(MC_2[[#This Row],[Date]])</f>
        <v>2024</v>
      </c>
      <c r="E169" s="112" t="s">
        <v>326</v>
      </c>
      <c r="F169" s="112" t="s">
        <v>326</v>
      </c>
      <c r="G169" s="116" t="str">
        <f>TEXT(MC_2[[#This Row],[Date]],"mmm-yy")</f>
        <v>Jul-24</v>
      </c>
      <c r="H169" s="116">
        <f>DAY(EOMONTH(MC_2[[#This Row],[Month Year]],0))</f>
        <v>31</v>
      </c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5">
        <f>SUM(MC_2[[#This Row],[IS1Inv1M1]:[IS9Inv19M2]])</f>
        <v>0</v>
      </c>
      <c r="BF169" s="119"/>
      <c r="BG169" s="119"/>
      <c r="BH169" s="119"/>
      <c r="BI169" s="119"/>
      <c r="BJ169" s="119"/>
      <c r="BK169" s="119"/>
      <c r="BL169" s="121"/>
    </row>
    <row r="170" spans="1:64">
      <c r="A170" s="119">
        <v>168</v>
      </c>
      <c r="B170" s="113">
        <f t="shared" si="2"/>
        <v>45490</v>
      </c>
      <c r="C170" s="114">
        <f>YEAR(MC_2[[#This Row],[Date]])+IF(MONTH(MC_2[[#This Row],[Date]])&gt;=4,1,0)</f>
        <v>2025</v>
      </c>
      <c r="D170" s="115">
        <f>YEAR(MC_2[[#This Row],[Date]])</f>
        <v>2024</v>
      </c>
      <c r="E170" s="112" t="s">
        <v>326</v>
      </c>
      <c r="F170" s="112" t="s">
        <v>326</v>
      </c>
      <c r="G170" s="116" t="str">
        <f>TEXT(MC_2[[#This Row],[Date]],"mmm-yy")</f>
        <v>Jul-24</v>
      </c>
      <c r="H170" s="116">
        <f>DAY(EOMONTH(MC_2[[#This Row],[Month Year]],0))</f>
        <v>31</v>
      </c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5">
        <f>SUM(MC_2[[#This Row],[IS1Inv1M1]:[IS9Inv19M2]])</f>
        <v>0</v>
      </c>
      <c r="BF170" s="119"/>
      <c r="BG170" s="119"/>
      <c r="BH170" s="119"/>
      <c r="BI170" s="119"/>
      <c r="BJ170" s="119"/>
      <c r="BK170" s="119"/>
      <c r="BL170" s="121"/>
    </row>
    <row r="171" spans="1:64">
      <c r="A171" s="119">
        <v>169</v>
      </c>
      <c r="B171" s="113">
        <f t="shared" si="2"/>
        <v>45491</v>
      </c>
      <c r="C171" s="114">
        <f>YEAR(MC_2[[#This Row],[Date]])+IF(MONTH(MC_2[[#This Row],[Date]])&gt;=4,1,0)</f>
        <v>2025</v>
      </c>
      <c r="D171" s="115">
        <f>YEAR(MC_2[[#This Row],[Date]])</f>
        <v>2024</v>
      </c>
      <c r="E171" s="112" t="s">
        <v>326</v>
      </c>
      <c r="F171" s="112" t="s">
        <v>326</v>
      </c>
      <c r="G171" s="116" t="str">
        <f>TEXT(MC_2[[#This Row],[Date]],"mmm-yy")</f>
        <v>Jul-24</v>
      </c>
      <c r="H171" s="116">
        <f>DAY(EOMONTH(MC_2[[#This Row],[Month Year]],0))</f>
        <v>31</v>
      </c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5">
        <f>SUM(MC_2[[#This Row],[IS1Inv1M1]:[IS9Inv19M2]])</f>
        <v>0</v>
      </c>
      <c r="BF171" s="119"/>
      <c r="BG171" s="119"/>
      <c r="BH171" s="119"/>
      <c r="BI171" s="119"/>
      <c r="BJ171" s="119"/>
      <c r="BK171" s="119"/>
      <c r="BL171" s="121"/>
    </row>
    <row r="172" spans="1:64">
      <c r="A172" s="119">
        <v>170</v>
      </c>
      <c r="B172" s="113">
        <f t="shared" si="2"/>
        <v>45492</v>
      </c>
      <c r="C172" s="114">
        <f>YEAR(MC_2[[#This Row],[Date]])+IF(MONTH(MC_2[[#This Row],[Date]])&gt;=4,1,0)</f>
        <v>2025</v>
      </c>
      <c r="D172" s="115">
        <f>YEAR(MC_2[[#This Row],[Date]])</f>
        <v>2024</v>
      </c>
      <c r="E172" s="112" t="s">
        <v>326</v>
      </c>
      <c r="F172" s="112" t="s">
        <v>326</v>
      </c>
      <c r="G172" s="116" t="str">
        <f>TEXT(MC_2[[#This Row],[Date]],"mmm-yy")</f>
        <v>Jul-24</v>
      </c>
      <c r="H172" s="116">
        <f>DAY(EOMONTH(MC_2[[#This Row],[Month Year]],0))</f>
        <v>31</v>
      </c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5">
        <f>SUM(MC_2[[#This Row],[IS1Inv1M1]:[IS9Inv19M2]])</f>
        <v>0</v>
      </c>
      <c r="BF172" s="119"/>
      <c r="BG172" s="119"/>
      <c r="BH172" s="119"/>
      <c r="BI172" s="119"/>
      <c r="BJ172" s="119"/>
      <c r="BK172" s="119"/>
      <c r="BL172" s="121"/>
    </row>
    <row r="173" spans="1:64">
      <c r="A173" s="119">
        <v>171</v>
      </c>
      <c r="B173" s="113">
        <f t="shared" si="2"/>
        <v>45493</v>
      </c>
      <c r="C173" s="114">
        <f>YEAR(MC_2[[#This Row],[Date]])+IF(MONTH(MC_2[[#This Row],[Date]])&gt;=4,1,0)</f>
        <v>2025</v>
      </c>
      <c r="D173" s="115">
        <f>YEAR(MC_2[[#This Row],[Date]])</f>
        <v>2024</v>
      </c>
      <c r="E173" s="112" t="s">
        <v>326</v>
      </c>
      <c r="F173" s="112" t="s">
        <v>326</v>
      </c>
      <c r="G173" s="116" t="str">
        <f>TEXT(MC_2[[#This Row],[Date]],"mmm-yy")</f>
        <v>Jul-24</v>
      </c>
      <c r="H173" s="116">
        <f>DAY(EOMONTH(MC_2[[#This Row],[Month Year]],0))</f>
        <v>31</v>
      </c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5">
        <f>SUM(MC_2[[#This Row],[IS1Inv1M1]:[IS9Inv19M2]])</f>
        <v>0</v>
      </c>
      <c r="BF173" s="119"/>
      <c r="BG173" s="119"/>
      <c r="BH173" s="119"/>
      <c r="BI173" s="119"/>
      <c r="BJ173" s="119"/>
      <c r="BK173" s="119"/>
      <c r="BL173" s="121"/>
    </row>
    <row r="174" spans="1:64">
      <c r="A174" s="119">
        <v>172</v>
      </c>
      <c r="B174" s="113">
        <f t="shared" si="2"/>
        <v>45494</v>
      </c>
      <c r="C174" s="114">
        <f>YEAR(MC_2[[#This Row],[Date]])+IF(MONTH(MC_2[[#This Row],[Date]])&gt;=4,1,0)</f>
        <v>2025</v>
      </c>
      <c r="D174" s="115">
        <f>YEAR(MC_2[[#This Row],[Date]])</f>
        <v>2024</v>
      </c>
      <c r="E174" s="112" t="s">
        <v>326</v>
      </c>
      <c r="F174" s="112" t="s">
        <v>326</v>
      </c>
      <c r="G174" s="116" t="str">
        <f>TEXT(MC_2[[#This Row],[Date]],"mmm-yy")</f>
        <v>Jul-24</v>
      </c>
      <c r="H174" s="116">
        <f>DAY(EOMONTH(MC_2[[#This Row],[Month Year]],0))</f>
        <v>31</v>
      </c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5">
        <f>SUM(MC_2[[#This Row],[IS1Inv1M1]:[IS9Inv19M2]])</f>
        <v>0</v>
      </c>
      <c r="BF174" s="119"/>
      <c r="BG174" s="119"/>
      <c r="BH174" s="119"/>
      <c r="BI174" s="119"/>
      <c r="BJ174" s="119"/>
      <c r="BK174" s="119"/>
      <c r="BL174" s="121"/>
    </row>
    <row r="175" spans="1:64">
      <c r="A175" s="119">
        <v>173</v>
      </c>
      <c r="B175" s="113">
        <f t="shared" si="2"/>
        <v>45495</v>
      </c>
      <c r="C175" s="114">
        <f>YEAR(MC_2[[#This Row],[Date]])+IF(MONTH(MC_2[[#This Row],[Date]])&gt;=4,1,0)</f>
        <v>2025</v>
      </c>
      <c r="D175" s="115">
        <f>YEAR(MC_2[[#This Row],[Date]])</f>
        <v>2024</v>
      </c>
      <c r="E175" s="112" t="s">
        <v>326</v>
      </c>
      <c r="F175" s="112" t="s">
        <v>326</v>
      </c>
      <c r="G175" s="116" t="str">
        <f>TEXT(MC_2[[#This Row],[Date]],"mmm-yy")</f>
        <v>Jul-24</v>
      </c>
      <c r="H175" s="116">
        <f>DAY(EOMONTH(MC_2[[#This Row],[Month Year]],0))</f>
        <v>31</v>
      </c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5">
        <f>SUM(MC_2[[#This Row],[IS1Inv1M1]:[IS9Inv19M2]])</f>
        <v>0</v>
      </c>
      <c r="BF175" s="119"/>
      <c r="BG175" s="119"/>
      <c r="BH175" s="119"/>
      <c r="BI175" s="119"/>
      <c r="BJ175" s="119"/>
      <c r="BK175" s="119"/>
      <c r="BL175" s="121"/>
    </row>
    <row r="176" spans="1:64">
      <c r="A176" s="119">
        <v>174</v>
      </c>
      <c r="B176" s="113">
        <f t="shared" si="2"/>
        <v>45496</v>
      </c>
      <c r="C176" s="114">
        <f>YEAR(MC_2[[#This Row],[Date]])+IF(MONTH(MC_2[[#This Row],[Date]])&gt;=4,1,0)</f>
        <v>2025</v>
      </c>
      <c r="D176" s="115">
        <f>YEAR(MC_2[[#This Row],[Date]])</f>
        <v>2024</v>
      </c>
      <c r="E176" s="112" t="s">
        <v>326</v>
      </c>
      <c r="F176" s="112" t="s">
        <v>326</v>
      </c>
      <c r="G176" s="116" t="str">
        <f>TEXT(MC_2[[#This Row],[Date]],"mmm-yy")</f>
        <v>Jul-24</v>
      </c>
      <c r="H176" s="116">
        <f>DAY(EOMONTH(MC_2[[#This Row],[Month Year]],0))</f>
        <v>31</v>
      </c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5">
        <f>SUM(MC_2[[#This Row],[IS1Inv1M1]:[IS9Inv19M2]])</f>
        <v>0</v>
      </c>
      <c r="BF176" s="119"/>
      <c r="BG176" s="119"/>
      <c r="BH176" s="119"/>
      <c r="BI176" s="119"/>
      <c r="BJ176" s="119"/>
      <c r="BK176" s="119"/>
      <c r="BL176" s="121"/>
    </row>
    <row r="177" spans="1:64">
      <c r="A177" s="119">
        <v>175</v>
      </c>
      <c r="B177" s="113">
        <f t="shared" si="2"/>
        <v>45497</v>
      </c>
      <c r="C177" s="114">
        <f>YEAR(MC_2[[#This Row],[Date]])+IF(MONTH(MC_2[[#This Row],[Date]])&gt;=4,1,0)</f>
        <v>2025</v>
      </c>
      <c r="D177" s="115">
        <f>YEAR(MC_2[[#This Row],[Date]])</f>
        <v>2024</v>
      </c>
      <c r="E177" s="112" t="s">
        <v>326</v>
      </c>
      <c r="F177" s="112" t="s">
        <v>326</v>
      </c>
      <c r="G177" s="116" t="str">
        <f>TEXT(MC_2[[#This Row],[Date]],"mmm-yy")</f>
        <v>Jul-24</v>
      </c>
      <c r="H177" s="116">
        <f>DAY(EOMONTH(MC_2[[#This Row],[Month Year]],0))</f>
        <v>31</v>
      </c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5">
        <f>SUM(MC_2[[#This Row],[IS1Inv1M1]:[IS9Inv19M2]])</f>
        <v>0</v>
      </c>
      <c r="BF177" s="119"/>
      <c r="BG177" s="119"/>
      <c r="BH177" s="119"/>
      <c r="BI177" s="119"/>
      <c r="BJ177" s="119"/>
      <c r="BK177" s="119"/>
      <c r="BL177" s="121"/>
    </row>
    <row r="178" spans="1:64">
      <c r="A178" s="119">
        <v>176</v>
      </c>
      <c r="B178" s="113">
        <f t="shared" si="2"/>
        <v>45498</v>
      </c>
      <c r="C178" s="114">
        <f>YEAR(MC_2[[#This Row],[Date]])+IF(MONTH(MC_2[[#This Row],[Date]])&gt;=4,1,0)</f>
        <v>2025</v>
      </c>
      <c r="D178" s="115">
        <f>YEAR(MC_2[[#This Row],[Date]])</f>
        <v>2024</v>
      </c>
      <c r="E178" s="112" t="s">
        <v>326</v>
      </c>
      <c r="F178" s="112" t="s">
        <v>326</v>
      </c>
      <c r="G178" s="116" t="str">
        <f>TEXT(MC_2[[#This Row],[Date]],"mmm-yy")</f>
        <v>Jul-24</v>
      </c>
      <c r="H178" s="116">
        <f>DAY(EOMONTH(MC_2[[#This Row],[Month Year]],0))</f>
        <v>31</v>
      </c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5">
        <f>SUM(MC_2[[#This Row],[IS1Inv1M1]:[IS9Inv19M2]])</f>
        <v>0</v>
      </c>
      <c r="BF178" s="119"/>
      <c r="BG178" s="119"/>
      <c r="BH178" s="119"/>
      <c r="BI178" s="119"/>
      <c r="BJ178" s="119"/>
      <c r="BK178" s="119"/>
      <c r="BL178" s="121"/>
    </row>
    <row r="179" spans="1:64">
      <c r="A179" s="119">
        <v>177</v>
      </c>
      <c r="B179" s="113">
        <f t="shared" si="2"/>
        <v>45499</v>
      </c>
      <c r="C179" s="114">
        <f>YEAR(MC_2[[#This Row],[Date]])+IF(MONTH(MC_2[[#This Row],[Date]])&gt;=4,1,0)</f>
        <v>2025</v>
      </c>
      <c r="D179" s="115">
        <f>YEAR(MC_2[[#This Row],[Date]])</f>
        <v>2024</v>
      </c>
      <c r="E179" s="112" t="s">
        <v>326</v>
      </c>
      <c r="F179" s="112" t="s">
        <v>326</v>
      </c>
      <c r="G179" s="116" t="str">
        <f>TEXT(MC_2[[#This Row],[Date]],"mmm-yy")</f>
        <v>Jul-24</v>
      </c>
      <c r="H179" s="116">
        <f>DAY(EOMONTH(MC_2[[#This Row],[Month Year]],0))</f>
        <v>31</v>
      </c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5">
        <f>SUM(MC_2[[#This Row],[IS1Inv1M1]:[IS9Inv19M2]])</f>
        <v>0</v>
      </c>
      <c r="BF179" s="119"/>
      <c r="BG179" s="119"/>
      <c r="BH179" s="119"/>
      <c r="BI179" s="119"/>
      <c r="BJ179" s="119"/>
      <c r="BK179" s="119"/>
      <c r="BL179" s="121"/>
    </row>
    <row r="180" spans="1:64">
      <c r="A180" s="119">
        <v>177</v>
      </c>
      <c r="B180" s="113">
        <f t="shared" si="2"/>
        <v>45500</v>
      </c>
      <c r="C180" s="114">
        <f>YEAR(MC_2[[#This Row],[Date]])+IF(MONTH(MC_2[[#This Row],[Date]])&gt;=4,1,0)</f>
        <v>2025</v>
      </c>
      <c r="D180" s="115">
        <f>YEAR(MC_2[[#This Row],[Date]])</f>
        <v>2024</v>
      </c>
      <c r="E180" s="112" t="s">
        <v>326</v>
      </c>
      <c r="F180" s="112" t="s">
        <v>326</v>
      </c>
      <c r="G180" s="116" t="str">
        <f>TEXT(MC_2[[#This Row],[Date]],"mmm-yy")</f>
        <v>Jul-24</v>
      </c>
      <c r="H180" s="116">
        <f>DAY(EOMONTH(MC_2[[#This Row],[Month Year]],0))</f>
        <v>31</v>
      </c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5">
        <f>SUM(MC_2[[#This Row],[IS1Inv1M1]:[IS9Inv19M2]])</f>
        <v>0</v>
      </c>
      <c r="BF180" s="119"/>
      <c r="BG180" s="119"/>
      <c r="BH180" s="119"/>
      <c r="BI180" s="119"/>
      <c r="BJ180" s="119"/>
      <c r="BK180" s="119"/>
      <c r="BL180" s="121"/>
    </row>
    <row r="181" spans="1:64">
      <c r="A181" s="119">
        <v>179</v>
      </c>
      <c r="B181" s="113">
        <f t="shared" si="2"/>
        <v>45501</v>
      </c>
      <c r="C181" s="114">
        <f>YEAR(MC_2[[#This Row],[Date]])+IF(MONTH(MC_2[[#This Row],[Date]])&gt;=4,1,0)</f>
        <v>2025</v>
      </c>
      <c r="D181" s="115">
        <f>YEAR(MC_2[[#This Row],[Date]])</f>
        <v>2024</v>
      </c>
      <c r="E181" s="112" t="s">
        <v>326</v>
      </c>
      <c r="F181" s="112" t="s">
        <v>326</v>
      </c>
      <c r="G181" s="116" t="str">
        <f>TEXT(MC_2[[#This Row],[Date]],"mmm-yy")</f>
        <v>Jul-24</v>
      </c>
      <c r="H181" s="116">
        <f>DAY(EOMONTH(MC_2[[#This Row],[Month Year]],0))</f>
        <v>31</v>
      </c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5">
        <f>SUM(MC_2[[#This Row],[IS1Inv1M1]:[IS9Inv19M2]])</f>
        <v>0</v>
      </c>
      <c r="BF181" s="119"/>
      <c r="BG181" s="119"/>
      <c r="BH181" s="119"/>
      <c r="BI181" s="119"/>
      <c r="BJ181" s="119"/>
      <c r="BK181" s="119"/>
      <c r="BL181" s="121"/>
    </row>
    <row r="182" spans="1:64">
      <c r="A182" s="119">
        <v>180</v>
      </c>
      <c r="B182" s="113">
        <f t="shared" si="2"/>
        <v>45502</v>
      </c>
      <c r="C182" s="114">
        <f>YEAR(MC_2[[#This Row],[Date]])+IF(MONTH(MC_2[[#This Row],[Date]])&gt;=4,1,0)</f>
        <v>2025</v>
      </c>
      <c r="D182" s="115">
        <f>YEAR(MC_2[[#This Row],[Date]])</f>
        <v>2024</v>
      </c>
      <c r="E182" s="112" t="s">
        <v>326</v>
      </c>
      <c r="F182" s="112" t="s">
        <v>326</v>
      </c>
      <c r="G182" s="116" t="str">
        <f>TEXT(MC_2[[#This Row],[Date]],"mmm-yy")</f>
        <v>Jul-24</v>
      </c>
      <c r="H182" s="116">
        <f>DAY(EOMONTH(MC_2[[#This Row],[Month Year]],0))</f>
        <v>31</v>
      </c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5">
        <f>SUM(MC_2[[#This Row],[IS1Inv1M1]:[IS9Inv19M2]])</f>
        <v>0</v>
      </c>
      <c r="BF182" s="119"/>
      <c r="BG182" s="119"/>
      <c r="BH182" s="119"/>
      <c r="BI182" s="119"/>
      <c r="BJ182" s="119"/>
      <c r="BK182" s="119"/>
      <c r="BL182" s="121"/>
    </row>
    <row r="183" spans="1:64">
      <c r="A183" s="119">
        <v>181</v>
      </c>
      <c r="B183" s="113">
        <f t="shared" si="2"/>
        <v>45503</v>
      </c>
      <c r="C183" s="114">
        <f>YEAR(MC_2[[#This Row],[Date]])+IF(MONTH(MC_2[[#This Row],[Date]])&gt;=4,1,0)</f>
        <v>2025</v>
      </c>
      <c r="D183" s="115">
        <f>YEAR(MC_2[[#This Row],[Date]])</f>
        <v>2024</v>
      </c>
      <c r="E183" s="112" t="s">
        <v>326</v>
      </c>
      <c r="F183" s="112" t="s">
        <v>326</v>
      </c>
      <c r="G183" s="116" t="str">
        <f>TEXT(MC_2[[#This Row],[Date]],"mmm-yy")</f>
        <v>Jul-24</v>
      </c>
      <c r="H183" s="116">
        <f>DAY(EOMONTH(MC_2[[#This Row],[Month Year]],0))</f>
        <v>31</v>
      </c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5">
        <f>SUM(MC_2[[#This Row],[IS1Inv1M1]:[IS9Inv19M2]])</f>
        <v>0</v>
      </c>
      <c r="BF183" s="119"/>
      <c r="BG183" s="119"/>
      <c r="BH183" s="119"/>
      <c r="BI183" s="119"/>
      <c r="BJ183" s="119"/>
      <c r="BK183" s="119"/>
      <c r="BL183" s="121"/>
    </row>
    <row r="184" spans="1:64">
      <c r="A184" s="119">
        <v>182</v>
      </c>
      <c r="B184" s="113">
        <f t="shared" si="2"/>
        <v>45504</v>
      </c>
      <c r="C184" s="114">
        <f>YEAR(MC_2[[#This Row],[Date]])+IF(MONTH(MC_2[[#This Row],[Date]])&gt;=4,1,0)</f>
        <v>2025</v>
      </c>
      <c r="D184" s="115">
        <f>YEAR(MC_2[[#This Row],[Date]])</f>
        <v>2024</v>
      </c>
      <c r="E184" s="112" t="s">
        <v>326</v>
      </c>
      <c r="F184" s="112" t="s">
        <v>326</v>
      </c>
      <c r="G184" s="116" t="str">
        <f>TEXT(MC_2[[#This Row],[Date]],"mmm-yy")</f>
        <v>Jul-24</v>
      </c>
      <c r="H184" s="116">
        <f>DAY(EOMONTH(MC_2[[#This Row],[Month Year]],0))</f>
        <v>31</v>
      </c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5">
        <f>SUM(MC_2[[#This Row],[IS1Inv1M1]:[IS9Inv19M2]])</f>
        <v>0</v>
      </c>
      <c r="BF184" s="119"/>
      <c r="BG184" s="119"/>
      <c r="BH184" s="119"/>
      <c r="BI184" s="119"/>
      <c r="BJ184" s="119"/>
      <c r="BK184" s="119"/>
      <c r="BL184" s="121"/>
    </row>
    <row r="185" spans="1:64">
      <c r="A185" s="119">
        <v>183</v>
      </c>
      <c r="B185" s="113">
        <f t="shared" si="2"/>
        <v>45505</v>
      </c>
      <c r="C185" s="114">
        <f>YEAR(MC_2[[#This Row],[Date]])+IF(MONTH(MC_2[[#This Row],[Date]])&gt;=4,1,0)</f>
        <v>2025</v>
      </c>
      <c r="D185" s="115">
        <f>YEAR(MC_2[[#This Row],[Date]])</f>
        <v>2024</v>
      </c>
      <c r="E185" s="112" t="s">
        <v>326</v>
      </c>
      <c r="F185" s="112" t="s">
        <v>326</v>
      </c>
      <c r="G185" s="116" t="str">
        <f>TEXT(MC_2[[#This Row],[Date]],"mmm-yy")</f>
        <v>Aug-24</v>
      </c>
      <c r="H185" s="116">
        <f>DAY(EOMONTH(MC_2[[#This Row],[Month Year]],0))</f>
        <v>31</v>
      </c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5">
        <f>SUM(MC_2[[#This Row],[IS1Inv1M1]:[IS9Inv19M2]])</f>
        <v>0</v>
      </c>
      <c r="BF185" s="119"/>
      <c r="BG185" s="119"/>
      <c r="BH185" s="119"/>
      <c r="BI185" s="119"/>
      <c r="BJ185" s="119"/>
      <c r="BK185" s="119"/>
      <c r="BL185" s="121"/>
    </row>
    <row r="186" spans="1:64">
      <c r="A186" s="119">
        <v>184</v>
      </c>
      <c r="B186" s="113">
        <f t="shared" si="2"/>
        <v>45506</v>
      </c>
      <c r="C186" s="114">
        <f>YEAR(MC_2[[#This Row],[Date]])+IF(MONTH(MC_2[[#This Row],[Date]])&gt;=4,1,0)</f>
        <v>2025</v>
      </c>
      <c r="D186" s="115">
        <f>YEAR(MC_2[[#This Row],[Date]])</f>
        <v>2024</v>
      </c>
      <c r="E186" s="112" t="s">
        <v>326</v>
      </c>
      <c r="F186" s="112" t="s">
        <v>326</v>
      </c>
      <c r="G186" s="116" t="str">
        <f>TEXT(MC_2[[#This Row],[Date]],"mmm-yy")</f>
        <v>Aug-24</v>
      </c>
      <c r="H186" s="116">
        <f>DAY(EOMONTH(MC_2[[#This Row],[Month Year]],0))</f>
        <v>31</v>
      </c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5">
        <f>SUM(MC_2[[#This Row],[IS1Inv1M1]:[IS9Inv19M2]])</f>
        <v>0</v>
      </c>
      <c r="BF186" s="119"/>
      <c r="BG186" s="119"/>
      <c r="BH186" s="119"/>
      <c r="BI186" s="119"/>
      <c r="BJ186" s="119"/>
      <c r="BK186" s="119"/>
      <c r="BL186" s="121"/>
    </row>
    <row r="187" spans="1:64">
      <c r="A187" s="119">
        <v>185</v>
      </c>
      <c r="B187" s="113">
        <f t="shared" si="2"/>
        <v>45507</v>
      </c>
      <c r="C187" s="114">
        <f>YEAR(MC_2[[#This Row],[Date]])+IF(MONTH(MC_2[[#This Row],[Date]])&gt;=4,1,0)</f>
        <v>2025</v>
      </c>
      <c r="D187" s="115">
        <f>YEAR(MC_2[[#This Row],[Date]])</f>
        <v>2024</v>
      </c>
      <c r="E187" s="112" t="s">
        <v>326</v>
      </c>
      <c r="F187" s="112" t="s">
        <v>326</v>
      </c>
      <c r="G187" s="116" t="str">
        <f>TEXT(MC_2[[#This Row],[Date]],"mmm-yy")</f>
        <v>Aug-24</v>
      </c>
      <c r="H187" s="116">
        <f>DAY(EOMONTH(MC_2[[#This Row],[Month Year]],0))</f>
        <v>31</v>
      </c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5">
        <f>SUM(MC_2[[#This Row],[IS1Inv1M1]:[IS9Inv19M2]])</f>
        <v>0</v>
      </c>
      <c r="BF187" s="119"/>
      <c r="BG187" s="119"/>
      <c r="BH187" s="119"/>
      <c r="BI187" s="119"/>
      <c r="BJ187" s="119"/>
      <c r="BK187" s="119"/>
      <c r="BL187" s="121"/>
    </row>
    <row r="188" spans="1:64">
      <c r="A188" s="119">
        <v>186</v>
      </c>
      <c r="B188" s="113">
        <f t="shared" si="2"/>
        <v>45508</v>
      </c>
      <c r="C188" s="114">
        <f>YEAR(MC_2[[#This Row],[Date]])+IF(MONTH(MC_2[[#This Row],[Date]])&gt;=4,1,0)</f>
        <v>2025</v>
      </c>
      <c r="D188" s="115">
        <f>YEAR(MC_2[[#This Row],[Date]])</f>
        <v>2024</v>
      </c>
      <c r="E188" s="112" t="s">
        <v>326</v>
      </c>
      <c r="F188" s="112" t="s">
        <v>326</v>
      </c>
      <c r="G188" s="116" t="str">
        <f>TEXT(MC_2[[#This Row],[Date]],"mmm-yy")</f>
        <v>Aug-24</v>
      </c>
      <c r="H188" s="116">
        <f>DAY(EOMONTH(MC_2[[#This Row],[Month Year]],0))</f>
        <v>31</v>
      </c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5">
        <f>SUM(MC_2[[#This Row],[IS1Inv1M1]:[IS9Inv19M2]])</f>
        <v>0</v>
      </c>
      <c r="BF188" s="119"/>
      <c r="BG188" s="119"/>
      <c r="BH188" s="119"/>
      <c r="BI188" s="119"/>
      <c r="BJ188" s="119"/>
      <c r="BK188" s="119"/>
      <c r="BL188" s="121"/>
    </row>
    <row r="189" spans="1:64">
      <c r="A189" s="119">
        <v>187</v>
      </c>
      <c r="B189" s="113">
        <f t="shared" si="2"/>
        <v>45509</v>
      </c>
      <c r="C189" s="114">
        <f>YEAR(MC_2[[#This Row],[Date]])+IF(MONTH(MC_2[[#This Row],[Date]])&gt;=4,1,0)</f>
        <v>2025</v>
      </c>
      <c r="D189" s="115">
        <f>YEAR(MC_2[[#This Row],[Date]])</f>
        <v>2024</v>
      </c>
      <c r="E189" s="112" t="s">
        <v>326</v>
      </c>
      <c r="F189" s="112" t="s">
        <v>326</v>
      </c>
      <c r="G189" s="116" t="str">
        <f>TEXT(MC_2[[#This Row],[Date]],"mmm-yy")</f>
        <v>Aug-24</v>
      </c>
      <c r="H189" s="116">
        <f>DAY(EOMONTH(MC_2[[#This Row],[Month Year]],0))</f>
        <v>31</v>
      </c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5">
        <f>SUM(MC_2[[#This Row],[IS1Inv1M1]:[IS9Inv19M2]])</f>
        <v>0</v>
      </c>
      <c r="BF189" s="119"/>
      <c r="BG189" s="119"/>
      <c r="BH189" s="119"/>
      <c r="BI189" s="119"/>
      <c r="BJ189" s="119"/>
      <c r="BK189" s="119"/>
      <c r="BL189" s="121"/>
    </row>
    <row r="190" spans="1:64">
      <c r="A190" s="119">
        <v>188</v>
      </c>
      <c r="B190" s="113">
        <f t="shared" si="2"/>
        <v>45510</v>
      </c>
      <c r="C190" s="114">
        <f>YEAR(MC_2[[#This Row],[Date]])+IF(MONTH(MC_2[[#This Row],[Date]])&gt;=4,1,0)</f>
        <v>2025</v>
      </c>
      <c r="D190" s="115">
        <f>YEAR(MC_2[[#This Row],[Date]])</f>
        <v>2024</v>
      </c>
      <c r="E190" s="112" t="s">
        <v>326</v>
      </c>
      <c r="F190" s="112" t="s">
        <v>326</v>
      </c>
      <c r="G190" s="116" t="str">
        <f>TEXT(MC_2[[#This Row],[Date]],"mmm-yy")</f>
        <v>Aug-24</v>
      </c>
      <c r="H190" s="116">
        <f>DAY(EOMONTH(MC_2[[#This Row],[Month Year]],0))</f>
        <v>31</v>
      </c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5">
        <f>SUM(MC_2[[#This Row],[IS1Inv1M1]:[IS9Inv19M2]])</f>
        <v>0</v>
      </c>
      <c r="BF190" s="119"/>
      <c r="BG190" s="119"/>
      <c r="BH190" s="119"/>
      <c r="BI190" s="119"/>
      <c r="BJ190" s="119"/>
      <c r="BK190" s="119"/>
      <c r="BL190" s="121"/>
    </row>
    <row r="191" spans="1:64">
      <c r="A191" s="119">
        <v>189</v>
      </c>
      <c r="B191" s="113">
        <f t="shared" si="2"/>
        <v>45511</v>
      </c>
      <c r="C191" s="114">
        <f>YEAR(MC_2[[#This Row],[Date]])+IF(MONTH(MC_2[[#This Row],[Date]])&gt;=4,1,0)</f>
        <v>2025</v>
      </c>
      <c r="D191" s="115">
        <f>YEAR(MC_2[[#This Row],[Date]])</f>
        <v>2024</v>
      </c>
      <c r="E191" s="112" t="s">
        <v>326</v>
      </c>
      <c r="F191" s="112" t="s">
        <v>326</v>
      </c>
      <c r="G191" s="116" t="str">
        <f>TEXT(MC_2[[#This Row],[Date]],"mmm-yy")</f>
        <v>Aug-24</v>
      </c>
      <c r="H191" s="116">
        <f>DAY(EOMONTH(MC_2[[#This Row],[Month Year]],0))</f>
        <v>31</v>
      </c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5">
        <f>SUM(MC_2[[#This Row],[IS1Inv1M1]:[IS9Inv19M2]])</f>
        <v>0</v>
      </c>
      <c r="BF191" s="119"/>
      <c r="BG191" s="119"/>
      <c r="BH191" s="119"/>
      <c r="BI191" s="119"/>
      <c r="BJ191" s="119"/>
      <c r="BK191" s="119"/>
      <c r="BL191" s="121"/>
    </row>
    <row r="192" spans="1:64">
      <c r="A192" s="119">
        <v>190</v>
      </c>
      <c r="B192" s="113">
        <f t="shared" si="2"/>
        <v>45512</v>
      </c>
      <c r="C192" s="114">
        <f>YEAR(MC_2[[#This Row],[Date]])+IF(MONTH(MC_2[[#This Row],[Date]])&gt;=4,1,0)</f>
        <v>2025</v>
      </c>
      <c r="D192" s="115">
        <f>YEAR(MC_2[[#This Row],[Date]])</f>
        <v>2024</v>
      </c>
      <c r="E192" s="112" t="s">
        <v>326</v>
      </c>
      <c r="F192" s="112" t="s">
        <v>326</v>
      </c>
      <c r="G192" s="116" t="str">
        <f>TEXT(MC_2[[#This Row],[Date]],"mmm-yy")</f>
        <v>Aug-24</v>
      </c>
      <c r="H192" s="116">
        <f>DAY(EOMONTH(MC_2[[#This Row],[Month Year]],0))</f>
        <v>31</v>
      </c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5">
        <f>SUM(MC_2[[#This Row],[IS1Inv1M1]:[IS9Inv19M2]])</f>
        <v>0</v>
      </c>
      <c r="BF192" s="119"/>
      <c r="BG192" s="119"/>
      <c r="BH192" s="119"/>
      <c r="BI192" s="119"/>
      <c r="BJ192" s="119"/>
      <c r="BK192" s="119"/>
      <c r="BL192" s="121"/>
    </row>
    <row r="193" spans="1:64">
      <c r="A193" s="119">
        <v>191</v>
      </c>
      <c r="B193" s="113">
        <f t="shared" si="2"/>
        <v>45513</v>
      </c>
      <c r="C193" s="114">
        <f>YEAR(MC_2[[#This Row],[Date]])+IF(MONTH(MC_2[[#This Row],[Date]])&gt;=4,1,0)</f>
        <v>2025</v>
      </c>
      <c r="D193" s="115">
        <f>YEAR(MC_2[[#This Row],[Date]])</f>
        <v>2024</v>
      </c>
      <c r="E193" s="112" t="s">
        <v>326</v>
      </c>
      <c r="F193" s="112" t="s">
        <v>326</v>
      </c>
      <c r="G193" s="116" t="str">
        <f>TEXT(MC_2[[#This Row],[Date]],"mmm-yy")</f>
        <v>Aug-24</v>
      </c>
      <c r="H193" s="116">
        <f>DAY(EOMONTH(MC_2[[#This Row],[Month Year]],0))</f>
        <v>31</v>
      </c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5">
        <f>SUM(MC_2[[#This Row],[IS1Inv1M1]:[IS9Inv19M2]])</f>
        <v>0</v>
      </c>
      <c r="BF193" s="119"/>
      <c r="BG193" s="119"/>
      <c r="BH193" s="119"/>
      <c r="BI193" s="119"/>
      <c r="BJ193" s="119"/>
      <c r="BK193" s="119"/>
      <c r="BL193" s="121"/>
    </row>
    <row r="194" spans="1:64">
      <c r="A194" s="119">
        <v>192</v>
      </c>
      <c r="B194" s="113">
        <f t="shared" si="2"/>
        <v>45514</v>
      </c>
      <c r="C194" s="114">
        <f>YEAR(MC_2[[#This Row],[Date]])+IF(MONTH(MC_2[[#This Row],[Date]])&gt;=4,1,0)</f>
        <v>2025</v>
      </c>
      <c r="D194" s="115">
        <f>YEAR(MC_2[[#This Row],[Date]])</f>
        <v>2024</v>
      </c>
      <c r="E194" s="112" t="s">
        <v>326</v>
      </c>
      <c r="F194" s="112" t="s">
        <v>326</v>
      </c>
      <c r="G194" s="116" t="str">
        <f>TEXT(MC_2[[#This Row],[Date]],"mmm-yy")</f>
        <v>Aug-24</v>
      </c>
      <c r="H194" s="116">
        <f>DAY(EOMONTH(MC_2[[#This Row],[Month Year]],0))</f>
        <v>31</v>
      </c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5">
        <f>SUM(MC_2[[#This Row],[IS1Inv1M1]:[IS9Inv19M2]])</f>
        <v>0</v>
      </c>
      <c r="BF194" s="119"/>
      <c r="BG194" s="119"/>
      <c r="BH194" s="119"/>
      <c r="BI194" s="119"/>
      <c r="BJ194" s="119"/>
      <c r="BK194" s="119"/>
      <c r="BL194" s="121"/>
    </row>
    <row r="195" spans="1:64">
      <c r="A195" s="119">
        <v>193</v>
      </c>
      <c r="B195" s="113">
        <f t="shared" si="2"/>
        <v>45515</v>
      </c>
      <c r="C195" s="114">
        <f>YEAR(MC_2[[#This Row],[Date]])+IF(MONTH(MC_2[[#This Row],[Date]])&gt;=4,1,0)</f>
        <v>2025</v>
      </c>
      <c r="D195" s="115">
        <f>YEAR(MC_2[[#This Row],[Date]])</f>
        <v>2024</v>
      </c>
      <c r="E195" s="112" t="s">
        <v>326</v>
      </c>
      <c r="F195" s="112" t="s">
        <v>326</v>
      </c>
      <c r="G195" s="116" t="str">
        <f>TEXT(MC_2[[#This Row],[Date]],"mmm-yy")</f>
        <v>Aug-24</v>
      </c>
      <c r="H195" s="116">
        <f>DAY(EOMONTH(MC_2[[#This Row],[Month Year]],0))</f>
        <v>31</v>
      </c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5">
        <f>SUM(MC_2[[#This Row],[IS1Inv1M1]:[IS9Inv19M2]])</f>
        <v>0</v>
      </c>
      <c r="BF195" s="119"/>
      <c r="BG195" s="119"/>
      <c r="BH195" s="119"/>
      <c r="BI195" s="119"/>
      <c r="BJ195" s="119"/>
      <c r="BK195" s="119"/>
      <c r="BL195" s="121"/>
    </row>
    <row r="196" spans="1:64">
      <c r="A196" s="119">
        <v>194</v>
      </c>
      <c r="B196" s="113">
        <f t="shared" si="2"/>
        <v>45516</v>
      </c>
      <c r="C196" s="114">
        <f>YEAR(MC_2[[#This Row],[Date]])+IF(MONTH(MC_2[[#This Row],[Date]])&gt;=4,1,0)</f>
        <v>2025</v>
      </c>
      <c r="D196" s="115">
        <f>YEAR(MC_2[[#This Row],[Date]])</f>
        <v>2024</v>
      </c>
      <c r="E196" s="112" t="s">
        <v>326</v>
      </c>
      <c r="F196" s="112" t="s">
        <v>326</v>
      </c>
      <c r="G196" s="116" t="str">
        <f>TEXT(MC_2[[#This Row],[Date]],"mmm-yy")</f>
        <v>Aug-24</v>
      </c>
      <c r="H196" s="116">
        <f>DAY(EOMONTH(MC_2[[#This Row],[Month Year]],0))</f>
        <v>31</v>
      </c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5">
        <f>SUM(MC_2[[#This Row],[IS1Inv1M1]:[IS9Inv19M2]])</f>
        <v>0</v>
      </c>
      <c r="BF196" s="119"/>
      <c r="BG196" s="119"/>
      <c r="BH196" s="119"/>
      <c r="BI196" s="119"/>
      <c r="BJ196" s="119"/>
      <c r="BK196" s="119"/>
      <c r="BL196" s="121"/>
    </row>
    <row r="197" spans="1:64">
      <c r="A197" s="119">
        <v>195</v>
      </c>
      <c r="B197" s="113">
        <f t="shared" ref="B197:B260" si="3">B196+1</f>
        <v>45517</v>
      </c>
      <c r="C197" s="114">
        <f>YEAR(MC_2[[#This Row],[Date]])+IF(MONTH(MC_2[[#This Row],[Date]])&gt;=4,1,0)</f>
        <v>2025</v>
      </c>
      <c r="D197" s="115">
        <f>YEAR(MC_2[[#This Row],[Date]])</f>
        <v>2024</v>
      </c>
      <c r="E197" s="112" t="s">
        <v>326</v>
      </c>
      <c r="F197" s="112" t="s">
        <v>326</v>
      </c>
      <c r="G197" s="116" t="str">
        <f>TEXT(MC_2[[#This Row],[Date]],"mmm-yy")</f>
        <v>Aug-24</v>
      </c>
      <c r="H197" s="116">
        <f>DAY(EOMONTH(MC_2[[#This Row],[Month Year]],0))</f>
        <v>31</v>
      </c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5">
        <f>SUM(MC_2[[#This Row],[IS1Inv1M1]:[IS9Inv19M2]])</f>
        <v>0</v>
      </c>
      <c r="BF197" s="119"/>
      <c r="BG197" s="119"/>
      <c r="BH197" s="119"/>
      <c r="BI197" s="119"/>
      <c r="BJ197" s="119"/>
      <c r="BK197" s="119"/>
      <c r="BL197" s="121"/>
    </row>
    <row r="198" spans="1:64">
      <c r="A198" s="119">
        <v>196</v>
      </c>
      <c r="B198" s="113">
        <f t="shared" si="3"/>
        <v>45518</v>
      </c>
      <c r="C198" s="114">
        <f>YEAR(MC_2[[#This Row],[Date]])+IF(MONTH(MC_2[[#This Row],[Date]])&gt;=4,1,0)</f>
        <v>2025</v>
      </c>
      <c r="D198" s="115">
        <f>YEAR(MC_2[[#This Row],[Date]])</f>
        <v>2024</v>
      </c>
      <c r="E198" s="112" t="s">
        <v>326</v>
      </c>
      <c r="F198" s="112" t="s">
        <v>326</v>
      </c>
      <c r="G198" s="116" t="str">
        <f>TEXT(MC_2[[#This Row],[Date]],"mmm-yy")</f>
        <v>Aug-24</v>
      </c>
      <c r="H198" s="116">
        <f>DAY(EOMONTH(MC_2[[#This Row],[Month Year]],0))</f>
        <v>31</v>
      </c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5">
        <f>SUM(MC_2[[#This Row],[IS1Inv1M1]:[IS9Inv19M2]])</f>
        <v>0</v>
      </c>
      <c r="BF198" s="119"/>
      <c r="BG198" s="119"/>
      <c r="BH198" s="119"/>
      <c r="BI198" s="119"/>
      <c r="BJ198" s="119"/>
      <c r="BK198" s="119"/>
      <c r="BL198" s="121"/>
    </row>
    <row r="199" spans="1:64">
      <c r="A199" s="119">
        <v>197</v>
      </c>
      <c r="B199" s="113">
        <f t="shared" si="3"/>
        <v>45519</v>
      </c>
      <c r="C199" s="114">
        <f>YEAR(MC_2[[#This Row],[Date]])+IF(MONTH(MC_2[[#This Row],[Date]])&gt;=4,1,0)</f>
        <v>2025</v>
      </c>
      <c r="D199" s="115">
        <f>YEAR(MC_2[[#This Row],[Date]])</f>
        <v>2024</v>
      </c>
      <c r="E199" s="112" t="s">
        <v>326</v>
      </c>
      <c r="F199" s="112" t="s">
        <v>326</v>
      </c>
      <c r="G199" s="116" t="str">
        <f>TEXT(MC_2[[#This Row],[Date]],"mmm-yy")</f>
        <v>Aug-24</v>
      </c>
      <c r="H199" s="116">
        <f>DAY(EOMONTH(MC_2[[#This Row],[Month Year]],0))</f>
        <v>31</v>
      </c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5">
        <f>SUM(MC_2[[#This Row],[IS1Inv1M1]:[IS9Inv19M2]])</f>
        <v>0</v>
      </c>
      <c r="BF199" s="119"/>
      <c r="BG199" s="119"/>
      <c r="BH199" s="119"/>
      <c r="BI199" s="119"/>
      <c r="BJ199" s="119"/>
      <c r="BK199" s="119"/>
      <c r="BL199" s="121"/>
    </row>
    <row r="200" spans="1:64">
      <c r="A200" s="119">
        <v>198</v>
      </c>
      <c r="B200" s="113">
        <f t="shared" si="3"/>
        <v>45520</v>
      </c>
      <c r="C200" s="114">
        <f>YEAR(MC_2[[#This Row],[Date]])+IF(MONTH(MC_2[[#This Row],[Date]])&gt;=4,1,0)</f>
        <v>2025</v>
      </c>
      <c r="D200" s="115">
        <f>YEAR(MC_2[[#This Row],[Date]])</f>
        <v>2024</v>
      </c>
      <c r="E200" s="112" t="s">
        <v>326</v>
      </c>
      <c r="F200" s="112" t="s">
        <v>326</v>
      </c>
      <c r="G200" s="116" t="str">
        <f>TEXT(MC_2[[#This Row],[Date]],"mmm-yy")</f>
        <v>Aug-24</v>
      </c>
      <c r="H200" s="116">
        <f>DAY(EOMONTH(MC_2[[#This Row],[Month Year]],0))</f>
        <v>31</v>
      </c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5">
        <f>SUM(MC_2[[#This Row],[IS1Inv1M1]:[IS9Inv19M2]])</f>
        <v>0</v>
      </c>
      <c r="BF200" s="119"/>
      <c r="BG200" s="119"/>
      <c r="BH200" s="119"/>
      <c r="BI200" s="119"/>
      <c r="BJ200" s="119"/>
      <c r="BK200" s="119"/>
      <c r="BL200" s="121"/>
    </row>
    <row r="201" spans="1:64">
      <c r="A201" s="119">
        <v>199</v>
      </c>
      <c r="B201" s="113">
        <f t="shared" si="3"/>
        <v>45521</v>
      </c>
      <c r="C201" s="114">
        <f>YEAR(MC_2[[#This Row],[Date]])+IF(MONTH(MC_2[[#This Row],[Date]])&gt;=4,1,0)</f>
        <v>2025</v>
      </c>
      <c r="D201" s="115">
        <f>YEAR(MC_2[[#This Row],[Date]])</f>
        <v>2024</v>
      </c>
      <c r="E201" s="112" t="s">
        <v>326</v>
      </c>
      <c r="F201" s="112" t="s">
        <v>326</v>
      </c>
      <c r="G201" s="116" t="str">
        <f>TEXT(MC_2[[#This Row],[Date]],"mmm-yy")</f>
        <v>Aug-24</v>
      </c>
      <c r="H201" s="116">
        <f>DAY(EOMONTH(MC_2[[#This Row],[Month Year]],0))</f>
        <v>31</v>
      </c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5">
        <f>SUM(MC_2[[#This Row],[IS1Inv1M1]:[IS9Inv19M2]])</f>
        <v>0</v>
      </c>
      <c r="BF201" s="119"/>
      <c r="BG201" s="119"/>
      <c r="BH201" s="119"/>
      <c r="BI201" s="119"/>
      <c r="BJ201" s="119"/>
      <c r="BK201" s="119"/>
      <c r="BL201" s="121"/>
    </row>
    <row r="202" spans="1:64">
      <c r="A202" s="119">
        <v>200</v>
      </c>
      <c r="B202" s="113">
        <f t="shared" si="3"/>
        <v>45522</v>
      </c>
      <c r="C202" s="114">
        <f>YEAR(MC_2[[#This Row],[Date]])+IF(MONTH(MC_2[[#This Row],[Date]])&gt;=4,1,0)</f>
        <v>2025</v>
      </c>
      <c r="D202" s="115">
        <f>YEAR(MC_2[[#This Row],[Date]])</f>
        <v>2024</v>
      </c>
      <c r="E202" s="112" t="s">
        <v>326</v>
      </c>
      <c r="F202" s="112" t="s">
        <v>326</v>
      </c>
      <c r="G202" s="116" t="str">
        <f>TEXT(MC_2[[#This Row],[Date]],"mmm-yy")</f>
        <v>Aug-24</v>
      </c>
      <c r="H202" s="116">
        <f>DAY(EOMONTH(MC_2[[#This Row],[Month Year]],0))</f>
        <v>31</v>
      </c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5">
        <f>SUM(MC_2[[#This Row],[IS1Inv1M1]:[IS9Inv19M2]])</f>
        <v>0</v>
      </c>
      <c r="BF202" s="119"/>
      <c r="BG202" s="119"/>
      <c r="BH202" s="119"/>
      <c r="BI202" s="119"/>
      <c r="BJ202" s="119"/>
      <c r="BK202" s="119"/>
      <c r="BL202" s="121"/>
    </row>
    <row r="203" spans="1:64">
      <c r="A203" s="119">
        <v>201</v>
      </c>
      <c r="B203" s="113">
        <f t="shared" si="3"/>
        <v>45523</v>
      </c>
      <c r="C203" s="114">
        <f>YEAR(MC_2[[#This Row],[Date]])+IF(MONTH(MC_2[[#This Row],[Date]])&gt;=4,1,0)</f>
        <v>2025</v>
      </c>
      <c r="D203" s="115">
        <f>YEAR(MC_2[[#This Row],[Date]])</f>
        <v>2024</v>
      </c>
      <c r="E203" s="112" t="s">
        <v>326</v>
      </c>
      <c r="F203" s="112" t="s">
        <v>326</v>
      </c>
      <c r="G203" s="116" t="str">
        <f>TEXT(MC_2[[#This Row],[Date]],"mmm-yy")</f>
        <v>Aug-24</v>
      </c>
      <c r="H203" s="116">
        <f>DAY(EOMONTH(MC_2[[#This Row],[Month Year]],0))</f>
        <v>31</v>
      </c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5">
        <f>SUM(MC_2[[#This Row],[IS1Inv1M1]:[IS9Inv19M2]])</f>
        <v>0</v>
      </c>
      <c r="BF203" s="119"/>
      <c r="BG203" s="119"/>
      <c r="BH203" s="119"/>
      <c r="BI203" s="119"/>
      <c r="BJ203" s="119"/>
      <c r="BK203" s="119"/>
      <c r="BL203" s="121"/>
    </row>
    <row r="204" spans="1:64">
      <c r="A204" s="119">
        <v>202</v>
      </c>
      <c r="B204" s="113">
        <f t="shared" si="3"/>
        <v>45524</v>
      </c>
      <c r="C204" s="114">
        <f>YEAR(MC_2[[#This Row],[Date]])+IF(MONTH(MC_2[[#This Row],[Date]])&gt;=4,1,0)</f>
        <v>2025</v>
      </c>
      <c r="D204" s="115">
        <f>YEAR(MC_2[[#This Row],[Date]])</f>
        <v>2024</v>
      </c>
      <c r="E204" s="112" t="s">
        <v>326</v>
      </c>
      <c r="F204" s="112" t="s">
        <v>326</v>
      </c>
      <c r="G204" s="116" t="str">
        <f>TEXT(MC_2[[#This Row],[Date]],"mmm-yy")</f>
        <v>Aug-24</v>
      </c>
      <c r="H204" s="116">
        <f>DAY(EOMONTH(MC_2[[#This Row],[Month Year]],0))</f>
        <v>31</v>
      </c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5">
        <f>SUM(MC_2[[#This Row],[IS1Inv1M1]:[IS9Inv19M2]])</f>
        <v>0</v>
      </c>
      <c r="BF204" s="119"/>
      <c r="BG204" s="119"/>
      <c r="BH204" s="119"/>
      <c r="BI204" s="119"/>
      <c r="BJ204" s="119"/>
      <c r="BK204" s="119"/>
      <c r="BL204" s="121"/>
    </row>
    <row r="205" spans="1:64">
      <c r="A205" s="119">
        <v>203</v>
      </c>
      <c r="B205" s="113">
        <f t="shared" si="3"/>
        <v>45525</v>
      </c>
      <c r="C205" s="114">
        <f>YEAR(MC_2[[#This Row],[Date]])+IF(MONTH(MC_2[[#This Row],[Date]])&gt;=4,1,0)</f>
        <v>2025</v>
      </c>
      <c r="D205" s="115">
        <f>YEAR(MC_2[[#This Row],[Date]])</f>
        <v>2024</v>
      </c>
      <c r="E205" s="112" t="s">
        <v>326</v>
      </c>
      <c r="F205" s="112" t="s">
        <v>326</v>
      </c>
      <c r="G205" s="116" t="str">
        <f>TEXT(MC_2[[#This Row],[Date]],"mmm-yy")</f>
        <v>Aug-24</v>
      </c>
      <c r="H205" s="116">
        <f>DAY(EOMONTH(MC_2[[#This Row],[Month Year]],0))</f>
        <v>31</v>
      </c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5">
        <f>SUM(MC_2[[#This Row],[IS1Inv1M1]:[IS9Inv19M2]])</f>
        <v>0</v>
      </c>
      <c r="BF205" s="119"/>
      <c r="BG205" s="119"/>
      <c r="BH205" s="119"/>
      <c r="BI205" s="119"/>
      <c r="BJ205" s="119"/>
      <c r="BK205" s="119"/>
      <c r="BL205" s="121"/>
    </row>
    <row r="206" spans="1:64">
      <c r="A206" s="119">
        <v>204</v>
      </c>
      <c r="B206" s="113">
        <f t="shared" si="3"/>
        <v>45526</v>
      </c>
      <c r="C206" s="114">
        <f>YEAR(MC_2[[#This Row],[Date]])+IF(MONTH(MC_2[[#This Row],[Date]])&gt;=4,1,0)</f>
        <v>2025</v>
      </c>
      <c r="D206" s="115">
        <f>YEAR(MC_2[[#This Row],[Date]])</f>
        <v>2024</v>
      </c>
      <c r="E206" s="112" t="s">
        <v>326</v>
      </c>
      <c r="F206" s="112" t="s">
        <v>326</v>
      </c>
      <c r="G206" s="116" t="str">
        <f>TEXT(MC_2[[#This Row],[Date]],"mmm-yy")</f>
        <v>Aug-24</v>
      </c>
      <c r="H206" s="116">
        <f>DAY(EOMONTH(MC_2[[#This Row],[Month Year]],0))</f>
        <v>31</v>
      </c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5">
        <f>SUM(MC_2[[#This Row],[IS1Inv1M1]:[IS9Inv19M2]])</f>
        <v>0</v>
      </c>
      <c r="BF206" s="119"/>
      <c r="BG206" s="119"/>
      <c r="BH206" s="119"/>
      <c r="BI206" s="119"/>
      <c r="BJ206" s="119"/>
      <c r="BK206" s="119"/>
      <c r="BL206" s="121"/>
    </row>
    <row r="207" spans="1:64">
      <c r="A207" s="119">
        <v>205</v>
      </c>
      <c r="B207" s="113">
        <f t="shared" si="3"/>
        <v>45527</v>
      </c>
      <c r="C207" s="114">
        <f>YEAR(MC_2[[#This Row],[Date]])+IF(MONTH(MC_2[[#This Row],[Date]])&gt;=4,1,0)</f>
        <v>2025</v>
      </c>
      <c r="D207" s="115">
        <f>YEAR(MC_2[[#This Row],[Date]])</f>
        <v>2024</v>
      </c>
      <c r="E207" s="112" t="s">
        <v>326</v>
      </c>
      <c r="F207" s="112" t="s">
        <v>326</v>
      </c>
      <c r="G207" s="116" t="str">
        <f>TEXT(MC_2[[#This Row],[Date]],"mmm-yy")</f>
        <v>Aug-24</v>
      </c>
      <c r="H207" s="116">
        <f>DAY(EOMONTH(MC_2[[#This Row],[Month Year]],0))</f>
        <v>31</v>
      </c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5">
        <f>SUM(MC_2[[#This Row],[IS1Inv1M1]:[IS9Inv19M2]])</f>
        <v>0</v>
      </c>
      <c r="BF207" s="119"/>
      <c r="BG207" s="119"/>
      <c r="BH207" s="119"/>
      <c r="BI207" s="119"/>
      <c r="BJ207" s="119"/>
      <c r="BK207" s="119"/>
      <c r="BL207" s="121"/>
    </row>
    <row r="208" spans="1:64">
      <c r="A208" s="119">
        <v>206</v>
      </c>
      <c r="B208" s="113">
        <f t="shared" si="3"/>
        <v>45528</v>
      </c>
      <c r="C208" s="114">
        <f>YEAR(MC_2[[#This Row],[Date]])+IF(MONTH(MC_2[[#This Row],[Date]])&gt;=4,1,0)</f>
        <v>2025</v>
      </c>
      <c r="D208" s="115">
        <f>YEAR(MC_2[[#This Row],[Date]])</f>
        <v>2024</v>
      </c>
      <c r="E208" s="112" t="s">
        <v>326</v>
      </c>
      <c r="F208" s="112" t="s">
        <v>326</v>
      </c>
      <c r="G208" s="116" t="str">
        <f>TEXT(MC_2[[#This Row],[Date]],"mmm-yy")</f>
        <v>Aug-24</v>
      </c>
      <c r="H208" s="116">
        <f>DAY(EOMONTH(MC_2[[#This Row],[Month Year]],0))</f>
        <v>31</v>
      </c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5">
        <f>SUM(MC_2[[#This Row],[IS1Inv1M1]:[IS9Inv19M2]])</f>
        <v>0</v>
      </c>
      <c r="BF208" s="119"/>
      <c r="BG208" s="119"/>
      <c r="BH208" s="119"/>
      <c r="BI208" s="119"/>
      <c r="BJ208" s="119"/>
      <c r="BK208" s="119"/>
      <c r="BL208" s="121"/>
    </row>
    <row r="209" spans="1:64">
      <c r="A209" s="119">
        <v>207</v>
      </c>
      <c r="B209" s="113">
        <f t="shared" si="3"/>
        <v>45529</v>
      </c>
      <c r="C209" s="114">
        <f>YEAR(MC_2[[#This Row],[Date]])+IF(MONTH(MC_2[[#This Row],[Date]])&gt;=4,1,0)</f>
        <v>2025</v>
      </c>
      <c r="D209" s="115">
        <f>YEAR(MC_2[[#This Row],[Date]])</f>
        <v>2024</v>
      </c>
      <c r="E209" s="112" t="s">
        <v>326</v>
      </c>
      <c r="F209" s="112" t="s">
        <v>326</v>
      </c>
      <c r="G209" s="116" t="str">
        <f>TEXT(MC_2[[#This Row],[Date]],"mmm-yy")</f>
        <v>Aug-24</v>
      </c>
      <c r="H209" s="116">
        <f>DAY(EOMONTH(MC_2[[#This Row],[Month Year]],0))</f>
        <v>31</v>
      </c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5">
        <f>SUM(MC_2[[#This Row],[IS1Inv1M1]:[IS9Inv19M2]])</f>
        <v>0</v>
      </c>
      <c r="BF209" s="119"/>
      <c r="BG209" s="119"/>
      <c r="BH209" s="119"/>
      <c r="BI209" s="119"/>
      <c r="BJ209" s="119"/>
      <c r="BK209" s="119"/>
      <c r="BL209" s="121"/>
    </row>
    <row r="210" spans="1:64">
      <c r="A210" s="119">
        <v>208</v>
      </c>
      <c r="B210" s="113">
        <f t="shared" si="3"/>
        <v>45530</v>
      </c>
      <c r="C210" s="114">
        <f>YEAR(MC_2[[#This Row],[Date]])+IF(MONTH(MC_2[[#This Row],[Date]])&gt;=4,1,0)</f>
        <v>2025</v>
      </c>
      <c r="D210" s="115">
        <f>YEAR(MC_2[[#This Row],[Date]])</f>
        <v>2024</v>
      </c>
      <c r="E210" s="112" t="s">
        <v>326</v>
      </c>
      <c r="F210" s="112" t="s">
        <v>326</v>
      </c>
      <c r="G210" s="116" t="str">
        <f>TEXT(MC_2[[#This Row],[Date]],"mmm-yy")</f>
        <v>Aug-24</v>
      </c>
      <c r="H210" s="116">
        <f>DAY(EOMONTH(MC_2[[#This Row],[Month Year]],0))</f>
        <v>31</v>
      </c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5">
        <f>SUM(MC_2[[#This Row],[IS1Inv1M1]:[IS9Inv19M2]])</f>
        <v>0</v>
      </c>
      <c r="BF210" s="119"/>
      <c r="BG210" s="119"/>
      <c r="BH210" s="119"/>
      <c r="BI210" s="119"/>
      <c r="BJ210" s="119"/>
      <c r="BK210" s="119"/>
      <c r="BL210" s="121"/>
    </row>
    <row r="211" spans="1:64">
      <c r="A211" s="119">
        <v>209</v>
      </c>
      <c r="B211" s="113">
        <f t="shared" si="3"/>
        <v>45531</v>
      </c>
      <c r="C211" s="114">
        <f>YEAR(MC_2[[#This Row],[Date]])+IF(MONTH(MC_2[[#This Row],[Date]])&gt;=4,1,0)</f>
        <v>2025</v>
      </c>
      <c r="D211" s="115">
        <f>YEAR(MC_2[[#This Row],[Date]])</f>
        <v>2024</v>
      </c>
      <c r="E211" s="112" t="s">
        <v>326</v>
      </c>
      <c r="F211" s="112" t="s">
        <v>326</v>
      </c>
      <c r="G211" s="116" t="str">
        <f>TEXT(MC_2[[#This Row],[Date]],"mmm-yy")</f>
        <v>Aug-24</v>
      </c>
      <c r="H211" s="116">
        <f>DAY(EOMONTH(MC_2[[#This Row],[Month Year]],0))</f>
        <v>31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5">
        <f>SUM(MC_2[[#This Row],[IS1Inv1M1]:[IS9Inv19M2]])</f>
        <v>0</v>
      </c>
      <c r="BF211" s="119"/>
      <c r="BG211" s="119"/>
      <c r="BH211" s="119"/>
      <c r="BI211" s="119"/>
      <c r="BJ211" s="119"/>
      <c r="BK211" s="119"/>
      <c r="BL211" s="121"/>
    </row>
    <row r="212" spans="1:64">
      <c r="A212" s="119">
        <v>210</v>
      </c>
      <c r="B212" s="113">
        <f t="shared" si="3"/>
        <v>45532</v>
      </c>
      <c r="C212" s="114">
        <f>YEAR(MC_2[[#This Row],[Date]])+IF(MONTH(MC_2[[#This Row],[Date]])&gt;=4,1,0)</f>
        <v>2025</v>
      </c>
      <c r="D212" s="115">
        <f>YEAR(MC_2[[#This Row],[Date]])</f>
        <v>2024</v>
      </c>
      <c r="E212" s="112" t="s">
        <v>326</v>
      </c>
      <c r="F212" s="112" t="s">
        <v>326</v>
      </c>
      <c r="G212" s="116" t="str">
        <f>TEXT(MC_2[[#This Row],[Date]],"mmm-yy")</f>
        <v>Aug-24</v>
      </c>
      <c r="H212" s="116">
        <f>DAY(EOMONTH(MC_2[[#This Row],[Month Year]],0))</f>
        <v>31</v>
      </c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5">
        <f>SUM(MC_2[[#This Row],[IS1Inv1M1]:[IS9Inv19M2]])</f>
        <v>0</v>
      </c>
      <c r="BF212" s="119"/>
      <c r="BG212" s="119"/>
      <c r="BH212" s="119"/>
      <c r="BI212" s="119"/>
      <c r="BJ212" s="119"/>
      <c r="BK212" s="119"/>
      <c r="BL212" s="121"/>
    </row>
    <row r="213" spans="1:64">
      <c r="A213" s="119">
        <v>211</v>
      </c>
      <c r="B213" s="113">
        <f t="shared" si="3"/>
        <v>45533</v>
      </c>
      <c r="C213" s="114">
        <f>YEAR(MC_2[[#This Row],[Date]])+IF(MONTH(MC_2[[#This Row],[Date]])&gt;=4,1,0)</f>
        <v>2025</v>
      </c>
      <c r="D213" s="115">
        <f>YEAR(MC_2[[#This Row],[Date]])</f>
        <v>2024</v>
      </c>
      <c r="E213" s="112" t="s">
        <v>326</v>
      </c>
      <c r="F213" s="112" t="s">
        <v>326</v>
      </c>
      <c r="G213" s="116" t="str">
        <f>TEXT(MC_2[[#This Row],[Date]],"mmm-yy")</f>
        <v>Aug-24</v>
      </c>
      <c r="H213" s="116">
        <f>DAY(EOMONTH(MC_2[[#This Row],[Month Year]],0))</f>
        <v>31</v>
      </c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5">
        <f>SUM(MC_2[[#This Row],[IS1Inv1M1]:[IS9Inv19M2]])</f>
        <v>0</v>
      </c>
      <c r="BF213" s="119"/>
      <c r="BG213" s="119"/>
      <c r="BH213" s="119"/>
      <c r="BI213" s="119"/>
      <c r="BJ213" s="119"/>
      <c r="BK213" s="119"/>
      <c r="BL213" s="121"/>
    </row>
    <row r="214" spans="1:64">
      <c r="A214" s="119">
        <v>212</v>
      </c>
      <c r="B214" s="113">
        <f t="shared" si="3"/>
        <v>45534</v>
      </c>
      <c r="C214" s="114">
        <f>YEAR(MC_2[[#This Row],[Date]])+IF(MONTH(MC_2[[#This Row],[Date]])&gt;=4,1,0)</f>
        <v>2025</v>
      </c>
      <c r="D214" s="115">
        <f>YEAR(MC_2[[#This Row],[Date]])</f>
        <v>2024</v>
      </c>
      <c r="E214" s="112" t="s">
        <v>326</v>
      </c>
      <c r="F214" s="112" t="s">
        <v>326</v>
      </c>
      <c r="G214" s="116" t="str">
        <f>TEXT(MC_2[[#This Row],[Date]],"mmm-yy")</f>
        <v>Aug-24</v>
      </c>
      <c r="H214" s="116">
        <f>DAY(EOMONTH(MC_2[[#This Row],[Month Year]],0))</f>
        <v>31</v>
      </c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5">
        <f>SUM(MC_2[[#This Row],[IS1Inv1M1]:[IS9Inv19M2]])</f>
        <v>0</v>
      </c>
      <c r="BF214" s="119"/>
      <c r="BG214" s="119"/>
      <c r="BH214" s="119"/>
      <c r="BI214" s="119"/>
      <c r="BJ214" s="119"/>
      <c r="BK214" s="119"/>
      <c r="BL214" s="121"/>
    </row>
    <row r="215" spans="1:64">
      <c r="A215" s="119">
        <v>213</v>
      </c>
      <c r="B215" s="113">
        <f t="shared" si="3"/>
        <v>45535</v>
      </c>
      <c r="C215" s="114">
        <f>YEAR(MC_2[[#This Row],[Date]])+IF(MONTH(MC_2[[#This Row],[Date]])&gt;=4,1,0)</f>
        <v>2025</v>
      </c>
      <c r="D215" s="115">
        <f>YEAR(MC_2[[#This Row],[Date]])</f>
        <v>2024</v>
      </c>
      <c r="E215" s="112" t="s">
        <v>326</v>
      </c>
      <c r="F215" s="112" t="s">
        <v>326</v>
      </c>
      <c r="G215" s="116" t="str">
        <f>TEXT(MC_2[[#This Row],[Date]],"mmm-yy")</f>
        <v>Aug-24</v>
      </c>
      <c r="H215" s="116">
        <f>DAY(EOMONTH(MC_2[[#This Row],[Month Year]],0))</f>
        <v>31</v>
      </c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5">
        <f>SUM(MC_2[[#This Row],[IS1Inv1M1]:[IS9Inv19M2]])</f>
        <v>0</v>
      </c>
      <c r="BF215" s="119"/>
      <c r="BG215" s="119"/>
      <c r="BH215" s="119"/>
      <c r="BI215" s="119"/>
      <c r="BJ215" s="119"/>
      <c r="BK215" s="119"/>
      <c r="BL215" s="121"/>
    </row>
    <row r="216" spans="1:64">
      <c r="A216" s="119">
        <v>214</v>
      </c>
      <c r="B216" s="113">
        <f t="shared" si="3"/>
        <v>45536</v>
      </c>
      <c r="C216" s="114">
        <f>YEAR(MC_2[[#This Row],[Date]])+IF(MONTH(MC_2[[#This Row],[Date]])&gt;=4,1,0)</f>
        <v>2025</v>
      </c>
      <c r="D216" s="115">
        <f>YEAR(MC_2[[#This Row],[Date]])</f>
        <v>2024</v>
      </c>
      <c r="E216" s="112" t="s">
        <v>326</v>
      </c>
      <c r="F216" s="112" t="s">
        <v>326</v>
      </c>
      <c r="G216" s="116" t="str">
        <f>TEXT(MC_2[[#This Row],[Date]],"mmm-yy")</f>
        <v>Sep-24</v>
      </c>
      <c r="H216" s="116">
        <f>DAY(EOMONTH(MC_2[[#This Row],[Month Year]],0))</f>
        <v>30</v>
      </c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5">
        <f>SUM(MC_2[[#This Row],[IS1Inv1M1]:[IS9Inv19M2]])</f>
        <v>0</v>
      </c>
      <c r="BF216" s="119"/>
      <c r="BG216" s="119"/>
      <c r="BH216" s="119"/>
      <c r="BI216" s="119"/>
      <c r="BJ216" s="119"/>
      <c r="BK216" s="119"/>
      <c r="BL216" s="121"/>
    </row>
    <row r="217" spans="1:64">
      <c r="A217" s="119">
        <v>215</v>
      </c>
      <c r="B217" s="113">
        <f t="shared" si="3"/>
        <v>45537</v>
      </c>
      <c r="C217" s="114">
        <f>YEAR(MC_2[[#This Row],[Date]])+IF(MONTH(MC_2[[#This Row],[Date]])&gt;=4,1,0)</f>
        <v>2025</v>
      </c>
      <c r="D217" s="115">
        <f>YEAR(MC_2[[#This Row],[Date]])</f>
        <v>2024</v>
      </c>
      <c r="E217" s="112" t="s">
        <v>326</v>
      </c>
      <c r="F217" s="112" t="s">
        <v>326</v>
      </c>
      <c r="G217" s="116" t="str">
        <f>TEXT(MC_2[[#This Row],[Date]],"mmm-yy")</f>
        <v>Sep-24</v>
      </c>
      <c r="H217" s="116">
        <f>DAY(EOMONTH(MC_2[[#This Row],[Month Year]],0))</f>
        <v>30</v>
      </c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5">
        <f>SUM(MC_2[[#This Row],[IS1Inv1M1]:[IS9Inv19M2]])</f>
        <v>0</v>
      </c>
      <c r="BF217" s="119"/>
      <c r="BG217" s="119"/>
      <c r="BH217" s="119"/>
      <c r="BI217" s="119"/>
      <c r="BJ217" s="119"/>
      <c r="BK217" s="119"/>
      <c r="BL217" s="121"/>
    </row>
    <row r="218" spans="1:64">
      <c r="A218" s="119">
        <v>216</v>
      </c>
      <c r="B218" s="113">
        <f t="shared" si="3"/>
        <v>45538</v>
      </c>
      <c r="C218" s="114">
        <f>YEAR(MC_2[[#This Row],[Date]])+IF(MONTH(MC_2[[#This Row],[Date]])&gt;=4,1,0)</f>
        <v>2025</v>
      </c>
      <c r="D218" s="115">
        <f>YEAR(MC_2[[#This Row],[Date]])</f>
        <v>2024</v>
      </c>
      <c r="E218" s="112" t="s">
        <v>326</v>
      </c>
      <c r="F218" s="112" t="s">
        <v>326</v>
      </c>
      <c r="G218" s="116" t="str">
        <f>TEXT(MC_2[[#This Row],[Date]],"mmm-yy")</f>
        <v>Sep-24</v>
      </c>
      <c r="H218" s="116">
        <f>DAY(EOMONTH(MC_2[[#This Row],[Month Year]],0))</f>
        <v>30</v>
      </c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5">
        <f>SUM(MC_2[[#This Row],[IS1Inv1M1]:[IS9Inv19M2]])</f>
        <v>0</v>
      </c>
      <c r="BF218" s="119"/>
      <c r="BG218" s="119"/>
      <c r="BH218" s="119"/>
      <c r="BI218" s="119"/>
      <c r="BJ218" s="119"/>
      <c r="BK218" s="119"/>
      <c r="BL218" s="121"/>
    </row>
    <row r="219" spans="1:64">
      <c r="A219" s="119">
        <v>217</v>
      </c>
      <c r="B219" s="113">
        <f t="shared" si="3"/>
        <v>45539</v>
      </c>
      <c r="C219" s="114">
        <f>YEAR(MC_2[[#This Row],[Date]])+IF(MONTH(MC_2[[#This Row],[Date]])&gt;=4,1,0)</f>
        <v>2025</v>
      </c>
      <c r="D219" s="115">
        <f>YEAR(MC_2[[#This Row],[Date]])</f>
        <v>2024</v>
      </c>
      <c r="E219" s="112" t="s">
        <v>326</v>
      </c>
      <c r="F219" s="112" t="s">
        <v>326</v>
      </c>
      <c r="G219" s="116" t="str">
        <f>TEXT(MC_2[[#This Row],[Date]],"mmm-yy")</f>
        <v>Sep-24</v>
      </c>
      <c r="H219" s="116">
        <f>DAY(EOMONTH(MC_2[[#This Row],[Month Year]],0))</f>
        <v>30</v>
      </c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5">
        <f>SUM(MC_2[[#This Row],[IS1Inv1M1]:[IS9Inv19M2]])</f>
        <v>0</v>
      </c>
      <c r="BF219" s="119"/>
      <c r="BG219" s="119"/>
      <c r="BH219" s="119"/>
      <c r="BI219" s="119"/>
      <c r="BJ219" s="119"/>
      <c r="BK219" s="119"/>
      <c r="BL219" s="121"/>
    </row>
    <row r="220" spans="1:64">
      <c r="A220" s="119">
        <v>218</v>
      </c>
      <c r="B220" s="113">
        <f t="shared" si="3"/>
        <v>45540</v>
      </c>
      <c r="C220" s="114">
        <f>YEAR(MC_2[[#This Row],[Date]])+IF(MONTH(MC_2[[#This Row],[Date]])&gt;=4,1,0)</f>
        <v>2025</v>
      </c>
      <c r="D220" s="115">
        <f>YEAR(MC_2[[#This Row],[Date]])</f>
        <v>2024</v>
      </c>
      <c r="E220" s="112" t="s">
        <v>326</v>
      </c>
      <c r="F220" s="112" t="s">
        <v>326</v>
      </c>
      <c r="G220" s="116" t="str">
        <f>TEXT(MC_2[[#This Row],[Date]],"mmm-yy")</f>
        <v>Sep-24</v>
      </c>
      <c r="H220" s="116">
        <f>DAY(EOMONTH(MC_2[[#This Row],[Month Year]],0))</f>
        <v>30</v>
      </c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5">
        <f>SUM(MC_2[[#This Row],[IS1Inv1M1]:[IS9Inv19M2]])</f>
        <v>0</v>
      </c>
      <c r="BF220" s="119"/>
      <c r="BG220" s="119"/>
      <c r="BH220" s="119"/>
      <c r="BI220" s="119"/>
      <c r="BJ220" s="119"/>
      <c r="BK220" s="119"/>
      <c r="BL220" s="121"/>
    </row>
    <row r="221" spans="1:64">
      <c r="A221" s="119">
        <v>219</v>
      </c>
      <c r="B221" s="113">
        <f t="shared" si="3"/>
        <v>45541</v>
      </c>
      <c r="C221" s="114">
        <f>YEAR(MC_2[[#This Row],[Date]])+IF(MONTH(MC_2[[#This Row],[Date]])&gt;=4,1,0)</f>
        <v>2025</v>
      </c>
      <c r="D221" s="115">
        <f>YEAR(MC_2[[#This Row],[Date]])</f>
        <v>2024</v>
      </c>
      <c r="E221" s="112" t="s">
        <v>326</v>
      </c>
      <c r="F221" s="112" t="s">
        <v>326</v>
      </c>
      <c r="G221" s="116" t="str">
        <f>TEXT(MC_2[[#This Row],[Date]],"mmm-yy")</f>
        <v>Sep-24</v>
      </c>
      <c r="H221" s="116">
        <f>DAY(EOMONTH(MC_2[[#This Row],[Month Year]],0))</f>
        <v>30</v>
      </c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5">
        <f>SUM(MC_2[[#This Row],[IS1Inv1M1]:[IS9Inv19M2]])</f>
        <v>0</v>
      </c>
      <c r="BF221" s="119"/>
      <c r="BG221" s="119"/>
      <c r="BH221" s="119"/>
      <c r="BI221" s="119"/>
      <c r="BJ221" s="119"/>
      <c r="BK221" s="119"/>
      <c r="BL221" s="121"/>
    </row>
    <row r="222" spans="1:64">
      <c r="A222" s="119">
        <v>220</v>
      </c>
      <c r="B222" s="113">
        <f t="shared" si="3"/>
        <v>45542</v>
      </c>
      <c r="C222" s="114">
        <f>YEAR(MC_2[[#This Row],[Date]])+IF(MONTH(MC_2[[#This Row],[Date]])&gt;=4,1,0)</f>
        <v>2025</v>
      </c>
      <c r="D222" s="115">
        <f>YEAR(MC_2[[#This Row],[Date]])</f>
        <v>2024</v>
      </c>
      <c r="E222" s="112" t="s">
        <v>326</v>
      </c>
      <c r="F222" s="112" t="s">
        <v>326</v>
      </c>
      <c r="G222" s="116" t="str">
        <f>TEXT(MC_2[[#This Row],[Date]],"mmm-yy")</f>
        <v>Sep-24</v>
      </c>
      <c r="H222" s="116">
        <f>DAY(EOMONTH(MC_2[[#This Row],[Month Year]],0))</f>
        <v>30</v>
      </c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5">
        <f>SUM(MC_2[[#This Row],[IS1Inv1M1]:[IS9Inv19M2]])</f>
        <v>0</v>
      </c>
      <c r="BF222" s="119"/>
      <c r="BG222" s="119"/>
      <c r="BH222" s="119"/>
      <c r="BI222" s="119"/>
      <c r="BJ222" s="119"/>
      <c r="BK222" s="119"/>
      <c r="BL222" s="121"/>
    </row>
    <row r="223" spans="1:64">
      <c r="A223" s="119">
        <v>221</v>
      </c>
      <c r="B223" s="113">
        <f t="shared" si="3"/>
        <v>45543</v>
      </c>
      <c r="C223" s="114">
        <f>YEAR(MC_2[[#This Row],[Date]])+IF(MONTH(MC_2[[#This Row],[Date]])&gt;=4,1,0)</f>
        <v>2025</v>
      </c>
      <c r="D223" s="115">
        <f>YEAR(MC_2[[#This Row],[Date]])</f>
        <v>2024</v>
      </c>
      <c r="E223" s="112" t="s">
        <v>326</v>
      </c>
      <c r="F223" s="112" t="s">
        <v>326</v>
      </c>
      <c r="G223" s="116" t="str">
        <f>TEXT(MC_2[[#This Row],[Date]],"mmm-yy")</f>
        <v>Sep-24</v>
      </c>
      <c r="H223" s="116">
        <f>DAY(EOMONTH(MC_2[[#This Row],[Month Year]],0))</f>
        <v>30</v>
      </c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5">
        <f>SUM(MC_2[[#This Row],[IS1Inv1M1]:[IS9Inv19M2]])</f>
        <v>0</v>
      </c>
      <c r="BF223" s="119"/>
      <c r="BG223" s="119"/>
      <c r="BH223" s="119"/>
      <c r="BI223" s="119"/>
      <c r="BJ223" s="119"/>
      <c r="BK223" s="119"/>
      <c r="BL223" s="121"/>
    </row>
    <row r="224" spans="1:64">
      <c r="A224" s="119">
        <v>222</v>
      </c>
      <c r="B224" s="113">
        <f t="shared" si="3"/>
        <v>45544</v>
      </c>
      <c r="C224" s="114">
        <f>YEAR(MC_2[[#This Row],[Date]])+IF(MONTH(MC_2[[#This Row],[Date]])&gt;=4,1,0)</f>
        <v>2025</v>
      </c>
      <c r="D224" s="115">
        <f>YEAR(MC_2[[#This Row],[Date]])</f>
        <v>2024</v>
      </c>
      <c r="E224" s="112" t="s">
        <v>326</v>
      </c>
      <c r="F224" s="112" t="s">
        <v>326</v>
      </c>
      <c r="G224" s="116" t="str">
        <f>TEXT(MC_2[[#This Row],[Date]],"mmm-yy")</f>
        <v>Sep-24</v>
      </c>
      <c r="H224" s="116">
        <f>DAY(EOMONTH(MC_2[[#This Row],[Month Year]],0))</f>
        <v>30</v>
      </c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5">
        <f>SUM(MC_2[[#This Row],[IS1Inv1M1]:[IS9Inv19M2]])</f>
        <v>0</v>
      </c>
      <c r="BF224" s="119"/>
      <c r="BG224" s="119"/>
      <c r="BH224" s="119"/>
      <c r="BI224" s="119"/>
      <c r="BJ224" s="119"/>
      <c r="BK224" s="119"/>
      <c r="BL224" s="121"/>
    </row>
    <row r="225" spans="1:64">
      <c r="A225" s="119">
        <v>223</v>
      </c>
      <c r="B225" s="113">
        <f t="shared" si="3"/>
        <v>45545</v>
      </c>
      <c r="C225" s="114">
        <f>YEAR(MC_2[[#This Row],[Date]])+IF(MONTH(MC_2[[#This Row],[Date]])&gt;=4,1,0)</f>
        <v>2025</v>
      </c>
      <c r="D225" s="115">
        <f>YEAR(MC_2[[#This Row],[Date]])</f>
        <v>2024</v>
      </c>
      <c r="E225" s="112" t="s">
        <v>326</v>
      </c>
      <c r="F225" s="112" t="s">
        <v>326</v>
      </c>
      <c r="G225" s="116" t="str">
        <f>TEXT(MC_2[[#This Row],[Date]],"mmm-yy")</f>
        <v>Sep-24</v>
      </c>
      <c r="H225" s="116">
        <f>DAY(EOMONTH(MC_2[[#This Row],[Month Year]],0))</f>
        <v>30</v>
      </c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5">
        <f>SUM(MC_2[[#This Row],[IS1Inv1M1]:[IS9Inv19M2]])</f>
        <v>0</v>
      </c>
      <c r="BF225" s="119"/>
      <c r="BG225" s="119"/>
      <c r="BH225" s="119"/>
      <c r="BI225" s="119"/>
      <c r="BJ225" s="119"/>
      <c r="BK225" s="119"/>
      <c r="BL225" s="121"/>
    </row>
    <row r="226" spans="1:64">
      <c r="A226" s="119">
        <v>224</v>
      </c>
      <c r="B226" s="113">
        <f t="shared" si="3"/>
        <v>45546</v>
      </c>
      <c r="C226" s="114">
        <f>YEAR(MC_2[[#This Row],[Date]])+IF(MONTH(MC_2[[#This Row],[Date]])&gt;=4,1,0)</f>
        <v>2025</v>
      </c>
      <c r="D226" s="115">
        <f>YEAR(MC_2[[#This Row],[Date]])</f>
        <v>2024</v>
      </c>
      <c r="E226" s="112" t="s">
        <v>326</v>
      </c>
      <c r="F226" s="112" t="s">
        <v>326</v>
      </c>
      <c r="G226" s="116" t="str">
        <f>TEXT(MC_2[[#This Row],[Date]],"mmm-yy")</f>
        <v>Sep-24</v>
      </c>
      <c r="H226" s="116">
        <f>DAY(EOMONTH(MC_2[[#This Row],[Month Year]],0))</f>
        <v>30</v>
      </c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5">
        <f>SUM(MC_2[[#This Row],[IS1Inv1M1]:[IS9Inv19M2]])</f>
        <v>0</v>
      </c>
      <c r="BF226" s="119"/>
      <c r="BG226" s="119"/>
      <c r="BH226" s="119"/>
      <c r="BI226" s="119"/>
      <c r="BJ226" s="119"/>
      <c r="BK226" s="119"/>
      <c r="BL226" s="121"/>
    </row>
    <row r="227" spans="1:64">
      <c r="A227" s="119">
        <v>225</v>
      </c>
      <c r="B227" s="113">
        <f t="shared" si="3"/>
        <v>45547</v>
      </c>
      <c r="C227" s="114">
        <f>YEAR(MC_2[[#This Row],[Date]])+IF(MONTH(MC_2[[#This Row],[Date]])&gt;=4,1,0)</f>
        <v>2025</v>
      </c>
      <c r="D227" s="115">
        <f>YEAR(MC_2[[#This Row],[Date]])</f>
        <v>2024</v>
      </c>
      <c r="E227" s="112" t="s">
        <v>326</v>
      </c>
      <c r="F227" s="112" t="s">
        <v>326</v>
      </c>
      <c r="G227" s="116" t="str">
        <f>TEXT(MC_2[[#This Row],[Date]],"mmm-yy")</f>
        <v>Sep-24</v>
      </c>
      <c r="H227" s="116">
        <f>DAY(EOMONTH(MC_2[[#This Row],[Month Year]],0))</f>
        <v>30</v>
      </c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5">
        <f>SUM(MC_2[[#This Row],[IS1Inv1M1]:[IS9Inv19M2]])</f>
        <v>0</v>
      </c>
      <c r="BF227" s="119"/>
      <c r="BG227" s="119"/>
      <c r="BH227" s="119"/>
      <c r="BI227" s="119"/>
      <c r="BJ227" s="119"/>
      <c r="BK227" s="119"/>
      <c r="BL227" s="121"/>
    </row>
    <row r="228" spans="1:64">
      <c r="A228" s="119">
        <v>226</v>
      </c>
      <c r="B228" s="113">
        <f t="shared" si="3"/>
        <v>45548</v>
      </c>
      <c r="C228" s="114">
        <f>YEAR(MC_2[[#This Row],[Date]])+IF(MONTH(MC_2[[#This Row],[Date]])&gt;=4,1,0)</f>
        <v>2025</v>
      </c>
      <c r="D228" s="115">
        <f>YEAR(MC_2[[#This Row],[Date]])</f>
        <v>2024</v>
      </c>
      <c r="E228" s="112" t="s">
        <v>326</v>
      </c>
      <c r="F228" s="112" t="s">
        <v>326</v>
      </c>
      <c r="G228" s="116" t="str">
        <f>TEXT(MC_2[[#This Row],[Date]],"mmm-yy")</f>
        <v>Sep-24</v>
      </c>
      <c r="H228" s="116">
        <f>DAY(EOMONTH(MC_2[[#This Row],[Month Year]],0))</f>
        <v>30</v>
      </c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5">
        <f>SUM(MC_2[[#This Row],[IS1Inv1M1]:[IS9Inv19M2]])</f>
        <v>0</v>
      </c>
      <c r="BF228" s="119"/>
      <c r="BG228" s="119"/>
      <c r="BH228" s="119"/>
      <c r="BI228" s="119"/>
      <c r="BJ228" s="119"/>
      <c r="BK228" s="119"/>
      <c r="BL228" s="121"/>
    </row>
    <row r="229" spans="1:64">
      <c r="A229" s="119">
        <v>227</v>
      </c>
      <c r="B229" s="113">
        <f t="shared" si="3"/>
        <v>45549</v>
      </c>
      <c r="C229" s="114">
        <f>YEAR(MC_2[[#This Row],[Date]])+IF(MONTH(MC_2[[#This Row],[Date]])&gt;=4,1,0)</f>
        <v>2025</v>
      </c>
      <c r="D229" s="115">
        <f>YEAR(MC_2[[#This Row],[Date]])</f>
        <v>2024</v>
      </c>
      <c r="E229" s="112" t="s">
        <v>326</v>
      </c>
      <c r="F229" s="112" t="s">
        <v>326</v>
      </c>
      <c r="G229" s="116" t="str">
        <f>TEXT(MC_2[[#This Row],[Date]],"mmm-yy")</f>
        <v>Sep-24</v>
      </c>
      <c r="H229" s="116">
        <f>DAY(EOMONTH(MC_2[[#This Row],[Month Year]],0))</f>
        <v>30</v>
      </c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5">
        <f>SUM(MC_2[[#This Row],[IS1Inv1M1]:[IS9Inv19M2]])</f>
        <v>0</v>
      </c>
      <c r="BF229" s="119"/>
      <c r="BG229" s="119"/>
      <c r="BH229" s="119"/>
      <c r="BI229" s="119"/>
      <c r="BJ229" s="119"/>
      <c r="BK229" s="119"/>
      <c r="BL229" s="121"/>
    </row>
    <row r="230" spans="1:64">
      <c r="A230" s="119">
        <v>228</v>
      </c>
      <c r="B230" s="113">
        <f t="shared" si="3"/>
        <v>45550</v>
      </c>
      <c r="C230" s="114">
        <f>YEAR(MC_2[[#This Row],[Date]])+IF(MONTH(MC_2[[#This Row],[Date]])&gt;=4,1,0)</f>
        <v>2025</v>
      </c>
      <c r="D230" s="115">
        <f>YEAR(MC_2[[#This Row],[Date]])</f>
        <v>2024</v>
      </c>
      <c r="E230" s="112" t="s">
        <v>326</v>
      </c>
      <c r="F230" s="112" t="s">
        <v>326</v>
      </c>
      <c r="G230" s="116" t="str">
        <f>TEXT(MC_2[[#This Row],[Date]],"mmm-yy")</f>
        <v>Sep-24</v>
      </c>
      <c r="H230" s="116">
        <f>DAY(EOMONTH(MC_2[[#This Row],[Month Year]],0))</f>
        <v>30</v>
      </c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5">
        <f>SUM(MC_2[[#This Row],[IS1Inv1M1]:[IS9Inv19M2]])</f>
        <v>0</v>
      </c>
      <c r="BF230" s="119"/>
      <c r="BG230" s="119"/>
      <c r="BH230" s="119"/>
      <c r="BI230" s="119"/>
      <c r="BJ230" s="119"/>
      <c r="BK230" s="119"/>
      <c r="BL230" s="121"/>
    </row>
    <row r="231" spans="1:64">
      <c r="A231" s="119">
        <v>229</v>
      </c>
      <c r="B231" s="113">
        <f t="shared" si="3"/>
        <v>45551</v>
      </c>
      <c r="C231" s="114">
        <f>YEAR(MC_2[[#This Row],[Date]])+IF(MONTH(MC_2[[#This Row],[Date]])&gt;=4,1,0)</f>
        <v>2025</v>
      </c>
      <c r="D231" s="115">
        <f>YEAR(MC_2[[#This Row],[Date]])</f>
        <v>2024</v>
      </c>
      <c r="E231" s="112" t="s">
        <v>326</v>
      </c>
      <c r="F231" s="112" t="s">
        <v>326</v>
      </c>
      <c r="G231" s="116" t="str">
        <f>TEXT(MC_2[[#This Row],[Date]],"mmm-yy")</f>
        <v>Sep-24</v>
      </c>
      <c r="H231" s="116">
        <f>DAY(EOMONTH(MC_2[[#This Row],[Month Year]],0))</f>
        <v>30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5">
        <f>SUM(MC_2[[#This Row],[IS1Inv1M1]:[IS9Inv19M2]])</f>
        <v>0</v>
      </c>
      <c r="BF231" s="119"/>
      <c r="BG231" s="119"/>
      <c r="BH231" s="119"/>
      <c r="BI231" s="119"/>
      <c r="BJ231" s="119"/>
      <c r="BK231" s="119"/>
      <c r="BL231" s="121"/>
    </row>
    <row r="232" spans="1:64">
      <c r="A232" s="119">
        <v>230</v>
      </c>
      <c r="B232" s="113">
        <f t="shared" si="3"/>
        <v>45552</v>
      </c>
      <c r="C232" s="114">
        <f>YEAR(MC_2[[#This Row],[Date]])+IF(MONTH(MC_2[[#This Row],[Date]])&gt;=4,1,0)</f>
        <v>2025</v>
      </c>
      <c r="D232" s="115">
        <f>YEAR(MC_2[[#This Row],[Date]])</f>
        <v>2024</v>
      </c>
      <c r="E232" s="112" t="s">
        <v>326</v>
      </c>
      <c r="F232" s="112" t="s">
        <v>326</v>
      </c>
      <c r="G232" s="116" t="str">
        <f>TEXT(MC_2[[#This Row],[Date]],"mmm-yy")</f>
        <v>Sep-24</v>
      </c>
      <c r="H232" s="116">
        <f>DAY(EOMONTH(MC_2[[#This Row],[Month Year]],0))</f>
        <v>30</v>
      </c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5">
        <f>SUM(MC_2[[#This Row],[IS1Inv1M1]:[IS9Inv19M2]])</f>
        <v>0</v>
      </c>
      <c r="BF232" s="119"/>
      <c r="BG232" s="119"/>
      <c r="BH232" s="119"/>
      <c r="BI232" s="119"/>
      <c r="BJ232" s="119"/>
      <c r="BK232" s="119"/>
      <c r="BL232" s="121"/>
    </row>
    <row r="233" spans="1:64">
      <c r="A233" s="119">
        <v>231</v>
      </c>
      <c r="B233" s="113">
        <f t="shared" si="3"/>
        <v>45553</v>
      </c>
      <c r="C233" s="114">
        <f>YEAR(MC_2[[#This Row],[Date]])+IF(MONTH(MC_2[[#This Row],[Date]])&gt;=4,1,0)</f>
        <v>2025</v>
      </c>
      <c r="D233" s="115">
        <f>YEAR(MC_2[[#This Row],[Date]])</f>
        <v>2024</v>
      </c>
      <c r="E233" s="112" t="s">
        <v>326</v>
      </c>
      <c r="F233" s="112" t="s">
        <v>326</v>
      </c>
      <c r="G233" s="116" t="str">
        <f>TEXT(MC_2[[#This Row],[Date]],"mmm-yy")</f>
        <v>Sep-24</v>
      </c>
      <c r="H233" s="116">
        <f>DAY(EOMONTH(MC_2[[#This Row],[Month Year]],0))</f>
        <v>30</v>
      </c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5">
        <f>SUM(MC_2[[#This Row],[IS1Inv1M1]:[IS9Inv19M2]])</f>
        <v>0</v>
      </c>
      <c r="BF233" s="119"/>
      <c r="BG233" s="119"/>
      <c r="BH233" s="119"/>
      <c r="BI233" s="119"/>
      <c r="BJ233" s="119"/>
      <c r="BK233" s="119"/>
      <c r="BL233" s="121"/>
    </row>
    <row r="234" spans="1:64">
      <c r="A234" s="119">
        <v>232</v>
      </c>
      <c r="B234" s="113">
        <f t="shared" si="3"/>
        <v>45554</v>
      </c>
      <c r="C234" s="114">
        <f>YEAR(MC_2[[#This Row],[Date]])+IF(MONTH(MC_2[[#This Row],[Date]])&gt;=4,1,0)</f>
        <v>2025</v>
      </c>
      <c r="D234" s="115">
        <f>YEAR(MC_2[[#This Row],[Date]])</f>
        <v>2024</v>
      </c>
      <c r="E234" s="112" t="s">
        <v>326</v>
      </c>
      <c r="F234" s="112" t="s">
        <v>326</v>
      </c>
      <c r="G234" s="116" t="str">
        <f>TEXT(MC_2[[#This Row],[Date]],"mmm-yy")</f>
        <v>Sep-24</v>
      </c>
      <c r="H234" s="116">
        <f>DAY(EOMONTH(MC_2[[#This Row],[Month Year]],0))</f>
        <v>30</v>
      </c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5">
        <f>SUM(MC_2[[#This Row],[IS1Inv1M1]:[IS9Inv19M2]])</f>
        <v>0</v>
      </c>
      <c r="BF234" s="119"/>
      <c r="BG234" s="119"/>
      <c r="BH234" s="119"/>
      <c r="BI234" s="119"/>
      <c r="BJ234" s="119"/>
      <c r="BK234" s="119"/>
      <c r="BL234" s="121"/>
    </row>
    <row r="235" spans="1:64">
      <c r="A235" s="119">
        <v>233</v>
      </c>
      <c r="B235" s="113">
        <f t="shared" si="3"/>
        <v>45555</v>
      </c>
      <c r="C235" s="114">
        <f>YEAR(MC_2[[#This Row],[Date]])+IF(MONTH(MC_2[[#This Row],[Date]])&gt;=4,1,0)</f>
        <v>2025</v>
      </c>
      <c r="D235" s="115">
        <f>YEAR(MC_2[[#This Row],[Date]])</f>
        <v>2024</v>
      </c>
      <c r="E235" s="112" t="s">
        <v>326</v>
      </c>
      <c r="F235" s="112" t="s">
        <v>326</v>
      </c>
      <c r="G235" s="116" t="str">
        <f>TEXT(MC_2[[#This Row],[Date]],"mmm-yy")</f>
        <v>Sep-24</v>
      </c>
      <c r="H235" s="116">
        <f>DAY(EOMONTH(MC_2[[#This Row],[Month Year]],0))</f>
        <v>30</v>
      </c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5">
        <f>SUM(MC_2[[#This Row],[IS1Inv1M1]:[IS9Inv19M2]])</f>
        <v>0</v>
      </c>
      <c r="BF235" s="119"/>
      <c r="BG235" s="119"/>
      <c r="BH235" s="119"/>
      <c r="BI235" s="119"/>
      <c r="BJ235" s="119"/>
      <c r="BK235" s="119"/>
      <c r="BL235" s="121"/>
    </row>
    <row r="236" spans="1:64">
      <c r="A236" s="119">
        <v>234</v>
      </c>
      <c r="B236" s="113">
        <f t="shared" si="3"/>
        <v>45556</v>
      </c>
      <c r="C236" s="114">
        <f>YEAR(MC_2[[#This Row],[Date]])+IF(MONTH(MC_2[[#This Row],[Date]])&gt;=4,1,0)</f>
        <v>2025</v>
      </c>
      <c r="D236" s="115">
        <f>YEAR(MC_2[[#This Row],[Date]])</f>
        <v>2024</v>
      </c>
      <c r="E236" s="112" t="s">
        <v>326</v>
      </c>
      <c r="F236" s="112" t="s">
        <v>326</v>
      </c>
      <c r="G236" s="116" t="str">
        <f>TEXT(MC_2[[#This Row],[Date]],"mmm-yy")</f>
        <v>Sep-24</v>
      </c>
      <c r="H236" s="116">
        <f>DAY(EOMONTH(MC_2[[#This Row],[Month Year]],0))</f>
        <v>30</v>
      </c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5">
        <f>SUM(MC_2[[#This Row],[IS1Inv1M1]:[IS9Inv19M2]])</f>
        <v>0</v>
      </c>
      <c r="BF236" s="119"/>
      <c r="BG236" s="119"/>
      <c r="BH236" s="119"/>
      <c r="BI236" s="119"/>
      <c r="BJ236" s="119"/>
      <c r="BK236" s="119"/>
      <c r="BL236" s="121"/>
    </row>
    <row r="237" spans="1:64">
      <c r="A237" s="119">
        <v>235</v>
      </c>
      <c r="B237" s="113">
        <f t="shared" si="3"/>
        <v>45557</v>
      </c>
      <c r="C237" s="114">
        <f>YEAR(MC_2[[#This Row],[Date]])+IF(MONTH(MC_2[[#This Row],[Date]])&gt;=4,1,0)</f>
        <v>2025</v>
      </c>
      <c r="D237" s="115">
        <f>YEAR(MC_2[[#This Row],[Date]])</f>
        <v>2024</v>
      </c>
      <c r="E237" s="112" t="s">
        <v>326</v>
      </c>
      <c r="F237" s="112" t="s">
        <v>326</v>
      </c>
      <c r="G237" s="116" t="str">
        <f>TEXT(MC_2[[#This Row],[Date]],"mmm-yy")</f>
        <v>Sep-24</v>
      </c>
      <c r="H237" s="116">
        <f>DAY(EOMONTH(MC_2[[#This Row],[Month Year]],0))</f>
        <v>30</v>
      </c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5">
        <f>SUM(MC_2[[#This Row],[IS1Inv1M1]:[IS9Inv19M2]])</f>
        <v>0</v>
      </c>
      <c r="BF237" s="119"/>
      <c r="BG237" s="119"/>
      <c r="BH237" s="119"/>
      <c r="BI237" s="119"/>
      <c r="BJ237" s="119"/>
      <c r="BK237" s="119"/>
      <c r="BL237" s="121"/>
    </row>
    <row r="238" spans="1:64">
      <c r="A238" s="119">
        <v>236</v>
      </c>
      <c r="B238" s="113">
        <f t="shared" si="3"/>
        <v>45558</v>
      </c>
      <c r="C238" s="114">
        <f>YEAR(MC_2[[#This Row],[Date]])+IF(MONTH(MC_2[[#This Row],[Date]])&gt;=4,1,0)</f>
        <v>2025</v>
      </c>
      <c r="D238" s="115">
        <f>YEAR(MC_2[[#This Row],[Date]])</f>
        <v>2024</v>
      </c>
      <c r="E238" s="112" t="s">
        <v>326</v>
      </c>
      <c r="F238" s="112" t="s">
        <v>326</v>
      </c>
      <c r="G238" s="116" t="str">
        <f>TEXT(MC_2[[#This Row],[Date]],"mmm-yy")</f>
        <v>Sep-24</v>
      </c>
      <c r="H238" s="116">
        <f>DAY(EOMONTH(MC_2[[#This Row],[Month Year]],0))</f>
        <v>30</v>
      </c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5">
        <f>SUM(MC_2[[#This Row],[IS1Inv1M1]:[IS9Inv19M2]])</f>
        <v>0</v>
      </c>
      <c r="BF238" s="119"/>
      <c r="BG238" s="119"/>
      <c r="BH238" s="119"/>
      <c r="BI238" s="119"/>
      <c r="BJ238" s="119"/>
      <c r="BK238" s="119"/>
      <c r="BL238" s="121"/>
    </row>
    <row r="239" spans="1:64">
      <c r="A239" s="119">
        <v>237</v>
      </c>
      <c r="B239" s="113">
        <f t="shared" si="3"/>
        <v>45559</v>
      </c>
      <c r="C239" s="114">
        <f>YEAR(MC_2[[#This Row],[Date]])+IF(MONTH(MC_2[[#This Row],[Date]])&gt;=4,1,0)</f>
        <v>2025</v>
      </c>
      <c r="D239" s="115">
        <f>YEAR(MC_2[[#This Row],[Date]])</f>
        <v>2024</v>
      </c>
      <c r="E239" s="112" t="s">
        <v>326</v>
      </c>
      <c r="F239" s="112" t="s">
        <v>326</v>
      </c>
      <c r="G239" s="116" t="str">
        <f>TEXT(MC_2[[#This Row],[Date]],"mmm-yy")</f>
        <v>Sep-24</v>
      </c>
      <c r="H239" s="116">
        <f>DAY(EOMONTH(MC_2[[#This Row],[Month Year]],0))</f>
        <v>30</v>
      </c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5">
        <f>SUM(MC_2[[#This Row],[IS1Inv1M1]:[IS9Inv19M2]])</f>
        <v>0</v>
      </c>
      <c r="BF239" s="119"/>
      <c r="BG239" s="119"/>
      <c r="BH239" s="119"/>
      <c r="BI239" s="119"/>
      <c r="BJ239" s="119"/>
      <c r="BK239" s="119"/>
      <c r="BL239" s="121"/>
    </row>
    <row r="240" spans="1:64">
      <c r="A240" s="119">
        <v>238</v>
      </c>
      <c r="B240" s="113">
        <f t="shared" si="3"/>
        <v>45560</v>
      </c>
      <c r="C240" s="114">
        <f>YEAR(MC_2[[#This Row],[Date]])+IF(MONTH(MC_2[[#This Row],[Date]])&gt;=4,1,0)</f>
        <v>2025</v>
      </c>
      <c r="D240" s="115">
        <f>YEAR(MC_2[[#This Row],[Date]])</f>
        <v>2024</v>
      </c>
      <c r="E240" s="112" t="s">
        <v>326</v>
      </c>
      <c r="F240" s="112" t="s">
        <v>326</v>
      </c>
      <c r="G240" s="116" t="str">
        <f>TEXT(MC_2[[#This Row],[Date]],"mmm-yy")</f>
        <v>Sep-24</v>
      </c>
      <c r="H240" s="116">
        <f>DAY(EOMONTH(MC_2[[#This Row],[Month Year]],0))</f>
        <v>30</v>
      </c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5">
        <f>SUM(MC_2[[#This Row],[IS1Inv1M1]:[IS9Inv19M2]])</f>
        <v>0</v>
      </c>
      <c r="BF240" s="119"/>
      <c r="BG240" s="119"/>
      <c r="BH240" s="119"/>
      <c r="BI240" s="119"/>
      <c r="BJ240" s="119"/>
      <c r="BK240" s="119"/>
      <c r="BL240" s="121"/>
    </row>
    <row r="241" spans="1:64">
      <c r="A241" s="119">
        <v>239</v>
      </c>
      <c r="B241" s="113">
        <f t="shared" si="3"/>
        <v>45561</v>
      </c>
      <c r="C241" s="114">
        <f>YEAR(MC_2[[#This Row],[Date]])+IF(MONTH(MC_2[[#This Row],[Date]])&gt;=4,1,0)</f>
        <v>2025</v>
      </c>
      <c r="D241" s="115">
        <f>YEAR(MC_2[[#This Row],[Date]])</f>
        <v>2024</v>
      </c>
      <c r="E241" s="112" t="s">
        <v>326</v>
      </c>
      <c r="F241" s="112" t="s">
        <v>326</v>
      </c>
      <c r="G241" s="116" t="str">
        <f>TEXT(MC_2[[#This Row],[Date]],"mmm-yy")</f>
        <v>Sep-24</v>
      </c>
      <c r="H241" s="116">
        <f>DAY(EOMONTH(MC_2[[#This Row],[Month Year]],0))</f>
        <v>30</v>
      </c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5">
        <f>SUM(MC_2[[#This Row],[IS1Inv1M1]:[IS9Inv19M2]])</f>
        <v>0</v>
      </c>
      <c r="BF241" s="119"/>
      <c r="BG241" s="119"/>
      <c r="BH241" s="119"/>
      <c r="BI241" s="119"/>
      <c r="BJ241" s="119"/>
      <c r="BK241" s="119"/>
      <c r="BL241" s="121"/>
    </row>
    <row r="242" spans="1:64">
      <c r="A242" s="119">
        <v>240</v>
      </c>
      <c r="B242" s="113">
        <f t="shared" si="3"/>
        <v>45562</v>
      </c>
      <c r="C242" s="114">
        <f>YEAR(MC_2[[#This Row],[Date]])+IF(MONTH(MC_2[[#This Row],[Date]])&gt;=4,1,0)</f>
        <v>2025</v>
      </c>
      <c r="D242" s="115">
        <f>YEAR(MC_2[[#This Row],[Date]])</f>
        <v>2024</v>
      </c>
      <c r="E242" s="112" t="s">
        <v>326</v>
      </c>
      <c r="F242" s="112" t="s">
        <v>326</v>
      </c>
      <c r="G242" s="116" t="str">
        <f>TEXT(MC_2[[#This Row],[Date]],"mmm-yy")</f>
        <v>Sep-24</v>
      </c>
      <c r="H242" s="116">
        <f>DAY(EOMONTH(MC_2[[#This Row],[Month Year]],0))</f>
        <v>30</v>
      </c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5">
        <f>SUM(MC_2[[#This Row],[IS1Inv1M1]:[IS9Inv19M2]])</f>
        <v>0</v>
      </c>
      <c r="BF242" s="119"/>
      <c r="BG242" s="119"/>
      <c r="BH242" s="119"/>
      <c r="BI242" s="119"/>
      <c r="BJ242" s="119"/>
      <c r="BK242" s="119"/>
      <c r="BL242" s="121"/>
    </row>
    <row r="243" spans="1:64">
      <c r="A243" s="119">
        <v>241</v>
      </c>
      <c r="B243" s="113">
        <f t="shared" si="3"/>
        <v>45563</v>
      </c>
      <c r="C243" s="114">
        <f>YEAR(MC_2[[#This Row],[Date]])+IF(MONTH(MC_2[[#This Row],[Date]])&gt;=4,1,0)</f>
        <v>2025</v>
      </c>
      <c r="D243" s="115">
        <f>YEAR(MC_2[[#This Row],[Date]])</f>
        <v>2024</v>
      </c>
      <c r="E243" s="112" t="s">
        <v>326</v>
      </c>
      <c r="F243" s="112" t="s">
        <v>326</v>
      </c>
      <c r="G243" s="116" t="str">
        <f>TEXT(MC_2[[#This Row],[Date]],"mmm-yy")</f>
        <v>Sep-24</v>
      </c>
      <c r="H243" s="116">
        <f>DAY(EOMONTH(MC_2[[#This Row],[Month Year]],0))</f>
        <v>30</v>
      </c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5">
        <f>SUM(MC_2[[#This Row],[IS1Inv1M1]:[IS9Inv19M2]])</f>
        <v>0</v>
      </c>
      <c r="BF243" s="119"/>
      <c r="BG243" s="119"/>
      <c r="BH243" s="119"/>
      <c r="BI243" s="119"/>
      <c r="BJ243" s="119"/>
      <c r="BK243" s="119"/>
      <c r="BL243" s="121"/>
    </row>
    <row r="244" spans="1:64">
      <c r="A244" s="119">
        <v>242</v>
      </c>
      <c r="B244" s="113">
        <f t="shared" si="3"/>
        <v>45564</v>
      </c>
      <c r="C244" s="114">
        <f>YEAR(MC_2[[#This Row],[Date]])+IF(MONTH(MC_2[[#This Row],[Date]])&gt;=4,1,0)</f>
        <v>2025</v>
      </c>
      <c r="D244" s="115">
        <f>YEAR(MC_2[[#This Row],[Date]])</f>
        <v>2024</v>
      </c>
      <c r="E244" s="112" t="s">
        <v>326</v>
      </c>
      <c r="F244" s="112" t="s">
        <v>326</v>
      </c>
      <c r="G244" s="116" t="str">
        <f>TEXT(MC_2[[#This Row],[Date]],"mmm-yy")</f>
        <v>Sep-24</v>
      </c>
      <c r="H244" s="116">
        <f>DAY(EOMONTH(MC_2[[#This Row],[Month Year]],0))</f>
        <v>30</v>
      </c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5">
        <f>SUM(MC_2[[#This Row],[IS1Inv1M1]:[IS9Inv19M2]])</f>
        <v>0</v>
      </c>
      <c r="BF244" s="119"/>
      <c r="BG244" s="119"/>
      <c r="BH244" s="119"/>
      <c r="BI244" s="119"/>
      <c r="BJ244" s="119"/>
      <c r="BK244" s="119"/>
      <c r="BL244" s="121"/>
    </row>
    <row r="245" spans="1:64">
      <c r="A245" s="119">
        <v>243</v>
      </c>
      <c r="B245" s="113">
        <f t="shared" si="3"/>
        <v>45565</v>
      </c>
      <c r="C245" s="114">
        <f>YEAR(MC_2[[#This Row],[Date]])+IF(MONTH(MC_2[[#This Row],[Date]])&gt;=4,1,0)</f>
        <v>2025</v>
      </c>
      <c r="D245" s="115">
        <f>YEAR(MC_2[[#This Row],[Date]])</f>
        <v>2024</v>
      </c>
      <c r="E245" s="112" t="s">
        <v>326</v>
      </c>
      <c r="F245" s="112" t="s">
        <v>326</v>
      </c>
      <c r="G245" s="116" t="str">
        <f>TEXT(MC_2[[#This Row],[Date]],"mmm-yy")</f>
        <v>Sep-24</v>
      </c>
      <c r="H245" s="116">
        <f>DAY(EOMONTH(MC_2[[#This Row],[Month Year]],0))</f>
        <v>30</v>
      </c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5">
        <f>SUM(MC_2[[#This Row],[IS1Inv1M1]:[IS9Inv19M2]])</f>
        <v>0</v>
      </c>
      <c r="BF245" s="119"/>
      <c r="BG245" s="119"/>
      <c r="BH245" s="119"/>
      <c r="BI245" s="119"/>
      <c r="BJ245" s="119"/>
      <c r="BK245" s="119"/>
      <c r="BL245" s="121"/>
    </row>
    <row r="246" spans="1:64">
      <c r="A246" s="119">
        <v>244</v>
      </c>
      <c r="B246" s="113">
        <f t="shared" si="3"/>
        <v>45566</v>
      </c>
      <c r="C246" s="114">
        <f>YEAR(MC_2[[#This Row],[Date]])+IF(MONTH(MC_2[[#This Row],[Date]])&gt;=4,1,0)</f>
        <v>2025</v>
      </c>
      <c r="D246" s="115">
        <f>YEAR(MC_2[[#This Row],[Date]])</f>
        <v>2024</v>
      </c>
      <c r="E246" s="112" t="s">
        <v>326</v>
      </c>
      <c r="F246" s="112" t="s">
        <v>326</v>
      </c>
      <c r="G246" s="116" t="str">
        <f>TEXT(MC_2[[#This Row],[Date]],"mmm-yy")</f>
        <v>Oct-24</v>
      </c>
      <c r="H246" s="116">
        <f>DAY(EOMONTH(MC_2[[#This Row],[Month Year]],0))</f>
        <v>31</v>
      </c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5">
        <f>SUM(MC_2[[#This Row],[IS1Inv1M1]:[IS9Inv19M2]])</f>
        <v>0</v>
      </c>
      <c r="BF246" s="119"/>
      <c r="BG246" s="119"/>
      <c r="BH246" s="119"/>
      <c r="BI246" s="119"/>
      <c r="BJ246" s="119"/>
      <c r="BK246" s="119"/>
      <c r="BL246" s="121"/>
    </row>
    <row r="247" spans="1:64">
      <c r="A247" s="119">
        <v>245</v>
      </c>
      <c r="B247" s="113">
        <f t="shared" si="3"/>
        <v>45567</v>
      </c>
      <c r="C247" s="114">
        <f>YEAR(MC_2[[#This Row],[Date]])+IF(MONTH(MC_2[[#This Row],[Date]])&gt;=4,1,0)</f>
        <v>2025</v>
      </c>
      <c r="D247" s="115">
        <f>YEAR(MC_2[[#This Row],[Date]])</f>
        <v>2024</v>
      </c>
      <c r="E247" s="112" t="s">
        <v>326</v>
      </c>
      <c r="F247" s="112" t="s">
        <v>326</v>
      </c>
      <c r="G247" s="116" t="str">
        <f>TEXT(MC_2[[#This Row],[Date]],"mmm-yy")</f>
        <v>Oct-24</v>
      </c>
      <c r="H247" s="116">
        <f>DAY(EOMONTH(MC_2[[#This Row],[Month Year]],0))</f>
        <v>31</v>
      </c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5">
        <f>SUM(MC_2[[#This Row],[IS1Inv1M1]:[IS9Inv19M2]])</f>
        <v>0</v>
      </c>
      <c r="BF247" s="119"/>
      <c r="BG247" s="119"/>
      <c r="BH247" s="119"/>
      <c r="BI247" s="119"/>
      <c r="BJ247" s="119"/>
      <c r="BK247" s="119"/>
      <c r="BL247" s="121"/>
    </row>
    <row r="248" spans="1:64">
      <c r="A248" s="119">
        <v>246</v>
      </c>
      <c r="B248" s="113">
        <f t="shared" si="3"/>
        <v>45568</v>
      </c>
      <c r="C248" s="114">
        <f>YEAR(MC_2[[#This Row],[Date]])+IF(MONTH(MC_2[[#This Row],[Date]])&gt;=4,1,0)</f>
        <v>2025</v>
      </c>
      <c r="D248" s="115">
        <f>YEAR(MC_2[[#This Row],[Date]])</f>
        <v>2024</v>
      </c>
      <c r="E248" s="112" t="s">
        <v>326</v>
      </c>
      <c r="F248" s="112" t="s">
        <v>326</v>
      </c>
      <c r="G248" s="116" t="str">
        <f>TEXT(MC_2[[#This Row],[Date]],"mmm-yy")</f>
        <v>Oct-24</v>
      </c>
      <c r="H248" s="116">
        <f>DAY(EOMONTH(MC_2[[#This Row],[Month Year]],0))</f>
        <v>31</v>
      </c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5">
        <f>SUM(MC_2[[#This Row],[IS1Inv1M1]:[IS9Inv19M2]])</f>
        <v>0</v>
      </c>
      <c r="BF248" s="119"/>
      <c r="BG248" s="119"/>
      <c r="BH248" s="119"/>
      <c r="BI248" s="119"/>
      <c r="BJ248" s="119"/>
      <c r="BK248" s="119"/>
      <c r="BL248" s="121"/>
    </row>
    <row r="249" spans="1:64">
      <c r="A249" s="119">
        <v>247</v>
      </c>
      <c r="B249" s="113">
        <f t="shared" si="3"/>
        <v>45569</v>
      </c>
      <c r="C249" s="114">
        <f>YEAR(MC_2[[#This Row],[Date]])+IF(MONTH(MC_2[[#This Row],[Date]])&gt;=4,1,0)</f>
        <v>2025</v>
      </c>
      <c r="D249" s="115">
        <f>YEAR(MC_2[[#This Row],[Date]])</f>
        <v>2024</v>
      </c>
      <c r="E249" s="112" t="s">
        <v>326</v>
      </c>
      <c r="F249" s="112" t="s">
        <v>326</v>
      </c>
      <c r="G249" s="116" t="str">
        <f>TEXT(MC_2[[#This Row],[Date]],"mmm-yy")</f>
        <v>Oct-24</v>
      </c>
      <c r="H249" s="116">
        <f>DAY(EOMONTH(MC_2[[#This Row],[Month Year]],0))</f>
        <v>31</v>
      </c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5">
        <f>SUM(MC_2[[#This Row],[IS1Inv1M1]:[IS9Inv19M2]])</f>
        <v>0</v>
      </c>
      <c r="BF249" s="119"/>
      <c r="BG249" s="119"/>
      <c r="BH249" s="119"/>
      <c r="BI249" s="119"/>
      <c r="BJ249" s="119"/>
      <c r="BK249" s="119"/>
      <c r="BL249" s="121"/>
    </row>
    <row r="250" spans="1:64">
      <c r="A250" s="119">
        <v>248</v>
      </c>
      <c r="B250" s="113">
        <f t="shared" si="3"/>
        <v>45570</v>
      </c>
      <c r="C250" s="114">
        <f>YEAR(MC_2[[#This Row],[Date]])+IF(MONTH(MC_2[[#This Row],[Date]])&gt;=4,1,0)</f>
        <v>2025</v>
      </c>
      <c r="D250" s="115">
        <f>YEAR(MC_2[[#This Row],[Date]])</f>
        <v>2024</v>
      </c>
      <c r="E250" s="112" t="s">
        <v>326</v>
      </c>
      <c r="F250" s="112" t="s">
        <v>326</v>
      </c>
      <c r="G250" s="116" t="str">
        <f>TEXT(MC_2[[#This Row],[Date]],"mmm-yy")</f>
        <v>Oct-24</v>
      </c>
      <c r="H250" s="116">
        <f>DAY(EOMONTH(MC_2[[#This Row],[Month Year]],0))</f>
        <v>31</v>
      </c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5">
        <f>SUM(MC_2[[#This Row],[IS1Inv1M1]:[IS9Inv19M2]])</f>
        <v>0</v>
      </c>
      <c r="BF250" s="119"/>
      <c r="BG250" s="119"/>
      <c r="BH250" s="119"/>
      <c r="BI250" s="119"/>
      <c r="BJ250" s="119"/>
      <c r="BK250" s="119"/>
      <c r="BL250" s="121"/>
    </row>
    <row r="251" spans="1:64">
      <c r="A251" s="119">
        <v>249</v>
      </c>
      <c r="B251" s="113">
        <f t="shared" si="3"/>
        <v>45571</v>
      </c>
      <c r="C251" s="114">
        <f>YEAR(MC_2[[#This Row],[Date]])+IF(MONTH(MC_2[[#This Row],[Date]])&gt;=4,1,0)</f>
        <v>2025</v>
      </c>
      <c r="D251" s="115">
        <f>YEAR(MC_2[[#This Row],[Date]])</f>
        <v>2024</v>
      </c>
      <c r="E251" s="112" t="s">
        <v>326</v>
      </c>
      <c r="F251" s="112" t="s">
        <v>326</v>
      </c>
      <c r="G251" s="116" t="str">
        <f>TEXT(MC_2[[#This Row],[Date]],"mmm-yy")</f>
        <v>Oct-24</v>
      </c>
      <c r="H251" s="116">
        <f>DAY(EOMONTH(MC_2[[#This Row],[Month Year]],0))</f>
        <v>31</v>
      </c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5">
        <f>SUM(MC_2[[#This Row],[IS1Inv1M1]:[IS9Inv19M2]])</f>
        <v>0</v>
      </c>
      <c r="BF251" s="119"/>
      <c r="BG251" s="119"/>
      <c r="BH251" s="119"/>
      <c r="BI251" s="119"/>
      <c r="BJ251" s="119"/>
      <c r="BK251" s="119"/>
      <c r="BL251" s="121"/>
    </row>
    <row r="252" spans="1:64">
      <c r="A252" s="119">
        <v>250</v>
      </c>
      <c r="B252" s="113">
        <f t="shared" si="3"/>
        <v>45572</v>
      </c>
      <c r="C252" s="114">
        <f>YEAR(MC_2[[#This Row],[Date]])+IF(MONTH(MC_2[[#This Row],[Date]])&gt;=4,1,0)</f>
        <v>2025</v>
      </c>
      <c r="D252" s="115">
        <f>YEAR(MC_2[[#This Row],[Date]])</f>
        <v>2024</v>
      </c>
      <c r="E252" s="112" t="s">
        <v>326</v>
      </c>
      <c r="F252" s="112" t="s">
        <v>326</v>
      </c>
      <c r="G252" s="116" t="str">
        <f>TEXT(MC_2[[#This Row],[Date]],"mmm-yy")</f>
        <v>Oct-24</v>
      </c>
      <c r="H252" s="116">
        <f>DAY(EOMONTH(MC_2[[#This Row],[Month Year]],0))</f>
        <v>31</v>
      </c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5">
        <f>SUM(MC_2[[#This Row],[IS1Inv1M1]:[IS9Inv19M2]])</f>
        <v>0</v>
      </c>
      <c r="BF252" s="119"/>
      <c r="BG252" s="119"/>
      <c r="BH252" s="119"/>
      <c r="BI252" s="119"/>
      <c r="BJ252" s="119"/>
      <c r="BK252" s="119"/>
      <c r="BL252" s="121"/>
    </row>
    <row r="253" spans="1:64">
      <c r="A253" s="119">
        <v>251</v>
      </c>
      <c r="B253" s="113">
        <f t="shared" si="3"/>
        <v>45573</v>
      </c>
      <c r="C253" s="114">
        <f>YEAR(MC_2[[#This Row],[Date]])+IF(MONTH(MC_2[[#This Row],[Date]])&gt;=4,1,0)</f>
        <v>2025</v>
      </c>
      <c r="D253" s="115">
        <f>YEAR(MC_2[[#This Row],[Date]])</f>
        <v>2024</v>
      </c>
      <c r="E253" s="112" t="s">
        <v>326</v>
      </c>
      <c r="F253" s="112" t="s">
        <v>326</v>
      </c>
      <c r="G253" s="116" t="str">
        <f>TEXT(MC_2[[#This Row],[Date]],"mmm-yy")</f>
        <v>Oct-24</v>
      </c>
      <c r="H253" s="116">
        <f>DAY(EOMONTH(MC_2[[#This Row],[Month Year]],0))</f>
        <v>31</v>
      </c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5">
        <f>SUM(MC_2[[#This Row],[IS1Inv1M1]:[IS9Inv19M2]])</f>
        <v>0</v>
      </c>
      <c r="BF253" s="119"/>
      <c r="BG253" s="119"/>
      <c r="BH253" s="119"/>
      <c r="BI253" s="119"/>
      <c r="BJ253" s="119"/>
      <c r="BK253" s="119"/>
      <c r="BL253" s="121"/>
    </row>
    <row r="254" spans="1:64">
      <c r="A254" s="119">
        <v>252</v>
      </c>
      <c r="B254" s="113">
        <f t="shared" si="3"/>
        <v>45574</v>
      </c>
      <c r="C254" s="114">
        <f>YEAR(MC_2[[#This Row],[Date]])+IF(MONTH(MC_2[[#This Row],[Date]])&gt;=4,1,0)</f>
        <v>2025</v>
      </c>
      <c r="D254" s="115">
        <f>YEAR(MC_2[[#This Row],[Date]])</f>
        <v>2024</v>
      </c>
      <c r="E254" s="112" t="s">
        <v>326</v>
      </c>
      <c r="F254" s="112" t="s">
        <v>326</v>
      </c>
      <c r="G254" s="116" t="str">
        <f>TEXT(MC_2[[#This Row],[Date]],"mmm-yy")</f>
        <v>Oct-24</v>
      </c>
      <c r="H254" s="116">
        <f>DAY(EOMONTH(MC_2[[#This Row],[Month Year]],0))</f>
        <v>31</v>
      </c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5">
        <f>SUM(MC_2[[#This Row],[IS1Inv1M1]:[IS9Inv19M2]])</f>
        <v>0</v>
      </c>
      <c r="BF254" s="119"/>
      <c r="BG254" s="119"/>
      <c r="BH254" s="119"/>
      <c r="BI254" s="119"/>
      <c r="BJ254" s="119"/>
      <c r="BK254" s="119"/>
      <c r="BL254" s="121"/>
    </row>
    <row r="255" spans="1:64">
      <c r="A255" s="119">
        <v>253</v>
      </c>
      <c r="B255" s="113">
        <f t="shared" si="3"/>
        <v>45575</v>
      </c>
      <c r="C255" s="114">
        <f>YEAR(MC_2[[#This Row],[Date]])+IF(MONTH(MC_2[[#This Row],[Date]])&gt;=4,1,0)</f>
        <v>2025</v>
      </c>
      <c r="D255" s="115">
        <f>YEAR(MC_2[[#This Row],[Date]])</f>
        <v>2024</v>
      </c>
      <c r="E255" s="112" t="s">
        <v>326</v>
      </c>
      <c r="F255" s="112" t="s">
        <v>326</v>
      </c>
      <c r="G255" s="116" t="str">
        <f>TEXT(MC_2[[#This Row],[Date]],"mmm-yy")</f>
        <v>Oct-24</v>
      </c>
      <c r="H255" s="116">
        <f>DAY(EOMONTH(MC_2[[#This Row],[Month Year]],0))</f>
        <v>31</v>
      </c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5">
        <f>SUM(MC_2[[#This Row],[IS1Inv1M1]:[IS9Inv19M2]])</f>
        <v>0</v>
      </c>
      <c r="BF255" s="119"/>
      <c r="BG255" s="119"/>
      <c r="BH255" s="119"/>
      <c r="BI255" s="119"/>
      <c r="BJ255" s="119"/>
      <c r="BK255" s="119"/>
      <c r="BL255" s="121"/>
    </row>
    <row r="256" spans="1:64">
      <c r="A256" s="119">
        <v>254</v>
      </c>
      <c r="B256" s="113">
        <f t="shared" si="3"/>
        <v>45576</v>
      </c>
      <c r="C256" s="114">
        <f>YEAR(MC_2[[#This Row],[Date]])+IF(MONTH(MC_2[[#This Row],[Date]])&gt;=4,1,0)</f>
        <v>2025</v>
      </c>
      <c r="D256" s="115">
        <f>YEAR(MC_2[[#This Row],[Date]])</f>
        <v>2024</v>
      </c>
      <c r="E256" s="112" t="s">
        <v>326</v>
      </c>
      <c r="F256" s="112" t="s">
        <v>326</v>
      </c>
      <c r="G256" s="116" t="str">
        <f>TEXT(MC_2[[#This Row],[Date]],"mmm-yy")</f>
        <v>Oct-24</v>
      </c>
      <c r="H256" s="116">
        <f>DAY(EOMONTH(MC_2[[#This Row],[Month Year]],0))</f>
        <v>31</v>
      </c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5">
        <f>SUM(MC_2[[#This Row],[IS1Inv1M1]:[IS9Inv19M2]])</f>
        <v>0</v>
      </c>
      <c r="BF256" s="119"/>
      <c r="BG256" s="119"/>
      <c r="BH256" s="119"/>
      <c r="BI256" s="119"/>
      <c r="BJ256" s="119"/>
      <c r="BK256" s="119"/>
      <c r="BL256" s="121"/>
    </row>
    <row r="257" spans="1:64">
      <c r="A257" s="119">
        <v>255</v>
      </c>
      <c r="B257" s="113">
        <f t="shared" si="3"/>
        <v>45577</v>
      </c>
      <c r="C257" s="114">
        <f>YEAR(MC_2[[#This Row],[Date]])+IF(MONTH(MC_2[[#This Row],[Date]])&gt;=4,1,0)</f>
        <v>2025</v>
      </c>
      <c r="D257" s="115">
        <f>YEAR(MC_2[[#This Row],[Date]])</f>
        <v>2024</v>
      </c>
      <c r="E257" s="112" t="s">
        <v>326</v>
      </c>
      <c r="F257" s="112" t="s">
        <v>326</v>
      </c>
      <c r="G257" s="116" t="str">
        <f>TEXT(MC_2[[#This Row],[Date]],"mmm-yy")</f>
        <v>Oct-24</v>
      </c>
      <c r="H257" s="116">
        <f>DAY(EOMONTH(MC_2[[#This Row],[Month Year]],0))</f>
        <v>31</v>
      </c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5">
        <f>SUM(MC_2[[#This Row],[IS1Inv1M1]:[IS9Inv19M2]])</f>
        <v>0</v>
      </c>
      <c r="BF257" s="119"/>
      <c r="BG257" s="119"/>
      <c r="BH257" s="119"/>
      <c r="BI257" s="119"/>
      <c r="BJ257" s="119"/>
      <c r="BK257" s="119"/>
      <c r="BL257" s="121"/>
    </row>
    <row r="258" spans="1:64">
      <c r="A258" s="119">
        <v>256</v>
      </c>
      <c r="B258" s="113">
        <f t="shared" si="3"/>
        <v>45578</v>
      </c>
      <c r="C258" s="114">
        <f>YEAR(MC_2[[#This Row],[Date]])+IF(MONTH(MC_2[[#This Row],[Date]])&gt;=4,1,0)</f>
        <v>2025</v>
      </c>
      <c r="D258" s="115">
        <f>YEAR(MC_2[[#This Row],[Date]])</f>
        <v>2024</v>
      </c>
      <c r="E258" s="112" t="s">
        <v>326</v>
      </c>
      <c r="F258" s="112" t="s">
        <v>326</v>
      </c>
      <c r="G258" s="116" t="str">
        <f>TEXT(MC_2[[#This Row],[Date]],"mmm-yy")</f>
        <v>Oct-24</v>
      </c>
      <c r="H258" s="116">
        <f>DAY(EOMONTH(MC_2[[#This Row],[Month Year]],0))</f>
        <v>31</v>
      </c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5">
        <f>SUM(MC_2[[#This Row],[IS1Inv1M1]:[IS9Inv19M2]])</f>
        <v>0</v>
      </c>
      <c r="BF258" s="119"/>
      <c r="BG258" s="119"/>
      <c r="BH258" s="119"/>
      <c r="BI258" s="119"/>
      <c r="BJ258" s="119"/>
      <c r="BK258" s="119"/>
      <c r="BL258" s="121"/>
    </row>
    <row r="259" spans="1:64">
      <c r="A259" s="119">
        <v>257</v>
      </c>
      <c r="B259" s="113">
        <f t="shared" si="3"/>
        <v>45579</v>
      </c>
      <c r="C259" s="114">
        <f>YEAR(MC_2[[#This Row],[Date]])+IF(MONTH(MC_2[[#This Row],[Date]])&gt;=4,1,0)</f>
        <v>2025</v>
      </c>
      <c r="D259" s="115">
        <f>YEAR(MC_2[[#This Row],[Date]])</f>
        <v>2024</v>
      </c>
      <c r="E259" s="112" t="s">
        <v>326</v>
      </c>
      <c r="F259" s="112" t="s">
        <v>326</v>
      </c>
      <c r="G259" s="116" t="str">
        <f>TEXT(MC_2[[#This Row],[Date]],"mmm-yy")</f>
        <v>Oct-24</v>
      </c>
      <c r="H259" s="116">
        <f>DAY(EOMONTH(MC_2[[#This Row],[Month Year]],0))</f>
        <v>31</v>
      </c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5">
        <f>SUM(MC_2[[#This Row],[IS1Inv1M1]:[IS9Inv19M2]])</f>
        <v>0</v>
      </c>
      <c r="BF259" s="119"/>
      <c r="BG259" s="119"/>
      <c r="BH259" s="119"/>
      <c r="BI259" s="119"/>
      <c r="BJ259" s="119"/>
      <c r="BK259" s="119"/>
      <c r="BL259" s="121"/>
    </row>
    <row r="260" spans="1:64">
      <c r="A260" s="119">
        <v>258</v>
      </c>
      <c r="B260" s="113">
        <f t="shared" si="3"/>
        <v>45580</v>
      </c>
      <c r="C260" s="114">
        <f>YEAR(MC_2[[#This Row],[Date]])+IF(MONTH(MC_2[[#This Row],[Date]])&gt;=4,1,0)</f>
        <v>2025</v>
      </c>
      <c r="D260" s="115">
        <f>YEAR(MC_2[[#This Row],[Date]])</f>
        <v>2024</v>
      </c>
      <c r="E260" s="112" t="s">
        <v>326</v>
      </c>
      <c r="F260" s="112" t="s">
        <v>326</v>
      </c>
      <c r="G260" s="116" t="str">
        <f>TEXT(MC_2[[#This Row],[Date]],"mmm-yy")</f>
        <v>Oct-24</v>
      </c>
      <c r="H260" s="116">
        <f>DAY(EOMONTH(MC_2[[#This Row],[Month Year]],0))</f>
        <v>31</v>
      </c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5">
        <f>SUM(MC_2[[#This Row],[IS1Inv1M1]:[IS9Inv19M2]])</f>
        <v>0</v>
      </c>
      <c r="BF260" s="119"/>
      <c r="BG260" s="119"/>
      <c r="BH260" s="119"/>
      <c r="BI260" s="119"/>
      <c r="BJ260" s="119"/>
      <c r="BK260" s="119"/>
      <c r="BL260" s="121"/>
    </row>
    <row r="261" spans="1:64">
      <c r="A261" s="119">
        <v>259</v>
      </c>
      <c r="B261" s="113">
        <f t="shared" ref="B261:B324" si="4">B260+1</f>
        <v>45581</v>
      </c>
      <c r="C261" s="114">
        <f>YEAR(MC_2[[#This Row],[Date]])+IF(MONTH(MC_2[[#This Row],[Date]])&gt;=4,1,0)</f>
        <v>2025</v>
      </c>
      <c r="D261" s="115">
        <f>YEAR(MC_2[[#This Row],[Date]])</f>
        <v>2024</v>
      </c>
      <c r="E261" s="112" t="s">
        <v>326</v>
      </c>
      <c r="F261" s="112" t="s">
        <v>326</v>
      </c>
      <c r="G261" s="116" t="str">
        <f>TEXT(MC_2[[#This Row],[Date]],"mmm-yy")</f>
        <v>Oct-24</v>
      </c>
      <c r="H261" s="116">
        <f>DAY(EOMONTH(MC_2[[#This Row],[Month Year]],0))</f>
        <v>31</v>
      </c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5">
        <f>SUM(MC_2[[#This Row],[IS1Inv1M1]:[IS9Inv19M2]])</f>
        <v>0</v>
      </c>
      <c r="BF261" s="119"/>
      <c r="BG261" s="119"/>
      <c r="BH261" s="119"/>
      <c r="BI261" s="119"/>
      <c r="BJ261" s="119"/>
      <c r="BK261" s="119"/>
      <c r="BL261" s="121"/>
    </row>
    <row r="262" spans="1:64">
      <c r="A262" s="119">
        <v>260</v>
      </c>
      <c r="B262" s="113">
        <f t="shared" si="4"/>
        <v>45582</v>
      </c>
      <c r="C262" s="114">
        <f>YEAR(MC_2[[#This Row],[Date]])+IF(MONTH(MC_2[[#This Row],[Date]])&gt;=4,1,0)</f>
        <v>2025</v>
      </c>
      <c r="D262" s="115">
        <f>YEAR(MC_2[[#This Row],[Date]])</f>
        <v>2024</v>
      </c>
      <c r="E262" s="112" t="s">
        <v>326</v>
      </c>
      <c r="F262" s="112" t="s">
        <v>326</v>
      </c>
      <c r="G262" s="116" t="str">
        <f>TEXT(MC_2[[#This Row],[Date]],"mmm-yy")</f>
        <v>Oct-24</v>
      </c>
      <c r="H262" s="116">
        <f>DAY(EOMONTH(MC_2[[#This Row],[Month Year]],0))</f>
        <v>31</v>
      </c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5">
        <f>SUM(MC_2[[#This Row],[IS1Inv1M1]:[IS9Inv19M2]])</f>
        <v>0</v>
      </c>
      <c r="BF262" s="119"/>
      <c r="BG262" s="119"/>
      <c r="BH262" s="119"/>
      <c r="BI262" s="119"/>
      <c r="BJ262" s="119"/>
      <c r="BK262" s="119"/>
      <c r="BL262" s="121"/>
    </row>
    <row r="263" spans="1:64">
      <c r="A263" s="119">
        <v>261</v>
      </c>
      <c r="B263" s="113">
        <f t="shared" si="4"/>
        <v>45583</v>
      </c>
      <c r="C263" s="114">
        <f>YEAR(MC_2[[#This Row],[Date]])+IF(MONTH(MC_2[[#This Row],[Date]])&gt;=4,1,0)</f>
        <v>2025</v>
      </c>
      <c r="D263" s="115">
        <f>YEAR(MC_2[[#This Row],[Date]])</f>
        <v>2024</v>
      </c>
      <c r="E263" s="112" t="s">
        <v>326</v>
      </c>
      <c r="F263" s="112" t="s">
        <v>326</v>
      </c>
      <c r="G263" s="116" t="str">
        <f>TEXT(MC_2[[#This Row],[Date]],"mmm-yy")</f>
        <v>Oct-24</v>
      </c>
      <c r="H263" s="116">
        <f>DAY(EOMONTH(MC_2[[#This Row],[Month Year]],0))</f>
        <v>31</v>
      </c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5">
        <f>SUM(MC_2[[#This Row],[IS1Inv1M1]:[IS9Inv19M2]])</f>
        <v>0</v>
      </c>
      <c r="BF263" s="119"/>
      <c r="BG263" s="119"/>
      <c r="BH263" s="119"/>
      <c r="BI263" s="119"/>
      <c r="BJ263" s="119"/>
      <c r="BK263" s="119"/>
      <c r="BL263" s="121"/>
    </row>
    <row r="264" spans="1:64">
      <c r="A264" s="119">
        <v>262</v>
      </c>
      <c r="B264" s="113">
        <f t="shared" si="4"/>
        <v>45584</v>
      </c>
      <c r="C264" s="114">
        <f>YEAR(MC_2[[#This Row],[Date]])+IF(MONTH(MC_2[[#This Row],[Date]])&gt;=4,1,0)</f>
        <v>2025</v>
      </c>
      <c r="D264" s="115">
        <f>YEAR(MC_2[[#This Row],[Date]])</f>
        <v>2024</v>
      </c>
      <c r="E264" s="112" t="s">
        <v>326</v>
      </c>
      <c r="F264" s="112" t="s">
        <v>326</v>
      </c>
      <c r="G264" s="116" t="str">
        <f>TEXT(MC_2[[#This Row],[Date]],"mmm-yy")</f>
        <v>Oct-24</v>
      </c>
      <c r="H264" s="116">
        <f>DAY(EOMONTH(MC_2[[#This Row],[Month Year]],0))</f>
        <v>31</v>
      </c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5">
        <f>SUM(MC_2[[#This Row],[IS1Inv1M1]:[IS9Inv19M2]])</f>
        <v>0</v>
      </c>
      <c r="BF264" s="119"/>
      <c r="BG264" s="119"/>
      <c r="BH264" s="119"/>
      <c r="BI264" s="119"/>
      <c r="BJ264" s="119"/>
      <c r="BK264" s="119"/>
      <c r="BL264" s="121"/>
    </row>
    <row r="265" spans="1:64">
      <c r="A265" s="119">
        <v>263</v>
      </c>
      <c r="B265" s="113">
        <f t="shared" si="4"/>
        <v>45585</v>
      </c>
      <c r="C265" s="114">
        <f>YEAR(MC_2[[#This Row],[Date]])+IF(MONTH(MC_2[[#This Row],[Date]])&gt;=4,1,0)</f>
        <v>2025</v>
      </c>
      <c r="D265" s="115">
        <f>YEAR(MC_2[[#This Row],[Date]])</f>
        <v>2024</v>
      </c>
      <c r="E265" s="112" t="s">
        <v>326</v>
      </c>
      <c r="F265" s="112" t="s">
        <v>326</v>
      </c>
      <c r="G265" s="116" t="str">
        <f>TEXT(MC_2[[#This Row],[Date]],"mmm-yy")</f>
        <v>Oct-24</v>
      </c>
      <c r="H265" s="116">
        <f>DAY(EOMONTH(MC_2[[#This Row],[Month Year]],0))</f>
        <v>31</v>
      </c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5">
        <f>SUM(MC_2[[#This Row],[IS1Inv1M1]:[IS9Inv19M2]])</f>
        <v>0</v>
      </c>
      <c r="BF265" s="119"/>
      <c r="BG265" s="119"/>
      <c r="BH265" s="119"/>
      <c r="BI265" s="119"/>
      <c r="BJ265" s="119"/>
      <c r="BK265" s="119"/>
      <c r="BL265" s="121"/>
    </row>
    <row r="266" spans="1:64">
      <c r="A266" s="119">
        <v>264</v>
      </c>
      <c r="B266" s="113">
        <f t="shared" si="4"/>
        <v>45586</v>
      </c>
      <c r="C266" s="114">
        <f>YEAR(MC_2[[#This Row],[Date]])+IF(MONTH(MC_2[[#This Row],[Date]])&gt;=4,1,0)</f>
        <v>2025</v>
      </c>
      <c r="D266" s="115">
        <f>YEAR(MC_2[[#This Row],[Date]])</f>
        <v>2024</v>
      </c>
      <c r="E266" s="112" t="s">
        <v>326</v>
      </c>
      <c r="F266" s="112" t="s">
        <v>326</v>
      </c>
      <c r="G266" s="116" t="str">
        <f>TEXT(MC_2[[#This Row],[Date]],"mmm-yy")</f>
        <v>Oct-24</v>
      </c>
      <c r="H266" s="116">
        <f>DAY(EOMONTH(MC_2[[#This Row],[Month Year]],0))</f>
        <v>31</v>
      </c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5">
        <f>SUM(MC_2[[#This Row],[IS1Inv1M1]:[IS9Inv19M2]])</f>
        <v>0</v>
      </c>
      <c r="BF266" s="119"/>
      <c r="BG266" s="119"/>
      <c r="BH266" s="119"/>
      <c r="BI266" s="119"/>
      <c r="BJ266" s="119"/>
      <c r="BK266" s="119"/>
      <c r="BL266" s="121"/>
    </row>
    <row r="267" spans="1:64">
      <c r="A267" s="119">
        <v>265</v>
      </c>
      <c r="B267" s="113">
        <f t="shared" si="4"/>
        <v>45587</v>
      </c>
      <c r="C267" s="114">
        <f>YEAR(MC_2[[#This Row],[Date]])+IF(MONTH(MC_2[[#This Row],[Date]])&gt;=4,1,0)</f>
        <v>2025</v>
      </c>
      <c r="D267" s="115">
        <f>YEAR(MC_2[[#This Row],[Date]])</f>
        <v>2024</v>
      </c>
      <c r="E267" s="112" t="s">
        <v>326</v>
      </c>
      <c r="F267" s="112" t="s">
        <v>326</v>
      </c>
      <c r="G267" s="116" t="str">
        <f>TEXT(MC_2[[#This Row],[Date]],"mmm-yy")</f>
        <v>Oct-24</v>
      </c>
      <c r="H267" s="116">
        <f>DAY(EOMONTH(MC_2[[#This Row],[Month Year]],0))</f>
        <v>31</v>
      </c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5">
        <f>SUM(MC_2[[#This Row],[IS1Inv1M1]:[IS9Inv19M2]])</f>
        <v>0</v>
      </c>
      <c r="BF267" s="119"/>
      <c r="BG267" s="119"/>
      <c r="BH267" s="119"/>
      <c r="BI267" s="119"/>
      <c r="BJ267" s="119"/>
      <c r="BK267" s="119"/>
      <c r="BL267" s="121"/>
    </row>
    <row r="268" spans="1:64">
      <c r="A268" s="119">
        <v>266</v>
      </c>
      <c r="B268" s="113">
        <f t="shared" si="4"/>
        <v>45588</v>
      </c>
      <c r="C268" s="114">
        <f>YEAR(MC_2[[#This Row],[Date]])+IF(MONTH(MC_2[[#This Row],[Date]])&gt;=4,1,0)</f>
        <v>2025</v>
      </c>
      <c r="D268" s="115">
        <f>YEAR(MC_2[[#This Row],[Date]])</f>
        <v>2024</v>
      </c>
      <c r="E268" s="112" t="s">
        <v>326</v>
      </c>
      <c r="F268" s="112" t="s">
        <v>326</v>
      </c>
      <c r="G268" s="116" t="str">
        <f>TEXT(MC_2[[#This Row],[Date]],"mmm-yy")</f>
        <v>Oct-24</v>
      </c>
      <c r="H268" s="116">
        <f>DAY(EOMONTH(MC_2[[#This Row],[Month Year]],0))</f>
        <v>31</v>
      </c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5">
        <f>SUM(MC_2[[#This Row],[IS1Inv1M1]:[IS9Inv19M2]])</f>
        <v>0</v>
      </c>
      <c r="BF268" s="119"/>
      <c r="BG268" s="119"/>
      <c r="BH268" s="119"/>
      <c r="BI268" s="119"/>
      <c r="BJ268" s="119"/>
      <c r="BK268" s="119"/>
      <c r="BL268" s="121"/>
    </row>
    <row r="269" spans="1:64">
      <c r="A269" s="119">
        <v>267</v>
      </c>
      <c r="B269" s="113">
        <f t="shared" si="4"/>
        <v>45589</v>
      </c>
      <c r="C269" s="114">
        <f>YEAR(MC_2[[#This Row],[Date]])+IF(MONTH(MC_2[[#This Row],[Date]])&gt;=4,1,0)</f>
        <v>2025</v>
      </c>
      <c r="D269" s="115">
        <f>YEAR(MC_2[[#This Row],[Date]])</f>
        <v>2024</v>
      </c>
      <c r="E269" s="112" t="s">
        <v>326</v>
      </c>
      <c r="F269" s="112" t="s">
        <v>326</v>
      </c>
      <c r="G269" s="116" t="str">
        <f>TEXT(MC_2[[#This Row],[Date]],"mmm-yy")</f>
        <v>Oct-24</v>
      </c>
      <c r="H269" s="116">
        <f>DAY(EOMONTH(MC_2[[#This Row],[Month Year]],0))</f>
        <v>31</v>
      </c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5">
        <f>SUM(MC_2[[#This Row],[IS1Inv1M1]:[IS9Inv19M2]])</f>
        <v>0</v>
      </c>
      <c r="BF269" s="119"/>
      <c r="BG269" s="119"/>
      <c r="BH269" s="119"/>
      <c r="BI269" s="119"/>
      <c r="BJ269" s="119"/>
      <c r="BK269" s="119"/>
      <c r="BL269" s="121"/>
    </row>
    <row r="270" spans="1:64">
      <c r="A270" s="119">
        <v>268</v>
      </c>
      <c r="B270" s="113">
        <f t="shared" si="4"/>
        <v>45590</v>
      </c>
      <c r="C270" s="114">
        <f>YEAR(MC_2[[#This Row],[Date]])+IF(MONTH(MC_2[[#This Row],[Date]])&gt;=4,1,0)</f>
        <v>2025</v>
      </c>
      <c r="D270" s="115">
        <f>YEAR(MC_2[[#This Row],[Date]])</f>
        <v>2024</v>
      </c>
      <c r="E270" s="112" t="s">
        <v>326</v>
      </c>
      <c r="F270" s="112" t="s">
        <v>326</v>
      </c>
      <c r="G270" s="116" t="str">
        <f>TEXT(MC_2[[#This Row],[Date]],"mmm-yy")</f>
        <v>Oct-24</v>
      </c>
      <c r="H270" s="116">
        <f>DAY(EOMONTH(MC_2[[#This Row],[Month Year]],0))</f>
        <v>31</v>
      </c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5">
        <f>SUM(MC_2[[#This Row],[IS1Inv1M1]:[IS9Inv19M2]])</f>
        <v>0</v>
      </c>
      <c r="BF270" s="119"/>
      <c r="BG270" s="119"/>
      <c r="BH270" s="119"/>
      <c r="BI270" s="119"/>
      <c r="BJ270" s="119"/>
      <c r="BK270" s="119"/>
      <c r="BL270" s="121"/>
    </row>
    <row r="271" spans="1:64">
      <c r="A271" s="119">
        <v>269</v>
      </c>
      <c r="B271" s="113">
        <f t="shared" si="4"/>
        <v>45591</v>
      </c>
      <c r="C271" s="114">
        <f>YEAR(MC_2[[#This Row],[Date]])+IF(MONTH(MC_2[[#This Row],[Date]])&gt;=4,1,0)</f>
        <v>2025</v>
      </c>
      <c r="D271" s="115">
        <f>YEAR(MC_2[[#This Row],[Date]])</f>
        <v>2024</v>
      </c>
      <c r="E271" s="112" t="s">
        <v>326</v>
      </c>
      <c r="F271" s="112" t="s">
        <v>326</v>
      </c>
      <c r="G271" s="116" t="str">
        <f>TEXT(MC_2[[#This Row],[Date]],"mmm-yy")</f>
        <v>Oct-24</v>
      </c>
      <c r="H271" s="116">
        <f>DAY(EOMONTH(MC_2[[#This Row],[Month Year]],0))</f>
        <v>31</v>
      </c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5">
        <f>SUM(MC_2[[#This Row],[IS1Inv1M1]:[IS9Inv19M2]])</f>
        <v>0</v>
      </c>
      <c r="BF271" s="119"/>
      <c r="BG271" s="119"/>
      <c r="BH271" s="119"/>
      <c r="BI271" s="119"/>
      <c r="BJ271" s="119"/>
      <c r="BK271" s="119"/>
      <c r="BL271" s="121"/>
    </row>
    <row r="272" spans="1:64">
      <c r="A272" s="119">
        <v>270</v>
      </c>
      <c r="B272" s="113">
        <f t="shared" si="4"/>
        <v>45592</v>
      </c>
      <c r="C272" s="114">
        <f>YEAR(MC_2[[#This Row],[Date]])+IF(MONTH(MC_2[[#This Row],[Date]])&gt;=4,1,0)</f>
        <v>2025</v>
      </c>
      <c r="D272" s="115">
        <f>YEAR(MC_2[[#This Row],[Date]])</f>
        <v>2024</v>
      </c>
      <c r="E272" s="112" t="s">
        <v>326</v>
      </c>
      <c r="F272" s="112" t="s">
        <v>326</v>
      </c>
      <c r="G272" s="116" t="str">
        <f>TEXT(MC_2[[#This Row],[Date]],"mmm-yy")</f>
        <v>Oct-24</v>
      </c>
      <c r="H272" s="116">
        <f>DAY(EOMONTH(MC_2[[#This Row],[Month Year]],0))</f>
        <v>31</v>
      </c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5">
        <f>SUM(MC_2[[#This Row],[IS1Inv1M1]:[IS9Inv19M2]])</f>
        <v>0</v>
      </c>
      <c r="BF272" s="119"/>
      <c r="BG272" s="119"/>
      <c r="BH272" s="119"/>
      <c r="BI272" s="119"/>
      <c r="BJ272" s="119"/>
      <c r="BK272" s="119"/>
      <c r="BL272" s="121"/>
    </row>
    <row r="273" spans="1:64">
      <c r="A273" s="119">
        <v>271</v>
      </c>
      <c r="B273" s="113">
        <f t="shared" si="4"/>
        <v>45593</v>
      </c>
      <c r="C273" s="114">
        <f>YEAR(MC_2[[#This Row],[Date]])+IF(MONTH(MC_2[[#This Row],[Date]])&gt;=4,1,0)</f>
        <v>2025</v>
      </c>
      <c r="D273" s="115">
        <f>YEAR(MC_2[[#This Row],[Date]])</f>
        <v>2024</v>
      </c>
      <c r="E273" s="112" t="s">
        <v>326</v>
      </c>
      <c r="F273" s="112" t="s">
        <v>326</v>
      </c>
      <c r="G273" s="116" t="str">
        <f>TEXT(MC_2[[#This Row],[Date]],"mmm-yy")</f>
        <v>Oct-24</v>
      </c>
      <c r="H273" s="116">
        <f>DAY(EOMONTH(MC_2[[#This Row],[Month Year]],0))</f>
        <v>31</v>
      </c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5">
        <f>SUM(MC_2[[#This Row],[IS1Inv1M1]:[IS9Inv19M2]])</f>
        <v>0</v>
      </c>
      <c r="BF273" s="119"/>
      <c r="BG273" s="119"/>
      <c r="BH273" s="119"/>
      <c r="BI273" s="119"/>
      <c r="BJ273" s="119"/>
      <c r="BK273" s="119"/>
      <c r="BL273" s="121"/>
    </row>
    <row r="274" spans="1:64">
      <c r="A274" s="119">
        <v>272</v>
      </c>
      <c r="B274" s="113">
        <f t="shared" si="4"/>
        <v>45594</v>
      </c>
      <c r="C274" s="114">
        <f>YEAR(MC_2[[#This Row],[Date]])+IF(MONTH(MC_2[[#This Row],[Date]])&gt;=4,1,0)</f>
        <v>2025</v>
      </c>
      <c r="D274" s="115">
        <f>YEAR(MC_2[[#This Row],[Date]])</f>
        <v>2024</v>
      </c>
      <c r="E274" s="112" t="s">
        <v>326</v>
      </c>
      <c r="F274" s="112" t="s">
        <v>326</v>
      </c>
      <c r="G274" s="116" t="str">
        <f>TEXT(MC_2[[#This Row],[Date]],"mmm-yy")</f>
        <v>Oct-24</v>
      </c>
      <c r="H274" s="116">
        <f>DAY(EOMONTH(MC_2[[#This Row],[Month Year]],0))</f>
        <v>31</v>
      </c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5">
        <f>SUM(MC_2[[#This Row],[IS1Inv1M1]:[IS9Inv19M2]])</f>
        <v>0</v>
      </c>
      <c r="BF274" s="119"/>
      <c r="BG274" s="119"/>
      <c r="BH274" s="119"/>
      <c r="BI274" s="119"/>
      <c r="BJ274" s="119"/>
      <c r="BK274" s="119"/>
      <c r="BL274" s="121"/>
    </row>
    <row r="275" spans="1:64">
      <c r="A275" s="119">
        <v>273</v>
      </c>
      <c r="B275" s="113">
        <f t="shared" si="4"/>
        <v>45595</v>
      </c>
      <c r="C275" s="114">
        <f>YEAR(MC_2[[#This Row],[Date]])+IF(MONTH(MC_2[[#This Row],[Date]])&gt;=4,1,0)</f>
        <v>2025</v>
      </c>
      <c r="D275" s="115">
        <f>YEAR(MC_2[[#This Row],[Date]])</f>
        <v>2024</v>
      </c>
      <c r="E275" s="112" t="s">
        <v>326</v>
      </c>
      <c r="F275" s="112" t="s">
        <v>326</v>
      </c>
      <c r="G275" s="116" t="str">
        <f>TEXT(MC_2[[#This Row],[Date]],"mmm-yy")</f>
        <v>Oct-24</v>
      </c>
      <c r="H275" s="116">
        <f>DAY(EOMONTH(MC_2[[#This Row],[Month Year]],0))</f>
        <v>31</v>
      </c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5">
        <f>SUM(MC_2[[#This Row],[IS1Inv1M1]:[IS9Inv19M2]])</f>
        <v>0</v>
      </c>
      <c r="BF275" s="119"/>
      <c r="BG275" s="119"/>
      <c r="BH275" s="119"/>
      <c r="BI275" s="119"/>
      <c r="BJ275" s="119"/>
      <c r="BK275" s="119"/>
      <c r="BL275" s="121"/>
    </row>
    <row r="276" spans="1:64">
      <c r="A276" s="119">
        <v>274</v>
      </c>
      <c r="B276" s="113">
        <f t="shared" si="4"/>
        <v>45596</v>
      </c>
      <c r="C276" s="114">
        <f>YEAR(MC_2[[#This Row],[Date]])+IF(MONTH(MC_2[[#This Row],[Date]])&gt;=4,1,0)</f>
        <v>2025</v>
      </c>
      <c r="D276" s="115">
        <f>YEAR(MC_2[[#This Row],[Date]])</f>
        <v>2024</v>
      </c>
      <c r="E276" s="112" t="s">
        <v>326</v>
      </c>
      <c r="F276" s="112" t="s">
        <v>326</v>
      </c>
      <c r="G276" s="116" t="str">
        <f>TEXT(MC_2[[#This Row],[Date]],"mmm-yy")</f>
        <v>Oct-24</v>
      </c>
      <c r="H276" s="116">
        <f>DAY(EOMONTH(MC_2[[#This Row],[Month Year]],0))</f>
        <v>31</v>
      </c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5">
        <f>SUM(MC_2[[#This Row],[IS1Inv1M1]:[IS9Inv19M2]])</f>
        <v>0</v>
      </c>
      <c r="BF276" s="119"/>
      <c r="BG276" s="119"/>
      <c r="BH276" s="119"/>
      <c r="BI276" s="119"/>
      <c r="BJ276" s="119"/>
      <c r="BK276" s="119"/>
      <c r="BL276" s="121"/>
    </row>
    <row r="277" spans="1:64">
      <c r="A277" s="119">
        <v>275</v>
      </c>
      <c r="B277" s="113">
        <f t="shared" si="4"/>
        <v>45597</v>
      </c>
      <c r="C277" s="114">
        <f>YEAR(MC_2[[#This Row],[Date]])+IF(MONTH(MC_2[[#This Row],[Date]])&gt;=4,1,0)</f>
        <v>2025</v>
      </c>
      <c r="D277" s="115">
        <f>YEAR(MC_2[[#This Row],[Date]])</f>
        <v>2024</v>
      </c>
      <c r="E277" s="112" t="s">
        <v>326</v>
      </c>
      <c r="F277" s="112" t="s">
        <v>326</v>
      </c>
      <c r="G277" s="116" t="str">
        <f>TEXT(MC_2[[#This Row],[Date]],"mmm-yy")</f>
        <v>Nov-24</v>
      </c>
      <c r="H277" s="116">
        <f>DAY(EOMONTH(MC_2[[#This Row],[Month Year]],0))</f>
        <v>30</v>
      </c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5">
        <f>SUM(MC_2[[#This Row],[IS1Inv1M1]:[IS9Inv19M2]])</f>
        <v>0</v>
      </c>
      <c r="BF277" s="119"/>
      <c r="BG277" s="119"/>
      <c r="BH277" s="119"/>
      <c r="BI277" s="119"/>
      <c r="BJ277" s="119"/>
      <c r="BK277" s="119"/>
      <c r="BL277" s="121"/>
    </row>
    <row r="278" spans="1:64">
      <c r="A278" s="119">
        <v>276</v>
      </c>
      <c r="B278" s="113">
        <f t="shared" si="4"/>
        <v>45598</v>
      </c>
      <c r="C278" s="114">
        <f>YEAR(MC_2[[#This Row],[Date]])+IF(MONTH(MC_2[[#This Row],[Date]])&gt;=4,1,0)</f>
        <v>2025</v>
      </c>
      <c r="D278" s="115">
        <f>YEAR(MC_2[[#This Row],[Date]])</f>
        <v>2024</v>
      </c>
      <c r="E278" s="112" t="s">
        <v>326</v>
      </c>
      <c r="F278" s="112" t="s">
        <v>326</v>
      </c>
      <c r="G278" s="116" t="str">
        <f>TEXT(MC_2[[#This Row],[Date]],"mmm-yy")</f>
        <v>Nov-24</v>
      </c>
      <c r="H278" s="116">
        <f>DAY(EOMONTH(MC_2[[#This Row],[Month Year]],0))</f>
        <v>30</v>
      </c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5">
        <f>SUM(MC_2[[#This Row],[IS1Inv1M1]:[IS9Inv19M2]])</f>
        <v>0</v>
      </c>
      <c r="BF278" s="119"/>
      <c r="BG278" s="119"/>
      <c r="BH278" s="119"/>
      <c r="BI278" s="119"/>
      <c r="BJ278" s="119"/>
      <c r="BK278" s="119"/>
      <c r="BL278" s="121"/>
    </row>
    <row r="279" spans="1:64">
      <c r="A279" s="119">
        <v>277</v>
      </c>
      <c r="B279" s="113">
        <f t="shared" si="4"/>
        <v>45599</v>
      </c>
      <c r="C279" s="114">
        <f>YEAR(MC_2[[#This Row],[Date]])+IF(MONTH(MC_2[[#This Row],[Date]])&gt;=4,1,0)</f>
        <v>2025</v>
      </c>
      <c r="D279" s="115">
        <f>YEAR(MC_2[[#This Row],[Date]])</f>
        <v>2024</v>
      </c>
      <c r="E279" s="112" t="s">
        <v>326</v>
      </c>
      <c r="F279" s="112" t="s">
        <v>326</v>
      </c>
      <c r="G279" s="116" t="str">
        <f>TEXT(MC_2[[#This Row],[Date]],"mmm-yy")</f>
        <v>Nov-24</v>
      </c>
      <c r="H279" s="116">
        <f>DAY(EOMONTH(MC_2[[#This Row],[Month Year]],0))</f>
        <v>30</v>
      </c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5">
        <f>SUM(MC_2[[#This Row],[IS1Inv1M1]:[IS9Inv19M2]])</f>
        <v>0</v>
      </c>
      <c r="BF279" s="119"/>
      <c r="BG279" s="119"/>
      <c r="BH279" s="119"/>
      <c r="BI279" s="119"/>
      <c r="BJ279" s="119"/>
      <c r="BK279" s="119"/>
      <c r="BL279" s="121"/>
    </row>
    <row r="280" spans="1:64">
      <c r="A280" s="119">
        <v>278</v>
      </c>
      <c r="B280" s="113">
        <f t="shared" si="4"/>
        <v>45600</v>
      </c>
      <c r="C280" s="114">
        <f>YEAR(MC_2[[#This Row],[Date]])+IF(MONTH(MC_2[[#This Row],[Date]])&gt;=4,1,0)</f>
        <v>2025</v>
      </c>
      <c r="D280" s="115">
        <f>YEAR(MC_2[[#This Row],[Date]])</f>
        <v>2024</v>
      </c>
      <c r="E280" s="112" t="s">
        <v>326</v>
      </c>
      <c r="F280" s="112" t="s">
        <v>326</v>
      </c>
      <c r="G280" s="116" t="str">
        <f>TEXT(MC_2[[#This Row],[Date]],"mmm-yy")</f>
        <v>Nov-24</v>
      </c>
      <c r="H280" s="116">
        <f>DAY(EOMONTH(MC_2[[#This Row],[Month Year]],0))</f>
        <v>30</v>
      </c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5">
        <f>SUM(MC_2[[#This Row],[IS1Inv1M1]:[IS9Inv19M2]])</f>
        <v>0</v>
      </c>
      <c r="BF280" s="119"/>
      <c r="BG280" s="119"/>
      <c r="BH280" s="119"/>
      <c r="BI280" s="119"/>
      <c r="BJ280" s="119"/>
      <c r="BK280" s="119"/>
      <c r="BL280" s="121"/>
    </row>
    <row r="281" spans="1:64">
      <c r="A281" s="119">
        <v>279</v>
      </c>
      <c r="B281" s="113">
        <f t="shared" si="4"/>
        <v>45601</v>
      </c>
      <c r="C281" s="114">
        <f>YEAR(MC_2[[#This Row],[Date]])+IF(MONTH(MC_2[[#This Row],[Date]])&gt;=4,1,0)</f>
        <v>2025</v>
      </c>
      <c r="D281" s="115">
        <f>YEAR(MC_2[[#This Row],[Date]])</f>
        <v>2024</v>
      </c>
      <c r="E281" s="112" t="s">
        <v>326</v>
      </c>
      <c r="F281" s="112" t="s">
        <v>326</v>
      </c>
      <c r="G281" s="116" t="str">
        <f>TEXT(MC_2[[#This Row],[Date]],"mmm-yy")</f>
        <v>Nov-24</v>
      </c>
      <c r="H281" s="116">
        <f>DAY(EOMONTH(MC_2[[#This Row],[Month Year]],0))</f>
        <v>30</v>
      </c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5">
        <f>SUM(MC_2[[#This Row],[IS1Inv1M1]:[IS9Inv19M2]])</f>
        <v>0</v>
      </c>
      <c r="BF281" s="119"/>
      <c r="BG281" s="119"/>
      <c r="BH281" s="119"/>
      <c r="BI281" s="119"/>
      <c r="BJ281" s="119"/>
      <c r="BK281" s="119"/>
      <c r="BL281" s="121"/>
    </row>
    <row r="282" spans="1:64">
      <c r="A282" s="119">
        <v>280</v>
      </c>
      <c r="B282" s="113">
        <f t="shared" si="4"/>
        <v>45602</v>
      </c>
      <c r="C282" s="114">
        <f>YEAR(MC_2[[#This Row],[Date]])+IF(MONTH(MC_2[[#This Row],[Date]])&gt;=4,1,0)</f>
        <v>2025</v>
      </c>
      <c r="D282" s="115">
        <f>YEAR(MC_2[[#This Row],[Date]])</f>
        <v>2024</v>
      </c>
      <c r="E282" s="112" t="s">
        <v>326</v>
      </c>
      <c r="F282" s="112" t="s">
        <v>326</v>
      </c>
      <c r="G282" s="116" t="str">
        <f>TEXT(MC_2[[#This Row],[Date]],"mmm-yy")</f>
        <v>Nov-24</v>
      </c>
      <c r="H282" s="116">
        <f>DAY(EOMONTH(MC_2[[#This Row],[Month Year]],0))</f>
        <v>30</v>
      </c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5">
        <f>SUM(MC_2[[#This Row],[IS1Inv1M1]:[IS9Inv19M2]])</f>
        <v>0</v>
      </c>
      <c r="BF282" s="119"/>
      <c r="BG282" s="119"/>
      <c r="BH282" s="119"/>
      <c r="BI282" s="119"/>
      <c r="BJ282" s="119"/>
      <c r="BK282" s="119"/>
      <c r="BL282" s="121"/>
    </row>
    <row r="283" spans="1:64">
      <c r="A283" s="119">
        <v>281</v>
      </c>
      <c r="B283" s="113">
        <f t="shared" si="4"/>
        <v>45603</v>
      </c>
      <c r="C283" s="114">
        <f>YEAR(MC_2[[#This Row],[Date]])+IF(MONTH(MC_2[[#This Row],[Date]])&gt;=4,1,0)</f>
        <v>2025</v>
      </c>
      <c r="D283" s="115">
        <f>YEAR(MC_2[[#This Row],[Date]])</f>
        <v>2024</v>
      </c>
      <c r="E283" s="112" t="s">
        <v>326</v>
      </c>
      <c r="F283" s="112" t="s">
        <v>326</v>
      </c>
      <c r="G283" s="116" t="str">
        <f>TEXT(MC_2[[#This Row],[Date]],"mmm-yy")</f>
        <v>Nov-24</v>
      </c>
      <c r="H283" s="116">
        <f>DAY(EOMONTH(MC_2[[#This Row],[Month Year]],0))</f>
        <v>30</v>
      </c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5">
        <f>SUM(MC_2[[#This Row],[IS1Inv1M1]:[IS9Inv19M2]])</f>
        <v>0</v>
      </c>
      <c r="BF283" s="119"/>
      <c r="BG283" s="119"/>
      <c r="BH283" s="119"/>
      <c r="BI283" s="119"/>
      <c r="BJ283" s="119"/>
      <c r="BK283" s="119"/>
      <c r="BL283" s="121"/>
    </row>
    <row r="284" spans="1:64">
      <c r="A284" s="119">
        <v>282</v>
      </c>
      <c r="B284" s="113">
        <f t="shared" si="4"/>
        <v>45604</v>
      </c>
      <c r="C284" s="114">
        <f>YEAR(MC_2[[#This Row],[Date]])+IF(MONTH(MC_2[[#This Row],[Date]])&gt;=4,1,0)</f>
        <v>2025</v>
      </c>
      <c r="D284" s="115">
        <f>YEAR(MC_2[[#This Row],[Date]])</f>
        <v>2024</v>
      </c>
      <c r="E284" s="112" t="s">
        <v>326</v>
      </c>
      <c r="F284" s="112" t="s">
        <v>326</v>
      </c>
      <c r="G284" s="116" t="str">
        <f>TEXT(MC_2[[#This Row],[Date]],"mmm-yy")</f>
        <v>Nov-24</v>
      </c>
      <c r="H284" s="116">
        <f>DAY(EOMONTH(MC_2[[#This Row],[Month Year]],0))</f>
        <v>30</v>
      </c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5">
        <f>SUM(MC_2[[#This Row],[IS1Inv1M1]:[IS9Inv19M2]])</f>
        <v>0</v>
      </c>
      <c r="BF284" s="119"/>
      <c r="BG284" s="119"/>
      <c r="BH284" s="119"/>
      <c r="BI284" s="119"/>
      <c r="BJ284" s="119"/>
      <c r="BK284" s="119"/>
      <c r="BL284" s="121"/>
    </row>
    <row r="285" spans="1:64">
      <c r="A285" s="119">
        <v>283</v>
      </c>
      <c r="B285" s="113">
        <f t="shared" si="4"/>
        <v>45605</v>
      </c>
      <c r="C285" s="114">
        <f>YEAR(MC_2[[#This Row],[Date]])+IF(MONTH(MC_2[[#This Row],[Date]])&gt;=4,1,0)</f>
        <v>2025</v>
      </c>
      <c r="D285" s="115">
        <f>YEAR(MC_2[[#This Row],[Date]])</f>
        <v>2024</v>
      </c>
      <c r="E285" s="112" t="s">
        <v>326</v>
      </c>
      <c r="F285" s="112" t="s">
        <v>326</v>
      </c>
      <c r="G285" s="116" t="str">
        <f>TEXT(MC_2[[#This Row],[Date]],"mmm-yy")</f>
        <v>Nov-24</v>
      </c>
      <c r="H285" s="116">
        <f>DAY(EOMONTH(MC_2[[#This Row],[Month Year]],0))</f>
        <v>30</v>
      </c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5">
        <f>SUM(MC_2[[#This Row],[IS1Inv1M1]:[IS9Inv19M2]])</f>
        <v>0</v>
      </c>
      <c r="BF285" s="119"/>
      <c r="BG285" s="119"/>
      <c r="BH285" s="119"/>
      <c r="BI285" s="119"/>
      <c r="BJ285" s="119"/>
      <c r="BK285" s="119"/>
      <c r="BL285" s="121"/>
    </row>
    <row r="286" spans="1:64">
      <c r="A286" s="119">
        <v>284</v>
      </c>
      <c r="B286" s="113">
        <f t="shared" si="4"/>
        <v>45606</v>
      </c>
      <c r="C286" s="114">
        <f>YEAR(MC_2[[#This Row],[Date]])+IF(MONTH(MC_2[[#This Row],[Date]])&gt;=4,1,0)</f>
        <v>2025</v>
      </c>
      <c r="D286" s="115">
        <f>YEAR(MC_2[[#This Row],[Date]])</f>
        <v>2024</v>
      </c>
      <c r="E286" s="112" t="s">
        <v>326</v>
      </c>
      <c r="F286" s="112" t="s">
        <v>326</v>
      </c>
      <c r="G286" s="116" t="str">
        <f>TEXT(MC_2[[#This Row],[Date]],"mmm-yy")</f>
        <v>Nov-24</v>
      </c>
      <c r="H286" s="116">
        <f>DAY(EOMONTH(MC_2[[#This Row],[Month Year]],0))</f>
        <v>30</v>
      </c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5">
        <f>SUM(MC_2[[#This Row],[IS1Inv1M1]:[IS9Inv19M2]])</f>
        <v>0</v>
      </c>
      <c r="BF286" s="119"/>
      <c r="BG286" s="119"/>
      <c r="BH286" s="119"/>
      <c r="BI286" s="119"/>
      <c r="BJ286" s="119"/>
      <c r="BK286" s="119"/>
      <c r="BL286" s="121"/>
    </row>
    <row r="287" spans="1:64">
      <c r="A287" s="119">
        <v>285</v>
      </c>
      <c r="B287" s="113">
        <f t="shared" si="4"/>
        <v>45607</v>
      </c>
      <c r="C287" s="114">
        <f>YEAR(MC_2[[#This Row],[Date]])+IF(MONTH(MC_2[[#This Row],[Date]])&gt;=4,1,0)</f>
        <v>2025</v>
      </c>
      <c r="D287" s="115">
        <f>YEAR(MC_2[[#This Row],[Date]])</f>
        <v>2024</v>
      </c>
      <c r="E287" s="112" t="s">
        <v>326</v>
      </c>
      <c r="F287" s="112" t="s">
        <v>326</v>
      </c>
      <c r="G287" s="116" t="str">
        <f>TEXT(MC_2[[#This Row],[Date]],"mmm-yy")</f>
        <v>Nov-24</v>
      </c>
      <c r="H287" s="116">
        <f>DAY(EOMONTH(MC_2[[#This Row],[Month Year]],0))</f>
        <v>30</v>
      </c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5">
        <f>SUM(MC_2[[#This Row],[IS1Inv1M1]:[IS9Inv19M2]])</f>
        <v>0</v>
      </c>
      <c r="BF287" s="119"/>
      <c r="BG287" s="119"/>
      <c r="BH287" s="119"/>
      <c r="BI287" s="119"/>
      <c r="BJ287" s="119"/>
      <c r="BK287" s="119"/>
      <c r="BL287" s="121"/>
    </row>
    <row r="288" spans="1:64">
      <c r="A288" s="119">
        <v>286</v>
      </c>
      <c r="B288" s="113">
        <f t="shared" si="4"/>
        <v>45608</v>
      </c>
      <c r="C288" s="114">
        <f>YEAR(MC_2[[#This Row],[Date]])+IF(MONTH(MC_2[[#This Row],[Date]])&gt;=4,1,0)</f>
        <v>2025</v>
      </c>
      <c r="D288" s="115">
        <f>YEAR(MC_2[[#This Row],[Date]])</f>
        <v>2024</v>
      </c>
      <c r="E288" s="112" t="s">
        <v>326</v>
      </c>
      <c r="F288" s="112" t="s">
        <v>326</v>
      </c>
      <c r="G288" s="116" t="str">
        <f>TEXT(MC_2[[#This Row],[Date]],"mmm-yy")</f>
        <v>Nov-24</v>
      </c>
      <c r="H288" s="116">
        <f>DAY(EOMONTH(MC_2[[#This Row],[Month Year]],0))</f>
        <v>30</v>
      </c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5">
        <f>SUM(MC_2[[#This Row],[IS1Inv1M1]:[IS9Inv19M2]])</f>
        <v>0</v>
      </c>
      <c r="BF288" s="119"/>
      <c r="BG288" s="119"/>
      <c r="BH288" s="119"/>
      <c r="BI288" s="119"/>
      <c r="BJ288" s="119"/>
      <c r="BK288" s="119"/>
      <c r="BL288" s="121"/>
    </row>
    <row r="289" spans="1:64">
      <c r="A289" s="119">
        <v>287</v>
      </c>
      <c r="B289" s="113">
        <f t="shared" si="4"/>
        <v>45609</v>
      </c>
      <c r="C289" s="114">
        <f>YEAR(MC_2[[#This Row],[Date]])+IF(MONTH(MC_2[[#This Row],[Date]])&gt;=4,1,0)</f>
        <v>2025</v>
      </c>
      <c r="D289" s="115">
        <f>YEAR(MC_2[[#This Row],[Date]])</f>
        <v>2024</v>
      </c>
      <c r="E289" s="112" t="s">
        <v>326</v>
      </c>
      <c r="F289" s="112" t="s">
        <v>326</v>
      </c>
      <c r="G289" s="116" t="str">
        <f>TEXT(MC_2[[#This Row],[Date]],"mmm-yy")</f>
        <v>Nov-24</v>
      </c>
      <c r="H289" s="116">
        <f>DAY(EOMONTH(MC_2[[#This Row],[Month Year]],0))</f>
        <v>30</v>
      </c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5">
        <f>SUM(MC_2[[#This Row],[IS1Inv1M1]:[IS9Inv19M2]])</f>
        <v>0</v>
      </c>
      <c r="BF289" s="119"/>
      <c r="BG289" s="119"/>
      <c r="BH289" s="119"/>
      <c r="BI289" s="119"/>
      <c r="BJ289" s="119"/>
      <c r="BK289" s="119"/>
      <c r="BL289" s="121"/>
    </row>
    <row r="290" spans="1:64">
      <c r="A290" s="119">
        <v>288</v>
      </c>
      <c r="B290" s="113">
        <f t="shared" si="4"/>
        <v>45610</v>
      </c>
      <c r="C290" s="114">
        <f>YEAR(MC_2[[#This Row],[Date]])+IF(MONTH(MC_2[[#This Row],[Date]])&gt;=4,1,0)</f>
        <v>2025</v>
      </c>
      <c r="D290" s="115">
        <f>YEAR(MC_2[[#This Row],[Date]])</f>
        <v>2024</v>
      </c>
      <c r="E290" s="112" t="s">
        <v>326</v>
      </c>
      <c r="F290" s="112" t="s">
        <v>326</v>
      </c>
      <c r="G290" s="116" t="str">
        <f>TEXT(MC_2[[#This Row],[Date]],"mmm-yy")</f>
        <v>Nov-24</v>
      </c>
      <c r="H290" s="116">
        <f>DAY(EOMONTH(MC_2[[#This Row],[Month Year]],0))</f>
        <v>30</v>
      </c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5">
        <f>SUM(MC_2[[#This Row],[IS1Inv1M1]:[IS9Inv19M2]])</f>
        <v>0</v>
      </c>
      <c r="BF290" s="119"/>
      <c r="BG290" s="119"/>
      <c r="BH290" s="119"/>
      <c r="BI290" s="119"/>
      <c r="BJ290" s="119"/>
      <c r="BK290" s="119"/>
      <c r="BL290" s="121"/>
    </row>
    <row r="291" spans="1:64">
      <c r="A291" s="119">
        <v>289</v>
      </c>
      <c r="B291" s="113">
        <f t="shared" si="4"/>
        <v>45611</v>
      </c>
      <c r="C291" s="114">
        <f>YEAR(MC_2[[#This Row],[Date]])+IF(MONTH(MC_2[[#This Row],[Date]])&gt;=4,1,0)</f>
        <v>2025</v>
      </c>
      <c r="D291" s="115">
        <f>YEAR(MC_2[[#This Row],[Date]])</f>
        <v>2024</v>
      </c>
      <c r="E291" s="112" t="s">
        <v>326</v>
      </c>
      <c r="F291" s="112" t="s">
        <v>326</v>
      </c>
      <c r="G291" s="116" t="str">
        <f>TEXT(MC_2[[#This Row],[Date]],"mmm-yy")</f>
        <v>Nov-24</v>
      </c>
      <c r="H291" s="116">
        <f>DAY(EOMONTH(MC_2[[#This Row],[Month Year]],0))</f>
        <v>30</v>
      </c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5">
        <f>SUM(MC_2[[#This Row],[IS1Inv1M1]:[IS9Inv19M2]])</f>
        <v>0</v>
      </c>
      <c r="BF291" s="119"/>
      <c r="BG291" s="119"/>
      <c r="BH291" s="119"/>
      <c r="BI291" s="119"/>
      <c r="BJ291" s="119"/>
      <c r="BK291" s="119"/>
      <c r="BL291" s="121"/>
    </row>
    <row r="292" spans="1:64">
      <c r="A292" s="119">
        <v>290</v>
      </c>
      <c r="B292" s="113">
        <f t="shared" si="4"/>
        <v>45612</v>
      </c>
      <c r="C292" s="114">
        <f>YEAR(MC_2[[#This Row],[Date]])+IF(MONTH(MC_2[[#This Row],[Date]])&gt;=4,1,0)</f>
        <v>2025</v>
      </c>
      <c r="D292" s="115">
        <f>YEAR(MC_2[[#This Row],[Date]])</f>
        <v>2024</v>
      </c>
      <c r="E292" s="112" t="s">
        <v>326</v>
      </c>
      <c r="F292" s="112" t="s">
        <v>326</v>
      </c>
      <c r="G292" s="116" t="str">
        <f>TEXT(MC_2[[#This Row],[Date]],"mmm-yy")</f>
        <v>Nov-24</v>
      </c>
      <c r="H292" s="116">
        <f>DAY(EOMONTH(MC_2[[#This Row],[Month Year]],0))</f>
        <v>30</v>
      </c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5">
        <f>SUM(MC_2[[#This Row],[IS1Inv1M1]:[IS9Inv19M2]])</f>
        <v>0</v>
      </c>
      <c r="BF292" s="119"/>
      <c r="BG292" s="119"/>
      <c r="BH292" s="119"/>
      <c r="BI292" s="119"/>
      <c r="BJ292" s="119"/>
      <c r="BK292" s="119"/>
      <c r="BL292" s="121"/>
    </row>
    <row r="293" spans="1:64">
      <c r="A293" s="119">
        <v>291</v>
      </c>
      <c r="B293" s="113">
        <f t="shared" si="4"/>
        <v>45613</v>
      </c>
      <c r="C293" s="114">
        <f>YEAR(MC_2[[#This Row],[Date]])+IF(MONTH(MC_2[[#This Row],[Date]])&gt;=4,1,0)</f>
        <v>2025</v>
      </c>
      <c r="D293" s="115">
        <f>YEAR(MC_2[[#This Row],[Date]])</f>
        <v>2024</v>
      </c>
      <c r="E293" s="112" t="s">
        <v>326</v>
      </c>
      <c r="F293" s="112" t="s">
        <v>326</v>
      </c>
      <c r="G293" s="116" t="str">
        <f>TEXT(MC_2[[#This Row],[Date]],"mmm-yy")</f>
        <v>Nov-24</v>
      </c>
      <c r="H293" s="116">
        <f>DAY(EOMONTH(MC_2[[#This Row],[Month Year]],0))</f>
        <v>30</v>
      </c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5">
        <f>SUM(MC_2[[#This Row],[IS1Inv1M1]:[IS9Inv19M2]])</f>
        <v>0</v>
      </c>
      <c r="BF293" s="119"/>
      <c r="BG293" s="119"/>
      <c r="BH293" s="119"/>
      <c r="BI293" s="119"/>
      <c r="BJ293" s="119"/>
      <c r="BK293" s="119"/>
      <c r="BL293" s="121"/>
    </row>
    <row r="294" spans="1:64">
      <c r="A294" s="119">
        <v>292</v>
      </c>
      <c r="B294" s="113">
        <f t="shared" si="4"/>
        <v>45614</v>
      </c>
      <c r="C294" s="114">
        <f>YEAR(MC_2[[#This Row],[Date]])+IF(MONTH(MC_2[[#This Row],[Date]])&gt;=4,1,0)</f>
        <v>2025</v>
      </c>
      <c r="D294" s="115">
        <f>YEAR(MC_2[[#This Row],[Date]])</f>
        <v>2024</v>
      </c>
      <c r="E294" s="112" t="s">
        <v>326</v>
      </c>
      <c r="F294" s="112" t="s">
        <v>326</v>
      </c>
      <c r="G294" s="116" t="str">
        <f>TEXT(MC_2[[#This Row],[Date]],"mmm-yy")</f>
        <v>Nov-24</v>
      </c>
      <c r="H294" s="116">
        <f>DAY(EOMONTH(MC_2[[#This Row],[Month Year]],0))</f>
        <v>30</v>
      </c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5">
        <f>SUM(MC_2[[#This Row],[IS1Inv1M1]:[IS9Inv19M2]])</f>
        <v>0</v>
      </c>
      <c r="BF294" s="119"/>
      <c r="BG294" s="119"/>
      <c r="BH294" s="119"/>
      <c r="BI294" s="119"/>
      <c r="BJ294" s="119"/>
      <c r="BK294" s="119"/>
      <c r="BL294" s="121"/>
    </row>
    <row r="295" spans="1:64">
      <c r="A295" s="119">
        <v>293</v>
      </c>
      <c r="B295" s="113">
        <f t="shared" si="4"/>
        <v>45615</v>
      </c>
      <c r="C295" s="114">
        <f>YEAR(MC_2[[#This Row],[Date]])+IF(MONTH(MC_2[[#This Row],[Date]])&gt;=4,1,0)</f>
        <v>2025</v>
      </c>
      <c r="D295" s="115">
        <f>YEAR(MC_2[[#This Row],[Date]])</f>
        <v>2024</v>
      </c>
      <c r="E295" s="112" t="s">
        <v>326</v>
      </c>
      <c r="F295" s="112" t="s">
        <v>326</v>
      </c>
      <c r="G295" s="116" t="str">
        <f>TEXT(MC_2[[#This Row],[Date]],"mmm-yy")</f>
        <v>Nov-24</v>
      </c>
      <c r="H295" s="116">
        <f>DAY(EOMONTH(MC_2[[#This Row],[Month Year]],0))</f>
        <v>30</v>
      </c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5">
        <f>SUM(MC_2[[#This Row],[IS1Inv1M1]:[IS9Inv19M2]])</f>
        <v>0</v>
      </c>
      <c r="BF295" s="119"/>
      <c r="BG295" s="119"/>
      <c r="BH295" s="119"/>
      <c r="BI295" s="119"/>
      <c r="BJ295" s="119"/>
      <c r="BK295" s="119"/>
      <c r="BL295" s="121"/>
    </row>
    <row r="296" spans="1:64">
      <c r="A296" s="119">
        <v>294</v>
      </c>
      <c r="B296" s="113">
        <f t="shared" si="4"/>
        <v>45616</v>
      </c>
      <c r="C296" s="114">
        <f>YEAR(MC_2[[#This Row],[Date]])+IF(MONTH(MC_2[[#This Row],[Date]])&gt;=4,1,0)</f>
        <v>2025</v>
      </c>
      <c r="D296" s="115">
        <f>YEAR(MC_2[[#This Row],[Date]])</f>
        <v>2024</v>
      </c>
      <c r="E296" s="112" t="s">
        <v>326</v>
      </c>
      <c r="F296" s="112" t="s">
        <v>326</v>
      </c>
      <c r="G296" s="116" t="str">
        <f>TEXT(MC_2[[#This Row],[Date]],"mmm-yy")</f>
        <v>Nov-24</v>
      </c>
      <c r="H296" s="116">
        <f>DAY(EOMONTH(MC_2[[#This Row],[Month Year]],0))</f>
        <v>30</v>
      </c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5">
        <f>SUM(MC_2[[#This Row],[IS1Inv1M1]:[IS9Inv19M2]])</f>
        <v>0</v>
      </c>
      <c r="BF296" s="119"/>
      <c r="BG296" s="119"/>
      <c r="BH296" s="119"/>
      <c r="BI296" s="119"/>
      <c r="BJ296" s="119"/>
      <c r="BK296" s="119"/>
      <c r="BL296" s="121"/>
    </row>
    <row r="297" spans="1:64">
      <c r="A297" s="119">
        <v>295</v>
      </c>
      <c r="B297" s="113">
        <f t="shared" si="4"/>
        <v>45617</v>
      </c>
      <c r="C297" s="114">
        <f>YEAR(MC_2[[#This Row],[Date]])+IF(MONTH(MC_2[[#This Row],[Date]])&gt;=4,1,0)</f>
        <v>2025</v>
      </c>
      <c r="D297" s="115">
        <f>YEAR(MC_2[[#This Row],[Date]])</f>
        <v>2024</v>
      </c>
      <c r="E297" s="112" t="s">
        <v>326</v>
      </c>
      <c r="F297" s="112" t="s">
        <v>326</v>
      </c>
      <c r="G297" s="116" t="str">
        <f>TEXT(MC_2[[#This Row],[Date]],"mmm-yy")</f>
        <v>Nov-24</v>
      </c>
      <c r="H297" s="116">
        <f>DAY(EOMONTH(MC_2[[#This Row],[Month Year]],0))</f>
        <v>30</v>
      </c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5">
        <f>SUM(MC_2[[#This Row],[IS1Inv1M1]:[IS9Inv19M2]])</f>
        <v>0</v>
      </c>
      <c r="BF297" s="119"/>
      <c r="BG297" s="119"/>
      <c r="BH297" s="119"/>
      <c r="BI297" s="119"/>
      <c r="BJ297" s="119"/>
      <c r="BK297" s="119"/>
      <c r="BL297" s="121"/>
    </row>
    <row r="298" spans="1:64">
      <c r="A298" s="119">
        <v>296</v>
      </c>
      <c r="B298" s="113">
        <f t="shared" si="4"/>
        <v>45618</v>
      </c>
      <c r="C298" s="114">
        <f>YEAR(MC_2[[#This Row],[Date]])+IF(MONTH(MC_2[[#This Row],[Date]])&gt;=4,1,0)</f>
        <v>2025</v>
      </c>
      <c r="D298" s="115">
        <f>YEAR(MC_2[[#This Row],[Date]])</f>
        <v>2024</v>
      </c>
      <c r="E298" s="112" t="s">
        <v>326</v>
      </c>
      <c r="F298" s="112" t="s">
        <v>326</v>
      </c>
      <c r="G298" s="116" t="str">
        <f>TEXT(MC_2[[#This Row],[Date]],"mmm-yy")</f>
        <v>Nov-24</v>
      </c>
      <c r="H298" s="116">
        <f>DAY(EOMONTH(MC_2[[#This Row],[Month Year]],0))</f>
        <v>30</v>
      </c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5">
        <f>SUM(MC_2[[#This Row],[IS1Inv1M1]:[IS9Inv19M2]])</f>
        <v>0</v>
      </c>
      <c r="BF298" s="119"/>
      <c r="BG298" s="119"/>
      <c r="BH298" s="119"/>
      <c r="BI298" s="119"/>
      <c r="BJ298" s="119"/>
      <c r="BK298" s="119"/>
      <c r="BL298" s="121"/>
    </row>
    <row r="299" spans="1:64">
      <c r="A299" s="119">
        <v>297</v>
      </c>
      <c r="B299" s="113">
        <f t="shared" si="4"/>
        <v>45619</v>
      </c>
      <c r="C299" s="114">
        <f>YEAR(MC_2[[#This Row],[Date]])+IF(MONTH(MC_2[[#This Row],[Date]])&gt;=4,1,0)</f>
        <v>2025</v>
      </c>
      <c r="D299" s="115">
        <f>YEAR(MC_2[[#This Row],[Date]])</f>
        <v>2024</v>
      </c>
      <c r="E299" s="112" t="s">
        <v>326</v>
      </c>
      <c r="F299" s="112" t="s">
        <v>326</v>
      </c>
      <c r="G299" s="116" t="str">
        <f>TEXT(MC_2[[#This Row],[Date]],"mmm-yy")</f>
        <v>Nov-24</v>
      </c>
      <c r="H299" s="116">
        <f>DAY(EOMONTH(MC_2[[#This Row],[Month Year]],0))</f>
        <v>30</v>
      </c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5">
        <f>SUM(MC_2[[#This Row],[IS1Inv1M1]:[IS9Inv19M2]])</f>
        <v>0</v>
      </c>
      <c r="BF299" s="119"/>
      <c r="BG299" s="119"/>
      <c r="BH299" s="119"/>
      <c r="BI299" s="119"/>
      <c r="BJ299" s="119"/>
      <c r="BK299" s="119"/>
      <c r="BL299" s="121"/>
    </row>
    <row r="300" spans="1:64">
      <c r="A300" s="119">
        <v>298</v>
      </c>
      <c r="B300" s="113">
        <f t="shared" si="4"/>
        <v>45620</v>
      </c>
      <c r="C300" s="114">
        <f>YEAR(MC_2[[#This Row],[Date]])+IF(MONTH(MC_2[[#This Row],[Date]])&gt;=4,1,0)</f>
        <v>2025</v>
      </c>
      <c r="D300" s="115">
        <f>YEAR(MC_2[[#This Row],[Date]])</f>
        <v>2024</v>
      </c>
      <c r="E300" s="112" t="s">
        <v>326</v>
      </c>
      <c r="F300" s="112" t="s">
        <v>326</v>
      </c>
      <c r="G300" s="116" t="str">
        <f>TEXT(MC_2[[#This Row],[Date]],"mmm-yy")</f>
        <v>Nov-24</v>
      </c>
      <c r="H300" s="116">
        <f>DAY(EOMONTH(MC_2[[#This Row],[Month Year]],0))</f>
        <v>30</v>
      </c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5">
        <f>SUM(MC_2[[#This Row],[IS1Inv1M1]:[IS9Inv19M2]])</f>
        <v>0</v>
      </c>
      <c r="BF300" s="119"/>
      <c r="BG300" s="119"/>
      <c r="BH300" s="119"/>
      <c r="BI300" s="119"/>
      <c r="BJ300" s="119"/>
      <c r="BK300" s="119"/>
      <c r="BL300" s="121"/>
    </row>
    <row r="301" spans="1:64">
      <c r="A301" s="119">
        <v>299</v>
      </c>
      <c r="B301" s="113">
        <f t="shared" si="4"/>
        <v>45621</v>
      </c>
      <c r="C301" s="114">
        <f>YEAR(MC_2[[#This Row],[Date]])+IF(MONTH(MC_2[[#This Row],[Date]])&gt;=4,1,0)</f>
        <v>2025</v>
      </c>
      <c r="D301" s="115">
        <f>YEAR(MC_2[[#This Row],[Date]])</f>
        <v>2024</v>
      </c>
      <c r="E301" s="112" t="s">
        <v>326</v>
      </c>
      <c r="F301" s="112" t="s">
        <v>326</v>
      </c>
      <c r="G301" s="116" t="str">
        <f>TEXT(MC_2[[#This Row],[Date]],"mmm-yy")</f>
        <v>Nov-24</v>
      </c>
      <c r="H301" s="116">
        <f>DAY(EOMONTH(MC_2[[#This Row],[Month Year]],0))</f>
        <v>30</v>
      </c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5">
        <f>SUM(MC_2[[#This Row],[IS1Inv1M1]:[IS9Inv19M2]])</f>
        <v>0</v>
      </c>
      <c r="BF301" s="119"/>
      <c r="BG301" s="119"/>
      <c r="BH301" s="119"/>
      <c r="BI301" s="119"/>
      <c r="BJ301" s="119"/>
      <c r="BK301" s="119"/>
      <c r="BL301" s="121"/>
    </row>
    <row r="302" spans="1:64">
      <c r="A302" s="119">
        <v>300</v>
      </c>
      <c r="B302" s="113">
        <f t="shared" si="4"/>
        <v>45622</v>
      </c>
      <c r="C302" s="114">
        <f>YEAR(MC_2[[#This Row],[Date]])+IF(MONTH(MC_2[[#This Row],[Date]])&gt;=4,1,0)</f>
        <v>2025</v>
      </c>
      <c r="D302" s="115">
        <f>YEAR(MC_2[[#This Row],[Date]])</f>
        <v>2024</v>
      </c>
      <c r="E302" s="112" t="s">
        <v>326</v>
      </c>
      <c r="F302" s="112" t="s">
        <v>326</v>
      </c>
      <c r="G302" s="116" t="str">
        <f>TEXT(MC_2[[#This Row],[Date]],"mmm-yy")</f>
        <v>Nov-24</v>
      </c>
      <c r="H302" s="116">
        <f>DAY(EOMONTH(MC_2[[#This Row],[Month Year]],0))</f>
        <v>30</v>
      </c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5">
        <f>SUM(MC_2[[#This Row],[IS1Inv1M1]:[IS9Inv19M2]])</f>
        <v>0</v>
      </c>
      <c r="BF302" s="119"/>
      <c r="BG302" s="119"/>
      <c r="BH302" s="119"/>
      <c r="BI302" s="119"/>
      <c r="BJ302" s="119"/>
      <c r="BK302" s="119"/>
      <c r="BL302" s="121"/>
    </row>
    <row r="303" spans="1:64">
      <c r="A303" s="119">
        <v>301</v>
      </c>
      <c r="B303" s="113">
        <f t="shared" si="4"/>
        <v>45623</v>
      </c>
      <c r="C303" s="114">
        <f>YEAR(MC_2[[#This Row],[Date]])+IF(MONTH(MC_2[[#This Row],[Date]])&gt;=4,1,0)</f>
        <v>2025</v>
      </c>
      <c r="D303" s="115">
        <f>YEAR(MC_2[[#This Row],[Date]])</f>
        <v>2024</v>
      </c>
      <c r="E303" s="112" t="s">
        <v>326</v>
      </c>
      <c r="F303" s="112" t="s">
        <v>326</v>
      </c>
      <c r="G303" s="116" t="str">
        <f>TEXT(MC_2[[#This Row],[Date]],"mmm-yy")</f>
        <v>Nov-24</v>
      </c>
      <c r="H303" s="116">
        <f>DAY(EOMONTH(MC_2[[#This Row],[Month Year]],0))</f>
        <v>30</v>
      </c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5">
        <f>SUM(MC_2[[#This Row],[IS1Inv1M1]:[IS9Inv19M2]])</f>
        <v>0</v>
      </c>
      <c r="BF303" s="119"/>
      <c r="BG303" s="119"/>
      <c r="BH303" s="119"/>
      <c r="BI303" s="119"/>
      <c r="BJ303" s="119"/>
      <c r="BK303" s="119"/>
      <c r="BL303" s="121"/>
    </row>
    <row r="304" spans="1:64">
      <c r="A304" s="119">
        <v>302</v>
      </c>
      <c r="B304" s="113">
        <f t="shared" si="4"/>
        <v>45624</v>
      </c>
      <c r="C304" s="114">
        <f>YEAR(MC_2[[#This Row],[Date]])+IF(MONTH(MC_2[[#This Row],[Date]])&gt;=4,1,0)</f>
        <v>2025</v>
      </c>
      <c r="D304" s="115">
        <f>YEAR(MC_2[[#This Row],[Date]])</f>
        <v>2024</v>
      </c>
      <c r="E304" s="112" t="s">
        <v>326</v>
      </c>
      <c r="F304" s="112" t="s">
        <v>326</v>
      </c>
      <c r="G304" s="116" t="str">
        <f>TEXT(MC_2[[#This Row],[Date]],"mmm-yy")</f>
        <v>Nov-24</v>
      </c>
      <c r="H304" s="116">
        <f>DAY(EOMONTH(MC_2[[#This Row],[Month Year]],0))</f>
        <v>30</v>
      </c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5">
        <f>SUM(MC_2[[#This Row],[IS1Inv1M1]:[IS9Inv19M2]])</f>
        <v>0</v>
      </c>
      <c r="BF304" s="119"/>
      <c r="BG304" s="119"/>
      <c r="BH304" s="119"/>
      <c r="BI304" s="119"/>
      <c r="BJ304" s="119"/>
      <c r="BK304" s="119"/>
      <c r="BL304" s="121"/>
    </row>
    <row r="305" spans="1:64">
      <c r="A305" s="119">
        <v>303</v>
      </c>
      <c r="B305" s="113">
        <f t="shared" si="4"/>
        <v>45625</v>
      </c>
      <c r="C305" s="114">
        <f>YEAR(MC_2[[#This Row],[Date]])+IF(MONTH(MC_2[[#This Row],[Date]])&gt;=4,1,0)</f>
        <v>2025</v>
      </c>
      <c r="D305" s="115">
        <f>YEAR(MC_2[[#This Row],[Date]])</f>
        <v>2024</v>
      </c>
      <c r="E305" s="112" t="s">
        <v>326</v>
      </c>
      <c r="F305" s="112" t="s">
        <v>326</v>
      </c>
      <c r="G305" s="116" t="str">
        <f>TEXT(MC_2[[#This Row],[Date]],"mmm-yy")</f>
        <v>Nov-24</v>
      </c>
      <c r="H305" s="116">
        <f>DAY(EOMONTH(MC_2[[#This Row],[Month Year]],0))</f>
        <v>30</v>
      </c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5">
        <f>SUM(MC_2[[#This Row],[IS1Inv1M1]:[IS9Inv19M2]])</f>
        <v>0</v>
      </c>
      <c r="BF305" s="119"/>
      <c r="BG305" s="119"/>
      <c r="BH305" s="119"/>
      <c r="BI305" s="119"/>
      <c r="BJ305" s="119"/>
      <c r="BK305" s="119"/>
      <c r="BL305" s="121"/>
    </row>
    <row r="306" spans="1:64">
      <c r="A306" s="119">
        <v>304</v>
      </c>
      <c r="B306" s="113">
        <f t="shared" si="4"/>
        <v>45626</v>
      </c>
      <c r="C306" s="114">
        <f>YEAR(MC_2[[#This Row],[Date]])+IF(MONTH(MC_2[[#This Row],[Date]])&gt;=4,1,0)</f>
        <v>2025</v>
      </c>
      <c r="D306" s="115">
        <f>YEAR(MC_2[[#This Row],[Date]])</f>
        <v>2024</v>
      </c>
      <c r="E306" s="112" t="s">
        <v>326</v>
      </c>
      <c r="F306" s="112" t="s">
        <v>326</v>
      </c>
      <c r="G306" s="116" t="str">
        <f>TEXT(MC_2[[#This Row],[Date]],"mmm-yy")</f>
        <v>Nov-24</v>
      </c>
      <c r="H306" s="116">
        <f>DAY(EOMONTH(MC_2[[#This Row],[Month Year]],0))</f>
        <v>30</v>
      </c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5">
        <f>SUM(MC_2[[#This Row],[IS1Inv1M1]:[IS9Inv19M2]])</f>
        <v>0</v>
      </c>
      <c r="BF306" s="119"/>
      <c r="BG306" s="119"/>
      <c r="BH306" s="119"/>
      <c r="BI306" s="119"/>
      <c r="BJ306" s="119"/>
      <c r="BK306" s="119"/>
      <c r="BL306" s="121"/>
    </row>
    <row r="307" spans="1:64">
      <c r="A307" s="119">
        <v>305</v>
      </c>
      <c r="B307" s="113">
        <f t="shared" si="4"/>
        <v>45627</v>
      </c>
      <c r="C307" s="114">
        <f>YEAR(MC_2[[#This Row],[Date]])+IF(MONTH(MC_2[[#This Row],[Date]])&gt;=4,1,0)</f>
        <v>2025</v>
      </c>
      <c r="D307" s="115">
        <f>YEAR(MC_2[[#This Row],[Date]])</f>
        <v>2024</v>
      </c>
      <c r="E307" s="112" t="s">
        <v>326</v>
      </c>
      <c r="F307" s="112" t="s">
        <v>326</v>
      </c>
      <c r="G307" s="116" t="str">
        <f>TEXT(MC_2[[#This Row],[Date]],"mmm-yy")</f>
        <v>Dec-24</v>
      </c>
      <c r="H307" s="116">
        <f>DAY(EOMONTH(MC_2[[#This Row],[Month Year]],0))</f>
        <v>31</v>
      </c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5">
        <f>SUM(MC_2[[#This Row],[IS1Inv1M1]:[IS9Inv19M2]])</f>
        <v>0</v>
      </c>
      <c r="BF307" s="119"/>
      <c r="BG307" s="119"/>
      <c r="BH307" s="119"/>
      <c r="BI307" s="119"/>
      <c r="BJ307" s="119"/>
      <c r="BK307" s="119"/>
      <c r="BL307" s="121"/>
    </row>
    <row r="308" spans="1:64">
      <c r="A308" s="119">
        <v>306</v>
      </c>
      <c r="B308" s="113">
        <f t="shared" si="4"/>
        <v>45628</v>
      </c>
      <c r="C308" s="114">
        <f>YEAR(MC_2[[#This Row],[Date]])+IF(MONTH(MC_2[[#This Row],[Date]])&gt;=4,1,0)</f>
        <v>2025</v>
      </c>
      <c r="D308" s="115">
        <f>YEAR(MC_2[[#This Row],[Date]])</f>
        <v>2024</v>
      </c>
      <c r="E308" s="112" t="s">
        <v>326</v>
      </c>
      <c r="F308" s="112" t="s">
        <v>326</v>
      </c>
      <c r="G308" s="116" t="str">
        <f>TEXT(MC_2[[#This Row],[Date]],"mmm-yy")</f>
        <v>Dec-24</v>
      </c>
      <c r="H308" s="116">
        <f>DAY(EOMONTH(MC_2[[#This Row],[Month Year]],0))</f>
        <v>31</v>
      </c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5">
        <f>SUM(MC_2[[#This Row],[IS1Inv1M1]:[IS9Inv19M2]])</f>
        <v>0</v>
      </c>
      <c r="BF308" s="119"/>
      <c r="BG308" s="119"/>
      <c r="BH308" s="119"/>
      <c r="BI308" s="119"/>
      <c r="BJ308" s="119"/>
      <c r="BK308" s="119"/>
      <c r="BL308" s="121"/>
    </row>
    <row r="309" spans="1:64">
      <c r="A309" s="119">
        <v>307</v>
      </c>
      <c r="B309" s="113">
        <f t="shared" si="4"/>
        <v>45629</v>
      </c>
      <c r="C309" s="114">
        <f>YEAR(MC_2[[#This Row],[Date]])+IF(MONTH(MC_2[[#This Row],[Date]])&gt;=4,1,0)</f>
        <v>2025</v>
      </c>
      <c r="D309" s="115">
        <f>YEAR(MC_2[[#This Row],[Date]])</f>
        <v>2024</v>
      </c>
      <c r="E309" s="112" t="s">
        <v>326</v>
      </c>
      <c r="F309" s="112" t="s">
        <v>326</v>
      </c>
      <c r="G309" s="116" t="str">
        <f>TEXT(MC_2[[#This Row],[Date]],"mmm-yy")</f>
        <v>Dec-24</v>
      </c>
      <c r="H309" s="116">
        <f>DAY(EOMONTH(MC_2[[#This Row],[Month Year]],0))</f>
        <v>31</v>
      </c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2"/>
      <c r="AN309" s="112"/>
      <c r="AO309" s="112"/>
      <c r="AP309" s="112"/>
      <c r="AQ309" s="112"/>
      <c r="AR309" s="112"/>
      <c r="AS309" s="112"/>
      <c r="AT309" s="112"/>
      <c r="AU309" s="112"/>
      <c r="AV309" s="112"/>
      <c r="AW309" s="112"/>
      <c r="AX309" s="112"/>
      <c r="AY309" s="112"/>
      <c r="AZ309" s="112"/>
      <c r="BA309" s="112"/>
      <c r="BB309" s="112"/>
      <c r="BC309" s="112"/>
      <c r="BD309" s="112"/>
      <c r="BE309" s="5">
        <f>SUM(MC_2[[#This Row],[IS1Inv1M1]:[IS9Inv19M2]])</f>
        <v>0</v>
      </c>
      <c r="BF309" s="119"/>
      <c r="BG309" s="119"/>
      <c r="BH309" s="119"/>
      <c r="BI309" s="119"/>
      <c r="BJ309" s="119"/>
      <c r="BK309" s="119"/>
      <c r="BL309" s="121"/>
    </row>
    <row r="310" spans="1:64">
      <c r="A310" s="119">
        <v>308</v>
      </c>
      <c r="B310" s="113">
        <f t="shared" si="4"/>
        <v>45630</v>
      </c>
      <c r="C310" s="114">
        <f>YEAR(MC_2[[#This Row],[Date]])+IF(MONTH(MC_2[[#This Row],[Date]])&gt;=4,1,0)</f>
        <v>2025</v>
      </c>
      <c r="D310" s="115">
        <f>YEAR(MC_2[[#This Row],[Date]])</f>
        <v>2024</v>
      </c>
      <c r="E310" s="112" t="s">
        <v>326</v>
      </c>
      <c r="F310" s="112" t="s">
        <v>326</v>
      </c>
      <c r="G310" s="116" t="str">
        <f>TEXT(MC_2[[#This Row],[Date]],"mmm-yy")</f>
        <v>Dec-24</v>
      </c>
      <c r="H310" s="116">
        <f>DAY(EOMONTH(MC_2[[#This Row],[Month Year]],0))</f>
        <v>31</v>
      </c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5">
        <f>SUM(MC_2[[#This Row],[IS1Inv1M1]:[IS9Inv19M2]])</f>
        <v>0</v>
      </c>
      <c r="BF310" s="119"/>
      <c r="BG310" s="119"/>
      <c r="BH310" s="119"/>
      <c r="BI310" s="119"/>
      <c r="BJ310" s="119"/>
      <c r="BK310" s="119"/>
      <c r="BL310" s="121"/>
    </row>
    <row r="311" spans="1:64">
      <c r="A311" s="119">
        <v>309</v>
      </c>
      <c r="B311" s="113">
        <f t="shared" si="4"/>
        <v>45631</v>
      </c>
      <c r="C311" s="114">
        <f>YEAR(MC_2[[#This Row],[Date]])+IF(MONTH(MC_2[[#This Row],[Date]])&gt;=4,1,0)</f>
        <v>2025</v>
      </c>
      <c r="D311" s="115">
        <f>YEAR(MC_2[[#This Row],[Date]])</f>
        <v>2024</v>
      </c>
      <c r="E311" s="112" t="s">
        <v>326</v>
      </c>
      <c r="F311" s="112" t="s">
        <v>326</v>
      </c>
      <c r="G311" s="116" t="str">
        <f>TEXT(MC_2[[#This Row],[Date]],"mmm-yy")</f>
        <v>Dec-24</v>
      </c>
      <c r="H311" s="116">
        <f>DAY(EOMONTH(MC_2[[#This Row],[Month Year]],0))</f>
        <v>31</v>
      </c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5">
        <f>SUM(MC_2[[#This Row],[IS1Inv1M1]:[IS9Inv19M2]])</f>
        <v>0</v>
      </c>
      <c r="BF311" s="119"/>
      <c r="BG311" s="119"/>
      <c r="BH311" s="119"/>
      <c r="BI311" s="119"/>
      <c r="BJ311" s="119"/>
      <c r="BK311" s="119"/>
      <c r="BL311" s="121"/>
    </row>
    <row r="312" spans="1:64">
      <c r="A312" s="119">
        <v>310</v>
      </c>
      <c r="B312" s="113">
        <f t="shared" si="4"/>
        <v>45632</v>
      </c>
      <c r="C312" s="114">
        <f>YEAR(MC_2[[#This Row],[Date]])+IF(MONTH(MC_2[[#This Row],[Date]])&gt;=4,1,0)</f>
        <v>2025</v>
      </c>
      <c r="D312" s="115">
        <f>YEAR(MC_2[[#This Row],[Date]])</f>
        <v>2024</v>
      </c>
      <c r="E312" s="112" t="s">
        <v>326</v>
      </c>
      <c r="F312" s="112" t="s">
        <v>326</v>
      </c>
      <c r="G312" s="116" t="str">
        <f>TEXT(MC_2[[#This Row],[Date]],"mmm-yy")</f>
        <v>Dec-24</v>
      </c>
      <c r="H312" s="116">
        <f>DAY(EOMONTH(MC_2[[#This Row],[Month Year]],0))</f>
        <v>31</v>
      </c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5">
        <f>SUM(MC_2[[#This Row],[IS1Inv1M1]:[IS9Inv19M2]])</f>
        <v>0</v>
      </c>
      <c r="BF312" s="119"/>
      <c r="BG312" s="119"/>
      <c r="BH312" s="119"/>
      <c r="BI312" s="119"/>
      <c r="BJ312" s="119"/>
      <c r="BK312" s="119"/>
      <c r="BL312" s="121"/>
    </row>
    <row r="313" spans="1:64">
      <c r="A313" s="119">
        <v>311</v>
      </c>
      <c r="B313" s="113">
        <f t="shared" si="4"/>
        <v>45633</v>
      </c>
      <c r="C313" s="114">
        <f>YEAR(MC_2[[#This Row],[Date]])+IF(MONTH(MC_2[[#This Row],[Date]])&gt;=4,1,0)</f>
        <v>2025</v>
      </c>
      <c r="D313" s="115">
        <f>YEAR(MC_2[[#This Row],[Date]])</f>
        <v>2024</v>
      </c>
      <c r="E313" s="112" t="s">
        <v>326</v>
      </c>
      <c r="F313" s="112" t="s">
        <v>326</v>
      </c>
      <c r="G313" s="116" t="str">
        <f>TEXT(MC_2[[#This Row],[Date]],"mmm-yy")</f>
        <v>Dec-24</v>
      </c>
      <c r="H313" s="116">
        <f>DAY(EOMONTH(MC_2[[#This Row],[Month Year]],0))</f>
        <v>31</v>
      </c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5">
        <f>SUM(MC_2[[#This Row],[IS1Inv1M1]:[IS9Inv19M2]])</f>
        <v>0</v>
      </c>
      <c r="BF313" s="119"/>
      <c r="BG313" s="119"/>
      <c r="BH313" s="119"/>
      <c r="BI313" s="119"/>
      <c r="BJ313" s="119"/>
      <c r="BK313" s="119"/>
      <c r="BL313" s="121"/>
    </row>
    <row r="314" spans="1:64">
      <c r="A314" s="119">
        <v>312</v>
      </c>
      <c r="B314" s="113">
        <f t="shared" si="4"/>
        <v>45634</v>
      </c>
      <c r="C314" s="114">
        <f>YEAR(MC_2[[#This Row],[Date]])+IF(MONTH(MC_2[[#This Row],[Date]])&gt;=4,1,0)</f>
        <v>2025</v>
      </c>
      <c r="D314" s="115">
        <f>YEAR(MC_2[[#This Row],[Date]])</f>
        <v>2024</v>
      </c>
      <c r="E314" s="112" t="s">
        <v>326</v>
      </c>
      <c r="F314" s="112" t="s">
        <v>326</v>
      </c>
      <c r="G314" s="116" t="str">
        <f>TEXT(MC_2[[#This Row],[Date]],"mmm-yy")</f>
        <v>Dec-24</v>
      </c>
      <c r="H314" s="116">
        <f>DAY(EOMONTH(MC_2[[#This Row],[Month Year]],0))</f>
        <v>31</v>
      </c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5">
        <f>SUM(MC_2[[#This Row],[IS1Inv1M1]:[IS9Inv19M2]])</f>
        <v>0</v>
      </c>
      <c r="BF314" s="119"/>
      <c r="BG314" s="119"/>
      <c r="BH314" s="119"/>
      <c r="BI314" s="119"/>
      <c r="BJ314" s="119"/>
      <c r="BK314" s="119"/>
      <c r="BL314" s="121"/>
    </row>
    <row r="315" spans="1:64">
      <c r="A315" s="119">
        <v>313</v>
      </c>
      <c r="B315" s="113">
        <f t="shared" si="4"/>
        <v>45635</v>
      </c>
      <c r="C315" s="114">
        <f>YEAR(MC_2[[#This Row],[Date]])+IF(MONTH(MC_2[[#This Row],[Date]])&gt;=4,1,0)</f>
        <v>2025</v>
      </c>
      <c r="D315" s="115">
        <f>YEAR(MC_2[[#This Row],[Date]])</f>
        <v>2024</v>
      </c>
      <c r="E315" s="112" t="s">
        <v>326</v>
      </c>
      <c r="F315" s="112" t="s">
        <v>326</v>
      </c>
      <c r="G315" s="116" t="str">
        <f>TEXT(MC_2[[#This Row],[Date]],"mmm-yy")</f>
        <v>Dec-24</v>
      </c>
      <c r="H315" s="116">
        <f>DAY(EOMONTH(MC_2[[#This Row],[Month Year]],0))</f>
        <v>31</v>
      </c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5">
        <f>SUM(MC_2[[#This Row],[IS1Inv1M1]:[IS9Inv19M2]])</f>
        <v>0</v>
      </c>
      <c r="BF315" s="119"/>
      <c r="BG315" s="119"/>
      <c r="BH315" s="119"/>
      <c r="BI315" s="119"/>
      <c r="BJ315" s="119"/>
      <c r="BK315" s="119"/>
      <c r="BL315" s="121"/>
    </row>
    <row r="316" spans="1:64">
      <c r="A316" s="119">
        <v>314</v>
      </c>
      <c r="B316" s="113">
        <f t="shared" si="4"/>
        <v>45636</v>
      </c>
      <c r="C316" s="114">
        <f>YEAR(MC_2[[#This Row],[Date]])+IF(MONTH(MC_2[[#This Row],[Date]])&gt;=4,1,0)</f>
        <v>2025</v>
      </c>
      <c r="D316" s="115">
        <f>YEAR(MC_2[[#This Row],[Date]])</f>
        <v>2024</v>
      </c>
      <c r="E316" s="112" t="s">
        <v>326</v>
      </c>
      <c r="F316" s="112" t="s">
        <v>326</v>
      </c>
      <c r="G316" s="116" t="str">
        <f>TEXT(MC_2[[#This Row],[Date]],"mmm-yy")</f>
        <v>Dec-24</v>
      </c>
      <c r="H316" s="116">
        <f>DAY(EOMONTH(MC_2[[#This Row],[Month Year]],0))</f>
        <v>31</v>
      </c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5">
        <f>SUM(MC_2[[#This Row],[IS1Inv1M1]:[IS9Inv19M2]])</f>
        <v>0</v>
      </c>
      <c r="BF316" s="119"/>
      <c r="BG316" s="119"/>
      <c r="BH316" s="119"/>
      <c r="BI316" s="119"/>
      <c r="BJ316" s="119"/>
      <c r="BK316" s="119"/>
      <c r="BL316" s="121"/>
    </row>
    <row r="317" spans="1:64">
      <c r="A317" s="119">
        <v>315</v>
      </c>
      <c r="B317" s="113">
        <f t="shared" si="4"/>
        <v>45637</v>
      </c>
      <c r="C317" s="114">
        <f>YEAR(MC_2[[#This Row],[Date]])+IF(MONTH(MC_2[[#This Row],[Date]])&gt;=4,1,0)</f>
        <v>2025</v>
      </c>
      <c r="D317" s="115">
        <f>YEAR(MC_2[[#This Row],[Date]])</f>
        <v>2024</v>
      </c>
      <c r="E317" s="112" t="s">
        <v>326</v>
      </c>
      <c r="F317" s="112" t="s">
        <v>326</v>
      </c>
      <c r="G317" s="116" t="str">
        <f>TEXT(MC_2[[#This Row],[Date]],"mmm-yy")</f>
        <v>Dec-24</v>
      </c>
      <c r="H317" s="116">
        <f>DAY(EOMONTH(MC_2[[#This Row],[Month Year]],0))</f>
        <v>31</v>
      </c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5">
        <f>SUM(MC_2[[#This Row],[IS1Inv1M1]:[IS9Inv19M2]])</f>
        <v>0</v>
      </c>
      <c r="BF317" s="119"/>
      <c r="BG317" s="119"/>
      <c r="BH317" s="119"/>
      <c r="BI317" s="119"/>
      <c r="BJ317" s="119"/>
      <c r="BK317" s="119"/>
      <c r="BL317" s="121"/>
    </row>
    <row r="318" spans="1:64">
      <c r="A318" s="119">
        <v>316</v>
      </c>
      <c r="B318" s="113">
        <f t="shared" si="4"/>
        <v>45638</v>
      </c>
      <c r="C318" s="114">
        <f>YEAR(MC_2[[#This Row],[Date]])+IF(MONTH(MC_2[[#This Row],[Date]])&gt;=4,1,0)</f>
        <v>2025</v>
      </c>
      <c r="D318" s="115">
        <f>YEAR(MC_2[[#This Row],[Date]])</f>
        <v>2024</v>
      </c>
      <c r="E318" s="112" t="s">
        <v>326</v>
      </c>
      <c r="F318" s="112" t="s">
        <v>326</v>
      </c>
      <c r="G318" s="116" t="str">
        <f>TEXT(MC_2[[#This Row],[Date]],"mmm-yy")</f>
        <v>Dec-24</v>
      </c>
      <c r="H318" s="116">
        <f>DAY(EOMONTH(MC_2[[#This Row],[Month Year]],0))</f>
        <v>31</v>
      </c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5">
        <f>SUM(MC_2[[#This Row],[IS1Inv1M1]:[IS9Inv19M2]])</f>
        <v>0</v>
      </c>
      <c r="BF318" s="119"/>
      <c r="BG318" s="119"/>
      <c r="BH318" s="119"/>
      <c r="BI318" s="119"/>
      <c r="BJ318" s="119"/>
      <c r="BK318" s="119"/>
      <c r="BL318" s="121"/>
    </row>
    <row r="319" spans="1:64">
      <c r="A319" s="119">
        <v>317</v>
      </c>
      <c r="B319" s="113">
        <f t="shared" si="4"/>
        <v>45639</v>
      </c>
      <c r="C319" s="114">
        <f>YEAR(MC_2[[#This Row],[Date]])+IF(MONTH(MC_2[[#This Row],[Date]])&gt;=4,1,0)</f>
        <v>2025</v>
      </c>
      <c r="D319" s="115">
        <f>YEAR(MC_2[[#This Row],[Date]])</f>
        <v>2024</v>
      </c>
      <c r="E319" s="112" t="s">
        <v>326</v>
      </c>
      <c r="F319" s="112" t="s">
        <v>326</v>
      </c>
      <c r="G319" s="116" t="str">
        <f>TEXT(MC_2[[#This Row],[Date]],"mmm-yy")</f>
        <v>Dec-24</v>
      </c>
      <c r="H319" s="116">
        <f>DAY(EOMONTH(MC_2[[#This Row],[Month Year]],0))</f>
        <v>31</v>
      </c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5">
        <f>SUM(MC_2[[#This Row],[IS1Inv1M1]:[IS9Inv19M2]])</f>
        <v>0</v>
      </c>
      <c r="BF319" s="119"/>
      <c r="BG319" s="119"/>
      <c r="BH319" s="119"/>
      <c r="BI319" s="119"/>
      <c r="BJ319" s="119"/>
      <c r="BK319" s="119"/>
      <c r="BL319" s="121"/>
    </row>
    <row r="320" spans="1:64">
      <c r="A320" s="119">
        <v>318</v>
      </c>
      <c r="B320" s="113">
        <f t="shared" si="4"/>
        <v>45640</v>
      </c>
      <c r="C320" s="114">
        <f>YEAR(MC_2[[#This Row],[Date]])+IF(MONTH(MC_2[[#This Row],[Date]])&gt;=4,1,0)</f>
        <v>2025</v>
      </c>
      <c r="D320" s="115">
        <f>YEAR(MC_2[[#This Row],[Date]])</f>
        <v>2024</v>
      </c>
      <c r="E320" s="112" t="s">
        <v>326</v>
      </c>
      <c r="F320" s="112" t="s">
        <v>326</v>
      </c>
      <c r="G320" s="116" t="str">
        <f>TEXT(MC_2[[#This Row],[Date]],"mmm-yy")</f>
        <v>Dec-24</v>
      </c>
      <c r="H320" s="116">
        <f>DAY(EOMONTH(MC_2[[#This Row],[Month Year]],0))</f>
        <v>31</v>
      </c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5">
        <f>SUM(MC_2[[#This Row],[IS1Inv1M1]:[IS9Inv19M2]])</f>
        <v>0</v>
      </c>
      <c r="BF320" s="119"/>
      <c r="BG320" s="119"/>
      <c r="BH320" s="119"/>
      <c r="BI320" s="119"/>
      <c r="BJ320" s="119"/>
      <c r="BK320" s="119"/>
      <c r="BL320" s="121"/>
    </row>
    <row r="321" spans="1:64">
      <c r="A321" s="119">
        <v>319</v>
      </c>
      <c r="B321" s="113">
        <f t="shared" si="4"/>
        <v>45641</v>
      </c>
      <c r="C321" s="114">
        <f>YEAR(MC_2[[#This Row],[Date]])+IF(MONTH(MC_2[[#This Row],[Date]])&gt;=4,1,0)</f>
        <v>2025</v>
      </c>
      <c r="D321" s="115">
        <f>YEAR(MC_2[[#This Row],[Date]])</f>
        <v>2024</v>
      </c>
      <c r="E321" s="112" t="s">
        <v>326</v>
      </c>
      <c r="F321" s="112" t="s">
        <v>326</v>
      </c>
      <c r="G321" s="116" t="str">
        <f>TEXT(MC_2[[#This Row],[Date]],"mmm-yy")</f>
        <v>Dec-24</v>
      </c>
      <c r="H321" s="116">
        <f>DAY(EOMONTH(MC_2[[#This Row],[Month Year]],0))</f>
        <v>31</v>
      </c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5">
        <f>SUM(MC_2[[#This Row],[IS1Inv1M1]:[IS9Inv19M2]])</f>
        <v>0</v>
      </c>
      <c r="BF321" s="119"/>
      <c r="BG321" s="119"/>
      <c r="BH321" s="119"/>
      <c r="BI321" s="119"/>
      <c r="BJ321" s="119"/>
      <c r="BK321" s="119"/>
      <c r="BL321" s="121"/>
    </row>
    <row r="322" spans="1:64">
      <c r="A322" s="119">
        <v>320</v>
      </c>
      <c r="B322" s="113">
        <f t="shared" si="4"/>
        <v>45642</v>
      </c>
      <c r="C322" s="114">
        <f>YEAR(MC_2[[#This Row],[Date]])+IF(MONTH(MC_2[[#This Row],[Date]])&gt;=4,1,0)</f>
        <v>2025</v>
      </c>
      <c r="D322" s="115">
        <f>YEAR(MC_2[[#This Row],[Date]])</f>
        <v>2024</v>
      </c>
      <c r="E322" s="112" t="s">
        <v>326</v>
      </c>
      <c r="F322" s="112" t="s">
        <v>326</v>
      </c>
      <c r="G322" s="116" t="str">
        <f>TEXT(MC_2[[#This Row],[Date]],"mmm-yy")</f>
        <v>Dec-24</v>
      </c>
      <c r="H322" s="116">
        <f>DAY(EOMONTH(MC_2[[#This Row],[Month Year]],0))</f>
        <v>31</v>
      </c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5">
        <f>SUM(MC_2[[#This Row],[IS1Inv1M1]:[IS9Inv19M2]])</f>
        <v>0</v>
      </c>
      <c r="BF322" s="119"/>
      <c r="BG322" s="119"/>
      <c r="BH322" s="119"/>
      <c r="BI322" s="119"/>
      <c r="BJ322" s="119"/>
      <c r="BK322" s="119"/>
      <c r="BL322" s="121"/>
    </row>
    <row r="323" spans="1:64">
      <c r="A323" s="119">
        <v>321</v>
      </c>
      <c r="B323" s="113">
        <f t="shared" si="4"/>
        <v>45643</v>
      </c>
      <c r="C323" s="114">
        <f>YEAR(MC_2[[#This Row],[Date]])+IF(MONTH(MC_2[[#This Row],[Date]])&gt;=4,1,0)</f>
        <v>2025</v>
      </c>
      <c r="D323" s="115">
        <f>YEAR(MC_2[[#This Row],[Date]])</f>
        <v>2024</v>
      </c>
      <c r="E323" s="112" t="s">
        <v>326</v>
      </c>
      <c r="F323" s="112" t="s">
        <v>326</v>
      </c>
      <c r="G323" s="116" t="str">
        <f>TEXT(MC_2[[#This Row],[Date]],"mmm-yy")</f>
        <v>Dec-24</v>
      </c>
      <c r="H323" s="116">
        <f>DAY(EOMONTH(MC_2[[#This Row],[Month Year]],0))</f>
        <v>31</v>
      </c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5">
        <f>SUM(MC_2[[#This Row],[IS1Inv1M1]:[IS9Inv19M2]])</f>
        <v>0</v>
      </c>
      <c r="BF323" s="119"/>
      <c r="BG323" s="119"/>
      <c r="BH323" s="119"/>
      <c r="BI323" s="119"/>
      <c r="BJ323" s="119"/>
      <c r="BK323" s="119"/>
      <c r="BL323" s="121"/>
    </row>
    <row r="324" spans="1:64">
      <c r="A324" s="119">
        <v>322</v>
      </c>
      <c r="B324" s="113">
        <f t="shared" si="4"/>
        <v>45644</v>
      </c>
      <c r="C324" s="114">
        <f>YEAR(MC_2[[#This Row],[Date]])+IF(MONTH(MC_2[[#This Row],[Date]])&gt;=4,1,0)</f>
        <v>2025</v>
      </c>
      <c r="D324" s="115">
        <f>YEAR(MC_2[[#This Row],[Date]])</f>
        <v>2024</v>
      </c>
      <c r="E324" s="112" t="s">
        <v>326</v>
      </c>
      <c r="F324" s="112" t="s">
        <v>326</v>
      </c>
      <c r="G324" s="116" t="str">
        <f>TEXT(MC_2[[#This Row],[Date]],"mmm-yy")</f>
        <v>Dec-24</v>
      </c>
      <c r="H324" s="116">
        <f>DAY(EOMONTH(MC_2[[#This Row],[Month Year]],0))</f>
        <v>31</v>
      </c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5">
        <f>SUM(MC_2[[#This Row],[IS1Inv1M1]:[IS9Inv19M2]])</f>
        <v>0</v>
      </c>
      <c r="BF324" s="119"/>
      <c r="BG324" s="119"/>
      <c r="BH324" s="119"/>
      <c r="BI324" s="119"/>
      <c r="BJ324" s="119"/>
      <c r="BK324" s="119"/>
      <c r="BL324" s="121"/>
    </row>
    <row r="325" spans="1:64">
      <c r="A325" s="119">
        <v>323</v>
      </c>
      <c r="B325" s="113">
        <f t="shared" ref="B325:B388" si="5">B324+1</f>
        <v>45645</v>
      </c>
      <c r="C325" s="114">
        <f>YEAR(MC_2[[#This Row],[Date]])+IF(MONTH(MC_2[[#This Row],[Date]])&gt;=4,1,0)</f>
        <v>2025</v>
      </c>
      <c r="D325" s="115">
        <f>YEAR(MC_2[[#This Row],[Date]])</f>
        <v>2024</v>
      </c>
      <c r="E325" s="112" t="s">
        <v>326</v>
      </c>
      <c r="F325" s="112" t="s">
        <v>326</v>
      </c>
      <c r="G325" s="116" t="str">
        <f>TEXT(MC_2[[#This Row],[Date]],"mmm-yy")</f>
        <v>Dec-24</v>
      </c>
      <c r="H325" s="116">
        <f>DAY(EOMONTH(MC_2[[#This Row],[Month Year]],0))</f>
        <v>31</v>
      </c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5">
        <f>SUM(MC_2[[#This Row],[IS1Inv1M1]:[IS9Inv19M2]])</f>
        <v>0</v>
      </c>
      <c r="BF325" s="119"/>
      <c r="BG325" s="119"/>
      <c r="BH325" s="119"/>
      <c r="BI325" s="119"/>
      <c r="BJ325" s="119"/>
      <c r="BK325" s="119"/>
      <c r="BL325" s="121"/>
    </row>
    <row r="326" spans="1:64">
      <c r="A326" s="119">
        <v>324</v>
      </c>
      <c r="B326" s="113">
        <f t="shared" si="5"/>
        <v>45646</v>
      </c>
      <c r="C326" s="114">
        <f>YEAR(MC_2[[#This Row],[Date]])+IF(MONTH(MC_2[[#This Row],[Date]])&gt;=4,1,0)</f>
        <v>2025</v>
      </c>
      <c r="D326" s="115">
        <f>YEAR(MC_2[[#This Row],[Date]])</f>
        <v>2024</v>
      </c>
      <c r="E326" s="112" t="s">
        <v>326</v>
      </c>
      <c r="F326" s="112" t="s">
        <v>326</v>
      </c>
      <c r="G326" s="116" t="str">
        <f>TEXT(MC_2[[#This Row],[Date]],"mmm-yy")</f>
        <v>Dec-24</v>
      </c>
      <c r="H326" s="116">
        <f>DAY(EOMONTH(MC_2[[#This Row],[Month Year]],0))</f>
        <v>31</v>
      </c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2"/>
      <c r="AN326" s="112"/>
      <c r="AO326" s="112"/>
      <c r="AP326" s="112"/>
      <c r="AQ326" s="112"/>
      <c r="AR326" s="112"/>
      <c r="AS326" s="112"/>
      <c r="AT326" s="112"/>
      <c r="AU326" s="112"/>
      <c r="AV326" s="112"/>
      <c r="AW326" s="112"/>
      <c r="AX326" s="112"/>
      <c r="AY326" s="112"/>
      <c r="AZ326" s="112"/>
      <c r="BA326" s="112"/>
      <c r="BB326" s="112"/>
      <c r="BC326" s="112"/>
      <c r="BD326" s="112"/>
      <c r="BE326" s="5">
        <f>SUM(MC_2[[#This Row],[IS1Inv1M1]:[IS9Inv19M2]])</f>
        <v>0</v>
      </c>
      <c r="BF326" s="119"/>
      <c r="BG326" s="119"/>
      <c r="BH326" s="119"/>
      <c r="BI326" s="119"/>
      <c r="BJ326" s="119"/>
      <c r="BK326" s="119"/>
      <c r="BL326" s="121"/>
    </row>
    <row r="327" spans="1:64">
      <c r="A327" s="119">
        <v>325</v>
      </c>
      <c r="B327" s="113">
        <f t="shared" si="5"/>
        <v>45647</v>
      </c>
      <c r="C327" s="114">
        <f>YEAR(MC_2[[#This Row],[Date]])+IF(MONTH(MC_2[[#This Row],[Date]])&gt;=4,1,0)</f>
        <v>2025</v>
      </c>
      <c r="D327" s="115">
        <f>YEAR(MC_2[[#This Row],[Date]])</f>
        <v>2024</v>
      </c>
      <c r="E327" s="112" t="s">
        <v>326</v>
      </c>
      <c r="F327" s="112" t="s">
        <v>326</v>
      </c>
      <c r="G327" s="116" t="str">
        <f>TEXT(MC_2[[#This Row],[Date]],"mmm-yy")</f>
        <v>Dec-24</v>
      </c>
      <c r="H327" s="116">
        <f>DAY(EOMONTH(MC_2[[#This Row],[Month Year]],0))</f>
        <v>31</v>
      </c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5">
        <f>SUM(MC_2[[#This Row],[IS1Inv1M1]:[IS9Inv19M2]])</f>
        <v>0</v>
      </c>
      <c r="BF327" s="119"/>
      <c r="BG327" s="119"/>
      <c r="BH327" s="119"/>
      <c r="BI327" s="119"/>
      <c r="BJ327" s="119"/>
      <c r="BK327" s="119"/>
      <c r="BL327" s="121"/>
    </row>
    <row r="328" spans="1:64">
      <c r="A328" s="119">
        <v>326</v>
      </c>
      <c r="B328" s="113">
        <f t="shared" si="5"/>
        <v>45648</v>
      </c>
      <c r="C328" s="114">
        <f>YEAR(MC_2[[#This Row],[Date]])+IF(MONTH(MC_2[[#This Row],[Date]])&gt;=4,1,0)</f>
        <v>2025</v>
      </c>
      <c r="D328" s="115">
        <f>YEAR(MC_2[[#This Row],[Date]])</f>
        <v>2024</v>
      </c>
      <c r="E328" s="112" t="s">
        <v>326</v>
      </c>
      <c r="F328" s="112" t="s">
        <v>326</v>
      </c>
      <c r="G328" s="116" t="str">
        <f>TEXT(MC_2[[#This Row],[Date]],"mmm-yy")</f>
        <v>Dec-24</v>
      </c>
      <c r="H328" s="116">
        <f>DAY(EOMONTH(MC_2[[#This Row],[Month Year]],0))</f>
        <v>31</v>
      </c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5">
        <f>SUM(MC_2[[#This Row],[IS1Inv1M1]:[IS9Inv19M2]])</f>
        <v>0</v>
      </c>
      <c r="BF328" s="119"/>
      <c r="BG328" s="119"/>
      <c r="BH328" s="119"/>
      <c r="BI328" s="119"/>
      <c r="BJ328" s="119"/>
      <c r="BK328" s="119"/>
      <c r="BL328" s="121"/>
    </row>
    <row r="329" spans="1:64">
      <c r="A329" s="119">
        <v>327</v>
      </c>
      <c r="B329" s="113">
        <f t="shared" si="5"/>
        <v>45649</v>
      </c>
      <c r="C329" s="114">
        <f>YEAR(MC_2[[#This Row],[Date]])+IF(MONTH(MC_2[[#This Row],[Date]])&gt;=4,1,0)</f>
        <v>2025</v>
      </c>
      <c r="D329" s="115">
        <f>YEAR(MC_2[[#This Row],[Date]])</f>
        <v>2024</v>
      </c>
      <c r="E329" s="112" t="s">
        <v>326</v>
      </c>
      <c r="F329" s="112" t="s">
        <v>326</v>
      </c>
      <c r="G329" s="116" t="str">
        <f>TEXT(MC_2[[#This Row],[Date]],"mmm-yy")</f>
        <v>Dec-24</v>
      </c>
      <c r="H329" s="116">
        <f>DAY(EOMONTH(MC_2[[#This Row],[Month Year]],0))</f>
        <v>31</v>
      </c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5">
        <f>SUM(MC_2[[#This Row],[IS1Inv1M1]:[IS9Inv19M2]])</f>
        <v>0</v>
      </c>
      <c r="BF329" s="119"/>
      <c r="BG329" s="119"/>
      <c r="BH329" s="119"/>
      <c r="BI329" s="119"/>
      <c r="BJ329" s="119"/>
      <c r="BK329" s="119"/>
      <c r="BL329" s="121"/>
    </row>
    <row r="330" spans="1:64">
      <c r="A330" s="119">
        <v>328</v>
      </c>
      <c r="B330" s="113">
        <f t="shared" si="5"/>
        <v>45650</v>
      </c>
      <c r="C330" s="114">
        <f>YEAR(MC_2[[#This Row],[Date]])+IF(MONTH(MC_2[[#This Row],[Date]])&gt;=4,1,0)</f>
        <v>2025</v>
      </c>
      <c r="D330" s="115">
        <f>YEAR(MC_2[[#This Row],[Date]])</f>
        <v>2024</v>
      </c>
      <c r="E330" s="112" t="s">
        <v>326</v>
      </c>
      <c r="F330" s="112" t="s">
        <v>326</v>
      </c>
      <c r="G330" s="116" t="str">
        <f>TEXT(MC_2[[#This Row],[Date]],"mmm-yy")</f>
        <v>Dec-24</v>
      </c>
      <c r="H330" s="116">
        <f>DAY(EOMONTH(MC_2[[#This Row],[Month Year]],0))</f>
        <v>31</v>
      </c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5">
        <f>SUM(MC_2[[#This Row],[IS1Inv1M1]:[IS9Inv19M2]])</f>
        <v>0</v>
      </c>
      <c r="BF330" s="119"/>
      <c r="BG330" s="119"/>
      <c r="BH330" s="119"/>
      <c r="BI330" s="119"/>
      <c r="BJ330" s="119"/>
      <c r="BK330" s="119"/>
      <c r="BL330" s="121"/>
    </row>
    <row r="331" spans="1:64">
      <c r="A331" s="119">
        <v>329</v>
      </c>
      <c r="B331" s="113">
        <f t="shared" si="5"/>
        <v>45651</v>
      </c>
      <c r="C331" s="114">
        <f>YEAR(MC_2[[#This Row],[Date]])+IF(MONTH(MC_2[[#This Row],[Date]])&gt;=4,1,0)</f>
        <v>2025</v>
      </c>
      <c r="D331" s="115">
        <f>YEAR(MC_2[[#This Row],[Date]])</f>
        <v>2024</v>
      </c>
      <c r="E331" s="112" t="s">
        <v>326</v>
      </c>
      <c r="F331" s="112" t="s">
        <v>326</v>
      </c>
      <c r="G331" s="116" t="str">
        <f>TEXT(MC_2[[#This Row],[Date]],"mmm-yy")</f>
        <v>Dec-24</v>
      </c>
      <c r="H331" s="116">
        <f>DAY(EOMONTH(MC_2[[#This Row],[Month Year]],0))</f>
        <v>31</v>
      </c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5">
        <f>SUM(MC_2[[#This Row],[IS1Inv1M1]:[IS9Inv19M2]])</f>
        <v>0</v>
      </c>
      <c r="BF331" s="119"/>
      <c r="BG331" s="119"/>
      <c r="BH331" s="119"/>
      <c r="BI331" s="119"/>
      <c r="BJ331" s="119"/>
      <c r="BK331" s="119"/>
      <c r="BL331" s="121"/>
    </row>
    <row r="332" spans="1:64">
      <c r="A332" s="119">
        <v>330</v>
      </c>
      <c r="B332" s="113">
        <f t="shared" si="5"/>
        <v>45652</v>
      </c>
      <c r="C332" s="114">
        <f>YEAR(MC_2[[#This Row],[Date]])+IF(MONTH(MC_2[[#This Row],[Date]])&gt;=4,1,0)</f>
        <v>2025</v>
      </c>
      <c r="D332" s="115">
        <f>YEAR(MC_2[[#This Row],[Date]])</f>
        <v>2024</v>
      </c>
      <c r="E332" s="112" t="s">
        <v>326</v>
      </c>
      <c r="F332" s="112" t="s">
        <v>326</v>
      </c>
      <c r="G332" s="116" t="str">
        <f>TEXT(MC_2[[#This Row],[Date]],"mmm-yy")</f>
        <v>Dec-24</v>
      </c>
      <c r="H332" s="116">
        <f>DAY(EOMONTH(MC_2[[#This Row],[Month Year]],0))</f>
        <v>31</v>
      </c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5">
        <f>SUM(MC_2[[#This Row],[IS1Inv1M1]:[IS9Inv19M2]])</f>
        <v>0</v>
      </c>
      <c r="BF332" s="119"/>
      <c r="BG332" s="119"/>
      <c r="BH332" s="119"/>
      <c r="BI332" s="119"/>
      <c r="BJ332" s="119"/>
      <c r="BK332" s="119"/>
      <c r="BL332" s="121"/>
    </row>
    <row r="333" spans="1:64">
      <c r="A333" s="119">
        <v>331</v>
      </c>
      <c r="B333" s="113">
        <f t="shared" si="5"/>
        <v>45653</v>
      </c>
      <c r="C333" s="114">
        <f>YEAR(MC_2[[#This Row],[Date]])+IF(MONTH(MC_2[[#This Row],[Date]])&gt;=4,1,0)</f>
        <v>2025</v>
      </c>
      <c r="D333" s="115">
        <f>YEAR(MC_2[[#This Row],[Date]])</f>
        <v>2024</v>
      </c>
      <c r="E333" s="112" t="s">
        <v>326</v>
      </c>
      <c r="F333" s="112" t="s">
        <v>326</v>
      </c>
      <c r="G333" s="116" t="str">
        <f>TEXT(MC_2[[#This Row],[Date]],"mmm-yy")</f>
        <v>Dec-24</v>
      </c>
      <c r="H333" s="116">
        <f>DAY(EOMONTH(MC_2[[#This Row],[Month Year]],0))</f>
        <v>31</v>
      </c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5">
        <f>SUM(MC_2[[#This Row],[IS1Inv1M1]:[IS9Inv19M2]])</f>
        <v>0</v>
      </c>
      <c r="BF333" s="119"/>
      <c r="BG333" s="119"/>
      <c r="BH333" s="119"/>
      <c r="BI333" s="119"/>
      <c r="BJ333" s="119"/>
      <c r="BK333" s="119"/>
      <c r="BL333" s="121"/>
    </row>
    <row r="334" spans="1:64">
      <c r="A334" s="119">
        <v>332</v>
      </c>
      <c r="B334" s="113">
        <f t="shared" si="5"/>
        <v>45654</v>
      </c>
      <c r="C334" s="114">
        <f>YEAR(MC_2[[#This Row],[Date]])+IF(MONTH(MC_2[[#This Row],[Date]])&gt;=4,1,0)</f>
        <v>2025</v>
      </c>
      <c r="D334" s="115">
        <f>YEAR(MC_2[[#This Row],[Date]])</f>
        <v>2024</v>
      </c>
      <c r="E334" s="112" t="s">
        <v>326</v>
      </c>
      <c r="F334" s="112" t="s">
        <v>326</v>
      </c>
      <c r="G334" s="116" t="str">
        <f>TEXT(MC_2[[#This Row],[Date]],"mmm-yy")</f>
        <v>Dec-24</v>
      </c>
      <c r="H334" s="116">
        <f>DAY(EOMONTH(MC_2[[#This Row],[Month Year]],0))</f>
        <v>31</v>
      </c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5">
        <f>SUM(MC_2[[#This Row],[IS1Inv1M1]:[IS9Inv19M2]])</f>
        <v>0</v>
      </c>
      <c r="BF334" s="119"/>
      <c r="BG334" s="119"/>
      <c r="BH334" s="119"/>
      <c r="BI334" s="119"/>
      <c r="BJ334" s="119"/>
      <c r="BK334" s="119"/>
      <c r="BL334" s="121"/>
    </row>
    <row r="335" spans="1:64">
      <c r="A335" s="119">
        <v>333</v>
      </c>
      <c r="B335" s="113">
        <f t="shared" si="5"/>
        <v>45655</v>
      </c>
      <c r="C335" s="114">
        <f>YEAR(MC_2[[#This Row],[Date]])+IF(MONTH(MC_2[[#This Row],[Date]])&gt;=4,1,0)</f>
        <v>2025</v>
      </c>
      <c r="D335" s="115">
        <f>YEAR(MC_2[[#This Row],[Date]])</f>
        <v>2024</v>
      </c>
      <c r="E335" s="112" t="s">
        <v>326</v>
      </c>
      <c r="F335" s="112" t="s">
        <v>326</v>
      </c>
      <c r="G335" s="116" t="str">
        <f>TEXT(MC_2[[#This Row],[Date]],"mmm-yy")</f>
        <v>Dec-24</v>
      </c>
      <c r="H335" s="116">
        <f>DAY(EOMONTH(MC_2[[#This Row],[Month Year]],0))</f>
        <v>31</v>
      </c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5">
        <f>SUM(MC_2[[#This Row],[IS1Inv1M1]:[IS9Inv19M2]])</f>
        <v>0</v>
      </c>
      <c r="BF335" s="119"/>
      <c r="BG335" s="119"/>
      <c r="BH335" s="119"/>
      <c r="BI335" s="119"/>
      <c r="BJ335" s="119"/>
      <c r="BK335" s="119"/>
      <c r="BL335" s="121"/>
    </row>
    <row r="336" spans="1:64">
      <c r="A336" s="119">
        <v>334</v>
      </c>
      <c r="B336" s="113">
        <f t="shared" si="5"/>
        <v>45656</v>
      </c>
      <c r="C336" s="114">
        <f>YEAR(MC_2[[#This Row],[Date]])+IF(MONTH(MC_2[[#This Row],[Date]])&gt;=4,1,0)</f>
        <v>2025</v>
      </c>
      <c r="D336" s="115">
        <f>YEAR(MC_2[[#This Row],[Date]])</f>
        <v>2024</v>
      </c>
      <c r="E336" s="112" t="s">
        <v>326</v>
      </c>
      <c r="F336" s="112" t="s">
        <v>326</v>
      </c>
      <c r="G336" s="116" t="str">
        <f>TEXT(MC_2[[#This Row],[Date]],"mmm-yy")</f>
        <v>Dec-24</v>
      </c>
      <c r="H336" s="116">
        <f>DAY(EOMONTH(MC_2[[#This Row],[Month Year]],0))</f>
        <v>31</v>
      </c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5">
        <f>SUM(MC_2[[#This Row],[IS1Inv1M1]:[IS9Inv19M2]])</f>
        <v>0</v>
      </c>
      <c r="BF336" s="119"/>
      <c r="BG336" s="119"/>
      <c r="BH336" s="119"/>
      <c r="BI336" s="119"/>
      <c r="BJ336" s="119"/>
      <c r="BK336" s="119"/>
      <c r="BL336" s="121"/>
    </row>
    <row r="337" spans="1:64">
      <c r="A337" s="119">
        <v>335</v>
      </c>
      <c r="B337" s="113">
        <f t="shared" si="5"/>
        <v>45657</v>
      </c>
      <c r="C337" s="114">
        <f>YEAR(MC_2[[#This Row],[Date]])+IF(MONTH(MC_2[[#This Row],[Date]])&gt;=4,1,0)</f>
        <v>2025</v>
      </c>
      <c r="D337" s="115">
        <f>YEAR(MC_2[[#This Row],[Date]])</f>
        <v>2024</v>
      </c>
      <c r="E337" s="112" t="s">
        <v>326</v>
      </c>
      <c r="F337" s="112" t="s">
        <v>326</v>
      </c>
      <c r="G337" s="116" t="str">
        <f>TEXT(MC_2[[#This Row],[Date]],"mmm-yy")</f>
        <v>Dec-24</v>
      </c>
      <c r="H337" s="116">
        <f>DAY(EOMONTH(MC_2[[#This Row],[Month Year]],0))</f>
        <v>31</v>
      </c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5">
        <f>SUM(MC_2[[#This Row],[IS1Inv1M1]:[IS9Inv19M2]])</f>
        <v>0</v>
      </c>
      <c r="BF337" s="119"/>
      <c r="BG337" s="119"/>
      <c r="BH337" s="119"/>
      <c r="BI337" s="119"/>
      <c r="BJ337" s="119"/>
      <c r="BK337" s="119"/>
      <c r="BL337" s="121"/>
    </row>
    <row r="338" spans="1:64">
      <c r="A338" s="119">
        <v>336</v>
      </c>
      <c r="B338" s="113">
        <f t="shared" si="5"/>
        <v>45658</v>
      </c>
      <c r="C338" s="114">
        <f>YEAR(MC_2[[#This Row],[Date]])+IF(MONTH(MC_2[[#This Row],[Date]])&gt;=4,1,0)</f>
        <v>2025</v>
      </c>
      <c r="D338" s="115">
        <f>YEAR(MC_2[[#This Row],[Date]])</f>
        <v>2025</v>
      </c>
      <c r="E338" s="112" t="s">
        <v>326</v>
      </c>
      <c r="F338" s="112" t="s">
        <v>326</v>
      </c>
      <c r="G338" s="116" t="str">
        <f>TEXT(MC_2[[#This Row],[Date]],"mmm-yy")</f>
        <v>Jan-25</v>
      </c>
      <c r="H338" s="116">
        <f>DAY(EOMONTH(MC_2[[#This Row],[Month Year]],0))</f>
        <v>31</v>
      </c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5">
        <f>SUM(MC_2[[#This Row],[IS1Inv1M1]:[IS9Inv19M2]])</f>
        <v>0</v>
      </c>
      <c r="BF338" s="119"/>
      <c r="BG338" s="119"/>
      <c r="BH338" s="119"/>
      <c r="BI338" s="119"/>
      <c r="BJ338" s="119"/>
      <c r="BK338" s="119"/>
      <c r="BL338" s="121"/>
    </row>
    <row r="339" spans="1:64">
      <c r="A339" s="119">
        <v>337</v>
      </c>
      <c r="B339" s="113">
        <f t="shared" si="5"/>
        <v>45659</v>
      </c>
      <c r="C339" s="114">
        <f>YEAR(MC_2[[#This Row],[Date]])+IF(MONTH(MC_2[[#This Row],[Date]])&gt;=4,1,0)</f>
        <v>2025</v>
      </c>
      <c r="D339" s="115">
        <f>YEAR(MC_2[[#This Row],[Date]])</f>
        <v>2025</v>
      </c>
      <c r="E339" s="112" t="s">
        <v>326</v>
      </c>
      <c r="F339" s="112" t="s">
        <v>326</v>
      </c>
      <c r="G339" s="116" t="str">
        <f>TEXT(MC_2[[#This Row],[Date]],"mmm-yy")</f>
        <v>Jan-25</v>
      </c>
      <c r="H339" s="116">
        <f>DAY(EOMONTH(MC_2[[#This Row],[Month Year]],0))</f>
        <v>31</v>
      </c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5">
        <f>SUM(MC_2[[#This Row],[IS1Inv1M1]:[IS9Inv19M2]])</f>
        <v>0</v>
      </c>
      <c r="BF339" s="119"/>
      <c r="BG339" s="119"/>
      <c r="BH339" s="119"/>
      <c r="BI339" s="119"/>
      <c r="BJ339" s="119"/>
      <c r="BK339" s="119"/>
      <c r="BL339" s="121"/>
    </row>
    <row r="340" spans="1:64">
      <c r="A340" s="119">
        <v>338</v>
      </c>
      <c r="B340" s="113">
        <f t="shared" si="5"/>
        <v>45660</v>
      </c>
      <c r="C340" s="114">
        <f>YEAR(MC_2[[#This Row],[Date]])+IF(MONTH(MC_2[[#This Row],[Date]])&gt;=4,1,0)</f>
        <v>2025</v>
      </c>
      <c r="D340" s="115">
        <f>YEAR(MC_2[[#This Row],[Date]])</f>
        <v>2025</v>
      </c>
      <c r="E340" s="112" t="s">
        <v>326</v>
      </c>
      <c r="F340" s="112" t="s">
        <v>326</v>
      </c>
      <c r="G340" s="116" t="str">
        <f>TEXT(MC_2[[#This Row],[Date]],"mmm-yy")</f>
        <v>Jan-25</v>
      </c>
      <c r="H340" s="116">
        <f>DAY(EOMONTH(MC_2[[#This Row],[Month Year]],0))</f>
        <v>31</v>
      </c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5">
        <f>SUM(MC_2[[#This Row],[IS1Inv1M1]:[IS9Inv19M2]])</f>
        <v>0</v>
      </c>
      <c r="BF340" s="119"/>
      <c r="BG340" s="119"/>
      <c r="BH340" s="119"/>
      <c r="BI340" s="119"/>
      <c r="BJ340" s="119"/>
      <c r="BK340" s="119"/>
      <c r="BL340" s="121"/>
    </row>
    <row r="341" spans="1:64">
      <c r="A341" s="119">
        <v>339</v>
      </c>
      <c r="B341" s="113">
        <f t="shared" si="5"/>
        <v>45661</v>
      </c>
      <c r="C341" s="114">
        <f>YEAR(MC_2[[#This Row],[Date]])+IF(MONTH(MC_2[[#This Row],[Date]])&gt;=4,1,0)</f>
        <v>2025</v>
      </c>
      <c r="D341" s="115">
        <f>YEAR(MC_2[[#This Row],[Date]])</f>
        <v>2025</v>
      </c>
      <c r="E341" s="112" t="s">
        <v>326</v>
      </c>
      <c r="F341" s="112" t="s">
        <v>326</v>
      </c>
      <c r="G341" s="116" t="str">
        <f>TEXT(MC_2[[#This Row],[Date]],"mmm-yy")</f>
        <v>Jan-25</v>
      </c>
      <c r="H341" s="116">
        <f>DAY(EOMONTH(MC_2[[#This Row],[Month Year]],0))</f>
        <v>31</v>
      </c>
      <c r="I341" s="119"/>
      <c r="J341" s="119"/>
      <c r="K341" s="119"/>
      <c r="L341" s="119"/>
      <c r="M341" s="119"/>
      <c r="N341" s="119"/>
      <c r="O341" s="119">
        <v>9</v>
      </c>
      <c r="P341" s="119">
        <v>9</v>
      </c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19"/>
      <c r="AQ341" s="119"/>
      <c r="AR341" s="119"/>
      <c r="AS341" s="119"/>
      <c r="AT341" s="119"/>
      <c r="AU341" s="119"/>
      <c r="AV341" s="119"/>
      <c r="AW341" s="119"/>
      <c r="AX341" s="119"/>
      <c r="AY341" s="119"/>
      <c r="AZ341" s="119"/>
      <c r="BA341" s="119"/>
      <c r="BB341" s="119"/>
      <c r="BC341" s="119"/>
      <c r="BD341" s="119"/>
      <c r="BE341" s="5">
        <f>SUM(MC_2[[#This Row],[IS1Inv1M1]:[IS9Inv19M2]])</f>
        <v>18</v>
      </c>
      <c r="BF341" s="119"/>
      <c r="BG341" s="119"/>
      <c r="BH341" s="119"/>
      <c r="BI341" s="119"/>
      <c r="BJ341" s="119"/>
      <c r="BK341" s="119"/>
      <c r="BL341" s="121"/>
    </row>
    <row r="342" spans="1:64">
      <c r="A342" s="119">
        <v>340</v>
      </c>
      <c r="B342" s="113">
        <f t="shared" si="5"/>
        <v>45662</v>
      </c>
      <c r="C342" s="114">
        <f>YEAR(MC_2[[#This Row],[Date]])+IF(MONTH(MC_2[[#This Row],[Date]])&gt;=4,1,0)</f>
        <v>2025</v>
      </c>
      <c r="D342" s="115">
        <f>YEAR(MC_2[[#This Row],[Date]])</f>
        <v>2025</v>
      </c>
      <c r="E342" s="112" t="s">
        <v>326</v>
      </c>
      <c r="F342" s="112" t="s">
        <v>326</v>
      </c>
      <c r="G342" s="116" t="str">
        <f>TEXT(MC_2[[#This Row],[Date]],"mmm-yy")</f>
        <v>Jan-25</v>
      </c>
      <c r="H342" s="116">
        <f>DAY(EOMONTH(MC_2[[#This Row],[Month Year]],0))</f>
        <v>31</v>
      </c>
      <c r="I342" s="119"/>
      <c r="J342" s="119"/>
      <c r="K342" s="119"/>
      <c r="L342" s="119"/>
      <c r="M342" s="119"/>
      <c r="N342" s="119"/>
      <c r="O342" s="119"/>
      <c r="P342" s="119">
        <v>12</v>
      </c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5">
        <f>SUM(MC_2[[#This Row],[IS1Inv1M1]:[IS9Inv19M2]])</f>
        <v>12</v>
      </c>
      <c r="BF342" s="119"/>
      <c r="BG342" s="119"/>
      <c r="BH342" s="119"/>
      <c r="BI342" s="119"/>
      <c r="BJ342" s="119"/>
      <c r="BK342" s="119"/>
      <c r="BL342" s="121"/>
    </row>
    <row r="343" spans="1:64">
      <c r="A343" s="119">
        <v>341</v>
      </c>
      <c r="B343" s="113">
        <f t="shared" si="5"/>
        <v>45663</v>
      </c>
      <c r="C343" s="114">
        <f>YEAR(MC_2[[#This Row],[Date]])+IF(MONTH(MC_2[[#This Row],[Date]])&gt;=4,1,0)</f>
        <v>2025</v>
      </c>
      <c r="D343" s="115">
        <f>YEAR(MC_2[[#This Row],[Date]])</f>
        <v>2025</v>
      </c>
      <c r="E343" s="112" t="s">
        <v>326</v>
      </c>
      <c r="F343" s="112" t="s">
        <v>326</v>
      </c>
      <c r="G343" s="116" t="str">
        <f>TEXT(MC_2[[#This Row],[Date]],"mmm-yy")</f>
        <v>Jan-25</v>
      </c>
      <c r="H343" s="116">
        <f>DAY(EOMONTH(MC_2[[#This Row],[Month Year]],0))</f>
        <v>31</v>
      </c>
      <c r="I343" s="119"/>
      <c r="J343" s="119"/>
      <c r="K343" s="119"/>
      <c r="L343" s="119"/>
      <c r="M343" s="119"/>
      <c r="N343" s="119"/>
      <c r="O343" s="119"/>
      <c r="P343" s="119">
        <v>19</v>
      </c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2"/>
      <c r="AN343" s="112"/>
      <c r="AO343" s="112"/>
      <c r="AP343" s="112"/>
      <c r="AQ343" s="112"/>
      <c r="AR343" s="112"/>
      <c r="AS343" s="112"/>
      <c r="AT343" s="112"/>
      <c r="AU343" s="112"/>
      <c r="AV343" s="112"/>
      <c r="AW343" s="112"/>
      <c r="AX343" s="112"/>
      <c r="AY343" s="112"/>
      <c r="AZ343" s="112"/>
      <c r="BA343" s="112"/>
      <c r="BB343" s="112"/>
      <c r="BC343" s="112"/>
      <c r="BD343" s="112"/>
      <c r="BE343" s="5">
        <f>SUM(MC_2[[#This Row],[IS1Inv1M1]:[IS9Inv19M2]])</f>
        <v>19</v>
      </c>
      <c r="BF343" s="119"/>
      <c r="BG343" s="119"/>
      <c r="BH343" s="119"/>
      <c r="BI343" s="119"/>
      <c r="BJ343" s="119"/>
      <c r="BK343" s="119"/>
      <c r="BL343" s="121"/>
    </row>
    <row r="344" spans="1:64">
      <c r="A344" s="119">
        <v>342</v>
      </c>
      <c r="B344" s="113">
        <f t="shared" si="5"/>
        <v>45664</v>
      </c>
      <c r="C344" s="114">
        <f>YEAR(MC_2[[#This Row],[Date]])+IF(MONTH(MC_2[[#This Row],[Date]])&gt;=4,1,0)</f>
        <v>2025</v>
      </c>
      <c r="D344" s="115">
        <f>YEAR(MC_2[[#This Row],[Date]])</f>
        <v>2025</v>
      </c>
      <c r="E344" s="112" t="s">
        <v>326</v>
      </c>
      <c r="F344" s="112" t="s">
        <v>326</v>
      </c>
      <c r="G344" s="116" t="str">
        <f>TEXT(MC_2[[#This Row],[Date]],"mmm-yy")</f>
        <v>Jan-25</v>
      </c>
      <c r="H344" s="116">
        <f>DAY(EOMONTH(MC_2[[#This Row],[Month Year]],0))</f>
        <v>31</v>
      </c>
      <c r="I344" s="119"/>
      <c r="J344" s="119"/>
      <c r="K344" s="119"/>
      <c r="L344" s="119"/>
      <c r="M344" s="119"/>
      <c r="N344" s="119"/>
      <c r="O344" s="119"/>
      <c r="P344" s="119"/>
      <c r="Q344" s="119">
        <v>20</v>
      </c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5">
        <f>SUM(MC_2[[#This Row],[IS1Inv1M1]:[IS9Inv19M2]])</f>
        <v>20</v>
      </c>
      <c r="BF344" s="119"/>
      <c r="BG344" s="119"/>
      <c r="BH344" s="119"/>
      <c r="BI344" s="119"/>
      <c r="BJ344" s="119"/>
      <c r="BK344" s="119"/>
      <c r="BL344" s="121"/>
    </row>
    <row r="345" spans="1:64">
      <c r="A345" s="119">
        <v>343</v>
      </c>
      <c r="B345" s="113">
        <f t="shared" si="5"/>
        <v>45665</v>
      </c>
      <c r="C345" s="114">
        <f>YEAR(MC_2[[#This Row],[Date]])+IF(MONTH(MC_2[[#This Row],[Date]])&gt;=4,1,0)</f>
        <v>2025</v>
      </c>
      <c r="D345" s="115">
        <f>YEAR(MC_2[[#This Row],[Date]])</f>
        <v>2025</v>
      </c>
      <c r="E345" s="112" t="s">
        <v>326</v>
      </c>
      <c r="F345" s="112" t="s">
        <v>326</v>
      </c>
      <c r="G345" s="116" t="str">
        <f>TEXT(MC_2[[#This Row],[Date]],"mmm-yy")</f>
        <v>Jan-25</v>
      </c>
      <c r="H345" s="116">
        <f>DAY(EOMONTH(MC_2[[#This Row],[Month Year]],0))</f>
        <v>31</v>
      </c>
      <c r="I345" s="119"/>
      <c r="J345" s="119"/>
      <c r="K345" s="119">
        <v>8</v>
      </c>
      <c r="L345" s="119"/>
      <c r="M345" s="119"/>
      <c r="N345" s="119"/>
      <c r="O345" s="119"/>
      <c r="P345" s="119"/>
      <c r="Q345" s="119"/>
      <c r="R345" s="119">
        <v>10</v>
      </c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5">
        <f>SUM(MC_2[[#This Row],[IS1Inv1M1]:[IS9Inv19M2]])</f>
        <v>18</v>
      </c>
      <c r="BF345" s="119"/>
      <c r="BG345" s="119"/>
      <c r="BH345" s="119"/>
      <c r="BI345" s="119"/>
      <c r="BJ345" s="119"/>
      <c r="BK345" s="119"/>
      <c r="BL345" s="121"/>
    </row>
    <row r="346" spans="1:64">
      <c r="A346" s="119">
        <v>344</v>
      </c>
      <c r="B346" s="113">
        <f t="shared" si="5"/>
        <v>45666</v>
      </c>
      <c r="C346" s="114">
        <f>YEAR(MC_2[[#This Row],[Date]])+IF(MONTH(MC_2[[#This Row],[Date]])&gt;=4,1,0)</f>
        <v>2025</v>
      </c>
      <c r="D346" s="115">
        <f>YEAR(MC_2[[#This Row],[Date]])</f>
        <v>2025</v>
      </c>
      <c r="E346" s="112" t="s">
        <v>326</v>
      </c>
      <c r="F346" s="112" t="s">
        <v>326</v>
      </c>
      <c r="G346" s="116" t="str">
        <f>TEXT(MC_2[[#This Row],[Date]],"mmm-yy")</f>
        <v>Jan-25</v>
      </c>
      <c r="H346" s="116">
        <f>DAY(EOMONTH(MC_2[[#This Row],[Month Year]],0))</f>
        <v>31</v>
      </c>
      <c r="I346" s="119"/>
      <c r="J346" s="119"/>
      <c r="K346" s="119"/>
      <c r="L346" s="119"/>
      <c r="M346" s="119"/>
      <c r="N346" s="119"/>
      <c r="O346" s="119"/>
      <c r="P346" s="119">
        <v>9</v>
      </c>
      <c r="Q346" s="119"/>
      <c r="R346" s="119">
        <v>33</v>
      </c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5">
        <f>SUM(MC_2[[#This Row],[IS1Inv1M1]:[IS9Inv19M2]])</f>
        <v>42</v>
      </c>
      <c r="BF346" s="119"/>
      <c r="BG346" s="119"/>
      <c r="BH346" s="119"/>
      <c r="BI346" s="119"/>
      <c r="BJ346" s="119"/>
      <c r="BK346" s="119"/>
      <c r="BL346" s="121"/>
    </row>
    <row r="347" spans="1:64">
      <c r="A347" s="119">
        <v>345</v>
      </c>
      <c r="B347" s="113">
        <f t="shared" si="5"/>
        <v>45667</v>
      </c>
      <c r="C347" s="114">
        <f>YEAR(MC_2[[#This Row],[Date]])+IF(MONTH(MC_2[[#This Row],[Date]])&gt;=4,1,0)</f>
        <v>2025</v>
      </c>
      <c r="D347" s="115">
        <f>YEAR(MC_2[[#This Row],[Date]])</f>
        <v>2025</v>
      </c>
      <c r="E347" s="112" t="s">
        <v>326</v>
      </c>
      <c r="F347" s="112" t="s">
        <v>326</v>
      </c>
      <c r="G347" s="116" t="str">
        <f>TEXT(MC_2[[#This Row],[Date]],"mmm-yy")</f>
        <v>Jan-25</v>
      </c>
      <c r="H347" s="116">
        <f>DAY(EOMONTH(MC_2[[#This Row],[Month Year]],0))</f>
        <v>31</v>
      </c>
      <c r="I347" s="119"/>
      <c r="J347" s="119"/>
      <c r="K347" s="119">
        <v>42</v>
      </c>
      <c r="L347" s="119">
        <v>8</v>
      </c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5">
        <f>SUM(MC_2[[#This Row],[IS1Inv1M1]:[IS9Inv19M2]])</f>
        <v>50</v>
      </c>
      <c r="BF347" s="119"/>
      <c r="BG347" s="119"/>
      <c r="BH347" s="119"/>
      <c r="BI347" s="119"/>
      <c r="BJ347" s="119"/>
      <c r="BK347" s="119"/>
      <c r="BL347" s="121"/>
    </row>
    <row r="348" spans="1:64">
      <c r="A348" s="119">
        <v>346</v>
      </c>
      <c r="B348" s="113">
        <f t="shared" si="5"/>
        <v>45668</v>
      </c>
      <c r="C348" s="114">
        <f>YEAR(MC_2[[#This Row],[Date]])+IF(MONTH(MC_2[[#This Row],[Date]])&gt;=4,1,0)</f>
        <v>2025</v>
      </c>
      <c r="D348" s="115">
        <f>YEAR(MC_2[[#This Row],[Date]])</f>
        <v>2025</v>
      </c>
      <c r="E348" s="112" t="s">
        <v>326</v>
      </c>
      <c r="F348" s="112" t="s">
        <v>326</v>
      </c>
      <c r="G348" s="116" t="str">
        <f>TEXT(MC_2[[#This Row],[Date]],"mmm-yy")</f>
        <v>Jan-25</v>
      </c>
      <c r="H348" s="116">
        <f>DAY(EOMONTH(MC_2[[#This Row],[Month Year]],0))</f>
        <v>31</v>
      </c>
      <c r="I348" s="119"/>
      <c r="J348" s="119"/>
      <c r="K348" s="119"/>
      <c r="L348" s="119">
        <v>50</v>
      </c>
      <c r="M348" s="119">
        <v>2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5">
        <f>SUM(MC_2[[#This Row],[IS1Inv1M1]:[IS9Inv19M2]])</f>
        <v>52</v>
      </c>
      <c r="BF348" s="119"/>
      <c r="BG348" s="119"/>
      <c r="BH348" s="119"/>
      <c r="BI348" s="119"/>
      <c r="BJ348" s="119"/>
      <c r="BK348" s="119"/>
      <c r="BL348" s="121"/>
    </row>
    <row r="349" spans="1:64">
      <c r="A349" s="119">
        <v>347</v>
      </c>
      <c r="B349" s="113">
        <f t="shared" si="5"/>
        <v>45669</v>
      </c>
      <c r="C349" s="114">
        <f>YEAR(MC_2[[#This Row],[Date]])+IF(MONTH(MC_2[[#This Row],[Date]])&gt;=4,1,0)</f>
        <v>2025</v>
      </c>
      <c r="D349" s="115">
        <f>YEAR(MC_2[[#This Row],[Date]])</f>
        <v>2025</v>
      </c>
      <c r="E349" s="112" t="s">
        <v>326</v>
      </c>
      <c r="F349" s="112" t="s">
        <v>326</v>
      </c>
      <c r="G349" s="116" t="str">
        <f>TEXT(MC_2[[#This Row],[Date]],"mmm-yy")</f>
        <v>Jan-25</v>
      </c>
      <c r="H349" s="116">
        <f>DAY(EOMONTH(MC_2[[#This Row],[Month Year]],0))</f>
        <v>31</v>
      </c>
      <c r="I349" s="119"/>
      <c r="J349" s="119"/>
      <c r="K349" s="119"/>
      <c r="L349" s="119"/>
      <c r="M349" s="119">
        <v>24.5</v>
      </c>
      <c r="N349" s="119"/>
      <c r="O349" s="119">
        <v>20</v>
      </c>
      <c r="P349" s="119">
        <v>7</v>
      </c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5">
        <f>SUM(MC_2[[#This Row],[IS1Inv1M1]:[IS9Inv19M2]])</f>
        <v>51.5</v>
      </c>
      <c r="BF349" s="119"/>
      <c r="BG349" s="119"/>
      <c r="BH349" s="119"/>
      <c r="BI349" s="119"/>
      <c r="BJ349" s="119"/>
      <c r="BK349" s="119"/>
      <c r="BL349" s="121"/>
    </row>
    <row r="350" spans="1:64">
      <c r="A350" s="119">
        <v>348</v>
      </c>
      <c r="B350" s="113">
        <f t="shared" si="5"/>
        <v>45670</v>
      </c>
      <c r="C350" s="114">
        <f>YEAR(MC_2[[#This Row],[Date]])+IF(MONTH(MC_2[[#This Row],[Date]])&gt;=4,1,0)</f>
        <v>2025</v>
      </c>
      <c r="D350" s="115">
        <f>YEAR(MC_2[[#This Row],[Date]])</f>
        <v>2025</v>
      </c>
      <c r="E350" s="112" t="s">
        <v>326</v>
      </c>
      <c r="F350" s="112" t="s">
        <v>326</v>
      </c>
      <c r="G350" s="116" t="str">
        <f>TEXT(MC_2[[#This Row],[Date]],"mmm-yy")</f>
        <v>Jan-25</v>
      </c>
      <c r="H350" s="116">
        <f>DAY(EOMONTH(MC_2[[#This Row],[Month Year]],0))</f>
        <v>31</v>
      </c>
      <c r="I350" s="119"/>
      <c r="J350" s="119"/>
      <c r="K350" s="119"/>
      <c r="L350" s="119"/>
      <c r="M350" s="119"/>
      <c r="N350" s="119">
        <v>28</v>
      </c>
      <c r="O350" s="119">
        <v>20</v>
      </c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5">
        <f>SUM(MC_2[[#This Row],[IS1Inv1M1]:[IS9Inv19M2]])</f>
        <v>48</v>
      </c>
      <c r="BF350" s="119"/>
      <c r="BG350" s="119"/>
      <c r="BH350" s="119"/>
      <c r="BI350" s="119"/>
      <c r="BJ350" s="119"/>
      <c r="BK350" s="119"/>
      <c r="BL350" s="121"/>
    </row>
    <row r="351" spans="1:64">
      <c r="A351" s="119">
        <v>349</v>
      </c>
      <c r="B351" s="113">
        <f t="shared" si="5"/>
        <v>45671</v>
      </c>
      <c r="C351" s="114">
        <f>YEAR(MC_2[[#This Row],[Date]])+IF(MONTH(MC_2[[#This Row],[Date]])&gt;=4,1,0)</f>
        <v>2025</v>
      </c>
      <c r="D351" s="115">
        <f>YEAR(MC_2[[#This Row],[Date]])</f>
        <v>2025</v>
      </c>
      <c r="E351" s="112" t="s">
        <v>326</v>
      </c>
      <c r="F351" s="112" t="s">
        <v>326</v>
      </c>
      <c r="G351" s="116" t="str">
        <f>TEXT(MC_2[[#This Row],[Date]],"mmm-yy")</f>
        <v>Jan-25</v>
      </c>
      <c r="H351" s="116">
        <f>DAY(EOMONTH(MC_2[[#This Row],[Month Year]],0))</f>
        <v>31</v>
      </c>
      <c r="I351" s="119"/>
      <c r="J351" s="119"/>
      <c r="K351" s="119"/>
      <c r="L351" s="119"/>
      <c r="M351" s="119"/>
      <c r="N351" s="119">
        <v>20</v>
      </c>
      <c r="O351" s="119">
        <v>4</v>
      </c>
      <c r="P351" s="119"/>
      <c r="Q351" s="119">
        <v>24</v>
      </c>
      <c r="R351" s="119">
        <v>5</v>
      </c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5">
        <f>SUM(MC_2[[#This Row],[IS1Inv1M1]:[IS9Inv19M2]])</f>
        <v>53</v>
      </c>
      <c r="BF351" s="119"/>
      <c r="BG351" s="119"/>
      <c r="BH351" s="119"/>
      <c r="BI351" s="119"/>
      <c r="BJ351" s="119"/>
      <c r="BK351" s="119"/>
      <c r="BL351" s="121"/>
    </row>
    <row r="352" spans="1:64">
      <c r="A352" s="119">
        <v>350</v>
      </c>
      <c r="B352" s="113">
        <f t="shared" si="5"/>
        <v>45672</v>
      </c>
      <c r="C352" s="114">
        <f>YEAR(MC_2[[#This Row],[Date]])+IF(MONTH(MC_2[[#This Row],[Date]])&gt;=4,1,0)</f>
        <v>2025</v>
      </c>
      <c r="D352" s="115">
        <f>YEAR(MC_2[[#This Row],[Date]])</f>
        <v>2025</v>
      </c>
      <c r="E352" s="112" t="s">
        <v>326</v>
      </c>
      <c r="F352" s="112" t="s">
        <v>326</v>
      </c>
      <c r="G352" s="116" t="str">
        <f>TEXT(MC_2[[#This Row],[Date]],"mmm-yy")</f>
        <v>Jan-25</v>
      </c>
      <c r="H352" s="116">
        <f>DAY(EOMONTH(MC_2[[#This Row],[Month Year]],0))</f>
        <v>31</v>
      </c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5">
        <f>SUM(MC_2[[#This Row],[IS1Inv1M1]:[IS9Inv19M2]])</f>
        <v>0</v>
      </c>
      <c r="BF352" s="119"/>
      <c r="BG352" s="119"/>
      <c r="BH352" s="119"/>
      <c r="BI352" s="119"/>
      <c r="BJ352" s="119"/>
      <c r="BK352" s="119"/>
      <c r="BL352" s="121"/>
    </row>
    <row r="353" spans="1:64">
      <c r="A353" s="119">
        <v>351</v>
      </c>
      <c r="B353" s="113">
        <f t="shared" si="5"/>
        <v>45673</v>
      </c>
      <c r="C353" s="114">
        <f>YEAR(MC_2[[#This Row],[Date]])+IF(MONTH(MC_2[[#This Row],[Date]])&gt;=4,1,0)</f>
        <v>2025</v>
      </c>
      <c r="D353" s="115">
        <f>YEAR(MC_2[[#This Row],[Date]])</f>
        <v>2025</v>
      </c>
      <c r="E353" s="112" t="s">
        <v>326</v>
      </c>
      <c r="F353" s="112" t="s">
        <v>326</v>
      </c>
      <c r="G353" s="116" t="str">
        <f>TEXT(MC_2[[#This Row],[Date]],"mmm-yy")</f>
        <v>Jan-25</v>
      </c>
      <c r="H353" s="116">
        <f>DAY(EOMONTH(MC_2[[#This Row],[Month Year]],0))</f>
        <v>31</v>
      </c>
      <c r="I353" s="119"/>
      <c r="J353" s="119"/>
      <c r="K353" s="119"/>
      <c r="L353" s="119"/>
      <c r="M353" s="119">
        <v>17</v>
      </c>
      <c r="N353" s="119"/>
      <c r="O353" s="119"/>
      <c r="P353" s="119"/>
      <c r="Q353" s="119"/>
      <c r="R353" s="119"/>
      <c r="S353" s="119"/>
      <c r="T353" s="119"/>
      <c r="U353" s="119">
        <v>8</v>
      </c>
      <c r="V353" s="119">
        <v>20</v>
      </c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5">
        <f>SUM(MC_2[[#This Row],[IS1Inv1M1]:[IS9Inv19M2]])</f>
        <v>45</v>
      </c>
      <c r="BF353" s="119"/>
      <c r="BG353" s="119"/>
      <c r="BH353" s="119"/>
      <c r="BI353" s="119"/>
      <c r="BJ353" s="119"/>
      <c r="BK353" s="119"/>
      <c r="BL353" s="121"/>
    </row>
    <row r="354" spans="1:64">
      <c r="A354" s="119">
        <v>352</v>
      </c>
      <c r="B354" s="113">
        <f t="shared" si="5"/>
        <v>45674</v>
      </c>
      <c r="C354" s="114">
        <f>YEAR(MC_2[[#This Row],[Date]])+IF(MONTH(MC_2[[#This Row],[Date]])&gt;=4,1,0)</f>
        <v>2025</v>
      </c>
      <c r="D354" s="115">
        <f>YEAR(MC_2[[#This Row],[Date]])</f>
        <v>2025</v>
      </c>
      <c r="E354" s="112" t="s">
        <v>326</v>
      </c>
      <c r="F354" s="112" t="s">
        <v>326</v>
      </c>
      <c r="G354" s="116" t="str">
        <f>TEXT(MC_2[[#This Row],[Date]],"mmm-yy")</f>
        <v>Jan-25</v>
      </c>
      <c r="H354" s="116">
        <f>DAY(EOMONTH(MC_2[[#This Row],[Month Year]],0))</f>
        <v>31</v>
      </c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>
        <v>32</v>
      </c>
      <c r="V354" s="119"/>
      <c r="W354" s="119"/>
      <c r="X354" s="119">
        <v>16</v>
      </c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5">
        <f>SUM(MC_2[[#This Row],[IS1Inv1M1]:[IS9Inv19M2]])</f>
        <v>48</v>
      </c>
      <c r="BF354" s="119"/>
      <c r="BG354" s="119"/>
      <c r="BH354" s="119"/>
      <c r="BI354" s="119"/>
      <c r="BJ354" s="119"/>
      <c r="BK354" s="119"/>
      <c r="BL354" s="121"/>
    </row>
    <row r="355" spans="1:64">
      <c r="A355" s="119">
        <v>353</v>
      </c>
      <c r="B355" s="113">
        <f t="shared" si="5"/>
        <v>45675</v>
      </c>
      <c r="C355" s="114">
        <f>YEAR(MC_2[[#This Row],[Date]])+IF(MONTH(MC_2[[#This Row],[Date]])&gt;=4,1,0)</f>
        <v>2025</v>
      </c>
      <c r="D355" s="115">
        <f>YEAR(MC_2[[#This Row],[Date]])</f>
        <v>2025</v>
      </c>
      <c r="E355" s="112" t="s">
        <v>326</v>
      </c>
      <c r="F355" s="112" t="s">
        <v>326</v>
      </c>
      <c r="G355" s="116" t="str">
        <f>TEXT(MC_2[[#This Row],[Date]],"mmm-yy")</f>
        <v>Jan-25</v>
      </c>
      <c r="H355" s="116">
        <f>DAY(EOMONTH(MC_2[[#This Row],[Month Year]],0))</f>
        <v>31</v>
      </c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>
        <v>11</v>
      </c>
      <c r="U355" s="119">
        <v>14</v>
      </c>
      <c r="V355" s="119"/>
      <c r="W355" s="119"/>
      <c r="X355" s="119">
        <v>4</v>
      </c>
      <c r="Y355" s="119">
        <v>2</v>
      </c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5">
        <f>SUM(MC_2[[#This Row],[IS1Inv1M1]:[IS9Inv19M2]])</f>
        <v>31</v>
      </c>
      <c r="BF355" s="119"/>
      <c r="BG355" s="119"/>
      <c r="BH355" s="119"/>
      <c r="BI355" s="119"/>
      <c r="BJ355" s="119"/>
      <c r="BK355" s="119"/>
      <c r="BL355" s="121"/>
    </row>
    <row r="356" spans="1:64">
      <c r="A356" s="312">
        <v>354</v>
      </c>
      <c r="B356" s="113">
        <f t="shared" si="5"/>
        <v>45676</v>
      </c>
      <c r="C356" s="114">
        <f>YEAR(MC_2[[#This Row],[Date]])+IF(MONTH(MC_2[[#This Row],[Date]])&gt;=4,1,0)</f>
        <v>2025</v>
      </c>
      <c r="D356" s="115">
        <f>YEAR(MC_2[[#This Row],[Date]])</f>
        <v>2025</v>
      </c>
      <c r="E356" s="112" t="s">
        <v>326</v>
      </c>
      <c r="F356" s="112" t="s">
        <v>326</v>
      </c>
      <c r="G356" s="116" t="str">
        <f>TEXT(MC_2[[#This Row],[Date]],"mmm-yy")</f>
        <v>Jan-25</v>
      </c>
      <c r="H356" s="116">
        <f>DAY(EOMONTH(MC_2[[#This Row],[Month Year]],0))</f>
        <v>31</v>
      </c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>
        <v>47</v>
      </c>
      <c r="T356" s="119">
        <v>28</v>
      </c>
      <c r="U356" s="119"/>
      <c r="V356" s="119">
        <v>8</v>
      </c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>
        <v>22</v>
      </c>
      <c r="AR356" s="119">
        <v>18</v>
      </c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5">
        <f>SUM(MC_2[[#This Row],[IS1Inv1M1]:[IS9Inv19M2]])</f>
        <v>123</v>
      </c>
      <c r="BF356" s="119"/>
      <c r="BG356" s="119"/>
      <c r="BH356" s="119"/>
      <c r="BI356" s="119"/>
      <c r="BJ356" s="119"/>
      <c r="BK356" s="119"/>
      <c r="BL356" s="121"/>
    </row>
    <row r="357" spans="1:64">
      <c r="A357" s="119">
        <v>355</v>
      </c>
      <c r="B357" s="113">
        <f t="shared" si="5"/>
        <v>45677</v>
      </c>
      <c r="C357" s="114">
        <f>YEAR(MC_2[[#This Row],[Date]])+IF(MONTH(MC_2[[#This Row],[Date]])&gt;=4,1,0)</f>
        <v>2025</v>
      </c>
      <c r="D357" s="115">
        <f>YEAR(MC_2[[#This Row],[Date]])</f>
        <v>2025</v>
      </c>
      <c r="E357" s="112" t="s">
        <v>326</v>
      </c>
      <c r="F357" s="112" t="s">
        <v>326</v>
      </c>
      <c r="G357" s="116" t="str">
        <f>TEXT(MC_2[[#This Row],[Date]],"mmm-yy")</f>
        <v>Jan-25</v>
      </c>
      <c r="H357" s="116">
        <f>DAY(EOMONTH(MC_2[[#This Row],[Month Year]],0))</f>
        <v>31</v>
      </c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>
        <v>9</v>
      </c>
      <c r="W357" s="119"/>
      <c r="X357" s="119"/>
      <c r="Y357" s="119"/>
      <c r="Z357" s="119">
        <v>41</v>
      </c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>
        <v>5</v>
      </c>
      <c r="AS357" s="119">
        <v>33</v>
      </c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5">
        <f>SUM(MC_2[[#This Row],[IS1Inv1M1]:[IS9Inv19M2]])</f>
        <v>88</v>
      </c>
      <c r="BF357" s="119"/>
      <c r="BG357" s="119"/>
      <c r="BH357" s="119"/>
      <c r="BI357" s="119"/>
      <c r="BJ357" s="119"/>
      <c r="BK357" s="119"/>
      <c r="BL357" s="121"/>
    </row>
    <row r="358" spans="1:64">
      <c r="A358" s="119">
        <v>356</v>
      </c>
      <c r="B358" s="113">
        <f t="shared" si="5"/>
        <v>45678</v>
      </c>
      <c r="C358" s="114">
        <f>YEAR(MC_2[[#This Row],[Date]])+IF(MONTH(MC_2[[#This Row],[Date]])&gt;=4,1,0)</f>
        <v>2025</v>
      </c>
      <c r="D358" s="115">
        <f>YEAR(MC_2[[#This Row],[Date]])</f>
        <v>2025</v>
      </c>
      <c r="E358" s="112" t="s">
        <v>326</v>
      </c>
      <c r="F358" s="112" t="s">
        <v>326</v>
      </c>
      <c r="G358" s="116" t="str">
        <f>TEXT(MC_2[[#This Row],[Date]],"mmm-yy")</f>
        <v>Jan-25</v>
      </c>
      <c r="H358" s="116">
        <f>DAY(EOMONTH(MC_2[[#This Row],[Month Year]],0))</f>
        <v>31</v>
      </c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>
        <v>19</v>
      </c>
      <c r="W358" s="119">
        <v>13</v>
      </c>
      <c r="X358" s="119"/>
      <c r="Y358" s="119"/>
      <c r="Z358" s="119">
        <v>17</v>
      </c>
      <c r="AA358" s="119">
        <v>21</v>
      </c>
      <c r="AB358" s="119"/>
      <c r="AC358" s="119">
        <v>3</v>
      </c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>
        <v>59</v>
      </c>
      <c r="AN358" s="119">
        <v>31.5</v>
      </c>
      <c r="AO358" s="119"/>
      <c r="AP358" s="119"/>
      <c r="AQ358" s="119">
        <v>28</v>
      </c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5">
        <f>SUM(MC_2[[#This Row],[IS1Inv1M1]:[IS9Inv19M2]])</f>
        <v>191.5</v>
      </c>
      <c r="BF358" s="119"/>
      <c r="BG358" s="119"/>
      <c r="BH358" s="119"/>
      <c r="BI358" s="119"/>
      <c r="BJ358" s="119"/>
      <c r="BK358" s="119"/>
      <c r="BL358" s="121"/>
    </row>
    <row r="359" spans="1:64">
      <c r="A359" s="119">
        <v>357</v>
      </c>
      <c r="B359" s="113">
        <f t="shared" si="5"/>
        <v>45679</v>
      </c>
      <c r="C359" s="114">
        <f>YEAR(MC_2[[#This Row],[Date]])+IF(MONTH(MC_2[[#This Row],[Date]])&gt;=4,1,0)</f>
        <v>2025</v>
      </c>
      <c r="D359" s="115">
        <f>YEAR(MC_2[[#This Row],[Date]])</f>
        <v>2025</v>
      </c>
      <c r="E359" s="112" t="s">
        <v>326</v>
      </c>
      <c r="F359" s="112" t="s">
        <v>326</v>
      </c>
      <c r="G359" s="116" t="str">
        <f>TEXT(MC_2[[#This Row],[Date]],"mmm-yy")</f>
        <v>Jan-25</v>
      </c>
      <c r="H359" s="116">
        <f>DAY(EOMONTH(MC_2[[#This Row],[Month Year]],0))</f>
        <v>31</v>
      </c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>
        <v>32</v>
      </c>
      <c r="X359" s="119">
        <v>19</v>
      </c>
      <c r="Y359" s="119"/>
      <c r="Z359" s="119"/>
      <c r="AA359" s="119">
        <v>12</v>
      </c>
      <c r="AB359" s="119">
        <v>5</v>
      </c>
      <c r="AC359" s="119">
        <v>10</v>
      </c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>
        <v>29</v>
      </c>
      <c r="AO359" s="119">
        <v>23.5</v>
      </c>
      <c r="AP359" s="119">
        <v>31</v>
      </c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5">
        <f>SUM(MC_2[[#This Row],[IS1Inv1M1]:[IS9Inv19M2]])</f>
        <v>161.5</v>
      </c>
      <c r="BF359" s="119"/>
      <c r="BG359" s="119"/>
      <c r="BH359" s="119"/>
      <c r="BI359" s="119"/>
      <c r="BJ359" s="119"/>
      <c r="BK359" s="119"/>
      <c r="BL359" s="121"/>
    </row>
    <row r="360" spans="1:64">
      <c r="A360" s="119">
        <v>358</v>
      </c>
      <c r="B360" s="113">
        <f t="shared" si="5"/>
        <v>45680</v>
      </c>
      <c r="C360" s="114">
        <f>YEAR(MC_2[[#This Row],[Date]])+IF(MONTH(MC_2[[#This Row],[Date]])&gt;=4,1,0)</f>
        <v>2025</v>
      </c>
      <c r="D360" s="115">
        <f>YEAR(MC_2[[#This Row],[Date]])</f>
        <v>2025</v>
      </c>
      <c r="E360" s="112" t="s">
        <v>326</v>
      </c>
      <c r="F360" s="112" t="s">
        <v>326</v>
      </c>
      <c r="G360" s="116" t="str">
        <f>TEXT(MC_2[[#This Row],[Date]],"mmm-yy")</f>
        <v>Jan-25</v>
      </c>
      <c r="H360" s="116">
        <f>DAY(EOMONTH(MC_2[[#This Row],[Month Year]],0))</f>
        <v>31</v>
      </c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>
        <v>29</v>
      </c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2"/>
      <c r="AN360" s="112"/>
      <c r="AO360" s="112">
        <v>34</v>
      </c>
      <c r="AP360" s="112"/>
      <c r="AQ360" s="112">
        <v>8.5</v>
      </c>
      <c r="AR360" s="112"/>
      <c r="AS360" s="112"/>
      <c r="AT360" s="112">
        <v>16</v>
      </c>
      <c r="AU360" s="112"/>
      <c r="AV360" s="112"/>
      <c r="AW360" s="112">
        <v>8</v>
      </c>
      <c r="AX360" s="112"/>
      <c r="AY360" s="112"/>
      <c r="AZ360" s="112">
        <v>11.5</v>
      </c>
      <c r="BA360" s="112"/>
      <c r="BB360" s="112"/>
      <c r="BC360" s="112"/>
      <c r="BD360" s="112"/>
      <c r="BE360" s="5">
        <f>SUM(MC_2[[#This Row],[IS1Inv1M1]:[IS9Inv19M2]])</f>
        <v>107</v>
      </c>
      <c r="BF360" s="119"/>
      <c r="BG360" s="119"/>
      <c r="BH360" s="119"/>
      <c r="BI360" s="119"/>
      <c r="BJ360" s="119"/>
      <c r="BK360" s="119"/>
      <c r="BL360" s="121"/>
    </row>
    <row r="361" spans="1:64">
      <c r="A361" s="119">
        <v>359</v>
      </c>
      <c r="B361" s="113">
        <f t="shared" si="5"/>
        <v>45681</v>
      </c>
      <c r="C361" s="114">
        <f>YEAR(MC_2[[#This Row],[Date]])+IF(MONTH(MC_2[[#This Row],[Date]])&gt;=4,1,0)</f>
        <v>2025</v>
      </c>
      <c r="D361" s="115">
        <f>YEAR(MC_2[[#This Row],[Date]])</f>
        <v>2025</v>
      </c>
      <c r="E361" s="112" t="s">
        <v>326</v>
      </c>
      <c r="F361" s="112" t="s">
        <v>326</v>
      </c>
      <c r="G361" s="116" t="str">
        <f>TEXT(MC_2[[#This Row],[Date]],"mmm-yy")</f>
        <v>Jan-25</v>
      </c>
      <c r="H361" s="116">
        <f>DAY(EOMONTH(MC_2[[#This Row],[Month Year]],0))</f>
        <v>31</v>
      </c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>
        <v>8</v>
      </c>
      <c r="X361" s="119">
        <v>8</v>
      </c>
      <c r="Y361" s="119"/>
      <c r="Z361" s="119"/>
      <c r="AA361" s="119">
        <v>17.5</v>
      </c>
      <c r="AB361" s="119">
        <v>20</v>
      </c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>
        <v>22</v>
      </c>
      <c r="AU361" s="119"/>
      <c r="AV361" s="119"/>
      <c r="AW361" s="119">
        <v>9.5</v>
      </c>
      <c r="AX361" s="119"/>
      <c r="AY361" s="119">
        <v>20</v>
      </c>
      <c r="AZ361" s="119">
        <v>20.5</v>
      </c>
      <c r="BA361" s="119"/>
      <c r="BB361" s="119"/>
      <c r="BC361" s="119"/>
      <c r="BD361" s="119"/>
      <c r="BE361" s="5">
        <f>SUM(MC_2[[#This Row],[IS1Inv1M1]:[IS9Inv19M2]])</f>
        <v>125.5</v>
      </c>
      <c r="BF361" s="119"/>
      <c r="BG361" s="119"/>
      <c r="BH361" s="119"/>
      <c r="BI361" s="119"/>
      <c r="BJ361" s="119"/>
      <c r="BK361" s="119"/>
      <c r="BL361" s="121"/>
    </row>
    <row r="362" spans="1:64">
      <c r="A362" s="119">
        <v>360</v>
      </c>
      <c r="B362" s="113">
        <f t="shared" si="5"/>
        <v>45682</v>
      </c>
      <c r="C362" s="114">
        <f>YEAR(MC_2[[#This Row],[Date]])+IF(MONTH(MC_2[[#This Row],[Date]])&gt;=4,1,0)</f>
        <v>2025</v>
      </c>
      <c r="D362" s="115">
        <f>YEAR(MC_2[[#This Row],[Date]])</f>
        <v>2025</v>
      </c>
      <c r="E362" s="112" t="s">
        <v>326</v>
      </c>
      <c r="F362" s="112" t="s">
        <v>326</v>
      </c>
      <c r="G362" s="116" t="str">
        <f>TEXT(MC_2[[#This Row],[Date]],"mmm-yy")</f>
        <v>Jan-25</v>
      </c>
      <c r="H362" s="116">
        <f>DAY(EOMONTH(MC_2[[#This Row],[Month Year]],0))</f>
        <v>31</v>
      </c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>
        <v>14.5</v>
      </c>
      <c r="AB362" s="119">
        <v>42</v>
      </c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>
        <v>6</v>
      </c>
      <c r="AV362" s="119">
        <v>8</v>
      </c>
      <c r="AW362" s="119">
        <v>21</v>
      </c>
      <c r="AX362" s="119">
        <v>3</v>
      </c>
      <c r="AY362" s="119">
        <v>17</v>
      </c>
      <c r="AZ362" s="119">
        <v>15.5</v>
      </c>
      <c r="BA362" s="119"/>
      <c r="BB362" s="119"/>
      <c r="BC362" s="119"/>
      <c r="BD362" s="119"/>
      <c r="BE362" s="5">
        <f>SUM(MC_2[[#This Row],[IS1Inv1M1]:[IS9Inv19M2]])</f>
        <v>127</v>
      </c>
      <c r="BF362" s="119"/>
      <c r="BG362" s="119"/>
      <c r="BH362" s="119"/>
      <c r="BI362" s="119"/>
      <c r="BJ362" s="119"/>
      <c r="BK362" s="119"/>
      <c r="BL362" s="121"/>
    </row>
    <row r="363" spans="1:64">
      <c r="A363" s="119">
        <v>361</v>
      </c>
      <c r="B363" s="113">
        <f t="shared" si="5"/>
        <v>45683</v>
      </c>
      <c r="C363" s="114">
        <f>YEAR(MC_2[[#This Row],[Date]])+IF(MONTH(MC_2[[#This Row],[Date]])&gt;=4,1,0)</f>
        <v>2025</v>
      </c>
      <c r="D363" s="115">
        <f>YEAR(MC_2[[#This Row],[Date]])</f>
        <v>2025</v>
      </c>
      <c r="E363" s="112" t="s">
        <v>326</v>
      </c>
      <c r="F363" s="112" t="s">
        <v>326</v>
      </c>
      <c r="G363" s="116" t="str">
        <f>TEXT(MC_2[[#This Row],[Date]],"mmm-yy")</f>
        <v>Jan-25</v>
      </c>
      <c r="H363" s="116">
        <f>DAY(EOMONTH(MC_2[[#This Row],[Month Year]],0))</f>
        <v>31</v>
      </c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>
        <v>4</v>
      </c>
      <c r="AP363" s="119"/>
      <c r="AQ363" s="119"/>
      <c r="AR363" s="119"/>
      <c r="AS363" s="119"/>
      <c r="AT363" s="119"/>
      <c r="AU363" s="119">
        <v>41</v>
      </c>
      <c r="AV363" s="119">
        <v>35</v>
      </c>
      <c r="AW363" s="119">
        <v>6</v>
      </c>
      <c r="AX363" s="119">
        <v>1</v>
      </c>
      <c r="AY363" s="119"/>
      <c r="AZ363" s="119"/>
      <c r="BA363" s="119"/>
      <c r="BB363" s="119"/>
      <c r="BC363" s="119"/>
      <c r="BD363" s="119"/>
      <c r="BE363" s="5">
        <f>SUM(MC_2[[#This Row],[IS1Inv1M1]:[IS9Inv19M2]])</f>
        <v>87</v>
      </c>
      <c r="BF363" s="119"/>
      <c r="BG363" s="119"/>
      <c r="BH363" s="119"/>
      <c r="BI363" s="119"/>
      <c r="BJ363" s="119"/>
      <c r="BK363" s="119"/>
      <c r="BL363" s="121"/>
    </row>
    <row r="364" spans="1:64">
      <c r="A364" s="119">
        <v>362</v>
      </c>
      <c r="B364" s="113">
        <f t="shared" si="5"/>
        <v>45684</v>
      </c>
      <c r="C364" s="114">
        <f>YEAR(MC_2[[#This Row],[Date]])+IF(MONTH(MC_2[[#This Row],[Date]])&gt;=4,1,0)</f>
        <v>2025</v>
      </c>
      <c r="D364" s="115">
        <f>YEAR(MC_2[[#This Row],[Date]])</f>
        <v>2025</v>
      </c>
      <c r="E364" s="112" t="s">
        <v>326</v>
      </c>
      <c r="F364" s="112" t="s">
        <v>326</v>
      </c>
      <c r="G364" s="116" t="str">
        <f>TEXT(MC_2[[#This Row],[Date]],"mmm-yy")</f>
        <v>Jan-25</v>
      </c>
      <c r="H364" s="116">
        <f>DAY(EOMONTH(MC_2[[#This Row],[Month Year]],0))</f>
        <v>31</v>
      </c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>
        <v>31</v>
      </c>
      <c r="AD364" s="119">
        <v>30</v>
      </c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>
        <v>6</v>
      </c>
      <c r="BB364" s="119">
        <v>51</v>
      </c>
      <c r="BC364" s="119" t="s">
        <v>1200</v>
      </c>
      <c r="BD364" s="119"/>
      <c r="BE364" s="5">
        <f>SUM(MC_2[[#This Row],[IS1Inv1M1]:[IS9Inv19M2]])</f>
        <v>118</v>
      </c>
      <c r="BF364" s="119"/>
      <c r="BG364" s="119"/>
      <c r="BH364" s="119"/>
      <c r="BI364" s="119"/>
      <c r="BJ364" s="119"/>
      <c r="BK364" s="119"/>
      <c r="BL364" s="121"/>
    </row>
    <row r="365" spans="1:64">
      <c r="A365" s="119">
        <v>363</v>
      </c>
      <c r="B365" s="113">
        <f t="shared" si="5"/>
        <v>45685</v>
      </c>
      <c r="C365" s="114">
        <f>YEAR(MC_2[[#This Row],[Date]])+IF(MONTH(MC_2[[#This Row],[Date]])&gt;=4,1,0)</f>
        <v>2025</v>
      </c>
      <c r="D365" s="115">
        <f>YEAR(MC_2[[#This Row],[Date]])</f>
        <v>2025</v>
      </c>
      <c r="E365" s="112" t="s">
        <v>326</v>
      </c>
      <c r="F365" s="112" t="s">
        <v>326</v>
      </c>
      <c r="G365" s="116" t="str">
        <f>TEXT(MC_2[[#This Row],[Date]],"mmm-yy")</f>
        <v>Jan-25</v>
      </c>
      <c r="H365" s="116">
        <f>DAY(EOMONTH(MC_2[[#This Row],[Month Year]],0))</f>
        <v>31</v>
      </c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>
        <v>25</v>
      </c>
      <c r="AS365" s="119"/>
      <c r="AT365" s="119"/>
      <c r="AU365" s="119"/>
      <c r="AV365" s="119"/>
      <c r="AW365" s="119"/>
      <c r="AX365" s="119"/>
      <c r="AY365" s="119"/>
      <c r="AZ365" s="119"/>
      <c r="BA365" s="119">
        <v>52</v>
      </c>
      <c r="BB365" s="119"/>
      <c r="BC365" s="119">
        <v>22.5</v>
      </c>
      <c r="BD365" s="119"/>
      <c r="BE365" s="5">
        <f>SUM(MC_2[[#This Row],[IS1Inv1M1]:[IS9Inv19M2]])</f>
        <v>99.5</v>
      </c>
      <c r="BF365" s="119"/>
      <c r="BG365" s="119"/>
      <c r="BH365" s="119"/>
      <c r="BI365" s="119"/>
      <c r="BJ365" s="119"/>
      <c r="BK365" s="119"/>
      <c r="BL365" s="121"/>
    </row>
    <row r="366" spans="1:64">
      <c r="A366" s="119">
        <v>364</v>
      </c>
      <c r="B366" s="113">
        <f t="shared" si="5"/>
        <v>45686</v>
      </c>
      <c r="C366" s="114">
        <f>YEAR(MC_2[[#This Row],[Date]])+IF(MONTH(MC_2[[#This Row],[Date]])&gt;=4,1,0)</f>
        <v>2025</v>
      </c>
      <c r="D366" s="115">
        <f>YEAR(MC_2[[#This Row],[Date]])</f>
        <v>2025</v>
      </c>
      <c r="E366" s="112" t="s">
        <v>326</v>
      </c>
      <c r="F366" s="112" t="s">
        <v>326</v>
      </c>
      <c r="G366" s="116" t="str">
        <f>TEXT(MC_2[[#This Row],[Date]],"mmm-yy")</f>
        <v>Jan-25</v>
      </c>
      <c r="H366" s="116">
        <f>DAY(EOMONTH(MC_2[[#This Row],[Month Year]],0))</f>
        <v>31</v>
      </c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>
        <v>39</v>
      </c>
      <c r="AE366" s="119"/>
      <c r="AF366" s="119"/>
      <c r="AG366" s="119"/>
      <c r="AH366" s="119"/>
      <c r="AI366" s="119"/>
      <c r="AJ366" s="119">
        <v>45</v>
      </c>
      <c r="AK366" s="119"/>
      <c r="AL366" s="119"/>
      <c r="AM366" s="119"/>
      <c r="AN366" s="119"/>
      <c r="AO366" s="119"/>
      <c r="AP366" s="119"/>
      <c r="AQ366" s="119"/>
      <c r="AR366" s="119">
        <v>14</v>
      </c>
      <c r="AS366" s="119">
        <v>16.5</v>
      </c>
      <c r="AT366" s="119">
        <v>28</v>
      </c>
      <c r="AU366" s="119"/>
      <c r="AV366" s="119"/>
      <c r="AW366" s="119">
        <v>15</v>
      </c>
      <c r="AX366" s="119"/>
      <c r="AY366" s="119">
        <v>11.5</v>
      </c>
      <c r="AZ366" s="119"/>
      <c r="BA366" s="119"/>
      <c r="BB366" s="119"/>
      <c r="BC366" s="119"/>
      <c r="BD366" s="119"/>
      <c r="BE366" s="5">
        <f>SUM(MC_2[[#This Row],[IS1Inv1M1]:[IS9Inv19M2]])</f>
        <v>169</v>
      </c>
      <c r="BF366" s="119"/>
      <c r="BG366" s="119"/>
      <c r="BH366" s="119"/>
      <c r="BI366" s="119"/>
      <c r="BJ366" s="119"/>
      <c r="BK366" s="119"/>
      <c r="BL366" s="121"/>
    </row>
    <row r="367" spans="1:64">
      <c r="A367" s="119">
        <v>365</v>
      </c>
      <c r="B367" s="113">
        <f t="shared" si="5"/>
        <v>45687</v>
      </c>
      <c r="C367" s="114">
        <f>YEAR(MC_2[[#This Row],[Date]])+IF(MONTH(MC_2[[#This Row],[Date]])&gt;=4,1,0)</f>
        <v>2025</v>
      </c>
      <c r="D367" s="115">
        <f>YEAR(MC_2[[#This Row],[Date]])</f>
        <v>2025</v>
      </c>
      <c r="E367" s="112" t="s">
        <v>326</v>
      </c>
      <c r="F367" s="112" t="s">
        <v>326</v>
      </c>
      <c r="G367" s="116" t="str">
        <f>TEXT(MC_2[[#This Row],[Date]],"mmm-yy")</f>
        <v>Jan-25</v>
      </c>
      <c r="H367" s="116">
        <f>DAY(EOMONTH(MC_2[[#This Row],[Month Year]],0))</f>
        <v>31</v>
      </c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>
        <v>16</v>
      </c>
      <c r="AJ367" s="119">
        <v>23</v>
      </c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5">
        <f>SUM(MC_2[[#This Row],[IS1Inv1M1]:[IS9Inv19M2]])</f>
        <v>39</v>
      </c>
      <c r="BF367" s="119"/>
      <c r="BG367" s="119"/>
      <c r="BH367" s="119"/>
      <c r="BI367" s="119"/>
      <c r="BJ367" s="119"/>
      <c r="BK367" s="119"/>
      <c r="BL367" s="121"/>
    </row>
    <row r="368" spans="1:64">
      <c r="A368" s="119">
        <v>366</v>
      </c>
      <c r="B368" s="113">
        <f t="shared" si="5"/>
        <v>45688</v>
      </c>
      <c r="C368" s="114">
        <f>YEAR(MC_2[[#This Row],[Date]])+IF(MONTH(MC_2[[#This Row],[Date]])&gt;=4,1,0)</f>
        <v>2025</v>
      </c>
      <c r="D368" s="115">
        <f>YEAR(MC_2[[#This Row],[Date]])</f>
        <v>2025</v>
      </c>
      <c r="E368" s="112" t="s">
        <v>326</v>
      </c>
      <c r="F368" s="112" t="s">
        <v>326</v>
      </c>
      <c r="G368" s="116" t="str">
        <f>TEXT(MC_2[[#This Row],[Date]],"mmm-yy")</f>
        <v>Jan-25</v>
      </c>
      <c r="H368" s="116">
        <f>DAY(EOMONTH(MC_2[[#This Row],[Month Year]],0))</f>
        <v>31</v>
      </c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>
        <v>15</v>
      </c>
      <c r="AF368" s="119"/>
      <c r="AG368" s="119"/>
      <c r="AH368" s="119"/>
      <c r="AI368" s="119">
        <v>29</v>
      </c>
      <c r="AJ368" s="119"/>
      <c r="AK368" s="119"/>
      <c r="AL368" s="119"/>
      <c r="AM368" s="119"/>
      <c r="AN368" s="119"/>
      <c r="AO368" s="119">
        <v>3.5</v>
      </c>
      <c r="AP368" s="119">
        <v>6.5</v>
      </c>
      <c r="AQ368" s="119"/>
      <c r="AR368" s="119"/>
      <c r="AS368" s="119"/>
      <c r="AT368" s="119"/>
      <c r="AU368" s="119"/>
      <c r="AV368" s="119"/>
      <c r="AW368" s="119">
        <v>2</v>
      </c>
      <c r="AX368" s="119">
        <v>28</v>
      </c>
      <c r="AY368" s="119">
        <v>11</v>
      </c>
      <c r="AZ368" s="119"/>
      <c r="BA368" s="119"/>
      <c r="BB368" s="119"/>
      <c r="BC368" s="119"/>
      <c r="BD368" s="119"/>
      <c r="BE368" s="5">
        <f>SUM(MC_2[[#This Row],[IS1Inv1M1]:[IS9Inv19M2]])</f>
        <v>95</v>
      </c>
      <c r="BF368" s="119"/>
      <c r="BG368" s="119"/>
      <c r="BH368" s="119"/>
      <c r="BI368" s="119"/>
      <c r="BJ368" s="119"/>
      <c r="BK368" s="119"/>
      <c r="BL368" s="121"/>
    </row>
    <row r="369" spans="1:64">
      <c r="A369" s="119">
        <v>367</v>
      </c>
      <c r="B369" s="113">
        <f t="shared" si="5"/>
        <v>45689</v>
      </c>
      <c r="C369" s="114">
        <f>YEAR(MC_2[[#This Row],[Date]])+IF(MONTH(MC_2[[#This Row],[Date]])&gt;=4,1,0)</f>
        <v>2025</v>
      </c>
      <c r="D369" s="115">
        <f>YEAR(MC_2[[#This Row],[Date]])</f>
        <v>2025</v>
      </c>
      <c r="E369" s="112" t="s">
        <v>326</v>
      </c>
      <c r="F369" s="112" t="s">
        <v>326</v>
      </c>
      <c r="G369" s="116" t="str">
        <f>TEXT(MC_2[[#This Row],[Date]],"mmm-yy")</f>
        <v>Feb-25</v>
      </c>
      <c r="H369" s="116">
        <f>DAY(EOMONTH(MC_2[[#This Row],[Month Year]],0))</f>
        <v>28</v>
      </c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>
        <v>35.5</v>
      </c>
      <c r="AE369" s="119">
        <v>8</v>
      </c>
      <c r="AF369" s="119">
        <v>7</v>
      </c>
      <c r="AG369" s="119"/>
      <c r="AH369" s="119"/>
      <c r="AI369" s="119">
        <v>21</v>
      </c>
      <c r="AJ369" s="119"/>
      <c r="AK369" s="119"/>
      <c r="AL369" s="119"/>
      <c r="AM369" s="119"/>
      <c r="AN369" s="119"/>
      <c r="AO369" s="119"/>
      <c r="AP369" s="119">
        <v>23.5</v>
      </c>
      <c r="AQ369" s="119">
        <v>2</v>
      </c>
      <c r="AR369" s="119">
        <v>7.5</v>
      </c>
      <c r="AS369" s="119">
        <v>3</v>
      </c>
      <c r="AT369" s="119">
        <v>6</v>
      </c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5">
        <f>SUM(MC_2[[#This Row],[IS1Inv1M1]:[IS9Inv19M2]])</f>
        <v>113.5</v>
      </c>
      <c r="BF369" s="119"/>
      <c r="BG369" s="119"/>
      <c r="BH369" s="119"/>
      <c r="BI369" s="119"/>
      <c r="BJ369" s="119"/>
      <c r="BK369" s="119"/>
      <c r="BL369" s="121"/>
    </row>
    <row r="370" spans="1:64">
      <c r="A370" s="119">
        <v>368</v>
      </c>
      <c r="B370" s="113">
        <f t="shared" si="5"/>
        <v>45690</v>
      </c>
      <c r="C370" s="114">
        <f>YEAR(MC_2[[#This Row],[Date]])+IF(MONTH(MC_2[[#This Row],[Date]])&gt;=4,1,0)</f>
        <v>2025</v>
      </c>
      <c r="D370" s="115">
        <f>YEAR(MC_2[[#This Row],[Date]])</f>
        <v>2025</v>
      </c>
      <c r="E370" s="112" t="s">
        <v>326</v>
      </c>
      <c r="F370" s="112" t="s">
        <v>326</v>
      </c>
      <c r="G370" s="116" t="str">
        <f>TEXT(MC_2[[#This Row],[Date]],"mmm-yy")</f>
        <v>Feb-25</v>
      </c>
      <c r="H370" s="116">
        <f>DAY(EOMONTH(MC_2[[#This Row],[Month Year]],0))</f>
        <v>28</v>
      </c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>
        <v>14.5</v>
      </c>
      <c r="BD370" s="119">
        <v>67</v>
      </c>
      <c r="BE370" s="5">
        <f>SUM(MC_2[[#This Row],[IS1Inv1M1]:[IS9Inv19M2]])</f>
        <v>81.5</v>
      </c>
      <c r="BF370" s="119"/>
      <c r="BG370" s="119"/>
      <c r="BH370" s="119"/>
      <c r="BI370" s="119"/>
      <c r="BJ370" s="119"/>
      <c r="BK370" s="119"/>
      <c r="BL370" s="121"/>
    </row>
    <row r="371" spans="1:64">
      <c r="A371" s="119">
        <v>369</v>
      </c>
      <c r="B371" s="113">
        <f t="shared" si="5"/>
        <v>45691</v>
      </c>
      <c r="C371" s="114">
        <f>YEAR(MC_2[[#This Row],[Date]])+IF(MONTH(MC_2[[#This Row],[Date]])&gt;=4,1,0)</f>
        <v>2025</v>
      </c>
      <c r="D371" s="115">
        <f>YEAR(MC_2[[#This Row],[Date]])</f>
        <v>2025</v>
      </c>
      <c r="E371" s="112" t="s">
        <v>326</v>
      </c>
      <c r="F371" s="112" t="s">
        <v>326</v>
      </c>
      <c r="G371" s="116" t="str">
        <f>TEXT(MC_2[[#This Row],[Date]],"mmm-yy")</f>
        <v>Feb-25</v>
      </c>
      <c r="H371" s="116">
        <f>DAY(EOMONTH(MC_2[[#This Row],[Month Year]],0))</f>
        <v>28</v>
      </c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>
        <v>21</v>
      </c>
      <c r="AN371" s="119">
        <v>8</v>
      </c>
      <c r="AO371" s="119"/>
      <c r="AP371" s="119"/>
      <c r="AQ371" s="119">
        <v>7</v>
      </c>
      <c r="AR371" s="119"/>
      <c r="AS371" s="119"/>
      <c r="AT371" s="119">
        <v>1</v>
      </c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5">
        <f>SUM(MC_2[[#This Row],[IS1Inv1M1]:[IS9Inv19M2]])</f>
        <v>37</v>
      </c>
      <c r="BF371" s="119"/>
      <c r="BG371" s="119"/>
      <c r="BH371" s="119"/>
      <c r="BI371" s="119"/>
      <c r="BJ371" s="119"/>
      <c r="BK371" s="119"/>
      <c r="BL371" s="121"/>
    </row>
    <row r="372" spans="1:64">
      <c r="A372" s="119">
        <v>370</v>
      </c>
      <c r="B372" s="113">
        <f t="shared" si="5"/>
        <v>45692</v>
      </c>
      <c r="C372" s="114">
        <f>YEAR(MC_2[[#This Row],[Date]])+IF(MONTH(MC_2[[#This Row],[Date]])&gt;=4,1,0)</f>
        <v>2025</v>
      </c>
      <c r="D372" s="115">
        <f>YEAR(MC_2[[#This Row],[Date]])</f>
        <v>2025</v>
      </c>
      <c r="E372" s="112" t="s">
        <v>326</v>
      </c>
      <c r="F372" s="112" t="s">
        <v>326</v>
      </c>
      <c r="G372" s="116" t="str">
        <f>TEXT(MC_2[[#This Row],[Date]],"mmm-yy")</f>
        <v>Feb-25</v>
      </c>
      <c r="H372" s="116">
        <f>DAY(EOMONTH(MC_2[[#This Row],[Month Year]],0))</f>
        <v>28</v>
      </c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>
        <v>65</v>
      </c>
      <c r="AH372" s="119"/>
      <c r="AI372" s="119"/>
      <c r="AJ372" s="119"/>
      <c r="AK372" s="119"/>
      <c r="AL372" s="119"/>
      <c r="AM372" s="119">
        <v>22</v>
      </c>
      <c r="AN372" s="119">
        <v>23</v>
      </c>
      <c r="AO372" s="119"/>
      <c r="AP372" s="119"/>
      <c r="AQ372" s="119">
        <v>4.5</v>
      </c>
      <c r="AR372" s="119"/>
      <c r="AS372" s="119">
        <v>9</v>
      </c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5">
        <f>SUM(MC_2[[#This Row],[IS1Inv1M1]:[IS9Inv19M2]])</f>
        <v>123.5</v>
      </c>
      <c r="BF372" s="119"/>
      <c r="BG372" s="119"/>
      <c r="BH372" s="119"/>
      <c r="BI372" s="119"/>
      <c r="BJ372" s="119"/>
      <c r="BK372" s="119"/>
      <c r="BL372" s="121"/>
    </row>
    <row r="373" spans="1:64">
      <c r="A373" s="119">
        <v>371</v>
      </c>
      <c r="B373" s="113">
        <f t="shared" si="5"/>
        <v>45693</v>
      </c>
      <c r="C373" s="114">
        <f>YEAR(MC_2[[#This Row],[Date]])+IF(MONTH(MC_2[[#This Row],[Date]])&gt;=4,1,0)</f>
        <v>2025</v>
      </c>
      <c r="D373" s="115">
        <f>YEAR(MC_2[[#This Row],[Date]])</f>
        <v>2025</v>
      </c>
      <c r="E373" s="112" t="s">
        <v>326</v>
      </c>
      <c r="F373" s="112" t="s">
        <v>326</v>
      </c>
      <c r="G373" s="116" t="str">
        <f>TEXT(MC_2[[#This Row],[Date]],"mmm-yy")</f>
        <v>Feb-25</v>
      </c>
      <c r="H373" s="116">
        <f>DAY(EOMONTH(MC_2[[#This Row],[Month Year]],0))</f>
        <v>28</v>
      </c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>
        <v>24</v>
      </c>
      <c r="AH373" s="119">
        <v>29</v>
      </c>
      <c r="AI373" s="119"/>
      <c r="AJ373" s="119"/>
      <c r="AK373" s="119"/>
      <c r="AL373" s="119">
        <v>32</v>
      </c>
      <c r="AM373" s="119"/>
      <c r="AN373" s="119"/>
      <c r="AO373" s="119"/>
      <c r="AP373" s="119"/>
      <c r="AQ373" s="119">
        <v>23.5</v>
      </c>
      <c r="AR373" s="119">
        <v>34</v>
      </c>
      <c r="AS373" s="119">
        <v>4</v>
      </c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5">
        <f>SUM(MC_2[[#This Row],[IS1Inv1M1]:[IS9Inv19M2]])</f>
        <v>146.5</v>
      </c>
      <c r="BF373" s="119"/>
      <c r="BG373" s="119"/>
      <c r="BH373" s="119"/>
      <c r="BI373" s="119"/>
      <c r="BJ373" s="119"/>
      <c r="BK373" s="119"/>
      <c r="BL373" s="121"/>
    </row>
    <row r="374" spans="1:64">
      <c r="A374" s="119">
        <v>372</v>
      </c>
      <c r="B374" s="113">
        <f t="shared" si="5"/>
        <v>45694</v>
      </c>
      <c r="C374" s="114">
        <f>YEAR(MC_2[[#This Row],[Date]])+IF(MONTH(MC_2[[#This Row],[Date]])&gt;=4,1,0)</f>
        <v>2025</v>
      </c>
      <c r="D374" s="115">
        <f>YEAR(MC_2[[#This Row],[Date]])</f>
        <v>2025</v>
      </c>
      <c r="E374" s="112" t="s">
        <v>326</v>
      </c>
      <c r="F374" s="112" t="s">
        <v>326</v>
      </c>
      <c r="G374" s="116" t="str">
        <f>TEXT(MC_2[[#This Row],[Date]],"mmm-yy")</f>
        <v>Feb-25</v>
      </c>
      <c r="H374" s="116">
        <f>DAY(EOMONTH(MC_2[[#This Row],[Month Year]],0))</f>
        <v>28</v>
      </c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>
        <v>12</v>
      </c>
      <c r="AO374" s="119"/>
      <c r="AP374" s="119"/>
      <c r="AQ374" s="119"/>
      <c r="AR374" s="119"/>
      <c r="AS374" s="119">
        <v>23</v>
      </c>
      <c r="AT374" s="119">
        <v>21</v>
      </c>
      <c r="AU374" s="119"/>
      <c r="AV374" s="119"/>
      <c r="AW374" s="119"/>
      <c r="AX374" s="119"/>
      <c r="AY374" s="119"/>
      <c r="AZ374" s="119"/>
      <c r="BA374" s="119">
        <v>4</v>
      </c>
      <c r="BB374" s="119"/>
      <c r="BC374" s="119"/>
      <c r="BD374" s="119"/>
      <c r="BE374" s="5">
        <f>SUM(MC_2[[#This Row],[IS1Inv1M1]:[IS9Inv19M2]])</f>
        <v>60</v>
      </c>
      <c r="BF374" s="119"/>
      <c r="BG374" s="119"/>
      <c r="BH374" s="119"/>
      <c r="BI374" s="119"/>
      <c r="BJ374" s="119"/>
      <c r="BK374" s="119"/>
      <c r="BL374" s="121"/>
    </row>
    <row r="375" spans="1:64">
      <c r="A375" s="119">
        <v>373</v>
      </c>
      <c r="B375" s="113">
        <f t="shared" si="5"/>
        <v>45695</v>
      </c>
      <c r="C375" s="114">
        <f>YEAR(MC_2[[#This Row],[Date]])+IF(MONTH(MC_2[[#This Row],[Date]])&gt;=4,1,0)</f>
        <v>2025</v>
      </c>
      <c r="D375" s="115">
        <f>YEAR(MC_2[[#This Row],[Date]])</f>
        <v>2025</v>
      </c>
      <c r="E375" s="112" t="s">
        <v>326</v>
      </c>
      <c r="F375" s="112" t="s">
        <v>326</v>
      </c>
      <c r="G375" s="116" t="str">
        <f>TEXT(MC_2[[#This Row],[Date]],"mmm-yy")</f>
        <v>Feb-25</v>
      </c>
      <c r="H375" s="116">
        <f>DAY(EOMONTH(MC_2[[#This Row],[Month Year]],0))</f>
        <v>28</v>
      </c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>
        <v>28</v>
      </c>
      <c r="AG375" s="119"/>
      <c r="AH375" s="119">
        <v>21</v>
      </c>
      <c r="AI375" s="119"/>
      <c r="AJ375" s="119"/>
      <c r="AK375" s="119"/>
      <c r="AL375" s="119">
        <v>29</v>
      </c>
      <c r="AM375" s="119"/>
      <c r="AN375" s="119">
        <v>17.5</v>
      </c>
      <c r="AO375" s="119">
        <v>11</v>
      </c>
      <c r="AP375" s="119">
        <v>31.5</v>
      </c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5">
        <f>SUM(MC_2[[#This Row],[IS1Inv1M1]:[IS9Inv19M2]])</f>
        <v>138</v>
      </c>
      <c r="BF375" s="119"/>
      <c r="BG375" s="119"/>
      <c r="BH375" s="119"/>
      <c r="BI375" s="119"/>
      <c r="BJ375" s="119"/>
      <c r="BK375" s="119"/>
      <c r="BL375" s="121"/>
    </row>
    <row r="376" spans="1:64">
      <c r="A376" s="119">
        <v>374</v>
      </c>
      <c r="B376" s="113">
        <f t="shared" si="5"/>
        <v>45696</v>
      </c>
      <c r="C376" s="114">
        <f>YEAR(MC_2[[#This Row],[Date]])+IF(MONTH(MC_2[[#This Row],[Date]])&gt;=4,1,0)</f>
        <v>2025</v>
      </c>
      <c r="D376" s="115">
        <f>YEAR(MC_2[[#This Row],[Date]])</f>
        <v>2025</v>
      </c>
      <c r="E376" s="112" t="s">
        <v>326</v>
      </c>
      <c r="F376" s="112" t="s">
        <v>326</v>
      </c>
      <c r="G376" s="116" t="str">
        <f>TEXT(MC_2[[#This Row],[Date]],"mmm-yy")</f>
        <v>Feb-25</v>
      </c>
      <c r="H376" s="116">
        <f>DAY(EOMONTH(MC_2[[#This Row],[Month Year]],0))</f>
        <v>28</v>
      </c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>
        <v>45</v>
      </c>
      <c r="AI376" s="119"/>
      <c r="AJ376" s="119"/>
      <c r="AK376" s="119"/>
      <c r="AL376" s="119"/>
      <c r="AM376" s="119"/>
      <c r="AN376" s="119"/>
      <c r="AO376" s="119">
        <v>16</v>
      </c>
      <c r="AP376" s="119">
        <v>33</v>
      </c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5">
        <f>SUM(MC_2[[#This Row],[IS1Inv1M1]:[IS9Inv19M2]])</f>
        <v>94</v>
      </c>
      <c r="BF376" s="119"/>
      <c r="BG376" s="119"/>
      <c r="BH376" s="119"/>
      <c r="BI376" s="119"/>
      <c r="BJ376" s="119"/>
      <c r="BK376" s="119"/>
      <c r="BL376" s="121"/>
    </row>
    <row r="377" spans="1:64">
      <c r="A377" s="119">
        <v>375</v>
      </c>
      <c r="B377" s="113">
        <f t="shared" si="5"/>
        <v>45697</v>
      </c>
      <c r="C377" s="114">
        <f>YEAR(MC_2[[#This Row],[Date]])+IF(MONTH(MC_2[[#This Row],[Date]])&gt;=4,1,0)</f>
        <v>2025</v>
      </c>
      <c r="D377" s="115">
        <f>YEAR(MC_2[[#This Row],[Date]])</f>
        <v>2025</v>
      </c>
      <c r="E377" s="112" t="s">
        <v>326</v>
      </c>
      <c r="F377" s="112" t="s">
        <v>326</v>
      </c>
      <c r="G377" s="116" t="str">
        <f>TEXT(MC_2[[#This Row],[Date]],"mmm-yy")</f>
        <v>Feb-25</v>
      </c>
      <c r="H377" s="116">
        <f>DAY(EOMONTH(MC_2[[#This Row],[Month Year]],0))</f>
        <v>28</v>
      </c>
      <c r="I377" s="119"/>
      <c r="J377" s="119"/>
      <c r="K377" s="119"/>
      <c r="L377" s="119"/>
      <c r="M377" s="119"/>
      <c r="N377" s="119"/>
      <c r="O377" s="119"/>
      <c r="P377" s="119">
        <v>43</v>
      </c>
      <c r="Q377" s="119">
        <v>18</v>
      </c>
      <c r="R377" s="119">
        <v>15</v>
      </c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2"/>
      <c r="AN377" s="112"/>
      <c r="AO377" s="112">
        <v>17.5</v>
      </c>
      <c r="AP377" s="112"/>
      <c r="AQ377" s="112"/>
      <c r="AR377" s="112"/>
      <c r="AS377" s="112"/>
      <c r="AT377" s="112"/>
      <c r="AU377" s="112"/>
      <c r="AV377" s="112"/>
      <c r="AW377" s="112"/>
      <c r="AX377" s="112">
        <v>23.5</v>
      </c>
      <c r="AY377" s="112"/>
      <c r="AZ377" s="112"/>
      <c r="BA377" s="112"/>
      <c r="BB377" s="112"/>
      <c r="BC377" s="112"/>
      <c r="BD377" s="112"/>
      <c r="BE377" s="5">
        <f>SUM(MC_2[[#This Row],[IS1Inv1M1]:[IS9Inv19M2]])</f>
        <v>117</v>
      </c>
      <c r="BF377" s="119"/>
      <c r="BG377" s="119"/>
      <c r="BH377" s="119"/>
      <c r="BI377" s="119"/>
      <c r="BJ377" s="119"/>
      <c r="BK377" s="119"/>
      <c r="BL377" s="121"/>
    </row>
    <row r="378" spans="1:64">
      <c r="A378" s="119">
        <v>376</v>
      </c>
      <c r="B378" s="113">
        <f t="shared" si="5"/>
        <v>45698</v>
      </c>
      <c r="C378" s="114">
        <f>YEAR(MC_2[[#This Row],[Date]])+IF(MONTH(MC_2[[#This Row],[Date]])&gt;=4,1,0)</f>
        <v>2025</v>
      </c>
      <c r="D378" s="115">
        <f>YEAR(MC_2[[#This Row],[Date]])</f>
        <v>2025</v>
      </c>
      <c r="E378" s="112" t="s">
        <v>326</v>
      </c>
      <c r="F378" s="112" t="s">
        <v>326</v>
      </c>
      <c r="G378" s="116" t="str">
        <f>TEXT(MC_2[[#This Row],[Date]],"mmm-yy")</f>
        <v>Feb-25</v>
      </c>
      <c r="H378" s="116">
        <f>DAY(EOMONTH(MC_2[[#This Row],[Month Year]],0))</f>
        <v>28</v>
      </c>
      <c r="I378" s="119"/>
      <c r="J378" s="119"/>
      <c r="K378" s="119">
        <v>9</v>
      </c>
      <c r="L378" s="119">
        <v>50</v>
      </c>
      <c r="M378" s="119">
        <v>11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>
        <v>15</v>
      </c>
      <c r="AS378" s="119"/>
      <c r="AT378" s="119"/>
      <c r="AU378" s="119"/>
      <c r="AV378" s="119"/>
      <c r="AW378" s="119">
        <v>5</v>
      </c>
      <c r="AX378" s="119"/>
      <c r="AY378" s="119"/>
      <c r="AZ378" s="119">
        <v>20</v>
      </c>
      <c r="BA378" s="119"/>
      <c r="BB378" s="119"/>
      <c r="BC378" s="119"/>
      <c r="BD378" s="119"/>
      <c r="BE378" s="5">
        <f>SUM(MC_2[[#This Row],[IS1Inv1M1]:[IS9Inv19M2]])</f>
        <v>110</v>
      </c>
      <c r="BF378" s="119"/>
      <c r="BG378" s="119"/>
      <c r="BH378" s="119"/>
      <c r="BI378" s="119"/>
      <c r="BJ378" s="119"/>
      <c r="BK378" s="119"/>
      <c r="BL378" s="121"/>
    </row>
    <row r="379" spans="1:64">
      <c r="A379" s="119">
        <v>377</v>
      </c>
      <c r="B379" s="113">
        <f t="shared" si="5"/>
        <v>45699</v>
      </c>
      <c r="C379" s="114">
        <f>YEAR(MC_2[[#This Row],[Date]])+IF(MONTH(MC_2[[#This Row],[Date]])&gt;=4,1,0)</f>
        <v>2025</v>
      </c>
      <c r="D379" s="115">
        <f>YEAR(MC_2[[#This Row],[Date]])</f>
        <v>2025</v>
      </c>
      <c r="E379" s="112" t="s">
        <v>326</v>
      </c>
      <c r="F379" s="112" t="s">
        <v>326</v>
      </c>
      <c r="G379" s="116" t="str">
        <f>TEXT(MC_2[[#This Row],[Date]],"mmm-yy")</f>
        <v>Feb-25</v>
      </c>
      <c r="H379" s="116">
        <f>DAY(EOMONTH(MC_2[[#This Row],[Month Year]],0))</f>
        <v>28</v>
      </c>
      <c r="I379" s="119"/>
      <c r="J379" s="119"/>
      <c r="K379" s="119"/>
      <c r="L379" s="119">
        <v>49</v>
      </c>
      <c r="M379" s="119">
        <v>27.5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>
        <v>9.5</v>
      </c>
      <c r="AR379" s="119"/>
      <c r="AS379" s="119"/>
      <c r="AT379" s="119"/>
      <c r="AU379" s="119"/>
      <c r="AV379" s="119"/>
      <c r="AW379" s="119">
        <v>19</v>
      </c>
      <c r="AX379" s="119"/>
      <c r="AY379" s="119">
        <v>29</v>
      </c>
      <c r="AZ379" s="119">
        <v>3</v>
      </c>
      <c r="BA379" s="119"/>
      <c r="BB379" s="119"/>
      <c r="BC379" s="119"/>
      <c r="BD379" s="119"/>
      <c r="BE379" s="5">
        <f>SUM(MC_2[[#This Row],[IS1Inv1M1]:[IS9Inv19M2]])</f>
        <v>137</v>
      </c>
      <c r="BF379" s="119"/>
      <c r="BG379" s="119"/>
      <c r="BH379" s="119"/>
      <c r="BI379" s="119"/>
      <c r="BJ379" s="119"/>
      <c r="BK379" s="119"/>
      <c r="BL379" s="121"/>
    </row>
    <row r="380" spans="1:64">
      <c r="A380" s="119">
        <v>378</v>
      </c>
      <c r="B380" s="113">
        <f t="shared" si="5"/>
        <v>45700</v>
      </c>
      <c r="C380" s="114">
        <f>YEAR(MC_2[[#This Row],[Date]])+IF(MONTH(MC_2[[#This Row],[Date]])&gt;=4,1,0)</f>
        <v>2025</v>
      </c>
      <c r="D380" s="115">
        <f>YEAR(MC_2[[#This Row],[Date]])</f>
        <v>2025</v>
      </c>
      <c r="E380" s="112" t="s">
        <v>326</v>
      </c>
      <c r="F380" s="112" t="s">
        <v>326</v>
      </c>
      <c r="G380" s="116" t="str">
        <f>TEXT(MC_2[[#This Row],[Date]],"mmm-yy")</f>
        <v>Feb-25</v>
      </c>
      <c r="H380" s="116">
        <f>DAY(EOMONTH(MC_2[[#This Row],[Month Year]],0))</f>
        <v>28</v>
      </c>
      <c r="I380" s="119"/>
      <c r="J380" s="119"/>
      <c r="K380" s="119"/>
      <c r="L380" s="119"/>
      <c r="M380" s="119"/>
      <c r="N380" s="119">
        <v>17</v>
      </c>
      <c r="O380" s="119"/>
      <c r="P380" s="119"/>
      <c r="Q380" s="119">
        <v>21.5</v>
      </c>
      <c r="R380" s="119">
        <v>26</v>
      </c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>
        <v>23.5</v>
      </c>
      <c r="AX380" s="119">
        <v>10.5</v>
      </c>
      <c r="AY380" s="119">
        <v>17</v>
      </c>
      <c r="AZ380" s="119"/>
      <c r="BA380" s="119"/>
      <c r="BB380" s="119"/>
      <c r="BC380" s="119"/>
      <c r="BD380" s="119"/>
      <c r="BE380" s="5">
        <f>SUM(MC_2[[#This Row],[IS1Inv1M1]:[IS9Inv19M2]])</f>
        <v>115.5</v>
      </c>
      <c r="BF380" s="119"/>
      <c r="BG380" s="119"/>
      <c r="BH380" s="119"/>
      <c r="BI380" s="119"/>
      <c r="BJ380" s="119"/>
      <c r="BK380" s="119"/>
      <c r="BL380" s="121"/>
    </row>
    <row r="381" spans="1:64">
      <c r="A381" s="119">
        <v>379</v>
      </c>
      <c r="B381" s="113">
        <f t="shared" si="5"/>
        <v>45701</v>
      </c>
      <c r="C381" s="114">
        <f>YEAR(MC_2[[#This Row],[Date]])+IF(MONTH(MC_2[[#This Row],[Date]])&gt;=4,1,0)</f>
        <v>2025</v>
      </c>
      <c r="D381" s="115">
        <f>YEAR(MC_2[[#This Row],[Date]])</f>
        <v>2025</v>
      </c>
      <c r="E381" s="112" t="s">
        <v>326</v>
      </c>
      <c r="F381" s="112" t="s">
        <v>326</v>
      </c>
      <c r="G381" s="116" t="str">
        <f>TEXT(MC_2[[#This Row],[Date]],"mmm-yy")</f>
        <v>Feb-25</v>
      </c>
      <c r="H381" s="116">
        <f>DAY(EOMONTH(MC_2[[#This Row],[Month Year]],0))</f>
        <v>28</v>
      </c>
      <c r="I381" s="119"/>
      <c r="J381" s="119"/>
      <c r="K381" s="119"/>
      <c r="L381" s="119"/>
      <c r="M381" s="119"/>
      <c r="N381" s="119">
        <v>27</v>
      </c>
      <c r="O381" s="119">
        <v>36.5</v>
      </c>
      <c r="P381" s="119">
        <v>1.5</v>
      </c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>
        <v>22</v>
      </c>
      <c r="AU381" s="119">
        <v>7</v>
      </c>
      <c r="AV381" s="119">
        <v>5</v>
      </c>
      <c r="AW381" s="119"/>
      <c r="AX381" s="119"/>
      <c r="AY381" s="119"/>
      <c r="AZ381" s="119">
        <v>22</v>
      </c>
      <c r="BA381" s="119"/>
      <c r="BB381" s="119"/>
      <c r="BC381" s="119"/>
      <c r="BD381" s="119"/>
      <c r="BE381" s="5">
        <f>SUM(MC_2[[#This Row],[IS1Inv1M1]:[IS9Inv19M2]])</f>
        <v>121</v>
      </c>
      <c r="BF381" s="119"/>
      <c r="BG381" s="119"/>
      <c r="BH381" s="119"/>
      <c r="BI381" s="119"/>
      <c r="BJ381" s="119"/>
      <c r="BK381" s="119"/>
      <c r="BL381" s="121"/>
    </row>
    <row r="382" spans="1:64">
      <c r="A382" s="119">
        <v>380</v>
      </c>
      <c r="B382" s="113">
        <f t="shared" si="5"/>
        <v>45702</v>
      </c>
      <c r="C382" s="114">
        <f>YEAR(MC_2[[#This Row],[Date]])+IF(MONTH(MC_2[[#This Row],[Date]])&gt;=4,1,0)</f>
        <v>2025</v>
      </c>
      <c r="D382" s="115">
        <f>YEAR(MC_2[[#This Row],[Date]])</f>
        <v>2025</v>
      </c>
      <c r="E382" s="112" t="s">
        <v>326</v>
      </c>
      <c r="F382" s="112" t="s">
        <v>326</v>
      </c>
      <c r="G382" s="116" t="str">
        <f>TEXT(MC_2[[#This Row],[Date]],"mmm-yy")</f>
        <v>Feb-25</v>
      </c>
      <c r="H382" s="116">
        <f>DAY(EOMONTH(MC_2[[#This Row],[Month Year]],0))</f>
        <v>28</v>
      </c>
      <c r="I382" s="119"/>
      <c r="J382" s="119"/>
      <c r="K382" s="119"/>
      <c r="L382" s="119"/>
      <c r="M382" s="119">
        <v>21</v>
      </c>
      <c r="N382" s="119"/>
      <c r="O382" s="119">
        <v>10.5</v>
      </c>
      <c r="P382" s="119">
        <v>8</v>
      </c>
      <c r="Q382" s="119">
        <v>8</v>
      </c>
      <c r="R382" s="119"/>
      <c r="S382" s="119"/>
      <c r="T382" s="119"/>
      <c r="U382" s="119">
        <v>6</v>
      </c>
      <c r="V382" s="119">
        <v>16</v>
      </c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>
        <v>35</v>
      </c>
      <c r="AV382" s="119">
        <v>30.5</v>
      </c>
      <c r="AW382" s="119"/>
      <c r="AX382" s="119"/>
      <c r="AY382" s="119"/>
      <c r="AZ382" s="119">
        <v>7.5</v>
      </c>
      <c r="BA382" s="119"/>
      <c r="BB382" s="119"/>
      <c r="BC382" s="119"/>
      <c r="BD382" s="119"/>
      <c r="BE382" s="5">
        <f>SUM(MC_2[[#This Row],[IS1Inv1M1]:[IS9Inv19M2]])</f>
        <v>142.5</v>
      </c>
      <c r="BF382" s="119"/>
      <c r="BG382" s="119"/>
      <c r="BH382" s="119"/>
      <c r="BI382" s="119"/>
      <c r="BJ382" s="119"/>
      <c r="BK382" s="119"/>
      <c r="BL382" s="121"/>
    </row>
    <row r="383" spans="1:64">
      <c r="A383" s="119">
        <v>381</v>
      </c>
      <c r="B383" s="113">
        <f t="shared" si="5"/>
        <v>45703</v>
      </c>
      <c r="C383" s="114">
        <f>YEAR(MC_2[[#This Row],[Date]])+IF(MONTH(MC_2[[#This Row],[Date]])&gt;=4,1,0)</f>
        <v>2025</v>
      </c>
      <c r="D383" s="115">
        <f>YEAR(MC_2[[#This Row],[Date]])</f>
        <v>2025</v>
      </c>
      <c r="E383" s="112" t="s">
        <v>326</v>
      </c>
      <c r="F383" s="112" t="s">
        <v>326</v>
      </c>
      <c r="G383" s="116" t="str">
        <f>TEXT(MC_2[[#This Row],[Date]],"mmm-yy")</f>
        <v>Feb-25</v>
      </c>
      <c r="H383" s="116">
        <f>DAY(EOMONTH(MC_2[[#This Row],[Month Year]],0))</f>
        <v>28</v>
      </c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>
        <v>22.5</v>
      </c>
      <c r="U383" s="119">
        <v>36</v>
      </c>
      <c r="V383" s="119"/>
      <c r="W383" s="119"/>
      <c r="X383" s="119">
        <v>17.5</v>
      </c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>
        <v>19.5</v>
      </c>
      <c r="AP383" s="119"/>
      <c r="AQ383" s="119"/>
      <c r="AR383" s="119"/>
      <c r="AS383" s="119"/>
      <c r="AT383" s="119"/>
      <c r="AU383" s="119">
        <v>17</v>
      </c>
      <c r="AV383" s="119"/>
      <c r="AW383" s="119"/>
      <c r="AX383" s="119"/>
      <c r="AY383" s="119"/>
      <c r="AZ383" s="119">
        <v>24</v>
      </c>
      <c r="BA383" s="119">
        <v>15</v>
      </c>
      <c r="BB383" s="119"/>
      <c r="BC383" s="119"/>
      <c r="BD383" s="119"/>
      <c r="BE383" s="5">
        <f>SUM(MC_2[[#This Row],[IS1Inv1M1]:[IS9Inv19M2]])</f>
        <v>151.5</v>
      </c>
      <c r="BF383" s="119"/>
      <c r="BG383" s="119"/>
      <c r="BH383" s="119"/>
      <c r="BI383" s="119"/>
      <c r="BJ383" s="119"/>
      <c r="BK383" s="119"/>
      <c r="BL383" s="121"/>
    </row>
    <row r="384" spans="1:64">
      <c r="A384" s="119">
        <v>382</v>
      </c>
      <c r="B384" s="113">
        <f t="shared" si="5"/>
        <v>45704</v>
      </c>
      <c r="C384" s="114">
        <f>YEAR(MC_2[[#This Row],[Date]])+IF(MONTH(MC_2[[#This Row],[Date]])&gt;=4,1,0)</f>
        <v>2025</v>
      </c>
      <c r="D384" s="115">
        <f>YEAR(MC_2[[#This Row],[Date]])</f>
        <v>2025</v>
      </c>
      <c r="E384" s="112" t="s">
        <v>326</v>
      </c>
      <c r="F384" s="112" t="s">
        <v>326</v>
      </c>
      <c r="G384" s="116" t="str">
        <f>TEXT(MC_2[[#This Row],[Date]],"mmm-yy")</f>
        <v>Feb-25</v>
      </c>
      <c r="H384" s="116">
        <f>DAY(EOMONTH(MC_2[[#This Row],[Month Year]],0))</f>
        <v>28</v>
      </c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>
        <v>10</v>
      </c>
      <c r="U384" s="119"/>
      <c r="V384" s="119"/>
      <c r="W384" s="119"/>
      <c r="X384" s="119">
        <v>6</v>
      </c>
      <c r="Y384" s="119">
        <v>48</v>
      </c>
      <c r="Z384" s="119">
        <v>7</v>
      </c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>
        <v>51</v>
      </c>
      <c r="BB384" s="119">
        <v>30</v>
      </c>
      <c r="BC384" s="119"/>
      <c r="BD384" s="119"/>
      <c r="BE384" s="5">
        <f>SUM(MC_2[[#This Row],[IS1Inv1M1]:[IS9Inv19M2]])</f>
        <v>152</v>
      </c>
      <c r="BF384" s="119"/>
      <c r="BG384" s="119"/>
      <c r="BH384" s="119"/>
      <c r="BI384" s="119"/>
      <c r="BJ384" s="119"/>
      <c r="BK384" s="119"/>
      <c r="BL384" s="121"/>
    </row>
    <row r="385" spans="1:64">
      <c r="A385" s="119">
        <v>383</v>
      </c>
      <c r="B385" s="113">
        <f t="shared" si="5"/>
        <v>45705</v>
      </c>
      <c r="C385" s="114">
        <f>YEAR(MC_2[[#This Row],[Date]])+IF(MONTH(MC_2[[#This Row],[Date]])&gt;=4,1,0)</f>
        <v>2025</v>
      </c>
      <c r="D385" s="115">
        <f>YEAR(MC_2[[#This Row],[Date]])</f>
        <v>2025</v>
      </c>
      <c r="E385" s="112" t="s">
        <v>326</v>
      </c>
      <c r="F385" s="112" t="s">
        <v>326</v>
      </c>
      <c r="G385" s="116" t="str">
        <f>TEXT(MC_2[[#This Row],[Date]],"mmm-yy")</f>
        <v>Feb-25</v>
      </c>
      <c r="H385" s="116">
        <f>DAY(EOMONTH(MC_2[[#This Row],[Month Year]],0))</f>
        <v>28</v>
      </c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>
        <v>36</v>
      </c>
      <c r="T385" s="119">
        <v>14</v>
      </c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>
        <v>39</v>
      </c>
      <c r="BC385" s="119">
        <v>40</v>
      </c>
      <c r="BD385" s="119"/>
      <c r="BE385" s="5">
        <f>SUM(MC_2[[#This Row],[IS1Inv1M1]:[IS9Inv19M2]])</f>
        <v>129</v>
      </c>
      <c r="BF385" s="119"/>
      <c r="BG385" s="119"/>
      <c r="BH385" s="119"/>
      <c r="BI385" s="119"/>
      <c r="BJ385" s="119"/>
      <c r="BK385" s="119"/>
      <c r="BL385" s="121"/>
    </row>
    <row r="386" spans="1:64">
      <c r="A386" s="119">
        <v>384</v>
      </c>
      <c r="B386" s="113">
        <f t="shared" si="5"/>
        <v>45706</v>
      </c>
      <c r="C386" s="114">
        <f>YEAR(MC_2[[#This Row],[Date]])+IF(MONTH(MC_2[[#This Row],[Date]])&gt;=4,1,0)</f>
        <v>2025</v>
      </c>
      <c r="D386" s="115">
        <f>YEAR(MC_2[[#This Row],[Date]])</f>
        <v>2025</v>
      </c>
      <c r="E386" s="112" t="s">
        <v>326</v>
      </c>
      <c r="F386" s="112" t="s">
        <v>326</v>
      </c>
      <c r="G386" s="116" t="str">
        <f>TEXT(MC_2[[#This Row],[Date]],"mmm-yy")</f>
        <v>Feb-25</v>
      </c>
      <c r="H386" s="116">
        <f>DAY(EOMONTH(MC_2[[#This Row],[Month Year]],0))</f>
        <v>28</v>
      </c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5">
        <f>SUM(MC_2[[#This Row],[IS1Inv1M1]:[IS9Inv19M2]])</f>
        <v>0</v>
      </c>
      <c r="BF386" s="119"/>
      <c r="BG386" s="119"/>
      <c r="BH386" s="119"/>
      <c r="BI386" s="119"/>
      <c r="BJ386" s="119"/>
      <c r="BK386" s="119"/>
      <c r="BL386" s="121"/>
    </row>
    <row r="387" spans="1:64">
      <c r="A387" s="119">
        <v>385</v>
      </c>
      <c r="B387" s="113">
        <f t="shared" si="5"/>
        <v>45707</v>
      </c>
      <c r="C387" s="114">
        <f>YEAR(MC_2[[#This Row],[Date]])+IF(MONTH(MC_2[[#This Row],[Date]])&gt;=4,1,0)</f>
        <v>2025</v>
      </c>
      <c r="D387" s="115">
        <f>YEAR(MC_2[[#This Row],[Date]])</f>
        <v>2025</v>
      </c>
      <c r="E387" s="112" t="s">
        <v>326</v>
      </c>
      <c r="F387" s="112" t="s">
        <v>326</v>
      </c>
      <c r="G387" s="116" t="str">
        <f>TEXT(MC_2[[#This Row],[Date]],"mmm-yy")</f>
        <v>Feb-25</v>
      </c>
      <c r="H387" s="116">
        <f>DAY(EOMONTH(MC_2[[#This Row],[Month Year]],0))</f>
        <v>28</v>
      </c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>
        <v>16.5</v>
      </c>
      <c r="W387" s="119">
        <v>29</v>
      </c>
      <c r="X387" s="119"/>
      <c r="Y387" s="119"/>
      <c r="Z387" s="119">
        <v>12</v>
      </c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>
        <v>20.5</v>
      </c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>
        <v>41</v>
      </c>
      <c r="BE387" s="5">
        <f>SUM(MC_2[[#This Row],[IS1Inv1M1]:[IS9Inv19M2]])</f>
        <v>119</v>
      </c>
      <c r="BF387" s="119"/>
      <c r="BG387" s="119"/>
      <c r="BH387" s="119"/>
      <c r="BI387" s="119"/>
      <c r="BJ387" s="119"/>
      <c r="BK387" s="119"/>
      <c r="BL387" s="121"/>
    </row>
    <row r="388" spans="1:64">
      <c r="A388" s="119">
        <v>386</v>
      </c>
      <c r="B388" s="113">
        <f t="shared" si="5"/>
        <v>45708</v>
      </c>
      <c r="C388" s="114">
        <f>YEAR(MC_2[[#This Row],[Date]])+IF(MONTH(MC_2[[#This Row],[Date]])&gt;=4,1,0)</f>
        <v>2025</v>
      </c>
      <c r="D388" s="115">
        <f>YEAR(MC_2[[#This Row],[Date]])</f>
        <v>2025</v>
      </c>
      <c r="E388" s="112" t="s">
        <v>326</v>
      </c>
      <c r="F388" s="112" t="s">
        <v>326</v>
      </c>
      <c r="G388" s="116" t="str">
        <f>TEXT(MC_2[[#This Row],[Date]],"mmm-yy")</f>
        <v>Feb-25</v>
      </c>
      <c r="H388" s="116">
        <f>DAY(EOMONTH(MC_2[[#This Row],[Month Year]],0))</f>
        <v>28</v>
      </c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>
        <v>17</v>
      </c>
      <c r="AN388" s="119"/>
      <c r="AO388" s="119"/>
      <c r="AP388" s="119"/>
      <c r="AQ388" s="119">
        <v>21</v>
      </c>
      <c r="AR388" s="119">
        <v>8</v>
      </c>
      <c r="AS388" s="119">
        <v>12.5</v>
      </c>
      <c r="AT388" s="119">
        <v>15</v>
      </c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5">
        <f>SUM(MC_2[[#This Row],[IS1Inv1M1]:[IS9Inv19M2]])</f>
        <v>73.5</v>
      </c>
      <c r="BF388" s="119"/>
      <c r="BG388" s="119"/>
      <c r="BH388" s="119"/>
      <c r="BI388" s="119"/>
      <c r="BJ388" s="119"/>
      <c r="BK388" s="119"/>
      <c r="BL388" s="121"/>
    </row>
    <row r="389" spans="1:64">
      <c r="A389" s="119">
        <v>387</v>
      </c>
      <c r="B389" s="113">
        <f t="shared" ref="B389:B452" si="6">B388+1</f>
        <v>45709</v>
      </c>
      <c r="C389" s="114">
        <f>YEAR(MC_2[[#This Row],[Date]])+IF(MONTH(MC_2[[#This Row],[Date]])&gt;=4,1,0)</f>
        <v>2025</v>
      </c>
      <c r="D389" s="115">
        <f>YEAR(MC_2[[#This Row],[Date]])</f>
        <v>2025</v>
      </c>
      <c r="E389" s="112" t="s">
        <v>326</v>
      </c>
      <c r="F389" s="112" t="s">
        <v>326</v>
      </c>
      <c r="G389" s="116" t="str">
        <f>TEXT(MC_2[[#This Row],[Date]],"mmm-yy")</f>
        <v>Feb-25</v>
      </c>
      <c r="H389" s="116">
        <f>DAY(EOMONTH(MC_2[[#This Row],[Month Year]],0))</f>
        <v>28</v>
      </c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>
        <v>16</v>
      </c>
      <c r="X389" s="119">
        <v>19</v>
      </c>
      <c r="Y389" s="119"/>
      <c r="Z389" s="119"/>
      <c r="AA389" s="119">
        <v>32</v>
      </c>
      <c r="AB389" s="119"/>
      <c r="AC389" s="119">
        <v>6</v>
      </c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>
        <v>35</v>
      </c>
      <c r="AN389" s="119">
        <v>25</v>
      </c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5">
        <f>SUM(MC_2[[#This Row],[IS1Inv1M1]:[IS9Inv19M2]])</f>
        <v>133</v>
      </c>
      <c r="BF389" s="119"/>
      <c r="BG389" s="119"/>
      <c r="BH389" s="119"/>
      <c r="BI389" s="119"/>
      <c r="BJ389" s="119"/>
      <c r="BK389" s="119"/>
      <c r="BL389" s="121"/>
    </row>
    <row r="390" spans="1:64">
      <c r="A390" s="119">
        <v>388</v>
      </c>
      <c r="B390" s="113">
        <f t="shared" si="6"/>
        <v>45710</v>
      </c>
      <c r="C390" s="114">
        <f>YEAR(MC_2[[#This Row],[Date]])+IF(MONTH(MC_2[[#This Row],[Date]])&gt;=4,1,0)</f>
        <v>2025</v>
      </c>
      <c r="D390" s="115">
        <f>YEAR(MC_2[[#This Row],[Date]])</f>
        <v>2025</v>
      </c>
      <c r="E390" s="112" t="s">
        <v>326</v>
      </c>
      <c r="F390" s="112" t="s">
        <v>326</v>
      </c>
      <c r="G390" s="116" t="str">
        <f>TEXT(MC_2[[#This Row],[Date]],"mmm-yy")</f>
        <v>Feb-25</v>
      </c>
      <c r="H390" s="116">
        <f>DAY(EOMONTH(MC_2[[#This Row],[Month Year]],0))</f>
        <v>28</v>
      </c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>
        <v>28</v>
      </c>
      <c r="AB390" s="119">
        <v>50</v>
      </c>
      <c r="AC390" s="119"/>
      <c r="AD390" s="119">
        <v>2</v>
      </c>
      <c r="AE390" s="119"/>
      <c r="AF390" s="119"/>
      <c r="AG390" s="119"/>
      <c r="AH390" s="119"/>
      <c r="AI390" s="119"/>
      <c r="AJ390" s="119"/>
      <c r="AK390" s="119"/>
      <c r="AL390" s="119"/>
      <c r="AM390" s="119">
        <v>3</v>
      </c>
      <c r="AN390" s="119">
        <v>6</v>
      </c>
      <c r="AO390" s="119"/>
      <c r="AP390" s="119"/>
      <c r="AQ390" s="119">
        <v>28</v>
      </c>
      <c r="AR390" s="119">
        <v>23.5</v>
      </c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5">
        <f>SUM(MC_2[[#This Row],[IS1Inv1M1]:[IS9Inv19M2]])</f>
        <v>140.5</v>
      </c>
      <c r="BF390" s="119"/>
      <c r="BG390" s="119"/>
      <c r="BH390" s="119"/>
      <c r="BI390" s="119"/>
      <c r="BJ390" s="119"/>
      <c r="BK390" s="119"/>
      <c r="BL390" s="121"/>
    </row>
    <row r="391" spans="1:64">
      <c r="A391" s="119">
        <v>389</v>
      </c>
      <c r="B391" s="113">
        <f t="shared" si="6"/>
        <v>45711</v>
      </c>
      <c r="C391" s="114">
        <f>YEAR(MC_2[[#This Row],[Date]])+IF(MONTH(MC_2[[#This Row],[Date]])&gt;=4,1,0)</f>
        <v>2025</v>
      </c>
      <c r="D391" s="115">
        <f>YEAR(MC_2[[#This Row],[Date]])</f>
        <v>2025</v>
      </c>
      <c r="E391" s="112" t="s">
        <v>326</v>
      </c>
      <c r="F391" s="112" t="s">
        <v>326</v>
      </c>
      <c r="G391" s="116" t="str">
        <f>TEXT(MC_2[[#This Row],[Date]],"mmm-yy")</f>
        <v>Feb-25</v>
      </c>
      <c r="H391" s="116">
        <f>DAY(EOMONTH(MC_2[[#This Row],[Month Year]],0))</f>
        <v>28</v>
      </c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>
        <v>8</v>
      </c>
      <c r="AB391" s="119">
        <v>19</v>
      </c>
      <c r="AC391" s="119">
        <v>53</v>
      </c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5">
        <f>SUM(MC_2[[#This Row],[IS1Inv1M1]:[IS9Inv19M2]])</f>
        <v>80</v>
      </c>
      <c r="BF391" s="119"/>
      <c r="BG391" s="119"/>
      <c r="BH391" s="119"/>
      <c r="BI391" s="119"/>
      <c r="BJ391" s="119"/>
      <c r="BK391" s="119"/>
      <c r="BL391" s="121"/>
    </row>
    <row r="392" spans="1:64">
      <c r="A392" s="119">
        <v>390</v>
      </c>
      <c r="B392" s="113">
        <f t="shared" si="6"/>
        <v>45712</v>
      </c>
      <c r="C392" s="114">
        <f>YEAR(MC_2[[#This Row],[Date]])+IF(MONTH(MC_2[[#This Row],[Date]])&gt;=4,1,0)</f>
        <v>2025</v>
      </c>
      <c r="D392" s="115">
        <f>YEAR(MC_2[[#This Row],[Date]])</f>
        <v>2025</v>
      </c>
      <c r="E392" s="112" t="s">
        <v>326</v>
      </c>
      <c r="F392" s="112" t="s">
        <v>326</v>
      </c>
      <c r="G392" s="116" t="str">
        <f>TEXT(MC_2[[#This Row],[Date]],"mmm-yy")</f>
        <v>Feb-25</v>
      </c>
      <c r="H392" s="116">
        <f>DAY(EOMONTH(MC_2[[#This Row],[Month Year]],0))</f>
        <v>28</v>
      </c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>
        <v>9</v>
      </c>
      <c r="AD392" s="119">
        <v>68</v>
      </c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>
        <v>29</v>
      </c>
      <c r="AO392" s="119">
        <v>5.5</v>
      </c>
      <c r="AP392" s="119">
        <v>3</v>
      </c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5">
        <f>SUM(MC_2[[#This Row],[IS1Inv1M1]:[IS9Inv19M2]])</f>
        <v>114.5</v>
      </c>
      <c r="BF392" s="119"/>
      <c r="BG392" s="119"/>
      <c r="BH392" s="119"/>
      <c r="BI392" s="119"/>
      <c r="BJ392" s="119"/>
      <c r="BK392" s="119"/>
      <c r="BL392" s="121"/>
    </row>
    <row r="393" spans="1:64">
      <c r="A393" s="119">
        <v>391</v>
      </c>
      <c r="B393" s="113">
        <f t="shared" si="6"/>
        <v>45713</v>
      </c>
      <c r="C393" s="114">
        <f>YEAR(MC_2[[#This Row],[Date]])+IF(MONTH(MC_2[[#This Row],[Date]])&gt;=4,1,0)</f>
        <v>2025</v>
      </c>
      <c r="D393" s="115">
        <f>YEAR(MC_2[[#This Row],[Date]])</f>
        <v>2025</v>
      </c>
      <c r="E393" s="112" t="s">
        <v>326</v>
      </c>
      <c r="F393" s="112" t="s">
        <v>326</v>
      </c>
      <c r="G393" s="116" t="str">
        <f>TEXT(MC_2[[#This Row],[Date]],"mmm-yy")</f>
        <v>Feb-25</v>
      </c>
      <c r="H393" s="116">
        <f>DAY(EOMONTH(MC_2[[#This Row],[Month Year]],0))</f>
        <v>28</v>
      </c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>
        <v>11</v>
      </c>
      <c r="AF393" s="119"/>
      <c r="AG393" s="119"/>
      <c r="AH393" s="119"/>
      <c r="AI393" s="119"/>
      <c r="AJ393" s="119">
        <v>69</v>
      </c>
      <c r="AK393" s="119"/>
      <c r="AL393" s="119"/>
      <c r="AM393" s="119"/>
      <c r="AN393" s="119"/>
      <c r="AO393" s="119">
        <v>5</v>
      </c>
      <c r="AP393" s="119">
        <v>17</v>
      </c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5">
        <f>SUM(MC_2[[#This Row],[IS1Inv1M1]:[IS9Inv19M2]])</f>
        <v>102</v>
      </c>
      <c r="BF393" s="119"/>
      <c r="BG393" s="119"/>
      <c r="BH393" s="119"/>
      <c r="BI393" s="119"/>
      <c r="BJ393" s="119"/>
      <c r="BK393" s="119"/>
      <c r="BL393" s="121"/>
    </row>
    <row r="394" spans="1:64">
      <c r="A394" s="119">
        <v>392</v>
      </c>
      <c r="B394" s="113">
        <f t="shared" si="6"/>
        <v>45714</v>
      </c>
      <c r="C394" s="114">
        <f>YEAR(MC_2[[#This Row],[Date]])+IF(MONTH(MC_2[[#This Row],[Date]])&gt;=4,1,0)</f>
        <v>2025</v>
      </c>
      <c r="D394" s="115">
        <f>YEAR(MC_2[[#This Row],[Date]])</f>
        <v>2025</v>
      </c>
      <c r="E394" s="112" t="s">
        <v>326</v>
      </c>
      <c r="F394" s="112" t="s">
        <v>326</v>
      </c>
      <c r="G394" s="116" t="str">
        <f>TEXT(MC_2[[#This Row],[Date]],"mmm-yy")</f>
        <v>Feb-25</v>
      </c>
      <c r="H394" s="116">
        <f>DAY(EOMONTH(MC_2[[#This Row],[Month Year]],0))</f>
        <v>28</v>
      </c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>
        <v>46</v>
      </c>
      <c r="AF394" s="119"/>
      <c r="AG394" s="119"/>
      <c r="AH394" s="119"/>
      <c r="AI394" s="119">
        <v>33</v>
      </c>
      <c r="AJ394" s="119"/>
      <c r="AK394" s="119"/>
      <c r="AL394" s="119"/>
      <c r="AM394" s="112"/>
      <c r="AN394" s="112"/>
      <c r="AO394" s="112">
        <v>3.5</v>
      </c>
      <c r="AP394" s="112"/>
      <c r="AQ394" s="112"/>
      <c r="AR394" s="112"/>
      <c r="AS394" s="112"/>
      <c r="AT394" s="112"/>
      <c r="AU394" s="112"/>
      <c r="AV394" s="112"/>
      <c r="AW394" s="112"/>
      <c r="AX394" s="112">
        <v>10.5</v>
      </c>
      <c r="AY394" s="112"/>
      <c r="AZ394" s="112"/>
      <c r="BA394" s="112"/>
      <c r="BB394" s="112"/>
      <c r="BC394" s="112"/>
      <c r="BD394" s="112"/>
      <c r="BE394" s="5">
        <f>SUM(MC_2[[#This Row],[IS1Inv1M1]:[IS9Inv19M2]])</f>
        <v>93</v>
      </c>
      <c r="BF394" s="119"/>
      <c r="BG394" s="119"/>
      <c r="BH394" s="119"/>
      <c r="BI394" s="119"/>
      <c r="BJ394" s="119"/>
      <c r="BK394" s="119"/>
      <c r="BL394" s="121"/>
    </row>
    <row r="395" spans="1:64">
      <c r="A395" s="119">
        <v>393</v>
      </c>
      <c r="B395" s="113">
        <f t="shared" si="6"/>
        <v>45715</v>
      </c>
      <c r="C395" s="114">
        <f>YEAR(MC_2[[#This Row],[Date]])+IF(MONTH(MC_2[[#This Row],[Date]])&gt;=4,1,0)</f>
        <v>2025</v>
      </c>
      <c r="D395" s="115">
        <f>YEAR(MC_2[[#This Row],[Date]])</f>
        <v>2025</v>
      </c>
      <c r="E395" s="112" t="s">
        <v>326</v>
      </c>
      <c r="F395" s="112" t="s">
        <v>326</v>
      </c>
      <c r="G395" s="116" t="str">
        <f>TEXT(MC_2[[#This Row],[Date]],"mmm-yy")</f>
        <v>Feb-25</v>
      </c>
      <c r="H395" s="116">
        <f>DAY(EOMONTH(MC_2[[#This Row],[Month Year]],0))</f>
        <v>28</v>
      </c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>
        <v>10</v>
      </c>
      <c r="AF395" s="119">
        <v>15</v>
      </c>
      <c r="AG395" s="119"/>
      <c r="AH395" s="119"/>
      <c r="AI395" s="119">
        <v>35</v>
      </c>
      <c r="AJ395" s="119"/>
      <c r="AK395" s="119">
        <v>4</v>
      </c>
      <c r="AL395" s="119"/>
      <c r="AM395" s="119"/>
      <c r="AN395" s="119"/>
      <c r="AO395" s="119"/>
      <c r="AP395" s="119"/>
      <c r="AQ395" s="119">
        <v>5.5</v>
      </c>
      <c r="AR395" s="119"/>
      <c r="AS395" s="119"/>
      <c r="AT395" s="119">
        <v>5</v>
      </c>
      <c r="AU395" s="119"/>
      <c r="AV395" s="119"/>
      <c r="AW395" s="119"/>
      <c r="AX395" s="119">
        <v>32.5</v>
      </c>
      <c r="AY395" s="119"/>
      <c r="AZ395" s="119"/>
      <c r="BA395" s="119"/>
      <c r="BB395" s="119"/>
      <c r="BC395" s="119"/>
      <c r="BD395" s="119"/>
      <c r="BE395" s="5">
        <f>SUM(MC_2[[#This Row],[IS1Inv1M1]:[IS9Inv19M2]])</f>
        <v>107</v>
      </c>
      <c r="BF395" s="119"/>
      <c r="BG395" s="119"/>
      <c r="BH395" s="119"/>
      <c r="BI395" s="119"/>
      <c r="BJ395" s="119"/>
      <c r="BK395" s="119"/>
      <c r="BL395" s="121"/>
    </row>
    <row r="396" spans="1:64">
      <c r="A396" s="119">
        <v>394</v>
      </c>
      <c r="B396" s="113">
        <f t="shared" si="6"/>
        <v>45716</v>
      </c>
      <c r="C396" s="114">
        <f>YEAR(MC_2[[#This Row],[Date]])+IF(MONTH(MC_2[[#This Row],[Date]])&gt;=4,1,0)</f>
        <v>2025</v>
      </c>
      <c r="D396" s="115">
        <f>YEAR(MC_2[[#This Row],[Date]])</f>
        <v>2025</v>
      </c>
      <c r="E396" s="112" t="s">
        <v>326</v>
      </c>
      <c r="F396" s="112" t="s">
        <v>326</v>
      </c>
      <c r="G396" s="116" t="str">
        <f>TEXT(MC_2[[#This Row],[Date]],"mmm-yy")</f>
        <v>Feb-25</v>
      </c>
      <c r="H396" s="116">
        <f>DAY(EOMONTH(MC_2[[#This Row],[Month Year]],0))</f>
        <v>28</v>
      </c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>
        <v>38</v>
      </c>
      <c r="AH396" s="119"/>
      <c r="AI396" s="119"/>
      <c r="AJ396" s="119"/>
      <c r="AK396" s="119">
        <v>41</v>
      </c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5">
        <f>SUM(MC_2[[#This Row],[IS1Inv1M1]:[IS9Inv19M2]])</f>
        <v>79</v>
      </c>
      <c r="BF396" s="119"/>
      <c r="BG396" s="119"/>
      <c r="BH396" s="119"/>
      <c r="BI396" s="119"/>
      <c r="BJ396" s="119"/>
      <c r="BK396" s="119"/>
      <c r="BL396" s="119"/>
    </row>
    <row r="397" spans="1:64">
      <c r="A397" s="119">
        <v>395</v>
      </c>
      <c r="B397" s="113">
        <f t="shared" si="6"/>
        <v>45717</v>
      </c>
      <c r="C397" s="114">
        <f>YEAR(MC_2[[#This Row],[Date]])+IF(MONTH(MC_2[[#This Row],[Date]])&gt;=4,1,0)</f>
        <v>2025</v>
      </c>
      <c r="D397" s="115">
        <f>YEAR(MC_2[[#This Row],[Date]])</f>
        <v>2025</v>
      </c>
      <c r="E397" s="112" t="s">
        <v>326</v>
      </c>
      <c r="F397" s="112" t="s">
        <v>326</v>
      </c>
      <c r="G397" s="116" t="str">
        <f>TEXT(MC_2[[#This Row],[Date]],"mmm-yy")</f>
        <v>Mar-25</v>
      </c>
      <c r="H397" s="116">
        <f>DAY(EOMONTH(MC_2[[#This Row],[Month Year]],0))</f>
        <v>31</v>
      </c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>
        <v>12</v>
      </c>
      <c r="AX397" s="119"/>
      <c r="AY397" s="119">
        <v>15</v>
      </c>
      <c r="AZ397" s="119"/>
      <c r="BA397" s="119"/>
      <c r="BB397" s="119"/>
      <c r="BC397" s="119"/>
      <c r="BD397" s="119"/>
      <c r="BE397" s="5">
        <f>SUM(MC_2[[#This Row],[IS1Inv1M1]:[IS9Inv19M2]])</f>
        <v>27</v>
      </c>
      <c r="BF397" s="119"/>
      <c r="BG397" s="119"/>
      <c r="BH397" s="119"/>
      <c r="BI397" s="119"/>
      <c r="BJ397" s="119"/>
      <c r="BK397" s="119"/>
      <c r="BL397" s="119"/>
    </row>
    <row r="398" spans="1:64">
      <c r="A398" s="119">
        <v>396</v>
      </c>
      <c r="B398" s="113">
        <f t="shared" si="6"/>
        <v>45718</v>
      </c>
      <c r="C398" s="114">
        <f>YEAR(MC_2[[#This Row],[Date]])+IF(MONTH(MC_2[[#This Row],[Date]])&gt;=4,1,0)</f>
        <v>2025</v>
      </c>
      <c r="D398" s="115">
        <f>YEAR(MC_2[[#This Row],[Date]])</f>
        <v>2025</v>
      </c>
      <c r="E398" s="112" t="s">
        <v>326</v>
      </c>
      <c r="F398" s="112" t="s">
        <v>326</v>
      </c>
      <c r="G398" s="116" t="str">
        <f>TEXT(MC_2[[#This Row],[Date]],"mmm-yy")</f>
        <v>Mar-25</v>
      </c>
      <c r="H398" s="116">
        <f>DAY(EOMONTH(MC_2[[#This Row],[Month Year]],0))</f>
        <v>31</v>
      </c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>
        <v>21</v>
      </c>
      <c r="AH398" s="119"/>
      <c r="AI398" s="119"/>
      <c r="AJ398" s="119"/>
      <c r="AK398" s="119">
        <v>13</v>
      </c>
      <c r="AL398" s="119">
        <v>6</v>
      </c>
      <c r="AM398" s="119"/>
      <c r="AN398" s="119"/>
      <c r="AO398" s="119"/>
      <c r="AP398" s="119">
        <v>7</v>
      </c>
      <c r="AQ398" s="119"/>
      <c r="AR398" s="119"/>
      <c r="AS398" s="119"/>
      <c r="AT398" s="119">
        <v>10</v>
      </c>
      <c r="AU398" s="119"/>
      <c r="AV398" s="119"/>
      <c r="AW398" s="119">
        <v>23</v>
      </c>
      <c r="AX398" s="119"/>
      <c r="AY398" s="119">
        <v>20</v>
      </c>
      <c r="AZ398" s="119"/>
      <c r="BA398" s="119"/>
      <c r="BB398" s="119"/>
      <c r="BC398" s="119"/>
      <c r="BD398" s="119"/>
      <c r="BE398" s="5">
        <f>SUM(MC_2[[#This Row],[IS1Inv1M1]:[IS9Inv19M2]])</f>
        <v>100</v>
      </c>
      <c r="BF398" s="119"/>
      <c r="BG398" s="119"/>
      <c r="BH398" s="119"/>
      <c r="BI398" s="119"/>
      <c r="BJ398" s="119"/>
      <c r="BK398" s="119"/>
      <c r="BL398" s="119"/>
    </row>
    <row r="399" spans="1:64">
      <c r="A399" s="119">
        <v>397</v>
      </c>
      <c r="B399" s="113">
        <f t="shared" si="6"/>
        <v>45719</v>
      </c>
      <c r="C399" s="114">
        <f>YEAR(MC_2[[#This Row],[Date]])+IF(MONTH(MC_2[[#This Row],[Date]])&gt;=4,1,0)</f>
        <v>2025</v>
      </c>
      <c r="D399" s="115">
        <f>YEAR(MC_2[[#This Row],[Date]])</f>
        <v>2025</v>
      </c>
      <c r="E399" s="112" t="s">
        <v>326</v>
      </c>
      <c r="F399" s="112" t="s">
        <v>326</v>
      </c>
      <c r="G399" s="116" t="str">
        <f>TEXT(MC_2[[#This Row],[Date]],"mmm-yy")</f>
        <v>Mar-25</v>
      </c>
      <c r="H399" s="116">
        <f>DAY(EOMONTH(MC_2[[#This Row],[Month Year]],0))</f>
        <v>31</v>
      </c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>
        <v>13</v>
      </c>
      <c r="AH399" s="119"/>
      <c r="AI399" s="119"/>
      <c r="AJ399" s="119"/>
      <c r="AK399" s="119">
        <v>8</v>
      </c>
      <c r="AL399" s="119">
        <v>33</v>
      </c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>
        <v>32</v>
      </c>
      <c r="BE399" s="5">
        <f>SUM(MC_2[[#This Row],[IS1Inv1M1]:[IS9Inv19M2]])</f>
        <v>86</v>
      </c>
      <c r="BF399" s="119"/>
      <c r="BG399" s="119"/>
      <c r="BH399" s="119"/>
      <c r="BI399" s="119"/>
      <c r="BJ399" s="119"/>
      <c r="BK399" s="119"/>
      <c r="BL399" s="119"/>
    </row>
    <row r="400" spans="1:64">
      <c r="A400" s="119">
        <v>398</v>
      </c>
      <c r="B400" s="113">
        <f t="shared" si="6"/>
        <v>45720</v>
      </c>
      <c r="C400" s="114">
        <f>YEAR(MC_2[[#This Row],[Date]])+IF(MONTH(MC_2[[#This Row],[Date]])&gt;=4,1,0)</f>
        <v>2025</v>
      </c>
      <c r="D400" s="115">
        <f>YEAR(MC_2[[#This Row],[Date]])</f>
        <v>2025</v>
      </c>
      <c r="E400" s="112" t="s">
        <v>326</v>
      </c>
      <c r="F400" s="112" t="s">
        <v>326</v>
      </c>
      <c r="G400" s="116" t="str">
        <f>TEXT(MC_2[[#This Row],[Date]],"mmm-yy")</f>
        <v>Mar-25</v>
      </c>
      <c r="H400" s="116">
        <f>DAY(EOMONTH(MC_2[[#This Row],[Month Year]],0))</f>
        <v>31</v>
      </c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>
        <v>27.5</v>
      </c>
      <c r="AI400" s="119"/>
      <c r="AJ400" s="119"/>
      <c r="AK400" s="119"/>
      <c r="AL400" s="119">
        <v>38</v>
      </c>
      <c r="AM400" s="119"/>
      <c r="AN400" s="119"/>
      <c r="AO400" s="119"/>
      <c r="AP400" s="119"/>
      <c r="AQ400" s="119"/>
      <c r="AR400" s="119"/>
      <c r="AS400" s="119"/>
      <c r="AT400" s="119"/>
      <c r="AU400" s="119">
        <v>31</v>
      </c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5">
        <f>SUM(MC_2[[#This Row],[IS1Inv1M1]:[IS9Inv19M2]])</f>
        <v>96.5</v>
      </c>
      <c r="BF400" s="119"/>
      <c r="BG400" s="119"/>
      <c r="BH400" s="119"/>
      <c r="BI400" s="119"/>
      <c r="BJ400" s="119"/>
      <c r="BK400" s="119"/>
      <c r="BL400" s="119"/>
    </row>
    <row r="401" spans="1:64">
      <c r="A401" s="119">
        <v>399</v>
      </c>
      <c r="B401" s="113">
        <f t="shared" si="6"/>
        <v>45721</v>
      </c>
      <c r="C401" s="114">
        <f>YEAR(MC_2[[#This Row],[Date]])+IF(MONTH(MC_2[[#This Row],[Date]])&gt;=4,1,0)</f>
        <v>2025</v>
      </c>
      <c r="D401" s="115">
        <f>YEAR(MC_2[[#This Row],[Date]])</f>
        <v>2025</v>
      </c>
      <c r="E401" s="112" t="s">
        <v>326</v>
      </c>
      <c r="F401" s="112" t="s">
        <v>326</v>
      </c>
      <c r="G401" s="116" t="str">
        <f>TEXT(MC_2[[#This Row],[Date]],"mmm-yy")</f>
        <v>Mar-25</v>
      </c>
      <c r="H401" s="116">
        <f>DAY(EOMONTH(MC_2[[#This Row],[Month Year]],0))</f>
        <v>31</v>
      </c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>
        <v>13.5</v>
      </c>
      <c r="AW401" s="119"/>
      <c r="AX401" s="119"/>
      <c r="AY401" s="119"/>
      <c r="AZ401" s="119"/>
      <c r="BA401" s="119"/>
      <c r="BB401" s="119"/>
      <c r="BC401" s="119"/>
      <c r="BD401" s="119"/>
      <c r="BE401" s="5">
        <f>SUM(MC_2[[#This Row],[IS1Inv1M1]:[IS9Inv19M2]])</f>
        <v>13.5</v>
      </c>
      <c r="BF401" s="119"/>
      <c r="BG401" s="119"/>
      <c r="BH401" s="119"/>
      <c r="BI401" s="119"/>
      <c r="BJ401" s="119"/>
      <c r="BK401" s="119"/>
      <c r="BL401" s="119"/>
    </row>
    <row r="402" spans="1:64">
      <c r="A402" s="119">
        <v>400</v>
      </c>
      <c r="B402" s="113">
        <f t="shared" si="6"/>
        <v>45722</v>
      </c>
      <c r="C402" s="114">
        <f>YEAR(MC_2[[#This Row],[Date]])+IF(MONTH(MC_2[[#This Row],[Date]])&gt;=4,1,0)</f>
        <v>2025</v>
      </c>
      <c r="D402" s="115">
        <f>YEAR(MC_2[[#This Row],[Date]])</f>
        <v>2025</v>
      </c>
      <c r="E402" s="112" t="s">
        <v>326</v>
      </c>
      <c r="F402" s="112" t="s">
        <v>326</v>
      </c>
      <c r="G402" s="116" t="str">
        <f>TEXT(MC_2[[#This Row],[Date]],"mmm-yy")</f>
        <v>Mar-25</v>
      </c>
      <c r="H402" s="116">
        <f>DAY(EOMONTH(MC_2[[#This Row],[Month Year]],0))</f>
        <v>31</v>
      </c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5"/>
      <c r="BF402" s="119"/>
      <c r="BG402" s="119"/>
      <c r="BH402" s="119"/>
      <c r="BI402" s="119"/>
      <c r="BJ402" s="119"/>
      <c r="BK402" s="119"/>
      <c r="BL402" s="119"/>
    </row>
    <row r="403" spans="1:64">
      <c r="A403" s="119">
        <v>401</v>
      </c>
      <c r="B403" s="113">
        <f t="shared" si="6"/>
        <v>45723</v>
      </c>
      <c r="C403" s="114">
        <f>YEAR(MC_2[[#This Row],[Date]])+IF(MONTH(MC_2[[#This Row],[Date]])&gt;=4,1,0)</f>
        <v>2025</v>
      </c>
      <c r="D403" s="115">
        <f>YEAR(MC_2[[#This Row],[Date]])</f>
        <v>2025</v>
      </c>
      <c r="E403" s="112" t="s">
        <v>326</v>
      </c>
      <c r="F403" s="112" t="s">
        <v>326</v>
      </c>
      <c r="G403" s="116" t="str">
        <f>TEXT(MC_2[[#This Row],[Date]],"mmm-yy")</f>
        <v>Mar-25</v>
      </c>
      <c r="H403" s="116">
        <f>DAY(EOMONTH(MC_2[[#This Row],[Month Year]],0))</f>
        <v>31</v>
      </c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>
        <v>33</v>
      </c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5">
        <f>SUM(MC_2[[#This Row],[IS1Inv1M1]:[IS9Inv19M2]])</f>
        <v>33</v>
      </c>
      <c r="BF403" s="119"/>
      <c r="BG403" s="119"/>
      <c r="BH403" s="119"/>
      <c r="BI403" s="119"/>
      <c r="BJ403" s="119"/>
      <c r="BK403" s="119"/>
      <c r="BL403" s="119"/>
    </row>
    <row r="404" spans="1:64">
      <c r="A404" s="119">
        <v>402</v>
      </c>
      <c r="B404" s="113">
        <f t="shared" si="6"/>
        <v>45724</v>
      </c>
      <c r="C404" s="114">
        <f>YEAR(MC_2[[#This Row],[Date]])+IF(MONTH(MC_2[[#This Row],[Date]])&gt;=4,1,0)</f>
        <v>2025</v>
      </c>
      <c r="D404" s="115">
        <f>YEAR(MC_2[[#This Row],[Date]])</f>
        <v>2025</v>
      </c>
      <c r="E404" s="112" t="s">
        <v>326</v>
      </c>
      <c r="F404" s="112" t="s">
        <v>326</v>
      </c>
      <c r="G404" s="116" t="str">
        <f>TEXT(MC_2[[#This Row],[Date]],"mmm-yy")</f>
        <v>Mar-25</v>
      </c>
      <c r="H404" s="116">
        <f>DAY(EOMONTH(MC_2[[#This Row],[Month Year]],0))</f>
        <v>31</v>
      </c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>
        <v>29</v>
      </c>
      <c r="AG404" s="119"/>
      <c r="AH404" s="119"/>
      <c r="AI404" s="119"/>
      <c r="AJ404" s="119"/>
      <c r="AK404" s="119"/>
      <c r="AL404" s="119"/>
      <c r="AM404" s="119"/>
      <c r="AN404" s="119"/>
      <c r="AO404" s="119"/>
      <c r="AP404" s="119"/>
      <c r="AQ404" s="119"/>
      <c r="AR404" s="119"/>
      <c r="AS404" s="119"/>
      <c r="AT404" s="119"/>
      <c r="AU404" s="119"/>
      <c r="AV404" s="119"/>
      <c r="AW404" s="119"/>
      <c r="AX404" s="119"/>
      <c r="AY404" s="119"/>
      <c r="AZ404" s="119"/>
      <c r="BA404" s="119"/>
      <c r="BB404" s="119"/>
      <c r="BC404" s="119"/>
      <c r="BD404" s="119"/>
      <c r="BE404" s="5">
        <f>SUM(MC_2[[#This Row],[IS1Inv1M1]:[IS9Inv19M2]])</f>
        <v>29</v>
      </c>
      <c r="BF404" s="119"/>
      <c r="BG404" s="119"/>
      <c r="BH404" s="119"/>
      <c r="BI404" s="119"/>
      <c r="BJ404" s="119"/>
      <c r="BK404" s="119"/>
      <c r="BL404" s="119"/>
    </row>
    <row r="405" spans="1:64">
      <c r="A405" s="119">
        <v>403</v>
      </c>
      <c r="B405" s="113">
        <f t="shared" si="6"/>
        <v>45725</v>
      </c>
      <c r="C405" s="114">
        <f>YEAR(MC_2[[#This Row],[Date]])+IF(MONTH(MC_2[[#This Row],[Date]])&gt;=4,1,0)</f>
        <v>2025</v>
      </c>
      <c r="D405" s="115">
        <f>YEAR(MC_2[[#This Row],[Date]])</f>
        <v>2025</v>
      </c>
      <c r="E405" s="112" t="s">
        <v>326</v>
      </c>
      <c r="F405" s="112" t="s">
        <v>326</v>
      </c>
      <c r="G405" s="116" t="str">
        <f>TEXT(MC_2[[#This Row],[Date]],"mmm-yy")</f>
        <v>Mar-25</v>
      </c>
      <c r="H405" s="116">
        <f>DAY(EOMONTH(MC_2[[#This Row],[Month Year]],0))</f>
        <v>31</v>
      </c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97"/>
      <c r="AN405" s="197"/>
      <c r="AO405" s="197"/>
      <c r="AP405" s="197"/>
      <c r="AQ405" s="197"/>
      <c r="AR405" s="197"/>
      <c r="AS405" s="119"/>
      <c r="AT405" s="119"/>
      <c r="AU405" s="119"/>
      <c r="AV405" s="119"/>
      <c r="AW405" s="119"/>
      <c r="AX405" s="119"/>
      <c r="AY405" s="119"/>
      <c r="AZ405" s="119"/>
      <c r="BA405" s="119"/>
      <c r="BB405" s="119"/>
      <c r="BC405" s="119"/>
      <c r="BD405" s="119"/>
      <c r="BE405" s="5">
        <f>SUM(MC_2[[#This Row],[IS1Inv1M1]:[IS9Inv19M2]])</f>
        <v>0</v>
      </c>
      <c r="BF405" s="119"/>
      <c r="BG405" s="119"/>
      <c r="BH405" s="119"/>
      <c r="BI405" s="119"/>
      <c r="BJ405" s="119"/>
      <c r="BK405" s="119"/>
      <c r="BL405" s="119"/>
    </row>
    <row r="406" spans="1:64">
      <c r="A406" s="119">
        <v>404</v>
      </c>
      <c r="B406" s="113">
        <f t="shared" si="6"/>
        <v>45726</v>
      </c>
      <c r="C406" s="114">
        <f>YEAR(MC_2[[#This Row],[Date]])+IF(MONTH(MC_2[[#This Row],[Date]])&gt;=4,1,0)</f>
        <v>2025</v>
      </c>
      <c r="D406" s="115">
        <f>YEAR(MC_2[[#This Row],[Date]])</f>
        <v>2025</v>
      </c>
      <c r="E406" s="112" t="s">
        <v>326</v>
      </c>
      <c r="F406" s="112" t="s">
        <v>326</v>
      </c>
      <c r="G406" s="116" t="str">
        <f>TEXT(MC_2[[#This Row],[Date]],"mmm-yy")</f>
        <v>Mar-25</v>
      </c>
      <c r="H406" s="116">
        <f>DAY(EOMONTH(MC_2[[#This Row],[Month Year]],0))</f>
        <v>31</v>
      </c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97"/>
      <c r="AN406" s="197"/>
      <c r="AO406" s="197"/>
      <c r="AP406" s="197"/>
      <c r="AQ406" s="197"/>
      <c r="AR406" s="197"/>
      <c r="AS406" s="119"/>
      <c r="AT406" s="119"/>
      <c r="AU406" s="119"/>
      <c r="AV406" s="119"/>
      <c r="AW406" s="119"/>
      <c r="AX406" s="119"/>
      <c r="AY406" s="119"/>
      <c r="AZ406" s="119"/>
      <c r="BA406" s="119"/>
      <c r="BB406" s="119"/>
      <c r="BC406" s="119"/>
      <c r="BD406" s="119"/>
      <c r="BE406" s="5">
        <f>SUM(MC_2[[#This Row],[IS1Inv1M1]:[IS9Inv19M2]])</f>
        <v>0</v>
      </c>
      <c r="BF406" s="119"/>
      <c r="BG406" s="119"/>
      <c r="BH406" s="119"/>
      <c r="BI406" s="119"/>
      <c r="BJ406" s="119"/>
      <c r="BK406" s="119"/>
      <c r="BL406" s="119"/>
    </row>
    <row r="407" spans="1:64">
      <c r="A407" s="119">
        <v>405</v>
      </c>
      <c r="B407" s="113">
        <f t="shared" si="6"/>
        <v>45727</v>
      </c>
      <c r="C407" s="114">
        <f>YEAR(MC_2[[#This Row],[Date]])+IF(MONTH(MC_2[[#This Row],[Date]])&gt;=4,1,0)</f>
        <v>2025</v>
      </c>
      <c r="D407" s="115">
        <f>YEAR(MC_2[[#This Row],[Date]])</f>
        <v>2025</v>
      </c>
      <c r="E407" s="112" t="s">
        <v>326</v>
      </c>
      <c r="F407" s="112" t="s">
        <v>326</v>
      </c>
      <c r="G407" s="116" t="str">
        <f>TEXT(MC_2[[#This Row],[Date]],"mmm-yy")</f>
        <v>Mar-25</v>
      </c>
      <c r="H407" s="116">
        <f>DAY(EOMONTH(MC_2[[#This Row],[Month Year]],0))</f>
        <v>31</v>
      </c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97"/>
      <c r="AN407" s="197"/>
      <c r="AO407" s="197"/>
      <c r="AP407" s="197"/>
      <c r="AQ407" s="197"/>
      <c r="AR407" s="197"/>
      <c r="AS407" s="119"/>
      <c r="AT407" s="119"/>
      <c r="AU407" s="119"/>
      <c r="AV407" s="119"/>
      <c r="AW407" s="119"/>
      <c r="AX407" s="119"/>
      <c r="AY407" s="119"/>
      <c r="AZ407" s="119"/>
      <c r="BA407" s="119"/>
      <c r="BB407" s="119"/>
      <c r="BC407" s="119"/>
      <c r="BD407" s="119"/>
      <c r="BE407" s="5">
        <f>SUM(MC_2[[#This Row],[IS1Inv1M1]:[IS9Inv19M2]])</f>
        <v>0</v>
      </c>
      <c r="BF407" s="119"/>
      <c r="BG407" s="119"/>
      <c r="BH407" s="119"/>
      <c r="BI407" s="119"/>
      <c r="BJ407" s="119"/>
      <c r="BK407" s="119"/>
      <c r="BL407" s="119"/>
    </row>
    <row r="408" spans="1:64">
      <c r="A408" s="119">
        <v>406</v>
      </c>
      <c r="B408" s="113">
        <f t="shared" si="6"/>
        <v>45728</v>
      </c>
      <c r="C408" s="114">
        <f>YEAR(MC_2[[#This Row],[Date]])+IF(MONTH(MC_2[[#This Row],[Date]])&gt;=4,1,0)</f>
        <v>2025</v>
      </c>
      <c r="D408" s="115">
        <f>YEAR(MC_2[[#This Row],[Date]])</f>
        <v>2025</v>
      </c>
      <c r="E408" s="112" t="s">
        <v>326</v>
      </c>
      <c r="F408" s="112" t="s">
        <v>326</v>
      </c>
      <c r="G408" s="116" t="str">
        <f>TEXT(MC_2[[#This Row],[Date]],"mmm-yy")</f>
        <v>Mar-25</v>
      </c>
      <c r="H408" s="116">
        <f>DAY(EOMONTH(MC_2[[#This Row],[Month Year]],0))</f>
        <v>31</v>
      </c>
      <c r="I408" s="119"/>
      <c r="J408" s="119"/>
      <c r="K408" s="119"/>
      <c r="L408" s="119"/>
      <c r="M408" s="119"/>
      <c r="N408" s="119"/>
      <c r="O408" s="119">
        <v>9</v>
      </c>
      <c r="P408" s="119">
        <v>31</v>
      </c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97"/>
      <c r="AN408" s="197"/>
      <c r="AO408" s="197"/>
      <c r="AP408" s="197"/>
      <c r="AQ408" s="197"/>
      <c r="AR408" s="197"/>
      <c r="AS408" s="119"/>
      <c r="AT408" s="119"/>
      <c r="AU408" s="119"/>
      <c r="AV408" s="119"/>
      <c r="AW408" s="119"/>
      <c r="AX408" s="119"/>
      <c r="AY408" s="119"/>
      <c r="AZ408" s="119"/>
      <c r="BA408" s="119"/>
      <c r="BB408" s="119"/>
      <c r="BC408" s="119"/>
      <c r="BD408" s="119"/>
      <c r="BE408" s="5">
        <f>SUM(MC_2[[#This Row],[IS1Inv1M1]:[IS9Inv19M2]])</f>
        <v>40</v>
      </c>
      <c r="BF408" s="119"/>
      <c r="BG408" s="119"/>
      <c r="BH408" s="119"/>
      <c r="BI408" s="119"/>
      <c r="BJ408" s="119"/>
      <c r="BK408" s="119"/>
      <c r="BL408" s="119"/>
    </row>
    <row r="409" spans="1:64">
      <c r="A409" s="119">
        <v>407</v>
      </c>
      <c r="B409" s="113">
        <f t="shared" si="6"/>
        <v>45729</v>
      </c>
      <c r="C409" s="114">
        <f>YEAR(MC_2[[#This Row],[Date]])+IF(MONTH(MC_2[[#This Row],[Date]])&gt;=4,1,0)</f>
        <v>2025</v>
      </c>
      <c r="D409" s="115">
        <f>YEAR(MC_2[[#This Row],[Date]])</f>
        <v>2025</v>
      </c>
      <c r="E409" s="112" t="s">
        <v>326</v>
      </c>
      <c r="F409" s="112" t="s">
        <v>326</v>
      </c>
      <c r="G409" s="116" t="str">
        <f>TEXT(MC_2[[#This Row],[Date]],"mmm-yy")</f>
        <v>Mar-25</v>
      </c>
      <c r="H409" s="116">
        <f>DAY(EOMONTH(MC_2[[#This Row],[Month Year]],0))</f>
        <v>31</v>
      </c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97"/>
      <c r="AN409" s="197"/>
      <c r="AO409" s="197"/>
      <c r="AP409" s="197"/>
      <c r="AQ409" s="197"/>
      <c r="AR409" s="197"/>
      <c r="AS409" s="119"/>
      <c r="AT409" s="119"/>
      <c r="AU409" s="119"/>
      <c r="AV409" s="119"/>
      <c r="AW409" s="119"/>
      <c r="AX409" s="119"/>
      <c r="AY409" s="119"/>
      <c r="AZ409" s="119"/>
      <c r="BA409" s="119"/>
      <c r="BB409" s="119"/>
      <c r="BC409" s="119"/>
      <c r="BD409" s="119"/>
      <c r="BE409" s="5">
        <f>SUM(MC_2[[#This Row],[IS1Inv1M1]:[IS9Inv19M2]])</f>
        <v>0</v>
      </c>
      <c r="BF409" s="119"/>
      <c r="BG409" s="119"/>
      <c r="BH409" s="119"/>
      <c r="BI409" s="119"/>
      <c r="BJ409" s="119"/>
      <c r="BK409" s="119"/>
      <c r="BL409" s="119"/>
    </row>
    <row r="410" spans="1:64">
      <c r="A410" s="119">
        <v>408</v>
      </c>
      <c r="B410" s="113">
        <f t="shared" si="6"/>
        <v>45730</v>
      </c>
      <c r="C410" s="114">
        <f>YEAR(MC_2[[#This Row],[Date]])+IF(MONTH(MC_2[[#This Row],[Date]])&gt;=4,1,0)</f>
        <v>2025</v>
      </c>
      <c r="D410" s="115">
        <f>YEAR(MC_2[[#This Row],[Date]])</f>
        <v>2025</v>
      </c>
      <c r="E410" s="112" t="s">
        <v>326</v>
      </c>
      <c r="F410" s="112" t="s">
        <v>326</v>
      </c>
      <c r="G410" s="116" t="str">
        <f>TEXT(MC_2[[#This Row],[Date]],"mmm-yy")</f>
        <v>Mar-25</v>
      </c>
      <c r="H410" s="116">
        <f>DAY(EOMONTH(MC_2[[#This Row],[Month Year]],0))</f>
        <v>31</v>
      </c>
      <c r="I410" s="119"/>
      <c r="J410" s="119"/>
      <c r="K410" s="119">
        <v>28</v>
      </c>
      <c r="L410" s="119"/>
      <c r="M410" s="119"/>
      <c r="N410" s="119"/>
      <c r="O410" s="119"/>
      <c r="P410" s="119">
        <v>11</v>
      </c>
      <c r="Q410" s="119">
        <v>18</v>
      </c>
      <c r="R410" s="119">
        <v>23</v>
      </c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97"/>
      <c r="AN410" s="197"/>
      <c r="AO410" s="197"/>
      <c r="AP410" s="197"/>
      <c r="AQ410" s="197"/>
      <c r="AR410" s="197"/>
      <c r="AS410" s="119"/>
      <c r="AT410" s="119"/>
      <c r="AU410" s="119"/>
      <c r="AV410" s="119"/>
      <c r="AW410" s="119"/>
      <c r="AX410" s="119"/>
      <c r="AY410" s="119"/>
      <c r="AZ410" s="119"/>
      <c r="BA410" s="119"/>
      <c r="BB410" s="119"/>
      <c r="BC410" s="119"/>
      <c r="BD410" s="119"/>
      <c r="BE410" s="5">
        <f>SUM(MC_2[[#This Row],[IS1Inv1M1]:[IS9Inv19M2]])</f>
        <v>80</v>
      </c>
      <c r="BF410" s="119"/>
      <c r="BG410" s="119"/>
      <c r="BH410" s="119"/>
      <c r="BI410" s="119"/>
      <c r="BJ410" s="119"/>
      <c r="BK410" s="119"/>
      <c r="BL410" s="119"/>
    </row>
    <row r="411" spans="1:64">
      <c r="A411" s="119">
        <v>409</v>
      </c>
      <c r="B411" s="113">
        <f t="shared" si="6"/>
        <v>45731</v>
      </c>
      <c r="C411" s="114">
        <f>YEAR(MC_2[[#This Row],[Date]])+IF(MONTH(MC_2[[#This Row],[Date]])&gt;=4,1,0)</f>
        <v>2025</v>
      </c>
      <c r="D411" s="115">
        <f>YEAR(MC_2[[#This Row],[Date]])</f>
        <v>2025</v>
      </c>
      <c r="E411" s="112" t="s">
        <v>326</v>
      </c>
      <c r="F411" s="112" t="s">
        <v>326</v>
      </c>
      <c r="G411" s="116" t="str">
        <f>TEXT(MC_2[[#This Row],[Date]],"mmm-yy")</f>
        <v>Mar-25</v>
      </c>
      <c r="H411" s="116">
        <f>DAY(EOMONTH(MC_2[[#This Row],[Month Year]],0))</f>
        <v>31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97"/>
      <c r="AN411" s="197"/>
      <c r="AO411" s="197"/>
      <c r="AP411" s="197"/>
      <c r="AQ411" s="197"/>
      <c r="AR411" s="197"/>
      <c r="AS411" s="119"/>
      <c r="AT411" s="119"/>
      <c r="AU411" s="119"/>
      <c r="AV411" s="119"/>
      <c r="AW411" s="119"/>
      <c r="AX411" s="119"/>
      <c r="AY411" s="119"/>
      <c r="AZ411" s="119"/>
      <c r="BA411" s="119"/>
      <c r="BB411" s="119"/>
      <c r="BC411" s="119"/>
      <c r="BD411" s="119"/>
      <c r="BE411" s="5">
        <f>SUM(MC_2[[#This Row],[IS1Inv1M1]:[IS9Inv19M2]])</f>
        <v>0</v>
      </c>
      <c r="BF411" s="119"/>
      <c r="BG411" s="119"/>
      <c r="BH411" s="119"/>
      <c r="BI411" s="119"/>
      <c r="BJ411" s="119"/>
      <c r="BK411" s="119"/>
      <c r="BL411" s="119"/>
    </row>
    <row r="412" spans="1:64">
      <c r="A412" s="119">
        <v>410</v>
      </c>
      <c r="B412" s="113">
        <f t="shared" si="6"/>
        <v>45732</v>
      </c>
      <c r="C412" s="114">
        <f>YEAR(MC_2[[#This Row],[Date]])+IF(MONTH(MC_2[[#This Row],[Date]])&gt;=4,1,0)</f>
        <v>2025</v>
      </c>
      <c r="D412" s="115">
        <f>YEAR(MC_2[[#This Row],[Date]])</f>
        <v>2025</v>
      </c>
      <c r="E412" s="112" t="s">
        <v>326</v>
      </c>
      <c r="F412" s="112" t="s">
        <v>326</v>
      </c>
      <c r="G412" s="116" t="str">
        <f>TEXT(MC_2[[#This Row],[Date]],"mmm-yy")</f>
        <v>Mar-25</v>
      </c>
      <c r="H412" s="116">
        <f>DAY(EOMONTH(MC_2[[#This Row],[Month Year]],0))</f>
        <v>31</v>
      </c>
      <c r="I412" s="119"/>
      <c r="J412" s="119"/>
      <c r="K412" s="119">
        <v>19.5</v>
      </c>
      <c r="L412" s="119">
        <v>35</v>
      </c>
      <c r="M412" s="119">
        <v>44.5</v>
      </c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97"/>
      <c r="AN412" s="197"/>
      <c r="AO412" s="197"/>
      <c r="AP412" s="197"/>
      <c r="AQ412" s="197"/>
      <c r="AR412" s="197"/>
      <c r="AS412" s="119"/>
      <c r="AT412" s="119"/>
      <c r="AU412" s="119"/>
      <c r="AV412" s="119"/>
      <c r="AW412" s="119"/>
      <c r="AX412" s="119"/>
      <c r="AY412" s="119"/>
      <c r="AZ412" s="119"/>
      <c r="BA412" s="119"/>
      <c r="BB412" s="119"/>
      <c r="BC412" s="119"/>
      <c r="BD412" s="119"/>
      <c r="BE412" s="5">
        <f>SUM(MC_2[[#This Row],[IS1Inv1M1]:[IS9Inv19M2]])</f>
        <v>99</v>
      </c>
      <c r="BF412" s="119"/>
      <c r="BG412" s="119"/>
      <c r="BH412" s="119"/>
      <c r="BI412" s="119"/>
      <c r="BJ412" s="119"/>
      <c r="BK412" s="119"/>
      <c r="BL412" s="119"/>
    </row>
    <row r="413" spans="1:64">
      <c r="A413" s="119">
        <v>411</v>
      </c>
      <c r="B413" s="113">
        <f t="shared" si="6"/>
        <v>45733</v>
      </c>
      <c r="C413" s="114">
        <f>YEAR(MC_2[[#This Row],[Date]])+IF(MONTH(MC_2[[#This Row],[Date]])&gt;=4,1,0)</f>
        <v>2025</v>
      </c>
      <c r="D413" s="115">
        <f>YEAR(MC_2[[#This Row],[Date]])</f>
        <v>2025</v>
      </c>
      <c r="E413" s="112" t="s">
        <v>326</v>
      </c>
      <c r="F413" s="112" t="s">
        <v>326</v>
      </c>
      <c r="G413" s="116" t="str">
        <f>TEXT(MC_2[[#This Row],[Date]],"mmm-yy")</f>
        <v>Mar-25</v>
      </c>
      <c r="H413" s="116">
        <f>DAY(EOMONTH(MC_2[[#This Row],[Month Year]],0))</f>
        <v>31</v>
      </c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97"/>
      <c r="AN413" s="197"/>
      <c r="AO413" s="197"/>
      <c r="AP413" s="197"/>
      <c r="AQ413" s="197"/>
      <c r="AR413" s="197"/>
      <c r="AS413" s="119"/>
      <c r="AT413" s="119"/>
      <c r="AU413" s="119"/>
      <c r="AV413" s="119"/>
      <c r="AW413" s="119"/>
      <c r="AX413" s="119"/>
      <c r="AY413" s="119"/>
      <c r="AZ413" s="119"/>
      <c r="BA413" s="119"/>
      <c r="BB413" s="119"/>
      <c r="BC413" s="119"/>
      <c r="BD413" s="119"/>
      <c r="BE413" s="5">
        <f>SUM(MC_2[[#This Row],[IS1Inv1M1]:[IS9Inv19M2]])</f>
        <v>0</v>
      </c>
      <c r="BF413" s="119"/>
      <c r="BG413" s="119"/>
      <c r="BH413" s="119"/>
      <c r="BI413" s="119"/>
      <c r="BJ413" s="119"/>
      <c r="BK413" s="119"/>
      <c r="BL413" s="119"/>
    </row>
    <row r="414" spans="1:64">
      <c r="A414" s="119">
        <v>412</v>
      </c>
      <c r="B414" s="113">
        <f t="shared" si="6"/>
        <v>45734</v>
      </c>
      <c r="C414" s="114">
        <f>YEAR(MC_2[[#This Row],[Date]])+IF(MONTH(MC_2[[#This Row],[Date]])&gt;=4,1,0)</f>
        <v>2025</v>
      </c>
      <c r="D414" s="115">
        <f>YEAR(MC_2[[#This Row],[Date]])</f>
        <v>2025</v>
      </c>
      <c r="E414" s="112" t="s">
        <v>326</v>
      </c>
      <c r="F414" s="112" t="s">
        <v>326</v>
      </c>
      <c r="G414" s="116" t="str">
        <f>TEXT(MC_2[[#This Row],[Date]],"mmm-yy")</f>
        <v>Mar-25</v>
      </c>
      <c r="H414" s="116">
        <f>DAY(EOMONTH(MC_2[[#This Row],[Month Year]],0))</f>
        <v>31</v>
      </c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97"/>
      <c r="AN414" s="197"/>
      <c r="AO414" s="197"/>
      <c r="AP414" s="197"/>
      <c r="AQ414" s="197"/>
      <c r="AR414" s="197"/>
      <c r="AS414" s="119"/>
      <c r="AT414" s="119"/>
      <c r="AU414" s="119"/>
      <c r="AV414" s="119"/>
      <c r="AW414" s="119"/>
      <c r="AX414" s="119"/>
      <c r="AY414" s="119"/>
      <c r="AZ414" s="119"/>
      <c r="BA414" s="119"/>
      <c r="BB414" s="119"/>
      <c r="BC414" s="119"/>
      <c r="BD414" s="119"/>
      <c r="BE414" s="5">
        <f>SUM(MC_2[[#This Row],[IS1Inv1M1]:[IS9Inv19M2]])</f>
        <v>0</v>
      </c>
      <c r="BF414" s="119"/>
      <c r="BG414" s="119"/>
      <c r="BH414" s="119"/>
      <c r="BI414" s="119"/>
      <c r="BJ414" s="119"/>
      <c r="BK414" s="119"/>
      <c r="BL414" s="119"/>
    </row>
    <row r="415" spans="1:64">
      <c r="A415" s="119">
        <v>413</v>
      </c>
      <c r="B415" s="113">
        <f t="shared" si="6"/>
        <v>45735</v>
      </c>
      <c r="C415" s="114">
        <f>YEAR(MC_2[[#This Row],[Date]])+IF(MONTH(MC_2[[#This Row],[Date]])&gt;=4,1,0)</f>
        <v>2025</v>
      </c>
      <c r="D415" s="115">
        <f>YEAR(MC_2[[#This Row],[Date]])</f>
        <v>2025</v>
      </c>
      <c r="E415" s="112" t="s">
        <v>326</v>
      </c>
      <c r="F415" s="112" t="s">
        <v>326</v>
      </c>
      <c r="G415" s="116" t="str">
        <f>TEXT(MC_2[[#This Row],[Date]],"mmm-yy")</f>
        <v>Mar-25</v>
      </c>
      <c r="H415" s="116">
        <f>DAY(EOMONTH(MC_2[[#This Row],[Month Year]],0))</f>
        <v>31</v>
      </c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97"/>
      <c r="AN415" s="197"/>
      <c r="AO415" s="197"/>
      <c r="AP415" s="197"/>
      <c r="AQ415" s="197"/>
      <c r="AR415" s="197"/>
      <c r="AS415" s="119"/>
      <c r="AT415" s="119"/>
      <c r="AU415" s="119"/>
      <c r="AV415" s="119"/>
      <c r="AW415" s="119"/>
      <c r="AX415" s="119"/>
      <c r="AY415" s="119"/>
      <c r="AZ415" s="119"/>
      <c r="BA415" s="119"/>
      <c r="BB415" s="119"/>
      <c r="BC415" s="119"/>
      <c r="BD415" s="119"/>
      <c r="BE415" s="5">
        <f>SUM(MC_2[[#This Row],[IS1Inv1M1]:[IS9Inv19M2]])</f>
        <v>0</v>
      </c>
      <c r="BF415" s="119"/>
      <c r="BG415" s="119"/>
      <c r="BH415" s="119"/>
      <c r="BI415" s="119"/>
      <c r="BJ415" s="119"/>
      <c r="BK415" s="119"/>
      <c r="BL415" s="119"/>
    </row>
    <row r="416" spans="1:64">
      <c r="A416" s="119">
        <v>414</v>
      </c>
      <c r="B416" s="113">
        <f t="shared" si="6"/>
        <v>45736</v>
      </c>
      <c r="C416" s="114">
        <f>YEAR(MC_2[[#This Row],[Date]])+IF(MONTH(MC_2[[#This Row],[Date]])&gt;=4,1,0)</f>
        <v>2025</v>
      </c>
      <c r="D416" s="115">
        <f>YEAR(MC_2[[#This Row],[Date]])</f>
        <v>2025</v>
      </c>
      <c r="E416" s="112" t="s">
        <v>326</v>
      </c>
      <c r="F416" s="112" t="s">
        <v>326</v>
      </c>
      <c r="G416" s="116" t="str">
        <f>TEXT(MC_2[[#This Row],[Date]],"mmm-yy")</f>
        <v>Mar-25</v>
      </c>
      <c r="H416" s="116">
        <f>DAY(EOMONTH(MC_2[[#This Row],[Month Year]],0))</f>
        <v>31</v>
      </c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97"/>
      <c r="AN416" s="197"/>
      <c r="AO416" s="197"/>
      <c r="AP416" s="197"/>
      <c r="AQ416" s="197"/>
      <c r="AR416" s="197"/>
      <c r="AS416" s="119"/>
      <c r="AT416" s="119"/>
      <c r="AU416" s="119"/>
      <c r="AV416" s="119"/>
      <c r="AW416" s="119"/>
      <c r="AX416" s="119"/>
      <c r="AY416" s="119"/>
      <c r="AZ416" s="119"/>
      <c r="BA416" s="119"/>
      <c r="BB416" s="119"/>
      <c r="BC416" s="119"/>
      <c r="BD416" s="119"/>
      <c r="BE416" s="5">
        <f>SUM(MC_2[[#This Row],[IS1Inv1M1]:[IS9Inv19M2]])</f>
        <v>0</v>
      </c>
      <c r="BF416" s="119"/>
      <c r="BG416" s="119"/>
      <c r="BH416" s="119"/>
      <c r="BI416" s="119"/>
      <c r="BJ416" s="119"/>
      <c r="BK416" s="119"/>
      <c r="BL416" s="119"/>
    </row>
    <row r="417" spans="1:64">
      <c r="A417" s="119">
        <v>415</v>
      </c>
      <c r="B417" s="113">
        <f t="shared" si="6"/>
        <v>45737</v>
      </c>
      <c r="C417" s="114">
        <f>YEAR(MC_2[[#This Row],[Date]])+IF(MONTH(MC_2[[#This Row],[Date]])&gt;=4,1,0)</f>
        <v>2025</v>
      </c>
      <c r="D417" s="115">
        <f>YEAR(MC_2[[#This Row],[Date]])</f>
        <v>2025</v>
      </c>
      <c r="E417" s="112" t="s">
        <v>326</v>
      </c>
      <c r="F417" s="112" t="s">
        <v>326</v>
      </c>
      <c r="G417" s="116" t="str">
        <f>TEXT(MC_2[[#This Row],[Date]],"mmm-yy")</f>
        <v>Mar-25</v>
      </c>
      <c r="H417" s="116">
        <f>DAY(EOMONTH(MC_2[[#This Row],[Month Year]],0))</f>
        <v>31</v>
      </c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97"/>
      <c r="AN417" s="197"/>
      <c r="AO417" s="197"/>
      <c r="AP417" s="197"/>
      <c r="AQ417" s="197"/>
      <c r="AR417" s="197"/>
      <c r="AS417" s="119"/>
      <c r="AT417" s="119"/>
      <c r="AU417" s="119"/>
      <c r="AV417" s="119"/>
      <c r="AW417" s="119"/>
      <c r="AX417" s="119"/>
      <c r="AY417" s="119"/>
      <c r="AZ417" s="119"/>
      <c r="BA417" s="119"/>
      <c r="BB417" s="119"/>
      <c r="BC417" s="119"/>
      <c r="BD417" s="119"/>
      <c r="BE417" s="5">
        <f>SUM(MC_2[[#This Row],[IS1Inv1M1]:[IS9Inv19M2]])</f>
        <v>0</v>
      </c>
      <c r="BF417" s="119"/>
      <c r="BG417" s="119"/>
      <c r="BH417" s="119"/>
      <c r="BI417" s="119"/>
      <c r="BJ417" s="119"/>
      <c r="BK417" s="119"/>
      <c r="BL417" s="119"/>
    </row>
    <row r="418" spans="1:64">
      <c r="A418" s="119">
        <v>416</v>
      </c>
      <c r="B418" s="113">
        <f t="shared" si="6"/>
        <v>45738</v>
      </c>
      <c r="C418" s="114">
        <f>YEAR(MC_2[[#This Row],[Date]])+IF(MONTH(MC_2[[#This Row],[Date]])&gt;=4,1,0)</f>
        <v>2025</v>
      </c>
      <c r="D418" s="115">
        <f>YEAR(MC_2[[#This Row],[Date]])</f>
        <v>2025</v>
      </c>
      <c r="E418" s="112" t="s">
        <v>326</v>
      </c>
      <c r="F418" s="112" t="s">
        <v>326</v>
      </c>
      <c r="G418" s="116" t="str">
        <f>TEXT(MC_2[[#This Row],[Date]],"mmm-yy")</f>
        <v>Mar-25</v>
      </c>
      <c r="H418" s="116">
        <f>DAY(EOMONTH(MC_2[[#This Row],[Month Year]],0))</f>
        <v>31</v>
      </c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97"/>
      <c r="AN418" s="197"/>
      <c r="AO418" s="197"/>
      <c r="AP418" s="197"/>
      <c r="AQ418" s="197"/>
      <c r="AR418" s="197"/>
      <c r="AS418" s="119"/>
      <c r="AT418" s="119"/>
      <c r="AU418" s="119"/>
      <c r="AV418" s="119"/>
      <c r="AW418" s="119"/>
      <c r="AX418" s="119"/>
      <c r="AY418" s="119"/>
      <c r="AZ418" s="119"/>
      <c r="BA418" s="119"/>
      <c r="BB418" s="119"/>
      <c r="BC418" s="119"/>
      <c r="BD418" s="119"/>
      <c r="BE418" s="5">
        <f>SUM(MC_2[[#This Row],[IS1Inv1M1]:[IS9Inv19M2]])</f>
        <v>0</v>
      </c>
      <c r="BF418" s="119"/>
      <c r="BG418" s="119"/>
      <c r="BH418" s="119"/>
      <c r="BI418" s="119"/>
      <c r="BJ418" s="119"/>
      <c r="BK418" s="119"/>
      <c r="BL418" s="119"/>
    </row>
    <row r="419" spans="1:64">
      <c r="A419" s="119">
        <v>417</v>
      </c>
      <c r="B419" s="113">
        <f t="shared" si="6"/>
        <v>45739</v>
      </c>
      <c r="C419" s="114">
        <f>YEAR(MC_2[[#This Row],[Date]])+IF(MONTH(MC_2[[#This Row],[Date]])&gt;=4,1,0)</f>
        <v>2025</v>
      </c>
      <c r="D419" s="115">
        <f>YEAR(MC_2[[#This Row],[Date]])</f>
        <v>2025</v>
      </c>
      <c r="E419" s="112" t="s">
        <v>326</v>
      </c>
      <c r="F419" s="112" t="s">
        <v>326</v>
      </c>
      <c r="G419" s="116" t="str">
        <f>TEXT(MC_2[[#This Row],[Date]],"mmm-yy")</f>
        <v>Mar-25</v>
      </c>
      <c r="H419" s="116">
        <f>DAY(EOMONTH(MC_2[[#This Row],[Month Year]],0))</f>
        <v>31</v>
      </c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97"/>
      <c r="AN419" s="197"/>
      <c r="AO419" s="197"/>
      <c r="AP419" s="197"/>
      <c r="AQ419" s="197"/>
      <c r="AR419" s="197"/>
      <c r="AS419" s="119"/>
      <c r="AT419" s="119"/>
      <c r="AU419" s="119"/>
      <c r="AV419" s="119"/>
      <c r="AW419" s="119"/>
      <c r="AX419" s="119"/>
      <c r="AY419" s="119"/>
      <c r="AZ419" s="119"/>
      <c r="BA419" s="119"/>
      <c r="BB419" s="119"/>
      <c r="BC419" s="119"/>
      <c r="BD419" s="119"/>
      <c r="BE419" s="5">
        <f>SUM(MC_2[[#This Row],[IS1Inv1M1]:[IS9Inv19M2]])</f>
        <v>0</v>
      </c>
      <c r="BF419" s="119"/>
      <c r="BG419" s="119"/>
      <c r="BH419" s="119"/>
      <c r="BI419" s="119"/>
      <c r="BJ419" s="119"/>
      <c r="BK419" s="119"/>
      <c r="BL419" s="119"/>
    </row>
    <row r="420" spans="1:64">
      <c r="A420" s="119">
        <v>418</v>
      </c>
      <c r="B420" s="113">
        <f t="shared" si="6"/>
        <v>45740</v>
      </c>
      <c r="C420" s="114">
        <f>YEAR(MC_2[[#This Row],[Date]])+IF(MONTH(MC_2[[#This Row],[Date]])&gt;=4,1,0)</f>
        <v>2025</v>
      </c>
      <c r="D420" s="115">
        <f>YEAR(MC_2[[#This Row],[Date]])</f>
        <v>2025</v>
      </c>
      <c r="E420" s="112" t="s">
        <v>326</v>
      </c>
      <c r="F420" s="112" t="s">
        <v>326</v>
      </c>
      <c r="G420" s="116" t="str">
        <f>TEXT(MC_2[[#This Row],[Date]],"mmm-yy")</f>
        <v>Mar-25</v>
      </c>
      <c r="H420" s="116">
        <f>DAY(EOMONTH(MC_2[[#This Row],[Month Year]],0))</f>
        <v>31</v>
      </c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97"/>
      <c r="AN420" s="197"/>
      <c r="AO420" s="197"/>
      <c r="AP420" s="197"/>
      <c r="AQ420" s="197"/>
      <c r="AR420" s="197"/>
      <c r="AS420" s="119"/>
      <c r="AT420" s="119"/>
      <c r="AU420" s="119"/>
      <c r="AV420" s="119"/>
      <c r="AW420" s="119"/>
      <c r="AX420" s="119"/>
      <c r="AY420" s="119"/>
      <c r="AZ420" s="119"/>
      <c r="BA420" s="119"/>
      <c r="BB420" s="119"/>
      <c r="BC420" s="119"/>
      <c r="BD420" s="119"/>
      <c r="BE420" s="5">
        <f>SUM(MC_2[[#This Row],[IS1Inv1M1]:[IS9Inv19M2]])</f>
        <v>0</v>
      </c>
      <c r="BF420" s="119"/>
      <c r="BG420" s="119"/>
      <c r="BH420" s="119"/>
      <c r="BI420" s="119"/>
      <c r="BJ420" s="119"/>
      <c r="BK420" s="119"/>
      <c r="BL420" s="119"/>
    </row>
    <row r="421" spans="1:64">
      <c r="A421" s="119">
        <v>419</v>
      </c>
      <c r="B421" s="113">
        <f t="shared" si="6"/>
        <v>45741</v>
      </c>
      <c r="C421" s="114">
        <f>YEAR(MC_2[[#This Row],[Date]])+IF(MONTH(MC_2[[#This Row],[Date]])&gt;=4,1,0)</f>
        <v>2025</v>
      </c>
      <c r="D421" s="115">
        <f>YEAR(MC_2[[#This Row],[Date]])</f>
        <v>2025</v>
      </c>
      <c r="E421" s="112" t="s">
        <v>326</v>
      </c>
      <c r="F421" s="112" t="s">
        <v>326</v>
      </c>
      <c r="G421" s="116" t="str">
        <f>TEXT(MC_2[[#This Row],[Date]],"mmm-yy")</f>
        <v>Mar-25</v>
      </c>
      <c r="H421" s="116">
        <f>DAY(EOMONTH(MC_2[[#This Row],[Month Year]],0))</f>
        <v>31</v>
      </c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97"/>
      <c r="AN421" s="197"/>
      <c r="AO421" s="197"/>
      <c r="AP421" s="197"/>
      <c r="AQ421" s="197"/>
      <c r="AR421" s="197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5">
        <f>SUM(MC_2[[#This Row],[IS1Inv1M1]:[IS9Inv19M2]])</f>
        <v>0</v>
      </c>
      <c r="BF421" s="119"/>
      <c r="BG421" s="119"/>
      <c r="BH421" s="119"/>
      <c r="BI421" s="119"/>
      <c r="BJ421" s="119"/>
      <c r="BK421" s="119"/>
      <c r="BL421" s="119"/>
    </row>
    <row r="422" spans="1:64">
      <c r="A422" s="119">
        <v>420</v>
      </c>
      <c r="B422" s="113">
        <f t="shared" si="6"/>
        <v>45742</v>
      </c>
      <c r="C422" s="114">
        <f>YEAR(MC_2[[#This Row],[Date]])+IF(MONTH(MC_2[[#This Row],[Date]])&gt;=4,1,0)</f>
        <v>2025</v>
      </c>
      <c r="D422" s="115">
        <f>YEAR(MC_2[[#This Row],[Date]])</f>
        <v>2025</v>
      </c>
      <c r="E422" s="112" t="s">
        <v>326</v>
      </c>
      <c r="F422" s="112" t="s">
        <v>326</v>
      </c>
      <c r="G422" s="116" t="str">
        <f>TEXT(MC_2[[#This Row],[Date]],"mmm-yy")</f>
        <v>Mar-25</v>
      </c>
      <c r="H422" s="116">
        <f>DAY(EOMONTH(MC_2[[#This Row],[Month Year]],0))</f>
        <v>31</v>
      </c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97"/>
      <c r="AN422" s="197"/>
      <c r="AO422" s="197"/>
      <c r="AP422" s="197"/>
      <c r="AQ422" s="197"/>
      <c r="AR422" s="197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5">
        <f>SUM(MC_2[[#This Row],[IS1Inv1M1]:[IS9Inv19M2]])</f>
        <v>0</v>
      </c>
      <c r="BF422" s="119"/>
      <c r="BG422" s="119"/>
      <c r="BH422" s="119"/>
      <c r="BI422" s="119"/>
      <c r="BJ422" s="119"/>
      <c r="BK422" s="119"/>
      <c r="BL422" s="119"/>
    </row>
    <row r="423" spans="1:64">
      <c r="A423" s="119">
        <v>421</v>
      </c>
      <c r="B423" s="113">
        <f t="shared" si="6"/>
        <v>45743</v>
      </c>
      <c r="C423" s="114">
        <f>YEAR(MC_2[[#This Row],[Date]])+IF(MONTH(MC_2[[#This Row],[Date]])&gt;=4,1,0)</f>
        <v>2025</v>
      </c>
      <c r="D423" s="115">
        <f>YEAR(MC_2[[#This Row],[Date]])</f>
        <v>2025</v>
      </c>
      <c r="E423" s="112" t="s">
        <v>326</v>
      </c>
      <c r="F423" s="112" t="s">
        <v>326</v>
      </c>
      <c r="G423" s="116" t="str">
        <f>TEXT(MC_2[[#This Row],[Date]],"mmm-yy")</f>
        <v>Mar-25</v>
      </c>
      <c r="H423" s="116">
        <f>DAY(EOMONTH(MC_2[[#This Row],[Month Year]],0))</f>
        <v>31</v>
      </c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97"/>
      <c r="AN423" s="197"/>
      <c r="AO423" s="197"/>
      <c r="AP423" s="197"/>
      <c r="AQ423" s="197"/>
      <c r="AR423" s="197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5">
        <f>SUM(MC_2[[#This Row],[IS1Inv1M1]:[IS9Inv19M2]])</f>
        <v>0</v>
      </c>
      <c r="BF423" s="119"/>
      <c r="BG423" s="119"/>
      <c r="BH423" s="119"/>
      <c r="BI423" s="119"/>
      <c r="BJ423" s="119"/>
      <c r="BK423" s="119"/>
      <c r="BL423" s="119"/>
    </row>
    <row r="424" spans="1:64">
      <c r="A424" s="119">
        <v>422</v>
      </c>
      <c r="B424" s="113">
        <f t="shared" si="6"/>
        <v>45744</v>
      </c>
      <c r="C424" s="114">
        <f>YEAR(MC_2[[#This Row],[Date]])+IF(MONTH(MC_2[[#This Row],[Date]])&gt;=4,1,0)</f>
        <v>2025</v>
      </c>
      <c r="D424" s="115">
        <f>YEAR(MC_2[[#This Row],[Date]])</f>
        <v>2025</v>
      </c>
      <c r="E424" s="112" t="s">
        <v>326</v>
      </c>
      <c r="F424" s="112" t="s">
        <v>326</v>
      </c>
      <c r="G424" s="116" t="str">
        <f>TEXT(MC_2[[#This Row],[Date]],"mmm-yy")</f>
        <v>Mar-25</v>
      </c>
      <c r="H424" s="116">
        <f>DAY(EOMONTH(MC_2[[#This Row],[Month Year]],0))</f>
        <v>31</v>
      </c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97"/>
      <c r="AN424" s="197"/>
      <c r="AO424" s="197"/>
      <c r="AP424" s="197"/>
      <c r="AQ424" s="197"/>
      <c r="AR424" s="197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5">
        <f>SUM(MC_2[[#This Row],[IS1Inv1M1]:[IS9Inv19M2]])</f>
        <v>0</v>
      </c>
      <c r="BF424" s="119"/>
      <c r="BG424" s="119"/>
      <c r="BH424" s="119"/>
      <c r="BI424" s="119"/>
      <c r="BJ424" s="119"/>
      <c r="BK424" s="119"/>
      <c r="BL424" s="119"/>
    </row>
    <row r="425" spans="1:64">
      <c r="A425" s="119">
        <v>423</v>
      </c>
      <c r="B425" s="113">
        <f t="shared" si="6"/>
        <v>45745</v>
      </c>
      <c r="C425" s="114">
        <f>YEAR(MC_2[[#This Row],[Date]])+IF(MONTH(MC_2[[#This Row],[Date]])&gt;=4,1,0)</f>
        <v>2025</v>
      </c>
      <c r="D425" s="115">
        <f>YEAR(MC_2[[#This Row],[Date]])</f>
        <v>2025</v>
      </c>
      <c r="E425" s="112" t="s">
        <v>326</v>
      </c>
      <c r="F425" s="112" t="s">
        <v>326</v>
      </c>
      <c r="G425" s="116" t="str">
        <f>TEXT(MC_2[[#This Row],[Date]],"mmm-yy")</f>
        <v>Mar-25</v>
      </c>
      <c r="H425" s="116">
        <f>DAY(EOMONTH(MC_2[[#This Row],[Month Year]],0))</f>
        <v>31</v>
      </c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97"/>
      <c r="AN425" s="197"/>
      <c r="AO425" s="197"/>
      <c r="AP425" s="197"/>
      <c r="AQ425" s="197"/>
      <c r="AR425" s="197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5">
        <f>SUM(MC_2[[#This Row],[IS1Inv1M1]:[IS9Inv19M2]])</f>
        <v>0</v>
      </c>
      <c r="BF425" s="119"/>
      <c r="BG425" s="119"/>
      <c r="BH425" s="119"/>
      <c r="BI425" s="119"/>
      <c r="BJ425" s="119"/>
      <c r="BK425" s="119"/>
      <c r="BL425" s="119"/>
    </row>
    <row r="426" spans="1:64">
      <c r="A426" s="119">
        <v>424</v>
      </c>
      <c r="B426" s="113">
        <f t="shared" si="6"/>
        <v>45746</v>
      </c>
      <c r="C426" s="114">
        <f>YEAR(MC_2[[#This Row],[Date]])+IF(MONTH(MC_2[[#This Row],[Date]])&gt;=4,1,0)</f>
        <v>2025</v>
      </c>
      <c r="D426" s="115">
        <f>YEAR(MC_2[[#This Row],[Date]])</f>
        <v>2025</v>
      </c>
      <c r="E426" s="112" t="s">
        <v>326</v>
      </c>
      <c r="F426" s="112" t="s">
        <v>326</v>
      </c>
      <c r="G426" s="116" t="str">
        <f>TEXT(MC_2[[#This Row],[Date]],"mmm-yy")</f>
        <v>Mar-25</v>
      </c>
      <c r="H426" s="116">
        <f>DAY(EOMONTH(MC_2[[#This Row],[Month Year]],0))</f>
        <v>31</v>
      </c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97"/>
      <c r="AN426" s="197"/>
      <c r="AO426" s="197"/>
      <c r="AP426" s="197"/>
      <c r="AQ426" s="197"/>
      <c r="AR426" s="197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5">
        <f>SUM(MC_2[[#This Row],[IS1Inv1M1]:[IS9Inv19M2]])</f>
        <v>0</v>
      </c>
      <c r="BF426" s="119"/>
      <c r="BG426" s="119"/>
      <c r="BH426" s="119"/>
      <c r="BI426" s="119"/>
      <c r="BJ426" s="119"/>
      <c r="BK426" s="119"/>
      <c r="BL426" s="119"/>
    </row>
    <row r="427" spans="1:64">
      <c r="A427" s="119">
        <v>425</v>
      </c>
      <c r="B427" s="194">
        <f t="shared" si="6"/>
        <v>45747</v>
      </c>
      <c r="C427" s="195">
        <f>YEAR(MC_2[[#This Row],[Date]])+IF(MONTH(MC_2[[#This Row],[Date]])&gt;=4,1,0)</f>
        <v>2025</v>
      </c>
      <c r="D427" s="116">
        <f>YEAR(MC_2[[#This Row],[Date]])</f>
        <v>2025</v>
      </c>
      <c r="E427" s="196" t="s">
        <v>326</v>
      </c>
      <c r="F427" s="119" t="s">
        <v>326</v>
      </c>
      <c r="G427" s="116" t="str">
        <f>TEXT(MC_2[[#This Row],[Date]],"mmm-yy")</f>
        <v>Mar-25</v>
      </c>
      <c r="H427" s="116">
        <f>DAY(EOMONTH(MC_2[[#This Row],[Month Year]],0))</f>
        <v>31</v>
      </c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97"/>
      <c r="AN427" s="197"/>
      <c r="AO427" s="197"/>
      <c r="AP427" s="197"/>
      <c r="AQ427" s="197"/>
      <c r="AR427" s="197"/>
      <c r="AS427" s="119"/>
      <c r="AT427" s="119"/>
      <c r="AU427" s="119"/>
      <c r="AV427" s="119"/>
      <c r="AW427" s="119"/>
      <c r="AX427" s="119"/>
      <c r="AY427" s="119"/>
      <c r="AZ427" s="119"/>
      <c r="BA427" s="119"/>
      <c r="BB427" s="119"/>
      <c r="BC427" s="119"/>
      <c r="BD427" s="119"/>
      <c r="BE427" s="5">
        <f>SUM(MC_2[[#This Row],[IS1Inv1M1]:[IS9Inv19M2]])</f>
        <v>0</v>
      </c>
      <c r="BF427" s="119"/>
      <c r="BG427" s="119"/>
      <c r="BH427" s="119"/>
      <c r="BI427" s="119"/>
      <c r="BJ427" s="119"/>
      <c r="BK427" s="119"/>
      <c r="BL427" s="119"/>
    </row>
    <row r="428" spans="1:64">
      <c r="A428" s="119">
        <v>426</v>
      </c>
      <c r="B428" s="194">
        <f t="shared" si="6"/>
        <v>45748</v>
      </c>
      <c r="C428" s="195">
        <f>YEAR(MC_2[[#This Row],[Date]])+IF(MONTH(MC_2[[#This Row],[Date]])&gt;=4,1,0)</f>
        <v>2026</v>
      </c>
      <c r="D428" s="116">
        <f>YEAR(MC_2[[#This Row],[Date]])</f>
        <v>2025</v>
      </c>
      <c r="E428" s="196" t="s">
        <v>326</v>
      </c>
      <c r="F428" s="119" t="s">
        <v>326</v>
      </c>
      <c r="G428" s="5" t="str">
        <f>TEXT(MC_2[[#This Row],[Date]],"mmm-yy")</f>
        <v>Apr-25</v>
      </c>
      <c r="H428" s="5">
        <f>DAY(EOMONTH(MC_2[[#This Row],[Month Year]],0))</f>
        <v>30</v>
      </c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97"/>
      <c r="AN428" s="197"/>
      <c r="AO428" s="197"/>
      <c r="AP428" s="197"/>
      <c r="AQ428" s="197"/>
      <c r="AR428" s="197"/>
      <c r="AS428" s="119"/>
      <c r="AT428" s="119"/>
      <c r="AU428" s="119"/>
      <c r="AV428" s="119"/>
      <c r="AW428" s="119"/>
      <c r="AX428" s="119"/>
      <c r="AY428" s="119"/>
      <c r="AZ428" s="119"/>
      <c r="BA428" s="119"/>
      <c r="BB428" s="119"/>
      <c r="BC428" s="119"/>
      <c r="BD428" s="119"/>
      <c r="BE428" s="5">
        <f>SUM(MC_2[[#This Row],[IS1Inv1M1]:[IS9Inv19M2]])</f>
        <v>0</v>
      </c>
      <c r="BF428" s="119"/>
      <c r="BG428" s="119"/>
      <c r="BH428" s="119"/>
      <c r="BI428" s="119"/>
      <c r="BJ428" s="119"/>
      <c r="BK428" s="119"/>
      <c r="BL428" s="119"/>
    </row>
    <row r="429" spans="1:64">
      <c r="A429" s="119">
        <v>427</v>
      </c>
      <c r="B429" s="194">
        <f t="shared" si="6"/>
        <v>45749</v>
      </c>
      <c r="C429" s="195">
        <f>YEAR(MC_2[[#This Row],[Date]])+IF(MONTH(MC_2[[#This Row],[Date]])&gt;=4,1,0)</f>
        <v>2026</v>
      </c>
      <c r="D429" s="116">
        <f>YEAR(MC_2[[#This Row],[Date]])</f>
        <v>2025</v>
      </c>
      <c r="E429" s="196" t="s">
        <v>326</v>
      </c>
      <c r="F429" s="119" t="s">
        <v>326</v>
      </c>
      <c r="G429" s="5" t="str">
        <f>TEXT(MC_2[[#This Row],[Date]],"mmm-yy")</f>
        <v>Apr-25</v>
      </c>
      <c r="H429" s="5">
        <f>DAY(EOMONTH(MC_2[[#This Row],[Month Year]],0))</f>
        <v>30</v>
      </c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>
        <v>21</v>
      </c>
      <c r="AF429" s="119"/>
      <c r="AG429" s="119"/>
      <c r="AH429" s="119"/>
      <c r="AI429" s="119"/>
      <c r="AJ429" s="119">
        <v>55</v>
      </c>
      <c r="AK429" s="119"/>
      <c r="AL429" s="119"/>
      <c r="AM429" s="197"/>
      <c r="AN429" s="197"/>
      <c r="AO429" s="197">
        <v>12</v>
      </c>
      <c r="AP429" s="197"/>
      <c r="AQ429" s="197">
        <v>5.5</v>
      </c>
      <c r="AR429" s="197"/>
      <c r="AS429" s="119"/>
      <c r="AT429" s="119"/>
      <c r="AU429" s="119"/>
      <c r="AV429" s="119"/>
      <c r="AW429" s="119"/>
      <c r="AX429" s="119">
        <v>16</v>
      </c>
      <c r="AY429" s="119"/>
      <c r="AZ429" s="119"/>
      <c r="BA429" s="119"/>
      <c r="BB429" s="119"/>
      <c r="BC429" s="119"/>
      <c r="BD429" s="119"/>
      <c r="BE429" s="5">
        <f>SUM(MC_2[[#This Row],[IS1Inv1M1]:[IS9Inv19M2]])</f>
        <v>109.5</v>
      </c>
      <c r="BF429" s="119"/>
      <c r="BG429" s="119"/>
      <c r="BH429" s="119"/>
      <c r="BI429" s="119"/>
      <c r="BJ429" s="119"/>
      <c r="BK429" s="119"/>
      <c r="BL429" s="119"/>
    </row>
    <row r="430" spans="1:64">
      <c r="A430" s="119">
        <v>428</v>
      </c>
      <c r="B430" s="194">
        <f t="shared" si="6"/>
        <v>45750</v>
      </c>
      <c r="C430" s="195">
        <f>YEAR(MC_2[[#This Row],[Date]])+IF(MONTH(MC_2[[#This Row],[Date]])&gt;=4,1,0)</f>
        <v>2026</v>
      </c>
      <c r="D430" s="116">
        <f>YEAR(MC_2[[#This Row],[Date]])</f>
        <v>2025</v>
      </c>
      <c r="E430" s="196" t="s">
        <v>326</v>
      </c>
      <c r="F430" s="119" t="s">
        <v>326</v>
      </c>
      <c r="G430" s="5" t="str">
        <f>TEXT(MC_2[[#This Row],[Date]],"mmm-yy")</f>
        <v>Apr-25</v>
      </c>
      <c r="H430" s="5">
        <f>DAY(EOMONTH(MC_2[[#This Row],[Month Year]],0))</f>
        <v>30</v>
      </c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97"/>
      <c r="AN430" s="197"/>
      <c r="AO430" s="197"/>
      <c r="AP430" s="197"/>
      <c r="AQ430" s="197"/>
      <c r="AR430" s="197"/>
      <c r="AS430" s="119"/>
      <c r="AT430" s="119"/>
      <c r="AU430" s="119"/>
      <c r="AV430" s="119"/>
      <c r="AW430" s="119"/>
      <c r="AX430" s="119"/>
      <c r="AY430" s="119"/>
      <c r="AZ430" s="119"/>
      <c r="BA430" s="119"/>
      <c r="BB430" s="119"/>
      <c r="BC430" s="119"/>
      <c r="BD430" s="119"/>
      <c r="BE430" s="5">
        <f>SUM(MC_2[[#This Row],[IS1Inv1M1]:[IS9Inv19M2]])</f>
        <v>0</v>
      </c>
      <c r="BF430" s="119"/>
      <c r="BG430" s="119"/>
      <c r="BH430" s="119"/>
      <c r="BI430" s="119"/>
      <c r="BJ430" s="119"/>
      <c r="BK430" s="119"/>
      <c r="BL430" s="119"/>
    </row>
    <row r="431" spans="1:64">
      <c r="A431" s="119">
        <v>429</v>
      </c>
      <c r="B431" s="194">
        <f t="shared" si="6"/>
        <v>45751</v>
      </c>
      <c r="C431" s="195">
        <f>YEAR(MC_2[[#This Row],[Date]])+IF(MONTH(MC_2[[#This Row],[Date]])&gt;=4,1,0)</f>
        <v>2026</v>
      </c>
      <c r="D431" s="116">
        <f>YEAR(MC_2[[#This Row],[Date]])</f>
        <v>2025</v>
      </c>
      <c r="E431" s="196"/>
      <c r="F431" s="119"/>
      <c r="G431" s="5" t="str">
        <f>TEXT(MC_2[[#This Row],[Date]],"mmm-yy")</f>
        <v>Apr-25</v>
      </c>
      <c r="H431" s="5">
        <f>DAY(EOMONTH(MC_2[[#This Row],[Month Year]],0))</f>
        <v>30</v>
      </c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>
        <v>48</v>
      </c>
      <c r="AF431" s="119"/>
      <c r="AG431" s="119"/>
      <c r="AH431" s="119"/>
      <c r="AI431" s="119">
        <v>35</v>
      </c>
      <c r="AJ431" s="119"/>
      <c r="AK431" s="119"/>
      <c r="AL431" s="119"/>
      <c r="AM431" s="197"/>
      <c r="AN431" s="197"/>
      <c r="AO431" s="197"/>
      <c r="AP431" s="197"/>
      <c r="AQ431" s="197"/>
      <c r="AR431" s="197"/>
      <c r="AS431" s="119"/>
      <c r="AT431" s="119"/>
      <c r="AU431" s="119"/>
      <c r="AV431" s="119"/>
      <c r="AW431" s="119"/>
      <c r="AX431" s="119"/>
      <c r="AY431" s="119"/>
      <c r="AZ431" s="119"/>
      <c r="BA431" s="119"/>
      <c r="BB431" s="119"/>
      <c r="BC431" s="119"/>
      <c r="BD431" s="119"/>
      <c r="BE431" s="5">
        <f>SUM(MC_2[[#This Row],[IS1Inv1M1]:[IS9Inv19M2]])</f>
        <v>83</v>
      </c>
      <c r="BF431" s="119"/>
      <c r="BG431" s="119"/>
      <c r="BH431" s="119"/>
      <c r="BI431" s="119"/>
      <c r="BJ431" s="119"/>
      <c r="BK431" s="119"/>
      <c r="BL431" s="119"/>
    </row>
    <row r="432" spans="1:64">
      <c r="A432" s="119">
        <v>430</v>
      </c>
      <c r="B432" s="194">
        <f t="shared" si="6"/>
        <v>45752</v>
      </c>
      <c r="C432" s="195">
        <f>YEAR(MC_2[[#This Row],[Date]])+IF(MONTH(MC_2[[#This Row],[Date]])&gt;=4,1,0)</f>
        <v>2026</v>
      </c>
      <c r="D432" s="116">
        <f>YEAR(MC_2[[#This Row],[Date]])</f>
        <v>2025</v>
      </c>
      <c r="E432" s="196"/>
      <c r="F432" s="119"/>
      <c r="G432" s="5" t="str">
        <f>TEXT(MC_2[[#This Row],[Date]],"mmm-yy")</f>
        <v>Apr-25</v>
      </c>
      <c r="H432" s="5">
        <f>DAY(EOMONTH(MC_2[[#This Row],[Month Year]],0))</f>
        <v>30</v>
      </c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>
        <v>9</v>
      </c>
      <c r="AF432" s="119"/>
      <c r="AG432" s="119">
        <v>19</v>
      </c>
      <c r="AH432" s="119"/>
      <c r="AI432" s="119">
        <v>37</v>
      </c>
      <c r="AJ432" s="119">
        <v>21</v>
      </c>
      <c r="AK432" s="119"/>
      <c r="AL432" s="119"/>
      <c r="AM432" s="197"/>
      <c r="AN432" s="197"/>
      <c r="AO432" s="197"/>
      <c r="AP432" s="197"/>
      <c r="AQ432" s="197"/>
      <c r="AR432" s="197"/>
      <c r="AS432" s="119"/>
      <c r="AT432" s="119"/>
      <c r="AU432" s="119"/>
      <c r="AV432" s="119"/>
      <c r="AW432" s="119"/>
      <c r="AX432" s="119"/>
      <c r="AY432" s="119"/>
      <c r="AZ432" s="119"/>
      <c r="BA432" s="119"/>
      <c r="BB432" s="119"/>
      <c r="BC432" s="119"/>
      <c r="BD432" s="119"/>
      <c r="BE432" s="5">
        <f>SUM(MC_2[[#This Row],[IS1Inv1M1]:[IS9Inv19M2]])</f>
        <v>86</v>
      </c>
      <c r="BF432" s="119"/>
      <c r="BG432" s="119"/>
      <c r="BH432" s="119"/>
      <c r="BI432" s="119"/>
      <c r="BJ432" s="119"/>
      <c r="BK432" s="119"/>
      <c r="BL432" s="119"/>
    </row>
    <row r="433" spans="1:64">
      <c r="A433" s="119">
        <v>431</v>
      </c>
      <c r="B433" s="194">
        <f t="shared" si="6"/>
        <v>45753</v>
      </c>
      <c r="C433" s="195">
        <f>YEAR(MC_2[[#This Row],[Date]])+IF(MONTH(MC_2[[#This Row],[Date]])&gt;=4,1,0)</f>
        <v>2026</v>
      </c>
      <c r="D433" s="116">
        <f>YEAR(MC_2[[#This Row],[Date]])</f>
        <v>2025</v>
      </c>
      <c r="E433" s="196"/>
      <c r="F433" s="119"/>
      <c r="G433" s="5" t="str">
        <f>TEXT(MC_2[[#This Row],[Date]],"mmm-yy")</f>
        <v>Apr-25</v>
      </c>
      <c r="H433" s="5">
        <f>DAY(EOMONTH(MC_2[[#This Row],[Month Year]],0))</f>
        <v>30</v>
      </c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>
        <v>39</v>
      </c>
      <c r="AH433" s="119"/>
      <c r="AI433" s="119"/>
      <c r="AJ433" s="119"/>
      <c r="AK433" s="119">
        <v>35</v>
      </c>
      <c r="AL433" s="119"/>
      <c r="AM433" s="197"/>
      <c r="AN433" s="197"/>
      <c r="AO433" s="197"/>
      <c r="AP433" s="197"/>
      <c r="AQ433" s="197"/>
      <c r="AR433" s="197"/>
      <c r="AS433" s="119"/>
      <c r="AT433" s="119"/>
      <c r="AU433" s="119"/>
      <c r="AV433" s="119"/>
      <c r="AW433" s="119"/>
      <c r="AX433" s="119"/>
      <c r="AY433" s="119"/>
      <c r="AZ433" s="119"/>
      <c r="BA433" s="119"/>
      <c r="BB433" s="119"/>
      <c r="BC433" s="119"/>
      <c r="BD433" s="119"/>
      <c r="BE433" s="5">
        <f>SUM(MC_2[[#This Row],[IS1Inv1M1]:[IS9Inv19M2]])</f>
        <v>74</v>
      </c>
      <c r="BF433" s="119"/>
      <c r="BG433" s="119"/>
      <c r="BH433" s="119"/>
      <c r="BI433" s="119"/>
      <c r="BJ433" s="119"/>
      <c r="BK433" s="119"/>
      <c r="BL433" s="119"/>
    </row>
    <row r="434" spans="1:64">
      <c r="A434" s="119">
        <v>432</v>
      </c>
      <c r="B434" s="194">
        <f t="shared" si="6"/>
        <v>45754</v>
      </c>
      <c r="C434" s="195">
        <f>YEAR(MC_2[[#This Row],[Date]])+IF(MONTH(MC_2[[#This Row],[Date]])&gt;=4,1,0)</f>
        <v>2026</v>
      </c>
      <c r="D434" s="116">
        <f>YEAR(MC_2[[#This Row],[Date]])</f>
        <v>2025</v>
      </c>
      <c r="E434" s="196"/>
      <c r="F434" s="119"/>
      <c r="G434" s="5" t="str">
        <f>TEXT(MC_2[[#This Row],[Date]],"mmm-yy")</f>
        <v>Apr-25</v>
      </c>
      <c r="H434" s="5">
        <f>DAY(EOMONTH(MC_2[[#This Row],[Month Year]],0))</f>
        <v>30</v>
      </c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>
        <v>29</v>
      </c>
      <c r="AH434" s="119"/>
      <c r="AI434" s="119"/>
      <c r="AJ434" s="119"/>
      <c r="AK434" s="119">
        <v>21</v>
      </c>
      <c r="AL434" s="119">
        <v>27</v>
      </c>
      <c r="AM434" s="197"/>
      <c r="AN434" s="197"/>
      <c r="AO434" s="197"/>
      <c r="AP434" s="197"/>
      <c r="AQ434" s="197"/>
      <c r="AR434" s="197"/>
      <c r="AS434" s="119"/>
      <c r="AT434" s="119"/>
      <c r="AU434" s="119"/>
      <c r="AV434" s="119"/>
      <c r="AW434" s="119"/>
      <c r="AX434" s="119"/>
      <c r="AY434" s="119"/>
      <c r="AZ434" s="119"/>
      <c r="BA434" s="119"/>
      <c r="BB434" s="119"/>
      <c r="BC434" s="119"/>
      <c r="BD434" s="119"/>
      <c r="BE434" s="5">
        <f>SUM(MC_2[[#This Row],[IS1Inv1M1]:[IS9Inv19M2]])</f>
        <v>77</v>
      </c>
      <c r="BF434" s="119"/>
      <c r="BG434" s="119"/>
      <c r="BH434" s="119"/>
      <c r="BI434" s="119"/>
      <c r="BJ434" s="119"/>
      <c r="BK434" s="119"/>
      <c r="BL434" s="119"/>
    </row>
    <row r="435" spans="1:64">
      <c r="A435" s="119">
        <v>433</v>
      </c>
      <c r="B435" s="194">
        <f t="shared" si="6"/>
        <v>45755</v>
      </c>
      <c r="C435" s="195">
        <f>YEAR(MC_2[[#This Row],[Date]])+IF(MONTH(MC_2[[#This Row],[Date]])&gt;=4,1,0)</f>
        <v>2026</v>
      </c>
      <c r="D435" s="116">
        <f>YEAR(MC_2[[#This Row],[Date]])</f>
        <v>2025</v>
      </c>
      <c r="E435" s="196"/>
      <c r="F435" s="119"/>
      <c r="G435" s="5" t="str">
        <f>TEXT(MC_2[[#This Row],[Date]],"mmm-yy")</f>
        <v>Apr-25</v>
      </c>
      <c r="H435" s="5">
        <f>DAY(EOMONTH(MC_2[[#This Row],[Month Year]],0))</f>
        <v>30</v>
      </c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97"/>
      <c r="AN435" s="197"/>
      <c r="AO435" s="197"/>
      <c r="AP435" s="197"/>
      <c r="AQ435" s="197"/>
      <c r="AR435" s="197"/>
      <c r="AS435" s="119"/>
      <c r="AT435" s="119"/>
      <c r="AU435" s="119"/>
      <c r="AV435" s="119"/>
      <c r="AW435" s="119"/>
      <c r="AX435" s="119"/>
      <c r="AY435" s="119"/>
      <c r="AZ435" s="119"/>
      <c r="BA435" s="119"/>
      <c r="BB435" s="119"/>
      <c r="BC435" s="119"/>
      <c r="BD435" s="119"/>
      <c r="BE435" s="5">
        <f>SUM(MC_2[[#This Row],[IS1Inv1M1]:[IS9Inv19M2]])</f>
        <v>0</v>
      </c>
      <c r="BF435" s="119"/>
      <c r="BG435" s="119"/>
      <c r="BH435" s="119"/>
      <c r="BI435" s="119"/>
      <c r="BJ435" s="119"/>
      <c r="BK435" s="119"/>
      <c r="BL435" s="119"/>
    </row>
    <row r="436" spans="1:64">
      <c r="A436" s="119">
        <v>434</v>
      </c>
      <c r="B436" s="194">
        <f t="shared" si="6"/>
        <v>45756</v>
      </c>
      <c r="C436" s="195">
        <f>YEAR(MC_2[[#This Row],[Date]])+IF(MONTH(MC_2[[#This Row],[Date]])&gt;=4,1,0)</f>
        <v>2026</v>
      </c>
      <c r="D436" s="116">
        <f>YEAR(MC_2[[#This Row],[Date]])</f>
        <v>2025</v>
      </c>
      <c r="E436" s="196"/>
      <c r="F436" s="119"/>
      <c r="G436" s="5" t="str">
        <f>TEXT(MC_2[[#This Row],[Date]],"mmm-yy")</f>
        <v>Apr-25</v>
      </c>
      <c r="H436" s="5">
        <f>DAY(EOMONTH(MC_2[[#This Row],[Month Year]],0))</f>
        <v>30</v>
      </c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>
        <v>36</v>
      </c>
      <c r="AI436" s="119"/>
      <c r="AJ436" s="119"/>
      <c r="AK436" s="119"/>
      <c r="AL436" s="119">
        <v>44</v>
      </c>
      <c r="AM436" s="197"/>
      <c r="AN436" s="197"/>
      <c r="AO436" s="197"/>
      <c r="AP436" s="197"/>
      <c r="AQ436" s="197"/>
      <c r="AR436" s="197"/>
      <c r="AS436" s="119"/>
      <c r="AT436" s="119"/>
      <c r="AU436" s="119"/>
      <c r="AV436" s="119"/>
      <c r="AW436" s="119"/>
      <c r="AX436" s="119"/>
      <c r="AY436" s="119"/>
      <c r="AZ436" s="119"/>
      <c r="BA436" s="119"/>
      <c r="BB436" s="119"/>
      <c r="BC436" s="119"/>
      <c r="BD436" s="119"/>
      <c r="BE436" s="5">
        <f>SUM(MC_2[[#This Row],[IS1Inv1M1]:[IS9Inv19M2]])</f>
        <v>80</v>
      </c>
      <c r="BF436" s="119"/>
      <c r="BG436" s="119"/>
      <c r="BH436" s="119"/>
      <c r="BI436" s="119"/>
      <c r="BJ436" s="119"/>
      <c r="BK436" s="119"/>
      <c r="BL436" s="119"/>
    </row>
    <row r="437" spans="1:64">
      <c r="A437" s="119">
        <v>435</v>
      </c>
      <c r="B437" s="194">
        <f t="shared" si="6"/>
        <v>45757</v>
      </c>
      <c r="C437" s="195">
        <f>YEAR(MC_2[[#This Row],[Date]])+IF(MONTH(MC_2[[#This Row],[Date]])&gt;=4,1,0)</f>
        <v>2026</v>
      </c>
      <c r="D437" s="116">
        <f>YEAR(MC_2[[#This Row],[Date]])</f>
        <v>2025</v>
      </c>
      <c r="E437" s="196"/>
      <c r="F437" s="119"/>
      <c r="G437" s="5" t="str">
        <f>TEXT(MC_2[[#This Row],[Date]],"mmm-yy")</f>
        <v>Apr-25</v>
      </c>
      <c r="H437" s="5">
        <f>DAY(EOMONTH(MC_2[[#This Row],[Month Year]],0))</f>
        <v>30</v>
      </c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97"/>
      <c r="AN437" s="197"/>
      <c r="AO437" s="197"/>
      <c r="AP437" s="197"/>
      <c r="AQ437" s="197"/>
      <c r="AR437" s="197"/>
      <c r="AS437" s="119"/>
      <c r="AT437" s="119"/>
      <c r="AU437" s="119"/>
      <c r="AV437" s="119"/>
      <c r="AW437" s="119"/>
      <c r="AX437" s="119"/>
      <c r="AY437" s="119"/>
      <c r="AZ437" s="119"/>
      <c r="BA437" s="119"/>
      <c r="BB437" s="119"/>
      <c r="BC437" s="119"/>
      <c r="BD437" s="119"/>
      <c r="BE437" s="5">
        <f>SUM(MC_2[[#This Row],[IS1Inv1M1]:[IS9Inv19M2]])</f>
        <v>0</v>
      </c>
      <c r="BF437" s="119"/>
      <c r="BG437" s="119"/>
      <c r="BH437" s="119"/>
      <c r="BI437" s="119"/>
      <c r="BJ437" s="119"/>
      <c r="BK437" s="119"/>
      <c r="BL437" s="119"/>
    </row>
    <row r="438" spans="1:64">
      <c r="A438" s="119">
        <v>436</v>
      </c>
      <c r="B438" s="194">
        <f t="shared" si="6"/>
        <v>45758</v>
      </c>
      <c r="C438" s="195">
        <f>YEAR(MC_2[[#This Row],[Date]])+IF(MONTH(MC_2[[#This Row],[Date]])&gt;=4,1,0)</f>
        <v>2026</v>
      </c>
      <c r="D438" s="116">
        <f>YEAR(MC_2[[#This Row],[Date]])</f>
        <v>2025</v>
      </c>
      <c r="E438" s="196"/>
      <c r="F438" s="119"/>
      <c r="G438" s="5" t="str">
        <f>TEXT(MC_2[[#This Row],[Date]],"mmm-yy")</f>
        <v>Apr-25</v>
      </c>
      <c r="H438" s="5">
        <f>DAY(EOMONTH(MC_2[[#This Row],[Month Year]],0))</f>
        <v>30</v>
      </c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19"/>
      <c r="AH438" s="119">
        <v>34</v>
      </c>
      <c r="AI438" s="119"/>
      <c r="AJ438" s="119"/>
      <c r="AK438" s="119"/>
      <c r="AL438" s="119">
        <v>9</v>
      </c>
      <c r="AM438" s="197"/>
      <c r="AN438" s="197"/>
      <c r="AO438" s="197"/>
      <c r="AP438" s="197"/>
      <c r="AQ438" s="197"/>
      <c r="AR438" s="197"/>
      <c r="AS438" s="119"/>
      <c r="AT438" s="119"/>
      <c r="AU438" s="119"/>
      <c r="AV438" s="119"/>
      <c r="AW438" s="119"/>
      <c r="AX438" s="119"/>
      <c r="AY438" s="119"/>
      <c r="AZ438" s="119"/>
      <c r="BA438" s="119"/>
      <c r="BB438" s="119"/>
      <c r="BC438" s="119"/>
      <c r="BD438" s="119"/>
      <c r="BE438" s="5">
        <f>SUM(MC_2[[#This Row],[IS1Inv1M1]:[IS9Inv19M2]])</f>
        <v>43</v>
      </c>
      <c r="BF438" s="119"/>
      <c r="BG438" s="119"/>
      <c r="BH438" s="119"/>
      <c r="BI438" s="119"/>
      <c r="BJ438" s="119"/>
      <c r="BK438" s="119"/>
      <c r="BL438" s="119"/>
    </row>
    <row r="439" spans="1:64">
      <c r="A439" s="119">
        <v>437</v>
      </c>
      <c r="B439" s="194">
        <f t="shared" si="6"/>
        <v>45759</v>
      </c>
      <c r="C439" s="195">
        <f>YEAR(MC_2[[#This Row],[Date]])+IF(MONTH(MC_2[[#This Row],[Date]])&gt;=4,1,0)</f>
        <v>2026</v>
      </c>
      <c r="D439" s="116">
        <f>YEAR(MC_2[[#This Row],[Date]])</f>
        <v>2025</v>
      </c>
      <c r="E439" s="196"/>
      <c r="F439" s="119"/>
      <c r="G439" s="5" t="str">
        <f>TEXT(MC_2[[#This Row],[Date]],"mmm-yy")</f>
        <v>Apr-25</v>
      </c>
      <c r="H439" s="5">
        <f>DAY(EOMONTH(MC_2[[#This Row],[Month Year]],0))</f>
        <v>30</v>
      </c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97"/>
      <c r="AN439" s="197"/>
      <c r="AO439" s="197"/>
      <c r="AP439" s="197"/>
      <c r="AQ439" s="197"/>
      <c r="AR439" s="197"/>
      <c r="AS439" s="119"/>
      <c r="AT439" s="119"/>
      <c r="AU439" s="119"/>
      <c r="AV439" s="119"/>
      <c r="AW439" s="119"/>
      <c r="AX439" s="119"/>
      <c r="AY439" s="119"/>
      <c r="AZ439" s="119"/>
      <c r="BA439" s="119"/>
      <c r="BB439" s="119"/>
      <c r="BC439" s="119"/>
      <c r="BD439" s="119"/>
      <c r="BE439" s="5">
        <f>SUM(MC_2[[#This Row],[IS1Inv1M1]:[IS9Inv19M2]])</f>
        <v>0</v>
      </c>
      <c r="BF439" s="119"/>
      <c r="BG439" s="119"/>
      <c r="BH439" s="119"/>
      <c r="BI439" s="119"/>
      <c r="BJ439" s="119"/>
      <c r="BK439" s="119"/>
      <c r="BL439" s="119"/>
    </row>
    <row r="440" spans="1:64">
      <c r="A440" s="119">
        <v>438</v>
      </c>
      <c r="B440" s="194">
        <f t="shared" si="6"/>
        <v>45760</v>
      </c>
      <c r="C440" s="195">
        <f>YEAR(MC_2[[#This Row],[Date]])+IF(MONTH(MC_2[[#This Row],[Date]])&gt;=4,1,0)</f>
        <v>2026</v>
      </c>
      <c r="D440" s="116">
        <f>YEAR(MC_2[[#This Row],[Date]])</f>
        <v>2025</v>
      </c>
      <c r="E440" s="196"/>
      <c r="F440" s="119"/>
      <c r="G440" s="5" t="str">
        <f>TEXT(MC_2[[#This Row],[Date]],"mmm-yy")</f>
        <v>Apr-25</v>
      </c>
      <c r="H440" s="5">
        <f>DAY(EOMONTH(MC_2[[#This Row],[Month Year]],0))</f>
        <v>30</v>
      </c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97"/>
      <c r="AN440" s="197"/>
      <c r="AO440" s="197"/>
      <c r="AP440" s="197"/>
      <c r="AQ440" s="197"/>
      <c r="AR440" s="197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5">
        <f>SUM(MC_2[[#This Row],[IS1Inv1M1]:[IS9Inv19M2]])</f>
        <v>0</v>
      </c>
      <c r="BF440" s="119"/>
      <c r="BG440" s="119"/>
      <c r="BH440" s="119"/>
      <c r="BI440" s="119"/>
      <c r="BJ440" s="119"/>
      <c r="BK440" s="119"/>
      <c r="BL440" s="119"/>
    </row>
    <row r="441" spans="1:64">
      <c r="A441" s="119">
        <v>439</v>
      </c>
      <c r="B441" s="194">
        <f t="shared" si="6"/>
        <v>45761</v>
      </c>
      <c r="C441" s="195">
        <f>YEAR(MC_2[[#This Row],[Date]])+IF(MONTH(MC_2[[#This Row],[Date]])&gt;=4,1,0)</f>
        <v>2026</v>
      </c>
      <c r="D441" s="116">
        <f>YEAR(MC_2[[#This Row],[Date]])</f>
        <v>2025</v>
      </c>
      <c r="E441" s="196"/>
      <c r="F441" s="119"/>
      <c r="G441" s="5" t="str">
        <f>TEXT(MC_2[[#This Row],[Date]],"mmm-yy")</f>
        <v>Apr-25</v>
      </c>
      <c r="H441" s="5">
        <f>DAY(EOMONTH(MC_2[[#This Row],[Month Year]],0))</f>
        <v>30</v>
      </c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97"/>
      <c r="AN441" s="197"/>
      <c r="AO441" s="197"/>
      <c r="AP441" s="197"/>
      <c r="AQ441" s="197"/>
      <c r="AR441" s="197"/>
      <c r="AS441" s="119"/>
      <c r="AT441" s="119"/>
      <c r="AU441" s="119"/>
      <c r="AV441" s="119"/>
      <c r="AW441" s="119"/>
      <c r="AX441" s="119"/>
      <c r="AY441" s="119"/>
      <c r="AZ441" s="119"/>
      <c r="BA441" s="119"/>
      <c r="BB441" s="119"/>
      <c r="BC441" s="119"/>
      <c r="BD441" s="119"/>
      <c r="BE441" s="5">
        <f>SUM(MC_2[[#This Row],[IS1Inv1M1]:[IS9Inv19M2]])</f>
        <v>0</v>
      </c>
      <c r="BF441" s="119"/>
      <c r="BG441" s="119"/>
      <c r="BH441" s="119"/>
      <c r="BI441" s="119"/>
      <c r="BJ441" s="119"/>
      <c r="BK441" s="119"/>
      <c r="BL441" s="119"/>
    </row>
    <row r="442" spans="1:64">
      <c r="A442" s="119">
        <v>440</v>
      </c>
      <c r="B442" s="194">
        <f t="shared" si="6"/>
        <v>45762</v>
      </c>
      <c r="C442" s="195">
        <f>YEAR(MC_2[[#This Row],[Date]])+IF(MONTH(MC_2[[#This Row],[Date]])&gt;=4,1,0)</f>
        <v>2026</v>
      </c>
      <c r="D442" s="116">
        <f>YEAR(MC_2[[#This Row],[Date]])</f>
        <v>2025</v>
      </c>
      <c r="E442" s="196"/>
      <c r="F442" s="119"/>
      <c r="G442" s="5" t="str">
        <f>TEXT(MC_2[[#This Row],[Date]],"mmm-yy")</f>
        <v>Apr-25</v>
      </c>
      <c r="H442" s="5">
        <f>DAY(EOMONTH(MC_2[[#This Row],[Month Year]],0))</f>
        <v>30</v>
      </c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>
        <v>79</v>
      </c>
      <c r="AG442" s="119"/>
      <c r="AH442" s="119">
        <v>9</v>
      </c>
      <c r="AI442" s="119"/>
      <c r="AJ442" s="119">
        <v>3</v>
      </c>
      <c r="AK442" s="119"/>
      <c r="AL442" s="119"/>
      <c r="AM442" s="197"/>
      <c r="AN442" s="197"/>
      <c r="AO442" s="197"/>
      <c r="AP442" s="197"/>
      <c r="AQ442" s="197"/>
      <c r="AR442" s="197"/>
      <c r="AS442" s="119"/>
      <c r="AT442" s="119"/>
      <c r="AU442" s="119"/>
      <c r="AV442" s="119"/>
      <c r="AW442" s="119"/>
      <c r="AX442" s="119"/>
      <c r="AY442" s="119"/>
      <c r="AZ442" s="119"/>
      <c r="BA442" s="119"/>
      <c r="BB442" s="119"/>
      <c r="BC442" s="119"/>
      <c r="BD442" s="119"/>
      <c r="BE442" s="5">
        <f>SUM(MC_2[[#This Row],[IS1Inv1M1]:[IS9Inv19M2]])</f>
        <v>91</v>
      </c>
      <c r="BF442" s="119"/>
      <c r="BG442" s="119"/>
      <c r="BH442" s="119"/>
      <c r="BI442" s="119"/>
      <c r="BJ442" s="119"/>
      <c r="BK442" s="119"/>
      <c r="BL442" s="119"/>
    </row>
    <row r="443" spans="1:64">
      <c r="A443" s="119">
        <v>441</v>
      </c>
      <c r="B443" s="194">
        <f t="shared" si="6"/>
        <v>45763</v>
      </c>
      <c r="C443" s="195">
        <f>YEAR(MC_2[[#This Row],[Date]])+IF(MONTH(MC_2[[#This Row],[Date]])&gt;=4,1,0)</f>
        <v>2026</v>
      </c>
      <c r="D443" s="116">
        <f>YEAR(MC_2[[#This Row],[Date]])</f>
        <v>2025</v>
      </c>
      <c r="E443" s="196"/>
      <c r="F443" s="119"/>
      <c r="G443" s="5" t="str">
        <f>TEXT(MC_2[[#This Row],[Date]],"mmm-yy")</f>
        <v>Apr-25</v>
      </c>
      <c r="H443" s="5">
        <f>DAY(EOMONTH(MC_2[[#This Row],[Month Year]],0))</f>
        <v>30</v>
      </c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97"/>
      <c r="AN443" s="197"/>
      <c r="AO443" s="197"/>
      <c r="AP443" s="197"/>
      <c r="AQ443" s="197"/>
      <c r="AR443" s="197"/>
      <c r="AS443" s="119"/>
      <c r="AT443" s="119"/>
      <c r="AU443" s="119"/>
      <c r="AV443" s="119"/>
      <c r="AW443" s="119"/>
      <c r="AX443" s="119"/>
      <c r="AY443" s="119"/>
      <c r="AZ443" s="119"/>
      <c r="BA443" s="119"/>
      <c r="BB443" s="119"/>
      <c r="BC443" s="119"/>
      <c r="BD443" s="119"/>
      <c r="BE443" s="5">
        <f>SUM(MC_2[[#This Row],[IS1Inv1M1]:[IS9Inv19M2]])</f>
        <v>0</v>
      </c>
      <c r="BF443" s="119"/>
      <c r="BG443" s="119"/>
      <c r="BH443" s="119"/>
      <c r="BI443" s="119"/>
      <c r="BJ443" s="119"/>
      <c r="BK443" s="119"/>
      <c r="BL443" s="119"/>
    </row>
    <row r="444" spans="1:64">
      <c r="A444" s="119">
        <v>442</v>
      </c>
      <c r="B444" s="194">
        <f t="shared" si="6"/>
        <v>45764</v>
      </c>
      <c r="C444" s="195">
        <f>YEAR(MC_2[[#This Row],[Date]])+IF(MONTH(MC_2[[#This Row],[Date]])&gt;=4,1,0)</f>
        <v>2026</v>
      </c>
      <c r="D444" s="116">
        <f>YEAR(MC_2[[#This Row],[Date]])</f>
        <v>2025</v>
      </c>
      <c r="E444" s="196"/>
      <c r="F444" s="119"/>
      <c r="G444" s="5" t="str">
        <f>TEXT(MC_2[[#This Row],[Date]],"mmm-yy")</f>
        <v>Apr-25</v>
      </c>
      <c r="H444" s="5">
        <f>DAY(EOMONTH(MC_2[[#This Row],[Month Year]],0))</f>
        <v>30</v>
      </c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19"/>
      <c r="AH444" s="119"/>
      <c r="AI444" s="119"/>
      <c r="AJ444" s="119"/>
      <c r="AK444" s="119"/>
      <c r="AL444" s="119"/>
      <c r="AM444" s="197"/>
      <c r="AN444" s="197"/>
      <c r="AO444" s="197"/>
      <c r="AP444" s="197"/>
      <c r="AQ444" s="197"/>
      <c r="AR444" s="197"/>
      <c r="AS444" s="119"/>
      <c r="AT444" s="119"/>
      <c r="AU444" s="119"/>
      <c r="AV444" s="119"/>
      <c r="AW444" s="119"/>
      <c r="AX444" s="119"/>
      <c r="AY444" s="119"/>
      <c r="AZ444" s="119"/>
      <c r="BA444" s="119"/>
      <c r="BB444" s="119"/>
      <c r="BC444" s="119"/>
      <c r="BD444" s="119"/>
      <c r="BE444" s="5">
        <f>SUM(MC_2[[#This Row],[IS1Inv1M1]:[IS9Inv19M2]])</f>
        <v>0</v>
      </c>
      <c r="BF444" s="119"/>
      <c r="BG444" s="119"/>
      <c r="BH444" s="119"/>
      <c r="BI444" s="119"/>
      <c r="BJ444" s="119"/>
      <c r="BK444" s="119"/>
      <c r="BL444" s="119"/>
    </row>
    <row r="445" spans="1:64">
      <c r="A445" s="119">
        <v>443</v>
      </c>
      <c r="B445" s="194">
        <f t="shared" si="6"/>
        <v>45765</v>
      </c>
      <c r="C445" s="195">
        <f>YEAR(MC_2[[#This Row],[Date]])+IF(MONTH(MC_2[[#This Row],[Date]])&gt;=4,1,0)</f>
        <v>2026</v>
      </c>
      <c r="D445" s="116">
        <f>YEAR(MC_2[[#This Row],[Date]])</f>
        <v>2025</v>
      </c>
      <c r="E445" s="196"/>
      <c r="F445" s="119"/>
      <c r="G445" s="5" t="str">
        <f>TEXT(MC_2[[#This Row],[Date]],"mmm-yy")</f>
        <v>Apr-25</v>
      </c>
      <c r="H445" s="5">
        <f>DAY(EOMONTH(MC_2[[#This Row],[Month Year]],0))</f>
        <v>30</v>
      </c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97"/>
      <c r="AN445" s="197"/>
      <c r="AO445" s="197"/>
      <c r="AP445" s="197"/>
      <c r="AQ445" s="197"/>
      <c r="AR445" s="197"/>
      <c r="AS445" s="119"/>
      <c r="AT445" s="119"/>
      <c r="AU445" s="119"/>
      <c r="AV445" s="119"/>
      <c r="AW445" s="119"/>
      <c r="AX445" s="119"/>
      <c r="AY445" s="119"/>
      <c r="AZ445" s="119"/>
      <c r="BA445" s="119"/>
      <c r="BB445" s="119"/>
      <c r="BC445" s="119"/>
      <c r="BD445" s="119"/>
      <c r="BE445" s="5">
        <f>SUM(MC_2[[#This Row],[IS1Inv1M1]:[IS9Inv19M2]])</f>
        <v>0</v>
      </c>
      <c r="BF445" s="119"/>
      <c r="BG445" s="119"/>
      <c r="BH445" s="119"/>
      <c r="BI445" s="119"/>
      <c r="BJ445" s="119"/>
      <c r="BK445" s="119"/>
      <c r="BL445" s="119"/>
    </row>
    <row r="446" spans="1:64">
      <c r="A446" s="119">
        <v>444</v>
      </c>
      <c r="B446" s="194">
        <f t="shared" si="6"/>
        <v>45766</v>
      </c>
      <c r="C446" s="195">
        <f>YEAR(MC_2[[#This Row],[Date]])+IF(MONTH(MC_2[[#This Row],[Date]])&gt;=4,1,0)</f>
        <v>2026</v>
      </c>
      <c r="D446" s="116">
        <f>YEAR(MC_2[[#This Row],[Date]])</f>
        <v>2025</v>
      </c>
      <c r="E446" s="196"/>
      <c r="F446" s="119"/>
      <c r="G446" s="5" t="str">
        <f>TEXT(MC_2[[#This Row],[Date]],"mmm-yy")</f>
        <v>Apr-25</v>
      </c>
      <c r="H446" s="5">
        <f>DAY(EOMONTH(MC_2[[#This Row],[Month Year]],0))</f>
        <v>30</v>
      </c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19"/>
      <c r="AH446" s="119"/>
      <c r="AI446" s="119"/>
      <c r="AJ446" s="119"/>
      <c r="AK446" s="119"/>
      <c r="AL446" s="119"/>
      <c r="AM446" s="197"/>
      <c r="AN446" s="197"/>
      <c r="AO446" s="197"/>
      <c r="AP446" s="197"/>
      <c r="AQ446" s="197"/>
      <c r="AR446" s="197"/>
      <c r="AS446" s="119"/>
      <c r="AT446" s="119"/>
      <c r="AU446" s="119"/>
      <c r="AV446" s="119"/>
      <c r="AW446" s="119"/>
      <c r="AX446" s="119"/>
      <c r="AY446" s="119"/>
      <c r="AZ446" s="119"/>
      <c r="BA446" s="119"/>
      <c r="BB446" s="119"/>
      <c r="BC446" s="119"/>
      <c r="BD446" s="119"/>
      <c r="BE446" s="5">
        <f>SUM(MC_2[[#This Row],[IS1Inv1M1]:[IS9Inv19M2]])</f>
        <v>0</v>
      </c>
      <c r="BF446" s="119"/>
      <c r="BG446" s="119"/>
      <c r="BH446" s="119"/>
      <c r="BI446" s="119"/>
      <c r="BJ446" s="119"/>
      <c r="BK446" s="119"/>
      <c r="BL446" s="119"/>
    </row>
    <row r="447" spans="1:64">
      <c r="A447" s="119">
        <v>445</v>
      </c>
      <c r="B447" s="194">
        <f t="shared" si="6"/>
        <v>45767</v>
      </c>
      <c r="C447" s="195">
        <f>YEAR(MC_2[[#This Row],[Date]])+IF(MONTH(MC_2[[#This Row],[Date]])&gt;=4,1,0)</f>
        <v>2026</v>
      </c>
      <c r="D447" s="116">
        <f>YEAR(MC_2[[#This Row],[Date]])</f>
        <v>2025</v>
      </c>
      <c r="E447" s="196"/>
      <c r="F447" s="119"/>
      <c r="G447" s="5" t="str">
        <f>TEXT(MC_2[[#This Row],[Date]],"mmm-yy")</f>
        <v>Apr-25</v>
      </c>
      <c r="H447" s="5">
        <f>DAY(EOMONTH(MC_2[[#This Row],[Month Year]],0))</f>
        <v>30</v>
      </c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97"/>
      <c r="AN447" s="197"/>
      <c r="AO447" s="197"/>
      <c r="AP447" s="197"/>
      <c r="AQ447" s="197"/>
      <c r="AR447" s="197"/>
      <c r="AS447" s="119"/>
      <c r="AT447" s="119"/>
      <c r="AU447" s="119"/>
      <c r="AV447" s="119"/>
      <c r="AW447" s="119"/>
      <c r="AX447" s="119"/>
      <c r="AY447" s="119"/>
      <c r="AZ447" s="119"/>
      <c r="BA447" s="119"/>
      <c r="BB447" s="119"/>
      <c r="BC447" s="119"/>
      <c r="BD447" s="119"/>
      <c r="BE447" s="5">
        <f>SUM(MC_2[[#This Row],[IS1Inv1M1]:[IS9Inv19M2]])</f>
        <v>0</v>
      </c>
      <c r="BF447" s="119"/>
      <c r="BG447" s="119"/>
      <c r="BH447" s="119"/>
      <c r="BI447" s="119"/>
      <c r="BJ447" s="119"/>
      <c r="BK447" s="119"/>
      <c r="BL447" s="119"/>
    </row>
    <row r="448" spans="1:64">
      <c r="A448" s="119">
        <v>446</v>
      </c>
      <c r="B448" s="194">
        <f t="shared" si="6"/>
        <v>45768</v>
      </c>
      <c r="C448" s="195">
        <f>YEAR(MC_2[[#This Row],[Date]])+IF(MONTH(MC_2[[#This Row],[Date]])&gt;=4,1,0)</f>
        <v>2026</v>
      </c>
      <c r="D448" s="116">
        <f>YEAR(MC_2[[#This Row],[Date]])</f>
        <v>2025</v>
      </c>
      <c r="E448" s="196"/>
      <c r="F448" s="119"/>
      <c r="G448" s="5" t="str">
        <f>TEXT(MC_2[[#This Row],[Date]],"mmm-yy")</f>
        <v>Apr-25</v>
      </c>
      <c r="H448" s="5">
        <f>DAY(EOMONTH(MC_2[[#This Row],[Month Year]],0))</f>
        <v>30</v>
      </c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19"/>
      <c r="AH448" s="119"/>
      <c r="AI448" s="119"/>
      <c r="AJ448" s="119"/>
      <c r="AK448" s="119"/>
      <c r="AL448" s="119"/>
      <c r="AM448" s="197"/>
      <c r="AN448" s="197"/>
      <c r="AO448" s="197"/>
      <c r="AP448" s="197"/>
      <c r="AQ448" s="197"/>
      <c r="AR448" s="197"/>
      <c r="AS448" s="119"/>
      <c r="AT448" s="119"/>
      <c r="AU448" s="119"/>
      <c r="AV448" s="119"/>
      <c r="AW448" s="119"/>
      <c r="AX448" s="119"/>
      <c r="AY448" s="119"/>
      <c r="AZ448" s="119"/>
      <c r="BA448" s="119"/>
      <c r="BB448" s="119"/>
      <c r="BC448" s="119"/>
      <c r="BD448" s="119"/>
      <c r="BE448" s="5">
        <f>SUM(MC_2[[#This Row],[IS1Inv1M1]:[IS9Inv19M2]])</f>
        <v>0</v>
      </c>
      <c r="BF448" s="119"/>
      <c r="BG448" s="119"/>
      <c r="BH448" s="119"/>
      <c r="BI448" s="119"/>
      <c r="BJ448" s="119"/>
      <c r="BK448" s="119"/>
      <c r="BL448" s="119"/>
    </row>
    <row r="449" spans="1:64">
      <c r="A449" s="119">
        <v>447</v>
      </c>
      <c r="B449" s="194">
        <f t="shared" si="6"/>
        <v>45769</v>
      </c>
      <c r="C449" s="195">
        <f>YEAR(MC_2[[#This Row],[Date]])+IF(MONTH(MC_2[[#This Row],[Date]])&gt;=4,1,0)</f>
        <v>2026</v>
      </c>
      <c r="D449" s="116">
        <f>YEAR(MC_2[[#This Row],[Date]])</f>
        <v>2025</v>
      </c>
      <c r="E449" s="196"/>
      <c r="F449" s="119"/>
      <c r="G449" s="5" t="str">
        <f>TEXT(MC_2[[#This Row],[Date]],"mmm-yy")</f>
        <v>Apr-25</v>
      </c>
      <c r="H449" s="5">
        <f>DAY(EOMONTH(MC_2[[#This Row],[Month Year]],0))</f>
        <v>30</v>
      </c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19"/>
      <c r="AH449" s="119"/>
      <c r="AI449" s="119"/>
      <c r="AJ449" s="119"/>
      <c r="AK449" s="119"/>
      <c r="AL449" s="119"/>
      <c r="AM449" s="197"/>
      <c r="AN449" s="197"/>
      <c r="AO449" s="197"/>
      <c r="AP449" s="197"/>
      <c r="AQ449" s="197"/>
      <c r="AR449" s="197"/>
      <c r="AS449" s="119"/>
      <c r="AT449" s="119"/>
      <c r="AU449" s="119"/>
      <c r="AV449" s="119"/>
      <c r="AW449" s="119"/>
      <c r="AX449" s="119"/>
      <c r="AY449" s="119"/>
      <c r="AZ449" s="119"/>
      <c r="BA449" s="119"/>
      <c r="BB449" s="119"/>
      <c r="BC449" s="119"/>
      <c r="BD449" s="119"/>
      <c r="BE449" s="5">
        <f>SUM(MC_2[[#This Row],[IS1Inv1M1]:[IS9Inv19M2]])</f>
        <v>0</v>
      </c>
      <c r="BF449" s="119"/>
      <c r="BG449" s="119"/>
      <c r="BH449" s="119"/>
      <c r="BI449" s="119"/>
      <c r="BJ449" s="119"/>
      <c r="BK449" s="119"/>
      <c r="BL449" s="119"/>
    </row>
    <row r="450" spans="1:64">
      <c r="A450" s="119">
        <v>448</v>
      </c>
      <c r="B450" s="194">
        <f t="shared" si="6"/>
        <v>45770</v>
      </c>
      <c r="C450" s="195">
        <f>YEAR(MC_2[[#This Row],[Date]])+IF(MONTH(MC_2[[#This Row],[Date]])&gt;=4,1,0)</f>
        <v>2026</v>
      </c>
      <c r="D450" s="116">
        <f>YEAR(MC_2[[#This Row],[Date]])</f>
        <v>2025</v>
      </c>
      <c r="E450" s="196"/>
      <c r="F450" s="119"/>
      <c r="G450" s="5" t="str">
        <f>TEXT(MC_2[[#This Row],[Date]],"mmm-yy")</f>
        <v>Apr-25</v>
      </c>
      <c r="H450" s="5">
        <f>DAY(EOMONTH(MC_2[[#This Row],[Month Year]],0))</f>
        <v>30</v>
      </c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19"/>
      <c r="AH450" s="119"/>
      <c r="AI450" s="119"/>
      <c r="AJ450" s="119"/>
      <c r="AK450" s="119"/>
      <c r="AL450" s="119"/>
      <c r="AM450" s="197"/>
      <c r="AN450" s="197"/>
      <c r="AO450" s="197"/>
      <c r="AP450" s="197"/>
      <c r="AQ450" s="197"/>
      <c r="AR450" s="197"/>
      <c r="AS450" s="119"/>
      <c r="AT450" s="119"/>
      <c r="AU450" s="119"/>
      <c r="AV450" s="119"/>
      <c r="AW450" s="119"/>
      <c r="AX450" s="119"/>
      <c r="AY450" s="119"/>
      <c r="AZ450" s="119"/>
      <c r="BA450" s="119"/>
      <c r="BB450" s="119"/>
      <c r="BC450" s="119"/>
      <c r="BD450" s="119"/>
      <c r="BE450" s="5">
        <f>SUM(MC_2[[#This Row],[IS1Inv1M1]:[IS9Inv19M2]])</f>
        <v>0</v>
      </c>
      <c r="BF450" s="119"/>
      <c r="BG450" s="119"/>
      <c r="BH450" s="119"/>
      <c r="BI450" s="119"/>
      <c r="BJ450" s="119"/>
      <c r="BK450" s="119"/>
      <c r="BL450" s="119"/>
    </row>
    <row r="451" spans="1:64">
      <c r="A451" s="119">
        <v>449</v>
      </c>
      <c r="B451" s="194">
        <f t="shared" si="6"/>
        <v>45771</v>
      </c>
      <c r="C451" s="195">
        <f>YEAR(MC_2[[#This Row],[Date]])+IF(MONTH(MC_2[[#This Row],[Date]])&gt;=4,1,0)</f>
        <v>2026</v>
      </c>
      <c r="D451" s="116">
        <f>YEAR(MC_2[[#This Row],[Date]])</f>
        <v>2025</v>
      </c>
      <c r="E451" s="196"/>
      <c r="F451" s="119"/>
      <c r="G451" s="5" t="str">
        <f>TEXT(MC_2[[#This Row],[Date]],"mmm-yy")</f>
        <v>Apr-25</v>
      </c>
      <c r="H451" s="5">
        <f>DAY(EOMONTH(MC_2[[#This Row],[Month Year]],0))</f>
        <v>30</v>
      </c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97"/>
      <c r="AN451" s="197"/>
      <c r="AO451" s="197"/>
      <c r="AP451" s="197"/>
      <c r="AQ451" s="197"/>
      <c r="AR451" s="197"/>
      <c r="AS451" s="119"/>
      <c r="AT451" s="119"/>
      <c r="AU451" s="119"/>
      <c r="AV451" s="119"/>
      <c r="AW451" s="119"/>
      <c r="AX451" s="119"/>
      <c r="AY451" s="119"/>
      <c r="AZ451" s="119"/>
      <c r="BA451" s="119"/>
      <c r="BB451" s="119"/>
      <c r="BC451" s="119"/>
      <c r="BD451" s="119"/>
      <c r="BE451" s="5">
        <f>SUM(MC_2[[#This Row],[IS1Inv1M1]:[IS9Inv19M2]])</f>
        <v>0</v>
      </c>
      <c r="BF451" s="119"/>
      <c r="BG451" s="119"/>
      <c r="BH451" s="119"/>
      <c r="BI451" s="119"/>
      <c r="BJ451" s="119"/>
      <c r="BK451" s="119"/>
      <c r="BL451" s="119"/>
    </row>
    <row r="452" spans="1:64">
      <c r="A452" s="119">
        <v>450</v>
      </c>
      <c r="B452" s="194">
        <f t="shared" si="6"/>
        <v>45772</v>
      </c>
      <c r="C452" s="195">
        <f>YEAR(MC_2[[#This Row],[Date]])+IF(MONTH(MC_2[[#This Row],[Date]])&gt;=4,1,0)</f>
        <v>2026</v>
      </c>
      <c r="D452" s="116">
        <f>YEAR(MC_2[[#This Row],[Date]])</f>
        <v>2025</v>
      </c>
      <c r="E452" s="196"/>
      <c r="F452" s="119"/>
      <c r="G452" s="5" t="str">
        <f>TEXT(MC_2[[#This Row],[Date]],"mmm-yy")</f>
        <v>Apr-25</v>
      </c>
      <c r="H452" s="5">
        <f>DAY(EOMONTH(MC_2[[#This Row],[Month Year]],0))</f>
        <v>30</v>
      </c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97"/>
      <c r="AN452" s="197"/>
      <c r="AO452" s="197"/>
      <c r="AP452" s="197"/>
      <c r="AQ452" s="197"/>
      <c r="AR452" s="197"/>
      <c r="AS452" s="119"/>
      <c r="AT452" s="119"/>
      <c r="AU452" s="119"/>
      <c r="AV452" s="119"/>
      <c r="AW452" s="119"/>
      <c r="AX452" s="119"/>
      <c r="AY452" s="119"/>
      <c r="AZ452" s="119"/>
      <c r="BA452" s="119"/>
      <c r="BB452" s="119"/>
      <c r="BC452" s="119"/>
      <c r="BD452" s="119"/>
      <c r="BE452" s="5">
        <f>SUM(MC_2[[#This Row],[IS1Inv1M1]:[IS9Inv19M2]])</f>
        <v>0</v>
      </c>
      <c r="BF452" s="119"/>
      <c r="BG452" s="119"/>
      <c r="BH452" s="119"/>
      <c r="BI452" s="119"/>
      <c r="BJ452" s="119"/>
      <c r="BK452" s="119"/>
      <c r="BL452" s="119"/>
    </row>
    <row r="453" spans="1:64">
      <c r="A453" s="119">
        <v>451</v>
      </c>
      <c r="B453" s="194">
        <f t="shared" ref="B453:B457" si="7">B452+1</f>
        <v>45773</v>
      </c>
      <c r="C453" s="195">
        <f>YEAR(MC_2[[#This Row],[Date]])+IF(MONTH(MC_2[[#This Row],[Date]])&gt;=4,1,0)</f>
        <v>2026</v>
      </c>
      <c r="D453" s="116">
        <f>YEAR(MC_2[[#This Row],[Date]])</f>
        <v>2025</v>
      </c>
      <c r="E453" s="196"/>
      <c r="F453" s="119"/>
      <c r="G453" s="5" t="str">
        <f>TEXT(MC_2[[#This Row],[Date]],"mmm-yy")</f>
        <v>Apr-25</v>
      </c>
      <c r="H453" s="5">
        <f>DAY(EOMONTH(MC_2[[#This Row],[Month Year]],0))</f>
        <v>30</v>
      </c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97"/>
      <c r="AN453" s="197"/>
      <c r="AO453" s="197"/>
      <c r="AP453" s="197"/>
      <c r="AQ453" s="197"/>
      <c r="AR453" s="197"/>
      <c r="AS453" s="119"/>
      <c r="AT453" s="119"/>
      <c r="AU453" s="119"/>
      <c r="AV453" s="119"/>
      <c r="AW453" s="119"/>
      <c r="AX453" s="119"/>
      <c r="AY453" s="119"/>
      <c r="AZ453" s="119"/>
      <c r="BA453" s="119"/>
      <c r="BB453" s="119"/>
      <c r="BC453" s="119"/>
      <c r="BD453" s="119"/>
      <c r="BE453" s="5">
        <f>SUM(MC_2[[#This Row],[IS1Inv1M1]:[IS9Inv19M2]])</f>
        <v>0</v>
      </c>
      <c r="BF453" s="119"/>
      <c r="BG453" s="119"/>
      <c r="BH453" s="119"/>
      <c r="BI453" s="119"/>
      <c r="BJ453" s="119"/>
      <c r="BK453" s="119"/>
      <c r="BL453" s="119"/>
    </row>
    <row r="454" spans="1:64">
      <c r="A454" s="119">
        <v>452</v>
      </c>
      <c r="B454" s="194">
        <f t="shared" si="7"/>
        <v>45774</v>
      </c>
      <c r="C454" s="195">
        <f>YEAR(MC_2[[#This Row],[Date]])+IF(MONTH(MC_2[[#This Row],[Date]])&gt;=4,1,0)</f>
        <v>2026</v>
      </c>
      <c r="D454" s="116">
        <f>YEAR(MC_2[[#This Row],[Date]])</f>
        <v>2025</v>
      </c>
      <c r="E454" s="196"/>
      <c r="F454" s="119"/>
      <c r="G454" s="5" t="str">
        <f>TEXT(MC_2[[#This Row],[Date]],"mmm-yy")</f>
        <v>Apr-25</v>
      </c>
      <c r="H454" s="5">
        <f>DAY(EOMONTH(MC_2[[#This Row],[Month Year]],0))</f>
        <v>30</v>
      </c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97"/>
      <c r="AN454" s="197"/>
      <c r="AO454" s="197"/>
      <c r="AP454" s="197"/>
      <c r="AQ454" s="197"/>
      <c r="AR454" s="197"/>
      <c r="AS454" s="119"/>
      <c r="AT454" s="119"/>
      <c r="AU454" s="119"/>
      <c r="AV454" s="119"/>
      <c r="AW454" s="119"/>
      <c r="AX454" s="119"/>
      <c r="AY454" s="119"/>
      <c r="AZ454" s="119"/>
      <c r="BA454" s="119"/>
      <c r="BB454" s="119"/>
      <c r="BC454" s="119"/>
      <c r="BD454" s="119"/>
      <c r="BE454" s="5">
        <f>SUM(MC_2[[#This Row],[IS1Inv1M1]:[IS9Inv19M2]])</f>
        <v>0</v>
      </c>
      <c r="BF454" s="119"/>
      <c r="BG454" s="119"/>
      <c r="BH454" s="119"/>
      <c r="BI454" s="119"/>
      <c r="BJ454" s="119"/>
      <c r="BK454" s="119"/>
      <c r="BL454" s="119"/>
    </row>
    <row r="455" spans="1:64">
      <c r="A455" s="119">
        <v>453</v>
      </c>
      <c r="B455" s="194">
        <f t="shared" si="7"/>
        <v>45775</v>
      </c>
      <c r="C455" s="195">
        <f>YEAR(MC_2[[#This Row],[Date]])+IF(MONTH(MC_2[[#This Row],[Date]])&gt;=4,1,0)</f>
        <v>2026</v>
      </c>
      <c r="D455" s="116">
        <f>YEAR(MC_2[[#This Row],[Date]])</f>
        <v>2025</v>
      </c>
      <c r="E455" s="196"/>
      <c r="F455" s="119"/>
      <c r="G455" s="5" t="str">
        <f>TEXT(MC_2[[#This Row],[Date]],"mmm-yy")</f>
        <v>Apr-25</v>
      </c>
      <c r="H455" s="5">
        <f>DAY(EOMONTH(MC_2[[#This Row],[Month Year]],0))</f>
        <v>30</v>
      </c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19"/>
      <c r="AH455" s="119"/>
      <c r="AI455" s="119"/>
      <c r="AJ455" s="119"/>
      <c r="AK455" s="119"/>
      <c r="AL455" s="119"/>
      <c r="AM455" s="197"/>
      <c r="AN455" s="197"/>
      <c r="AO455" s="197"/>
      <c r="AP455" s="197"/>
      <c r="AQ455" s="197"/>
      <c r="AR455" s="197"/>
      <c r="AS455" s="119"/>
      <c r="AT455" s="119"/>
      <c r="AU455" s="119"/>
      <c r="AV455" s="119"/>
      <c r="AW455" s="119"/>
      <c r="AX455" s="119"/>
      <c r="AY455" s="119"/>
      <c r="AZ455" s="119"/>
      <c r="BA455" s="119"/>
      <c r="BB455" s="119"/>
      <c r="BC455" s="119"/>
      <c r="BD455" s="119"/>
      <c r="BE455" s="5">
        <f>SUM(MC_2[[#This Row],[IS1Inv1M1]:[IS9Inv19M2]])</f>
        <v>0</v>
      </c>
      <c r="BF455" s="119"/>
      <c r="BG455" s="119"/>
      <c r="BH455" s="119"/>
      <c r="BI455" s="119"/>
      <c r="BJ455" s="119"/>
      <c r="BK455" s="119"/>
      <c r="BL455" s="119"/>
    </row>
    <row r="456" spans="1:64">
      <c r="A456" s="119">
        <v>454</v>
      </c>
      <c r="B456" s="194">
        <f t="shared" si="7"/>
        <v>45776</v>
      </c>
      <c r="C456" s="195">
        <f>YEAR(MC_2[[#This Row],[Date]])+IF(MONTH(MC_2[[#This Row],[Date]])&gt;=4,1,0)</f>
        <v>2026</v>
      </c>
      <c r="D456" s="116">
        <f>YEAR(MC_2[[#This Row],[Date]])</f>
        <v>2025</v>
      </c>
      <c r="E456" s="196"/>
      <c r="F456" s="119"/>
      <c r="G456" s="5" t="str">
        <f>TEXT(MC_2[[#This Row],[Date]],"mmm-yy")</f>
        <v>Apr-25</v>
      </c>
      <c r="H456" s="5">
        <f>DAY(EOMONTH(MC_2[[#This Row],[Month Year]],0))</f>
        <v>30</v>
      </c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97"/>
      <c r="AN456" s="197"/>
      <c r="AO456" s="197"/>
      <c r="AP456" s="197"/>
      <c r="AQ456" s="197"/>
      <c r="AR456" s="197"/>
      <c r="AS456" s="119"/>
      <c r="AT456" s="119"/>
      <c r="AU456" s="119"/>
      <c r="AV456" s="119"/>
      <c r="AW456" s="119"/>
      <c r="AX456" s="119"/>
      <c r="AY456" s="119"/>
      <c r="AZ456" s="119"/>
      <c r="BA456" s="119"/>
      <c r="BB456" s="119"/>
      <c r="BC456" s="119"/>
      <c r="BD456" s="119"/>
      <c r="BE456" s="5">
        <f>SUM(MC_2[[#This Row],[IS1Inv1M1]:[IS9Inv19M2]])</f>
        <v>0</v>
      </c>
      <c r="BF456" s="119"/>
      <c r="BG456" s="119"/>
      <c r="BH456" s="119"/>
      <c r="BI456" s="119"/>
      <c r="BJ456" s="119"/>
      <c r="BK456" s="119"/>
      <c r="BL456" s="119"/>
    </row>
    <row r="457" spans="1:64">
      <c r="A457" s="119">
        <v>455</v>
      </c>
      <c r="B457" s="194">
        <f t="shared" si="7"/>
        <v>45777</v>
      </c>
      <c r="C457" s="195">
        <f>YEAR(MC_2[[#This Row],[Date]])+IF(MONTH(MC_2[[#This Row],[Date]])&gt;=4,1,0)</f>
        <v>2026</v>
      </c>
      <c r="D457" s="116">
        <f>YEAR(MC_2[[#This Row],[Date]])</f>
        <v>2025</v>
      </c>
      <c r="E457" s="196"/>
      <c r="F457" s="119"/>
      <c r="G457" s="5" t="str">
        <f>TEXT(MC_2[[#This Row],[Date]],"mmm-yy")</f>
        <v>Apr-25</v>
      </c>
      <c r="H457" s="5">
        <f>DAY(EOMONTH(MC_2[[#This Row],[Month Year]],0))</f>
        <v>30</v>
      </c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19"/>
      <c r="AH457" s="119"/>
      <c r="AI457" s="119"/>
      <c r="AJ457" s="119"/>
      <c r="AK457" s="119"/>
      <c r="AL457" s="119"/>
      <c r="AM457" s="197"/>
      <c r="AN457" s="197"/>
      <c r="AO457" s="197"/>
      <c r="AP457" s="197"/>
      <c r="AQ457" s="197"/>
      <c r="AR457" s="197"/>
      <c r="AS457" s="119"/>
      <c r="AT457" s="119"/>
      <c r="AU457" s="119"/>
      <c r="AV457" s="119"/>
      <c r="AW457" s="119"/>
      <c r="AX457" s="119"/>
      <c r="AY457" s="119"/>
      <c r="AZ457" s="119"/>
      <c r="BA457" s="119"/>
      <c r="BB457" s="119"/>
      <c r="BC457" s="119"/>
      <c r="BD457" s="119"/>
      <c r="BE457" s="5">
        <f>SUM(MC_2[[#This Row],[IS1Inv1M1]:[IS9Inv19M2]])</f>
        <v>0</v>
      </c>
      <c r="BF457" s="119"/>
      <c r="BG457" s="119"/>
      <c r="BH457" s="119"/>
      <c r="BI457" s="119"/>
      <c r="BJ457" s="119"/>
      <c r="BK457" s="119"/>
      <c r="BL457" s="119"/>
    </row>
    <row r="458" spans="1:64">
      <c r="A458" s="119"/>
      <c r="B458" s="194"/>
      <c r="C458" s="195">
        <f>YEAR(MC_2[[#This Row],[Date]])+IF(MONTH(MC_2[[#This Row],[Date]])&gt;=4,1,0)</f>
        <v>1900</v>
      </c>
      <c r="D458" s="116">
        <f>YEAR(MC_2[[#This Row],[Date]])</f>
        <v>1900</v>
      </c>
      <c r="E458" s="196"/>
      <c r="F458" s="119"/>
      <c r="G458" s="5" t="str">
        <f>TEXT(MC_2[[#This Row],[Date]],"mmm-yy")</f>
        <v>Jan-00</v>
      </c>
      <c r="H458" s="5">
        <f>DAY(EOMONTH(MC_2[[#This Row],[Month Year]],0))</f>
        <v>31</v>
      </c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97"/>
      <c r="AN458" s="197"/>
      <c r="AO458" s="197"/>
      <c r="AP458" s="197"/>
      <c r="AQ458" s="197"/>
      <c r="AR458" s="197"/>
      <c r="AS458" s="119"/>
      <c r="AT458" s="119"/>
      <c r="AU458" s="119"/>
      <c r="AV458" s="119"/>
      <c r="AW458" s="119"/>
      <c r="AX458" s="119"/>
      <c r="AY458" s="119"/>
      <c r="AZ458" s="119"/>
      <c r="BA458" s="119"/>
      <c r="BB458" s="119"/>
      <c r="BC458" s="119"/>
      <c r="BD458" s="119"/>
      <c r="BE458" s="5">
        <f>SUM(MC_2[[#This Row],[IS1Inv1M1]:[IS9Inv19M2]])</f>
        <v>0</v>
      </c>
      <c r="BF458" s="119"/>
      <c r="BG458" s="119"/>
      <c r="BH458" s="119"/>
      <c r="BI458" s="119"/>
      <c r="BJ458" s="119"/>
      <c r="BK458" s="119"/>
      <c r="BL458" s="119"/>
    </row>
    <row r="459" spans="1:64">
      <c r="A459" s="119"/>
      <c r="B459" s="194"/>
      <c r="C459" s="195">
        <f>YEAR(MC_2[[#This Row],[Date]])+IF(MONTH(MC_2[[#This Row],[Date]])&gt;=4,1,0)</f>
        <v>1900</v>
      </c>
      <c r="D459" s="116">
        <f>YEAR(MC_2[[#This Row],[Date]])</f>
        <v>1900</v>
      </c>
      <c r="E459" s="196"/>
      <c r="F459" s="119"/>
      <c r="G459" s="5" t="str">
        <f>TEXT(MC_2[[#This Row],[Date]],"mmm-yy")</f>
        <v>Jan-00</v>
      </c>
      <c r="H459" s="5">
        <f>DAY(EOMONTH(MC_2[[#This Row],[Month Year]],0))</f>
        <v>31</v>
      </c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119"/>
      <c r="AJ459" s="119"/>
      <c r="AK459" s="119"/>
      <c r="AL459" s="119"/>
      <c r="AM459" s="197"/>
      <c r="AN459" s="197"/>
      <c r="AO459" s="197"/>
      <c r="AP459" s="197"/>
      <c r="AQ459" s="197"/>
      <c r="AR459" s="197"/>
      <c r="AS459" s="119"/>
      <c r="AT459" s="119"/>
      <c r="AU459" s="119"/>
      <c r="AV459" s="119"/>
      <c r="AW459" s="119"/>
      <c r="AX459" s="119"/>
      <c r="AY459" s="119"/>
      <c r="AZ459" s="119"/>
      <c r="BA459" s="119"/>
      <c r="BB459" s="119"/>
      <c r="BC459" s="119"/>
      <c r="BD459" s="119"/>
      <c r="BE459" s="5">
        <f>SUM(MC_2[[#This Row],[IS1Inv1M1]:[IS9Inv19M2]])</f>
        <v>0</v>
      </c>
      <c r="BF459" s="119"/>
      <c r="BG459" s="119"/>
      <c r="BH459" s="119"/>
      <c r="BI459" s="119"/>
      <c r="BJ459" s="119"/>
      <c r="BK459" s="119"/>
      <c r="BL459" s="119"/>
    </row>
    <row r="460" spans="1:64">
      <c r="A460" s="119"/>
      <c r="B460" s="194"/>
      <c r="C460" s="195">
        <f>YEAR(MC_2[[#This Row],[Date]])+IF(MONTH(MC_2[[#This Row],[Date]])&gt;=4,1,0)</f>
        <v>1900</v>
      </c>
      <c r="D460" s="116">
        <f>YEAR(MC_2[[#This Row],[Date]])</f>
        <v>1900</v>
      </c>
      <c r="E460" s="196"/>
      <c r="F460" s="119"/>
      <c r="G460" s="5" t="str">
        <f>TEXT(MC_2[[#This Row],[Date]],"mmm-yy")</f>
        <v>Jan-00</v>
      </c>
      <c r="H460" s="5">
        <f>DAY(EOMONTH(MC_2[[#This Row],[Month Year]],0))</f>
        <v>31</v>
      </c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19"/>
      <c r="AH460" s="119"/>
      <c r="AI460" s="119"/>
      <c r="AJ460" s="119"/>
      <c r="AK460" s="119"/>
      <c r="AL460" s="119"/>
      <c r="AM460" s="197"/>
      <c r="AN460" s="197"/>
      <c r="AO460" s="197"/>
      <c r="AP460" s="197"/>
      <c r="AQ460" s="197"/>
      <c r="AR460" s="197"/>
      <c r="AS460" s="119"/>
      <c r="AT460" s="119"/>
      <c r="AU460" s="119"/>
      <c r="AV460" s="119"/>
      <c r="AW460" s="119"/>
      <c r="AX460" s="119"/>
      <c r="AY460" s="119"/>
      <c r="AZ460" s="119"/>
      <c r="BA460" s="119"/>
      <c r="BB460" s="119"/>
      <c r="BC460" s="119"/>
      <c r="BD460" s="119"/>
      <c r="BE460" s="5">
        <f>SUM(MC_2[[#This Row],[IS1Inv1M1]:[IS9Inv19M2]])</f>
        <v>0</v>
      </c>
      <c r="BF460" s="119"/>
      <c r="BG460" s="119"/>
      <c r="BH460" s="119"/>
      <c r="BI460" s="119"/>
      <c r="BJ460" s="119"/>
      <c r="BK460" s="119"/>
      <c r="BL460" s="119"/>
    </row>
    <row r="461" spans="1:64">
      <c r="A461" s="119"/>
      <c r="B461" s="194"/>
      <c r="C461" s="195">
        <f>YEAR(MC_2[[#This Row],[Date]])+IF(MONTH(MC_2[[#This Row],[Date]])&gt;=4,1,0)</f>
        <v>1900</v>
      </c>
      <c r="D461" s="116">
        <f>YEAR(MC_2[[#This Row],[Date]])</f>
        <v>1900</v>
      </c>
      <c r="E461" s="196"/>
      <c r="F461" s="119"/>
      <c r="G461" s="5" t="str">
        <f>TEXT(MC_2[[#This Row],[Date]],"mmm-yy")</f>
        <v>Jan-00</v>
      </c>
      <c r="H461" s="5">
        <f>DAY(EOMONTH(MC_2[[#This Row],[Month Year]],0))</f>
        <v>31</v>
      </c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19"/>
      <c r="AH461" s="119"/>
      <c r="AI461" s="119"/>
      <c r="AJ461" s="119"/>
      <c r="AK461" s="119"/>
      <c r="AL461" s="119"/>
      <c r="AM461" s="197"/>
      <c r="AN461" s="197"/>
      <c r="AO461" s="197"/>
      <c r="AP461" s="197"/>
      <c r="AQ461" s="197"/>
      <c r="AR461" s="197"/>
      <c r="AS461" s="119"/>
      <c r="AT461" s="119"/>
      <c r="AU461" s="119"/>
      <c r="AV461" s="119"/>
      <c r="AW461" s="119"/>
      <c r="AX461" s="119"/>
      <c r="AY461" s="119"/>
      <c r="AZ461" s="119"/>
      <c r="BA461" s="119"/>
      <c r="BB461" s="119"/>
      <c r="BC461" s="119"/>
      <c r="BD461" s="119"/>
      <c r="BE461" s="5">
        <f>SUM(MC_2[[#This Row],[IS1Inv1M1]:[IS9Inv19M2]])</f>
        <v>0</v>
      </c>
      <c r="BF461" s="119"/>
      <c r="BG461" s="119"/>
      <c r="BH461" s="119"/>
      <c r="BI461" s="119"/>
      <c r="BJ461" s="119"/>
      <c r="BK461" s="119"/>
      <c r="BL461" s="119"/>
    </row>
    <row r="462" spans="1:64">
      <c r="A462" s="119"/>
      <c r="B462" s="194"/>
      <c r="C462" s="195">
        <f>YEAR(MC_2[[#This Row],[Date]])+IF(MONTH(MC_2[[#This Row],[Date]])&gt;=4,1,0)</f>
        <v>1900</v>
      </c>
      <c r="D462" s="116">
        <f>YEAR(MC_2[[#This Row],[Date]])</f>
        <v>1900</v>
      </c>
      <c r="E462" s="196"/>
      <c r="F462" s="119"/>
      <c r="G462" s="5" t="str">
        <f>TEXT(MC_2[[#This Row],[Date]],"mmm-yy")</f>
        <v>Jan-00</v>
      </c>
      <c r="H462" s="5">
        <f>DAY(EOMONTH(MC_2[[#This Row],[Month Year]],0))</f>
        <v>31</v>
      </c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19"/>
      <c r="AH462" s="119"/>
      <c r="AI462" s="119"/>
      <c r="AJ462" s="119"/>
      <c r="AK462" s="119"/>
      <c r="AL462" s="119"/>
      <c r="AM462" s="197"/>
      <c r="AN462" s="197"/>
      <c r="AO462" s="197"/>
      <c r="AP462" s="197"/>
      <c r="AQ462" s="197"/>
      <c r="AR462" s="197"/>
      <c r="AS462" s="119"/>
      <c r="AT462" s="119"/>
      <c r="AU462" s="119"/>
      <c r="AV462" s="119"/>
      <c r="AW462" s="119"/>
      <c r="AX462" s="119"/>
      <c r="AY462" s="119"/>
      <c r="AZ462" s="119"/>
      <c r="BA462" s="119"/>
      <c r="BB462" s="119"/>
      <c r="BC462" s="119"/>
      <c r="BD462" s="119"/>
      <c r="BE462" s="5">
        <f>SUM(MC_2[[#This Row],[IS1Inv1M1]:[IS9Inv19M2]])</f>
        <v>0</v>
      </c>
      <c r="BF462" s="119"/>
      <c r="BG462" s="119"/>
      <c r="BH462" s="119"/>
      <c r="BI462" s="119"/>
      <c r="BJ462" s="119"/>
      <c r="BK462" s="119"/>
      <c r="BL462" s="119"/>
    </row>
    <row r="463" spans="1:64">
      <c r="A463" s="119"/>
      <c r="B463" s="194"/>
      <c r="C463" s="195">
        <f>YEAR(MC_2[[#This Row],[Date]])+IF(MONTH(MC_2[[#This Row],[Date]])&gt;=4,1,0)</f>
        <v>1900</v>
      </c>
      <c r="D463" s="116">
        <f>YEAR(MC_2[[#This Row],[Date]])</f>
        <v>1900</v>
      </c>
      <c r="E463" s="196"/>
      <c r="F463" s="119"/>
      <c r="G463" s="5" t="str">
        <f>TEXT(MC_2[[#This Row],[Date]],"mmm-yy")</f>
        <v>Jan-00</v>
      </c>
      <c r="H463" s="5">
        <f>DAY(EOMONTH(MC_2[[#This Row],[Month Year]],0))</f>
        <v>31</v>
      </c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19"/>
      <c r="AH463" s="119"/>
      <c r="AI463" s="119"/>
      <c r="AJ463" s="119"/>
      <c r="AK463" s="119"/>
      <c r="AL463" s="119"/>
      <c r="AM463" s="197"/>
      <c r="AN463" s="197"/>
      <c r="AO463" s="197"/>
      <c r="AP463" s="197"/>
      <c r="AQ463" s="197"/>
      <c r="AR463" s="197"/>
      <c r="AS463" s="119"/>
      <c r="AT463" s="119"/>
      <c r="AU463" s="119"/>
      <c r="AV463" s="119"/>
      <c r="AW463" s="119"/>
      <c r="AX463" s="119"/>
      <c r="AY463" s="119"/>
      <c r="AZ463" s="119"/>
      <c r="BA463" s="119"/>
      <c r="BB463" s="119"/>
      <c r="BC463" s="119"/>
      <c r="BD463" s="119"/>
      <c r="BE463" s="5">
        <f>SUM(MC_2[[#This Row],[IS1Inv1M1]:[IS9Inv19M2]])</f>
        <v>0</v>
      </c>
      <c r="BF463" s="119"/>
      <c r="BG463" s="119"/>
      <c r="BH463" s="119"/>
      <c r="BI463" s="119"/>
      <c r="BJ463" s="119"/>
      <c r="BK463" s="119"/>
      <c r="BL463" s="119"/>
    </row>
    <row r="464" spans="1:64">
      <c r="A464" s="119"/>
      <c r="B464" s="194"/>
      <c r="C464" s="195">
        <f>YEAR(MC_2[[#This Row],[Date]])+IF(MONTH(MC_2[[#This Row],[Date]])&gt;=4,1,0)</f>
        <v>1900</v>
      </c>
      <c r="D464" s="116">
        <f>YEAR(MC_2[[#This Row],[Date]])</f>
        <v>1900</v>
      </c>
      <c r="E464" s="196"/>
      <c r="F464" s="119"/>
      <c r="G464" s="5" t="str">
        <f>TEXT(MC_2[[#This Row],[Date]],"mmm-yy")</f>
        <v>Jan-00</v>
      </c>
      <c r="H464" s="5">
        <f>DAY(EOMONTH(MC_2[[#This Row],[Month Year]],0))</f>
        <v>31</v>
      </c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19"/>
      <c r="AH464" s="119"/>
      <c r="AI464" s="119"/>
      <c r="AJ464" s="119"/>
      <c r="AK464" s="119"/>
      <c r="AL464" s="119"/>
      <c r="AM464" s="197"/>
      <c r="AN464" s="197"/>
      <c r="AO464" s="197"/>
      <c r="AP464" s="197"/>
      <c r="AQ464" s="197"/>
      <c r="AR464" s="197"/>
      <c r="AS464" s="119"/>
      <c r="AT464" s="119"/>
      <c r="AU464" s="119"/>
      <c r="AV464" s="119"/>
      <c r="AW464" s="119"/>
      <c r="AX464" s="119"/>
      <c r="AY464" s="119"/>
      <c r="AZ464" s="119"/>
      <c r="BA464" s="119"/>
      <c r="BB464" s="119"/>
      <c r="BC464" s="119"/>
      <c r="BD464" s="119"/>
      <c r="BE464" s="5">
        <f>SUM(MC_2[[#This Row],[IS1Inv1M1]:[IS9Inv19M2]])</f>
        <v>0</v>
      </c>
      <c r="BF464" s="119"/>
      <c r="BG464" s="119"/>
      <c r="BH464" s="119"/>
      <c r="BI464" s="119"/>
      <c r="BJ464" s="119"/>
      <c r="BK464" s="119"/>
      <c r="BL464" s="119"/>
    </row>
    <row r="465" spans="1:64">
      <c r="A465" s="119"/>
      <c r="B465" s="194"/>
      <c r="C465" s="195">
        <f>YEAR(MC_2[[#This Row],[Date]])+IF(MONTH(MC_2[[#This Row],[Date]])&gt;=4,1,0)</f>
        <v>1900</v>
      </c>
      <c r="D465" s="116">
        <f>YEAR(MC_2[[#This Row],[Date]])</f>
        <v>1900</v>
      </c>
      <c r="E465" s="196"/>
      <c r="F465" s="119"/>
      <c r="G465" s="5" t="str">
        <f>TEXT(MC_2[[#This Row],[Date]],"mmm-yy")</f>
        <v>Jan-00</v>
      </c>
      <c r="H465" s="5">
        <f>DAY(EOMONTH(MC_2[[#This Row],[Month Year]],0))</f>
        <v>31</v>
      </c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19"/>
      <c r="AH465" s="119"/>
      <c r="AI465" s="119"/>
      <c r="AJ465" s="119"/>
      <c r="AK465" s="119"/>
      <c r="AL465" s="119"/>
      <c r="AM465" s="197"/>
      <c r="AN465" s="197"/>
      <c r="AO465" s="197"/>
      <c r="AP465" s="197"/>
      <c r="AQ465" s="197"/>
      <c r="AR465" s="197"/>
      <c r="AS465" s="119"/>
      <c r="AT465" s="119"/>
      <c r="AU465" s="119"/>
      <c r="AV465" s="119"/>
      <c r="AW465" s="119"/>
      <c r="AX465" s="119"/>
      <c r="AY465" s="119"/>
      <c r="AZ465" s="119"/>
      <c r="BA465" s="119"/>
      <c r="BB465" s="119"/>
      <c r="BC465" s="119"/>
      <c r="BD465" s="119"/>
      <c r="BE465" s="5">
        <f>SUM(MC_2[[#This Row],[IS1Inv1M1]:[IS9Inv19M2]])</f>
        <v>0</v>
      </c>
      <c r="BF465" s="119"/>
      <c r="BG465" s="119"/>
      <c r="BH465" s="119"/>
      <c r="BI465" s="119"/>
      <c r="BJ465" s="119"/>
      <c r="BK465" s="119"/>
      <c r="BL465" s="119"/>
    </row>
    <row r="466" spans="1:64">
      <c r="A466" s="119"/>
      <c r="B466" s="194"/>
      <c r="C466" s="195">
        <f>YEAR(MC_2[[#This Row],[Date]])+IF(MONTH(MC_2[[#This Row],[Date]])&gt;=4,1,0)</f>
        <v>1900</v>
      </c>
      <c r="D466" s="116">
        <f>YEAR(MC_2[[#This Row],[Date]])</f>
        <v>1900</v>
      </c>
      <c r="E466" s="196"/>
      <c r="F466" s="119"/>
      <c r="G466" s="5" t="str">
        <f>TEXT(MC_2[[#This Row],[Date]],"mmm-yy")</f>
        <v>Jan-00</v>
      </c>
      <c r="H466" s="5">
        <f>DAY(EOMONTH(MC_2[[#This Row],[Month Year]],0))</f>
        <v>31</v>
      </c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19"/>
      <c r="AH466" s="119"/>
      <c r="AI466" s="119"/>
      <c r="AJ466" s="119"/>
      <c r="AK466" s="119"/>
      <c r="AL466" s="119"/>
      <c r="AM466" s="197"/>
      <c r="AN466" s="197"/>
      <c r="AO466" s="197"/>
      <c r="AP466" s="197"/>
      <c r="AQ466" s="197"/>
      <c r="AR466" s="197"/>
      <c r="AS466" s="119"/>
      <c r="AT466" s="119"/>
      <c r="AU466" s="119"/>
      <c r="AV466" s="119"/>
      <c r="AW466" s="119"/>
      <c r="AX466" s="119"/>
      <c r="AY466" s="119"/>
      <c r="AZ466" s="119"/>
      <c r="BA466" s="119"/>
      <c r="BB466" s="119"/>
      <c r="BC466" s="119"/>
      <c r="BD466" s="119"/>
      <c r="BE466" s="5">
        <f>SUM(MC_2[[#This Row],[IS1Inv1M1]:[IS9Inv19M2]])</f>
        <v>0</v>
      </c>
      <c r="BF466" s="119"/>
      <c r="BG466" s="119"/>
      <c r="BH466" s="119"/>
      <c r="BI466" s="119"/>
      <c r="BJ466" s="119"/>
      <c r="BK466" s="119"/>
      <c r="BL466" s="119"/>
    </row>
    <row r="467" spans="1:64">
      <c r="A467" s="119"/>
      <c r="B467" s="194"/>
      <c r="C467" s="195">
        <f>YEAR(MC_2[[#This Row],[Date]])+IF(MONTH(MC_2[[#This Row],[Date]])&gt;=4,1,0)</f>
        <v>1900</v>
      </c>
      <c r="D467" s="116">
        <f>YEAR(MC_2[[#This Row],[Date]])</f>
        <v>1900</v>
      </c>
      <c r="E467" s="196"/>
      <c r="F467" s="119"/>
      <c r="G467" s="5" t="str">
        <f>TEXT(MC_2[[#This Row],[Date]],"mmm-yy")</f>
        <v>Jan-00</v>
      </c>
      <c r="H467" s="5">
        <f>DAY(EOMONTH(MC_2[[#This Row],[Month Year]],0))</f>
        <v>31</v>
      </c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19"/>
      <c r="AH467" s="119"/>
      <c r="AI467" s="119"/>
      <c r="AJ467" s="119"/>
      <c r="AK467" s="119"/>
      <c r="AL467" s="119"/>
      <c r="AM467" s="197"/>
      <c r="AN467" s="197"/>
      <c r="AO467" s="197"/>
      <c r="AP467" s="197"/>
      <c r="AQ467" s="197"/>
      <c r="AR467" s="197"/>
      <c r="AS467" s="119"/>
      <c r="AT467" s="119"/>
      <c r="AU467" s="119"/>
      <c r="AV467" s="119"/>
      <c r="AW467" s="119"/>
      <c r="AX467" s="119"/>
      <c r="AY467" s="119"/>
      <c r="AZ467" s="119"/>
      <c r="BA467" s="119"/>
      <c r="BB467" s="119"/>
      <c r="BC467" s="119"/>
      <c r="BD467" s="119"/>
      <c r="BE467" s="5">
        <f>SUM(MC_2[[#This Row],[IS1Inv1M1]:[IS9Inv19M2]])</f>
        <v>0</v>
      </c>
      <c r="BF467" s="119"/>
      <c r="BG467" s="119"/>
      <c r="BH467" s="119"/>
      <c r="BI467" s="119"/>
      <c r="BJ467" s="119"/>
      <c r="BK467" s="119"/>
      <c r="BL467" s="119"/>
    </row>
    <row r="468" spans="1:64">
      <c r="A468" s="119"/>
      <c r="B468" s="194"/>
      <c r="C468" s="195">
        <f>YEAR(MC_2[[#This Row],[Date]])+IF(MONTH(MC_2[[#This Row],[Date]])&gt;=4,1,0)</f>
        <v>1900</v>
      </c>
      <c r="D468" s="116">
        <f>YEAR(MC_2[[#This Row],[Date]])</f>
        <v>1900</v>
      </c>
      <c r="E468" s="196"/>
      <c r="F468" s="119"/>
      <c r="G468" s="5" t="str">
        <f>TEXT(MC_2[[#This Row],[Date]],"mmm-yy")</f>
        <v>Jan-00</v>
      </c>
      <c r="H468" s="5">
        <f>DAY(EOMONTH(MC_2[[#This Row],[Month Year]],0))</f>
        <v>31</v>
      </c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19"/>
      <c r="AH468" s="119"/>
      <c r="AI468" s="119"/>
      <c r="AJ468" s="119"/>
      <c r="AK468" s="119"/>
      <c r="AL468" s="119"/>
      <c r="AM468" s="197"/>
      <c r="AN468" s="197"/>
      <c r="AO468" s="197"/>
      <c r="AP468" s="197"/>
      <c r="AQ468" s="197"/>
      <c r="AR468" s="197"/>
      <c r="AS468" s="119"/>
      <c r="AT468" s="119"/>
      <c r="AU468" s="119"/>
      <c r="AV468" s="119"/>
      <c r="AW468" s="119"/>
      <c r="AX468" s="119"/>
      <c r="AY468" s="119"/>
      <c r="AZ468" s="119"/>
      <c r="BA468" s="119"/>
      <c r="BB468" s="119"/>
      <c r="BC468" s="119"/>
      <c r="BD468" s="119"/>
      <c r="BE468" s="5">
        <f>SUM(MC_2[[#This Row],[IS1Inv1M1]:[IS9Inv19M2]])</f>
        <v>0</v>
      </c>
      <c r="BF468" s="119"/>
      <c r="BG468" s="119"/>
      <c r="BH468" s="119"/>
      <c r="BI468" s="119"/>
      <c r="BJ468" s="119"/>
      <c r="BK468" s="119"/>
      <c r="BL468" s="119"/>
    </row>
    <row r="469" spans="1:64">
      <c r="A469" s="119"/>
      <c r="B469" s="194"/>
      <c r="C469" s="195">
        <f>YEAR(MC_2[[#This Row],[Date]])+IF(MONTH(MC_2[[#This Row],[Date]])&gt;=4,1,0)</f>
        <v>1900</v>
      </c>
      <c r="D469" s="116">
        <f>YEAR(MC_2[[#This Row],[Date]])</f>
        <v>1900</v>
      </c>
      <c r="E469" s="196"/>
      <c r="F469" s="119"/>
      <c r="G469" s="5" t="str">
        <f>TEXT(MC_2[[#This Row],[Date]],"mmm-yy")</f>
        <v>Jan-00</v>
      </c>
      <c r="H469" s="5">
        <f>DAY(EOMONTH(MC_2[[#This Row],[Month Year]],0))</f>
        <v>31</v>
      </c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19"/>
      <c r="AH469" s="119"/>
      <c r="AI469" s="119"/>
      <c r="AJ469" s="119"/>
      <c r="AK469" s="119"/>
      <c r="AL469" s="119"/>
      <c r="AM469" s="197"/>
      <c r="AN469" s="197"/>
      <c r="AO469" s="197"/>
      <c r="AP469" s="197"/>
      <c r="AQ469" s="197"/>
      <c r="AR469" s="197"/>
      <c r="AS469" s="119"/>
      <c r="AT469" s="119"/>
      <c r="AU469" s="119"/>
      <c r="AV469" s="119"/>
      <c r="AW469" s="119"/>
      <c r="AX469" s="119"/>
      <c r="AY469" s="119"/>
      <c r="AZ469" s="119"/>
      <c r="BA469" s="119"/>
      <c r="BB469" s="119"/>
      <c r="BC469" s="119"/>
      <c r="BD469" s="119"/>
      <c r="BE469" s="5">
        <f>SUM(MC_2[[#This Row],[IS1Inv1M1]:[IS9Inv19M2]])</f>
        <v>0</v>
      </c>
      <c r="BF469" s="119"/>
      <c r="BG469" s="119"/>
      <c r="BH469" s="119"/>
      <c r="BI469" s="119"/>
      <c r="BJ469" s="119"/>
      <c r="BK469" s="119"/>
      <c r="BL469" s="119"/>
    </row>
    <row r="470" spans="1:64">
      <c r="A470" s="119"/>
      <c r="B470" s="194"/>
      <c r="C470" s="195">
        <f>YEAR(MC_2[[#This Row],[Date]])+IF(MONTH(MC_2[[#This Row],[Date]])&gt;=4,1,0)</f>
        <v>1900</v>
      </c>
      <c r="D470" s="116">
        <f>YEAR(MC_2[[#This Row],[Date]])</f>
        <v>1900</v>
      </c>
      <c r="E470" s="196"/>
      <c r="F470" s="119"/>
      <c r="G470" s="5" t="str">
        <f>TEXT(MC_2[[#This Row],[Date]],"mmm-yy")</f>
        <v>Jan-00</v>
      </c>
      <c r="H470" s="5">
        <f>DAY(EOMONTH(MC_2[[#This Row],[Month Year]],0))</f>
        <v>31</v>
      </c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97"/>
      <c r="AN470" s="197"/>
      <c r="AO470" s="197"/>
      <c r="AP470" s="197"/>
      <c r="AQ470" s="197"/>
      <c r="AR470" s="197"/>
      <c r="AS470" s="119"/>
      <c r="AT470" s="119"/>
      <c r="AU470" s="119"/>
      <c r="AV470" s="119"/>
      <c r="AW470" s="119"/>
      <c r="AX470" s="119"/>
      <c r="AY470" s="119"/>
      <c r="AZ470" s="119"/>
      <c r="BA470" s="119"/>
      <c r="BB470" s="119"/>
      <c r="BC470" s="119"/>
      <c r="BD470" s="119"/>
      <c r="BE470" s="5">
        <f>SUM(MC_2[[#This Row],[IS1Inv1M1]:[IS9Inv19M2]])</f>
        <v>0</v>
      </c>
      <c r="BF470" s="119"/>
      <c r="BG470" s="119"/>
      <c r="BH470" s="119"/>
      <c r="BI470" s="119"/>
      <c r="BJ470" s="119"/>
      <c r="BK470" s="119"/>
      <c r="BL470" s="119"/>
    </row>
    <row r="471" spans="1:64">
      <c r="A471" s="119"/>
      <c r="B471" s="194"/>
      <c r="C471" s="195">
        <f>YEAR(MC_2[[#This Row],[Date]])+IF(MONTH(MC_2[[#This Row],[Date]])&gt;=4,1,0)</f>
        <v>1900</v>
      </c>
      <c r="D471" s="116">
        <f>YEAR(MC_2[[#This Row],[Date]])</f>
        <v>1900</v>
      </c>
      <c r="E471" s="196"/>
      <c r="F471" s="119"/>
      <c r="G471" s="5" t="str">
        <f>TEXT(MC_2[[#This Row],[Date]],"mmm-yy")</f>
        <v>Jan-00</v>
      </c>
      <c r="H471" s="5">
        <f>DAY(EOMONTH(MC_2[[#This Row],[Month Year]],0))</f>
        <v>31</v>
      </c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97"/>
      <c r="AN471" s="197"/>
      <c r="AO471" s="197"/>
      <c r="AP471" s="197"/>
      <c r="AQ471" s="197"/>
      <c r="AR471" s="197"/>
      <c r="AS471" s="119"/>
      <c r="AT471" s="119"/>
      <c r="AU471" s="119"/>
      <c r="AV471" s="119"/>
      <c r="AW471" s="119"/>
      <c r="AX471" s="119"/>
      <c r="AY471" s="119"/>
      <c r="AZ471" s="119"/>
      <c r="BA471" s="119"/>
      <c r="BB471" s="119"/>
      <c r="BC471" s="119"/>
      <c r="BD471" s="119"/>
      <c r="BE471" s="5">
        <f>SUM(MC_2[[#This Row],[IS1Inv1M1]:[IS9Inv19M2]])</f>
        <v>0</v>
      </c>
      <c r="BF471" s="119"/>
      <c r="BG471" s="119"/>
      <c r="BH471" s="119"/>
      <c r="BI471" s="119"/>
      <c r="BJ471" s="119"/>
      <c r="BK471" s="119"/>
      <c r="BL471" s="119"/>
    </row>
    <row r="472" spans="1:64">
      <c r="A472" s="119"/>
      <c r="B472" s="194"/>
      <c r="C472" s="195">
        <f>YEAR(MC_2[[#This Row],[Date]])+IF(MONTH(MC_2[[#This Row],[Date]])&gt;=4,1,0)</f>
        <v>1900</v>
      </c>
      <c r="D472" s="116">
        <f>YEAR(MC_2[[#This Row],[Date]])</f>
        <v>1900</v>
      </c>
      <c r="E472" s="196"/>
      <c r="F472" s="119"/>
      <c r="G472" s="5" t="str">
        <f>TEXT(MC_2[[#This Row],[Date]],"mmm-yy")</f>
        <v>Jan-00</v>
      </c>
      <c r="H472" s="5">
        <f>DAY(EOMONTH(MC_2[[#This Row],[Month Year]],0))</f>
        <v>31</v>
      </c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97"/>
      <c r="AN472" s="197"/>
      <c r="AO472" s="197"/>
      <c r="AP472" s="197"/>
      <c r="AQ472" s="197"/>
      <c r="AR472" s="197"/>
      <c r="AS472" s="119"/>
      <c r="AT472" s="119"/>
      <c r="AU472" s="119"/>
      <c r="AV472" s="119"/>
      <c r="AW472" s="119"/>
      <c r="AX472" s="119"/>
      <c r="AY472" s="119"/>
      <c r="AZ472" s="119"/>
      <c r="BA472" s="119"/>
      <c r="BB472" s="119"/>
      <c r="BC472" s="119"/>
      <c r="BD472" s="119"/>
      <c r="BE472" s="5">
        <f>SUM(MC_2[[#This Row],[IS1Inv1M1]:[IS9Inv19M2]])</f>
        <v>0</v>
      </c>
      <c r="BF472" s="119"/>
      <c r="BG472" s="119"/>
      <c r="BH472" s="119"/>
      <c r="BI472" s="119"/>
      <c r="BJ472" s="119"/>
      <c r="BK472" s="119"/>
      <c r="BL472" s="119"/>
    </row>
    <row r="473" spans="1:64">
      <c r="A473" s="119"/>
      <c r="B473" s="194"/>
      <c r="C473" s="195">
        <f>YEAR(MC_2[[#This Row],[Date]])+IF(MONTH(MC_2[[#This Row],[Date]])&gt;=4,1,0)</f>
        <v>1900</v>
      </c>
      <c r="D473" s="116">
        <f>YEAR(MC_2[[#This Row],[Date]])</f>
        <v>1900</v>
      </c>
      <c r="E473" s="196"/>
      <c r="F473" s="119"/>
      <c r="G473" s="5" t="str">
        <f>TEXT(MC_2[[#This Row],[Date]],"mmm-yy")</f>
        <v>Jan-00</v>
      </c>
      <c r="H473" s="5">
        <f>DAY(EOMONTH(MC_2[[#This Row],[Month Year]],0))</f>
        <v>31</v>
      </c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97"/>
      <c r="AN473" s="197"/>
      <c r="AO473" s="197"/>
      <c r="AP473" s="197"/>
      <c r="AQ473" s="197"/>
      <c r="AR473" s="197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5">
        <f>SUM(MC_2[[#This Row],[IS1Inv1M1]:[IS9Inv19M2]])</f>
        <v>0</v>
      </c>
      <c r="BF473" s="119"/>
      <c r="BG473" s="119"/>
      <c r="BH473" s="119"/>
      <c r="BI473" s="119"/>
      <c r="BJ473" s="119"/>
      <c r="BK473" s="119"/>
      <c r="BL473" s="119"/>
    </row>
    <row r="474" spans="1:64">
      <c r="A474" s="119"/>
      <c r="B474" s="194"/>
      <c r="C474" s="195">
        <f>YEAR(MC_2[[#This Row],[Date]])+IF(MONTH(MC_2[[#This Row],[Date]])&gt;=4,1,0)</f>
        <v>1900</v>
      </c>
      <c r="D474" s="116">
        <f>YEAR(MC_2[[#This Row],[Date]])</f>
        <v>1900</v>
      </c>
      <c r="E474" s="196"/>
      <c r="F474" s="119"/>
      <c r="G474" s="5" t="str">
        <f>TEXT(MC_2[[#This Row],[Date]],"mmm-yy")</f>
        <v>Jan-00</v>
      </c>
      <c r="H474" s="5">
        <f>DAY(EOMONTH(MC_2[[#This Row],[Month Year]],0))</f>
        <v>31</v>
      </c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97"/>
      <c r="AN474" s="197"/>
      <c r="AO474" s="197"/>
      <c r="AP474" s="197"/>
      <c r="AQ474" s="197"/>
      <c r="AR474" s="197"/>
      <c r="AS474" s="119"/>
      <c r="AT474" s="119"/>
      <c r="AU474" s="119"/>
      <c r="AV474" s="119"/>
      <c r="AW474" s="119"/>
      <c r="AX474" s="119"/>
      <c r="AY474" s="119"/>
      <c r="AZ474" s="119"/>
      <c r="BA474" s="119"/>
      <c r="BB474" s="119"/>
      <c r="BC474" s="119"/>
      <c r="BD474" s="119"/>
      <c r="BE474" s="5">
        <f>SUM(MC_2[[#This Row],[IS1Inv1M1]:[IS9Inv19M2]])</f>
        <v>0</v>
      </c>
      <c r="BF474" s="119"/>
      <c r="BG474" s="119"/>
      <c r="BH474" s="119"/>
      <c r="BI474" s="119"/>
      <c r="BJ474" s="119"/>
      <c r="BK474" s="119"/>
      <c r="BL474" s="119"/>
    </row>
    <row r="475" spans="1:64">
      <c r="A475" s="119"/>
      <c r="B475" s="194"/>
      <c r="C475" s="195">
        <f>YEAR(MC_2[[#This Row],[Date]])+IF(MONTH(MC_2[[#This Row],[Date]])&gt;=4,1,0)</f>
        <v>1900</v>
      </c>
      <c r="D475" s="116">
        <f>YEAR(MC_2[[#This Row],[Date]])</f>
        <v>1900</v>
      </c>
      <c r="E475" s="196"/>
      <c r="F475" s="119"/>
      <c r="G475" s="5" t="str">
        <f>TEXT(MC_2[[#This Row],[Date]],"mmm-yy")</f>
        <v>Jan-00</v>
      </c>
      <c r="H475" s="5">
        <f>DAY(EOMONTH(MC_2[[#This Row],[Month Year]],0))</f>
        <v>31</v>
      </c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97"/>
      <c r="AN475" s="197"/>
      <c r="AO475" s="197"/>
      <c r="AP475" s="197"/>
      <c r="AQ475" s="197"/>
      <c r="AR475" s="197"/>
      <c r="AS475" s="119"/>
      <c r="AT475" s="119"/>
      <c r="AU475" s="119"/>
      <c r="AV475" s="119"/>
      <c r="AW475" s="119"/>
      <c r="AX475" s="119"/>
      <c r="AY475" s="119"/>
      <c r="AZ475" s="119"/>
      <c r="BA475" s="119"/>
      <c r="BB475" s="119"/>
      <c r="BC475" s="119"/>
      <c r="BD475" s="119"/>
      <c r="BE475" s="5">
        <f>SUM(MC_2[[#This Row],[IS1Inv1M1]:[IS9Inv19M2]])</f>
        <v>0</v>
      </c>
      <c r="BF475" s="119"/>
      <c r="BG475" s="119"/>
      <c r="BH475" s="119"/>
      <c r="BI475" s="119"/>
      <c r="BJ475" s="119"/>
      <c r="BK475" s="119"/>
      <c r="BL475" s="119"/>
    </row>
    <row r="476" spans="1:64">
      <c r="A476" s="119"/>
      <c r="B476" s="194"/>
      <c r="C476" s="195">
        <f>YEAR(MC_2[[#This Row],[Date]])+IF(MONTH(MC_2[[#This Row],[Date]])&gt;=4,1,0)</f>
        <v>1900</v>
      </c>
      <c r="D476" s="116">
        <f>YEAR(MC_2[[#This Row],[Date]])</f>
        <v>1900</v>
      </c>
      <c r="E476" s="196"/>
      <c r="F476" s="119"/>
      <c r="G476" s="5" t="str">
        <f>TEXT(MC_2[[#This Row],[Date]],"mmm-yy")</f>
        <v>Jan-00</v>
      </c>
      <c r="H476" s="5">
        <f>DAY(EOMONTH(MC_2[[#This Row],[Month Year]],0))</f>
        <v>31</v>
      </c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97"/>
      <c r="AN476" s="197"/>
      <c r="AO476" s="197"/>
      <c r="AP476" s="197"/>
      <c r="AQ476" s="197"/>
      <c r="AR476" s="197"/>
      <c r="AS476" s="119"/>
      <c r="AT476" s="119"/>
      <c r="AU476" s="119"/>
      <c r="AV476" s="119"/>
      <c r="AW476" s="119"/>
      <c r="AX476" s="119"/>
      <c r="AY476" s="119"/>
      <c r="AZ476" s="119"/>
      <c r="BA476" s="119"/>
      <c r="BB476" s="119"/>
      <c r="BC476" s="119"/>
      <c r="BD476" s="119"/>
      <c r="BE476" s="5">
        <f>SUM(MC_2[[#This Row],[IS1Inv1M1]:[IS9Inv19M2]])</f>
        <v>0</v>
      </c>
      <c r="BF476" s="119"/>
      <c r="BG476" s="119"/>
      <c r="BH476" s="119"/>
      <c r="BI476" s="119"/>
      <c r="BJ476" s="119"/>
      <c r="BK476" s="119"/>
      <c r="BL476" s="119"/>
    </row>
    <row r="477" spans="1:64">
      <c r="A477" s="119"/>
      <c r="B477" s="194"/>
      <c r="C477" s="195">
        <f>YEAR(MC_2[[#This Row],[Date]])+IF(MONTH(MC_2[[#This Row],[Date]])&gt;=4,1,0)</f>
        <v>1900</v>
      </c>
      <c r="D477" s="116">
        <f>YEAR(MC_2[[#This Row],[Date]])</f>
        <v>1900</v>
      </c>
      <c r="E477" s="196"/>
      <c r="F477" s="119"/>
      <c r="G477" s="5" t="str">
        <f>TEXT(MC_2[[#This Row],[Date]],"mmm-yy")</f>
        <v>Jan-00</v>
      </c>
      <c r="H477" s="5">
        <f>DAY(EOMONTH(MC_2[[#This Row],[Month Year]],0))</f>
        <v>31</v>
      </c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97"/>
      <c r="AN477" s="197"/>
      <c r="AO477" s="197"/>
      <c r="AP477" s="197"/>
      <c r="AQ477" s="197"/>
      <c r="AR477" s="197"/>
      <c r="AS477" s="119"/>
      <c r="AT477" s="119"/>
      <c r="AU477" s="119"/>
      <c r="AV477" s="119"/>
      <c r="AW477" s="119"/>
      <c r="AX477" s="119"/>
      <c r="AY477" s="119"/>
      <c r="AZ477" s="119"/>
      <c r="BA477" s="119"/>
      <c r="BB477" s="119"/>
      <c r="BC477" s="119"/>
      <c r="BD477" s="119"/>
      <c r="BE477" s="5">
        <f>SUM(MC_2[[#This Row],[IS1Inv1M1]:[IS9Inv19M2]])</f>
        <v>0</v>
      </c>
      <c r="BF477" s="119"/>
      <c r="BG477" s="119"/>
      <c r="BH477" s="119"/>
      <c r="BI477" s="119"/>
      <c r="BJ477" s="119"/>
      <c r="BK477" s="119"/>
      <c r="BL477" s="119"/>
    </row>
    <row r="478" spans="1:64">
      <c r="A478" s="119"/>
      <c r="B478" s="194"/>
      <c r="C478" s="195">
        <f>YEAR(MC_2[[#This Row],[Date]])+IF(MONTH(MC_2[[#This Row],[Date]])&gt;=4,1,0)</f>
        <v>1900</v>
      </c>
      <c r="D478" s="116">
        <f>YEAR(MC_2[[#This Row],[Date]])</f>
        <v>1900</v>
      </c>
      <c r="E478" s="196"/>
      <c r="F478" s="119"/>
      <c r="G478" s="5" t="str">
        <f>TEXT(MC_2[[#This Row],[Date]],"mmm-yy")</f>
        <v>Jan-00</v>
      </c>
      <c r="H478" s="5">
        <f>DAY(EOMONTH(MC_2[[#This Row],[Month Year]],0))</f>
        <v>31</v>
      </c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19"/>
      <c r="AH478" s="119"/>
      <c r="AI478" s="119"/>
      <c r="AJ478" s="119"/>
      <c r="AK478" s="119"/>
      <c r="AL478" s="119"/>
      <c r="AM478" s="197"/>
      <c r="AN478" s="197"/>
      <c r="AO478" s="197"/>
      <c r="AP478" s="197"/>
      <c r="AQ478" s="197"/>
      <c r="AR478" s="197"/>
      <c r="AS478" s="119"/>
      <c r="AT478" s="119"/>
      <c r="AU478" s="119"/>
      <c r="AV478" s="119"/>
      <c r="AW478" s="119"/>
      <c r="AX478" s="119"/>
      <c r="AY478" s="119"/>
      <c r="AZ478" s="119"/>
      <c r="BA478" s="119"/>
      <c r="BB478" s="119"/>
      <c r="BC478" s="119"/>
      <c r="BD478" s="119"/>
      <c r="BE478" s="5">
        <f>SUM(MC_2[[#This Row],[IS1Inv1M1]:[IS9Inv19M2]])</f>
        <v>0</v>
      </c>
      <c r="BF478" s="119"/>
      <c r="BG478" s="119"/>
      <c r="BH478" s="119"/>
      <c r="BI478" s="119"/>
      <c r="BJ478" s="119"/>
      <c r="BK478" s="119"/>
      <c r="BL478" s="119"/>
    </row>
    <row r="479" spans="1:64">
      <c r="A479" s="119"/>
      <c r="B479" s="194"/>
      <c r="C479" s="195">
        <f>YEAR(MC_2[[#This Row],[Date]])+IF(MONTH(MC_2[[#This Row],[Date]])&gt;=4,1,0)</f>
        <v>1900</v>
      </c>
      <c r="D479" s="116">
        <f>YEAR(MC_2[[#This Row],[Date]])</f>
        <v>1900</v>
      </c>
      <c r="E479" s="196"/>
      <c r="F479" s="119"/>
      <c r="G479" s="5" t="str">
        <f>TEXT(MC_2[[#This Row],[Date]],"mmm-yy")</f>
        <v>Jan-00</v>
      </c>
      <c r="H479" s="5">
        <f>DAY(EOMONTH(MC_2[[#This Row],[Month Year]],0))</f>
        <v>31</v>
      </c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19"/>
      <c r="AH479" s="119"/>
      <c r="AI479" s="119"/>
      <c r="AJ479" s="119"/>
      <c r="AK479" s="119"/>
      <c r="AL479" s="119"/>
      <c r="AM479" s="197"/>
      <c r="AN479" s="197"/>
      <c r="AO479" s="197"/>
      <c r="AP479" s="197"/>
      <c r="AQ479" s="197"/>
      <c r="AR479" s="197"/>
      <c r="AS479" s="119"/>
      <c r="AT479" s="119"/>
      <c r="AU479" s="119"/>
      <c r="AV479" s="119"/>
      <c r="AW479" s="119"/>
      <c r="AX479" s="119"/>
      <c r="AY479" s="119"/>
      <c r="AZ479" s="119"/>
      <c r="BA479" s="119"/>
      <c r="BB479" s="119"/>
      <c r="BC479" s="119"/>
      <c r="BD479" s="119"/>
      <c r="BE479" s="5">
        <f>SUM(MC_2[[#This Row],[IS1Inv1M1]:[IS9Inv19M2]])</f>
        <v>0</v>
      </c>
      <c r="BF479" s="119"/>
      <c r="BG479" s="119"/>
      <c r="BH479" s="119"/>
      <c r="BI479" s="119"/>
      <c r="BJ479" s="119"/>
      <c r="BK479" s="119"/>
      <c r="BL479" s="119"/>
    </row>
    <row r="480" spans="1:64">
      <c r="A480" s="119"/>
      <c r="B480" s="194"/>
      <c r="C480" s="195">
        <f>YEAR(MC_2[[#This Row],[Date]])+IF(MONTH(MC_2[[#This Row],[Date]])&gt;=4,1,0)</f>
        <v>1900</v>
      </c>
      <c r="D480" s="116">
        <f>YEAR(MC_2[[#This Row],[Date]])</f>
        <v>1900</v>
      </c>
      <c r="E480" s="196"/>
      <c r="F480" s="119"/>
      <c r="G480" s="5" t="str">
        <f>TEXT(MC_2[[#This Row],[Date]],"mmm-yy")</f>
        <v>Jan-00</v>
      </c>
      <c r="H480" s="5">
        <f>DAY(EOMONTH(MC_2[[#This Row],[Month Year]],0))</f>
        <v>31</v>
      </c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19"/>
      <c r="AH480" s="119"/>
      <c r="AI480" s="119"/>
      <c r="AJ480" s="119"/>
      <c r="AK480" s="119"/>
      <c r="AL480" s="119"/>
      <c r="AM480" s="197"/>
      <c r="AN480" s="197"/>
      <c r="AO480" s="197"/>
      <c r="AP480" s="197"/>
      <c r="AQ480" s="197"/>
      <c r="AR480" s="197"/>
      <c r="AS480" s="119"/>
      <c r="AT480" s="119"/>
      <c r="AU480" s="119"/>
      <c r="AV480" s="119"/>
      <c r="AW480" s="119"/>
      <c r="AX480" s="119"/>
      <c r="AY480" s="119"/>
      <c r="AZ480" s="119"/>
      <c r="BA480" s="119"/>
      <c r="BB480" s="119"/>
      <c r="BC480" s="119"/>
      <c r="BD480" s="119"/>
      <c r="BE480" s="5">
        <f>SUM(MC_2[[#This Row],[IS1Inv1M1]:[IS9Inv19M2]])</f>
        <v>0</v>
      </c>
      <c r="BF480" s="119"/>
      <c r="BG480" s="119"/>
      <c r="BH480" s="119"/>
      <c r="BI480" s="119"/>
      <c r="BJ480" s="119"/>
      <c r="BK480" s="119"/>
      <c r="BL480" s="119"/>
    </row>
    <row r="481" spans="1:64">
      <c r="A481" s="119"/>
      <c r="B481" s="194"/>
      <c r="C481" s="195">
        <f>YEAR(MC_2[[#This Row],[Date]])+IF(MONTH(MC_2[[#This Row],[Date]])&gt;=4,1,0)</f>
        <v>1900</v>
      </c>
      <c r="D481" s="116">
        <f>YEAR(MC_2[[#This Row],[Date]])</f>
        <v>1900</v>
      </c>
      <c r="E481" s="196"/>
      <c r="F481" s="119"/>
      <c r="G481" s="5" t="str">
        <f>TEXT(MC_2[[#This Row],[Date]],"mmm-yy")</f>
        <v>Jan-00</v>
      </c>
      <c r="H481" s="5">
        <f>DAY(EOMONTH(MC_2[[#This Row],[Month Year]],0))</f>
        <v>31</v>
      </c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19"/>
      <c r="AH481" s="119"/>
      <c r="AI481" s="119"/>
      <c r="AJ481" s="119"/>
      <c r="AK481" s="119"/>
      <c r="AL481" s="119"/>
      <c r="AM481" s="197"/>
      <c r="AN481" s="197"/>
      <c r="AO481" s="197"/>
      <c r="AP481" s="197"/>
      <c r="AQ481" s="197"/>
      <c r="AR481" s="197"/>
      <c r="AS481" s="119"/>
      <c r="AT481" s="119"/>
      <c r="AU481" s="119"/>
      <c r="AV481" s="119"/>
      <c r="AW481" s="119"/>
      <c r="AX481" s="119"/>
      <c r="AY481" s="119"/>
      <c r="AZ481" s="119"/>
      <c r="BA481" s="119"/>
      <c r="BB481" s="119"/>
      <c r="BC481" s="119"/>
      <c r="BD481" s="119"/>
      <c r="BE481" s="5">
        <f>SUM(MC_2[[#This Row],[IS1Inv1M1]:[IS9Inv19M2]])</f>
        <v>0</v>
      </c>
      <c r="BF481" s="119"/>
      <c r="BG481" s="119"/>
      <c r="BH481" s="119"/>
      <c r="BI481" s="119"/>
      <c r="BJ481" s="119"/>
      <c r="BK481" s="119"/>
      <c r="BL481" s="119"/>
    </row>
    <row r="482" spans="1:64">
      <c r="A482" s="119"/>
      <c r="B482" s="194"/>
      <c r="C482" s="195">
        <f>YEAR(MC_2[[#This Row],[Date]])+IF(MONTH(MC_2[[#This Row],[Date]])&gt;=4,1,0)</f>
        <v>1900</v>
      </c>
      <c r="D482" s="116">
        <f>YEAR(MC_2[[#This Row],[Date]])</f>
        <v>1900</v>
      </c>
      <c r="E482" s="196"/>
      <c r="F482" s="119"/>
      <c r="G482" s="5" t="str">
        <f>TEXT(MC_2[[#This Row],[Date]],"mmm-yy")</f>
        <v>Jan-00</v>
      </c>
      <c r="H482" s="5">
        <f>DAY(EOMONTH(MC_2[[#This Row],[Month Year]],0))</f>
        <v>31</v>
      </c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19"/>
      <c r="AH482" s="119"/>
      <c r="AI482" s="119"/>
      <c r="AJ482" s="119"/>
      <c r="AK482" s="119"/>
      <c r="AL482" s="119"/>
      <c r="AM482" s="197"/>
      <c r="AN482" s="197"/>
      <c r="AO482" s="197"/>
      <c r="AP482" s="197"/>
      <c r="AQ482" s="197"/>
      <c r="AR482" s="197"/>
      <c r="AS482" s="119"/>
      <c r="AT482" s="119"/>
      <c r="AU482" s="119"/>
      <c r="AV482" s="119"/>
      <c r="AW482" s="119"/>
      <c r="AX482" s="119"/>
      <c r="AY482" s="119"/>
      <c r="AZ482" s="119"/>
      <c r="BA482" s="119"/>
      <c r="BB482" s="119"/>
      <c r="BC482" s="119"/>
      <c r="BD482" s="119"/>
      <c r="BE482" s="5">
        <f>SUM(MC_2[[#This Row],[IS1Inv1M1]:[IS9Inv19M2]])</f>
        <v>0</v>
      </c>
      <c r="BF482" s="119"/>
      <c r="BG482" s="119"/>
      <c r="BH482" s="119"/>
      <c r="BI482" s="119"/>
      <c r="BJ482" s="119"/>
      <c r="BK482" s="119"/>
      <c r="BL482" s="119"/>
    </row>
    <row r="483" spans="1:64">
      <c r="A483" s="119"/>
      <c r="B483" s="194"/>
      <c r="C483" s="195">
        <f>YEAR(MC_2[[#This Row],[Date]])+IF(MONTH(MC_2[[#This Row],[Date]])&gt;=4,1,0)</f>
        <v>1900</v>
      </c>
      <c r="D483" s="116">
        <f>YEAR(MC_2[[#This Row],[Date]])</f>
        <v>1900</v>
      </c>
      <c r="E483" s="196"/>
      <c r="F483" s="119"/>
      <c r="G483" s="5" t="str">
        <f>TEXT(MC_2[[#This Row],[Date]],"mmm-yy")</f>
        <v>Jan-00</v>
      </c>
      <c r="H483" s="5">
        <f>DAY(EOMONTH(MC_2[[#This Row],[Month Year]],0))</f>
        <v>31</v>
      </c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19"/>
      <c r="AH483" s="119"/>
      <c r="AI483" s="119"/>
      <c r="AJ483" s="119"/>
      <c r="AK483" s="119"/>
      <c r="AL483" s="119"/>
      <c r="AM483" s="197"/>
      <c r="AN483" s="197"/>
      <c r="AO483" s="197"/>
      <c r="AP483" s="197"/>
      <c r="AQ483" s="197"/>
      <c r="AR483" s="197"/>
      <c r="AS483" s="119"/>
      <c r="AT483" s="119"/>
      <c r="AU483" s="119"/>
      <c r="AV483" s="119"/>
      <c r="AW483" s="119"/>
      <c r="AX483" s="119"/>
      <c r="AY483" s="119"/>
      <c r="AZ483" s="119"/>
      <c r="BA483" s="119"/>
      <c r="BB483" s="119"/>
      <c r="BC483" s="119"/>
      <c r="BD483" s="119"/>
      <c r="BE483" s="5">
        <f>SUM(MC_2[[#This Row],[IS1Inv1M1]:[IS9Inv19M2]])</f>
        <v>0</v>
      </c>
      <c r="BF483" s="119"/>
      <c r="BG483" s="119"/>
      <c r="BH483" s="119"/>
      <c r="BI483" s="119"/>
      <c r="BJ483" s="119"/>
      <c r="BK483" s="119"/>
      <c r="BL483" s="119"/>
    </row>
    <row r="484" spans="1:64">
      <c r="A484" s="119"/>
      <c r="B484" s="194"/>
      <c r="C484" s="195">
        <f>YEAR(MC_2[[#This Row],[Date]])+IF(MONTH(MC_2[[#This Row],[Date]])&gt;=4,1,0)</f>
        <v>1900</v>
      </c>
      <c r="D484" s="116">
        <f>YEAR(MC_2[[#This Row],[Date]])</f>
        <v>1900</v>
      </c>
      <c r="E484" s="196"/>
      <c r="F484" s="119"/>
      <c r="G484" s="5" t="str">
        <f>TEXT(MC_2[[#This Row],[Date]],"mmm-yy")</f>
        <v>Jan-00</v>
      </c>
      <c r="H484" s="5">
        <f>DAY(EOMONTH(MC_2[[#This Row],[Month Year]],0))</f>
        <v>31</v>
      </c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19"/>
      <c r="AH484" s="119"/>
      <c r="AI484" s="119"/>
      <c r="AJ484" s="119"/>
      <c r="AK484" s="119"/>
      <c r="AL484" s="119"/>
      <c r="AM484" s="197"/>
      <c r="AN484" s="197"/>
      <c r="AO484" s="197"/>
      <c r="AP484" s="197"/>
      <c r="AQ484" s="197"/>
      <c r="AR484" s="197"/>
      <c r="AS484" s="119"/>
      <c r="AT484" s="119"/>
      <c r="AU484" s="119"/>
      <c r="AV484" s="119"/>
      <c r="AW484" s="119"/>
      <c r="AX484" s="119"/>
      <c r="AY484" s="119"/>
      <c r="AZ484" s="119"/>
      <c r="BA484" s="119"/>
      <c r="BB484" s="119"/>
      <c r="BC484" s="119"/>
      <c r="BD484" s="119"/>
      <c r="BE484" s="5">
        <f>SUM(MC_2[[#This Row],[IS1Inv1M1]:[IS9Inv19M2]])</f>
        <v>0</v>
      </c>
      <c r="BF484" s="119"/>
      <c r="BG484" s="119"/>
      <c r="BH484" s="119"/>
      <c r="BI484" s="119"/>
      <c r="BJ484" s="119"/>
      <c r="BK484" s="119"/>
      <c r="BL484" s="119"/>
    </row>
    <row r="485" spans="1:64">
      <c r="A485" s="119"/>
      <c r="B485" s="194"/>
      <c r="C485" s="195">
        <f>YEAR(MC_2[[#This Row],[Date]])+IF(MONTH(MC_2[[#This Row],[Date]])&gt;=4,1,0)</f>
        <v>1900</v>
      </c>
      <c r="D485" s="116">
        <f>YEAR(MC_2[[#This Row],[Date]])</f>
        <v>1900</v>
      </c>
      <c r="E485" s="196"/>
      <c r="F485" s="119"/>
      <c r="G485" s="5" t="str">
        <f>TEXT(MC_2[[#This Row],[Date]],"mmm-yy")</f>
        <v>Jan-00</v>
      </c>
      <c r="H485" s="5">
        <f>DAY(EOMONTH(MC_2[[#This Row],[Month Year]],0))</f>
        <v>31</v>
      </c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19"/>
      <c r="AH485" s="119"/>
      <c r="AI485" s="119"/>
      <c r="AJ485" s="119"/>
      <c r="AK485" s="119"/>
      <c r="AL485" s="119"/>
      <c r="AM485" s="197"/>
      <c r="AN485" s="197"/>
      <c r="AO485" s="197"/>
      <c r="AP485" s="197"/>
      <c r="AQ485" s="197"/>
      <c r="AR485" s="197"/>
      <c r="AS485" s="119"/>
      <c r="AT485" s="119"/>
      <c r="AU485" s="119"/>
      <c r="AV485" s="119"/>
      <c r="AW485" s="119"/>
      <c r="AX485" s="119"/>
      <c r="AY485" s="119"/>
      <c r="AZ485" s="119"/>
      <c r="BA485" s="119"/>
      <c r="BB485" s="119"/>
      <c r="BC485" s="119"/>
      <c r="BD485" s="119"/>
      <c r="BE485" s="5">
        <f>SUM(MC_2[[#This Row],[IS1Inv1M1]:[IS9Inv19M2]])</f>
        <v>0</v>
      </c>
      <c r="BF485" s="119"/>
      <c r="BG485" s="119"/>
      <c r="BH485" s="119"/>
      <c r="BI485" s="119"/>
      <c r="BJ485" s="119"/>
      <c r="BK485" s="119"/>
      <c r="BL485" s="119"/>
    </row>
    <row r="486" spans="1:64">
      <c r="A486" s="119"/>
      <c r="B486" s="194"/>
      <c r="C486" s="195">
        <f>YEAR(MC_2[[#This Row],[Date]])+IF(MONTH(MC_2[[#This Row],[Date]])&gt;=4,1,0)</f>
        <v>1900</v>
      </c>
      <c r="D486" s="116">
        <f>YEAR(MC_2[[#This Row],[Date]])</f>
        <v>1900</v>
      </c>
      <c r="E486" s="196"/>
      <c r="F486" s="119"/>
      <c r="G486" s="5" t="str">
        <f>TEXT(MC_2[[#This Row],[Date]],"mmm-yy")</f>
        <v>Jan-00</v>
      </c>
      <c r="H486" s="5">
        <f>DAY(EOMONTH(MC_2[[#This Row],[Month Year]],0))</f>
        <v>31</v>
      </c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19"/>
      <c r="AH486" s="119"/>
      <c r="AI486" s="119"/>
      <c r="AJ486" s="119"/>
      <c r="AK486" s="119"/>
      <c r="AL486" s="119"/>
      <c r="AM486" s="197"/>
      <c r="AN486" s="197"/>
      <c r="AO486" s="197"/>
      <c r="AP486" s="197"/>
      <c r="AQ486" s="197"/>
      <c r="AR486" s="197"/>
      <c r="AS486" s="119"/>
      <c r="AT486" s="119"/>
      <c r="AU486" s="119"/>
      <c r="AV486" s="119"/>
      <c r="AW486" s="119"/>
      <c r="AX486" s="119"/>
      <c r="AY486" s="119"/>
      <c r="AZ486" s="119"/>
      <c r="BA486" s="119"/>
      <c r="BB486" s="119"/>
      <c r="BC486" s="119"/>
      <c r="BD486" s="119"/>
      <c r="BE486" s="5">
        <f>SUM(MC_2[[#This Row],[IS1Inv1M1]:[IS9Inv19M2]])</f>
        <v>0</v>
      </c>
      <c r="BF486" s="119"/>
      <c r="BG486" s="119"/>
      <c r="BH486" s="119"/>
      <c r="BI486" s="119"/>
      <c r="BJ486" s="119"/>
      <c r="BK486" s="119"/>
      <c r="BL486" s="119"/>
    </row>
    <row r="487" spans="1:64">
      <c r="A487" s="119"/>
      <c r="B487" s="194"/>
      <c r="C487" s="195">
        <f>YEAR(MC_2[[#This Row],[Date]])+IF(MONTH(MC_2[[#This Row],[Date]])&gt;=4,1,0)</f>
        <v>1900</v>
      </c>
      <c r="D487" s="116">
        <f>YEAR(MC_2[[#This Row],[Date]])</f>
        <v>1900</v>
      </c>
      <c r="E487" s="196"/>
      <c r="F487" s="119"/>
      <c r="G487" s="5" t="str">
        <f>TEXT(MC_2[[#This Row],[Date]],"mmm-yy")</f>
        <v>Jan-00</v>
      </c>
      <c r="H487" s="5">
        <f>DAY(EOMONTH(MC_2[[#This Row],[Month Year]],0))</f>
        <v>31</v>
      </c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19"/>
      <c r="AH487" s="119"/>
      <c r="AI487" s="119"/>
      <c r="AJ487" s="119"/>
      <c r="AK487" s="119"/>
      <c r="AL487" s="119"/>
      <c r="AM487" s="197"/>
      <c r="AN487" s="197"/>
      <c r="AO487" s="197"/>
      <c r="AP487" s="197"/>
      <c r="AQ487" s="197"/>
      <c r="AR487" s="197"/>
      <c r="AS487" s="119"/>
      <c r="AT487" s="119"/>
      <c r="AU487" s="119"/>
      <c r="AV487" s="119"/>
      <c r="AW487" s="119"/>
      <c r="AX487" s="119"/>
      <c r="AY487" s="119"/>
      <c r="AZ487" s="119"/>
      <c r="BA487" s="119"/>
      <c r="BB487" s="119"/>
      <c r="BC487" s="119"/>
      <c r="BD487" s="119"/>
      <c r="BE487" s="5">
        <f>SUM(MC_2[[#This Row],[IS1Inv1M1]:[IS9Inv19M2]])</f>
        <v>0</v>
      </c>
      <c r="BF487" s="119"/>
      <c r="BG487" s="119"/>
      <c r="BH487" s="119"/>
      <c r="BI487" s="119"/>
      <c r="BJ487" s="119"/>
      <c r="BK487" s="119"/>
      <c r="BL487" s="119"/>
    </row>
    <row r="488" spans="1:64">
      <c r="A488" s="119"/>
      <c r="B488" s="194"/>
      <c r="C488" s="195">
        <f>YEAR(MC_2[[#This Row],[Date]])+IF(MONTH(MC_2[[#This Row],[Date]])&gt;=4,1,0)</f>
        <v>1900</v>
      </c>
      <c r="D488" s="116">
        <f>YEAR(MC_2[[#This Row],[Date]])</f>
        <v>1900</v>
      </c>
      <c r="E488" s="196"/>
      <c r="F488" s="119"/>
      <c r="G488" s="5" t="str">
        <f>TEXT(MC_2[[#This Row],[Date]],"mmm-yy")</f>
        <v>Jan-00</v>
      </c>
      <c r="H488" s="5">
        <f>DAY(EOMONTH(MC_2[[#This Row],[Month Year]],0))</f>
        <v>31</v>
      </c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19"/>
      <c r="AH488" s="119"/>
      <c r="AI488" s="119"/>
      <c r="AJ488" s="119"/>
      <c r="AK488" s="119"/>
      <c r="AL488" s="119"/>
      <c r="AM488" s="197"/>
      <c r="AN488" s="197"/>
      <c r="AO488" s="197"/>
      <c r="AP488" s="197"/>
      <c r="AQ488" s="197"/>
      <c r="AR488" s="197"/>
      <c r="AS488" s="119"/>
      <c r="AT488" s="119"/>
      <c r="AU488" s="119"/>
      <c r="AV488" s="119"/>
      <c r="AW488" s="119"/>
      <c r="AX488" s="119"/>
      <c r="AY488" s="119"/>
      <c r="AZ488" s="119"/>
      <c r="BA488" s="119"/>
      <c r="BB488" s="119"/>
      <c r="BC488" s="119"/>
      <c r="BD488" s="119"/>
      <c r="BE488" s="5">
        <f>SUM(MC_2[[#This Row],[IS1Inv1M1]:[IS9Inv19M2]])</f>
        <v>0</v>
      </c>
      <c r="BF488" s="119"/>
      <c r="BG488" s="119"/>
      <c r="BH488" s="119"/>
      <c r="BI488" s="119"/>
      <c r="BJ488" s="119"/>
      <c r="BK488" s="119"/>
      <c r="BL488" s="119"/>
    </row>
    <row r="489" spans="1:64">
      <c r="A489" s="119"/>
      <c r="B489" s="194"/>
      <c r="C489" s="195">
        <f>YEAR(MC_2[[#This Row],[Date]])+IF(MONTH(MC_2[[#This Row],[Date]])&gt;=4,1,0)</f>
        <v>1900</v>
      </c>
      <c r="D489" s="116">
        <f>YEAR(MC_2[[#This Row],[Date]])</f>
        <v>1900</v>
      </c>
      <c r="E489" s="196"/>
      <c r="F489" s="119"/>
      <c r="G489" s="5" t="str">
        <f>TEXT(MC_2[[#This Row],[Date]],"mmm-yy")</f>
        <v>Jan-00</v>
      </c>
      <c r="H489" s="5">
        <f>DAY(EOMONTH(MC_2[[#This Row],[Month Year]],0))</f>
        <v>31</v>
      </c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97"/>
      <c r="AN489" s="197"/>
      <c r="AO489" s="197"/>
      <c r="AP489" s="197"/>
      <c r="AQ489" s="197"/>
      <c r="AR489" s="197"/>
      <c r="AS489" s="119"/>
      <c r="AT489" s="119"/>
      <c r="AU489" s="119"/>
      <c r="AV489" s="119"/>
      <c r="AW489" s="119"/>
      <c r="AX489" s="119"/>
      <c r="AY489" s="119"/>
      <c r="AZ489" s="119"/>
      <c r="BA489" s="119"/>
      <c r="BB489" s="119"/>
      <c r="BC489" s="119"/>
      <c r="BD489" s="119"/>
      <c r="BE489" s="5">
        <f>SUM(MC_2[[#This Row],[IS1Inv1M1]:[IS9Inv19M2]])</f>
        <v>0</v>
      </c>
      <c r="BF489" s="119"/>
      <c r="BG489" s="119"/>
      <c r="BH489" s="119"/>
      <c r="BI489" s="119"/>
      <c r="BJ489" s="119"/>
      <c r="BK489" s="119"/>
      <c r="BL489" s="119"/>
    </row>
    <row r="490" spans="1:64">
      <c r="A490" s="119"/>
      <c r="B490" s="194"/>
      <c r="C490" s="195">
        <f>YEAR(MC_2[[#This Row],[Date]])+IF(MONTH(MC_2[[#This Row],[Date]])&gt;=4,1,0)</f>
        <v>1900</v>
      </c>
      <c r="D490" s="116">
        <f>YEAR(MC_2[[#This Row],[Date]])</f>
        <v>1900</v>
      </c>
      <c r="E490" s="196"/>
      <c r="F490" s="119"/>
      <c r="G490" s="5" t="str">
        <f>TEXT(MC_2[[#This Row],[Date]],"mmm-yy")</f>
        <v>Jan-00</v>
      </c>
      <c r="H490" s="5">
        <f>DAY(EOMONTH(MC_2[[#This Row],[Month Year]],0))</f>
        <v>31</v>
      </c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19"/>
      <c r="AH490" s="119"/>
      <c r="AI490" s="119"/>
      <c r="AJ490" s="119"/>
      <c r="AK490" s="119"/>
      <c r="AL490" s="119"/>
      <c r="AM490" s="197"/>
      <c r="AN490" s="197"/>
      <c r="AO490" s="197"/>
      <c r="AP490" s="197"/>
      <c r="AQ490" s="197"/>
      <c r="AR490" s="197"/>
      <c r="AS490" s="119"/>
      <c r="AT490" s="119"/>
      <c r="AU490" s="119"/>
      <c r="AV490" s="119"/>
      <c r="AW490" s="119"/>
      <c r="AX490" s="119"/>
      <c r="AY490" s="119"/>
      <c r="AZ490" s="119"/>
      <c r="BA490" s="119"/>
      <c r="BB490" s="119"/>
      <c r="BC490" s="119"/>
      <c r="BD490" s="119"/>
      <c r="BE490" s="5">
        <f>SUM(MC_2[[#This Row],[IS1Inv1M1]:[IS9Inv19M2]])</f>
        <v>0</v>
      </c>
      <c r="BF490" s="119"/>
      <c r="BG490" s="119"/>
      <c r="BH490" s="119"/>
      <c r="BI490" s="119"/>
      <c r="BJ490" s="119"/>
      <c r="BK490" s="119"/>
      <c r="BL490" s="119"/>
    </row>
    <row r="491" spans="1:64">
      <c r="A491" s="119"/>
      <c r="B491" s="194"/>
      <c r="C491" s="195">
        <f>YEAR(MC_2[[#This Row],[Date]])+IF(MONTH(MC_2[[#This Row],[Date]])&gt;=4,1,0)</f>
        <v>1900</v>
      </c>
      <c r="D491" s="116">
        <f>YEAR(MC_2[[#This Row],[Date]])</f>
        <v>1900</v>
      </c>
      <c r="E491" s="196"/>
      <c r="F491" s="119"/>
      <c r="G491" s="5" t="str">
        <f>TEXT(MC_2[[#This Row],[Date]],"mmm-yy")</f>
        <v>Jan-00</v>
      </c>
      <c r="H491" s="5">
        <f>DAY(EOMONTH(MC_2[[#This Row],[Month Year]],0))</f>
        <v>31</v>
      </c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19"/>
      <c r="AH491" s="119"/>
      <c r="AI491" s="119"/>
      <c r="AJ491" s="119"/>
      <c r="AK491" s="119"/>
      <c r="AL491" s="119"/>
      <c r="AM491" s="197"/>
      <c r="AN491" s="197"/>
      <c r="AO491" s="197"/>
      <c r="AP491" s="197"/>
      <c r="AQ491" s="197"/>
      <c r="AR491" s="197"/>
      <c r="AS491" s="119"/>
      <c r="AT491" s="119"/>
      <c r="AU491" s="119"/>
      <c r="AV491" s="119"/>
      <c r="AW491" s="119"/>
      <c r="AX491" s="119"/>
      <c r="AY491" s="119"/>
      <c r="AZ491" s="119"/>
      <c r="BA491" s="119"/>
      <c r="BB491" s="119"/>
      <c r="BC491" s="119"/>
      <c r="BD491" s="119"/>
      <c r="BE491" s="5">
        <f>SUM(MC_2[[#This Row],[IS1Inv1M1]:[IS9Inv19M2]])</f>
        <v>0</v>
      </c>
      <c r="BF491" s="119"/>
      <c r="BG491" s="119"/>
      <c r="BH491" s="119"/>
      <c r="BI491" s="119"/>
      <c r="BJ491" s="119"/>
      <c r="BK491" s="119"/>
      <c r="BL491" s="119"/>
    </row>
    <row r="492" spans="1:64">
      <c r="A492" s="119"/>
      <c r="B492" s="194"/>
      <c r="C492" s="195">
        <f>YEAR(MC_2[[#This Row],[Date]])+IF(MONTH(MC_2[[#This Row],[Date]])&gt;=4,1,0)</f>
        <v>1900</v>
      </c>
      <c r="D492" s="116">
        <f>YEAR(MC_2[[#This Row],[Date]])</f>
        <v>1900</v>
      </c>
      <c r="E492" s="196"/>
      <c r="F492" s="119"/>
      <c r="G492" s="5" t="str">
        <f>TEXT(MC_2[[#This Row],[Date]],"mmm-yy")</f>
        <v>Jan-00</v>
      </c>
      <c r="H492" s="5">
        <f>DAY(EOMONTH(MC_2[[#This Row],[Month Year]],0))</f>
        <v>31</v>
      </c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19"/>
      <c r="AH492" s="119"/>
      <c r="AI492" s="119"/>
      <c r="AJ492" s="119"/>
      <c r="AK492" s="119"/>
      <c r="AL492" s="119"/>
      <c r="AM492" s="197"/>
      <c r="AN492" s="197"/>
      <c r="AO492" s="197"/>
      <c r="AP492" s="197"/>
      <c r="AQ492" s="197"/>
      <c r="AR492" s="197"/>
      <c r="AS492" s="119"/>
      <c r="AT492" s="119"/>
      <c r="AU492" s="119"/>
      <c r="AV492" s="119"/>
      <c r="AW492" s="119"/>
      <c r="AX492" s="119"/>
      <c r="AY492" s="119"/>
      <c r="AZ492" s="119"/>
      <c r="BA492" s="119"/>
      <c r="BB492" s="119"/>
      <c r="BC492" s="119"/>
      <c r="BD492" s="119"/>
      <c r="BE492" s="5">
        <f>SUM(MC_2[[#This Row],[IS1Inv1M1]:[IS9Inv19M2]])</f>
        <v>0</v>
      </c>
      <c r="BF492" s="119"/>
      <c r="BG492" s="119"/>
      <c r="BH492" s="119"/>
      <c r="BI492" s="119"/>
      <c r="BJ492" s="119"/>
      <c r="BK492" s="119"/>
      <c r="BL492" s="119"/>
    </row>
    <row r="493" spans="1:64">
      <c r="A493" s="119"/>
      <c r="B493" s="194"/>
      <c r="C493" s="195">
        <f>YEAR(MC_2[[#This Row],[Date]])+IF(MONTH(MC_2[[#This Row],[Date]])&gt;=4,1,0)</f>
        <v>1900</v>
      </c>
      <c r="D493" s="116">
        <f>YEAR(MC_2[[#This Row],[Date]])</f>
        <v>1900</v>
      </c>
      <c r="E493" s="196"/>
      <c r="F493" s="119"/>
      <c r="G493" s="5" t="str">
        <f>TEXT(MC_2[[#This Row],[Date]],"mmm-yy")</f>
        <v>Jan-00</v>
      </c>
      <c r="H493" s="5">
        <f>DAY(EOMONTH(MC_2[[#This Row],[Month Year]],0))</f>
        <v>31</v>
      </c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19"/>
      <c r="AH493" s="119"/>
      <c r="AI493" s="119"/>
      <c r="AJ493" s="119"/>
      <c r="AK493" s="119"/>
      <c r="AL493" s="119"/>
      <c r="AM493" s="197"/>
      <c r="AN493" s="197"/>
      <c r="AO493" s="197"/>
      <c r="AP493" s="197"/>
      <c r="AQ493" s="197"/>
      <c r="AR493" s="197"/>
      <c r="AS493" s="119"/>
      <c r="AT493" s="119"/>
      <c r="AU493" s="119"/>
      <c r="AV493" s="119"/>
      <c r="AW493" s="119"/>
      <c r="AX493" s="119"/>
      <c r="AY493" s="119"/>
      <c r="AZ493" s="119"/>
      <c r="BA493" s="119"/>
      <c r="BB493" s="119"/>
      <c r="BC493" s="119"/>
      <c r="BD493" s="119"/>
      <c r="BE493" s="5">
        <f>SUM(MC_2[[#This Row],[IS1Inv1M1]:[IS9Inv19M2]])</f>
        <v>0</v>
      </c>
      <c r="BF493" s="119"/>
      <c r="BG493" s="119"/>
      <c r="BH493" s="119"/>
      <c r="BI493" s="119"/>
      <c r="BJ493" s="119"/>
      <c r="BK493" s="119"/>
      <c r="BL493" s="119"/>
    </row>
    <row r="494" spans="1:64">
      <c r="A494" s="119"/>
      <c r="B494" s="194"/>
      <c r="C494" s="195">
        <f>YEAR(MC_2[[#This Row],[Date]])+IF(MONTH(MC_2[[#This Row],[Date]])&gt;=4,1,0)</f>
        <v>1900</v>
      </c>
      <c r="D494" s="116">
        <f>YEAR(MC_2[[#This Row],[Date]])</f>
        <v>1900</v>
      </c>
      <c r="E494" s="196"/>
      <c r="F494" s="119"/>
      <c r="G494" s="5" t="str">
        <f>TEXT(MC_2[[#This Row],[Date]],"mmm-yy")</f>
        <v>Jan-00</v>
      </c>
      <c r="H494" s="5">
        <f>DAY(EOMONTH(MC_2[[#This Row],[Month Year]],0))</f>
        <v>31</v>
      </c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19"/>
      <c r="AH494" s="119"/>
      <c r="AI494" s="119"/>
      <c r="AJ494" s="119"/>
      <c r="AK494" s="119"/>
      <c r="AL494" s="119"/>
      <c r="AM494" s="197"/>
      <c r="AN494" s="197"/>
      <c r="AO494" s="197"/>
      <c r="AP494" s="197"/>
      <c r="AQ494" s="197"/>
      <c r="AR494" s="197"/>
      <c r="AS494" s="119"/>
      <c r="AT494" s="119"/>
      <c r="AU494" s="119"/>
      <c r="AV494" s="119"/>
      <c r="AW494" s="119"/>
      <c r="AX494" s="119"/>
      <c r="AY494" s="119"/>
      <c r="AZ494" s="119"/>
      <c r="BA494" s="119"/>
      <c r="BB494" s="119"/>
      <c r="BC494" s="119"/>
      <c r="BD494" s="119"/>
      <c r="BE494" s="5">
        <f>SUM(MC_2[[#This Row],[IS1Inv1M1]:[IS9Inv19M2]])</f>
        <v>0</v>
      </c>
      <c r="BF494" s="119"/>
      <c r="BG494" s="119"/>
      <c r="BH494" s="119"/>
      <c r="BI494" s="119"/>
      <c r="BJ494" s="119"/>
      <c r="BK494" s="119"/>
      <c r="BL494" s="119"/>
    </row>
    <row r="495" spans="1:64">
      <c r="A495" s="119"/>
      <c r="B495" s="194"/>
      <c r="C495" s="195">
        <f>YEAR(MC_2[[#This Row],[Date]])+IF(MONTH(MC_2[[#This Row],[Date]])&gt;=4,1,0)</f>
        <v>1900</v>
      </c>
      <c r="D495" s="116">
        <f>YEAR(MC_2[[#This Row],[Date]])</f>
        <v>1900</v>
      </c>
      <c r="E495" s="196"/>
      <c r="F495" s="119"/>
      <c r="G495" s="5" t="str">
        <f>TEXT(MC_2[[#This Row],[Date]],"mmm-yy")</f>
        <v>Jan-00</v>
      </c>
      <c r="H495" s="5">
        <f>DAY(EOMONTH(MC_2[[#This Row],[Month Year]],0))</f>
        <v>31</v>
      </c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19"/>
      <c r="AH495" s="119"/>
      <c r="AI495" s="119"/>
      <c r="AJ495" s="119"/>
      <c r="AK495" s="119"/>
      <c r="AL495" s="119"/>
      <c r="AM495" s="197"/>
      <c r="AN495" s="197"/>
      <c r="AO495" s="197"/>
      <c r="AP495" s="197"/>
      <c r="AQ495" s="197"/>
      <c r="AR495" s="197"/>
      <c r="AS495" s="119"/>
      <c r="AT495" s="119"/>
      <c r="AU495" s="119"/>
      <c r="AV495" s="119"/>
      <c r="AW495" s="119"/>
      <c r="AX495" s="119"/>
      <c r="AY495" s="119"/>
      <c r="AZ495" s="119"/>
      <c r="BA495" s="119"/>
      <c r="BB495" s="119"/>
      <c r="BC495" s="119"/>
      <c r="BD495" s="119"/>
      <c r="BE495" s="5">
        <f>SUM(MC_2[[#This Row],[IS1Inv1M1]:[IS9Inv19M2]])</f>
        <v>0</v>
      </c>
      <c r="BF495" s="119"/>
      <c r="BG495" s="119"/>
      <c r="BH495" s="119"/>
      <c r="BI495" s="119"/>
      <c r="BJ495" s="119"/>
      <c r="BK495" s="119"/>
      <c r="BL495" s="119"/>
    </row>
    <row r="496" spans="1:64">
      <c r="A496" s="119"/>
      <c r="B496" s="194"/>
      <c r="C496" s="195">
        <f>YEAR(MC_2[[#This Row],[Date]])+IF(MONTH(MC_2[[#This Row],[Date]])&gt;=4,1,0)</f>
        <v>1900</v>
      </c>
      <c r="D496" s="116">
        <f>YEAR(MC_2[[#This Row],[Date]])</f>
        <v>1900</v>
      </c>
      <c r="E496" s="196"/>
      <c r="F496" s="119"/>
      <c r="G496" s="5" t="str">
        <f>TEXT(MC_2[[#This Row],[Date]],"mmm-yy")</f>
        <v>Jan-00</v>
      </c>
      <c r="H496" s="5">
        <f>DAY(EOMONTH(MC_2[[#This Row],[Month Year]],0))</f>
        <v>31</v>
      </c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97"/>
      <c r="AN496" s="197"/>
      <c r="AO496" s="197"/>
      <c r="AP496" s="197"/>
      <c r="AQ496" s="197"/>
      <c r="AR496" s="197"/>
      <c r="AS496" s="119"/>
      <c r="AT496" s="119"/>
      <c r="AU496" s="119"/>
      <c r="AV496" s="119"/>
      <c r="AW496" s="119"/>
      <c r="AX496" s="119"/>
      <c r="AY496" s="119"/>
      <c r="AZ496" s="119"/>
      <c r="BA496" s="119"/>
      <c r="BB496" s="119"/>
      <c r="BC496" s="119"/>
      <c r="BD496" s="119"/>
      <c r="BE496" s="5">
        <f>SUM(MC_2[[#This Row],[IS1Inv1M1]:[IS9Inv19M2]])</f>
        <v>0</v>
      </c>
      <c r="BF496" s="119"/>
      <c r="BG496" s="119"/>
      <c r="BH496" s="119"/>
      <c r="BI496" s="119"/>
      <c r="BJ496" s="119"/>
      <c r="BK496" s="119"/>
      <c r="BL496" s="119"/>
    </row>
    <row r="497" spans="1:64">
      <c r="A497" s="119"/>
      <c r="B497" s="194"/>
      <c r="C497" s="195">
        <f>YEAR(MC_2[[#This Row],[Date]])+IF(MONTH(MC_2[[#This Row],[Date]])&gt;=4,1,0)</f>
        <v>1900</v>
      </c>
      <c r="D497" s="116">
        <f>YEAR(MC_2[[#This Row],[Date]])</f>
        <v>1900</v>
      </c>
      <c r="E497" s="196"/>
      <c r="F497" s="119"/>
      <c r="G497" s="5" t="str">
        <f>TEXT(MC_2[[#This Row],[Date]],"mmm-yy")</f>
        <v>Jan-00</v>
      </c>
      <c r="H497" s="5">
        <f>DAY(EOMONTH(MC_2[[#This Row],[Month Year]],0))</f>
        <v>31</v>
      </c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19"/>
      <c r="AH497" s="119"/>
      <c r="AI497" s="119"/>
      <c r="AJ497" s="119"/>
      <c r="AK497" s="119"/>
      <c r="AL497" s="119"/>
      <c r="AM497" s="197"/>
      <c r="AN497" s="197"/>
      <c r="AO497" s="197"/>
      <c r="AP497" s="197"/>
      <c r="AQ497" s="197"/>
      <c r="AR497" s="197"/>
      <c r="AS497" s="119"/>
      <c r="AT497" s="119"/>
      <c r="AU497" s="119"/>
      <c r="AV497" s="119"/>
      <c r="AW497" s="119"/>
      <c r="AX497" s="119"/>
      <c r="AY497" s="119"/>
      <c r="AZ497" s="119"/>
      <c r="BA497" s="119"/>
      <c r="BB497" s="119"/>
      <c r="BC497" s="119"/>
      <c r="BD497" s="119"/>
      <c r="BE497" s="5">
        <f>SUM(MC_2[[#This Row],[IS1Inv1M1]:[IS9Inv19M2]])</f>
        <v>0</v>
      </c>
      <c r="BF497" s="119"/>
      <c r="BG497" s="119"/>
      <c r="BH497" s="119"/>
      <c r="BI497" s="119"/>
      <c r="BJ497" s="119"/>
      <c r="BK497" s="119"/>
      <c r="BL497" s="119"/>
    </row>
    <row r="498" spans="1:64">
      <c r="A498" s="119"/>
      <c r="B498" s="194"/>
      <c r="C498" s="195">
        <f>YEAR(MC_2[[#This Row],[Date]])+IF(MONTH(MC_2[[#This Row],[Date]])&gt;=4,1,0)</f>
        <v>1900</v>
      </c>
      <c r="D498" s="116">
        <f>YEAR(MC_2[[#This Row],[Date]])</f>
        <v>1900</v>
      </c>
      <c r="E498" s="196"/>
      <c r="F498" s="119"/>
      <c r="G498" s="5" t="str">
        <f>TEXT(MC_2[[#This Row],[Date]],"mmm-yy")</f>
        <v>Jan-00</v>
      </c>
      <c r="H498" s="5">
        <f>DAY(EOMONTH(MC_2[[#This Row],[Month Year]],0))</f>
        <v>31</v>
      </c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19"/>
      <c r="AH498" s="119"/>
      <c r="AI498" s="119"/>
      <c r="AJ498" s="119"/>
      <c r="AK498" s="119"/>
      <c r="AL498" s="119"/>
      <c r="AM498" s="197"/>
      <c r="AN498" s="197"/>
      <c r="AO498" s="197"/>
      <c r="AP498" s="197"/>
      <c r="AQ498" s="197"/>
      <c r="AR498" s="197"/>
      <c r="AS498" s="119"/>
      <c r="AT498" s="119"/>
      <c r="AU498" s="119"/>
      <c r="AV498" s="119"/>
      <c r="AW498" s="119"/>
      <c r="AX498" s="119"/>
      <c r="AY498" s="119"/>
      <c r="AZ498" s="119"/>
      <c r="BA498" s="119"/>
      <c r="BB498" s="119"/>
      <c r="BC498" s="119"/>
      <c r="BD498" s="119"/>
      <c r="BE498" s="5">
        <f>SUM(MC_2[[#This Row],[IS1Inv1M1]:[IS9Inv19M2]])</f>
        <v>0</v>
      </c>
      <c r="BF498" s="119"/>
      <c r="BG498" s="119"/>
      <c r="BH498" s="119"/>
      <c r="BI498" s="119"/>
      <c r="BJ498" s="119"/>
      <c r="BK498" s="119"/>
      <c r="BL498" s="119"/>
    </row>
    <row r="499" spans="1:64">
      <c r="A499" s="119"/>
      <c r="B499" s="194"/>
      <c r="C499" s="195">
        <f>YEAR(MC_2[[#This Row],[Date]])+IF(MONTH(MC_2[[#This Row],[Date]])&gt;=4,1,0)</f>
        <v>1900</v>
      </c>
      <c r="D499" s="116">
        <f>YEAR(MC_2[[#This Row],[Date]])</f>
        <v>1900</v>
      </c>
      <c r="E499" s="196"/>
      <c r="F499" s="119"/>
      <c r="G499" s="5" t="str">
        <f>TEXT(MC_2[[#This Row],[Date]],"mmm-yy")</f>
        <v>Jan-00</v>
      </c>
      <c r="H499" s="5">
        <f>DAY(EOMONTH(MC_2[[#This Row],[Month Year]],0))</f>
        <v>31</v>
      </c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19"/>
      <c r="AH499" s="119"/>
      <c r="AI499" s="119"/>
      <c r="AJ499" s="119"/>
      <c r="AK499" s="119"/>
      <c r="AL499" s="119"/>
      <c r="AM499" s="197"/>
      <c r="AN499" s="197"/>
      <c r="AO499" s="197"/>
      <c r="AP499" s="197"/>
      <c r="AQ499" s="197"/>
      <c r="AR499" s="197"/>
      <c r="AS499" s="119"/>
      <c r="AT499" s="119"/>
      <c r="AU499" s="119"/>
      <c r="AV499" s="119"/>
      <c r="AW499" s="119"/>
      <c r="AX499" s="119"/>
      <c r="AY499" s="119"/>
      <c r="AZ499" s="119"/>
      <c r="BA499" s="119"/>
      <c r="BB499" s="119"/>
      <c r="BC499" s="119"/>
      <c r="BD499" s="119"/>
      <c r="BE499" s="5">
        <f>SUM(MC_2[[#This Row],[IS1Inv1M1]:[IS9Inv19M2]])</f>
        <v>0</v>
      </c>
      <c r="BF499" s="119"/>
      <c r="BG499" s="119"/>
      <c r="BH499" s="119"/>
      <c r="BI499" s="119"/>
      <c r="BJ499" s="119"/>
      <c r="BK499" s="119"/>
      <c r="BL499" s="119"/>
    </row>
    <row r="500" spans="1:64">
      <c r="A500" s="119"/>
      <c r="B500" s="194"/>
      <c r="C500" s="195">
        <f>YEAR(MC_2[[#This Row],[Date]])+IF(MONTH(MC_2[[#This Row],[Date]])&gt;=4,1,0)</f>
        <v>1900</v>
      </c>
      <c r="D500" s="116">
        <f>YEAR(MC_2[[#This Row],[Date]])</f>
        <v>1900</v>
      </c>
      <c r="E500" s="196"/>
      <c r="F500" s="119"/>
      <c r="G500" s="5" t="str">
        <f>TEXT(MC_2[[#This Row],[Date]],"mmm-yy")</f>
        <v>Jan-00</v>
      </c>
      <c r="H500" s="5">
        <f>DAY(EOMONTH(MC_2[[#This Row],[Month Year]],0))</f>
        <v>31</v>
      </c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19"/>
      <c r="AH500" s="119"/>
      <c r="AI500" s="119"/>
      <c r="AJ500" s="119"/>
      <c r="AK500" s="119"/>
      <c r="AL500" s="119"/>
      <c r="AM500" s="197"/>
      <c r="AN500" s="197"/>
      <c r="AO500" s="197"/>
      <c r="AP500" s="197"/>
      <c r="AQ500" s="197"/>
      <c r="AR500" s="197"/>
      <c r="AS500" s="119"/>
      <c r="AT500" s="119"/>
      <c r="AU500" s="119"/>
      <c r="AV500" s="119"/>
      <c r="AW500" s="119"/>
      <c r="AX500" s="119"/>
      <c r="AY500" s="119"/>
      <c r="AZ500" s="119"/>
      <c r="BA500" s="119"/>
      <c r="BB500" s="119"/>
      <c r="BC500" s="119"/>
      <c r="BD500" s="119"/>
      <c r="BE500" s="5">
        <f>SUM(MC_2[[#This Row],[IS1Inv1M1]:[IS9Inv19M2]])</f>
        <v>0</v>
      </c>
      <c r="BF500" s="119"/>
      <c r="BG500" s="119"/>
      <c r="BH500" s="119"/>
      <c r="BI500" s="119"/>
      <c r="BJ500" s="119"/>
      <c r="BK500" s="119"/>
      <c r="BL500" s="119"/>
    </row>
    <row r="501" spans="1:64">
      <c r="A501" s="119"/>
      <c r="B501" s="194"/>
      <c r="C501" s="195">
        <f>YEAR(MC_2[[#This Row],[Date]])+IF(MONTH(MC_2[[#This Row],[Date]])&gt;=4,1,0)</f>
        <v>1900</v>
      </c>
      <c r="D501" s="116">
        <f>YEAR(MC_2[[#This Row],[Date]])</f>
        <v>1900</v>
      </c>
      <c r="E501" s="196"/>
      <c r="F501" s="119"/>
      <c r="G501" s="5" t="str">
        <f>TEXT(MC_2[[#This Row],[Date]],"mmm-yy")</f>
        <v>Jan-00</v>
      </c>
      <c r="H501" s="5">
        <f>DAY(EOMONTH(MC_2[[#This Row],[Month Year]],0))</f>
        <v>31</v>
      </c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19"/>
      <c r="AH501" s="119"/>
      <c r="AI501" s="119"/>
      <c r="AJ501" s="119"/>
      <c r="AK501" s="119"/>
      <c r="AL501" s="119"/>
      <c r="AM501" s="197"/>
      <c r="AN501" s="197"/>
      <c r="AO501" s="197"/>
      <c r="AP501" s="197"/>
      <c r="AQ501" s="197"/>
      <c r="AR501" s="197"/>
      <c r="AS501" s="119"/>
      <c r="AT501" s="119"/>
      <c r="AU501" s="119"/>
      <c r="AV501" s="119"/>
      <c r="AW501" s="119"/>
      <c r="AX501" s="119"/>
      <c r="AY501" s="119"/>
      <c r="AZ501" s="119"/>
      <c r="BA501" s="119"/>
      <c r="BB501" s="119"/>
      <c r="BC501" s="119"/>
      <c r="BD501" s="119"/>
      <c r="BE501" s="5">
        <f>SUM(MC_2[[#This Row],[IS1Inv1M1]:[IS9Inv19M2]])</f>
        <v>0</v>
      </c>
      <c r="BF501" s="119"/>
      <c r="BG501" s="119"/>
      <c r="BH501" s="119"/>
      <c r="BI501" s="119"/>
      <c r="BJ501" s="119"/>
      <c r="BK501" s="119"/>
      <c r="BL501" s="119"/>
    </row>
    <row r="502" spans="1:64">
      <c r="A502" s="119"/>
      <c r="B502" s="194"/>
      <c r="C502" s="195">
        <f>YEAR(MC_2[[#This Row],[Date]])+IF(MONTH(MC_2[[#This Row],[Date]])&gt;=4,1,0)</f>
        <v>1900</v>
      </c>
      <c r="D502" s="116">
        <f>YEAR(MC_2[[#This Row],[Date]])</f>
        <v>1900</v>
      </c>
      <c r="E502" s="196"/>
      <c r="F502" s="119"/>
      <c r="G502" s="5" t="str">
        <f>TEXT(MC_2[[#This Row],[Date]],"mmm-yy")</f>
        <v>Jan-00</v>
      </c>
      <c r="H502" s="5">
        <f>DAY(EOMONTH(MC_2[[#This Row],[Month Year]],0))</f>
        <v>31</v>
      </c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19"/>
      <c r="AH502" s="119"/>
      <c r="AI502" s="119"/>
      <c r="AJ502" s="119"/>
      <c r="AK502" s="119"/>
      <c r="AL502" s="119"/>
      <c r="AM502" s="197"/>
      <c r="AN502" s="197"/>
      <c r="AO502" s="197"/>
      <c r="AP502" s="197"/>
      <c r="AQ502" s="197"/>
      <c r="AR502" s="197"/>
      <c r="AS502" s="119"/>
      <c r="AT502" s="119"/>
      <c r="AU502" s="119"/>
      <c r="AV502" s="119"/>
      <c r="AW502" s="119"/>
      <c r="AX502" s="119"/>
      <c r="AY502" s="119"/>
      <c r="AZ502" s="119"/>
      <c r="BA502" s="119"/>
      <c r="BB502" s="119"/>
      <c r="BC502" s="119"/>
      <c r="BD502" s="119"/>
      <c r="BE502" s="5">
        <f>SUM(MC_2[[#This Row],[IS1Inv1M1]:[IS9Inv19M2]])</f>
        <v>0</v>
      </c>
      <c r="BF502" s="119"/>
      <c r="BG502" s="119"/>
      <c r="BH502" s="119"/>
      <c r="BI502" s="119"/>
      <c r="BJ502" s="119"/>
      <c r="BK502" s="119"/>
      <c r="BL502" s="119"/>
    </row>
  </sheetData>
  <phoneticPr fontId="9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FAB2-78BA-48F0-BB2D-2FBF3457C0D7}">
  <dimension ref="A1:AO270"/>
  <sheetViews>
    <sheetView topLeftCell="A2" zoomScale="86" zoomScaleNormal="86" workbookViewId="0">
      <pane xSplit="2" ySplit="1" topLeftCell="C213" activePane="bottomRight" state="frozen"/>
      <selection pane="topRight" activeCell="C2" sqref="C2"/>
      <selection pane="bottomLeft" activeCell="A3" sqref="A3"/>
      <selection pane="bottomRight" activeCell="N207" sqref="N207"/>
    </sheetView>
  </sheetViews>
  <sheetFormatPr defaultColWidth="8.85546875" defaultRowHeight="15"/>
  <cols>
    <col min="1" max="1" width="13.140625" customWidth="1"/>
    <col min="2" max="2" width="11.140625" customWidth="1"/>
    <col min="3" max="6" width="13.140625" customWidth="1"/>
    <col min="7" max="7" width="10.85546875" style="5" customWidth="1"/>
    <col min="8" max="8" width="9.140625" style="5"/>
    <col min="10" max="34" width="13.140625" customWidth="1"/>
    <col min="35" max="36" width="11.85546875" bestFit="1" customWidth="1"/>
    <col min="37" max="40" width="13.140625" customWidth="1"/>
    <col min="41" max="41" width="16.140625" customWidth="1"/>
    <col min="42" max="42" width="48.140625" customWidth="1"/>
  </cols>
  <sheetData>
    <row r="1" spans="1:41" hidden="1">
      <c r="AM1" s="5"/>
    </row>
    <row r="2" spans="1:41" s="44" customFormat="1" ht="25.5">
      <c r="A2" s="110" t="s">
        <v>6</v>
      </c>
      <c r="B2" s="111" t="s">
        <v>68</v>
      </c>
      <c r="C2" s="110" t="s">
        <v>113</v>
      </c>
      <c r="D2" s="110" t="s">
        <v>114</v>
      </c>
      <c r="E2" s="110" t="s">
        <v>1144</v>
      </c>
      <c r="F2" s="110" t="s">
        <v>309</v>
      </c>
      <c r="G2" s="110" t="s">
        <v>71</v>
      </c>
      <c r="H2" s="110" t="s">
        <v>47</v>
      </c>
      <c r="I2" s="110" t="s">
        <v>1145</v>
      </c>
      <c r="J2" s="110" t="s">
        <v>1146</v>
      </c>
      <c r="K2" s="141" t="s">
        <v>117</v>
      </c>
      <c r="L2" s="141" t="s">
        <v>118</v>
      </c>
      <c r="M2" s="141" t="s">
        <v>119</v>
      </c>
      <c r="N2" s="141" t="s">
        <v>120</v>
      </c>
      <c r="O2" s="141" t="s">
        <v>121</v>
      </c>
      <c r="P2" s="141" t="s">
        <v>122</v>
      </c>
      <c r="Q2" s="141" t="s">
        <v>123</v>
      </c>
      <c r="R2" s="141" t="s">
        <v>124</v>
      </c>
      <c r="S2" s="141" t="s">
        <v>1147</v>
      </c>
      <c r="T2" s="141" t="s">
        <v>1148</v>
      </c>
      <c r="U2" s="141" t="s">
        <v>1149</v>
      </c>
      <c r="V2" s="141" t="s">
        <v>1150</v>
      </c>
      <c r="W2" s="141" t="s">
        <v>1151</v>
      </c>
      <c r="X2" s="141" t="s">
        <v>1152</v>
      </c>
      <c r="Y2" s="141" t="s">
        <v>1153</v>
      </c>
      <c r="Z2" s="141" t="s">
        <v>1154</v>
      </c>
      <c r="AA2" s="49" t="s">
        <v>1155</v>
      </c>
      <c r="AB2" s="49" t="s">
        <v>1156</v>
      </c>
      <c r="AC2" s="49" t="s">
        <v>1157</v>
      </c>
      <c r="AD2" s="49" t="s">
        <v>1158</v>
      </c>
      <c r="AE2" s="49" t="s">
        <v>1159</v>
      </c>
      <c r="AF2" s="49" t="s">
        <v>1160</v>
      </c>
      <c r="AG2" s="49" t="s">
        <v>1161</v>
      </c>
      <c r="AH2" s="49" t="s">
        <v>1162</v>
      </c>
      <c r="AI2" s="49" t="s">
        <v>1163</v>
      </c>
      <c r="AJ2" s="49" t="s">
        <v>1164</v>
      </c>
      <c r="AK2" s="49" t="s">
        <v>1165</v>
      </c>
      <c r="AL2" s="49" t="s">
        <v>1166</v>
      </c>
      <c r="AM2" s="110" t="s">
        <v>1201</v>
      </c>
      <c r="AN2" s="110" t="s">
        <v>1202</v>
      </c>
      <c r="AO2" s="110" t="s">
        <v>1174</v>
      </c>
    </row>
    <row r="3" spans="1:41">
      <c r="A3" s="112">
        <v>1</v>
      </c>
      <c r="B3" s="113">
        <v>45474</v>
      </c>
      <c r="C3" s="114">
        <f>YEAR(GC[[#This Row],[Date]])+IF(MONTH(GC[[#This Row],[Date]])&gt;=4,1,0)</f>
        <v>2025</v>
      </c>
      <c r="D3" s="115">
        <f>YEAR(GC[[#This Row],[Date]])</f>
        <v>2024</v>
      </c>
      <c r="E3" s="112" t="s">
        <v>326</v>
      </c>
      <c r="F3" s="112" t="s">
        <v>326</v>
      </c>
      <c r="G3" s="116" t="str">
        <f>TEXT(GC[[#This Row],[Date]],"mmm-yy")</f>
        <v>Jul-24</v>
      </c>
      <c r="H3" s="116">
        <f>DAY(EOMONTH(GC[[#This Row],[Month Year]],0))</f>
        <v>31</v>
      </c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5">
        <f>SUM(GC[[#This Row],[IS1Inv1M1]:[IS4Inv10M2]])</f>
        <v>0</v>
      </c>
      <c r="AN3" s="112"/>
      <c r="AO3" s="118"/>
    </row>
    <row r="4" spans="1:41">
      <c r="A4" s="119">
        <v>2</v>
      </c>
      <c r="B4" s="113">
        <f>B3+1</f>
        <v>45475</v>
      </c>
      <c r="C4" s="114">
        <f>YEAR(GC[[#This Row],[Date]])+IF(MONTH(GC[[#This Row],[Date]])&gt;=4,1,0)</f>
        <v>2025</v>
      </c>
      <c r="D4" s="115">
        <f>YEAR(GC[[#This Row],[Date]])</f>
        <v>2024</v>
      </c>
      <c r="E4" s="112" t="s">
        <v>326</v>
      </c>
      <c r="F4" s="112" t="s">
        <v>326</v>
      </c>
      <c r="G4" s="116" t="str">
        <f>TEXT(GC[[#This Row],[Date]],"mmm-yy")</f>
        <v>Jul-24</v>
      </c>
      <c r="H4" s="116">
        <f>DAY(EOMONTH(GC[[#This Row],[Month Year]],0))</f>
        <v>31</v>
      </c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5">
        <f>SUM(GC[[#This Row],[IS1Inv1M1]:[IS4Inv10M2]])</f>
        <v>0</v>
      </c>
      <c r="AN4" s="119"/>
      <c r="AO4" s="118"/>
    </row>
    <row r="5" spans="1:41">
      <c r="A5" s="119">
        <v>3</v>
      </c>
      <c r="B5" s="113">
        <f t="shared" ref="B5:B68" si="0">B4+1</f>
        <v>45476</v>
      </c>
      <c r="C5" s="114">
        <f>YEAR(GC[[#This Row],[Date]])+IF(MONTH(GC[[#This Row],[Date]])&gt;=4,1,0)</f>
        <v>2025</v>
      </c>
      <c r="D5" s="115">
        <f>YEAR(GC[[#This Row],[Date]])</f>
        <v>2024</v>
      </c>
      <c r="E5" s="112" t="s">
        <v>326</v>
      </c>
      <c r="F5" s="112" t="s">
        <v>326</v>
      </c>
      <c r="G5" s="116" t="str">
        <f>TEXT(GC[[#This Row],[Date]],"mmm-yy")</f>
        <v>Jul-24</v>
      </c>
      <c r="H5" s="116">
        <f>DAY(EOMONTH(GC[[#This Row],[Month Year]],0))</f>
        <v>31</v>
      </c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5">
        <f>SUM(GC[[#This Row],[IS1Inv1M1]:[IS4Inv10M2]])</f>
        <v>0</v>
      </c>
      <c r="AN5" s="119"/>
      <c r="AO5" s="119"/>
    </row>
    <row r="6" spans="1:41">
      <c r="A6" s="119">
        <v>4</v>
      </c>
      <c r="B6" s="113">
        <f t="shared" si="0"/>
        <v>45477</v>
      </c>
      <c r="C6" s="114">
        <f>YEAR(GC[[#This Row],[Date]])+IF(MONTH(GC[[#This Row],[Date]])&gt;=4,1,0)</f>
        <v>2025</v>
      </c>
      <c r="D6" s="115">
        <f>YEAR(GC[[#This Row],[Date]])</f>
        <v>2024</v>
      </c>
      <c r="E6" s="112" t="s">
        <v>326</v>
      </c>
      <c r="F6" s="112" t="s">
        <v>326</v>
      </c>
      <c r="G6" s="116" t="str">
        <f>TEXT(GC[[#This Row],[Date]],"mmm-yy")</f>
        <v>Jul-24</v>
      </c>
      <c r="H6" s="116">
        <f>DAY(EOMONTH(GC[[#This Row],[Month Year]],0))</f>
        <v>31</v>
      </c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5">
        <f>SUM(GC[[#This Row],[IS1Inv1M1]:[IS4Inv10M2]])</f>
        <v>0</v>
      </c>
      <c r="AN6" s="119"/>
      <c r="AO6" s="119"/>
    </row>
    <row r="7" spans="1:41">
      <c r="A7" s="119">
        <v>5</v>
      </c>
      <c r="B7" s="113">
        <f t="shared" si="0"/>
        <v>45478</v>
      </c>
      <c r="C7" s="114">
        <f>YEAR(GC[[#This Row],[Date]])+IF(MONTH(GC[[#This Row],[Date]])&gt;=4,1,0)</f>
        <v>2025</v>
      </c>
      <c r="D7" s="115">
        <f>YEAR(GC[[#This Row],[Date]])</f>
        <v>2024</v>
      </c>
      <c r="E7" s="112" t="s">
        <v>326</v>
      </c>
      <c r="F7" s="112" t="s">
        <v>326</v>
      </c>
      <c r="G7" s="116" t="str">
        <f>TEXT(GC[[#This Row],[Date]],"mmm-yy")</f>
        <v>Jul-24</v>
      </c>
      <c r="H7" s="116">
        <f>DAY(EOMONTH(GC[[#This Row],[Month Year]],0))</f>
        <v>31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5">
        <f>SUM(GC[[#This Row],[IS1Inv1M1]:[IS4Inv10M2]])</f>
        <v>0</v>
      </c>
      <c r="AN7" s="119"/>
      <c r="AO7" s="119"/>
    </row>
    <row r="8" spans="1:41">
      <c r="A8" s="119">
        <v>6</v>
      </c>
      <c r="B8" s="113">
        <f t="shared" si="0"/>
        <v>45479</v>
      </c>
      <c r="C8" s="114">
        <f>YEAR(GC[[#This Row],[Date]])+IF(MONTH(GC[[#This Row],[Date]])&gt;=4,1,0)</f>
        <v>2025</v>
      </c>
      <c r="D8" s="115">
        <f>YEAR(GC[[#This Row],[Date]])</f>
        <v>2024</v>
      </c>
      <c r="E8" s="112" t="s">
        <v>326</v>
      </c>
      <c r="F8" s="112" t="s">
        <v>326</v>
      </c>
      <c r="G8" s="116" t="str">
        <f>TEXT(GC[[#This Row],[Date]],"mmm-yy")</f>
        <v>Jul-24</v>
      </c>
      <c r="H8" s="116">
        <f>DAY(EOMONTH(GC[[#This Row],[Month Year]],0))</f>
        <v>31</v>
      </c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5">
        <f>SUM(GC[[#This Row],[IS1Inv1M1]:[IS4Inv10M2]])</f>
        <v>0</v>
      </c>
      <c r="AN8" s="119"/>
      <c r="AO8" s="119"/>
    </row>
    <row r="9" spans="1:41">
      <c r="A9" s="119">
        <v>7</v>
      </c>
      <c r="B9" s="113">
        <f t="shared" si="0"/>
        <v>45480</v>
      </c>
      <c r="C9" s="114">
        <f>YEAR(GC[[#This Row],[Date]])+IF(MONTH(GC[[#This Row],[Date]])&gt;=4,1,0)</f>
        <v>2025</v>
      </c>
      <c r="D9" s="115">
        <f>YEAR(GC[[#This Row],[Date]])</f>
        <v>2024</v>
      </c>
      <c r="E9" s="112" t="s">
        <v>326</v>
      </c>
      <c r="F9" s="112" t="s">
        <v>326</v>
      </c>
      <c r="G9" s="116" t="str">
        <f>TEXT(GC[[#This Row],[Date]],"mmm-yy")</f>
        <v>Jul-24</v>
      </c>
      <c r="H9" s="116">
        <f>DAY(EOMONTH(GC[[#This Row],[Month Year]],0))</f>
        <v>31</v>
      </c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5">
        <f>SUM(GC[[#This Row],[IS1Inv1M1]:[IS4Inv10M2]])</f>
        <v>0</v>
      </c>
      <c r="AN9" s="119"/>
      <c r="AO9" s="119"/>
    </row>
    <row r="10" spans="1:41">
      <c r="A10" s="119">
        <v>8</v>
      </c>
      <c r="B10" s="113">
        <f t="shared" si="0"/>
        <v>45481</v>
      </c>
      <c r="C10" s="114">
        <f>YEAR(GC[[#This Row],[Date]])+IF(MONTH(GC[[#This Row],[Date]])&gt;=4,1,0)</f>
        <v>2025</v>
      </c>
      <c r="D10" s="115">
        <f>YEAR(GC[[#This Row],[Date]])</f>
        <v>2024</v>
      </c>
      <c r="E10" s="112" t="s">
        <v>326</v>
      </c>
      <c r="F10" s="112" t="s">
        <v>326</v>
      </c>
      <c r="G10" s="116" t="str">
        <f>TEXT(GC[[#This Row],[Date]],"mmm-yy")</f>
        <v>Jul-24</v>
      </c>
      <c r="H10" s="116">
        <f>DAY(EOMONTH(GC[[#This Row],[Month Year]],0))</f>
        <v>31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5">
        <f>SUM(GC[[#This Row],[IS1Inv1M1]:[IS4Inv10M2]])</f>
        <v>0</v>
      </c>
      <c r="AN10" s="119"/>
      <c r="AO10" s="119"/>
    </row>
    <row r="11" spans="1:41">
      <c r="A11" s="119">
        <v>9</v>
      </c>
      <c r="B11" s="113">
        <f t="shared" si="0"/>
        <v>45482</v>
      </c>
      <c r="C11" s="114">
        <f>YEAR(GC[[#This Row],[Date]])+IF(MONTH(GC[[#This Row],[Date]])&gt;=4,1,0)</f>
        <v>2025</v>
      </c>
      <c r="D11" s="115">
        <f>YEAR(GC[[#This Row],[Date]])</f>
        <v>2024</v>
      </c>
      <c r="E11" s="112" t="s">
        <v>326</v>
      </c>
      <c r="F11" s="112" t="s">
        <v>326</v>
      </c>
      <c r="G11" s="116" t="str">
        <f>TEXT(GC[[#This Row],[Date]],"mmm-yy")</f>
        <v>Jul-24</v>
      </c>
      <c r="H11" s="116">
        <f>DAY(EOMONTH(GC[[#This Row],[Month Year]],0))</f>
        <v>31</v>
      </c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5">
        <f>SUM(GC[[#This Row],[IS1Inv1M1]:[IS4Inv10M2]])</f>
        <v>0</v>
      </c>
      <c r="AN11" s="119"/>
      <c r="AO11" s="119"/>
    </row>
    <row r="12" spans="1:41">
      <c r="A12" s="119">
        <v>10</v>
      </c>
      <c r="B12" s="113">
        <f t="shared" si="0"/>
        <v>45483</v>
      </c>
      <c r="C12" s="114">
        <f>YEAR(GC[[#This Row],[Date]])+IF(MONTH(GC[[#This Row],[Date]])&gt;=4,1,0)</f>
        <v>2025</v>
      </c>
      <c r="D12" s="115">
        <f>YEAR(GC[[#This Row],[Date]])</f>
        <v>2024</v>
      </c>
      <c r="E12" s="112" t="s">
        <v>326</v>
      </c>
      <c r="F12" s="112" t="s">
        <v>326</v>
      </c>
      <c r="G12" s="116" t="str">
        <f>TEXT(GC[[#This Row],[Date]],"mmm-yy")</f>
        <v>Jul-24</v>
      </c>
      <c r="H12" s="116">
        <f>DAY(EOMONTH(GC[[#This Row],[Month Year]],0))</f>
        <v>31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5">
        <f>SUM(GC[[#This Row],[IS1Inv1M1]:[IS4Inv10M2]])</f>
        <v>0</v>
      </c>
      <c r="AN12" s="119"/>
      <c r="AO12" s="119"/>
    </row>
    <row r="13" spans="1:41">
      <c r="A13" s="119">
        <v>11</v>
      </c>
      <c r="B13" s="113">
        <f t="shared" si="0"/>
        <v>45484</v>
      </c>
      <c r="C13" s="114">
        <f>YEAR(GC[[#This Row],[Date]])+IF(MONTH(GC[[#This Row],[Date]])&gt;=4,1,0)</f>
        <v>2025</v>
      </c>
      <c r="D13" s="115">
        <f>YEAR(GC[[#This Row],[Date]])</f>
        <v>2024</v>
      </c>
      <c r="E13" s="112" t="s">
        <v>326</v>
      </c>
      <c r="F13" s="112" t="s">
        <v>326</v>
      </c>
      <c r="G13" s="116" t="str">
        <f>TEXT(GC[[#This Row],[Date]],"mmm-yy")</f>
        <v>Jul-24</v>
      </c>
      <c r="H13" s="116">
        <f>DAY(EOMONTH(GC[[#This Row],[Month Year]],0))</f>
        <v>31</v>
      </c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5">
        <f>SUM(GC[[#This Row],[IS1Inv1M1]:[IS4Inv10M2]])</f>
        <v>0</v>
      </c>
      <c r="AN13" s="119"/>
      <c r="AO13" s="119"/>
    </row>
    <row r="14" spans="1:41">
      <c r="A14" s="119">
        <v>12</v>
      </c>
      <c r="B14" s="113">
        <f t="shared" si="0"/>
        <v>45485</v>
      </c>
      <c r="C14" s="114">
        <f>YEAR(GC[[#This Row],[Date]])+IF(MONTH(GC[[#This Row],[Date]])&gt;=4,1,0)</f>
        <v>2025</v>
      </c>
      <c r="D14" s="115">
        <f>YEAR(GC[[#This Row],[Date]])</f>
        <v>2024</v>
      </c>
      <c r="E14" s="112" t="s">
        <v>326</v>
      </c>
      <c r="F14" s="112" t="s">
        <v>326</v>
      </c>
      <c r="G14" s="116" t="str">
        <f>TEXT(GC[[#This Row],[Date]],"mmm-yy")</f>
        <v>Jul-24</v>
      </c>
      <c r="H14" s="116">
        <f>DAY(EOMONTH(GC[[#This Row],[Month Year]],0))</f>
        <v>31</v>
      </c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5">
        <f>SUM(GC[[#This Row],[IS1Inv1M1]:[IS4Inv10M2]])</f>
        <v>0</v>
      </c>
      <c r="AN14" s="119"/>
      <c r="AO14" s="119"/>
    </row>
    <row r="15" spans="1:41">
      <c r="A15" s="119">
        <v>13</v>
      </c>
      <c r="B15" s="113">
        <f t="shared" si="0"/>
        <v>45486</v>
      </c>
      <c r="C15" s="114">
        <f>YEAR(GC[[#This Row],[Date]])+IF(MONTH(GC[[#This Row],[Date]])&gt;=4,1,0)</f>
        <v>2025</v>
      </c>
      <c r="D15" s="115">
        <f>YEAR(GC[[#This Row],[Date]])</f>
        <v>2024</v>
      </c>
      <c r="E15" s="112" t="s">
        <v>326</v>
      </c>
      <c r="F15" s="112" t="s">
        <v>326</v>
      </c>
      <c r="G15" s="116" t="str">
        <f>TEXT(GC[[#This Row],[Date]],"mmm-yy")</f>
        <v>Jul-24</v>
      </c>
      <c r="H15" s="116">
        <f>DAY(EOMONTH(GC[[#This Row],[Month Year]],0))</f>
        <v>31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5">
        <f>SUM(GC[[#This Row],[IS1Inv1M1]:[IS4Inv10M2]])</f>
        <v>0</v>
      </c>
      <c r="AN15" s="119"/>
      <c r="AO15" s="119"/>
    </row>
    <row r="16" spans="1:41">
      <c r="A16" s="119">
        <v>14</v>
      </c>
      <c r="B16" s="113">
        <f t="shared" si="0"/>
        <v>45487</v>
      </c>
      <c r="C16" s="114">
        <f>YEAR(GC[[#This Row],[Date]])+IF(MONTH(GC[[#This Row],[Date]])&gt;=4,1,0)</f>
        <v>2025</v>
      </c>
      <c r="D16" s="115">
        <f>YEAR(GC[[#This Row],[Date]])</f>
        <v>2024</v>
      </c>
      <c r="E16" s="112" t="s">
        <v>326</v>
      </c>
      <c r="F16" s="112" t="s">
        <v>326</v>
      </c>
      <c r="G16" s="116" t="str">
        <f>TEXT(GC[[#This Row],[Date]],"mmm-yy")</f>
        <v>Jul-24</v>
      </c>
      <c r="H16" s="116">
        <f>DAY(EOMONTH(GC[[#This Row],[Month Year]],0))</f>
        <v>31</v>
      </c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5">
        <f>SUM(GC[[#This Row],[IS1Inv1M1]:[IS4Inv10M2]])</f>
        <v>0</v>
      </c>
      <c r="AN16" s="119"/>
      <c r="AO16" s="119"/>
    </row>
    <row r="17" spans="1:41">
      <c r="A17" s="119">
        <v>15</v>
      </c>
      <c r="B17" s="113">
        <f t="shared" si="0"/>
        <v>45488</v>
      </c>
      <c r="C17" s="114">
        <f>YEAR(GC[[#This Row],[Date]])+IF(MONTH(GC[[#This Row],[Date]])&gt;=4,1,0)</f>
        <v>2025</v>
      </c>
      <c r="D17" s="115">
        <f>YEAR(GC[[#This Row],[Date]])</f>
        <v>2024</v>
      </c>
      <c r="E17" s="112" t="s">
        <v>326</v>
      </c>
      <c r="F17" s="112" t="s">
        <v>326</v>
      </c>
      <c r="G17" s="116" t="str">
        <f>TEXT(GC[[#This Row],[Date]],"mmm-yy")</f>
        <v>Jul-24</v>
      </c>
      <c r="H17" s="116">
        <f>DAY(EOMONTH(GC[[#This Row],[Month Year]],0))</f>
        <v>31</v>
      </c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5">
        <f>SUM(GC[[#This Row],[IS1Inv1M1]:[IS4Inv10M2]])</f>
        <v>0</v>
      </c>
      <c r="AN17" s="119"/>
      <c r="AO17" s="119"/>
    </row>
    <row r="18" spans="1:41">
      <c r="A18" s="119">
        <v>16</v>
      </c>
      <c r="B18" s="113">
        <f t="shared" si="0"/>
        <v>45489</v>
      </c>
      <c r="C18" s="114">
        <f>YEAR(GC[[#This Row],[Date]])+IF(MONTH(GC[[#This Row],[Date]])&gt;=4,1,0)</f>
        <v>2025</v>
      </c>
      <c r="D18" s="115">
        <f>YEAR(GC[[#This Row],[Date]])</f>
        <v>2024</v>
      </c>
      <c r="E18" s="112" t="s">
        <v>326</v>
      </c>
      <c r="F18" s="112" t="s">
        <v>326</v>
      </c>
      <c r="G18" s="116" t="str">
        <f>TEXT(GC[[#This Row],[Date]],"mmm-yy")</f>
        <v>Jul-24</v>
      </c>
      <c r="H18" s="116">
        <f>DAY(EOMONTH(GC[[#This Row],[Month Year]],0))</f>
        <v>31</v>
      </c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5">
        <f>SUM(GC[[#This Row],[IS1Inv1M1]:[IS4Inv10M2]])</f>
        <v>0</v>
      </c>
      <c r="AN18" s="119"/>
      <c r="AO18" s="119"/>
    </row>
    <row r="19" spans="1:41">
      <c r="A19" s="119">
        <v>17</v>
      </c>
      <c r="B19" s="113">
        <f t="shared" si="0"/>
        <v>45490</v>
      </c>
      <c r="C19" s="114">
        <f>YEAR(GC[[#This Row],[Date]])+IF(MONTH(GC[[#This Row],[Date]])&gt;=4,1,0)</f>
        <v>2025</v>
      </c>
      <c r="D19" s="115">
        <f>YEAR(GC[[#This Row],[Date]])</f>
        <v>2024</v>
      </c>
      <c r="E19" s="112" t="s">
        <v>326</v>
      </c>
      <c r="F19" s="112" t="s">
        <v>326</v>
      </c>
      <c r="G19" s="116" t="str">
        <f>TEXT(GC[[#This Row],[Date]],"mmm-yy")</f>
        <v>Jul-24</v>
      </c>
      <c r="H19" s="116">
        <f>DAY(EOMONTH(GC[[#This Row],[Month Year]],0))</f>
        <v>31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5">
        <f>SUM(GC[[#This Row],[IS1Inv1M1]:[IS4Inv10M2]])</f>
        <v>0</v>
      </c>
      <c r="AN19" s="119"/>
      <c r="AO19" s="119"/>
    </row>
    <row r="20" spans="1:41">
      <c r="A20" s="119">
        <v>18</v>
      </c>
      <c r="B20" s="113">
        <f t="shared" si="0"/>
        <v>45491</v>
      </c>
      <c r="C20" s="114">
        <f>YEAR(GC[[#This Row],[Date]])+IF(MONTH(GC[[#This Row],[Date]])&gt;=4,1,0)</f>
        <v>2025</v>
      </c>
      <c r="D20" s="115">
        <f>YEAR(GC[[#This Row],[Date]])</f>
        <v>2024</v>
      </c>
      <c r="E20" s="112" t="s">
        <v>326</v>
      </c>
      <c r="F20" s="112" t="s">
        <v>326</v>
      </c>
      <c r="G20" s="116" t="str">
        <f>TEXT(GC[[#This Row],[Date]],"mmm-yy")</f>
        <v>Jul-24</v>
      </c>
      <c r="H20" s="116">
        <f>DAY(EOMONTH(GC[[#This Row],[Month Year]],0))</f>
        <v>31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5">
        <f>SUM(GC[[#This Row],[IS1Inv1M1]:[IS4Inv10M2]])</f>
        <v>0</v>
      </c>
      <c r="AN20" s="119"/>
      <c r="AO20" s="119"/>
    </row>
    <row r="21" spans="1:41">
      <c r="A21" s="119">
        <v>19</v>
      </c>
      <c r="B21" s="113">
        <f t="shared" si="0"/>
        <v>45492</v>
      </c>
      <c r="C21" s="114">
        <f>YEAR(GC[[#This Row],[Date]])+IF(MONTH(GC[[#This Row],[Date]])&gt;=4,1,0)</f>
        <v>2025</v>
      </c>
      <c r="D21" s="115">
        <f>YEAR(GC[[#This Row],[Date]])</f>
        <v>2024</v>
      </c>
      <c r="E21" s="112" t="s">
        <v>326</v>
      </c>
      <c r="F21" s="112" t="s">
        <v>326</v>
      </c>
      <c r="G21" s="116" t="str">
        <f>TEXT(GC[[#This Row],[Date]],"mmm-yy")</f>
        <v>Jul-24</v>
      </c>
      <c r="H21" s="116">
        <f>DAY(EOMONTH(GC[[#This Row],[Month Year]],0))</f>
        <v>31</v>
      </c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5">
        <f>SUM(GC[[#This Row],[IS1Inv1M1]:[IS4Inv10M2]])</f>
        <v>0</v>
      </c>
      <c r="AN21" s="119"/>
      <c r="AO21" s="119"/>
    </row>
    <row r="22" spans="1:41">
      <c r="A22" s="119">
        <v>20</v>
      </c>
      <c r="B22" s="113">
        <f t="shared" si="0"/>
        <v>45493</v>
      </c>
      <c r="C22" s="114">
        <f>YEAR(GC[[#This Row],[Date]])+IF(MONTH(GC[[#This Row],[Date]])&gt;=4,1,0)</f>
        <v>2025</v>
      </c>
      <c r="D22" s="115">
        <f>YEAR(GC[[#This Row],[Date]])</f>
        <v>2024</v>
      </c>
      <c r="E22" s="112" t="s">
        <v>326</v>
      </c>
      <c r="F22" s="112" t="s">
        <v>326</v>
      </c>
      <c r="G22" s="116" t="str">
        <f>TEXT(GC[[#This Row],[Date]],"mmm-yy")</f>
        <v>Jul-24</v>
      </c>
      <c r="H22" s="116">
        <f>DAY(EOMONTH(GC[[#This Row],[Month Year]],0))</f>
        <v>31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5">
        <f>SUM(GC[[#This Row],[IS1Inv1M1]:[IS4Inv10M2]])</f>
        <v>0</v>
      </c>
      <c r="AN22" s="119"/>
      <c r="AO22" s="119"/>
    </row>
    <row r="23" spans="1:41">
      <c r="A23" s="119">
        <v>21</v>
      </c>
      <c r="B23" s="113">
        <f t="shared" si="0"/>
        <v>45494</v>
      </c>
      <c r="C23" s="114">
        <f>YEAR(GC[[#This Row],[Date]])+IF(MONTH(GC[[#This Row],[Date]])&gt;=4,1,0)</f>
        <v>2025</v>
      </c>
      <c r="D23" s="115">
        <f>YEAR(GC[[#This Row],[Date]])</f>
        <v>2024</v>
      </c>
      <c r="E23" s="112" t="s">
        <v>326</v>
      </c>
      <c r="F23" s="112" t="s">
        <v>326</v>
      </c>
      <c r="G23" s="116" t="str">
        <f>TEXT(GC[[#This Row],[Date]],"mmm-yy")</f>
        <v>Jul-24</v>
      </c>
      <c r="H23" s="116">
        <f>DAY(EOMONTH(GC[[#This Row],[Month Year]],0))</f>
        <v>31</v>
      </c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5">
        <f>SUM(GC[[#This Row],[IS1Inv1M1]:[IS4Inv10M2]])</f>
        <v>0</v>
      </c>
      <c r="AN23" s="119"/>
      <c r="AO23" s="119"/>
    </row>
    <row r="24" spans="1:41">
      <c r="A24" s="119">
        <v>22</v>
      </c>
      <c r="B24" s="113">
        <f t="shared" si="0"/>
        <v>45495</v>
      </c>
      <c r="C24" s="114">
        <f>YEAR(GC[[#This Row],[Date]])+IF(MONTH(GC[[#This Row],[Date]])&gt;=4,1,0)</f>
        <v>2025</v>
      </c>
      <c r="D24" s="115">
        <f>YEAR(GC[[#This Row],[Date]])</f>
        <v>2024</v>
      </c>
      <c r="E24" s="112" t="s">
        <v>326</v>
      </c>
      <c r="F24" s="112" t="s">
        <v>326</v>
      </c>
      <c r="G24" s="116" t="str">
        <f>TEXT(GC[[#This Row],[Date]],"mmm-yy")</f>
        <v>Jul-24</v>
      </c>
      <c r="H24" s="116">
        <f>DAY(EOMONTH(GC[[#This Row],[Month Year]],0))</f>
        <v>31</v>
      </c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5">
        <f>SUM(GC[[#This Row],[IS1Inv1M1]:[IS4Inv10M2]])</f>
        <v>0</v>
      </c>
      <c r="AN24" s="119"/>
      <c r="AO24" s="119"/>
    </row>
    <row r="25" spans="1:41">
      <c r="A25" s="119">
        <v>23</v>
      </c>
      <c r="B25" s="113">
        <f t="shared" si="0"/>
        <v>45496</v>
      </c>
      <c r="C25" s="114">
        <f>YEAR(GC[[#This Row],[Date]])+IF(MONTH(GC[[#This Row],[Date]])&gt;=4,1,0)</f>
        <v>2025</v>
      </c>
      <c r="D25" s="115">
        <f>YEAR(GC[[#This Row],[Date]])</f>
        <v>2024</v>
      </c>
      <c r="E25" s="112" t="s">
        <v>326</v>
      </c>
      <c r="F25" s="112" t="s">
        <v>326</v>
      </c>
      <c r="G25" s="116" t="str">
        <f>TEXT(GC[[#This Row],[Date]],"mmm-yy")</f>
        <v>Jul-24</v>
      </c>
      <c r="H25" s="116">
        <f>DAY(EOMONTH(GC[[#This Row],[Month Year]],0))</f>
        <v>31</v>
      </c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5">
        <f>SUM(GC[[#This Row],[IS1Inv1M1]:[IS4Inv10M2]])</f>
        <v>0</v>
      </c>
      <c r="AN25" s="119"/>
      <c r="AO25" s="119"/>
    </row>
    <row r="26" spans="1:41">
      <c r="A26" s="119">
        <v>24</v>
      </c>
      <c r="B26" s="113">
        <f t="shared" si="0"/>
        <v>45497</v>
      </c>
      <c r="C26" s="114">
        <f>YEAR(GC[[#This Row],[Date]])+IF(MONTH(GC[[#This Row],[Date]])&gt;=4,1,0)</f>
        <v>2025</v>
      </c>
      <c r="D26" s="115">
        <f>YEAR(GC[[#This Row],[Date]])</f>
        <v>2024</v>
      </c>
      <c r="E26" s="112" t="s">
        <v>326</v>
      </c>
      <c r="F26" s="112" t="s">
        <v>326</v>
      </c>
      <c r="G26" s="116" t="str">
        <f>TEXT(GC[[#This Row],[Date]],"mmm-yy")</f>
        <v>Jul-24</v>
      </c>
      <c r="H26" s="116">
        <f>DAY(EOMONTH(GC[[#This Row],[Month Year]],0))</f>
        <v>31</v>
      </c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5">
        <f>SUM(GC[[#This Row],[IS1Inv1M1]:[IS4Inv10M2]])</f>
        <v>0</v>
      </c>
      <c r="AN26" s="119"/>
      <c r="AO26" s="119"/>
    </row>
    <row r="27" spans="1:41">
      <c r="A27" s="119">
        <v>25</v>
      </c>
      <c r="B27" s="113">
        <f t="shared" si="0"/>
        <v>45498</v>
      </c>
      <c r="C27" s="114">
        <f>YEAR(GC[[#This Row],[Date]])+IF(MONTH(GC[[#This Row],[Date]])&gt;=4,1,0)</f>
        <v>2025</v>
      </c>
      <c r="D27" s="115">
        <f>YEAR(GC[[#This Row],[Date]])</f>
        <v>2024</v>
      </c>
      <c r="E27" s="112" t="s">
        <v>326</v>
      </c>
      <c r="F27" s="112" t="s">
        <v>326</v>
      </c>
      <c r="G27" s="116" t="str">
        <f>TEXT(GC[[#This Row],[Date]],"mmm-yy")</f>
        <v>Jul-24</v>
      </c>
      <c r="H27" s="116">
        <f>DAY(EOMONTH(GC[[#This Row],[Month Year]],0))</f>
        <v>31</v>
      </c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5">
        <f>SUM(GC[[#This Row],[IS1Inv1M1]:[IS4Inv10M2]])</f>
        <v>0</v>
      </c>
      <c r="AN27" s="119"/>
      <c r="AO27" s="119"/>
    </row>
    <row r="28" spans="1:41">
      <c r="A28" s="119">
        <v>26</v>
      </c>
      <c r="B28" s="113">
        <f t="shared" si="0"/>
        <v>45499</v>
      </c>
      <c r="C28" s="114">
        <f>YEAR(GC[[#This Row],[Date]])+IF(MONTH(GC[[#This Row],[Date]])&gt;=4,1,0)</f>
        <v>2025</v>
      </c>
      <c r="D28" s="115">
        <f>YEAR(GC[[#This Row],[Date]])</f>
        <v>2024</v>
      </c>
      <c r="E28" s="112" t="s">
        <v>326</v>
      </c>
      <c r="F28" s="112" t="s">
        <v>326</v>
      </c>
      <c r="G28" s="116" t="str">
        <f>TEXT(GC[[#This Row],[Date]],"mmm-yy")</f>
        <v>Jul-24</v>
      </c>
      <c r="H28" s="116">
        <f>DAY(EOMONTH(GC[[#This Row],[Month Year]],0))</f>
        <v>31</v>
      </c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5">
        <f>SUM(GC[[#This Row],[IS1Inv1M1]:[IS4Inv10M2]])</f>
        <v>0</v>
      </c>
      <c r="AN28" s="119"/>
      <c r="AO28" s="119"/>
    </row>
    <row r="29" spans="1:41">
      <c r="A29" s="119">
        <v>27</v>
      </c>
      <c r="B29" s="113">
        <f t="shared" si="0"/>
        <v>45500</v>
      </c>
      <c r="C29" s="114">
        <f>YEAR(GC[[#This Row],[Date]])+IF(MONTH(GC[[#This Row],[Date]])&gt;=4,1,0)</f>
        <v>2025</v>
      </c>
      <c r="D29" s="115">
        <f>YEAR(GC[[#This Row],[Date]])</f>
        <v>2024</v>
      </c>
      <c r="E29" s="112" t="s">
        <v>326</v>
      </c>
      <c r="F29" s="112" t="s">
        <v>326</v>
      </c>
      <c r="G29" s="116" t="str">
        <f>TEXT(GC[[#This Row],[Date]],"mmm-yy")</f>
        <v>Jul-24</v>
      </c>
      <c r="H29" s="116">
        <f>DAY(EOMONTH(GC[[#This Row],[Month Year]],0))</f>
        <v>31</v>
      </c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5">
        <f>SUM(GC[[#This Row],[IS1Inv1M1]:[IS4Inv10M2]])</f>
        <v>0</v>
      </c>
      <c r="AN29" s="119"/>
      <c r="AO29" s="119"/>
    </row>
    <row r="30" spans="1:41">
      <c r="A30" s="119">
        <v>28</v>
      </c>
      <c r="B30" s="113">
        <f t="shared" si="0"/>
        <v>45501</v>
      </c>
      <c r="C30" s="114">
        <f>YEAR(GC[[#This Row],[Date]])+IF(MONTH(GC[[#This Row],[Date]])&gt;=4,1,0)</f>
        <v>2025</v>
      </c>
      <c r="D30" s="115">
        <f>YEAR(GC[[#This Row],[Date]])</f>
        <v>2024</v>
      </c>
      <c r="E30" s="112" t="s">
        <v>326</v>
      </c>
      <c r="F30" s="112" t="s">
        <v>326</v>
      </c>
      <c r="G30" s="116" t="str">
        <f>TEXT(GC[[#This Row],[Date]],"mmm-yy")</f>
        <v>Jul-24</v>
      </c>
      <c r="H30" s="116">
        <f>DAY(EOMONTH(GC[[#This Row],[Month Year]],0))</f>
        <v>31</v>
      </c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5">
        <f>SUM(GC[[#This Row],[IS1Inv1M1]:[IS4Inv10M2]])</f>
        <v>0</v>
      </c>
      <c r="AN30" s="119"/>
      <c r="AO30" s="119"/>
    </row>
    <row r="31" spans="1:41">
      <c r="A31" s="119">
        <v>29</v>
      </c>
      <c r="B31" s="113">
        <f t="shared" si="0"/>
        <v>45502</v>
      </c>
      <c r="C31" s="114">
        <f>YEAR(GC[[#This Row],[Date]])+IF(MONTH(GC[[#This Row],[Date]])&gt;=4,1,0)</f>
        <v>2025</v>
      </c>
      <c r="D31" s="115">
        <f>YEAR(GC[[#This Row],[Date]])</f>
        <v>2024</v>
      </c>
      <c r="E31" s="112" t="s">
        <v>326</v>
      </c>
      <c r="F31" s="112" t="s">
        <v>326</v>
      </c>
      <c r="G31" s="116" t="str">
        <f>TEXT(GC[[#This Row],[Date]],"mmm-yy")</f>
        <v>Jul-24</v>
      </c>
      <c r="H31" s="116">
        <f>DAY(EOMONTH(GC[[#This Row],[Month Year]],0))</f>
        <v>31</v>
      </c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5">
        <f>SUM(GC[[#This Row],[IS1Inv1M1]:[IS4Inv10M2]])</f>
        <v>0</v>
      </c>
      <c r="AN31" s="119"/>
      <c r="AO31" s="119"/>
    </row>
    <row r="32" spans="1:41">
      <c r="A32" s="119">
        <v>30</v>
      </c>
      <c r="B32" s="113">
        <f t="shared" si="0"/>
        <v>45503</v>
      </c>
      <c r="C32" s="114">
        <f>YEAR(GC[[#This Row],[Date]])+IF(MONTH(GC[[#This Row],[Date]])&gt;=4,1,0)</f>
        <v>2025</v>
      </c>
      <c r="D32" s="115">
        <f>YEAR(GC[[#This Row],[Date]])</f>
        <v>2024</v>
      </c>
      <c r="E32" s="112" t="s">
        <v>326</v>
      </c>
      <c r="F32" s="112" t="s">
        <v>326</v>
      </c>
      <c r="G32" s="116" t="str">
        <f>TEXT(GC[[#This Row],[Date]],"mmm-yy")</f>
        <v>Jul-24</v>
      </c>
      <c r="H32" s="116">
        <f>DAY(EOMONTH(GC[[#This Row],[Month Year]],0))</f>
        <v>31</v>
      </c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5">
        <f>SUM(GC[[#This Row],[IS1Inv1M1]:[IS4Inv10M2]])</f>
        <v>0</v>
      </c>
      <c r="AN32" s="119"/>
      <c r="AO32" s="119"/>
    </row>
    <row r="33" spans="1:41">
      <c r="A33" s="119">
        <v>31</v>
      </c>
      <c r="B33" s="113">
        <f t="shared" si="0"/>
        <v>45504</v>
      </c>
      <c r="C33" s="114">
        <f>YEAR(GC[[#This Row],[Date]])+IF(MONTH(GC[[#This Row],[Date]])&gt;=4,1,0)</f>
        <v>2025</v>
      </c>
      <c r="D33" s="115">
        <f>YEAR(GC[[#This Row],[Date]])</f>
        <v>2024</v>
      </c>
      <c r="E33" s="112" t="s">
        <v>326</v>
      </c>
      <c r="F33" s="112" t="s">
        <v>326</v>
      </c>
      <c r="G33" s="116" t="str">
        <f>TEXT(GC[[#This Row],[Date]],"mmm-yy")</f>
        <v>Jul-24</v>
      </c>
      <c r="H33" s="116">
        <f>DAY(EOMONTH(GC[[#This Row],[Month Year]],0))</f>
        <v>31</v>
      </c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5">
        <f>SUM(GC[[#This Row],[IS1Inv1M1]:[IS4Inv10M2]])</f>
        <v>0</v>
      </c>
      <c r="AN33" s="119"/>
      <c r="AO33" s="119"/>
    </row>
    <row r="34" spans="1:41">
      <c r="A34" s="119">
        <v>32</v>
      </c>
      <c r="B34" s="113">
        <f t="shared" si="0"/>
        <v>45505</v>
      </c>
      <c r="C34" s="114">
        <f>YEAR(GC[[#This Row],[Date]])+IF(MONTH(GC[[#This Row],[Date]])&gt;=4,1,0)</f>
        <v>2025</v>
      </c>
      <c r="D34" s="115">
        <f>YEAR(GC[[#This Row],[Date]])</f>
        <v>2024</v>
      </c>
      <c r="E34" s="112" t="s">
        <v>326</v>
      </c>
      <c r="F34" s="112" t="s">
        <v>326</v>
      </c>
      <c r="G34" s="116" t="str">
        <f>TEXT(GC[[#This Row],[Date]],"mmm-yy")</f>
        <v>Aug-24</v>
      </c>
      <c r="H34" s="116">
        <f>DAY(EOMONTH(GC[[#This Row],[Month Year]],0))</f>
        <v>31</v>
      </c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5">
        <f>SUM(GC[[#This Row],[IS1Inv1M1]:[IS4Inv10M2]])</f>
        <v>0</v>
      </c>
      <c r="AN34" s="119"/>
      <c r="AO34" s="119"/>
    </row>
    <row r="35" spans="1:41">
      <c r="A35" s="119">
        <v>33</v>
      </c>
      <c r="B35" s="113">
        <f t="shared" si="0"/>
        <v>45506</v>
      </c>
      <c r="C35" s="114">
        <f>YEAR(GC[[#This Row],[Date]])+IF(MONTH(GC[[#This Row],[Date]])&gt;=4,1,0)</f>
        <v>2025</v>
      </c>
      <c r="D35" s="115">
        <f>YEAR(GC[[#This Row],[Date]])</f>
        <v>2024</v>
      </c>
      <c r="E35" s="112" t="s">
        <v>326</v>
      </c>
      <c r="F35" s="112" t="s">
        <v>326</v>
      </c>
      <c r="G35" s="116" t="str">
        <f>TEXT(GC[[#This Row],[Date]],"mmm-yy")</f>
        <v>Aug-24</v>
      </c>
      <c r="H35" s="116">
        <f>DAY(EOMONTH(GC[[#This Row],[Month Year]],0))</f>
        <v>31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5">
        <f>SUM(GC[[#This Row],[IS1Inv1M1]:[IS4Inv10M2]])</f>
        <v>0</v>
      </c>
      <c r="AN35" s="119"/>
      <c r="AO35" s="119"/>
    </row>
    <row r="36" spans="1:41">
      <c r="A36" s="119">
        <v>34</v>
      </c>
      <c r="B36" s="113">
        <f t="shared" si="0"/>
        <v>45507</v>
      </c>
      <c r="C36" s="114">
        <f>YEAR(GC[[#This Row],[Date]])+IF(MONTH(GC[[#This Row],[Date]])&gt;=4,1,0)</f>
        <v>2025</v>
      </c>
      <c r="D36" s="115">
        <f>YEAR(GC[[#This Row],[Date]])</f>
        <v>2024</v>
      </c>
      <c r="E36" s="112" t="s">
        <v>326</v>
      </c>
      <c r="F36" s="112" t="s">
        <v>326</v>
      </c>
      <c r="G36" s="116" t="str">
        <f>TEXT(GC[[#This Row],[Date]],"mmm-yy")</f>
        <v>Aug-24</v>
      </c>
      <c r="H36" s="116">
        <f>DAY(EOMONTH(GC[[#This Row],[Month Year]],0))</f>
        <v>31</v>
      </c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5">
        <f>SUM(GC[[#This Row],[IS1Inv1M1]:[IS4Inv10M2]])</f>
        <v>0</v>
      </c>
      <c r="AN36" s="119"/>
      <c r="AO36" s="119"/>
    </row>
    <row r="37" spans="1:41">
      <c r="A37" s="119">
        <v>35</v>
      </c>
      <c r="B37" s="113">
        <f t="shared" si="0"/>
        <v>45508</v>
      </c>
      <c r="C37" s="114">
        <f>YEAR(GC[[#This Row],[Date]])+IF(MONTH(GC[[#This Row],[Date]])&gt;=4,1,0)</f>
        <v>2025</v>
      </c>
      <c r="D37" s="115">
        <f>YEAR(GC[[#This Row],[Date]])</f>
        <v>2024</v>
      </c>
      <c r="E37" s="112" t="s">
        <v>326</v>
      </c>
      <c r="F37" s="112" t="s">
        <v>326</v>
      </c>
      <c r="G37" s="116" t="str">
        <f>TEXT(GC[[#This Row],[Date]],"mmm-yy")</f>
        <v>Aug-24</v>
      </c>
      <c r="H37" s="116">
        <f>DAY(EOMONTH(GC[[#This Row],[Month Year]],0))</f>
        <v>31</v>
      </c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5">
        <f>SUM(GC[[#This Row],[IS1Inv1M1]:[IS4Inv10M2]])</f>
        <v>0</v>
      </c>
      <c r="AN37" s="119"/>
      <c r="AO37" s="119"/>
    </row>
    <row r="38" spans="1:41">
      <c r="A38" s="119">
        <v>36</v>
      </c>
      <c r="B38" s="113">
        <f t="shared" si="0"/>
        <v>45509</v>
      </c>
      <c r="C38" s="114">
        <f>YEAR(GC[[#This Row],[Date]])+IF(MONTH(GC[[#This Row],[Date]])&gt;=4,1,0)</f>
        <v>2025</v>
      </c>
      <c r="D38" s="115">
        <f>YEAR(GC[[#This Row],[Date]])</f>
        <v>2024</v>
      </c>
      <c r="E38" s="112" t="s">
        <v>326</v>
      </c>
      <c r="F38" s="112" t="s">
        <v>326</v>
      </c>
      <c r="G38" s="116" t="str">
        <f>TEXT(GC[[#This Row],[Date]],"mmm-yy")</f>
        <v>Aug-24</v>
      </c>
      <c r="H38" s="116">
        <f>DAY(EOMONTH(GC[[#This Row],[Month Year]],0))</f>
        <v>31</v>
      </c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5">
        <f>SUM(GC[[#This Row],[IS1Inv1M1]:[IS4Inv10M2]])</f>
        <v>0</v>
      </c>
      <c r="AN38" s="119"/>
      <c r="AO38" s="119"/>
    </row>
    <row r="39" spans="1:41">
      <c r="A39" s="119">
        <v>37</v>
      </c>
      <c r="B39" s="113">
        <f t="shared" si="0"/>
        <v>45510</v>
      </c>
      <c r="C39" s="114">
        <f>YEAR(GC[[#This Row],[Date]])+IF(MONTH(GC[[#This Row],[Date]])&gt;=4,1,0)</f>
        <v>2025</v>
      </c>
      <c r="D39" s="115">
        <f>YEAR(GC[[#This Row],[Date]])</f>
        <v>2024</v>
      </c>
      <c r="E39" s="112" t="s">
        <v>326</v>
      </c>
      <c r="F39" s="112" t="s">
        <v>326</v>
      </c>
      <c r="G39" s="116" t="str">
        <f>TEXT(GC[[#This Row],[Date]],"mmm-yy")</f>
        <v>Aug-24</v>
      </c>
      <c r="H39" s="116">
        <f>DAY(EOMONTH(GC[[#This Row],[Month Year]],0))</f>
        <v>31</v>
      </c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5">
        <f>SUM(GC[[#This Row],[IS1Inv1M1]:[IS4Inv10M2]])</f>
        <v>0</v>
      </c>
      <c r="AN39" s="119"/>
      <c r="AO39" s="119"/>
    </row>
    <row r="40" spans="1:41">
      <c r="A40" s="119">
        <v>38</v>
      </c>
      <c r="B40" s="113">
        <f t="shared" si="0"/>
        <v>45511</v>
      </c>
      <c r="C40" s="114">
        <f>YEAR(GC[[#This Row],[Date]])+IF(MONTH(GC[[#This Row],[Date]])&gt;=4,1,0)</f>
        <v>2025</v>
      </c>
      <c r="D40" s="115">
        <f>YEAR(GC[[#This Row],[Date]])</f>
        <v>2024</v>
      </c>
      <c r="E40" s="112" t="s">
        <v>326</v>
      </c>
      <c r="F40" s="112" t="s">
        <v>326</v>
      </c>
      <c r="G40" s="116" t="str">
        <f>TEXT(GC[[#This Row],[Date]],"mmm-yy")</f>
        <v>Aug-24</v>
      </c>
      <c r="H40" s="116">
        <f>DAY(EOMONTH(GC[[#This Row],[Month Year]],0))</f>
        <v>31</v>
      </c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5">
        <f>SUM(GC[[#This Row],[IS1Inv1M1]:[IS4Inv10M2]])</f>
        <v>0</v>
      </c>
      <c r="AN40" s="119"/>
      <c r="AO40" s="119"/>
    </row>
    <row r="41" spans="1:41">
      <c r="A41" s="119">
        <v>39</v>
      </c>
      <c r="B41" s="113">
        <f t="shared" si="0"/>
        <v>45512</v>
      </c>
      <c r="C41" s="114">
        <f>YEAR(GC[[#This Row],[Date]])+IF(MONTH(GC[[#This Row],[Date]])&gt;=4,1,0)</f>
        <v>2025</v>
      </c>
      <c r="D41" s="115">
        <f>YEAR(GC[[#This Row],[Date]])</f>
        <v>2024</v>
      </c>
      <c r="E41" s="112" t="s">
        <v>326</v>
      </c>
      <c r="F41" s="112" t="s">
        <v>326</v>
      </c>
      <c r="G41" s="116" t="str">
        <f>TEXT(GC[[#This Row],[Date]],"mmm-yy")</f>
        <v>Aug-24</v>
      </c>
      <c r="H41" s="116">
        <f>DAY(EOMONTH(GC[[#This Row],[Month Year]],0))</f>
        <v>31</v>
      </c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5">
        <f>SUM(GC[[#This Row],[IS1Inv1M1]:[IS4Inv10M2]])</f>
        <v>0</v>
      </c>
      <c r="AN41" s="119"/>
      <c r="AO41" s="119"/>
    </row>
    <row r="42" spans="1:41">
      <c r="A42" s="119">
        <v>40</v>
      </c>
      <c r="B42" s="113">
        <f t="shared" si="0"/>
        <v>45513</v>
      </c>
      <c r="C42" s="114">
        <f>YEAR(GC[[#This Row],[Date]])+IF(MONTH(GC[[#This Row],[Date]])&gt;=4,1,0)</f>
        <v>2025</v>
      </c>
      <c r="D42" s="115">
        <f>YEAR(GC[[#This Row],[Date]])</f>
        <v>2024</v>
      </c>
      <c r="E42" s="112" t="s">
        <v>326</v>
      </c>
      <c r="F42" s="112" t="s">
        <v>326</v>
      </c>
      <c r="G42" s="116" t="str">
        <f>TEXT(GC[[#This Row],[Date]],"mmm-yy")</f>
        <v>Aug-24</v>
      </c>
      <c r="H42" s="116">
        <f>DAY(EOMONTH(GC[[#This Row],[Month Year]],0))</f>
        <v>31</v>
      </c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5">
        <f>SUM(GC[[#This Row],[IS1Inv1M1]:[IS4Inv10M2]])</f>
        <v>0</v>
      </c>
      <c r="AN42" s="119"/>
      <c r="AO42" s="119"/>
    </row>
    <row r="43" spans="1:41">
      <c r="A43" s="119">
        <v>41</v>
      </c>
      <c r="B43" s="113">
        <f t="shared" si="0"/>
        <v>45514</v>
      </c>
      <c r="C43" s="114">
        <f>YEAR(GC[[#This Row],[Date]])+IF(MONTH(GC[[#This Row],[Date]])&gt;=4,1,0)</f>
        <v>2025</v>
      </c>
      <c r="D43" s="115">
        <f>YEAR(GC[[#This Row],[Date]])</f>
        <v>2024</v>
      </c>
      <c r="E43" s="112" t="s">
        <v>326</v>
      </c>
      <c r="F43" s="112" t="s">
        <v>326</v>
      </c>
      <c r="G43" s="116" t="str">
        <f>TEXT(GC[[#This Row],[Date]],"mmm-yy")</f>
        <v>Aug-24</v>
      </c>
      <c r="H43" s="116">
        <f>DAY(EOMONTH(GC[[#This Row],[Month Year]],0))</f>
        <v>31</v>
      </c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5">
        <f>SUM(GC[[#This Row],[IS1Inv1M1]:[IS4Inv10M2]])</f>
        <v>0</v>
      </c>
      <c r="AN43" s="119"/>
      <c r="AO43" s="119"/>
    </row>
    <row r="44" spans="1:41">
      <c r="A44" s="119">
        <v>42</v>
      </c>
      <c r="B44" s="113">
        <f t="shared" si="0"/>
        <v>45515</v>
      </c>
      <c r="C44" s="114">
        <f>YEAR(GC[[#This Row],[Date]])+IF(MONTH(GC[[#This Row],[Date]])&gt;=4,1,0)</f>
        <v>2025</v>
      </c>
      <c r="D44" s="115">
        <f>YEAR(GC[[#This Row],[Date]])</f>
        <v>2024</v>
      </c>
      <c r="E44" s="112" t="s">
        <v>326</v>
      </c>
      <c r="F44" s="112" t="s">
        <v>326</v>
      </c>
      <c r="G44" s="116" t="str">
        <f>TEXT(GC[[#This Row],[Date]],"mmm-yy")</f>
        <v>Aug-24</v>
      </c>
      <c r="H44" s="116">
        <f>DAY(EOMONTH(GC[[#This Row],[Month Year]],0))</f>
        <v>31</v>
      </c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5">
        <f>SUM(GC[[#This Row],[IS1Inv1M1]:[IS4Inv10M2]])</f>
        <v>0</v>
      </c>
      <c r="AN44" s="119"/>
      <c r="AO44" s="119"/>
    </row>
    <row r="45" spans="1:41">
      <c r="A45" s="119">
        <v>43</v>
      </c>
      <c r="B45" s="113">
        <f t="shared" si="0"/>
        <v>45516</v>
      </c>
      <c r="C45" s="114">
        <f>YEAR(GC[[#This Row],[Date]])+IF(MONTH(GC[[#This Row],[Date]])&gt;=4,1,0)</f>
        <v>2025</v>
      </c>
      <c r="D45" s="115">
        <f>YEAR(GC[[#This Row],[Date]])</f>
        <v>2024</v>
      </c>
      <c r="E45" s="112" t="s">
        <v>326</v>
      </c>
      <c r="F45" s="112" t="s">
        <v>326</v>
      </c>
      <c r="G45" s="116" t="str">
        <f>TEXT(GC[[#This Row],[Date]],"mmm-yy")</f>
        <v>Aug-24</v>
      </c>
      <c r="H45" s="116">
        <f>DAY(EOMONTH(GC[[#This Row],[Month Year]],0))</f>
        <v>31</v>
      </c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5">
        <f>SUM(GC[[#This Row],[IS1Inv1M1]:[IS4Inv10M2]])</f>
        <v>0</v>
      </c>
      <c r="AN45" s="119"/>
      <c r="AO45" s="119"/>
    </row>
    <row r="46" spans="1:41">
      <c r="A46" s="119">
        <v>44</v>
      </c>
      <c r="B46" s="113">
        <f t="shared" si="0"/>
        <v>45517</v>
      </c>
      <c r="C46" s="114">
        <f>YEAR(GC[[#This Row],[Date]])+IF(MONTH(GC[[#This Row],[Date]])&gt;=4,1,0)</f>
        <v>2025</v>
      </c>
      <c r="D46" s="115">
        <f>YEAR(GC[[#This Row],[Date]])</f>
        <v>2024</v>
      </c>
      <c r="E46" s="112" t="s">
        <v>326</v>
      </c>
      <c r="F46" s="112" t="s">
        <v>326</v>
      </c>
      <c r="G46" s="116" t="str">
        <f>TEXT(GC[[#This Row],[Date]],"mmm-yy")</f>
        <v>Aug-24</v>
      </c>
      <c r="H46" s="116">
        <f>DAY(EOMONTH(GC[[#This Row],[Month Year]],0))</f>
        <v>31</v>
      </c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5">
        <f>SUM(GC[[#This Row],[IS1Inv1M1]:[IS4Inv10M2]])</f>
        <v>0</v>
      </c>
      <c r="AN46" s="119"/>
      <c r="AO46" s="119"/>
    </row>
    <row r="47" spans="1:41">
      <c r="A47" s="119">
        <v>45</v>
      </c>
      <c r="B47" s="113">
        <f t="shared" si="0"/>
        <v>45518</v>
      </c>
      <c r="C47" s="114">
        <f>YEAR(GC[[#This Row],[Date]])+IF(MONTH(GC[[#This Row],[Date]])&gt;=4,1,0)</f>
        <v>2025</v>
      </c>
      <c r="D47" s="115">
        <f>YEAR(GC[[#This Row],[Date]])</f>
        <v>2024</v>
      </c>
      <c r="E47" s="112" t="s">
        <v>326</v>
      </c>
      <c r="F47" s="112" t="s">
        <v>326</v>
      </c>
      <c r="G47" s="116" t="str">
        <f>TEXT(GC[[#This Row],[Date]],"mmm-yy")</f>
        <v>Aug-24</v>
      </c>
      <c r="H47" s="116">
        <f>DAY(EOMONTH(GC[[#This Row],[Month Year]],0))</f>
        <v>31</v>
      </c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5">
        <f>SUM(GC[[#This Row],[IS1Inv1M1]:[IS4Inv10M2]])</f>
        <v>0</v>
      </c>
      <c r="AN47" s="119"/>
      <c r="AO47" s="119"/>
    </row>
    <row r="48" spans="1:41">
      <c r="A48" s="119">
        <v>46</v>
      </c>
      <c r="B48" s="113">
        <f t="shared" si="0"/>
        <v>45519</v>
      </c>
      <c r="C48" s="114">
        <f>YEAR(GC[[#This Row],[Date]])+IF(MONTH(GC[[#This Row],[Date]])&gt;=4,1,0)</f>
        <v>2025</v>
      </c>
      <c r="D48" s="115">
        <f>YEAR(GC[[#This Row],[Date]])</f>
        <v>2024</v>
      </c>
      <c r="E48" s="112" t="s">
        <v>326</v>
      </c>
      <c r="F48" s="112" t="s">
        <v>326</v>
      </c>
      <c r="G48" s="116" t="str">
        <f>TEXT(GC[[#This Row],[Date]],"mmm-yy")</f>
        <v>Aug-24</v>
      </c>
      <c r="H48" s="116">
        <f>DAY(EOMONTH(GC[[#This Row],[Month Year]],0))</f>
        <v>31</v>
      </c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5">
        <f>SUM(GC[[#This Row],[IS1Inv1M1]:[IS4Inv10M2]])</f>
        <v>0</v>
      </c>
      <c r="AN48" s="119"/>
      <c r="AO48" s="119"/>
    </row>
    <row r="49" spans="1:41">
      <c r="A49" s="119">
        <v>47</v>
      </c>
      <c r="B49" s="113">
        <f t="shared" si="0"/>
        <v>45520</v>
      </c>
      <c r="C49" s="114">
        <f>YEAR(GC[[#This Row],[Date]])+IF(MONTH(GC[[#This Row],[Date]])&gt;=4,1,0)</f>
        <v>2025</v>
      </c>
      <c r="D49" s="115">
        <f>YEAR(GC[[#This Row],[Date]])</f>
        <v>2024</v>
      </c>
      <c r="E49" s="112" t="s">
        <v>326</v>
      </c>
      <c r="F49" s="112" t="s">
        <v>326</v>
      </c>
      <c r="G49" s="116" t="str">
        <f>TEXT(GC[[#This Row],[Date]],"mmm-yy")</f>
        <v>Aug-24</v>
      </c>
      <c r="H49" s="116">
        <f>DAY(EOMONTH(GC[[#This Row],[Month Year]],0))</f>
        <v>31</v>
      </c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5">
        <f>SUM(GC[[#This Row],[IS1Inv1M1]:[IS4Inv10M2]])</f>
        <v>0</v>
      </c>
      <c r="AN49" s="119"/>
      <c r="AO49" s="119"/>
    </row>
    <row r="50" spans="1:41">
      <c r="A50" s="119">
        <v>48</v>
      </c>
      <c r="B50" s="113">
        <f t="shared" si="0"/>
        <v>45521</v>
      </c>
      <c r="C50" s="114">
        <f>YEAR(GC[[#This Row],[Date]])+IF(MONTH(GC[[#This Row],[Date]])&gt;=4,1,0)</f>
        <v>2025</v>
      </c>
      <c r="D50" s="115">
        <f>YEAR(GC[[#This Row],[Date]])</f>
        <v>2024</v>
      </c>
      <c r="E50" s="112" t="s">
        <v>326</v>
      </c>
      <c r="F50" s="112" t="s">
        <v>326</v>
      </c>
      <c r="G50" s="116" t="str">
        <f>TEXT(GC[[#This Row],[Date]],"mmm-yy")</f>
        <v>Aug-24</v>
      </c>
      <c r="H50" s="116">
        <f>DAY(EOMONTH(GC[[#This Row],[Month Year]],0))</f>
        <v>31</v>
      </c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5">
        <f>SUM(GC[[#This Row],[IS1Inv1M1]:[IS4Inv10M2]])</f>
        <v>0</v>
      </c>
      <c r="AN50" s="119"/>
      <c r="AO50" s="119"/>
    </row>
    <row r="51" spans="1:41">
      <c r="A51" s="119">
        <v>49</v>
      </c>
      <c r="B51" s="113">
        <f t="shared" si="0"/>
        <v>45522</v>
      </c>
      <c r="C51" s="114">
        <f>YEAR(GC[[#This Row],[Date]])+IF(MONTH(GC[[#This Row],[Date]])&gt;=4,1,0)</f>
        <v>2025</v>
      </c>
      <c r="D51" s="115">
        <f>YEAR(GC[[#This Row],[Date]])</f>
        <v>2024</v>
      </c>
      <c r="E51" s="112" t="s">
        <v>326</v>
      </c>
      <c r="F51" s="112" t="s">
        <v>326</v>
      </c>
      <c r="G51" s="116" t="str">
        <f>TEXT(GC[[#This Row],[Date]],"mmm-yy")</f>
        <v>Aug-24</v>
      </c>
      <c r="H51" s="116">
        <f>DAY(EOMONTH(GC[[#This Row],[Month Year]],0))</f>
        <v>31</v>
      </c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5">
        <f>SUM(GC[[#This Row],[IS1Inv1M1]:[IS4Inv10M2]])</f>
        <v>0</v>
      </c>
      <c r="AN51" s="119"/>
      <c r="AO51" s="119"/>
    </row>
    <row r="52" spans="1:41">
      <c r="A52" s="119">
        <v>50</v>
      </c>
      <c r="B52" s="113">
        <f t="shared" si="0"/>
        <v>45523</v>
      </c>
      <c r="C52" s="114">
        <f>YEAR(GC[[#This Row],[Date]])+IF(MONTH(GC[[#This Row],[Date]])&gt;=4,1,0)</f>
        <v>2025</v>
      </c>
      <c r="D52" s="115">
        <f>YEAR(GC[[#This Row],[Date]])</f>
        <v>2024</v>
      </c>
      <c r="E52" s="112" t="s">
        <v>326</v>
      </c>
      <c r="F52" s="112" t="s">
        <v>326</v>
      </c>
      <c r="G52" s="116" t="str">
        <f>TEXT(GC[[#This Row],[Date]],"mmm-yy")</f>
        <v>Aug-24</v>
      </c>
      <c r="H52" s="116">
        <f>DAY(EOMONTH(GC[[#This Row],[Month Year]],0))</f>
        <v>31</v>
      </c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5">
        <f>SUM(GC[[#This Row],[IS1Inv1M1]:[IS4Inv10M2]])</f>
        <v>0</v>
      </c>
      <c r="AN52" s="119"/>
      <c r="AO52" s="119"/>
    </row>
    <row r="53" spans="1:41">
      <c r="A53" s="119">
        <v>51</v>
      </c>
      <c r="B53" s="113">
        <f t="shared" si="0"/>
        <v>45524</v>
      </c>
      <c r="C53" s="114">
        <f>YEAR(GC[[#This Row],[Date]])+IF(MONTH(GC[[#This Row],[Date]])&gt;=4,1,0)</f>
        <v>2025</v>
      </c>
      <c r="D53" s="115">
        <f>YEAR(GC[[#This Row],[Date]])</f>
        <v>2024</v>
      </c>
      <c r="E53" s="112" t="s">
        <v>326</v>
      </c>
      <c r="F53" s="112" t="s">
        <v>326</v>
      </c>
      <c r="G53" s="116" t="str">
        <f>TEXT(GC[[#This Row],[Date]],"mmm-yy")</f>
        <v>Aug-24</v>
      </c>
      <c r="H53" s="116">
        <f>DAY(EOMONTH(GC[[#This Row],[Month Year]],0))</f>
        <v>31</v>
      </c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5">
        <f>SUM(GC[[#This Row],[IS1Inv1M1]:[IS4Inv10M2]])</f>
        <v>0</v>
      </c>
      <c r="AN53" s="119"/>
      <c r="AO53" s="119"/>
    </row>
    <row r="54" spans="1:41">
      <c r="A54" s="119">
        <v>52</v>
      </c>
      <c r="B54" s="113">
        <f t="shared" si="0"/>
        <v>45525</v>
      </c>
      <c r="C54" s="114">
        <f>YEAR(GC[[#This Row],[Date]])+IF(MONTH(GC[[#This Row],[Date]])&gt;=4,1,0)</f>
        <v>2025</v>
      </c>
      <c r="D54" s="115">
        <f>YEAR(GC[[#This Row],[Date]])</f>
        <v>2024</v>
      </c>
      <c r="E54" s="112" t="s">
        <v>326</v>
      </c>
      <c r="F54" s="112" t="s">
        <v>326</v>
      </c>
      <c r="G54" s="116" t="str">
        <f>TEXT(GC[[#This Row],[Date]],"mmm-yy")</f>
        <v>Aug-24</v>
      </c>
      <c r="H54" s="116">
        <f>DAY(EOMONTH(GC[[#This Row],[Month Year]],0))</f>
        <v>31</v>
      </c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5">
        <f>SUM(GC[[#This Row],[IS1Inv1M1]:[IS4Inv10M2]])</f>
        <v>0</v>
      </c>
      <c r="AN54" s="119"/>
      <c r="AO54" s="119"/>
    </row>
    <row r="55" spans="1:41">
      <c r="A55" s="119">
        <v>53</v>
      </c>
      <c r="B55" s="113">
        <f t="shared" si="0"/>
        <v>45526</v>
      </c>
      <c r="C55" s="114">
        <f>YEAR(GC[[#This Row],[Date]])+IF(MONTH(GC[[#This Row],[Date]])&gt;=4,1,0)</f>
        <v>2025</v>
      </c>
      <c r="D55" s="115">
        <f>YEAR(GC[[#This Row],[Date]])</f>
        <v>2024</v>
      </c>
      <c r="E55" s="112" t="s">
        <v>326</v>
      </c>
      <c r="F55" s="112" t="s">
        <v>326</v>
      </c>
      <c r="G55" s="116" t="str">
        <f>TEXT(GC[[#This Row],[Date]],"mmm-yy")</f>
        <v>Aug-24</v>
      </c>
      <c r="H55" s="116">
        <f>DAY(EOMONTH(GC[[#This Row],[Month Year]],0))</f>
        <v>31</v>
      </c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5">
        <f>SUM(GC[[#This Row],[IS1Inv1M1]:[IS4Inv10M2]])</f>
        <v>0</v>
      </c>
      <c r="AN55" s="119"/>
      <c r="AO55" s="119"/>
    </row>
    <row r="56" spans="1:41">
      <c r="A56" s="119">
        <v>54</v>
      </c>
      <c r="B56" s="113">
        <f t="shared" si="0"/>
        <v>45527</v>
      </c>
      <c r="C56" s="114">
        <f>YEAR(GC[[#This Row],[Date]])+IF(MONTH(GC[[#This Row],[Date]])&gt;=4,1,0)</f>
        <v>2025</v>
      </c>
      <c r="D56" s="115">
        <f>YEAR(GC[[#This Row],[Date]])</f>
        <v>2024</v>
      </c>
      <c r="E56" s="112" t="s">
        <v>326</v>
      </c>
      <c r="F56" s="112" t="s">
        <v>326</v>
      </c>
      <c r="G56" s="116" t="str">
        <f>TEXT(GC[[#This Row],[Date]],"mmm-yy")</f>
        <v>Aug-24</v>
      </c>
      <c r="H56" s="116">
        <f>DAY(EOMONTH(GC[[#This Row],[Month Year]],0))</f>
        <v>31</v>
      </c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5">
        <f>SUM(GC[[#This Row],[IS1Inv1M1]:[IS4Inv10M2]])</f>
        <v>0</v>
      </c>
      <c r="AN56" s="119"/>
      <c r="AO56" s="119"/>
    </row>
    <row r="57" spans="1:41">
      <c r="A57" s="119">
        <v>55</v>
      </c>
      <c r="B57" s="113">
        <f t="shared" si="0"/>
        <v>45528</v>
      </c>
      <c r="C57" s="114">
        <f>YEAR(GC[[#This Row],[Date]])+IF(MONTH(GC[[#This Row],[Date]])&gt;=4,1,0)</f>
        <v>2025</v>
      </c>
      <c r="D57" s="115">
        <f>YEAR(GC[[#This Row],[Date]])</f>
        <v>2024</v>
      </c>
      <c r="E57" s="112" t="s">
        <v>326</v>
      </c>
      <c r="F57" s="112" t="s">
        <v>326</v>
      </c>
      <c r="G57" s="116" t="str">
        <f>TEXT(GC[[#This Row],[Date]],"mmm-yy")</f>
        <v>Aug-24</v>
      </c>
      <c r="H57" s="116">
        <f>DAY(EOMONTH(GC[[#This Row],[Month Year]],0))</f>
        <v>31</v>
      </c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5">
        <f>SUM(GC[[#This Row],[IS1Inv1M1]:[IS4Inv10M2]])</f>
        <v>0</v>
      </c>
      <c r="AN57" s="119"/>
      <c r="AO57" s="119"/>
    </row>
    <row r="58" spans="1:41">
      <c r="A58" s="119">
        <v>56</v>
      </c>
      <c r="B58" s="113">
        <f t="shared" si="0"/>
        <v>45529</v>
      </c>
      <c r="C58" s="114">
        <f>YEAR(GC[[#This Row],[Date]])+IF(MONTH(GC[[#This Row],[Date]])&gt;=4,1,0)</f>
        <v>2025</v>
      </c>
      <c r="D58" s="115">
        <f>YEAR(GC[[#This Row],[Date]])</f>
        <v>2024</v>
      </c>
      <c r="E58" s="112" t="s">
        <v>326</v>
      </c>
      <c r="F58" s="112" t="s">
        <v>326</v>
      </c>
      <c r="G58" s="116" t="str">
        <f>TEXT(GC[[#This Row],[Date]],"mmm-yy")</f>
        <v>Aug-24</v>
      </c>
      <c r="H58" s="116">
        <f>DAY(EOMONTH(GC[[#This Row],[Month Year]],0))</f>
        <v>31</v>
      </c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5">
        <f>SUM(GC[[#This Row],[IS1Inv1M1]:[IS4Inv10M2]])</f>
        <v>0</v>
      </c>
      <c r="AN58" s="119"/>
      <c r="AO58" s="119"/>
    </row>
    <row r="59" spans="1:41">
      <c r="A59" s="119">
        <v>57</v>
      </c>
      <c r="B59" s="113">
        <f t="shared" si="0"/>
        <v>45530</v>
      </c>
      <c r="C59" s="114">
        <f>YEAR(GC[[#This Row],[Date]])+IF(MONTH(GC[[#This Row],[Date]])&gt;=4,1,0)</f>
        <v>2025</v>
      </c>
      <c r="D59" s="115">
        <f>YEAR(GC[[#This Row],[Date]])</f>
        <v>2024</v>
      </c>
      <c r="E59" s="112" t="s">
        <v>326</v>
      </c>
      <c r="F59" s="112" t="s">
        <v>326</v>
      </c>
      <c r="G59" s="116" t="str">
        <f>TEXT(GC[[#This Row],[Date]],"mmm-yy")</f>
        <v>Aug-24</v>
      </c>
      <c r="H59" s="116">
        <f>DAY(EOMONTH(GC[[#This Row],[Month Year]],0))</f>
        <v>31</v>
      </c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5">
        <f>SUM(GC[[#This Row],[IS1Inv1M1]:[IS4Inv10M2]])</f>
        <v>0</v>
      </c>
      <c r="AN59" s="119"/>
      <c r="AO59" s="119"/>
    </row>
    <row r="60" spans="1:41">
      <c r="A60" s="119">
        <v>58</v>
      </c>
      <c r="B60" s="113">
        <f t="shared" si="0"/>
        <v>45531</v>
      </c>
      <c r="C60" s="114">
        <f>YEAR(GC[[#This Row],[Date]])+IF(MONTH(GC[[#This Row],[Date]])&gt;=4,1,0)</f>
        <v>2025</v>
      </c>
      <c r="D60" s="115">
        <f>YEAR(GC[[#This Row],[Date]])</f>
        <v>2024</v>
      </c>
      <c r="E60" s="112" t="s">
        <v>326</v>
      </c>
      <c r="F60" s="112" t="s">
        <v>326</v>
      </c>
      <c r="G60" s="116" t="str">
        <f>TEXT(GC[[#This Row],[Date]],"mmm-yy")</f>
        <v>Aug-24</v>
      </c>
      <c r="H60" s="116">
        <f>DAY(EOMONTH(GC[[#This Row],[Month Year]],0))</f>
        <v>31</v>
      </c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5">
        <f>SUM(GC[[#This Row],[IS1Inv1M1]:[IS4Inv10M2]])</f>
        <v>0</v>
      </c>
      <c r="AN60" s="119"/>
      <c r="AO60" s="119"/>
    </row>
    <row r="61" spans="1:41">
      <c r="A61" s="119">
        <v>59</v>
      </c>
      <c r="B61" s="113">
        <f t="shared" si="0"/>
        <v>45532</v>
      </c>
      <c r="C61" s="114">
        <f>YEAR(GC[[#This Row],[Date]])+IF(MONTH(GC[[#This Row],[Date]])&gt;=4,1,0)</f>
        <v>2025</v>
      </c>
      <c r="D61" s="115">
        <f>YEAR(GC[[#This Row],[Date]])</f>
        <v>2024</v>
      </c>
      <c r="E61" s="112" t="s">
        <v>326</v>
      </c>
      <c r="F61" s="112" t="s">
        <v>326</v>
      </c>
      <c r="G61" s="116" t="str">
        <f>TEXT(GC[[#This Row],[Date]],"mmm-yy")</f>
        <v>Aug-24</v>
      </c>
      <c r="H61" s="116">
        <f>DAY(EOMONTH(GC[[#This Row],[Month Year]],0))</f>
        <v>31</v>
      </c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5">
        <f>SUM(GC[[#This Row],[IS1Inv1M1]:[IS4Inv10M2]])</f>
        <v>0</v>
      </c>
      <c r="AN61" s="119"/>
      <c r="AO61" s="119"/>
    </row>
    <row r="62" spans="1:41">
      <c r="A62" s="119">
        <v>60</v>
      </c>
      <c r="B62" s="113">
        <f t="shared" si="0"/>
        <v>45533</v>
      </c>
      <c r="C62" s="114">
        <f>YEAR(GC[[#This Row],[Date]])+IF(MONTH(GC[[#This Row],[Date]])&gt;=4,1,0)</f>
        <v>2025</v>
      </c>
      <c r="D62" s="115">
        <f>YEAR(GC[[#This Row],[Date]])</f>
        <v>2024</v>
      </c>
      <c r="E62" s="112" t="s">
        <v>326</v>
      </c>
      <c r="F62" s="112" t="s">
        <v>326</v>
      </c>
      <c r="G62" s="116" t="str">
        <f>TEXT(GC[[#This Row],[Date]],"mmm-yy")</f>
        <v>Aug-24</v>
      </c>
      <c r="H62" s="116">
        <f>DAY(EOMONTH(GC[[#This Row],[Month Year]],0))</f>
        <v>31</v>
      </c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5">
        <f>SUM(GC[[#This Row],[IS1Inv1M1]:[IS4Inv10M2]])</f>
        <v>0</v>
      </c>
      <c r="AN62" s="119"/>
      <c r="AO62" s="119"/>
    </row>
    <row r="63" spans="1:41">
      <c r="A63" s="119">
        <v>61</v>
      </c>
      <c r="B63" s="113">
        <f t="shared" si="0"/>
        <v>45534</v>
      </c>
      <c r="C63" s="114">
        <f>YEAR(GC[[#This Row],[Date]])+IF(MONTH(GC[[#This Row],[Date]])&gt;=4,1,0)</f>
        <v>2025</v>
      </c>
      <c r="D63" s="115">
        <f>YEAR(GC[[#This Row],[Date]])</f>
        <v>2024</v>
      </c>
      <c r="E63" s="112" t="s">
        <v>326</v>
      </c>
      <c r="F63" s="112" t="s">
        <v>326</v>
      </c>
      <c r="G63" s="116" t="str">
        <f>TEXT(GC[[#This Row],[Date]],"mmm-yy")</f>
        <v>Aug-24</v>
      </c>
      <c r="H63" s="116">
        <f>DAY(EOMONTH(GC[[#This Row],[Month Year]],0))</f>
        <v>31</v>
      </c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5">
        <f>SUM(GC[[#This Row],[IS1Inv1M1]:[IS4Inv10M2]])</f>
        <v>0</v>
      </c>
      <c r="AN63" s="119"/>
      <c r="AO63" s="119"/>
    </row>
    <row r="64" spans="1:41">
      <c r="A64" s="119">
        <v>62</v>
      </c>
      <c r="B64" s="113">
        <f t="shared" si="0"/>
        <v>45535</v>
      </c>
      <c r="C64" s="114">
        <f>YEAR(GC[[#This Row],[Date]])+IF(MONTH(GC[[#This Row],[Date]])&gt;=4,1,0)</f>
        <v>2025</v>
      </c>
      <c r="D64" s="115">
        <f>YEAR(GC[[#This Row],[Date]])</f>
        <v>2024</v>
      </c>
      <c r="E64" s="112" t="s">
        <v>326</v>
      </c>
      <c r="F64" s="112" t="s">
        <v>326</v>
      </c>
      <c r="G64" s="116" t="str">
        <f>TEXT(GC[[#This Row],[Date]],"mmm-yy")</f>
        <v>Aug-24</v>
      </c>
      <c r="H64" s="116">
        <f>DAY(EOMONTH(GC[[#This Row],[Month Year]],0))</f>
        <v>31</v>
      </c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5">
        <f>SUM(GC[[#This Row],[IS1Inv1M1]:[IS4Inv10M2]])</f>
        <v>0</v>
      </c>
      <c r="AN64" s="119"/>
      <c r="AO64" s="119"/>
    </row>
    <row r="65" spans="1:41">
      <c r="A65" s="119">
        <v>63</v>
      </c>
      <c r="B65" s="113">
        <f t="shared" si="0"/>
        <v>45536</v>
      </c>
      <c r="C65" s="114">
        <f>YEAR(GC[[#This Row],[Date]])+IF(MONTH(GC[[#This Row],[Date]])&gt;=4,1,0)</f>
        <v>2025</v>
      </c>
      <c r="D65" s="115">
        <f>YEAR(GC[[#This Row],[Date]])</f>
        <v>2024</v>
      </c>
      <c r="E65" s="112" t="s">
        <v>326</v>
      </c>
      <c r="F65" s="112" t="s">
        <v>326</v>
      </c>
      <c r="G65" s="116" t="str">
        <f>TEXT(GC[[#This Row],[Date]],"mmm-yy")</f>
        <v>Sep-24</v>
      </c>
      <c r="H65" s="116">
        <f>DAY(EOMONTH(GC[[#This Row],[Month Year]],0))</f>
        <v>30</v>
      </c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5">
        <f>SUM(GC[[#This Row],[IS1Inv1M1]:[IS4Inv10M2]])</f>
        <v>0</v>
      </c>
      <c r="AN65" s="119"/>
      <c r="AO65" s="119"/>
    </row>
    <row r="66" spans="1:41">
      <c r="A66" s="119">
        <v>64</v>
      </c>
      <c r="B66" s="113">
        <f t="shared" si="0"/>
        <v>45537</v>
      </c>
      <c r="C66" s="114">
        <f>YEAR(GC[[#This Row],[Date]])+IF(MONTH(GC[[#This Row],[Date]])&gt;=4,1,0)</f>
        <v>2025</v>
      </c>
      <c r="D66" s="115">
        <f>YEAR(GC[[#This Row],[Date]])</f>
        <v>2024</v>
      </c>
      <c r="E66" s="112" t="s">
        <v>326</v>
      </c>
      <c r="F66" s="112" t="s">
        <v>326</v>
      </c>
      <c r="G66" s="116" t="str">
        <f>TEXT(GC[[#This Row],[Date]],"mmm-yy")</f>
        <v>Sep-24</v>
      </c>
      <c r="H66" s="116">
        <f>DAY(EOMONTH(GC[[#This Row],[Month Year]],0))</f>
        <v>30</v>
      </c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5">
        <f>SUM(GC[[#This Row],[IS1Inv1M1]:[IS4Inv10M2]])</f>
        <v>0</v>
      </c>
      <c r="AN66" s="119"/>
      <c r="AO66" s="119"/>
    </row>
    <row r="67" spans="1:41">
      <c r="A67" s="119">
        <v>65</v>
      </c>
      <c r="B67" s="113">
        <f t="shared" si="0"/>
        <v>45538</v>
      </c>
      <c r="C67" s="114">
        <f>YEAR(GC[[#This Row],[Date]])+IF(MONTH(GC[[#This Row],[Date]])&gt;=4,1,0)</f>
        <v>2025</v>
      </c>
      <c r="D67" s="115">
        <f>YEAR(GC[[#This Row],[Date]])</f>
        <v>2024</v>
      </c>
      <c r="E67" s="112" t="s">
        <v>326</v>
      </c>
      <c r="F67" s="112" t="s">
        <v>326</v>
      </c>
      <c r="G67" s="116" t="str">
        <f>TEXT(GC[[#This Row],[Date]],"mmm-yy")</f>
        <v>Sep-24</v>
      </c>
      <c r="H67" s="116">
        <f>DAY(EOMONTH(GC[[#This Row],[Month Year]],0))</f>
        <v>30</v>
      </c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5">
        <f>SUM(GC[[#This Row],[IS1Inv1M1]:[IS4Inv10M2]])</f>
        <v>0</v>
      </c>
      <c r="AN67" s="119"/>
      <c r="AO67" s="119"/>
    </row>
    <row r="68" spans="1:41">
      <c r="A68" s="119">
        <v>66</v>
      </c>
      <c r="B68" s="113">
        <f t="shared" si="0"/>
        <v>45539</v>
      </c>
      <c r="C68" s="114">
        <f>YEAR(GC[[#This Row],[Date]])+IF(MONTH(GC[[#This Row],[Date]])&gt;=4,1,0)</f>
        <v>2025</v>
      </c>
      <c r="D68" s="115">
        <f>YEAR(GC[[#This Row],[Date]])</f>
        <v>2024</v>
      </c>
      <c r="E68" s="112" t="s">
        <v>326</v>
      </c>
      <c r="F68" s="112" t="s">
        <v>326</v>
      </c>
      <c r="G68" s="116" t="str">
        <f>TEXT(GC[[#This Row],[Date]],"mmm-yy")</f>
        <v>Sep-24</v>
      </c>
      <c r="H68" s="116">
        <f>DAY(EOMONTH(GC[[#This Row],[Month Year]],0))</f>
        <v>30</v>
      </c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5">
        <f>SUM(GC[[#This Row],[IS1Inv1M1]:[IS4Inv10M2]])</f>
        <v>0</v>
      </c>
      <c r="AN68" s="119"/>
      <c r="AO68" s="119"/>
    </row>
    <row r="69" spans="1:41">
      <c r="A69" s="119">
        <v>67</v>
      </c>
      <c r="B69" s="113">
        <f t="shared" ref="B69:B132" si="1">B68+1</f>
        <v>45540</v>
      </c>
      <c r="C69" s="114">
        <f>YEAR(GC[[#This Row],[Date]])+IF(MONTH(GC[[#This Row],[Date]])&gt;=4,1,0)</f>
        <v>2025</v>
      </c>
      <c r="D69" s="115">
        <f>YEAR(GC[[#This Row],[Date]])</f>
        <v>2024</v>
      </c>
      <c r="E69" s="112" t="s">
        <v>326</v>
      </c>
      <c r="F69" s="112" t="s">
        <v>326</v>
      </c>
      <c r="G69" s="116" t="str">
        <f>TEXT(GC[[#This Row],[Date]],"mmm-yy")</f>
        <v>Sep-24</v>
      </c>
      <c r="H69" s="116">
        <f>DAY(EOMONTH(GC[[#This Row],[Month Year]],0))</f>
        <v>30</v>
      </c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5">
        <f>SUM(GC[[#This Row],[IS1Inv1M1]:[IS4Inv10M2]])</f>
        <v>0</v>
      </c>
      <c r="AN69" s="119"/>
      <c r="AO69" s="119"/>
    </row>
    <row r="70" spans="1:41">
      <c r="A70" s="119">
        <v>68</v>
      </c>
      <c r="B70" s="113">
        <f t="shared" si="1"/>
        <v>45541</v>
      </c>
      <c r="C70" s="114">
        <f>YEAR(GC[[#This Row],[Date]])+IF(MONTH(GC[[#This Row],[Date]])&gt;=4,1,0)</f>
        <v>2025</v>
      </c>
      <c r="D70" s="115">
        <f>YEAR(GC[[#This Row],[Date]])</f>
        <v>2024</v>
      </c>
      <c r="E70" s="112" t="s">
        <v>326</v>
      </c>
      <c r="F70" s="112" t="s">
        <v>326</v>
      </c>
      <c r="G70" s="116" t="str">
        <f>TEXT(GC[[#This Row],[Date]],"mmm-yy")</f>
        <v>Sep-24</v>
      </c>
      <c r="H70" s="116">
        <f>DAY(EOMONTH(GC[[#This Row],[Month Year]],0))</f>
        <v>30</v>
      </c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5">
        <f>SUM(GC[[#This Row],[IS1Inv1M1]:[IS4Inv10M2]])</f>
        <v>0</v>
      </c>
      <c r="AN70" s="119"/>
      <c r="AO70" s="119"/>
    </row>
    <row r="71" spans="1:41">
      <c r="A71" s="119">
        <v>69</v>
      </c>
      <c r="B71" s="113">
        <f t="shared" si="1"/>
        <v>45542</v>
      </c>
      <c r="C71" s="114">
        <f>YEAR(GC[[#This Row],[Date]])+IF(MONTH(GC[[#This Row],[Date]])&gt;=4,1,0)</f>
        <v>2025</v>
      </c>
      <c r="D71" s="115">
        <f>YEAR(GC[[#This Row],[Date]])</f>
        <v>2024</v>
      </c>
      <c r="E71" s="112" t="s">
        <v>326</v>
      </c>
      <c r="F71" s="112" t="s">
        <v>326</v>
      </c>
      <c r="G71" s="116" t="str">
        <f>TEXT(GC[[#This Row],[Date]],"mmm-yy")</f>
        <v>Sep-24</v>
      </c>
      <c r="H71" s="116">
        <f>DAY(EOMONTH(GC[[#This Row],[Month Year]],0))</f>
        <v>30</v>
      </c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5">
        <f>SUM(GC[[#This Row],[IS1Inv1M1]:[IS4Inv10M2]])</f>
        <v>0</v>
      </c>
      <c r="AN71" s="119"/>
      <c r="AO71" s="119"/>
    </row>
    <row r="72" spans="1:41">
      <c r="A72" s="119">
        <v>70</v>
      </c>
      <c r="B72" s="113">
        <f t="shared" si="1"/>
        <v>45543</v>
      </c>
      <c r="C72" s="114">
        <f>YEAR(GC[[#This Row],[Date]])+IF(MONTH(GC[[#This Row],[Date]])&gt;=4,1,0)</f>
        <v>2025</v>
      </c>
      <c r="D72" s="115">
        <f>YEAR(GC[[#This Row],[Date]])</f>
        <v>2024</v>
      </c>
      <c r="E72" s="112" t="s">
        <v>326</v>
      </c>
      <c r="F72" s="112" t="s">
        <v>326</v>
      </c>
      <c r="G72" s="116" t="str">
        <f>TEXT(GC[[#This Row],[Date]],"mmm-yy")</f>
        <v>Sep-24</v>
      </c>
      <c r="H72" s="116">
        <f>DAY(EOMONTH(GC[[#This Row],[Month Year]],0))</f>
        <v>30</v>
      </c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5">
        <f>SUM(GC[[#This Row],[IS1Inv1M1]:[IS4Inv10M2]])</f>
        <v>0</v>
      </c>
      <c r="AN72" s="119"/>
      <c r="AO72" s="119"/>
    </row>
    <row r="73" spans="1:41">
      <c r="A73" s="119">
        <v>71</v>
      </c>
      <c r="B73" s="113">
        <f t="shared" si="1"/>
        <v>45544</v>
      </c>
      <c r="C73" s="114">
        <f>YEAR(GC[[#This Row],[Date]])+IF(MONTH(GC[[#This Row],[Date]])&gt;=4,1,0)</f>
        <v>2025</v>
      </c>
      <c r="D73" s="115">
        <f>YEAR(GC[[#This Row],[Date]])</f>
        <v>2024</v>
      </c>
      <c r="E73" s="112" t="s">
        <v>326</v>
      </c>
      <c r="F73" s="112" t="s">
        <v>326</v>
      </c>
      <c r="G73" s="116" t="str">
        <f>TEXT(GC[[#This Row],[Date]],"mmm-yy")</f>
        <v>Sep-24</v>
      </c>
      <c r="H73" s="116">
        <f>DAY(EOMONTH(GC[[#This Row],[Month Year]],0))</f>
        <v>30</v>
      </c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5">
        <f>SUM(GC[[#This Row],[IS1Inv1M1]:[IS4Inv10M2]])</f>
        <v>0</v>
      </c>
      <c r="AN73" s="119"/>
      <c r="AO73" s="119"/>
    </row>
    <row r="74" spans="1:41">
      <c r="A74" s="119">
        <v>72</v>
      </c>
      <c r="B74" s="113">
        <f t="shared" si="1"/>
        <v>45545</v>
      </c>
      <c r="C74" s="114">
        <f>YEAR(GC[[#This Row],[Date]])+IF(MONTH(GC[[#This Row],[Date]])&gt;=4,1,0)</f>
        <v>2025</v>
      </c>
      <c r="D74" s="115">
        <f>YEAR(GC[[#This Row],[Date]])</f>
        <v>2024</v>
      </c>
      <c r="E74" s="112" t="s">
        <v>326</v>
      </c>
      <c r="F74" s="112" t="s">
        <v>326</v>
      </c>
      <c r="G74" s="116" t="str">
        <f>TEXT(GC[[#This Row],[Date]],"mmm-yy")</f>
        <v>Sep-24</v>
      </c>
      <c r="H74" s="116">
        <f>DAY(EOMONTH(GC[[#This Row],[Month Year]],0))</f>
        <v>30</v>
      </c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5">
        <f>SUM(GC[[#This Row],[IS1Inv1M1]:[IS4Inv10M2]])</f>
        <v>0</v>
      </c>
      <c r="AN74" s="119"/>
      <c r="AO74" s="119"/>
    </row>
    <row r="75" spans="1:41">
      <c r="A75" s="119">
        <v>73</v>
      </c>
      <c r="B75" s="113">
        <f t="shared" si="1"/>
        <v>45546</v>
      </c>
      <c r="C75" s="114">
        <f>YEAR(GC[[#This Row],[Date]])+IF(MONTH(GC[[#This Row],[Date]])&gt;=4,1,0)</f>
        <v>2025</v>
      </c>
      <c r="D75" s="115">
        <f>YEAR(GC[[#This Row],[Date]])</f>
        <v>2024</v>
      </c>
      <c r="E75" s="112" t="s">
        <v>326</v>
      </c>
      <c r="F75" s="112" t="s">
        <v>326</v>
      </c>
      <c r="G75" s="116" t="str">
        <f>TEXT(GC[[#This Row],[Date]],"mmm-yy")</f>
        <v>Sep-24</v>
      </c>
      <c r="H75" s="116">
        <f>DAY(EOMONTH(GC[[#This Row],[Month Year]],0))</f>
        <v>30</v>
      </c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5">
        <f>SUM(GC[[#This Row],[IS1Inv1M1]:[IS4Inv10M2]])</f>
        <v>0</v>
      </c>
      <c r="AN75" s="119"/>
      <c r="AO75" s="119"/>
    </row>
    <row r="76" spans="1:41">
      <c r="A76" s="119">
        <v>74</v>
      </c>
      <c r="B76" s="113">
        <f t="shared" si="1"/>
        <v>45547</v>
      </c>
      <c r="C76" s="114">
        <f>YEAR(GC[[#This Row],[Date]])+IF(MONTH(GC[[#This Row],[Date]])&gt;=4,1,0)</f>
        <v>2025</v>
      </c>
      <c r="D76" s="115">
        <f>YEAR(GC[[#This Row],[Date]])</f>
        <v>2024</v>
      </c>
      <c r="E76" s="112" t="s">
        <v>326</v>
      </c>
      <c r="F76" s="112" t="s">
        <v>326</v>
      </c>
      <c r="G76" s="116" t="str">
        <f>TEXT(GC[[#This Row],[Date]],"mmm-yy")</f>
        <v>Sep-24</v>
      </c>
      <c r="H76" s="116">
        <f>DAY(EOMONTH(GC[[#This Row],[Month Year]],0))</f>
        <v>30</v>
      </c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5">
        <f>SUM(GC[[#This Row],[IS1Inv1M1]:[IS4Inv10M2]])</f>
        <v>0</v>
      </c>
      <c r="AN76" s="119"/>
      <c r="AO76" s="119"/>
    </row>
    <row r="77" spans="1:41">
      <c r="A77" s="119">
        <v>75</v>
      </c>
      <c r="B77" s="113">
        <f t="shared" si="1"/>
        <v>45548</v>
      </c>
      <c r="C77" s="114">
        <f>YEAR(GC[[#This Row],[Date]])+IF(MONTH(GC[[#This Row],[Date]])&gt;=4,1,0)</f>
        <v>2025</v>
      </c>
      <c r="D77" s="115">
        <f>YEAR(GC[[#This Row],[Date]])</f>
        <v>2024</v>
      </c>
      <c r="E77" s="112" t="s">
        <v>326</v>
      </c>
      <c r="F77" s="112" t="s">
        <v>326</v>
      </c>
      <c r="G77" s="116" t="str">
        <f>TEXT(GC[[#This Row],[Date]],"mmm-yy")</f>
        <v>Sep-24</v>
      </c>
      <c r="H77" s="116">
        <f>DAY(EOMONTH(GC[[#This Row],[Month Year]],0))</f>
        <v>30</v>
      </c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5">
        <f>SUM(GC[[#This Row],[IS1Inv1M1]:[IS4Inv10M2]])</f>
        <v>0</v>
      </c>
      <c r="AN77" s="119"/>
      <c r="AO77" s="119"/>
    </row>
    <row r="78" spans="1:41">
      <c r="A78" s="119">
        <v>76</v>
      </c>
      <c r="B78" s="113">
        <f t="shared" si="1"/>
        <v>45549</v>
      </c>
      <c r="C78" s="114">
        <f>YEAR(GC[[#This Row],[Date]])+IF(MONTH(GC[[#This Row],[Date]])&gt;=4,1,0)</f>
        <v>2025</v>
      </c>
      <c r="D78" s="115">
        <f>YEAR(GC[[#This Row],[Date]])</f>
        <v>2024</v>
      </c>
      <c r="E78" s="112" t="s">
        <v>326</v>
      </c>
      <c r="F78" s="112" t="s">
        <v>326</v>
      </c>
      <c r="G78" s="116" t="str">
        <f>TEXT(GC[[#This Row],[Date]],"mmm-yy")</f>
        <v>Sep-24</v>
      </c>
      <c r="H78" s="116">
        <f>DAY(EOMONTH(GC[[#This Row],[Month Year]],0))</f>
        <v>30</v>
      </c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5">
        <f>SUM(GC[[#This Row],[IS1Inv1M1]:[IS4Inv10M2]])</f>
        <v>0</v>
      </c>
      <c r="AN78" s="119"/>
      <c r="AO78" s="119"/>
    </row>
    <row r="79" spans="1:41">
      <c r="A79" s="119">
        <v>77</v>
      </c>
      <c r="B79" s="113">
        <f t="shared" si="1"/>
        <v>45550</v>
      </c>
      <c r="C79" s="114">
        <f>YEAR(GC[[#This Row],[Date]])+IF(MONTH(GC[[#This Row],[Date]])&gt;=4,1,0)</f>
        <v>2025</v>
      </c>
      <c r="D79" s="115">
        <f>YEAR(GC[[#This Row],[Date]])</f>
        <v>2024</v>
      </c>
      <c r="E79" s="112" t="s">
        <v>326</v>
      </c>
      <c r="F79" s="112" t="s">
        <v>326</v>
      </c>
      <c r="G79" s="116" t="str">
        <f>TEXT(GC[[#This Row],[Date]],"mmm-yy")</f>
        <v>Sep-24</v>
      </c>
      <c r="H79" s="116">
        <f>DAY(EOMONTH(GC[[#This Row],[Month Year]],0))</f>
        <v>30</v>
      </c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5">
        <f>SUM(GC[[#This Row],[IS1Inv1M1]:[IS4Inv10M2]])</f>
        <v>0</v>
      </c>
      <c r="AN79" s="119"/>
      <c r="AO79" s="119"/>
    </row>
    <row r="80" spans="1:41">
      <c r="A80" s="119">
        <v>78</v>
      </c>
      <c r="B80" s="113">
        <f t="shared" si="1"/>
        <v>45551</v>
      </c>
      <c r="C80" s="114">
        <f>YEAR(GC[[#This Row],[Date]])+IF(MONTH(GC[[#This Row],[Date]])&gt;=4,1,0)</f>
        <v>2025</v>
      </c>
      <c r="D80" s="115">
        <f>YEAR(GC[[#This Row],[Date]])</f>
        <v>2024</v>
      </c>
      <c r="E80" s="112" t="s">
        <v>326</v>
      </c>
      <c r="F80" s="112" t="s">
        <v>326</v>
      </c>
      <c r="G80" s="116" t="str">
        <f>TEXT(GC[[#This Row],[Date]],"mmm-yy")</f>
        <v>Sep-24</v>
      </c>
      <c r="H80" s="116">
        <f>DAY(EOMONTH(GC[[#This Row],[Month Year]],0))</f>
        <v>30</v>
      </c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5">
        <f>SUM(GC[[#This Row],[IS1Inv1M1]:[IS4Inv10M2]])</f>
        <v>0</v>
      </c>
      <c r="AN80" s="119"/>
      <c r="AO80" s="119"/>
    </row>
    <row r="81" spans="1:41">
      <c r="A81" s="119">
        <v>79</v>
      </c>
      <c r="B81" s="113">
        <f t="shared" si="1"/>
        <v>45552</v>
      </c>
      <c r="C81" s="114">
        <f>YEAR(GC[[#This Row],[Date]])+IF(MONTH(GC[[#This Row],[Date]])&gt;=4,1,0)</f>
        <v>2025</v>
      </c>
      <c r="D81" s="115">
        <f>YEAR(GC[[#This Row],[Date]])</f>
        <v>2024</v>
      </c>
      <c r="E81" s="112" t="s">
        <v>326</v>
      </c>
      <c r="F81" s="112" t="s">
        <v>326</v>
      </c>
      <c r="G81" s="116" t="str">
        <f>TEXT(GC[[#This Row],[Date]],"mmm-yy")</f>
        <v>Sep-24</v>
      </c>
      <c r="H81" s="116">
        <f>DAY(EOMONTH(GC[[#This Row],[Month Year]],0))</f>
        <v>30</v>
      </c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5">
        <f>SUM(GC[[#This Row],[IS1Inv1M1]:[IS4Inv10M2]])</f>
        <v>0</v>
      </c>
      <c r="AN81" s="119"/>
      <c r="AO81" s="119"/>
    </row>
    <row r="82" spans="1:41">
      <c r="A82" s="119">
        <v>80</v>
      </c>
      <c r="B82" s="113">
        <f t="shared" si="1"/>
        <v>45553</v>
      </c>
      <c r="C82" s="114">
        <f>YEAR(GC[[#This Row],[Date]])+IF(MONTH(GC[[#This Row],[Date]])&gt;=4,1,0)</f>
        <v>2025</v>
      </c>
      <c r="D82" s="115">
        <f>YEAR(GC[[#This Row],[Date]])</f>
        <v>2024</v>
      </c>
      <c r="E82" s="112" t="s">
        <v>326</v>
      </c>
      <c r="F82" s="112" t="s">
        <v>326</v>
      </c>
      <c r="G82" s="116" t="str">
        <f>TEXT(GC[[#This Row],[Date]],"mmm-yy")</f>
        <v>Sep-24</v>
      </c>
      <c r="H82" s="116">
        <f>DAY(EOMONTH(GC[[#This Row],[Month Year]],0))</f>
        <v>30</v>
      </c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5">
        <f>SUM(GC[[#This Row],[IS1Inv1M1]:[IS4Inv10M2]])</f>
        <v>0</v>
      </c>
      <c r="AN82" s="119"/>
      <c r="AO82" s="119"/>
    </row>
    <row r="83" spans="1:41">
      <c r="A83" s="119">
        <v>81</v>
      </c>
      <c r="B83" s="113">
        <f t="shared" si="1"/>
        <v>45554</v>
      </c>
      <c r="C83" s="114">
        <f>YEAR(GC[[#This Row],[Date]])+IF(MONTH(GC[[#This Row],[Date]])&gt;=4,1,0)</f>
        <v>2025</v>
      </c>
      <c r="D83" s="115">
        <f>YEAR(GC[[#This Row],[Date]])</f>
        <v>2024</v>
      </c>
      <c r="E83" s="112" t="s">
        <v>326</v>
      </c>
      <c r="F83" s="112" t="s">
        <v>326</v>
      </c>
      <c r="G83" s="116" t="str">
        <f>TEXT(GC[[#This Row],[Date]],"mmm-yy")</f>
        <v>Sep-24</v>
      </c>
      <c r="H83" s="116">
        <f>DAY(EOMONTH(GC[[#This Row],[Month Year]],0))</f>
        <v>30</v>
      </c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5">
        <f>SUM(GC[[#This Row],[IS1Inv1M1]:[IS4Inv10M2]])</f>
        <v>0</v>
      </c>
      <c r="AN83" s="119"/>
      <c r="AO83" s="119"/>
    </row>
    <row r="84" spans="1:41">
      <c r="A84" s="119">
        <v>82</v>
      </c>
      <c r="B84" s="113">
        <f t="shared" si="1"/>
        <v>45555</v>
      </c>
      <c r="C84" s="114">
        <f>YEAR(GC[[#This Row],[Date]])+IF(MONTH(GC[[#This Row],[Date]])&gt;=4,1,0)</f>
        <v>2025</v>
      </c>
      <c r="D84" s="115">
        <f>YEAR(GC[[#This Row],[Date]])</f>
        <v>2024</v>
      </c>
      <c r="E84" s="112" t="s">
        <v>326</v>
      </c>
      <c r="F84" s="112" t="s">
        <v>326</v>
      </c>
      <c r="G84" s="116" t="str">
        <f>TEXT(GC[[#This Row],[Date]],"mmm-yy")</f>
        <v>Sep-24</v>
      </c>
      <c r="H84" s="116">
        <f>DAY(EOMONTH(GC[[#This Row],[Month Year]],0))</f>
        <v>30</v>
      </c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5">
        <f>SUM(GC[[#This Row],[IS1Inv1M1]:[IS4Inv10M2]])</f>
        <v>0</v>
      </c>
      <c r="AN84" s="119"/>
      <c r="AO84" s="119"/>
    </row>
    <row r="85" spans="1:41">
      <c r="A85" s="119">
        <v>83</v>
      </c>
      <c r="B85" s="113">
        <f t="shared" si="1"/>
        <v>45556</v>
      </c>
      <c r="C85" s="114">
        <f>YEAR(GC[[#This Row],[Date]])+IF(MONTH(GC[[#This Row],[Date]])&gt;=4,1,0)</f>
        <v>2025</v>
      </c>
      <c r="D85" s="115">
        <f>YEAR(GC[[#This Row],[Date]])</f>
        <v>2024</v>
      </c>
      <c r="E85" s="112" t="s">
        <v>326</v>
      </c>
      <c r="F85" s="112" t="s">
        <v>326</v>
      </c>
      <c r="G85" s="116" t="str">
        <f>TEXT(GC[[#This Row],[Date]],"mmm-yy")</f>
        <v>Sep-24</v>
      </c>
      <c r="H85" s="116">
        <f>DAY(EOMONTH(GC[[#This Row],[Month Year]],0))</f>
        <v>30</v>
      </c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5">
        <f>SUM(GC[[#This Row],[IS1Inv1M1]:[IS4Inv10M2]])</f>
        <v>0</v>
      </c>
      <c r="AN85" s="119"/>
      <c r="AO85" s="119"/>
    </row>
    <row r="86" spans="1:41">
      <c r="A86" s="119">
        <v>84</v>
      </c>
      <c r="B86" s="113">
        <f t="shared" si="1"/>
        <v>45557</v>
      </c>
      <c r="C86" s="114">
        <f>YEAR(GC[[#This Row],[Date]])+IF(MONTH(GC[[#This Row],[Date]])&gt;=4,1,0)</f>
        <v>2025</v>
      </c>
      <c r="D86" s="115">
        <f>YEAR(GC[[#This Row],[Date]])</f>
        <v>2024</v>
      </c>
      <c r="E86" s="112" t="s">
        <v>326</v>
      </c>
      <c r="F86" s="112" t="s">
        <v>326</v>
      </c>
      <c r="G86" s="116" t="str">
        <f>TEXT(GC[[#This Row],[Date]],"mmm-yy")</f>
        <v>Sep-24</v>
      </c>
      <c r="H86" s="116">
        <f>DAY(EOMONTH(GC[[#This Row],[Month Year]],0))</f>
        <v>30</v>
      </c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5">
        <f>SUM(GC[[#This Row],[IS1Inv1M1]:[IS4Inv10M2]])</f>
        <v>0</v>
      </c>
      <c r="AN86" s="119"/>
      <c r="AO86" s="119"/>
    </row>
    <row r="87" spans="1:41">
      <c r="A87" s="119">
        <v>85</v>
      </c>
      <c r="B87" s="113">
        <f t="shared" si="1"/>
        <v>45558</v>
      </c>
      <c r="C87" s="114">
        <f>YEAR(GC[[#This Row],[Date]])+IF(MONTH(GC[[#This Row],[Date]])&gt;=4,1,0)</f>
        <v>2025</v>
      </c>
      <c r="D87" s="115">
        <f>YEAR(GC[[#This Row],[Date]])</f>
        <v>2024</v>
      </c>
      <c r="E87" s="112" t="s">
        <v>326</v>
      </c>
      <c r="F87" s="112" t="s">
        <v>326</v>
      </c>
      <c r="G87" s="116" t="str">
        <f>TEXT(GC[[#This Row],[Date]],"mmm-yy")</f>
        <v>Sep-24</v>
      </c>
      <c r="H87" s="116">
        <f>DAY(EOMONTH(GC[[#This Row],[Month Year]],0))</f>
        <v>30</v>
      </c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5">
        <f>SUM(GC[[#This Row],[IS1Inv1M1]:[IS4Inv10M2]])</f>
        <v>0</v>
      </c>
      <c r="AN87" s="119"/>
      <c r="AO87" s="119"/>
    </row>
    <row r="88" spans="1:41">
      <c r="A88" s="119">
        <v>86</v>
      </c>
      <c r="B88" s="113">
        <f t="shared" si="1"/>
        <v>45559</v>
      </c>
      <c r="C88" s="114">
        <f>YEAR(GC[[#This Row],[Date]])+IF(MONTH(GC[[#This Row],[Date]])&gt;=4,1,0)</f>
        <v>2025</v>
      </c>
      <c r="D88" s="115">
        <f>YEAR(GC[[#This Row],[Date]])</f>
        <v>2024</v>
      </c>
      <c r="E88" s="112" t="s">
        <v>326</v>
      </c>
      <c r="F88" s="112" t="s">
        <v>326</v>
      </c>
      <c r="G88" s="116" t="str">
        <f>TEXT(GC[[#This Row],[Date]],"mmm-yy")</f>
        <v>Sep-24</v>
      </c>
      <c r="H88" s="116">
        <f>DAY(EOMONTH(GC[[#This Row],[Month Year]],0))</f>
        <v>30</v>
      </c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5">
        <f>SUM(GC[[#This Row],[IS1Inv1M1]:[IS4Inv10M2]])</f>
        <v>0</v>
      </c>
      <c r="AN88" s="119"/>
      <c r="AO88" s="119"/>
    </row>
    <row r="89" spans="1:41">
      <c r="A89" s="119">
        <v>87</v>
      </c>
      <c r="B89" s="113">
        <f t="shared" si="1"/>
        <v>45560</v>
      </c>
      <c r="C89" s="114">
        <f>YEAR(GC[[#This Row],[Date]])+IF(MONTH(GC[[#This Row],[Date]])&gt;=4,1,0)</f>
        <v>2025</v>
      </c>
      <c r="D89" s="115">
        <f>YEAR(GC[[#This Row],[Date]])</f>
        <v>2024</v>
      </c>
      <c r="E89" s="112" t="s">
        <v>326</v>
      </c>
      <c r="F89" s="112" t="s">
        <v>326</v>
      </c>
      <c r="G89" s="116" t="str">
        <f>TEXT(GC[[#This Row],[Date]],"mmm-yy")</f>
        <v>Sep-24</v>
      </c>
      <c r="H89" s="116">
        <f>DAY(EOMONTH(GC[[#This Row],[Month Year]],0))</f>
        <v>30</v>
      </c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5">
        <f>SUM(GC[[#This Row],[IS1Inv1M1]:[IS4Inv10M2]])</f>
        <v>0</v>
      </c>
      <c r="AN89" s="119"/>
      <c r="AO89" s="119"/>
    </row>
    <row r="90" spans="1:41">
      <c r="A90" s="119">
        <v>88</v>
      </c>
      <c r="B90" s="113">
        <f t="shared" si="1"/>
        <v>45561</v>
      </c>
      <c r="C90" s="114">
        <f>YEAR(GC[[#This Row],[Date]])+IF(MONTH(GC[[#This Row],[Date]])&gt;=4,1,0)</f>
        <v>2025</v>
      </c>
      <c r="D90" s="115">
        <f>YEAR(GC[[#This Row],[Date]])</f>
        <v>2024</v>
      </c>
      <c r="E90" s="112" t="s">
        <v>326</v>
      </c>
      <c r="F90" s="112" t="s">
        <v>326</v>
      </c>
      <c r="G90" s="116" t="str">
        <f>TEXT(GC[[#This Row],[Date]],"mmm-yy")</f>
        <v>Sep-24</v>
      </c>
      <c r="H90" s="116">
        <f>DAY(EOMONTH(GC[[#This Row],[Month Year]],0))</f>
        <v>30</v>
      </c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5">
        <f>SUM(GC[[#This Row],[IS1Inv1M1]:[IS4Inv10M2]])</f>
        <v>0</v>
      </c>
      <c r="AN90" s="119"/>
      <c r="AO90" s="119"/>
    </row>
    <row r="91" spans="1:41">
      <c r="A91" s="119">
        <v>89</v>
      </c>
      <c r="B91" s="113">
        <f t="shared" si="1"/>
        <v>45562</v>
      </c>
      <c r="C91" s="114">
        <f>YEAR(GC[[#This Row],[Date]])+IF(MONTH(GC[[#This Row],[Date]])&gt;=4,1,0)</f>
        <v>2025</v>
      </c>
      <c r="D91" s="115">
        <f>YEAR(GC[[#This Row],[Date]])</f>
        <v>2024</v>
      </c>
      <c r="E91" s="112" t="s">
        <v>326</v>
      </c>
      <c r="F91" s="112" t="s">
        <v>326</v>
      </c>
      <c r="G91" s="116" t="str">
        <f>TEXT(GC[[#This Row],[Date]],"mmm-yy")</f>
        <v>Sep-24</v>
      </c>
      <c r="H91" s="116">
        <f>DAY(EOMONTH(GC[[#This Row],[Month Year]],0))</f>
        <v>30</v>
      </c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5">
        <f>SUM(GC[[#This Row],[IS1Inv1M1]:[IS4Inv10M2]])</f>
        <v>0</v>
      </c>
      <c r="AN91" s="119"/>
      <c r="AO91" s="119"/>
    </row>
    <row r="92" spans="1:41">
      <c r="A92" s="119">
        <v>90</v>
      </c>
      <c r="B92" s="113">
        <f t="shared" si="1"/>
        <v>45563</v>
      </c>
      <c r="C92" s="114">
        <f>YEAR(GC[[#This Row],[Date]])+IF(MONTH(GC[[#This Row],[Date]])&gt;=4,1,0)</f>
        <v>2025</v>
      </c>
      <c r="D92" s="115">
        <f>YEAR(GC[[#This Row],[Date]])</f>
        <v>2024</v>
      </c>
      <c r="E92" s="112" t="s">
        <v>326</v>
      </c>
      <c r="F92" s="112" t="s">
        <v>326</v>
      </c>
      <c r="G92" s="116" t="str">
        <f>TEXT(GC[[#This Row],[Date]],"mmm-yy")</f>
        <v>Sep-24</v>
      </c>
      <c r="H92" s="116">
        <f>DAY(EOMONTH(GC[[#This Row],[Month Year]],0))</f>
        <v>30</v>
      </c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5">
        <f>SUM(GC[[#This Row],[IS1Inv1M1]:[IS4Inv10M2]])</f>
        <v>0</v>
      </c>
      <c r="AN92" s="119"/>
      <c r="AO92" s="119"/>
    </row>
    <row r="93" spans="1:41">
      <c r="A93" s="119">
        <v>91</v>
      </c>
      <c r="B93" s="113">
        <f t="shared" si="1"/>
        <v>45564</v>
      </c>
      <c r="C93" s="114">
        <f>YEAR(GC[[#This Row],[Date]])+IF(MONTH(GC[[#This Row],[Date]])&gt;=4,1,0)</f>
        <v>2025</v>
      </c>
      <c r="D93" s="115">
        <f>YEAR(GC[[#This Row],[Date]])</f>
        <v>2024</v>
      </c>
      <c r="E93" s="112" t="s">
        <v>326</v>
      </c>
      <c r="F93" s="112" t="s">
        <v>326</v>
      </c>
      <c r="G93" s="116" t="str">
        <f>TEXT(GC[[#This Row],[Date]],"mmm-yy")</f>
        <v>Sep-24</v>
      </c>
      <c r="H93" s="116">
        <f>DAY(EOMONTH(GC[[#This Row],[Month Year]],0))</f>
        <v>30</v>
      </c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5">
        <f>SUM(GC[[#This Row],[IS1Inv1M1]:[IS4Inv10M2]])</f>
        <v>0</v>
      </c>
      <c r="AN93" s="119"/>
      <c r="AO93" s="119"/>
    </row>
    <row r="94" spans="1:41">
      <c r="A94" s="119">
        <v>92</v>
      </c>
      <c r="B94" s="113">
        <f t="shared" si="1"/>
        <v>45565</v>
      </c>
      <c r="C94" s="114">
        <f>YEAR(GC[[#This Row],[Date]])+IF(MONTH(GC[[#This Row],[Date]])&gt;=4,1,0)</f>
        <v>2025</v>
      </c>
      <c r="D94" s="115">
        <f>YEAR(GC[[#This Row],[Date]])</f>
        <v>2024</v>
      </c>
      <c r="E94" s="112" t="s">
        <v>326</v>
      </c>
      <c r="F94" s="112" t="s">
        <v>326</v>
      </c>
      <c r="G94" s="116" t="str">
        <f>TEXT(GC[[#This Row],[Date]],"mmm-yy")</f>
        <v>Sep-24</v>
      </c>
      <c r="H94" s="116">
        <f>DAY(EOMONTH(GC[[#This Row],[Month Year]],0))</f>
        <v>30</v>
      </c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5">
        <f>SUM(GC[[#This Row],[IS1Inv1M1]:[IS4Inv10M2]])</f>
        <v>0</v>
      </c>
      <c r="AN94" s="119"/>
      <c r="AO94" s="119"/>
    </row>
    <row r="95" spans="1:41">
      <c r="A95" s="119">
        <v>93</v>
      </c>
      <c r="B95" s="113">
        <f t="shared" si="1"/>
        <v>45566</v>
      </c>
      <c r="C95" s="114">
        <f>YEAR(GC[[#This Row],[Date]])+IF(MONTH(GC[[#This Row],[Date]])&gt;=4,1,0)</f>
        <v>2025</v>
      </c>
      <c r="D95" s="115">
        <f>YEAR(GC[[#This Row],[Date]])</f>
        <v>2024</v>
      </c>
      <c r="E95" s="112" t="s">
        <v>326</v>
      </c>
      <c r="F95" s="112" t="s">
        <v>326</v>
      </c>
      <c r="G95" s="116" t="str">
        <f>TEXT(GC[[#This Row],[Date]],"mmm-yy")</f>
        <v>Oct-24</v>
      </c>
      <c r="H95" s="116">
        <f>DAY(EOMONTH(GC[[#This Row],[Month Year]],0))</f>
        <v>31</v>
      </c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5">
        <f>SUM(GC[[#This Row],[IS1Inv1M1]:[IS4Inv10M2]])</f>
        <v>0</v>
      </c>
      <c r="AN95" s="119"/>
      <c r="AO95" s="119"/>
    </row>
    <row r="96" spans="1:41">
      <c r="A96" s="119">
        <v>94</v>
      </c>
      <c r="B96" s="113">
        <f t="shared" si="1"/>
        <v>45567</v>
      </c>
      <c r="C96" s="114">
        <f>YEAR(GC[[#This Row],[Date]])+IF(MONTH(GC[[#This Row],[Date]])&gt;=4,1,0)</f>
        <v>2025</v>
      </c>
      <c r="D96" s="115">
        <f>YEAR(GC[[#This Row],[Date]])</f>
        <v>2024</v>
      </c>
      <c r="E96" s="112" t="s">
        <v>326</v>
      </c>
      <c r="F96" s="112" t="s">
        <v>326</v>
      </c>
      <c r="G96" s="116" t="str">
        <f>TEXT(GC[[#This Row],[Date]],"mmm-yy")</f>
        <v>Oct-24</v>
      </c>
      <c r="H96" s="116">
        <f>DAY(EOMONTH(GC[[#This Row],[Month Year]],0))</f>
        <v>31</v>
      </c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5">
        <f>SUM(GC[[#This Row],[IS1Inv1M1]:[IS4Inv10M2]])</f>
        <v>0</v>
      </c>
      <c r="AN96" s="119"/>
      <c r="AO96" s="119"/>
    </row>
    <row r="97" spans="1:41">
      <c r="A97" s="119">
        <v>95</v>
      </c>
      <c r="B97" s="113">
        <f t="shared" si="1"/>
        <v>45568</v>
      </c>
      <c r="C97" s="114">
        <f>YEAR(GC[[#This Row],[Date]])+IF(MONTH(GC[[#This Row],[Date]])&gt;=4,1,0)</f>
        <v>2025</v>
      </c>
      <c r="D97" s="115">
        <f>YEAR(GC[[#This Row],[Date]])</f>
        <v>2024</v>
      </c>
      <c r="E97" s="112" t="s">
        <v>326</v>
      </c>
      <c r="F97" s="112" t="s">
        <v>326</v>
      </c>
      <c r="G97" s="116" t="str">
        <f>TEXT(GC[[#This Row],[Date]],"mmm-yy")</f>
        <v>Oct-24</v>
      </c>
      <c r="H97" s="116">
        <f>DAY(EOMONTH(GC[[#This Row],[Month Year]],0))</f>
        <v>31</v>
      </c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5">
        <f>SUM(GC[[#This Row],[IS1Inv1M1]:[IS4Inv10M2]])</f>
        <v>0</v>
      </c>
      <c r="AN97" s="119"/>
      <c r="AO97" s="119"/>
    </row>
    <row r="98" spans="1:41">
      <c r="A98" s="119">
        <v>96</v>
      </c>
      <c r="B98" s="113">
        <f t="shared" si="1"/>
        <v>45569</v>
      </c>
      <c r="C98" s="114">
        <f>YEAR(GC[[#This Row],[Date]])+IF(MONTH(GC[[#This Row],[Date]])&gt;=4,1,0)</f>
        <v>2025</v>
      </c>
      <c r="D98" s="115">
        <f>YEAR(GC[[#This Row],[Date]])</f>
        <v>2024</v>
      </c>
      <c r="E98" s="112" t="s">
        <v>326</v>
      </c>
      <c r="F98" s="112" t="s">
        <v>326</v>
      </c>
      <c r="G98" s="116" t="str">
        <f>TEXT(GC[[#This Row],[Date]],"mmm-yy")</f>
        <v>Oct-24</v>
      </c>
      <c r="H98" s="116">
        <f>DAY(EOMONTH(GC[[#This Row],[Month Year]],0))</f>
        <v>31</v>
      </c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5">
        <f>SUM(GC[[#This Row],[IS1Inv1M1]:[IS4Inv10M2]])</f>
        <v>0</v>
      </c>
      <c r="AN98" s="119"/>
      <c r="AO98" s="119"/>
    </row>
    <row r="99" spans="1:41">
      <c r="A99" s="119">
        <v>97</v>
      </c>
      <c r="B99" s="113">
        <f t="shared" si="1"/>
        <v>45570</v>
      </c>
      <c r="C99" s="114">
        <f>YEAR(GC[[#This Row],[Date]])+IF(MONTH(GC[[#This Row],[Date]])&gt;=4,1,0)</f>
        <v>2025</v>
      </c>
      <c r="D99" s="115">
        <f>YEAR(GC[[#This Row],[Date]])</f>
        <v>2024</v>
      </c>
      <c r="E99" s="112" t="s">
        <v>326</v>
      </c>
      <c r="F99" s="112" t="s">
        <v>326</v>
      </c>
      <c r="G99" s="116" t="str">
        <f>TEXT(GC[[#This Row],[Date]],"mmm-yy")</f>
        <v>Oct-24</v>
      </c>
      <c r="H99" s="116">
        <f>DAY(EOMONTH(GC[[#This Row],[Month Year]],0))</f>
        <v>31</v>
      </c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5">
        <f>SUM(GC[[#This Row],[IS1Inv1M1]:[IS4Inv10M2]])</f>
        <v>0</v>
      </c>
      <c r="AN99" s="119"/>
      <c r="AO99" s="119"/>
    </row>
    <row r="100" spans="1:41">
      <c r="A100" s="119">
        <v>98</v>
      </c>
      <c r="B100" s="113">
        <f t="shared" si="1"/>
        <v>45571</v>
      </c>
      <c r="C100" s="114">
        <f>YEAR(GC[[#This Row],[Date]])+IF(MONTH(GC[[#This Row],[Date]])&gt;=4,1,0)</f>
        <v>2025</v>
      </c>
      <c r="D100" s="115">
        <f>YEAR(GC[[#This Row],[Date]])</f>
        <v>2024</v>
      </c>
      <c r="E100" s="112" t="s">
        <v>326</v>
      </c>
      <c r="F100" s="112" t="s">
        <v>326</v>
      </c>
      <c r="G100" s="116" t="str">
        <f>TEXT(GC[[#This Row],[Date]],"mmm-yy")</f>
        <v>Oct-24</v>
      </c>
      <c r="H100" s="116">
        <f>DAY(EOMONTH(GC[[#This Row],[Month Year]],0))</f>
        <v>31</v>
      </c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5">
        <f>SUM(GC[[#This Row],[IS1Inv1M1]:[IS4Inv10M2]])</f>
        <v>0</v>
      </c>
      <c r="AN100" s="119"/>
      <c r="AO100" s="119"/>
    </row>
    <row r="101" spans="1:41">
      <c r="A101" s="119">
        <v>99</v>
      </c>
      <c r="B101" s="113">
        <f t="shared" si="1"/>
        <v>45572</v>
      </c>
      <c r="C101" s="114">
        <f>YEAR(GC[[#This Row],[Date]])+IF(MONTH(GC[[#This Row],[Date]])&gt;=4,1,0)</f>
        <v>2025</v>
      </c>
      <c r="D101" s="115">
        <f>YEAR(GC[[#This Row],[Date]])</f>
        <v>2024</v>
      </c>
      <c r="E101" s="112" t="s">
        <v>326</v>
      </c>
      <c r="F101" s="112" t="s">
        <v>326</v>
      </c>
      <c r="G101" s="116" t="str">
        <f>TEXT(GC[[#This Row],[Date]],"mmm-yy")</f>
        <v>Oct-24</v>
      </c>
      <c r="H101" s="116">
        <f>DAY(EOMONTH(GC[[#This Row],[Month Year]],0))</f>
        <v>31</v>
      </c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5">
        <f>SUM(GC[[#This Row],[IS1Inv1M1]:[IS4Inv10M2]])</f>
        <v>0</v>
      </c>
      <c r="AN101" s="119"/>
      <c r="AO101" s="119"/>
    </row>
    <row r="102" spans="1:41">
      <c r="A102" s="119">
        <v>100</v>
      </c>
      <c r="B102" s="113">
        <f t="shared" si="1"/>
        <v>45573</v>
      </c>
      <c r="C102" s="114">
        <f>YEAR(GC[[#This Row],[Date]])+IF(MONTH(GC[[#This Row],[Date]])&gt;=4,1,0)</f>
        <v>2025</v>
      </c>
      <c r="D102" s="115">
        <f>YEAR(GC[[#This Row],[Date]])</f>
        <v>2024</v>
      </c>
      <c r="E102" s="112" t="s">
        <v>326</v>
      </c>
      <c r="F102" s="112" t="s">
        <v>326</v>
      </c>
      <c r="G102" s="116" t="str">
        <f>TEXT(GC[[#This Row],[Date]],"mmm-yy")</f>
        <v>Oct-24</v>
      </c>
      <c r="H102" s="116">
        <f>DAY(EOMONTH(GC[[#This Row],[Month Year]],0))</f>
        <v>31</v>
      </c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5">
        <f>SUM(GC[[#This Row],[IS1Inv1M1]:[IS4Inv10M2]])</f>
        <v>0</v>
      </c>
      <c r="AN102" s="119"/>
      <c r="AO102" s="119"/>
    </row>
    <row r="103" spans="1:41">
      <c r="A103" s="119">
        <v>101</v>
      </c>
      <c r="B103" s="113">
        <f t="shared" si="1"/>
        <v>45574</v>
      </c>
      <c r="C103" s="114">
        <f>YEAR(GC[[#This Row],[Date]])+IF(MONTH(GC[[#This Row],[Date]])&gt;=4,1,0)</f>
        <v>2025</v>
      </c>
      <c r="D103" s="115">
        <f>YEAR(GC[[#This Row],[Date]])</f>
        <v>2024</v>
      </c>
      <c r="E103" s="112" t="s">
        <v>326</v>
      </c>
      <c r="F103" s="112" t="s">
        <v>326</v>
      </c>
      <c r="G103" s="116" t="str">
        <f>TEXT(GC[[#This Row],[Date]],"mmm-yy")</f>
        <v>Oct-24</v>
      </c>
      <c r="H103" s="116">
        <f>DAY(EOMONTH(GC[[#This Row],[Month Year]],0))</f>
        <v>31</v>
      </c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5">
        <f>SUM(GC[[#This Row],[IS1Inv1M1]:[IS4Inv10M2]])</f>
        <v>0</v>
      </c>
      <c r="AN103" s="119"/>
      <c r="AO103" s="119"/>
    </row>
    <row r="104" spans="1:41">
      <c r="A104" s="119">
        <v>102</v>
      </c>
      <c r="B104" s="113">
        <f t="shared" si="1"/>
        <v>45575</v>
      </c>
      <c r="C104" s="114">
        <f>YEAR(GC[[#This Row],[Date]])+IF(MONTH(GC[[#This Row],[Date]])&gt;=4,1,0)</f>
        <v>2025</v>
      </c>
      <c r="D104" s="115">
        <f>YEAR(GC[[#This Row],[Date]])</f>
        <v>2024</v>
      </c>
      <c r="E104" s="112" t="s">
        <v>326</v>
      </c>
      <c r="F104" s="112" t="s">
        <v>326</v>
      </c>
      <c r="G104" s="116" t="str">
        <f>TEXT(GC[[#This Row],[Date]],"mmm-yy")</f>
        <v>Oct-24</v>
      </c>
      <c r="H104" s="116">
        <f>DAY(EOMONTH(GC[[#This Row],[Month Year]],0))</f>
        <v>31</v>
      </c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5">
        <f>SUM(GC[[#This Row],[IS1Inv1M1]:[IS4Inv10M2]])</f>
        <v>0</v>
      </c>
      <c r="AN104" s="119"/>
      <c r="AO104" s="119"/>
    </row>
    <row r="105" spans="1:41">
      <c r="A105" s="119">
        <v>103</v>
      </c>
      <c r="B105" s="113">
        <f t="shared" si="1"/>
        <v>45576</v>
      </c>
      <c r="C105" s="114">
        <f>YEAR(GC[[#This Row],[Date]])+IF(MONTH(GC[[#This Row],[Date]])&gt;=4,1,0)</f>
        <v>2025</v>
      </c>
      <c r="D105" s="115">
        <f>YEAR(GC[[#This Row],[Date]])</f>
        <v>2024</v>
      </c>
      <c r="E105" s="112" t="s">
        <v>326</v>
      </c>
      <c r="F105" s="112" t="s">
        <v>326</v>
      </c>
      <c r="G105" s="116" t="str">
        <f>TEXT(GC[[#This Row],[Date]],"mmm-yy")</f>
        <v>Oct-24</v>
      </c>
      <c r="H105" s="116">
        <f>DAY(EOMONTH(GC[[#This Row],[Month Year]],0))</f>
        <v>31</v>
      </c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5">
        <f>SUM(GC[[#This Row],[IS1Inv1M1]:[IS4Inv10M2]])</f>
        <v>0</v>
      </c>
      <c r="AN105" s="119"/>
      <c r="AO105" s="119"/>
    </row>
    <row r="106" spans="1:41">
      <c r="A106" s="119">
        <v>104</v>
      </c>
      <c r="B106" s="113">
        <f t="shared" si="1"/>
        <v>45577</v>
      </c>
      <c r="C106" s="114">
        <f>YEAR(GC[[#This Row],[Date]])+IF(MONTH(GC[[#This Row],[Date]])&gt;=4,1,0)</f>
        <v>2025</v>
      </c>
      <c r="D106" s="115">
        <f>YEAR(GC[[#This Row],[Date]])</f>
        <v>2024</v>
      </c>
      <c r="E106" s="112" t="s">
        <v>326</v>
      </c>
      <c r="F106" s="112" t="s">
        <v>326</v>
      </c>
      <c r="G106" s="116" t="str">
        <f>TEXT(GC[[#This Row],[Date]],"mmm-yy")</f>
        <v>Oct-24</v>
      </c>
      <c r="H106" s="116">
        <f>DAY(EOMONTH(GC[[#This Row],[Month Year]],0))</f>
        <v>31</v>
      </c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5">
        <f>SUM(GC[[#This Row],[IS1Inv1M1]:[IS4Inv10M2]])</f>
        <v>0</v>
      </c>
      <c r="AN106" s="119"/>
      <c r="AO106" s="119"/>
    </row>
    <row r="107" spans="1:41">
      <c r="A107" s="119">
        <v>105</v>
      </c>
      <c r="B107" s="113">
        <f t="shared" si="1"/>
        <v>45578</v>
      </c>
      <c r="C107" s="114">
        <f>YEAR(GC[[#This Row],[Date]])+IF(MONTH(GC[[#This Row],[Date]])&gt;=4,1,0)</f>
        <v>2025</v>
      </c>
      <c r="D107" s="115">
        <f>YEAR(GC[[#This Row],[Date]])</f>
        <v>2024</v>
      </c>
      <c r="E107" s="112" t="s">
        <v>326</v>
      </c>
      <c r="F107" s="112" t="s">
        <v>326</v>
      </c>
      <c r="G107" s="116" t="str">
        <f>TEXT(GC[[#This Row],[Date]],"mmm-yy")</f>
        <v>Oct-24</v>
      </c>
      <c r="H107" s="116">
        <f>DAY(EOMONTH(GC[[#This Row],[Month Year]],0))</f>
        <v>31</v>
      </c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5">
        <f>SUM(GC[[#This Row],[IS1Inv1M1]:[IS4Inv10M2]])</f>
        <v>0</v>
      </c>
      <c r="AN107" s="119"/>
      <c r="AO107" s="119"/>
    </row>
    <row r="108" spans="1:41">
      <c r="A108" s="119">
        <v>106</v>
      </c>
      <c r="B108" s="113">
        <f t="shared" si="1"/>
        <v>45579</v>
      </c>
      <c r="C108" s="114">
        <f>YEAR(GC[[#This Row],[Date]])+IF(MONTH(GC[[#This Row],[Date]])&gt;=4,1,0)</f>
        <v>2025</v>
      </c>
      <c r="D108" s="115">
        <f>YEAR(GC[[#This Row],[Date]])</f>
        <v>2024</v>
      </c>
      <c r="E108" s="112" t="s">
        <v>326</v>
      </c>
      <c r="F108" s="112" t="s">
        <v>326</v>
      </c>
      <c r="G108" s="116" t="str">
        <f>TEXT(GC[[#This Row],[Date]],"mmm-yy")</f>
        <v>Oct-24</v>
      </c>
      <c r="H108" s="116">
        <f>DAY(EOMONTH(GC[[#This Row],[Month Year]],0))</f>
        <v>31</v>
      </c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5">
        <f>SUM(GC[[#This Row],[IS1Inv1M1]:[IS4Inv10M2]])</f>
        <v>0</v>
      </c>
      <c r="AN108" s="119"/>
      <c r="AO108" s="119"/>
    </row>
    <row r="109" spans="1:41">
      <c r="A109" s="119">
        <v>107</v>
      </c>
      <c r="B109" s="113">
        <f t="shared" si="1"/>
        <v>45580</v>
      </c>
      <c r="C109" s="114">
        <f>YEAR(GC[[#This Row],[Date]])+IF(MONTH(GC[[#This Row],[Date]])&gt;=4,1,0)</f>
        <v>2025</v>
      </c>
      <c r="D109" s="115">
        <f>YEAR(GC[[#This Row],[Date]])</f>
        <v>2024</v>
      </c>
      <c r="E109" s="112" t="s">
        <v>326</v>
      </c>
      <c r="F109" s="112" t="s">
        <v>326</v>
      </c>
      <c r="G109" s="116" t="str">
        <f>TEXT(GC[[#This Row],[Date]],"mmm-yy")</f>
        <v>Oct-24</v>
      </c>
      <c r="H109" s="116">
        <f>DAY(EOMONTH(GC[[#This Row],[Month Year]],0))</f>
        <v>31</v>
      </c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5">
        <f>SUM(GC[[#This Row],[IS1Inv1M1]:[IS4Inv10M2]])</f>
        <v>0</v>
      </c>
      <c r="AN109" s="119"/>
      <c r="AO109" s="119"/>
    </row>
    <row r="110" spans="1:41">
      <c r="A110" s="119">
        <v>108</v>
      </c>
      <c r="B110" s="113">
        <f t="shared" si="1"/>
        <v>45581</v>
      </c>
      <c r="C110" s="114">
        <f>YEAR(GC[[#This Row],[Date]])+IF(MONTH(GC[[#This Row],[Date]])&gt;=4,1,0)</f>
        <v>2025</v>
      </c>
      <c r="D110" s="115">
        <f>YEAR(GC[[#This Row],[Date]])</f>
        <v>2024</v>
      </c>
      <c r="E110" s="112" t="s">
        <v>326</v>
      </c>
      <c r="F110" s="112" t="s">
        <v>326</v>
      </c>
      <c r="G110" s="116" t="str">
        <f>TEXT(GC[[#This Row],[Date]],"mmm-yy")</f>
        <v>Oct-24</v>
      </c>
      <c r="H110" s="116">
        <f>DAY(EOMONTH(GC[[#This Row],[Month Year]],0))</f>
        <v>31</v>
      </c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5">
        <f>SUM(GC[[#This Row],[IS1Inv1M1]:[IS4Inv10M2]])</f>
        <v>0</v>
      </c>
      <c r="AN110" s="119"/>
      <c r="AO110" s="119"/>
    </row>
    <row r="111" spans="1:41">
      <c r="A111" s="119">
        <v>109</v>
      </c>
      <c r="B111" s="113">
        <f t="shared" si="1"/>
        <v>45582</v>
      </c>
      <c r="C111" s="114">
        <f>YEAR(GC[[#This Row],[Date]])+IF(MONTH(GC[[#This Row],[Date]])&gt;=4,1,0)</f>
        <v>2025</v>
      </c>
      <c r="D111" s="115">
        <f>YEAR(GC[[#This Row],[Date]])</f>
        <v>2024</v>
      </c>
      <c r="E111" s="112" t="s">
        <v>326</v>
      </c>
      <c r="F111" s="112" t="s">
        <v>326</v>
      </c>
      <c r="G111" s="116" t="str">
        <f>TEXT(GC[[#This Row],[Date]],"mmm-yy")</f>
        <v>Oct-24</v>
      </c>
      <c r="H111" s="116">
        <f>DAY(EOMONTH(GC[[#This Row],[Month Year]],0))</f>
        <v>31</v>
      </c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5">
        <f>SUM(GC[[#This Row],[IS1Inv1M1]:[IS4Inv10M2]])</f>
        <v>0</v>
      </c>
      <c r="AN111" s="119"/>
      <c r="AO111" s="119"/>
    </row>
    <row r="112" spans="1:41">
      <c r="A112" s="119">
        <v>110</v>
      </c>
      <c r="B112" s="113">
        <f t="shared" si="1"/>
        <v>45583</v>
      </c>
      <c r="C112" s="114">
        <f>YEAR(GC[[#This Row],[Date]])+IF(MONTH(GC[[#This Row],[Date]])&gt;=4,1,0)</f>
        <v>2025</v>
      </c>
      <c r="D112" s="115">
        <f>YEAR(GC[[#This Row],[Date]])</f>
        <v>2024</v>
      </c>
      <c r="E112" s="112" t="s">
        <v>326</v>
      </c>
      <c r="F112" s="112" t="s">
        <v>326</v>
      </c>
      <c r="G112" s="116" t="str">
        <f>TEXT(GC[[#This Row],[Date]],"mmm-yy")</f>
        <v>Oct-24</v>
      </c>
      <c r="H112" s="116">
        <f>DAY(EOMONTH(GC[[#This Row],[Month Year]],0))</f>
        <v>31</v>
      </c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5">
        <f>SUM(GC[[#This Row],[IS1Inv1M1]:[IS4Inv10M2]])</f>
        <v>0</v>
      </c>
      <c r="AN112" s="119"/>
      <c r="AO112" s="119"/>
    </row>
    <row r="113" spans="1:41">
      <c r="A113" s="119">
        <v>111</v>
      </c>
      <c r="B113" s="113">
        <f t="shared" si="1"/>
        <v>45584</v>
      </c>
      <c r="C113" s="114">
        <f>YEAR(GC[[#This Row],[Date]])+IF(MONTH(GC[[#This Row],[Date]])&gt;=4,1,0)</f>
        <v>2025</v>
      </c>
      <c r="D113" s="115">
        <f>YEAR(GC[[#This Row],[Date]])</f>
        <v>2024</v>
      </c>
      <c r="E113" s="112" t="s">
        <v>326</v>
      </c>
      <c r="F113" s="112" t="s">
        <v>326</v>
      </c>
      <c r="G113" s="116" t="str">
        <f>TEXT(GC[[#This Row],[Date]],"mmm-yy")</f>
        <v>Oct-24</v>
      </c>
      <c r="H113" s="116">
        <f>DAY(EOMONTH(GC[[#This Row],[Month Year]],0))</f>
        <v>31</v>
      </c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5">
        <f>SUM(GC[[#This Row],[IS1Inv1M1]:[IS4Inv10M2]])</f>
        <v>0</v>
      </c>
      <c r="AN113" s="119"/>
      <c r="AO113" s="119"/>
    </row>
    <row r="114" spans="1:41">
      <c r="A114" s="119">
        <v>112</v>
      </c>
      <c r="B114" s="113">
        <f t="shared" si="1"/>
        <v>45585</v>
      </c>
      <c r="C114" s="114">
        <f>YEAR(GC[[#This Row],[Date]])+IF(MONTH(GC[[#This Row],[Date]])&gt;=4,1,0)</f>
        <v>2025</v>
      </c>
      <c r="D114" s="115">
        <f>YEAR(GC[[#This Row],[Date]])</f>
        <v>2024</v>
      </c>
      <c r="E114" s="112" t="s">
        <v>326</v>
      </c>
      <c r="F114" s="112" t="s">
        <v>326</v>
      </c>
      <c r="G114" s="116" t="str">
        <f>TEXT(GC[[#This Row],[Date]],"mmm-yy")</f>
        <v>Oct-24</v>
      </c>
      <c r="H114" s="116">
        <f>DAY(EOMONTH(GC[[#This Row],[Month Year]],0))</f>
        <v>31</v>
      </c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5">
        <f>SUM(GC[[#This Row],[IS1Inv1M1]:[IS4Inv10M2]])</f>
        <v>0</v>
      </c>
      <c r="AN114" s="119"/>
      <c r="AO114" s="119"/>
    </row>
    <row r="115" spans="1:41">
      <c r="A115" s="119">
        <v>113</v>
      </c>
      <c r="B115" s="113">
        <f t="shared" si="1"/>
        <v>45586</v>
      </c>
      <c r="C115" s="114">
        <f>YEAR(GC[[#This Row],[Date]])+IF(MONTH(GC[[#This Row],[Date]])&gt;=4,1,0)</f>
        <v>2025</v>
      </c>
      <c r="D115" s="115">
        <f>YEAR(GC[[#This Row],[Date]])</f>
        <v>2024</v>
      </c>
      <c r="E115" s="112" t="s">
        <v>326</v>
      </c>
      <c r="F115" s="112" t="s">
        <v>326</v>
      </c>
      <c r="G115" s="116" t="str">
        <f>TEXT(GC[[#This Row],[Date]],"mmm-yy")</f>
        <v>Oct-24</v>
      </c>
      <c r="H115" s="116">
        <f>DAY(EOMONTH(GC[[#This Row],[Month Year]],0))</f>
        <v>31</v>
      </c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5">
        <f>SUM(GC[[#This Row],[IS1Inv1M1]:[IS4Inv10M2]])</f>
        <v>0</v>
      </c>
      <c r="AN115" s="119"/>
      <c r="AO115" s="119"/>
    </row>
    <row r="116" spans="1:41">
      <c r="A116" s="119">
        <v>114</v>
      </c>
      <c r="B116" s="113">
        <f t="shared" si="1"/>
        <v>45587</v>
      </c>
      <c r="C116" s="114">
        <f>YEAR(GC[[#This Row],[Date]])+IF(MONTH(GC[[#This Row],[Date]])&gt;=4,1,0)</f>
        <v>2025</v>
      </c>
      <c r="D116" s="115">
        <f>YEAR(GC[[#This Row],[Date]])</f>
        <v>2024</v>
      </c>
      <c r="E116" s="112" t="s">
        <v>326</v>
      </c>
      <c r="F116" s="112" t="s">
        <v>326</v>
      </c>
      <c r="G116" s="116" t="str">
        <f>TEXT(GC[[#This Row],[Date]],"mmm-yy")</f>
        <v>Oct-24</v>
      </c>
      <c r="H116" s="116">
        <f>DAY(EOMONTH(GC[[#This Row],[Month Year]],0))</f>
        <v>31</v>
      </c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5">
        <f>SUM(GC[[#This Row],[IS1Inv1M1]:[IS4Inv10M2]])</f>
        <v>0</v>
      </c>
      <c r="AN116" s="119"/>
      <c r="AO116" s="119"/>
    </row>
    <row r="117" spans="1:41">
      <c r="A117" s="119">
        <v>115</v>
      </c>
      <c r="B117" s="113">
        <f t="shared" si="1"/>
        <v>45588</v>
      </c>
      <c r="C117" s="114">
        <f>YEAR(GC[[#This Row],[Date]])+IF(MONTH(GC[[#This Row],[Date]])&gt;=4,1,0)</f>
        <v>2025</v>
      </c>
      <c r="D117" s="115">
        <f>YEAR(GC[[#This Row],[Date]])</f>
        <v>2024</v>
      </c>
      <c r="E117" s="112" t="s">
        <v>326</v>
      </c>
      <c r="F117" s="112" t="s">
        <v>326</v>
      </c>
      <c r="G117" s="116" t="str">
        <f>TEXT(GC[[#This Row],[Date]],"mmm-yy")</f>
        <v>Oct-24</v>
      </c>
      <c r="H117" s="116">
        <f>DAY(EOMONTH(GC[[#This Row],[Month Year]],0))</f>
        <v>31</v>
      </c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5">
        <f>SUM(GC[[#This Row],[IS1Inv1M1]:[IS4Inv10M2]])</f>
        <v>0</v>
      </c>
      <c r="AN117" s="119"/>
      <c r="AO117" s="119"/>
    </row>
    <row r="118" spans="1:41">
      <c r="A118" s="119">
        <v>116</v>
      </c>
      <c r="B118" s="113">
        <f t="shared" si="1"/>
        <v>45589</v>
      </c>
      <c r="C118" s="114">
        <f>YEAR(GC[[#This Row],[Date]])+IF(MONTH(GC[[#This Row],[Date]])&gt;=4,1,0)</f>
        <v>2025</v>
      </c>
      <c r="D118" s="115">
        <f>YEAR(GC[[#This Row],[Date]])</f>
        <v>2024</v>
      </c>
      <c r="E118" s="112" t="s">
        <v>326</v>
      </c>
      <c r="F118" s="112" t="s">
        <v>326</v>
      </c>
      <c r="G118" s="116" t="str">
        <f>TEXT(GC[[#This Row],[Date]],"mmm-yy")</f>
        <v>Oct-24</v>
      </c>
      <c r="H118" s="116">
        <f>DAY(EOMONTH(GC[[#This Row],[Month Year]],0))</f>
        <v>31</v>
      </c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5">
        <f>SUM(GC[[#This Row],[IS1Inv1M1]:[IS4Inv10M2]])</f>
        <v>0</v>
      </c>
      <c r="AN118" s="119"/>
      <c r="AO118" s="119"/>
    </row>
    <row r="119" spans="1:41">
      <c r="A119" s="119">
        <v>117</v>
      </c>
      <c r="B119" s="113">
        <f t="shared" si="1"/>
        <v>45590</v>
      </c>
      <c r="C119" s="114">
        <f>YEAR(GC[[#This Row],[Date]])+IF(MONTH(GC[[#This Row],[Date]])&gt;=4,1,0)</f>
        <v>2025</v>
      </c>
      <c r="D119" s="115">
        <f>YEAR(GC[[#This Row],[Date]])</f>
        <v>2024</v>
      </c>
      <c r="E119" s="112" t="s">
        <v>326</v>
      </c>
      <c r="F119" s="112" t="s">
        <v>326</v>
      </c>
      <c r="G119" s="116" t="str">
        <f>TEXT(GC[[#This Row],[Date]],"mmm-yy")</f>
        <v>Oct-24</v>
      </c>
      <c r="H119" s="116">
        <f>DAY(EOMONTH(GC[[#This Row],[Month Year]],0))</f>
        <v>31</v>
      </c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5">
        <f>SUM(GC[[#This Row],[IS1Inv1M1]:[IS4Inv10M2]])</f>
        <v>0</v>
      </c>
      <c r="AN119" s="119"/>
      <c r="AO119" s="119"/>
    </row>
    <row r="120" spans="1:41">
      <c r="A120" s="119">
        <v>118</v>
      </c>
      <c r="B120" s="113">
        <f t="shared" si="1"/>
        <v>45591</v>
      </c>
      <c r="C120" s="114">
        <f>YEAR(GC[[#This Row],[Date]])+IF(MONTH(GC[[#This Row],[Date]])&gt;=4,1,0)</f>
        <v>2025</v>
      </c>
      <c r="D120" s="115">
        <f>YEAR(GC[[#This Row],[Date]])</f>
        <v>2024</v>
      </c>
      <c r="E120" s="112" t="s">
        <v>326</v>
      </c>
      <c r="F120" s="112" t="s">
        <v>326</v>
      </c>
      <c r="G120" s="116" t="str">
        <f>TEXT(GC[[#This Row],[Date]],"mmm-yy")</f>
        <v>Oct-24</v>
      </c>
      <c r="H120" s="116">
        <f>DAY(EOMONTH(GC[[#This Row],[Month Year]],0))</f>
        <v>31</v>
      </c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5">
        <f>SUM(GC[[#This Row],[IS1Inv1M1]:[IS4Inv10M2]])</f>
        <v>0</v>
      </c>
      <c r="AN120" s="119"/>
      <c r="AO120" s="119"/>
    </row>
    <row r="121" spans="1:41">
      <c r="A121" s="119">
        <v>119</v>
      </c>
      <c r="B121" s="113">
        <f t="shared" si="1"/>
        <v>45592</v>
      </c>
      <c r="C121" s="114">
        <f>YEAR(GC[[#This Row],[Date]])+IF(MONTH(GC[[#This Row],[Date]])&gt;=4,1,0)</f>
        <v>2025</v>
      </c>
      <c r="D121" s="115">
        <f>YEAR(GC[[#This Row],[Date]])</f>
        <v>2024</v>
      </c>
      <c r="E121" s="112" t="s">
        <v>326</v>
      </c>
      <c r="F121" s="112" t="s">
        <v>326</v>
      </c>
      <c r="G121" s="116" t="str">
        <f>TEXT(GC[[#This Row],[Date]],"mmm-yy")</f>
        <v>Oct-24</v>
      </c>
      <c r="H121" s="116">
        <f>DAY(EOMONTH(GC[[#This Row],[Month Year]],0))</f>
        <v>31</v>
      </c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5">
        <f>SUM(GC[[#This Row],[IS1Inv1M1]:[IS4Inv10M2]])</f>
        <v>0</v>
      </c>
      <c r="AN121" s="119"/>
      <c r="AO121" s="119"/>
    </row>
    <row r="122" spans="1:41">
      <c r="A122" s="119">
        <v>120</v>
      </c>
      <c r="B122" s="113">
        <f t="shared" si="1"/>
        <v>45593</v>
      </c>
      <c r="C122" s="114">
        <f>YEAR(GC[[#This Row],[Date]])+IF(MONTH(GC[[#This Row],[Date]])&gt;=4,1,0)</f>
        <v>2025</v>
      </c>
      <c r="D122" s="115">
        <f>YEAR(GC[[#This Row],[Date]])</f>
        <v>2024</v>
      </c>
      <c r="E122" s="112" t="s">
        <v>326</v>
      </c>
      <c r="F122" s="112" t="s">
        <v>326</v>
      </c>
      <c r="G122" s="116" t="str">
        <f>TEXT(GC[[#This Row],[Date]],"mmm-yy")</f>
        <v>Oct-24</v>
      </c>
      <c r="H122" s="116">
        <f>DAY(EOMONTH(GC[[#This Row],[Month Year]],0))</f>
        <v>31</v>
      </c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5">
        <f>SUM(GC[[#This Row],[IS1Inv1M1]:[IS4Inv10M2]])</f>
        <v>0</v>
      </c>
      <c r="AN122" s="119"/>
      <c r="AO122" s="119"/>
    </row>
    <row r="123" spans="1:41">
      <c r="A123" s="119">
        <v>120</v>
      </c>
      <c r="B123" s="113">
        <f t="shared" si="1"/>
        <v>45594</v>
      </c>
      <c r="C123" s="114">
        <f>YEAR(GC[[#This Row],[Date]])+IF(MONTH(GC[[#This Row],[Date]])&gt;=4,1,0)</f>
        <v>2025</v>
      </c>
      <c r="D123" s="115">
        <f>YEAR(GC[[#This Row],[Date]])</f>
        <v>2024</v>
      </c>
      <c r="E123" s="112" t="s">
        <v>326</v>
      </c>
      <c r="F123" s="112" t="s">
        <v>326</v>
      </c>
      <c r="G123" s="116" t="str">
        <f>TEXT(GC[[#This Row],[Date]],"mmm-yy")</f>
        <v>Oct-24</v>
      </c>
      <c r="H123" s="116">
        <f>DAY(EOMONTH(GC[[#This Row],[Month Year]],0))</f>
        <v>31</v>
      </c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5">
        <f>SUM(GC[[#This Row],[IS1Inv1M1]:[IS4Inv10M2]])</f>
        <v>0</v>
      </c>
      <c r="AN123" s="119"/>
      <c r="AO123" s="119"/>
    </row>
    <row r="124" spans="1:41">
      <c r="A124" s="119">
        <v>122</v>
      </c>
      <c r="B124" s="113">
        <f t="shared" si="1"/>
        <v>45595</v>
      </c>
      <c r="C124" s="114">
        <f>YEAR(GC[[#This Row],[Date]])+IF(MONTH(GC[[#This Row],[Date]])&gt;=4,1,0)</f>
        <v>2025</v>
      </c>
      <c r="D124" s="115">
        <f>YEAR(GC[[#This Row],[Date]])</f>
        <v>2024</v>
      </c>
      <c r="E124" s="112" t="s">
        <v>326</v>
      </c>
      <c r="F124" s="112" t="s">
        <v>326</v>
      </c>
      <c r="G124" s="116" t="str">
        <f>TEXT(GC[[#This Row],[Date]],"mmm-yy")</f>
        <v>Oct-24</v>
      </c>
      <c r="H124" s="116">
        <f>DAY(EOMONTH(GC[[#This Row],[Month Year]],0))</f>
        <v>31</v>
      </c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5">
        <f>SUM(GC[[#This Row],[IS1Inv1M1]:[IS4Inv10M2]])</f>
        <v>0</v>
      </c>
      <c r="AN124" s="119"/>
      <c r="AO124" s="119"/>
    </row>
    <row r="125" spans="1:41">
      <c r="A125" s="119">
        <v>123</v>
      </c>
      <c r="B125" s="113">
        <f t="shared" si="1"/>
        <v>45596</v>
      </c>
      <c r="C125" s="114">
        <f>YEAR(GC[[#This Row],[Date]])+IF(MONTH(GC[[#This Row],[Date]])&gt;=4,1,0)</f>
        <v>2025</v>
      </c>
      <c r="D125" s="115">
        <f>YEAR(GC[[#This Row],[Date]])</f>
        <v>2024</v>
      </c>
      <c r="E125" s="112" t="s">
        <v>326</v>
      </c>
      <c r="F125" s="112" t="s">
        <v>326</v>
      </c>
      <c r="G125" s="116" t="str">
        <f>TEXT(GC[[#This Row],[Date]],"mmm-yy")</f>
        <v>Oct-24</v>
      </c>
      <c r="H125" s="116">
        <f>DAY(EOMONTH(GC[[#This Row],[Month Year]],0))</f>
        <v>31</v>
      </c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5">
        <f>SUM(GC[[#This Row],[IS1Inv1M1]:[IS4Inv10M2]])</f>
        <v>0</v>
      </c>
      <c r="AN125" s="119"/>
      <c r="AO125" s="119"/>
    </row>
    <row r="126" spans="1:41">
      <c r="A126" s="119">
        <v>124</v>
      </c>
      <c r="B126" s="113">
        <f t="shared" si="1"/>
        <v>45597</v>
      </c>
      <c r="C126" s="114">
        <f>YEAR(GC[[#This Row],[Date]])+IF(MONTH(GC[[#This Row],[Date]])&gt;=4,1,0)</f>
        <v>2025</v>
      </c>
      <c r="D126" s="115">
        <f>YEAR(GC[[#This Row],[Date]])</f>
        <v>2024</v>
      </c>
      <c r="E126" s="112" t="s">
        <v>326</v>
      </c>
      <c r="F126" s="112" t="s">
        <v>326</v>
      </c>
      <c r="G126" s="116" t="str">
        <f>TEXT(GC[[#This Row],[Date]],"mmm-yy")</f>
        <v>Nov-24</v>
      </c>
      <c r="H126" s="116">
        <f>DAY(EOMONTH(GC[[#This Row],[Month Year]],0))</f>
        <v>30</v>
      </c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5">
        <f>SUM(GC[[#This Row],[IS1Inv1M1]:[IS4Inv10M2]])</f>
        <v>0</v>
      </c>
      <c r="AN126" s="119"/>
      <c r="AO126" s="119"/>
    </row>
    <row r="127" spans="1:41">
      <c r="A127" s="119">
        <v>125</v>
      </c>
      <c r="B127" s="113">
        <f t="shared" si="1"/>
        <v>45598</v>
      </c>
      <c r="C127" s="114">
        <f>YEAR(GC[[#This Row],[Date]])+IF(MONTH(GC[[#This Row],[Date]])&gt;=4,1,0)</f>
        <v>2025</v>
      </c>
      <c r="D127" s="115">
        <f>YEAR(GC[[#This Row],[Date]])</f>
        <v>2024</v>
      </c>
      <c r="E127" s="112" t="s">
        <v>326</v>
      </c>
      <c r="F127" s="112" t="s">
        <v>326</v>
      </c>
      <c r="G127" s="116" t="str">
        <f>TEXT(GC[[#This Row],[Date]],"mmm-yy")</f>
        <v>Nov-24</v>
      </c>
      <c r="H127" s="116">
        <f>DAY(EOMONTH(GC[[#This Row],[Month Year]],0))</f>
        <v>30</v>
      </c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5">
        <f>SUM(GC[[#This Row],[IS1Inv1M1]:[IS4Inv10M2]])</f>
        <v>0</v>
      </c>
      <c r="AN127" s="119"/>
      <c r="AO127" s="119"/>
    </row>
    <row r="128" spans="1:41">
      <c r="A128" s="119">
        <v>126</v>
      </c>
      <c r="B128" s="113">
        <f t="shared" si="1"/>
        <v>45599</v>
      </c>
      <c r="C128" s="114">
        <f>YEAR(GC[[#This Row],[Date]])+IF(MONTH(GC[[#This Row],[Date]])&gt;=4,1,0)</f>
        <v>2025</v>
      </c>
      <c r="D128" s="115">
        <f>YEAR(GC[[#This Row],[Date]])</f>
        <v>2024</v>
      </c>
      <c r="E128" s="112" t="s">
        <v>326</v>
      </c>
      <c r="F128" s="112" t="s">
        <v>326</v>
      </c>
      <c r="G128" s="116" t="str">
        <f>TEXT(GC[[#This Row],[Date]],"mmm-yy")</f>
        <v>Nov-24</v>
      </c>
      <c r="H128" s="116">
        <f>DAY(EOMONTH(GC[[#This Row],[Month Year]],0))</f>
        <v>30</v>
      </c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5">
        <f>SUM(GC[[#This Row],[IS1Inv1M1]:[IS4Inv10M2]])</f>
        <v>0</v>
      </c>
      <c r="AN128" s="119"/>
      <c r="AO128" s="119"/>
    </row>
    <row r="129" spans="1:41">
      <c r="A129" s="119">
        <v>127</v>
      </c>
      <c r="B129" s="113">
        <f t="shared" si="1"/>
        <v>45600</v>
      </c>
      <c r="C129" s="114">
        <f>YEAR(GC[[#This Row],[Date]])+IF(MONTH(GC[[#This Row],[Date]])&gt;=4,1,0)</f>
        <v>2025</v>
      </c>
      <c r="D129" s="115">
        <f>YEAR(GC[[#This Row],[Date]])</f>
        <v>2024</v>
      </c>
      <c r="E129" s="112" t="s">
        <v>326</v>
      </c>
      <c r="F129" s="112" t="s">
        <v>326</v>
      </c>
      <c r="G129" s="116" t="str">
        <f>TEXT(GC[[#This Row],[Date]],"mmm-yy")</f>
        <v>Nov-24</v>
      </c>
      <c r="H129" s="116">
        <f>DAY(EOMONTH(GC[[#This Row],[Month Year]],0))</f>
        <v>30</v>
      </c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5">
        <f>SUM(GC[[#This Row],[IS1Inv1M1]:[IS4Inv10M2]])</f>
        <v>0</v>
      </c>
      <c r="AN129" s="119"/>
      <c r="AO129" s="119"/>
    </row>
    <row r="130" spans="1:41">
      <c r="A130" s="119">
        <v>127</v>
      </c>
      <c r="B130" s="113">
        <f t="shared" si="1"/>
        <v>45601</v>
      </c>
      <c r="C130" s="114">
        <f>YEAR(GC[[#This Row],[Date]])+IF(MONTH(GC[[#This Row],[Date]])&gt;=4,1,0)</f>
        <v>2025</v>
      </c>
      <c r="D130" s="115">
        <f>YEAR(GC[[#This Row],[Date]])</f>
        <v>2024</v>
      </c>
      <c r="E130" s="112" t="s">
        <v>326</v>
      </c>
      <c r="F130" s="112" t="s">
        <v>326</v>
      </c>
      <c r="G130" s="116" t="str">
        <f>TEXT(GC[[#This Row],[Date]],"mmm-yy")</f>
        <v>Nov-24</v>
      </c>
      <c r="H130" s="116">
        <f>DAY(EOMONTH(GC[[#This Row],[Month Year]],0))</f>
        <v>30</v>
      </c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5">
        <f>SUM(GC[[#This Row],[IS1Inv1M1]:[IS4Inv10M2]])</f>
        <v>0</v>
      </c>
      <c r="AN130" s="119" t="s">
        <v>1203</v>
      </c>
      <c r="AO130" s="119"/>
    </row>
    <row r="131" spans="1:41">
      <c r="A131" s="119">
        <v>127</v>
      </c>
      <c r="B131" s="113">
        <f t="shared" si="1"/>
        <v>45602</v>
      </c>
      <c r="C131" s="114">
        <f>YEAR(GC[[#This Row],[Date]])+IF(MONTH(GC[[#This Row],[Date]])&gt;=4,1,0)</f>
        <v>2025</v>
      </c>
      <c r="D131" s="115">
        <f>YEAR(GC[[#This Row],[Date]])</f>
        <v>2024</v>
      </c>
      <c r="E131" s="112" t="s">
        <v>326</v>
      </c>
      <c r="F131" s="112" t="s">
        <v>326</v>
      </c>
      <c r="G131" s="116" t="str">
        <f>TEXT(GC[[#This Row],[Date]],"mmm-yy")</f>
        <v>Nov-24</v>
      </c>
      <c r="H131" s="116">
        <f>DAY(EOMONTH(GC[[#This Row],[Month Year]],0))</f>
        <v>30</v>
      </c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5">
        <f>SUM(GC[[#This Row],[IS1Inv1M1]:[IS4Inv10M2]])</f>
        <v>0</v>
      </c>
      <c r="AN131" s="119" t="s">
        <v>1203</v>
      </c>
      <c r="AO131" s="119"/>
    </row>
    <row r="132" spans="1:41">
      <c r="A132" s="119">
        <v>127</v>
      </c>
      <c r="B132" s="113">
        <f t="shared" si="1"/>
        <v>45603</v>
      </c>
      <c r="C132" s="114">
        <f>YEAR(GC[[#This Row],[Date]])+IF(MONTH(GC[[#This Row],[Date]])&gt;=4,1,0)</f>
        <v>2025</v>
      </c>
      <c r="D132" s="115">
        <f>YEAR(GC[[#This Row],[Date]])</f>
        <v>2024</v>
      </c>
      <c r="E132" s="112" t="s">
        <v>326</v>
      </c>
      <c r="F132" s="112" t="s">
        <v>326</v>
      </c>
      <c r="G132" s="116" t="str">
        <f>TEXT(GC[[#This Row],[Date]],"mmm-yy")</f>
        <v>Nov-24</v>
      </c>
      <c r="H132" s="116">
        <f>DAY(EOMONTH(GC[[#This Row],[Month Year]],0))</f>
        <v>30</v>
      </c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5">
        <f>SUM(GC[[#This Row],[IS1Inv1M1]:[IS4Inv10M2]])</f>
        <v>0</v>
      </c>
      <c r="AN132" s="119" t="s">
        <v>1203</v>
      </c>
      <c r="AO132" s="119"/>
    </row>
    <row r="133" spans="1:41">
      <c r="A133" s="119">
        <v>127</v>
      </c>
      <c r="B133" s="113">
        <f t="shared" ref="B133:B196" si="2">B132+1</f>
        <v>45604</v>
      </c>
      <c r="C133" s="114">
        <f>YEAR(GC[[#This Row],[Date]])+IF(MONTH(GC[[#This Row],[Date]])&gt;=4,1,0)</f>
        <v>2025</v>
      </c>
      <c r="D133" s="115">
        <f>YEAR(GC[[#This Row],[Date]])</f>
        <v>2024</v>
      </c>
      <c r="E133" s="112" t="s">
        <v>326</v>
      </c>
      <c r="F133" s="112" t="s">
        <v>326</v>
      </c>
      <c r="G133" s="116" t="str">
        <f>TEXT(GC[[#This Row],[Date]],"mmm-yy")</f>
        <v>Nov-24</v>
      </c>
      <c r="H133" s="116">
        <f>DAY(EOMONTH(GC[[#This Row],[Month Year]],0))</f>
        <v>30</v>
      </c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5">
        <f>SUM(GC[[#This Row],[IS1Inv1M1]:[IS4Inv10M2]])</f>
        <v>0</v>
      </c>
      <c r="AN133" s="119" t="s">
        <v>1203</v>
      </c>
      <c r="AO133" s="119"/>
    </row>
    <row r="134" spans="1:41">
      <c r="A134" s="119">
        <v>127</v>
      </c>
      <c r="B134" s="113">
        <f t="shared" si="2"/>
        <v>45605</v>
      </c>
      <c r="C134" s="114">
        <f>YEAR(GC[[#This Row],[Date]])+IF(MONTH(GC[[#This Row],[Date]])&gt;=4,1,0)</f>
        <v>2025</v>
      </c>
      <c r="D134" s="115">
        <f>YEAR(GC[[#This Row],[Date]])</f>
        <v>2024</v>
      </c>
      <c r="E134" s="112" t="s">
        <v>326</v>
      </c>
      <c r="F134" s="112" t="s">
        <v>326</v>
      </c>
      <c r="G134" s="116" t="str">
        <f>TEXT(GC[[#This Row],[Date]],"mmm-yy")</f>
        <v>Nov-24</v>
      </c>
      <c r="H134" s="116">
        <f>DAY(EOMONTH(GC[[#This Row],[Month Year]],0))</f>
        <v>30</v>
      </c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5">
        <f>SUM(GC[[#This Row],[IS1Inv1M1]:[IS4Inv10M2]])</f>
        <v>0</v>
      </c>
      <c r="AN134" s="119" t="s">
        <v>1203</v>
      </c>
      <c r="AO134" s="119"/>
    </row>
    <row r="135" spans="1:41">
      <c r="A135" s="119">
        <v>127</v>
      </c>
      <c r="B135" s="113">
        <f t="shared" si="2"/>
        <v>45606</v>
      </c>
      <c r="C135" s="114">
        <f>YEAR(GC[[#This Row],[Date]])+IF(MONTH(GC[[#This Row],[Date]])&gt;=4,1,0)</f>
        <v>2025</v>
      </c>
      <c r="D135" s="115">
        <f>YEAR(GC[[#This Row],[Date]])</f>
        <v>2024</v>
      </c>
      <c r="E135" s="112" t="s">
        <v>326</v>
      </c>
      <c r="F135" s="112" t="s">
        <v>326</v>
      </c>
      <c r="G135" s="116" t="str">
        <f>TEXT(GC[[#This Row],[Date]],"mmm-yy")</f>
        <v>Nov-24</v>
      </c>
      <c r="H135" s="116">
        <f>DAY(EOMONTH(GC[[#This Row],[Month Year]],0))</f>
        <v>30</v>
      </c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5">
        <f>SUM(GC[[#This Row],[IS1Inv1M1]:[IS4Inv10M2]])</f>
        <v>0</v>
      </c>
      <c r="AN135" s="119" t="s">
        <v>1203</v>
      </c>
      <c r="AO135" s="119"/>
    </row>
    <row r="136" spans="1:41">
      <c r="A136" s="119">
        <v>127</v>
      </c>
      <c r="B136" s="113">
        <f t="shared" si="2"/>
        <v>45607</v>
      </c>
      <c r="C136" s="114">
        <f>YEAR(GC[[#This Row],[Date]])+IF(MONTH(GC[[#This Row],[Date]])&gt;=4,1,0)</f>
        <v>2025</v>
      </c>
      <c r="D136" s="115">
        <f>YEAR(GC[[#This Row],[Date]])</f>
        <v>2024</v>
      </c>
      <c r="E136" s="112" t="s">
        <v>326</v>
      </c>
      <c r="F136" s="112" t="s">
        <v>326</v>
      </c>
      <c r="G136" s="116" t="str">
        <f>TEXT(GC[[#This Row],[Date]],"mmm-yy")</f>
        <v>Nov-24</v>
      </c>
      <c r="H136" s="116">
        <f>DAY(EOMONTH(GC[[#This Row],[Month Year]],0))</f>
        <v>30</v>
      </c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5">
        <f>SUM(GC[[#This Row],[IS1Inv1M1]:[IS4Inv10M2]])</f>
        <v>0</v>
      </c>
      <c r="AN136" s="119" t="s">
        <v>1203</v>
      </c>
      <c r="AO136" s="119"/>
    </row>
    <row r="137" spans="1:41">
      <c r="A137" s="119">
        <v>127</v>
      </c>
      <c r="B137" s="113">
        <f t="shared" si="2"/>
        <v>45608</v>
      </c>
      <c r="C137" s="114">
        <f>YEAR(GC[[#This Row],[Date]])+IF(MONTH(GC[[#This Row],[Date]])&gt;=4,1,0)</f>
        <v>2025</v>
      </c>
      <c r="D137" s="115">
        <f>YEAR(GC[[#This Row],[Date]])</f>
        <v>2024</v>
      </c>
      <c r="E137" s="112" t="s">
        <v>326</v>
      </c>
      <c r="F137" s="112" t="s">
        <v>326</v>
      </c>
      <c r="G137" s="116" t="str">
        <f>TEXT(GC[[#This Row],[Date]],"mmm-yy")</f>
        <v>Nov-24</v>
      </c>
      <c r="H137" s="116">
        <f>DAY(EOMONTH(GC[[#This Row],[Month Year]],0))</f>
        <v>30</v>
      </c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5">
        <f>SUM(GC[[#This Row],[IS1Inv1M1]:[IS4Inv10M2]])</f>
        <v>0</v>
      </c>
      <c r="AN137" s="119" t="s">
        <v>1203</v>
      </c>
      <c r="AO137" s="119"/>
    </row>
    <row r="138" spans="1:41">
      <c r="A138" s="119">
        <v>127</v>
      </c>
      <c r="B138" s="113">
        <f t="shared" si="2"/>
        <v>45609</v>
      </c>
      <c r="C138" s="114">
        <f>YEAR(GC[[#This Row],[Date]])+IF(MONTH(GC[[#This Row],[Date]])&gt;=4,1,0)</f>
        <v>2025</v>
      </c>
      <c r="D138" s="115">
        <f>YEAR(GC[[#This Row],[Date]])</f>
        <v>2024</v>
      </c>
      <c r="E138" s="112" t="s">
        <v>326</v>
      </c>
      <c r="F138" s="112" t="s">
        <v>326</v>
      </c>
      <c r="G138" s="116" t="str">
        <f>TEXT(GC[[#This Row],[Date]],"mmm-yy")</f>
        <v>Nov-24</v>
      </c>
      <c r="H138" s="116">
        <f>DAY(EOMONTH(GC[[#This Row],[Month Year]],0))</f>
        <v>30</v>
      </c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5">
        <f>SUM(GC[[#This Row],[IS1Inv1M1]:[IS4Inv10M2]])</f>
        <v>0</v>
      </c>
      <c r="AN138" s="119" t="s">
        <v>1203</v>
      </c>
      <c r="AO138" s="119"/>
    </row>
    <row r="139" spans="1:41">
      <c r="A139" s="119">
        <v>127</v>
      </c>
      <c r="B139" s="113">
        <f t="shared" si="2"/>
        <v>45610</v>
      </c>
      <c r="C139" s="114">
        <f>YEAR(GC[[#This Row],[Date]])+IF(MONTH(GC[[#This Row],[Date]])&gt;=4,1,0)</f>
        <v>2025</v>
      </c>
      <c r="D139" s="115">
        <f>YEAR(GC[[#This Row],[Date]])</f>
        <v>2024</v>
      </c>
      <c r="E139" s="112" t="s">
        <v>326</v>
      </c>
      <c r="F139" s="112" t="s">
        <v>326</v>
      </c>
      <c r="G139" s="116" t="str">
        <f>TEXT(GC[[#This Row],[Date]],"mmm-yy")</f>
        <v>Nov-24</v>
      </c>
      <c r="H139" s="116">
        <f>DAY(EOMONTH(GC[[#This Row],[Month Year]],0))</f>
        <v>30</v>
      </c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5">
        <f>SUM(GC[[#This Row],[IS1Inv1M1]:[IS4Inv10M2]])</f>
        <v>0</v>
      </c>
      <c r="AN139" s="119" t="s">
        <v>1203</v>
      </c>
      <c r="AO139" s="119"/>
    </row>
    <row r="140" spans="1:41">
      <c r="A140" s="119">
        <v>127</v>
      </c>
      <c r="B140" s="113">
        <f t="shared" si="2"/>
        <v>45611</v>
      </c>
      <c r="C140" s="114">
        <f>YEAR(GC[[#This Row],[Date]])+IF(MONTH(GC[[#This Row],[Date]])&gt;=4,1,0)</f>
        <v>2025</v>
      </c>
      <c r="D140" s="115">
        <f>YEAR(GC[[#This Row],[Date]])</f>
        <v>2024</v>
      </c>
      <c r="E140" s="112" t="s">
        <v>326</v>
      </c>
      <c r="F140" s="112" t="s">
        <v>326</v>
      </c>
      <c r="G140" s="116" t="str">
        <f>TEXT(GC[[#This Row],[Date]],"mmm-yy")</f>
        <v>Nov-24</v>
      </c>
      <c r="H140" s="116">
        <f>DAY(EOMONTH(GC[[#This Row],[Month Year]],0))</f>
        <v>30</v>
      </c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5">
        <f>SUM(GC[[#This Row],[IS1Inv1M1]:[IS4Inv10M2]])</f>
        <v>0</v>
      </c>
      <c r="AN140" s="119" t="s">
        <v>1203</v>
      </c>
      <c r="AO140" s="119"/>
    </row>
    <row r="141" spans="1:41">
      <c r="A141" s="119">
        <v>139</v>
      </c>
      <c r="B141" s="113">
        <f t="shared" si="2"/>
        <v>45612</v>
      </c>
      <c r="C141" s="114">
        <f>YEAR(GC[[#This Row],[Date]])+IF(MONTH(GC[[#This Row],[Date]])&gt;=4,1,0)</f>
        <v>2025</v>
      </c>
      <c r="D141" s="115">
        <f>YEAR(GC[[#This Row],[Date]])</f>
        <v>2024</v>
      </c>
      <c r="E141" s="112" t="s">
        <v>326</v>
      </c>
      <c r="F141" s="112" t="s">
        <v>326</v>
      </c>
      <c r="G141" s="116" t="str">
        <f>TEXT(GC[[#This Row],[Date]],"mmm-yy")</f>
        <v>Nov-24</v>
      </c>
      <c r="H141" s="116">
        <f>DAY(EOMONTH(GC[[#This Row],[Month Year]],0))</f>
        <v>30</v>
      </c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5">
        <f>SUM(GC[[#This Row],[IS1Inv1M1]:[IS4Inv10M2]])</f>
        <v>0</v>
      </c>
      <c r="AN141" s="119" t="s">
        <v>1203</v>
      </c>
      <c r="AO141" s="119"/>
    </row>
    <row r="142" spans="1:41">
      <c r="A142" s="119">
        <v>140</v>
      </c>
      <c r="B142" s="113">
        <f t="shared" si="2"/>
        <v>45613</v>
      </c>
      <c r="C142" s="114">
        <f>YEAR(GC[[#This Row],[Date]])+IF(MONTH(GC[[#This Row],[Date]])&gt;=4,1,0)</f>
        <v>2025</v>
      </c>
      <c r="D142" s="115">
        <f>YEAR(GC[[#This Row],[Date]])</f>
        <v>2024</v>
      </c>
      <c r="E142" s="112" t="s">
        <v>326</v>
      </c>
      <c r="F142" s="112" t="s">
        <v>326</v>
      </c>
      <c r="G142" s="116" t="str">
        <f>TEXT(GC[[#This Row],[Date]],"mmm-yy")</f>
        <v>Nov-24</v>
      </c>
      <c r="H142" s="116">
        <f>DAY(EOMONTH(GC[[#This Row],[Month Year]],0))</f>
        <v>30</v>
      </c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5">
        <f>SUM(GC[[#This Row],[IS1Inv1M1]:[IS4Inv10M2]])</f>
        <v>0</v>
      </c>
      <c r="AN142" s="119" t="s">
        <v>1203</v>
      </c>
      <c r="AO142" s="119"/>
    </row>
    <row r="143" spans="1:41">
      <c r="A143" s="119">
        <v>141</v>
      </c>
      <c r="B143" s="113">
        <f t="shared" si="2"/>
        <v>45614</v>
      </c>
      <c r="C143" s="114">
        <f>YEAR(GC[[#This Row],[Date]])+IF(MONTH(GC[[#This Row],[Date]])&gt;=4,1,0)</f>
        <v>2025</v>
      </c>
      <c r="D143" s="115">
        <f>YEAR(GC[[#This Row],[Date]])</f>
        <v>2024</v>
      </c>
      <c r="E143" s="112" t="s">
        <v>326</v>
      </c>
      <c r="F143" s="112" t="s">
        <v>326</v>
      </c>
      <c r="G143" s="116" t="str">
        <f>TEXT(GC[[#This Row],[Date]],"mmm-yy")</f>
        <v>Nov-24</v>
      </c>
      <c r="H143" s="116">
        <f>DAY(EOMONTH(GC[[#This Row],[Month Year]],0))</f>
        <v>30</v>
      </c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5">
        <f>SUM(GC[[#This Row],[IS1Inv1M1]:[IS4Inv10M2]])</f>
        <v>0</v>
      </c>
      <c r="AN143" s="119" t="s">
        <v>1203</v>
      </c>
      <c r="AO143" s="119"/>
    </row>
    <row r="144" spans="1:41">
      <c r="A144" s="119">
        <v>142</v>
      </c>
      <c r="B144" s="113">
        <f t="shared" si="2"/>
        <v>45615</v>
      </c>
      <c r="C144" s="114">
        <f>YEAR(GC[[#This Row],[Date]])+IF(MONTH(GC[[#This Row],[Date]])&gt;=4,1,0)</f>
        <v>2025</v>
      </c>
      <c r="D144" s="115">
        <f>YEAR(GC[[#This Row],[Date]])</f>
        <v>2024</v>
      </c>
      <c r="E144" s="112" t="s">
        <v>326</v>
      </c>
      <c r="F144" s="112" t="s">
        <v>326</v>
      </c>
      <c r="G144" s="116" t="str">
        <f>TEXT(GC[[#This Row],[Date]],"mmm-yy")</f>
        <v>Nov-24</v>
      </c>
      <c r="H144" s="116">
        <f>DAY(EOMONTH(GC[[#This Row],[Month Year]],0))</f>
        <v>30</v>
      </c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5">
        <f>SUM(GC[[#This Row],[IS1Inv1M1]:[IS4Inv10M2]])</f>
        <v>0</v>
      </c>
      <c r="AN144" s="119" t="s">
        <v>1203</v>
      </c>
      <c r="AO144" s="119"/>
    </row>
    <row r="145" spans="1:41">
      <c r="A145" s="119">
        <v>143</v>
      </c>
      <c r="B145" s="113">
        <f t="shared" si="2"/>
        <v>45616</v>
      </c>
      <c r="C145" s="114">
        <f>YEAR(GC[[#This Row],[Date]])+IF(MONTH(GC[[#This Row],[Date]])&gt;=4,1,0)</f>
        <v>2025</v>
      </c>
      <c r="D145" s="115">
        <f>YEAR(GC[[#This Row],[Date]])</f>
        <v>2024</v>
      </c>
      <c r="E145" s="112" t="s">
        <v>326</v>
      </c>
      <c r="F145" s="112" t="s">
        <v>326</v>
      </c>
      <c r="G145" s="116" t="str">
        <f>TEXT(GC[[#This Row],[Date]],"mmm-yy")</f>
        <v>Nov-24</v>
      </c>
      <c r="H145" s="116">
        <f>DAY(EOMONTH(GC[[#This Row],[Month Year]],0))</f>
        <v>30</v>
      </c>
      <c r="I145" s="119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19"/>
      <c r="AI145" s="119"/>
      <c r="AJ145" s="119"/>
      <c r="AK145" s="119"/>
      <c r="AL145" s="119"/>
      <c r="AM145" s="5">
        <f>SUM(GC[[#This Row],[IS1Inv1M1]:[IS4Inv10M2]])</f>
        <v>0</v>
      </c>
      <c r="AN145" s="123" t="s">
        <v>1204</v>
      </c>
      <c r="AO145" s="119"/>
    </row>
    <row r="146" spans="1:41">
      <c r="A146" s="119">
        <v>144</v>
      </c>
      <c r="B146" s="113">
        <f t="shared" si="2"/>
        <v>45617</v>
      </c>
      <c r="C146" s="114">
        <f>YEAR(GC[[#This Row],[Date]])+IF(MONTH(GC[[#This Row],[Date]])&gt;=4,1,0)</f>
        <v>2025</v>
      </c>
      <c r="D146" s="115">
        <f>YEAR(GC[[#This Row],[Date]])</f>
        <v>2024</v>
      </c>
      <c r="E146" s="112" t="s">
        <v>326</v>
      </c>
      <c r="F146" s="112" t="s">
        <v>326</v>
      </c>
      <c r="G146" s="116" t="str">
        <f>TEXT(GC[[#This Row],[Date]],"mmm-yy")</f>
        <v>Nov-24</v>
      </c>
      <c r="H146" s="116">
        <f>DAY(EOMONTH(GC[[#This Row],[Month Year]],0))</f>
        <v>30</v>
      </c>
      <c r="I146" s="119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19"/>
      <c r="AI146" s="119"/>
      <c r="AJ146" s="119"/>
      <c r="AK146" s="119"/>
      <c r="AL146" s="119"/>
      <c r="AM146" s="5">
        <f>SUM(GC[[#This Row],[IS1Inv1M1]:[IS4Inv10M2]])</f>
        <v>0</v>
      </c>
      <c r="AN146" s="123" t="s">
        <v>1204</v>
      </c>
      <c r="AO146" s="121"/>
    </row>
    <row r="147" spans="1:41">
      <c r="A147" s="119">
        <v>145</v>
      </c>
      <c r="B147" s="113">
        <f t="shared" si="2"/>
        <v>45618</v>
      </c>
      <c r="C147" s="114">
        <f>YEAR(GC[[#This Row],[Date]])+IF(MONTH(GC[[#This Row],[Date]])&gt;=4,1,0)</f>
        <v>2025</v>
      </c>
      <c r="D147" s="115">
        <f>YEAR(GC[[#This Row],[Date]])</f>
        <v>2024</v>
      </c>
      <c r="E147" s="112" t="s">
        <v>326</v>
      </c>
      <c r="F147" s="112" t="s">
        <v>326</v>
      </c>
      <c r="G147" s="116" t="str">
        <f>TEXT(GC[[#This Row],[Date]],"mmm-yy")</f>
        <v>Nov-24</v>
      </c>
      <c r="H147" s="116">
        <f>DAY(EOMONTH(GC[[#This Row],[Month Year]],0))</f>
        <v>30</v>
      </c>
      <c r="I147" s="119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19"/>
      <c r="AI147" s="119"/>
      <c r="AJ147" s="119"/>
      <c r="AK147" s="119"/>
      <c r="AL147" s="119"/>
      <c r="AM147" s="5">
        <f>SUM(GC[[#This Row],[IS1Inv1M1]:[IS4Inv10M2]])</f>
        <v>0</v>
      </c>
      <c r="AN147" s="123" t="s">
        <v>1204</v>
      </c>
      <c r="AO147" s="121"/>
    </row>
    <row r="148" spans="1:41">
      <c r="A148" s="119">
        <v>146</v>
      </c>
      <c r="B148" s="113">
        <f t="shared" si="2"/>
        <v>45619</v>
      </c>
      <c r="C148" s="114">
        <f>YEAR(GC[[#This Row],[Date]])+IF(MONTH(GC[[#This Row],[Date]])&gt;=4,1,0)</f>
        <v>2025</v>
      </c>
      <c r="D148" s="115">
        <f>YEAR(GC[[#This Row],[Date]])</f>
        <v>2024</v>
      </c>
      <c r="E148" s="112" t="s">
        <v>326</v>
      </c>
      <c r="F148" s="112" t="s">
        <v>326</v>
      </c>
      <c r="G148" s="116" t="str">
        <f>TEXT(GC[[#This Row],[Date]],"mmm-yy")</f>
        <v>Nov-24</v>
      </c>
      <c r="H148" s="116">
        <f>DAY(EOMONTH(GC[[#This Row],[Month Year]],0))</f>
        <v>30</v>
      </c>
      <c r="I148" s="119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19"/>
      <c r="AI148" s="119"/>
      <c r="AJ148" s="119"/>
      <c r="AK148" s="119"/>
      <c r="AL148" s="119"/>
      <c r="AM148" s="5">
        <f>SUM(GC[[#This Row],[IS1Inv1M1]:[IS4Inv10M2]])</f>
        <v>0</v>
      </c>
      <c r="AN148" s="123" t="s">
        <v>1204</v>
      </c>
      <c r="AO148" s="121"/>
    </row>
    <row r="149" spans="1:41">
      <c r="A149" s="119">
        <v>147</v>
      </c>
      <c r="B149" s="113">
        <f t="shared" si="2"/>
        <v>45620</v>
      </c>
      <c r="C149" s="114">
        <f>YEAR(GC[[#This Row],[Date]])+IF(MONTH(GC[[#This Row],[Date]])&gt;=4,1,0)</f>
        <v>2025</v>
      </c>
      <c r="D149" s="115">
        <f>YEAR(GC[[#This Row],[Date]])</f>
        <v>2024</v>
      </c>
      <c r="E149" s="112" t="s">
        <v>326</v>
      </c>
      <c r="F149" s="112" t="s">
        <v>326</v>
      </c>
      <c r="G149" s="116" t="str">
        <f>TEXT(GC[[#This Row],[Date]],"mmm-yy")</f>
        <v>Nov-24</v>
      </c>
      <c r="H149" s="116">
        <f>DAY(EOMONTH(GC[[#This Row],[Month Year]],0))</f>
        <v>30</v>
      </c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5">
        <f>SUM(GC[[#This Row],[IS1Inv1M1]:[IS4Inv10M2]])</f>
        <v>0</v>
      </c>
      <c r="AN149" s="119"/>
      <c r="AO149" s="119"/>
    </row>
    <row r="150" spans="1:41">
      <c r="A150" s="119">
        <v>148</v>
      </c>
      <c r="B150" s="113">
        <f t="shared" si="2"/>
        <v>45621</v>
      </c>
      <c r="C150" s="114">
        <f>YEAR(GC[[#This Row],[Date]])+IF(MONTH(GC[[#This Row],[Date]])&gt;=4,1,0)</f>
        <v>2025</v>
      </c>
      <c r="D150" s="115">
        <f>YEAR(GC[[#This Row],[Date]])</f>
        <v>2024</v>
      </c>
      <c r="E150" s="112" t="s">
        <v>326</v>
      </c>
      <c r="F150" s="112" t="s">
        <v>326</v>
      </c>
      <c r="G150" s="116" t="str">
        <f>TEXT(GC[[#This Row],[Date]],"mmm-yy")</f>
        <v>Nov-24</v>
      </c>
      <c r="H150" s="116">
        <f>DAY(EOMONTH(GC[[#This Row],[Month Year]],0))</f>
        <v>30</v>
      </c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5">
        <f>SUM(GC[[#This Row],[IS1Inv1M1]:[IS4Inv10M2]])</f>
        <v>0</v>
      </c>
      <c r="AN150" s="119"/>
      <c r="AO150" s="121"/>
    </row>
    <row r="151" spans="1:41">
      <c r="A151" s="119">
        <v>149</v>
      </c>
      <c r="B151" s="113">
        <f t="shared" si="2"/>
        <v>45622</v>
      </c>
      <c r="C151" s="114">
        <f>YEAR(GC[[#This Row],[Date]])+IF(MONTH(GC[[#This Row],[Date]])&gt;=4,1,0)</f>
        <v>2025</v>
      </c>
      <c r="D151" s="115">
        <f>YEAR(GC[[#This Row],[Date]])</f>
        <v>2024</v>
      </c>
      <c r="E151" s="112" t="s">
        <v>326</v>
      </c>
      <c r="F151" s="112" t="s">
        <v>326</v>
      </c>
      <c r="G151" s="116" t="str">
        <f>TEXT(GC[[#This Row],[Date]],"mmm-yy")</f>
        <v>Nov-24</v>
      </c>
      <c r="H151" s="116">
        <f>DAY(EOMONTH(GC[[#This Row],[Month Year]],0))</f>
        <v>30</v>
      </c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5">
        <f>SUM(GC[[#This Row],[IS1Inv1M1]:[IS4Inv10M2]])</f>
        <v>0</v>
      </c>
      <c r="AN151" s="119"/>
      <c r="AO151" s="121"/>
    </row>
    <row r="152" spans="1:41">
      <c r="A152" s="119">
        <v>150</v>
      </c>
      <c r="B152" s="113">
        <f t="shared" si="2"/>
        <v>45623</v>
      </c>
      <c r="C152" s="114">
        <f>YEAR(GC[[#This Row],[Date]])+IF(MONTH(GC[[#This Row],[Date]])&gt;=4,1,0)</f>
        <v>2025</v>
      </c>
      <c r="D152" s="115">
        <f>YEAR(GC[[#This Row],[Date]])</f>
        <v>2024</v>
      </c>
      <c r="E152" s="112" t="s">
        <v>326</v>
      </c>
      <c r="F152" s="112" t="s">
        <v>326</v>
      </c>
      <c r="G152" s="116" t="str">
        <f>TEXT(GC[[#This Row],[Date]],"mmm-yy")</f>
        <v>Nov-24</v>
      </c>
      <c r="H152" s="116">
        <f>DAY(EOMONTH(GC[[#This Row],[Month Year]],0))</f>
        <v>30</v>
      </c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5">
        <f>SUM(GC[[#This Row],[IS1Inv1M1]:[IS4Inv10M2]])</f>
        <v>0</v>
      </c>
      <c r="AN152" s="119"/>
      <c r="AO152" s="121"/>
    </row>
    <row r="153" spans="1:41">
      <c r="A153" s="119">
        <v>151</v>
      </c>
      <c r="B153" s="113">
        <f t="shared" si="2"/>
        <v>45624</v>
      </c>
      <c r="C153" s="114">
        <f>YEAR(GC[[#This Row],[Date]])+IF(MONTH(GC[[#This Row],[Date]])&gt;=4,1,0)</f>
        <v>2025</v>
      </c>
      <c r="D153" s="115">
        <f>YEAR(GC[[#This Row],[Date]])</f>
        <v>2024</v>
      </c>
      <c r="E153" s="112" t="s">
        <v>326</v>
      </c>
      <c r="F153" s="112" t="s">
        <v>326</v>
      </c>
      <c r="G153" s="116" t="str">
        <f>TEXT(GC[[#This Row],[Date]],"mmm-yy")</f>
        <v>Nov-24</v>
      </c>
      <c r="H153" s="116">
        <f>DAY(EOMONTH(GC[[#This Row],[Month Year]],0))</f>
        <v>30</v>
      </c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5">
        <f>SUM(GC[[#This Row],[IS1Inv1M1]:[IS4Inv10M2]])</f>
        <v>0</v>
      </c>
      <c r="AN153" s="119"/>
      <c r="AO153" s="121"/>
    </row>
    <row r="154" spans="1:41">
      <c r="A154" s="119">
        <v>152</v>
      </c>
      <c r="B154" s="113">
        <f t="shared" si="2"/>
        <v>45625</v>
      </c>
      <c r="C154" s="114">
        <f>YEAR(GC[[#This Row],[Date]])+IF(MONTH(GC[[#This Row],[Date]])&gt;=4,1,0)</f>
        <v>2025</v>
      </c>
      <c r="D154" s="115">
        <f>YEAR(GC[[#This Row],[Date]])</f>
        <v>2024</v>
      </c>
      <c r="E154" s="112" t="s">
        <v>326</v>
      </c>
      <c r="F154" s="112" t="s">
        <v>326</v>
      </c>
      <c r="G154" s="116" t="str">
        <f>TEXT(GC[[#This Row],[Date]],"mmm-yy")</f>
        <v>Nov-24</v>
      </c>
      <c r="H154" s="116">
        <f>DAY(EOMONTH(GC[[#This Row],[Month Year]],0))</f>
        <v>30</v>
      </c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5">
        <f>SUM(GC[[#This Row],[IS1Inv1M1]:[IS4Inv10M2]])</f>
        <v>0</v>
      </c>
      <c r="AN154" s="119"/>
      <c r="AO154" s="121"/>
    </row>
    <row r="155" spans="1:41">
      <c r="A155" s="119">
        <v>153</v>
      </c>
      <c r="B155" s="113">
        <f t="shared" si="2"/>
        <v>45626</v>
      </c>
      <c r="C155" s="114">
        <f>YEAR(GC[[#This Row],[Date]])+IF(MONTH(GC[[#This Row],[Date]])&gt;=4,1,0)</f>
        <v>2025</v>
      </c>
      <c r="D155" s="115">
        <f>YEAR(GC[[#This Row],[Date]])</f>
        <v>2024</v>
      </c>
      <c r="E155" s="112" t="s">
        <v>326</v>
      </c>
      <c r="F155" s="112" t="s">
        <v>326</v>
      </c>
      <c r="G155" s="116" t="str">
        <f>TEXT(GC[[#This Row],[Date]],"mmm-yy")</f>
        <v>Nov-24</v>
      </c>
      <c r="H155" s="116">
        <f>DAY(EOMONTH(GC[[#This Row],[Month Year]],0))</f>
        <v>30</v>
      </c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5">
        <f>SUM(GC[[#This Row],[IS1Inv1M1]:[IS4Inv10M2]])</f>
        <v>0</v>
      </c>
      <c r="AN155" s="119"/>
      <c r="AO155" s="121"/>
    </row>
    <row r="156" spans="1:41">
      <c r="A156" s="119">
        <v>154</v>
      </c>
      <c r="B156" s="113">
        <f t="shared" si="2"/>
        <v>45627</v>
      </c>
      <c r="C156" s="114">
        <f>YEAR(GC[[#This Row],[Date]])+IF(MONTH(GC[[#This Row],[Date]])&gt;=4,1,0)</f>
        <v>2025</v>
      </c>
      <c r="D156" s="115">
        <f>YEAR(GC[[#This Row],[Date]])</f>
        <v>2024</v>
      </c>
      <c r="E156" s="112" t="s">
        <v>326</v>
      </c>
      <c r="F156" s="112" t="s">
        <v>326</v>
      </c>
      <c r="G156" s="116" t="str">
        <f>TEXT(GC[[#This Row],[Date]],"mmm-yy")</f>
        <v>Dec-24</v>
      </c>
      <c r="H156" s="116">
        <f>DAY(EOMONTH(GC[[#This Row],[Month Year]],0))</f>
        <v>31</v>
      </c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5">
        <f>SUM(GC[[#This Row],[IS1Inv1M1]:[IS4Inv10M2]])</f>
        <v>0</v>
      </c>
      <c r="AN156" s="119"/>
      <c r="AO156" s="119"/>
    </row>
    <row r="157" spans="1:41">
      <c r="A157" s="119">
        <v>155</v>
      </c>
      <c r="B157" s="113">
        <f t="shared" si="2"/>
        <v>45628</v>
      </c>
      <c r="C157" s="114">
        <f>YEAR(GC[[#This Row],[Date]])+IF(MONTH(GC[[#This Row],[Date]])&gt;=4,1,0)</f>
        <v>2025</v>
      </c>
      <c r="D157" s="115">
        <f>YEAR(GC[[#This Row],[Date]])</f>
        <v>2024</v>
      </c>
      <c r="E157" s="112" t="s">
        <v>326</v>
      </c>
      <c r="F157" s="112" t="s">
        <v>326</v>
      </c>
      <c r="G157" s="116" t="str">
        <f>TEXT(GC[[#This Row],[Date]],"mmm-yy")</f>
        <v>Dec-24</v>
      </c>
      <c r="H157" s="116">
        <f>DAY(EOMONTH(GC[[#This Row],[Month Year]],0))</f>
        <v>31</v>
      </c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5">
        <f>SUM(GC[[#This Row],[IS1Inv1M1]:[IS4Inv10M2]])</f>
        <v>0</v>
      </c>
      <c r="AN157" s="119"/>
      <c r="AO157" s="119"/>
    </row>
    <row r="158" spans="1:41">
      <c r="A158" s="119">
        <v>156</v>
      </c>
      <c r="B158" s="113">
        <f t="shared" si="2"/>
        <v>45629</v>
      </c>
      <c r="C158" s="114">
        <f>YEAR(GC[[#This Row],[Date]])+IF(MONTH(GC[[#This Row],[Date]])&gt;=4,1,0)</f>
        <v>2025</v>
      </c>
      <c r="D158" s="115">
        <f>YEAR(GC[[#This Row],[Date]])</f>
        <v>2024</v>
      </c>
      <c r="E158" s="112" t="s">
        <v>326</v>
      </c>
      <c r="F158" s="112" t="s">
        <v>326</v>
      </c>
      <c r="G158" s="116" t="str">
        <f>TEXT(GC[[#This Row],[Date]],"mmm-yy")</f>
        <v>Dec-24</v>
      </c>
      <c r="H158" s="116">
        <f>DAY(EOMONTH(GC[[#This Row],[Month Year]],0))</f>
        <v>31</v>
      </c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5">
        <f>SUM(GC[[#This Row],[IS1Inv1M1]:[IS4Inv10M2]])</f>
        <v>0</v>
      </c>
      <c r="AN158" s="119"/>
      <c r="AO158" s="119"/>
    </row>
    <row r="159" spans="1:41">
      <c r="A159" s="119">
        <v>157</v>
      </c>
      <c r="B159" s="113">
        <f t="shared" si="2"/>
        <v>45630</v>
      </c>
      <c r="C159" s="114">
        <f>YEAR(GC[[#This Row],[Date]])+IF(MONTH(GC[[#This Row],[Date]])&gt;=4,1,0)</f>
        <v>2025</v>
      </c>
      <c r="D159" s="115">
        <f>YEAR(GC[[#This Row],[Date]])</f>
        <v>2024</v>
      </c>
      <c r="E159" s="112" t="s">
        <v>326</v>
      </c>
      <c r="F159" s="112" t="s">
        <v>326</v>
      </c>
      <c r="G159" s="116" t="str">
        <f>TEXT(GC[[#This Row],[Date]],"mmm-yy")</f>
        <v>Dec-24</v>
      </c>
      <c r="H159" s="116">
        <f>DAY(EOMONTH(GC[[#This Row],[Month Year]],0))</f>
        <v>31</v>
      </c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5">
        <f>SUM(GC[[#This Row],[IS1Inv1M1]:[IS4Inv10M2]])</f>
        <v>0</v>
      </c>
      <c r="AN159" s="119"/>
      <c r="AO159" s="119"/>
    </row>
    <row r="160" spans="1:41">
      <c r="A160" s="119">
        <v>158</v>
      </c>
      <c r="B160" s="113">
        <f t="shared" si="2"/>
        <v>45631</v>
      </c>
      <c r="C160" s="114">
        <f>YEAR(GC[[#This Row],[Date]])+IF(MONTH(GC[[#This Row],[Date]])&gt;=4,1,0)</f>
        <v>2025</v>
      </c>
      <c r="D160" s="115">
        <f>YEAR(GC[[#This Row],[Date]])</f>
        <v>2024</v>
      </c>
      <c r="E160" s="112" t="s">
        <v>326</v>
      </c>
      <c r="F160" s="112" t="s">
        <v>326</v>
      </c>
      <c r="G160" s="116" t="str">
        <f>TEXT(GC[[#This Row],[Date]],"mmm-yy")</f>
        <v>Dec-24</v>
      </c>
      <c r="H160" s="116">
        <f>DAY(EOMONTH(GC[[#This Row],[Month Year]],0))</f>
        <v>31</v>
      </c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5">
        <f>SUM(GC[[#This Row],[IS1Inv1M1]:[IS4Inv10M2]])</f>
        <v>0</v>
      </c>
      <c r="AN160" s="119"/>
      <c r="AO160" s="119"/>
    </row>
    <row r="161" spans="1:41">
      <c r="A161" s="119">
        <v>159</v>
      </c>
      <c r="B161" s="113">
        <f t="shared" si="2"/>
        <v>45632</v>
      </c>
      <c r="C161" s="114">
        <f>YEAR(GC[[#This Row],[Date]])+IF(MONTH(GC[[#This Row],[Date]])&gt;=4,1,0)</f>
        <v>2025</v>
      </c>
      <c r="D161" s="115">
        <f>YEAR(GC[[#This Row],[Date]])</f>
        <v>2024</v>
      </c>
      <c r="E161" s="112" t="s">
        <v>326</v>
      </c>
      <c r="F161" s="112" t="s">
        <v>326</v>
      </c>
      <c r="G161" s="116" t="str">
        <f>TEXT(GC[[#This Row],[Date]],"mmm-yy")</f>
        <v>Dec-24</v>
      </c>
      <c r="H161" s="116">
        <f>DAY(EOMONTH(GC[[#This Row],[Month Year]],0))</f>
        <v>31</v>
      </c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5">
        <f>SUM(GC[[#This Row],[IS1Inv1M1]:[IS4Inv10M2]])</f>
        <v>0</v>
      </c>
      <c r="AN161" s="119"/>
      <c r="AO161" s="119"/>
    </row>
    <row r="162" spans="1:41">
      <c r="A162" s="119">
        <v>160</v>
      </c>
      <c r="B162" s="113">
        <f t="shared" si="2"/>
        <v>45633</v>
      </c>
      <c r="C162" s="114">
        <f>YEAR(GC[[#This Row],[Date]])+IF(MONTH(GC[[#This Row],[Date]])&gt;=4,1,0)</f>
        <v>2025</v>
      </c>
      <c r="D162" s="115">
        <f>YEAR(GC[[#This Row],[Date]])</f>
        <v>2024</v>
      </c>
      <c r="E162" s="112" t="s">
        <v>326</v>
      </c>
      <c r="F162" s="112" t="s">
        <v>326</v>
      </c>
      <c r="G162" s="116" t="str">
        <f>TEXT(GC[[#This Row],[Date]],"mmm-yy")</f>
        <v>Dec-24</v>
      </c>
      <c r="H162" s="116">
        <f>DAY(EOMONTH(GC[[#This Row],[Month Year]],0))</f>
        <v>31</v>
      </c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5">
        <f>SUM(GC[[#This Row],[IS1Inv1M1]:[IS4Inv10M2]])</f>
        <v>0</v>
      </c>
      <c r="AN162" s="119"/>
      <c r="AO162" s="119"/>
    </row>
    <row r="163" spans="1:41">
      <c r="A163" s="119">
        <v>161</v>
      </c>
      <c r="B163" s="113">
        <f t="shared" si="2"/>
        <v>45634</v>
      </c>
      <c r="C163" s="114">
        <f>YEAR(GC[[#This Row],[Date]])+IF(MONTH(GC[[#This Row],[Date]])&gt;=4,1,0)</f>
        <v>2025</v>
      </c>
      <c r="D163" s="115">
        <f>YEAR(GC[[#This Row],[Date]])</f>
        <v>2024</v>
      </c>
      <c r="E163" s="112" t="s">
        <v>326</v>
      </c>
      <c r="F163" s="112" t="s">
        <v>326</v>
      </c>
      <c r="G163" s="116" t="str">
        <f>TEXT(GC[[#This Row],[Date]],"mmm-yy")</f>
        <v>Dec-24</v>
      </c>
      <c r="H163" s="116">
        <f>DAY(EOMONTH(GC[[#This Row],[Month Year]],0))</f>
        <v>31</v>
      </c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5">
        <f>SUM(GC[[#This Row],[IS1Inv1M1]:[IS4Inv10M2]])</f>
        <v>0</v>
      </c>
      <c r="AN163" s="119"/>
      <c r="AO163" s="119"/>
    </row>
    <row r="164" spans="1:41">
      <c r="A164" s="119">
        <v>162</v>
      </c>
      <c r="B164" s="113">
        <f t="shared" si="2"/>
        <v>45635</v>
      </c>
      <c r="C164" s="114">
        <f>YEAR(GC[[#This Row],[Date]])+IF(MONTH(GC[[#This Row],[Date]])&gt;=4,1,0)</f>
        <v>2025</v>
      </c>
      <c r="D164" s="115">
        <f>YEAR(GC[[#This Row],[Date]])</f>
        <v>2024</v>
      </c>
      <c r="E164" s="112" t="s">
        <v>326</v>
      </c>
      <c r="F164" s="112" t="s">
        <v>326</v>
      </c>
      <c r="G164" s="116" t="str">
        <f>TEXT(GC[[#This Row],[Date]],"mmm-yy")</f>
        <v>Dec-24</v>
      </c>
      <c r="H164" s="116">
        <f>DAY(EOMONTH(GC[[#This Row],[Month Year]],0))</f>
        <v>31</v>
      </c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5">
        <f>SUM(GC[[#This Row],[IS1Inv1M1]:[IS4Inv10M2]])</f>
        <v>0</v>
      </c>
      <c r="AN164" s="119"/>
      <c r="AO164" s="119"/>
    </row>
    <row r="165" spans="1:41">
      <c r="A165" s="119">
        <v>163</v>
      </c>
      <c r="B165" s="113">
        <f t="shared" si="2"/>
        <v>45636</v>
      </c>
      <c r="C165" s="114">
        <f>YEAR(GC[[#This Row],[Date]])+IF(MONTH(GC[[#This Row],[Date]])&gt;=4,1,0)</f>
        <v>2025</v>
      </c>
      <c r="D165" s="115">
        <f>YEAR(GC[[#This Row],[Date]])</f>
        <v>2024</v>
      </c>
      <c r="E165" s="112" t="s">
        <v>326</v>
      </c>
      <c r="F165" s="112" t="s">
        <v>326</v>
      </c>
      <c r="G165" s="116" t="str">
        <f>TEXT(GC[[#This Row],[Date]],"mmm-yy")</f>
        <v>Dec-24</v>
      </c>
      <c r="H165" s="116">
        <f>DAY(EOMONTH(GC[[#This Row],[Month Year]],0))</f>
        <v>31</v>
      </c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5">
        <f>SUM(GC[[#This Row],[IS1Inv1M1]:[IS4Inv10M2]])</f>
        <v>0</v>
      </c>
      <c r="AN165" s="119"/>
      <c r="AO165" s="119"/>
    </row>
    <row r="166" spans="1:41">
      <c r="A166" s="119">
        <v>164</v>
      </c>
      <c r="B166" s="113">
        <f t="shared" si="2"/>
        <v>45637</v>
      </c>
      <c r="C166" s="114">
        <f>YEAR(GC[[#This Row],[Date]])+IF(MONTH(GC[[#This Row],[Date]])&gt;=4,1,0)</f>
        <v>2025</v>
      </c>
      <c r="D166" s="115">
        <f>YEAR(GC[[#This Row],[Date]])</f>
        <v>2024</v>
      </c>
      <c r="E166" s="112" t="s">
        <v>326</v>
      </c>
      <c r="F166" s="112" t="s">
        <v>326</v>
      </c>
      <c r="G166" s="116" t="str">
        <f>TEXT(GC[[#This Row],[Date]],"mmm-yy")</f>
        <v>Dec-24</v>
      </c>
      <c r="H166" s="116">
        <f>DAY(EOMONTH(GC[[#This Row],[Month Year]],0))</f>
        <v>31</v>
      </c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5">
        <f>SUM(GC[[#This Row],[IS1Inv1M1]:[IS4Inv10M2]])</f>
        <v>0</v>
      </c>
      <c r="AN166" s="119"/>
      <c r="AO166" s="121"/>
    </row>
    <row r="167" spans="1:41">
      <c r="A167" s="119">
        <v>165</v>
      </c>
      <c r="B167" s="113">
        <f t="shared" si="2"/>
        <v>45638</v>
      </c>
      <c r="C167" s="114">
        <f>YEAR(GC[[#This Row],[Date]])+IF(MONTH(GC[[#This Row],[Date]])&gt;=4,1,0)</f>
        <v>2025</v>
      </c>
      <c r="D167" s="115">
        <f>YEAR(GC[[#This Row],[Date]])</f>
        <v>2024</v>
      </c>
      <c r="E167" s="112" t="s">
        <v>326</v>
      </c>
      <c r="F167" s="112" t="s">
        <v>326</v>
      </c>
      <c r="G167" s="116" t="str">
        <f>TEXT(GC[[#This Row],[Date]],"mmm-yy")</f>
        <v>Dec-24</v>
      </c>
      <c r="H167" s="116">
        <f>DAY(EOMONTH(GC[[#This Row],[Month Year]],0))</f>
        <v>31</v>
      </c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5">
        <f>SUM(GC[[#This Row],[IS1Inv1M1]:[IS4Inv10M2]])</f>
        <v>0</v>
      </c>
      <c r="AN167" s="119"/>
      <c r="AO167" s="121"/>
    </row>
    <row r="168" spans="1:41">
      <c r="A168" s="119">
        <v>166</v>
      </c>
      <c r="B168" s="113">
        <f t="shared" si="2"/>
        <v>45639</v>
      </c>
      <c r="C168" s="114">
        <f>YEAR(GC[[#This Row],[Date]])+IF(MONTH(GC[[#This Row],[Date]])&gt;=4,1,0)</f>
        <v>2025</v>
      </c>
      <c r="D168" s="115">
        <f>YEAR(GC[[#This Row],[Date]])</f>
        <v>2024</v>
      </c>
      <c r="E168" s="112" t="s">
        <v>326</v>
      </c>
      <c r="F168" s="112" t="s">
        <v>326</v>
      </c>
      <c r="G168" s="116" t="str">
        <f>TEXT(GC[[#This Row],[Date]],"mmm-yy")</f>
        <v>Dec-24</v>
      </c>
      <c r="H168" s="116">
        <f>DAY(EOMONTH(GC[[#This Row],[Month Year]],0))</f>
        <v>31</v>
      </c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5">
        <f>SUM(GC[[#This Row],[IS1Inv1M1]:[IS4Inv10M2]])</f>
        <v>0</v>
      </c>
      <c r="AN168" s="119"/>
      <c r="AO168" s="121"/>
    </row>
    <row r="169" spans="1:41">
      <c r="A169" s="119">
        <v>167</v>
      </c>
      <c r="B169" s="113">
        <f t="shared" si="2"/>
        <v>45640</v>
      </c>
      <c r="C169" s="114">
        <f>YEAR(GC[[#This Row],[Date]])+IF(MONTH(GC[[#This Row],[Date]])&gt;=4,1,0)</f>
        <v>2025</v>
      </c>
      <c r="D169" s="115">
        <f>YEAR(GC[[#This Row],[Date]])</f>
        <v>2024</v>
      </c>
      <c r="E169" s="112" t="s">
        <v>326</v>
      </c>
      <c r="F169" s="112" t="s">
        <v>326</v>
      </c>
      <c r="G169" s="116" t="str">
        <f>TEXT(GC[[#This Row],[Date]],"mmm-yy")</f>
        <v>Dec-24</v>
      </c>
      <c r="H169" s="116">
        <f>DAY(EOMONTH(GC[[#This Row],[Month Year]],0))</f>
        <v>31</v>
      </c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5">
        <f>SUM(GC[[#This Row],[IS1Inv1M1]:[IS4Inv10M2]])</f>
        <v>0</v>
      </c>
      <c r="AN169" s="119"/>
      <c r="AO169" s="121"/>
    </row>
    <row r="170" spans="1:41">
      <c r="A170" s="119">
        <v>168</v>
      </c>
      <c r="B170" s="113">
        <f t="shared" si="2"/>
        <v>45641</v>
      </c>
      <c r="C170" s="114">
        <f>YEAR(GC[[#This Row],[Date]])+IF(MONTH(GC[[#This Row],[Date]])&gt;=4,1,0)</f>
        <v>2025</v>
      </c>
      <c r="D170" s="115">
        <f>YEAR(GC[[#This Row],[Date]])</f>
        <v>2024</v>
      </c>
      <c r="E170" s="112" t="s">
        <v>326</v>
      </c>
      <c r="F170" s="112" t="s">
        <v>326</v>
      </c>
      <c r="G170" s="116" t="str">
        <f>TEXT(GC[[#This Row],[Date]],"mmm-yy")</f>
        <v>Dec-24</v>
      </c>
      <c r="H170" s="116">
        <f>DAY(EOMONTH(GC[[#This Row],[Month Year]],0))</f>
        <v>31</v>
      </c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5">
        <f>SUM(GC[[#This Row],[IS1Inv1M1]:[IS4Inv10M2]])</f>
        <v>0</v>
      </c>
      <c r="AN170" s="119"/>
      <c r="AO170" s="121"/>
    </row>
    <row r="171" spans="1:41">
      <c r="A171" s="119">
        <v>169</v>
      </c>
      <c r="B171" s="113">
        <f t="shared" si="2"/>
        <v>45642</v>
      </c>
      <c r="C171" s="114">
        <f>YEAR(GC[[#This Row],[Date]])+IF(MONTH(GC[[#This Row],[Date]])&gt;=4,1,0)</f>
        <v>2025</v>
      </c>
      <c r="D171" s="115">
        <f>YEAR(GC[[#This Row],[Date]])</f>
        <v>2024</v>
      </c>
      <c r="E171" s="112" t="s">
        <v>326</v>
      </c>
      <c r="F171" s="112" t="s">
        <v>326</v>
      </c>
      <c r="G171" s="116" t="str">
        <f>TEXT(GC[[#This Row],[Date]],"mmm-yy")</f>
        <v>Dec-24</v>
      </c>
      <c r="H171" s="116">
        <f>DAY(EOMONTH(GC[[#This Row],[Month Year]],0))</f>
        <v>31</v>
      </c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5">
        <f>SUM(GC[[#This Row],[IS1Inv1M1]:[IS4Inv10M2]])</f>
        <v>0</v>
      </c>
      <c r="AN171" s="119"/>
      <c r="AO171" s="121"/>
    </row>
    <row r="172" spans="1:41">
      <c r="A172" s="119">
        <v>170</v>
      </c>
      <c r="B172" s="113">
        <f t="shared" si="2"/>
        <v>45643</v>
      </c>
      <c r="C172" s="114">
        <f>YEAR(GC[[#This Row],[Date]])+IF(MONTH(GC[[#This Row],[Date]])&gt;=4,1,0)</f>
        <v>2025</v>
      </c>
      <c r="D172" s="115">
        <f>YEAR(GC[[#This Row],[Date]])</f>
        <v>2024</v>
      </c>
      <c r="E172" s="112" t="s">
        <v>326</v>
      </c>
      <c r="F172" s="112" t="s">
        <v>326</v>
      </c>
      <c r="G172" s="116" t="str">
        <f>TEXT(GC[[#This Row],[Date]],"mmm-yy")</f>
        <v>Dec-24</v>
      </c>
      <c r="H172" s="116">
        <f>DAY(EOMONTH(GC[[#This Row],[Month Year]],0))</f>
        <v>31</v>
      </c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5">
        <f>SUM(GC[[#This Row],[IS1Inv1M1]:[IS4Inv10M2]])</f>
        <v>0</v>
      </c>
      <c r="AN172" s="119"/>
      <c r="AO172" s="121"/>
    </row>
    <row r="173" spans="1:41">
      <c r="A173" s="119">
        <v>171</v>
      </c>
      <c r="B173" s="113">
        <f t="shared" si="2"/>
        <v>45644</v>
      </c>
      <c r="C173" s="114">
        <f>YEAR(GC[[#This Row],[Date]])+IF(MONTH(GC[[#This Row],[Date]])&gt;=4,1,0)</f>
        <v>2025</v>
      </c>
      <c r="D173" s="115">
        <f>YEAR(GC[[#This Row],[Date]])</f>
        <v>2024</v>
      </c>
      <c r="E173" s="112" t="s">
        <v>326</v>
      </c>
      <c r="F173" s="112" t="s">
        <v>326</v>
      </c>
      <c r="G173" s="116" t="str">
        <f>TEXT(GC[[#This Row],[Date]],"mmm-yy")</f>
        <v>Dec-24</v>
      </c>
      <c r="H173" s="116">
        <f>DAY(EOMONTH(GC[[#This Row],[Month Year]],0))</f>
        <v>31</v>
      </c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5">
        <f>SUM(GC[[#This Row],[IS1Inv1M1]:[IS4Inv10M2]])</f>
        <v>0</v>
      </c>
      <c r="AN173" s="119"/>
      <c r="AO173" s="121"/>
    </row>
    <row r="174" spans="1:41">
      <c r="A174" s="119">
        <v>172</v>
      </c>
      <c r="B174" s="113">
        <f t="shared" si="2"/>
        <v>45645</v>
      </c>
      <c r="C174" s="114">
        <f>YEAR(GC[[#This Row],[Date]])+IF(MONTH(GC[[#This Row],[Date]])&gt;=4,1,0)</f>
        <v>2025</v>
      </c>
      <c r="D174" s="115">
        <f>YEAR(GC[[#This Row],[Date]])</f>
        <v>2024</v>
      </c>
      <c r="E174" s="112" t="s">
        <v>326</v>
      </c>
      <c r="F174" s="112" t="s">
        <v>326</v>
      </c>
      <c r="G174" s="116" t="str">
        <f>TEXT(GC[[#This Row],[Date]],"mmm-yy")</f>
        <v>Dec-24</v>
      </c>
      <c r="H174" s="116">
        <f>DAY(EOMONTH(GC[[#This Row],[Month Year]],0))</f>
        <v>31</v>
      </c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5">
        <f>SUM(GC[[#This Row],[IS1Inv1M1]:[IS4Inv10M2]])</f>
        <v>0</v>
      </c>
      <c r="AN174" s="119"/>
      <c r="AO174" s="121"/>
    </row>
    <row r="175" spans="1:41">
      <c r="A175" s="119">
        <v>173</v>
      </c>
      <c r="B175" s="113">
        <f t="shared" si="2"/>
        <v>45646</v>
      </c>
      <c r="C175" s="114">
        <f>YEAR(GC[[#This Row],[Date]])+IF(MONTH(GC[[#This Row],[Date]])&gt;=4,1,0)</f>
        <v>2025</v>
      </c>
      <c r="D175" s="115">
        <f>YEAR(GC[[#This Row],[Date]])</f>
        <v>2024</v>
      </c>
      <c r="E175" s="112" t="s">
        <v>326</v>
      </c>
      <c r="F175" s="112" t="s">
        <v>326</v>
      </c>
      <c r="G175" s="116" t="str">
        <f>TEXT(GC[[#This Row],[Date]],"mmm-yy")</f>
        <v>Dec-24</v>
      </c>
      <c r="H175" s="116">
        <f>DAY(EOMONTH(GC[[#This Row],[Month Year]],0))</f>
        <v>31</v>
      </c>
      <c r="I175" s="119"/>
      <c r="J175" s="119"/>
      <c r="K175" s="119"/>
      <c r="L175" s="119"/>
      <c r="M175" s="119"/>
      <c r="N175" s="119"/>
      <c r="O175" s="119">
        <v>10</v>
      </c>
      <c r="P175" s="119">
        <v>10</v>
      </c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5">
        <f>SUM(GC[[#This Row],[IS1Inv1M1]:[IS4Inv10M2]])</f>
        <v>20</v>
      </c>
      <c r="AN175" s="119"/>
      <c r="AO175" s="121"/>
    </row>
    <row r="176" spans="1:41">
      <c r="A176" s="119">
        <v>174</v>
      </c>
      <c r="B176" s="113">
        <f t="shared" si="2"/>
        <v>45647</v>
      </c>
      <c r="C176" s="114">
        <f>YEAR(GC[[#This Row],[Date]])+IF(MONTH(GC[[#This Row],[Date]])&gt;=4,1,0)</f>
        <v>2025</v>
      </c>
      <c r="D176" s="115">
        <f>YEAR(GC[[#This Row],[Date]])</f>
        <v>2024</v>
      </c>
      <c r="E176" s="112" t="s">
        <v>326</v>
      </c>
      <c r="F176" s="112" t="s">
        <v>326</v>
      </c>
      <c r="G176" s="116" t="str">
        <f>TEXT(GC[[#This Row],[Date]],"mmm-yy")</f>
        <v>Dec-24</v>
      </c>
      <c r="H176" s="116">
        <f>DAY(EOMONTH(GC[[#This Row],[Month Year]],0))</f>
        <v>31</v>
      </c>
      <c r="I176" s="119"/>
      <c r="J176" s="119"/>
      <c r="K176" s="119"/>
      <c r="L176" s="119"/>
      <c r="M176" s="119"/>
      <c r="N176" s="119"/>
      <c r="O176" s="119"/>
      <c r="P176" s="119">
        <v>31</v>
      </c>
      <c r="Q176" s="119">
        <v>10</v>
      </c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5">
        <f>SUM(GC[[#This Row],[IS1Inv1M1]:[IS4Inv10M2]])</f>
        <v>41</v>
      </c>
      <c r="AN176" s="119"/>
      <c r="AO176" s="121"/>
    </row>
    <row r="177" spans="1:41">
      <c r="A177" s="119">
        <v>175</v>
      </c>
      <c r="B177" s="113">
        <f t="shared" si="2"/>
        <v>45648</v>
      </c>
      <c r="C177" s="114">
        <f>YEAR(GC[[#This Row],[Date]])+IF(MONTH(GC[[#This Row],[Date]])&gt;=4,1,0)</f>
        <v>2025</v>
      </c>
      <c r="D177" s="115">
        <f>YEAR(GC[[#This Row],[Date]])</f>
        <v>2024</v>
      </c>
      <c r="E177" s="112" t="s">
        <v>326</v>
      </c>
      <c r="F177" s="112" t="s">
        <v>326</v>
      </c>
      <c r="G177" s="116" t="str">
        <f>TEXT(GC[[#This Row],[Date]],"mmm-yy")</f>
        <v>Dec-24</v>
      </c>
      <c r="H177" s="116">
        <f>DAY(EOMONTH(GC[[#This Row],[Month Year]],0))</f>
        <v>31</v>
      </c>
      <c r="I177" s="119"/>
      <c r="J177" s="119"/>
      <c r="K177" s="119"/>
      <c r="L177" s="119"/>
      <c r="M177" s="119"/>
      <c r="N177" s="119"/>
      <c r="O177" s="119"/>
      <c r="P177" s="119"/>
      <c r="Q177" s="119"/>
      <c r="R177" s="119">
        <v>26</v>
      </c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5">
        <f>SUM(GC[[#This Row],[IS1Inv1M1]:[IS4Inv10M2]])</f>
        <v>26</v>
      </c>
      <c r="AN177" s="119"/>
      <c r="AO177" s="121"/>
    </row>
    <row r="178" spans="1:41">
      <c r="A178" s="119">
        <v>176</v>
      </c>
      <c r="B178" s="113">
        <f t="shared" si="2"/>
        <v>45649</v>
      </c>
      <c r="C178" s="114">
        <f>YEAR(GC[[#This Row],[Date]])+IF(MONTH(GC[[#This Row],[Date]])&gt;=4,1,0)</f>
        <v>2025</v>
      </c>
      <c r="D178" s="115">
        <f>YEAR(GC[[#This Row],[Date]])</f>
        <v>2024</v>
      </c>
      <c r="E178" s="112" t="s">
        <v>326</v>
      </c>
      <c r="F178" s="112" t="s">
        <v>326</v>
      </c>
      <c r="G178" s="116" t="str">
        <f>TEXT(GC[[#This Row],[Date]],"mmm-yy")</f>
        <v>Dec-24</v>
      </c>
      <c r="H178" s="116">
        <f>DAY(EOMONTH(GC[[#This Row],[Month Year]],0))</f>
        <v>31</v>
      </c>
      <c r="I178" s="119"/>
      <c r="J178" s="119"/>
      <c r="K178" s="119"/>
      <c r="L178" s="119"/>
      <c r="M178" s="119"/>
      <c r="N178" s="119"/>
      <c r="O178" s="119"/>
      <c r="P178" s="119">
        <v>9</v>
      </c>
      <c r="Q178" s="119">
        <v>12</v>
      </c>
      <c r="R178" s="119">
        <v>10</v>
      </c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5">
        <f>SUM(GC[[#This Row],[IS1Inv1M1]:[IS4Inv10M2]])</f>
        <v>31</v>
      </c>
      <c r="AN178" s="119"/>
      <c r="AO178" s="121"/>
    </row>
    <row r="179" spans="1:41">
      <c r="A179" s="119">
        <v>177</v>
      </c>
      <c r="B179" s="113">
        <f t="shared" si="2"/>
        <v>45650</v>
      </c>
      <c r="C179" s="114">
        <f>YEAR(GC[[#This Row],[Date]])+IF(MONTH(GC[[#This Row],[Date]])&gt;=4,1,0)</f>
        <v>2025</v>
      </c>
      <c r="D179" s="115">
        <f>YEAR(GC[[#This Row],[Date]])</f>
        <v>2024</v>
      </c>
      <c r="E179" s="112" t="s">
        <v>326</v>
      </c>
      <c r="F179" s="112" t="s">
        <v>326</v>
      </c>
      <c r="G179" s="116" t="str">
        <f>TEXT(GC[[#This Row],[Date]],"mmm-yy")</f>
        <v>Dec-24</v>
      </c>
      <c r="H179" s="116">
        <f>DAY(EOMONTH(GC[[#This Row],[Month Year]],0))</f>
        <v>31</v>
      </c>
      <c r="I179" s="119"/>
      <c r="J179" s="119"/>
      <c r="K179" s="119">
        <v>15.5</v>
      </c>
      <c r="L179" s="119"/>
      <c r="M179" s="119"/>
      <c r="N179" s="119"/>
      <c r="O179" s="119"/>
      <c r="P179" s="119"/>
      <c r="Q179" s="119"/>
      <c r="R179" s="119">
        <v>18</v>
      </c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5">
        <f>SUM(GC[[#This Row],[IS1Inv1M1]:[IS4Inv10M2]])</f>
        <v>33.5</v>
      </c>
      <c r="AN179" s="119"/>
      <c r="AO179" s="121"/>
    </row>
    <row r="180" spans="1:41">
      <c r="A180" s="119">
        <v>178</v>
      </c>
      <c r="B180" s="113">
        <f t="shared" si="2"/>
        <v>45651</v>
      </c>
      <c r="C180" s="114">
        <f>YEAR(GC[[#This Row],[Date]])+IF(MONTH(GC[[#This Row],[Date]])&gt;=4,1,0)</f>
        <v>2025</v>
      </c>
      <c r="D180" s="115">
        <f>YEAR(GC[[#This Row],[Date]])</f>
        <v>2024</v>
      </c>
      <c r="E180" s="112" t="s">
        <v>326</v>
      </c>
      <c r="F180" s="112" t="s">
        <v>326</v>
      </c>
      <c r="G180" s="116" t="str">
        <f>TEXT(GC[[#This Row],[Date]],"mmm-yy")</f>
        <v>Dec-24</v>
      </c>
      <c r="H180" s="116">
        <f>DAY(EOMONTH(GC[[#This Row],[Month Year]],0))</f>
        <v>31</v>
      </c>
      <c r="I180" s="119"/>
      <c r="J180" s="119"/>
      <c r="K180" s="119">
        <v>24</v>
      </c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5">
        <f>SUM(GC[[#This Row],[IS1Inv1M1]:[IS4Inv10M2]])</f>
        <v>24</v>
      </c>
      <c r="AN180" s="119"/>
      <c r="AO180" s="121"/>
    </row>
    <row r="181" spans="1:41">
      <c r="A181" s="119">
        <v>179</v>
      </c>
      <c r="B181" s="113">
        <f t="shared" si="2"/>
        <v>45652</v>
      </c>
      <c r="C181" s="114">
        <f>YEAR(GC[[#This Row],[Date]])+IF(MONTH(GC[[#This Row],[Date]])&gt;=4,1,0)</f>
        <v>2025</v>
      </c>
      <c r="D181" s="115">
        <f>YEAR(GC[[#This Row],[Date]])</f>
        <v>2024</v>
      </c>
      <c r="E181" s="112" t="s">
        <v>326</v>
      </c>
      <c r="F181" s="112" t="s">
        <v>326</v>
      </c>
      <c r="G181" s="116" t="str">
        <f>TEXT(GC[[#This Row],[Date]],"mmm-yy")</f>
        <v>Dec-24</v>
      </c>
      <c r="H181" s="116">
        <f>DAY(EOMONTH(GC[[#This Row],[Month Year]],0))</f>
        <v>31</v>
      </c>
      <c r="I181" s="119"/>
      <c r="J181" s="119"/>
      <c r="K181" s="119">
        <v>9</v>
      </c>
      <c r="L181" s="119">
        <v>22</v>
      </c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5">
        <f>SUM(GC[[#This Row],[IS1Inv1M1]:[IS4Inv10M2]])</f>
        <v>31</v>
      </c>
      <c r="AN181" s="119"/>
      <c r="AO181" s="121"/>
    </row>
    <row r="182" spans="1:41">
      <c r="A182" s="119">
        <v>180</v>
      </c>
      <c r="B182" s="113">
        <f t="shared" si="2"/>
        <v>45653</v>
      </c>
      <c r="C182" s="114">
        <f>YEAR(GC[[#This Row],[Date]])+IF(MONTH(GC[[#This Row],[Date]])&gt;=4,1,0)</f>
        <v>2025</v>
      </c>
      <c r="D182" s="115">
        <f>YEAR(GC[[#This Row],[Date]])</f>
        <v>2024</v>
      </c>
      <c r="E182" s="112" t="s">
        <v>326</v>
      </c>
      <c r="F182" s="112" t="s">
        <v>326</v>
      </c>
      <c r="G182" s="116" t="str">
        <f>TEXT(GC[[#This Row],[Date]],"mmm-yy")</f>
        <v>Dec-24</v>
      </c>
      <c r="H182" s="116">
        <f>DAY(EOMONTH(GC[[#This Row],[Month Year]],0))</f>
        <v>31</v>
      </c>
      <c r="I182" s="119"/>
      <c r="J182" s="119"/>
      <c r="K182" s="119"/>
      <c r="L182" s="119">
        <v>22</v>
      </c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5">
        <f>SUM(GC[[#This Row],[IS1Inv1M1]:[IS4Inv10M2]])</f>
        <v>22</v>
      </c>
      <c r="AN182" s="119"/>
      <c r="AO182" s="121"/>
    </row>
    <row r="183" spans="1:41">
      <c r="A183" s="119">
        <v>181</v>
      </c>
      <c r="B183" s="113">
        <f t="shared" si="2"/>
        <v>45654</v>
      </c>
      <c r="C183" s="114">
        <f>YEAR(GC[[#This Row],[Date]])+IF(MONTH(GC[[#This Row],[Date]])&gt;=4,1,0)</f>
        <v>2025</v>
      </c>
      <c r="D183" s="115">
        <f>YEAR(GC[[#This Row],[Date]])</f>
        <v>2024</v>
      </c>
      <c r="E183" s="112" t="s">
        <v>326</v>
      </c>
      <c r="F183" s="112" t="s">
        <v>326</v>
      </c>
      <c r="G183" s="116" t="str">
        <f>TEXT(GC[[#This Row],[Date]],"mmm-yy")</f>
        <v>Dec-24</v>
      </c>
      <c r="H183" s="116">
        <f>DAY(EOMONTH(GC[[#This Row],[Month Year]],0))</f>
        <v>31</v>
      </c>
      <c r="I183" s="119"/>
      <c r="J183" s="119"/>
      <c r="K183" s="119"/>
      <c r="L183" s="119">
        <v>9</v>
      </c>
      <c r="M183" s="119">
        <v>26.5</v>
      </c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5">
        <f>SUM(GC[[#This Row],[IS1Inv1M1]:[IS4Inv10M2]])</f>
        <v>35.5</v>
      </c>
      <c r="AN183" s="119"/>
      <c r="AO183" s="121"/>
    </row>
    <row r="184" spans="1:41" ht="14.25" customHeight="1">
      <c r="A184" s="119">
        <v>182</v>
      </c>
      <c r="B184" s="113">
        <f t="shared" si="2"/>
        <v>45655</v>
      </c>
      <c r="C184" s="114">
        <f>YEAR(GC[[#This Row],[Date]])+IF(MONTH(GC[[#This Row],[Date]])&gt;=4,1,0)</f>
        <v>2025</v>
      </c>
      <c r="D184" s="115">
        <f>YEAR(GC[[#This Row],[Date]])</f>
        <v>2024</v>
      </c>
      <c r="E184" s="112" t="s">
        <v>326</v>
      </c>
      <c r="F184" s="112" t="s">
        <v>326</v>
      </c>
      <c r="G184" s="116" t="str">
        <f>TEXT(GC[[#This Row],[Date]],"mmm-yy")</f>
        <v>Dec-24</v>
      </c>
      <c r="H184" s="116">
        <f>DAY(EOMONTH(GC[[#This Row],[Month Year]],0))</f>
        <v>31</v>
      </c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5">
        <f>SUM(GC[[#This Row],[IS1Inv1M1]:[IS4Inv10M2]])</f>
        <v>0</v>
      </c>
      <c r="AN184" s="119"/>
      <c r="AO184" s="121"/>
    </row>
    <row r="185" spans="1:41" ht="16.5" customHeight="1">
      <c r="A185" s="119">
        <v>183</v>
      </c>
      <c r="B185" s="113">
        <f t="shared" si="2"/>
        <v>45656</v>
      </c>
      <c r="C185" s="114">
        <f>YEAR(GC[[#This Row],[Date]])+IF(MONTH(GC[[#This Row],[Date]])&gt;=4,1,0)</f>
        <v>2025</v>
      </c>
      <c r="D185" s="115">
        <f>YEAR(GC[[#This Row],[Date]])</f>
        <v>2024</v>
      </c>
      <c r="E185" s="112" t="s">
        <v>326</v>
      </c>
      <c r="F185" s="112" t="s">
        <v>326</v>
      </c>
      <c r="G185" s="116" t="str">
        <f>TEXT(GC[[#This Row],[Date]],"mmm-yy")</f>
        <v>Dec-24</v>
      </c>
      <c r="H185" s="116">
        <f>DAY(EOMONTH(GC[[#This Row],[Month Year]],0))</f>
        <v>31</v>
      </c>
      <c r="I185" s="119"/>
      <c r="J185" s="119"/>
      <c r="K185" s="119"/>
      <c r="L185" s="119"/>
      <c r="M185" s="119"/>
      <c r="N185" s="119">
        <v>10</v>
      </c>
      <c r="O185" s="119"/>
      <c r="P185" s="119"/>
      <c r="Q185" s="119">
        <v>21.5</v>
      </c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5">
        <f>SUM(GC[[#This Row],[IS1Inv1M1]:[IS4Inv10M2]])</f>
        <v>31.5</v>
      </c>
      <c r="AN185" s="119"/>
      <c r="AO185" s="121"/>
    </row>
    <row r="186" spans="1:41">
      <c r="A186" s="119">
        <v>184</v>
      </c>
      <c r="B186" s="113">
        <f t="shared" si="2"/>
        <v>45657</v>
      </c>
      <c r="C186" s="114">
        <f>YEAR(GC[[#This Row],[Date]])+IF(MONTH(GC[[#This Row],[Date]])&gt;=4,1,0)</f>
        <v>2025</v>
      </c>
      <c r="D186" s="115">
        <f>YEAR(GC[[#This Row],[Date]])</f>
        <v>2024</v>
      </c>
      <c r="E186" s="112" t="s">
        <v>326</v>
      </c>
      <c r="F186" s="112" t="s">
        <v>326</v>
      </c>
      <c r="G186" s="116" t="str">
        <f>TEXT(GC[[#This Row],[Date]],"mmm-yy")</f>
        <v>Dec-24</v>
      </c>
      <c r="H186" s="116">
        <f>DAY(EOMONTH(GC[[#This Row],[Month Year]],0))</f>
        <v>31</v>
      </c>
      <c r="I186" s="119"/>
      <c r="J186" s="119"/>
      <c r="K186" s="119"/>
      <c r="L186" s="119"/>
      <c r="M186" s="119"/>
      <c r="N186" s="119">
        <v>26</v>
      </c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5">
        <f>SUM(GC[[#This Row],[IS1Inv1M1]:[IS4Inv10M2]])</f>
        <v>26</v>
      </c>
      <c r="AN186" s="119"/>
      <c r="AO186" s="121"/>
    </row>
    <row r="187" spans="1:41">
      <c r="A187" s="119">
        <v>185</v>
      </c>
      <c r="B187" s="113">
        <f t="shared" si="2"/>
        <v>45658</v>
      </c>
      <c r="C187" s="114">
        <f>YEAR(GC[[#This Row],[Date]])+IF(MONTH(GC[[#This Row],[Date]])&gt;=4,1,0)</f>
        <v>2025</v>
      </c>
      <c r="D187" s="115">
        <f>YEAR(GC[[#This Row],[Date]])</f>
        <v>2025</v>
      </c>
      <c r="E187" s="112" t="s">
        <v>326</v>
      </c>
      <c r="F187" s="112" t="s">
        <v>326</v>
      </c>
      <c r="G187" s="116" t="str">
        <f>TEXT(GC[[#This Row],[Date]],"mmm-yy")</f>
        <v>Jan-25</v>
      </c>
      <c r="H187" s="116">
        <f>DAY(EOMONTH(GC[[#This Row],[Month Year]],0))</f>
        <v>31</v>
      </c>
      <c r="I187" s="119"/>
      <c r="J187" s="119"/>
      <c r="K187" s="119">
        <v>11</v>
      </c>
      <c r="L187" s="119"/>
      <c r="M187" s="119"/>
      <c r="N187" s="119">
        <v>8.5</v>
      </c>
      <c r="O187" s="119">
        <v>18.5</v>
      </c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5">
        <f>SUM(GC[[#This Row],[IS1Inv1M1]:[IS4Inv10M2]])</f>
        <v>38</v>
      </c>
      <c r="AN187" s="119"/>
      <c r="AO187" s="121"/>
    </row>
    <row r="188" spans="1:41">
      <c r="A188" s="119">
        <v>186</v>
      </c>
      <c r="B188" s="113">
        <f t="shared" si="2"/>
        <v>45659</v>
      </c>
      <c r="C188" s="114">
        <f>YEAR(GC[[#This Row],[Date]])+IF(MONTH(GC[[#This Row],[Date]])&gt;=4,1,0)</f>
        <v>2025</v>
      </c>
      <c r="D188" s="115">
        <f>YEAR(GC[[#This Row],[Date]])</f>
        <v>2025</v>
      </c>
      <c r="E188" s="112" t="s">
        <v>326</v>
      </c>
      <c r="F188" s="112" t="s">
        <v>326</v>
      </c>
      <c r="G188" s="116" t="str">
        <f>TEXT(GC[[#This Row],[Date]],"mmm-yy")</f>
        <v>Jan-25</v>
      </c>
      <c r="H188" s="116">
        <f>DAY(EOMONTH(GC[[#This Row],[Month Year]],0))</f>
        <v>31</v>
      </c>
      <c r="I188" s="119"/>
      <c r="J188" s="119"/>
      <c r="K188" s="119"/>
      <c r="L188" s="119"/>
      <c r="M188" s="119"/>
      <c r="N188" s="119"/>
      <c r="O188" s="119">
        <v>21</v>
      </c>
      <c r="P188" s="119">
        <v>6</v>
      </c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5">
        <f>SUM(GC[[#This Row],[IS1Inv1M1]:[IS4Inv10M2]])</f>
        <v>27</v>
      </c>
      <c r="AN188" s="119"/>
      <c r="AO188" s="121"/>
    </row>
    <row r="189" spans="1:41">
      <c r="A189" s="119">
        <v>187</v>
      </c>
      <c r="B189" s="113">
        <f t="shared" si="2"/>
        <v>45660</v>
      </c>
      <c r="C189" s="114">
        <f>YEAR(GC[[#This Row],[Date]])+IF(MONTH(GC[[#This Row],[Date]])&gt;=4,1,0)</f>
        <v>2025</v>
      </c>
      <c r="D189" s="115">
        <f>YEAR(GC[[#This Row],[Date]])</f>
        <v>2025</v>
      </c>
      <c r="E189" s="112" t="s">
        <v>326</v>
      </c>
      <c r="F189" s="112" t="s">
        <v>326</v>
      </c>
      <c r="G189" s="116" t="str">
        <f>TEXT(GC[[#This Row],[Date]],"mmm-yy")</f>
        <v>Jan-25</v>
      </c>
      <c r="H189" s="116">
        <f>DAY(EOMONTH(GC[[#This Row],[Month Year]],0))</f>
        <v>31</v>
      </c>
      <c r="I189" s="119"/>
      <c r="J189" s="119"/>
      <c r="K189" s="119"/>
      <c r="L189" s="119"/>
      <c r="M189" s="119">
        <v>12.5</v>
      </c>
      <c r="N189" s="119"/>
      <c r="O189" s="119"/>
      <c r="P189" s="119"/>
      <c r="Q189" s="119">
        <v>16</v>
      </c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5">
        <f>SUM(GC[[#This Row],[IS1Inv1M1]:[IS4Inv10M2]])</f>
        <v>28.5</v>
      </c>
      <c r="AN189" s="119"/>
      <c r="AO189" s="121"/>
    </row>
    <row r="190" spans="1:41">
      <c r="A190" s="119">
        <v>188</v>
      </c>
      <c r="B190" s="113">
        <f t="shared" si="2"/>
        <v>45661</v>
      </c>
      <c r="C190" s="114">
        <f>YEAR(GC[[#This Row],[Date]])+IF(MONTH(GC[[#This Row],[Date]])&gt;=4,1,0)</f>
        <v>2025</v>
      </c>
      <c r="D190" s="115">
        <f>YEAR(GC[[#This Row],[Date]])</f>
        <v>2025</v>
      </c>
      <c r="E190" s="112" t="s">
        <v>326</v>
      </c>
      <c r="F190" s="112" t="s">
        <v>326</v>
      </c>
      <c r="G190" s="116" t="str">
        <f>TEXT(GC[[#This Row],[Date]],"mmm-yy")</f>
        <v>Jan-25</v>
      </c>
      <c r="H190" s="116">
        <f>DAY(EOMONTH(GC[[#This Row],[Month Year]],0))</f>
        <v>31</v>
      </c>
      <c r="I190" s="119"/>
      <c r="J190" s="119"/>
      <c r="K190" s="119"/>
      <c r="L190" s="119"/>
      <c r="M190" s="119">
        <v>6</v>
      </c>
      <c r="N190" s="119"/>
      <c r="O190" s="119"/>
      <c r="P190" s="119"/>
      <c r="Q190" s="119"/>
      <c r="R190" s="119"/>
      <c r="S190" s="119"/>
      <c r="T190" s="119"/>
      <c r="U190" s="119">
        <v>8</v>
      </c>
      <c r="V190" s="119">
        <v>7</v>
      </c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5">
        <f>SUM(GC[[#This Row],[IS1Inv1M1]:[IS4Inv10M2]])</f>
        <v>21</v>
      </c>
      <c r="AN190" s="119"/>
      <c r="AO190" s="121"/>
    </row>
    <row r="191" spans="1:41">
      <c r="A191" s="119">
        <v>189</v>
      </c>
      <c r="B191" s="113">
        <f t="shared" si="2"/>
        <v>45662</v>
      </c>
      <c r="C191" s="114">
        <f>YEAR(GC[[#This Row],[Date]])+IF(MONTH(GC[[#This Row],[Date]])&gt;=4,1,0)</f>
        <v>2025</v>
      </c>
      <c r="D191" s="115">
        <f>YEAR(GC[[#This Row],[Date]])</f>
        <v>2025</v>
      </c>
      <c r="E191" s="112" t="s">
        <v>326</v>
      </c>
      <c r="F191" s="112" t="s">
        <v>326</v>
      </c>
      <c r="G191" s="116" t="str">
        <f>TEXT(GC[[#This Row],[Date]],"mmm-yy")</f>
        <v>Jan-25</v>
      </c>
      <c r="H191" s="116">
        <f>DAY(EOMONTH(GC[[#This Row],[Month Year]],0))</f>
        <v>31</v>
      </c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>
        <v>22</v>
      </c>
      <c r="V191" s="119">
        <v>13</v>
      </c>
      <c r="W191" s="119"/>
      <c r="X191" s="119">
        <v>11</v>
      </c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5">
        <f>SUM(GC[[#This Row],[IS1Inv1M1]:[IS4Inv10M2]])</f>
        <v>46</v>
      </c>
      <c r="AN191" s="119"/>
      <c r="AO191" s="121"/>
    </row>
    <row r="192" spans="1:41">
      <c r="A192" s="119">
        <v>190</v>
      </c>
      <c r="B192" s="113">
        <f t="shared" si="2"/>
        <v>45663</v>
      </c>
      <c r="C192" s="114">
        <f>YEAR(GC[[#This Row],[Date]])+IF(MONTH(GC[[#This Row],[Date]])&gt;=4,1,0)</f>
        <v>2025</v>
      </c>
      <c r="D192" s="115">
        <f>YEAR(GC[[#This Row],[Date]])</f>
        <v>2025</v>
      </c>
      <c r="E192" s="112" t="s">
        <v>326</v>
      </c>
      <c r="F192" s="112" t="s">
        <v>326</v>
      </c>
      <c r="G192" s="116" t="str">
        <f>TEXT(GC[[#This Row],[Date]],"mmm-yy")</f>
        <v>Jan-25</v>
      </c>
      <c r="H192" s="116">
        <f>DAY(EOMONTH(GC[[#This Row],[Month Year]],0))</f>
        <v>31</v>
      </c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>
        <v>32.5</v>
      </c>
      <c r="U192" s="119">
        <v>18</v>
      </c>
      <c r="V192" s="119"/>
      <c r="W192" s="119"/>
      <c r="X192" s="119">
        <v>8</v>
      </c>
      <c r="Y192" s="119">
        <v>8</v>
      </c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5">
        <f>SUM(GC[[#This Row],[IS1Inv1M1]:[IS4Inv10M2]])</f>
        <v>66.5</v>
      </c>
      <c r="AN192" s="119"/>
      <c r="AO192" s="121"/>
    </row>
    <row r="193" spans="1:41">
      <c r="A193" s="119">
        <v>191</v>
      </c>
      <c r="B193" s="113">
        <f t="shared" si="2"/>
        <v>45664</v>
      </c>
      <c r="C193" s="114">
        <f>YEAR(GC[[#This Row],[Date]])+IF(MONTH(GC[[#This Row],[Date]])&gt;=4,1,0)</f>
        <v>2025</v>
      </c>
      <c r="D193" s="115">
        <f>YEAR(GC[[#This Row],[Date]])</f>
        <v>2025</v>
      </c>
      <c r="E193" s="112" t="s">
        <v>326</v>
      </c>
      <c r="F193" s="112" t="s">
        <v>326</v>
      </c>
      <c r="G193" s="116" t="str">
        <f>TEXT(GC[[#This Row],[Date]],"mmm-yy")</f>
        <v>Jan-25</v>
      </c>
      <c r="H193" s="116">
        <f>DAY(EOMONTH(GC[[#This Row],[Month Year]],0))</f>
        <v>31</v>
      </c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>
        <v>37</v>
      </c>
      <c r="T193" s="119">
        <v>24</v>
      </c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5">
        <f>SUM(GC[[#This Row],[IS1Inv1M1]:[IS4Inv10M2]])</f>
        <v>61</v>
      </c>
      <c r="AN193" s="119"/>
      <c r="AO193" s="121"/>
    </row>
    <row r="194" spans="1:41">
      <c r="A194" s="119">
        <v>192</v>
      </c>
      <c r="B194" s="113">
        <f t="shared" si="2"/>
        <v>45665</v>
      </c>
      <c r="C194" s="114">
        <f>YEAR(GC[[#This Row],[Date]])+IF(MONTH(GC[[#This Row],[Date]])&gt;=4,1,0)</f>
        <v>2025</v>
      </c>
      <c r="D194" s="115">
        <f>YEAR(GC[[#This Row],[Date]])</f>
        <v>2025</v>
      </c>
      <c r="E194" s="112" t="s">
        <v>326</v>
      </c>
      <c r="F194" s="112" t="s">
        <v>326</v>
      </c>
      <c r="G194" s="116" t="str">
        <f>TEXT(GC[[#This Row],[Date]],"mmm-yy")</f>
        <v>Jan-25</v>
      </c>
      <c r="H194" s="116">
        <f>DAY(EOMONTH(GC[[#This Row],[Month Year]],0))</f>
        <v>31</v>
      </c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>
        <v>15</v>
      </c>
      <c r="T194" s="119"/>
      <c r="U194" s="119"/>
      <c r="V194" s="119"/>
      <c r="W194" s="119"/>
      <c r="X194" s="119"/>
      <c r="Y194" s="119"/>
      <c r="Z194" s="119">
        <v>33</v>
      </c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5">
        <f>SUM(GC[[#This Row],[IS1Inv1M1]:[IS4Inv10M2]])</f>
        <v>48</v>
      </c>
      <c r="AN194" s="119"/>
      <c r="AO194" s="121"/>
    </row>
    <row r="195" spans="1:41">
      <c r="A195" s="119">
        <v>193</v>
      </c>
      <c r="B195" s="113">
        <f t="shared" si="2"/>
        <v>45666</v>
      </c>
      <c r="C195" s="114">
        <f>YEAR(GC[[#This Row],[Date]])+IF(MONTH(GC[[#This Row],[Date]])&gt;=4,1,0)</f>
        <v>2025</v>
      </c>
      <c r="D195" s="115">
        <f>YEAR(GC[[#This Row],[Date]])</f>
        <v>2025</v>
      </c>
      <c r="E195" s="112" t="s">
        <v>326</v>
      </c>
      <c r="F195" s="112" t="s">
        <v>326</v>
      </c>
      <c r="G195" s="116" t="str">
        <f>TEXT(GC[[#This Row],[Date]],"mmm-yy")</f>
        <v>Jan-25</v>
      </c>
      <c r="H195" s="116">
        <f>DAY(EOMONTH(GC[[#This Row],[Month Year]],0))</f>
        <v>31</v>
      </c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>
        <v>16</v>
      </c>
      <c r="W195" s="119">
        <v>31</v>
      </c>
      <c r="X195" s="119"/>
      <c r="Y195" s="119"/>
      <c r="Z195" s="119">
        <v>21</v>
      </c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5">
        <f>SUM(GC[[#This Row],[IS1Inv1M1]:[IS4Inv10M2]])</f>
        <v>68</v>
      </c>
      <c r="AN195" s="119"/>
      <c r="AO195" s="121"/>
    </row>
    <row r="196" spans="1:41">
      <c r="A196" s="119">
        <v>194</v>
      </c>
      <c r="B196" s="113">
        <f t="shared" si="2"/>
        <v>45667</v>
      </c>
      <c r="C196" s="114">
        <f>YEAR(GC[[#This Row],[Date]])+IF(MONTH(GC[[#This Row],[Date]])&gt;=4,1,0)</f>
        <v>2025</v>
      </c>
      <c r="D196" s="115">
        <f>YEAR(GC[[#This Row],[Date]])</f>
        <v>2025</v>
      </c>
      <c r="E196" s="112" t="s">
        <v>326</v>
      </c>
      <c r="F196" s="112" t="s">
        <v>326</v>
      </c>
      <c r="G196" s="116" t="str">
        <f>TEXT(GC[[#This Row],[Date]],"mmm-yy")</f>
        <v>Jan-25</v>
      </c>
      <c r="H196" s="116">
        <f>DAY(EOMONTH(GC[[#This Row],[Month Year]],0))</f>
        <v>31</v>
      </c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>
        <v>8</v>
      </c>
      <c r="X196" s="119">
        <v>25</v>
      </c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5">
        <f>SUM(GC[[#This Row],[IS1Inv1M1]:[IS4Inv10M2]])</f>
        <v>33</v>
      </c>
      <c r="AN196" s="119"/>
      <c r="AO196" s="121"/>
    </row>
    <row r="197" spans="1:41">
      <c r="A197" s="119">
        <v>195</v>
      </c>
      <c r="B197" s="113">
        <f t="shared" ref="B197:B218" si="3">B196+1</f>
        <v>45668</v>
      </c>
      <c r="C197" s="114">
        <f>YEAR(GC[[#This Row],[Date]])+IF(MONTH(GC[[#This Row],[Date]])&gt;=4,1,0)</f>
        <v>2025</v>
      </c>
      <c r="D197" s="115">
        <f>YEAR(GC[[#This Row],[Date]])</f>
        <v>2025</v>
      </c>
      <c r="E197" s="112" t="s">
        <v>326</v>
      </c>
      <c r="F197" s="112" t="s">
        <v>326</v>
      </c>
      <c r="G197" s="116" t="str">
        <f>TEXT(GC[[#This Row],[Date]],"mmm-yy")</f>
        <v>Jan-25</v>
      </c>
      <c r="H197" s="116">
        <f>DAY(EOMONTH(GC[[#This Row],[Month Year]],0))</f>
        <v>31</v>
      </c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>
        <v>43.5</v>
      </c>
      <c r="Z197" s="119">
        <v>7</v>
      </c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5">
        <f>SUM(GC[[#This Row],[IS1Inv1M1]:[IS4Inv10M2]])</f>
        <v>50.5</v>
      </c>
      <c r="AN197" s="119"/>
      <c r="AO197" s="121"/>
    </row>
    <row r="198" spans="1:41">
      <c r="A198" s="119">
        <v>196</v>
      </c>
      <c r="B198" s="113">
        <f t="shared" si="3"/>
        <v>45669</v>
      </c>
      <c r="C198" s="114">
        <f>YEAR(GC[[#This Row],[Date]])+IF(MONTH(GC[[#This Row],[Date]])&gt;=4,1,0)</f>
        <v>2025</v>
      </c>
      <c r="D198" s="115">
        <f>YEAR(GC[[#This Row],[Date]])</f>
        <v>2025</v>
      </c>
      <c r="E198" s="112" t="s">
        <v>326</v>
      </c>
      <c r="F198" s="112" t="s">
        <v>326</v>
      </c>
      <c r="G198" s="116" t="str">
        <f>TEXT(GC[[#This Row],[Date]],"mmm-yy")</f>
        <v>Jan-25</v>
      </c>
      <c r="H198" s="116">
        <f>DAY(EOMONTH(GC[[#This Row],[Month Year]],0))</f>
        <v>31</v>
      </c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>
        <v>9</v>
      </c>
      <c r="AB198" s="119">
        <v>40</v>
      </c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5">
        <f>SUM(GC[[#This Row],[IS1Inv1M1]:[IS4Inv10M2]])</f>
        <v>49</v>
      </c>
      <c r="AN198" s="119"/>
      <c r="AO198" s="121"/>
    </row>
    <row r="199" spans="1:41">
      <c r="A199" s="119">
        <v>197</v>
      </c>
      <c r="B199" s="113">
        <f t="shared" si="3"/>
        <v>45670</v>
      </c>
      <c r="C199" s="114">
        <f>YEAR(GC[[#This Row],[Date]])+IF(MONTH(GC[[#This Row],[Date]])&gt;=4,1,0)</f>
        <v>2025</v>
      </c>
      <c r="D199" s="115">
        <f>YEAR(GC[[#This Row],[Date]])</f>
        <v>2025</v>
      </c>
      <c r="E199" s="112" t="s">
        <v>326</v>
      </c>
      <c r="F199" s="112" t="s">
        <v>326</v>
      </c>
      <c r="G199" s="116" t="str">
        <f>TEXT(GC[[#This Row],[Date]],"mmm-yy")</f>
        <v>Jan-25</v>
      </c>
      <c r="H199" s="116">
        <f>DAY(EOMONTH(GC[[#This Row],[Month Year]],0))</f>
        <v>31</v>
      </c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>
        <v>21</v>
      </c>
      <c r="AB199" s="119"/>
      <c r="AC199" s="119">
        <v>33</v>
      </c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5">
        <f>SUM(GC[[#This Row],[IS1Inv1M1]:[IS4Inv10M2]])</f>
        <v>54</v>
      </c>
      <c r="AN199" s="119"/>
      <c r="AO199" s="121"/>
    </row>
    <row r="200" spans="1:41">
      <c r="A200" s="119">
        <v>198</v>
      </c>
      <c r="B200" s="113">
        <f t="shared" si="3"/>
        <v>45671</v>
      </c>
      <c r="C200" s="114">
        <f>YEAR(GC[[#This Row],[Date]])+IF(MONTH(GC[[#This Row],[Date]])&gt;=4,1,0)</f>
        <v>2025</v>
      </c>
      <c r="D200" s="115">
        <f>YEAR(GC[[#This Row],[Date]])</f>
        <v>2025</v>
      </c>
      <c r="E200" s="112" t="s">
        <v>326</v>
      </c>
      <c r="F200" s="112" t="s">
        <v>326</v>
      </c>
      <c r="G200" s="116" t="str">
        <f>TEXT(GC[[#This Row],[Date]],"mmm-yy")</f>
        <v>Jan-25</v>
      </c>
      <c r="H200" s="116">
        <f>DAY(EOMONTH(GC[[#This Row],[Month Year]],0))</f>
        <v>31</v>
      </c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>
        <v>38</v>
      </c>
      <c r="AD200" s="119">
        <v>16</v>
      </c>
      <c r="AE200" s="119"/>
      <c r="AF200" s="119"/>
      <c r="AG200" s="119"/>
      <c r="AH200" s="119"/>
      <c r="AI200" s="119"/>
      <c r="AJ200" s="119"/>
      <c r="AK200" s="119"/>
      <c r="AL200" s="119"/>
      <c r="AM200" s="5">
        <f>SUM(GC[[#This Row],[IS1Inv1M1]:[IS4Inv10M2]])</f>
        <v>54</v>
      </c>
      <c r="AN200" s="119"/>
      <c r="AO200" s="121"/>
    </row>
    <row r="201" spans="1:41">
      <c r="A201" s="119">
        <v>199</v>
      </c>
      <c r="B201" s="113">
        <f t="shared" si="3"/>
        <v>45672</v>
      </c>
      <c r="C201" s="114">
        <f>YEAR(GC[[#This Row],[Date]])+IF(MONTH(GC[[#This Row],[Date]])&gt;=4,1,0)</f>
        <v>2025</v>
      </c>
      <c r="D201" s="115">
        <f>YEAR(GC[[#This Row],[Date]])</f>
        <v>2025</v>
      </c>
      <c r="E201" s="112" t="s">
        <v>326</v>
      </c>
      <c r="F201" s="112" t="s">
        <v>326</v>
      </c>
      <c r="G201" s="116" t="str">
        <f>TEXT(GC[[#This Row],[Date]],"mmm-yy")</f>
        <v>Jan-25</v>
      </c>
      <c r="H201" s="116">
        <f>DAY(EOMONTH(GC[[#This Row],[Month Year]],0))</f>
        <v>31</v>
      </c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5">
        <f>SUM(GC[[#This Row],[IS1Inv1M1]:[IS4Inv10M2]])</f>
        <v>0</v>
      </c>
      <c r="AN201" s="119"/>
      <c r="AO201" s="121"/>
    </row>
    <row r="202" spans="1:41">
      <c r="A202" s="119">
        <v>200</v>
      </c>
      <c r="B202" s="113">
        <f t="shared" si="3"/>
        <v>45673</v>
      </c>
      <c r="C202" s="114">
        <f>YEAR(GC[[#This Row],[Date]])+IF(MONTH(GC[[#This Row],[Date]])&gt;=4,1,0)</f>
        <v>2025</v>
      </c>
      <c r="D202" s="115">
        <f>YEAR(GC[[#This Row],[Date]])</f>
        <v>2025</v>
      </c>
      <c r="E202" s="112" t="s">
        <v>326</v>
      </c>
      <c r="F202" s="112" t="s">
        <v>326</v>
      </c>
      <c r="G202" s="116" t="str">
        <f>TEXT(GC[[#This Row],[Date]],"mmm-yy")</f>
        <v>Jan-25</v>
      </c>
      <c r="H202" s="116">
        <f>DAY(EOMONTH(GC[[#This Row],[Month Year]],0))</f>
        <v>31</v>
      </c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>
        <v>7</v>
      </c>
      <c r="AD202" s="119">
        <v>11</v>
      </c>
      <c r="AE202" s="119"/>
      <c r="AF202" s="119"/>
      <c r="AG202" s="119"/>
      <c r="AH202" s="119"/>
      <c r="AI202" s="119"/>
      <c r="AJ202" s="119"/>
      <c r="AK202" s="119"/>
      <c r="AL202" s="119"/>
      <c r="AM202" s="5">
        <f>SUM(GC[[#This Row],[IS1Inv1M1]:[IS4Inv10M2]])</f>
        <v>18</v>
      </c>
      <c r="AN202" s="119"/>
      <c r="AO202" s="121"/>
    </row>
    <row r="203" spans="1:41">
      <c r="A203" s="119">
        <v>201</v>
      </c>
      <c r="B203" s="113">
        <f t="shared" si="3"/>
        <v>45674</v>
      </c>
      <c r="C203" s="114">
        <f>YEAR(GC[[#This Row],[Date]])+IF(MONTH(GC[[#This Row],[Date]])&gt;=4,1,0)</f>
        <v>2025</v>
      </c>
      <c r="D203" s="115">
        <f>YEAR(GC[[#This Row],[Date]])</f>
        <v>2025</v>
      </c>
      <c r="E203" s="112" t="s">
        <v>326</v>
      </c>
      <c r="F203" s="112" t="s">
        <v>326</v>
      </c>
      <c r="G203" s="116" t="str">
        <f>TEXT(GC[[#This Row],[Date]],"mmm-yy")</f>
        <v>Jan-25</v>
      </c>
      <c r="H203" s="116">
        <f>DAY(EOMONTH(GC[[#This Row],[Month Year]],0))</f>
        <v>31</v>
      </c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5">
        <f>SUM(GC[[#This Row],[IS1Inv1M1]:[IS4Inv10M2]])</f>
        <v>0</v>
      </c>
      <c r="AN203" s="119"/>
      <c r="AO203" s="121"/>
    </row>
    <row r="204" spans="1:41">
      <c r="A204" s="119">
        <v>202</v>
      </c>
      <c r="B204" s="113">
        <f t="shared" si="3"/>
        <v>45675</v>
      </c>
      <c r="C204" s="114">
        <f>YEAR(GC[[#This Row],[Date]])+IF(MONTH(GC[[#This Row],[Date]])&gt;=4,1,0)</f>
        <v>2025</v>
      </c>
      <c r="D204" s="115">
        <f>YEAR(GC[[#This Row],[Date]])</f>
        <v>2025</v>
      </c>
      <c r="E204" s="112" t="s">
        <v>326</v>
      </c>
      <c r="F204" s="112" t="s">
        <v>326</v>
      </c>
      <c r="G204" s="116" t="str">
        <f>TEXT(GC[[#This Row],[Date]],"mmm-yy")</f>
        <v>Jan-25</v>
      </c>
      <c r="H204" s="116">
        <f>DAY(EOMONTH(GC[[#This Row],[Month Year]],0))</f>
        <v>31</v>
      </c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>
        <v>2</v>
      </c>
      <c r="AD204" s="119">
        <v>20</v>
      </c>
      <c r="AE204" s="119"/>
      <c r="AF204" s="119"/>
      <c r="AG204" s="119"/>
      <c r="AH204" s="119"/>
      <c r="AI204" s="119"/>
      <c r="AJ204" s="119"/>
      <c r="AK204" s="119"/>
      <c r="AL204" s="119"/>
      <c r="AM204" s="5">
        <f>SUM(GC[[#This Row],[IS1Inv1M1]:[IS4Inv10M2]])</f>
        <v>22</v>
      </c>
      <c r="AN204" s="119"/>
      <c r="AO204" s="121"/>
    </row>
    <row r="205" spans="1:41">
      <c r="A205" s="119">
        <v>203</v>
      </c>
      <c r="B205" s="113">
        <f t="shared" si="3"/>
        <v>45676</v>
      </c>
      <c r="C205" s="114">
        <f>YEAR(GC[[#This Row],[Date]])+IF(MONTH(GC[[#This Row],[Date]])&gt;=4,1,0)</f>
        <v>2025</v>
      </c>
      <c r="D205" s="115">
        <f>YEAR(GC[[#This Row],[Date]])</f>
        <v>2025</v>
      </c>
      <c r="E205" s="112" t="s">
        <v>326</v>
      </c>
      <c r="F205" s="112" t="s">
        <v>326</v>
      </c>
      <c r="G205" s="116" t="str">
        <f>TEXT(GC[[#This Row],[Date]],"mmm-yy")</f>
        <v>Jan-25</v>
      </c>
      <c r="H205" s="116">
        <f>DAY(EOMONTH(GC[[#This Row],[Month Year]],0))</f>
        <v>31</v>
      </c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>
        <v>21</v>
      </c>
      <c r="AK205" s="119"/>
      <c r="AL205" s="119"/>
      <c r="AM205" s="5">
        <f>SUM(GC[[#This Row],[IS1Inv1M1]:[IS4Inv10M2]])</f>
        <v>21</v>
      </c>
      <c r="AN205" s="119"/>
      <c r="AO205" s="121"/>
    </row>
    <row r="206" spans="1:41">
      <c r="A206" s="119">
        <v>204</v>
      </c>
      <c r="B206" s="113">
        <f t="shared" si="3"/>
        <v>45677</v>
      </c>
      <c r="C206" s="114">
        <f>YEAR(GC[[#This Row],[Date]])+IF(MONTH(GC[[#This Row],[Date]])&gt;=4,1,0)</f>
        <v>2025</v>
      </c>
      <c r="D206" s="115">
        <f>YEAR(GC[[#This Row],[Date]])</f>
        <v>2025</v>
      </c>
      <c r="E206" s="112" t="s">
        <v>326</v>
      </c>
      <c r="F206" s="112" t="s">
        <v>326</v>
      </c>
      <c r="G206" s="116" t="str">
        <f>TEXT(GC[[#This Row],[Date]],"mmm-yy")</f>
        <v>Jan-25</v>
      </c>
      <c r="H206" s="116">
        <f>DAY(EOMONTH(GC[[#This Row],[Month Year]],0))</f>
        <v>31</v>
      </c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5">
        <f>SUM(GC[[#This Row],[IS1Inv1M1]:[IS4Inv10M2]])</f>
        <v>0</v>
      </c>
      <c r="AN206" s="119"/>
      <c r="AO206" s="121"/>
    </row>
    <row r="207" spans="1:41">
      <c r="A207" s="119">
        <v>205</v>
      </c>
      <c r="B207" s="113">
        <f t="shared" si="3"/>
        <v>45678</v>
      </c>
      <c r="C207" s="114">
        <f>YEAR(GC[[#This Row],[Date]])+IF(MONTH(GC[[#This Row],[Date]])&gt;=4,1,0)</f>
        <v>2025</v>
      </c>
      <c r="D207" s="115">
        <f>YEAR(GC[[#This Row],[Date]])</f>
        <v>2025</v>
      </c>
      <c r="E207" s="112" t="s">
        <v>326</v>
      </c>
      <c r="F207" s="112" t="s">
        <v>326</v>
      </c>
      <c r="G207" s="116" t="str">
        <f>TEXT(GC[[#This Row],[Date]],"mmm-yy")</f>
        <v>Jan-25</v>
      </c>
      <c r="H207" s="116">
        <f>DAY(EOMONTH(GC[[#This Row],[Month Year]],0))</f>
        <v>31</v>
      </c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>
        <v>36</v>
      </c>
      <c r="AK207" s="119"/>
      <c r="AL207" s="119"/>
      <c r="AM207" s="5">
        <f>SUM(GC[[#This Row],[IS1Inv1M1]:[IS4Inv10M2]])</f>
        <v>36</v>
      </c>
      <c r="AN207" s="119"/>
      <c r="AO207" s="121"/>
    </row>
    <row r="208" spans="1:41">
      <c r="A208" s="119">
        <v>206</v>
      </c>
      <c r="B208" s="113">
        <f t="shared" si="3"/>
        <v>45679</v>
      </c>
      <c r="C208" s="114">
        <f>YEAR(GC[[#This Row],[Date]])+IF(MONTH(GC[[#This Row],[Date]])&gt;=4,1,0)</f>
        <v>2025</v>
      </c>
      <c r="D208" s="115">
        <f>YEAR(GC[[#This Row],[Date]])</f>
        <v>2025</v>
      </c>
      <c r="E208" s="112" t="s">
        <v>326</v>
      </c>
      <c r="F208" s="112" t="s">
        <v>326</v>
      </c>
      <c r="G208" s="116" t="str">
        <f>TEXT(GC[[#This Row],[Date]],"mmm-yy")</f>
        <v>Jan-25</v>
      </c>
      <c r="H208" s="116">
        <f>DAY(EOMONTH(GC[[#This Row],[Month Year]],0))</f>
        <v>31</v>
      </c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>
        <v>37</v>
      </c>
      <c r="AF208" s="119"/>
      <c r="AG208" s="119"/>
      <c r="AH208" s="119"/>
      <c r="AI208" s="119">
        <v>11</v>
      </c>
      <c r="AJ208" s="119">
        <v>12</v>
      </c>
      <c r="AK208" s="119"/>
      <c r="AL208" s="119"/>
      <c r="AM208" s="5">
        <f>SUM(GC[[#This Row],[IS1Inv1M1]:[IS4Inv10M2]])</f>
        <v>60</v>
      </c>
      <c r="AN208" s="119"/>
      <c r="AO208" s="121"/>
    </row>
    <row r="209" spans="1:41">
      <c r="A209" s="119">
        <v>207</v>
      </c>
      <c r="B209" s="113">
        <f t="shared" si="3"/>
        <v>45680</v>
      </c>
      <c r="C209" s="114">
        <f>YEAR(GC[[#This Row],[Date]])+IF(MONTH(GC[[#This Row],[Date]])&gt;=4,1,0)</f>
        <v>2025</v>
      </c>
      <c r="D209" s="115">
        <f>YEAR(GC[[#This Row],[Date]])</f>
        <v>2025</v>
      </c>
      <c r="E209" s="112" t="s">
        <v>326</v>
      </c>
      <c r="F209" s="112" t="s">
        <v>326</v>
      </c>
      <c r="G209" s="116" t="str">
        <f>TEXT(GC[[#This Row],[Date]],"mmm-yy")</f>
        <v>Jan-25</v>
      </c>
      <c r="H209" s="116">
        <f>DAY(EOMONTH(GC[[#This Row],[Month Year]],0))</f>
        <v>31</v>
      </c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>
        <v>12</v>
      </c>
      <c r="AF209" s="119"/>
      <c r="AG209" s="119"/>
      <c r="AH209" s="119"/>
      <c r="AI209" s="119">
        <v>12</v>
      </c>
      <c r="AJ209" s="119"/>
      <c r="AK209" s="119"/>
      <c r="AL209" s="119"/>
      <c r="AM209" s="5">
        <f>SUM(GC[[#This Row],[IS1Inv1M1]:[IS4Inv10M2]])</f>
        <v>24</v>
      </c>
      <c r="AN209" s="119"/>
      <c r="AO209" s="121"/>
    </row>
    <row r="210" spans="1:41">
      <c r="A210" s="119">
        <v>208</v>
      </c>
      <c r="B210" s="113">
        <f t="shared" si="3"/>
        <v>45681</v>
      </c>
      <c r="C210" s="114">
        <f>YEAR(GC[[#This Row],[Date]])+IF(MONTH(GC[[#This Row],[Date]])&gt;=4,1,0)</f>
        <v>2025</v>
      </c>
      <c r="D210" s="115">
        <f>YEAR(GC[[#This Row],[Date]])</f>
        <v>2025</v>
      </c>
      <c r="E210" s="112" t="s">
        <v>326</v>
      </c>
      <c r="F210" s="112" t="s">
        <v>326</v>
      </c>
      <c r="G210" s="116" t="str">
        <f>TEXT(GC[[#This Row],[Date]],"mmm-yy")</f>
        <v>Jan-25</v>
      </c>
      <c r="H210" s="116">
        <f>DAY(EOMONTH(GC[[#This Row],[Month Year]],0))</f>
        <v>31</v>
      </c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>
        <v>12</v>
      </c>
      <c r="AF210" s="119"/>
      <c r="AG210" s="119"/>
      <c r="AH210" s="119"/>
      <c r="AI210" s="119">
        <v>13</v>
      </c>
      <c r="AJ210" s="119"/>
      <c r="AK210" s="119"/>
      <c r="AL210" s="119"/>
      <c r="AM210" s="5">
        <f>SUM(GC[[#This Row],[IS1Inv1M1]:[IS4Inv10M2]])</f>
        <v>25</v>
      </c>
      <c r="AN210" s="119"/>
      <c r="AO210" s="121"/>
    </row>
    <row r="211" spans="1:41">
      <c r="A211" s="119">
        <v>209</v>
      </c>
      <c r="B211" s="113">
        <f t="shared" si="3"/>
        <v>45682</v>
      </c>
      <c r="C211" s="114">
        <f>YEAR(GC[[#This Row],[Date]])+IF(MONTH(GC[[#This Row],[Date]])&gt;=4,1,0)</f>
        <v>2025</v>
      </c>
      <c r="D211" s="115">
        <f>YEAR(GC[[#This Row],[Date]])</f>
        <v>2025</v>
      </c>
      <c r="E211" s="112" t="s">
        <v>326</v>
      </c>
      <c r="F211" s="112" t="s">
        <v>326</v>
      </c>
      <c r="G211" s="116" t="str">
        <f>TEXT(GC[[#This Row],[Date]],"mmm-yy")</f>
        <v>Jan-25</v>
      </c>
      <c r="H211" s="116">
        <f>DAY(EOMONTH(GC[[#This Row],[Month Year]],0))</f>
        <v>31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>
        <v>8</v>
      </c>
      <c r="AF211" s="119">
        <v>4</v>
      </c>
      <c r="AG211" s="119"/>
      <c r="AH211" s="119"/>
      <c r="AI211" s="119">
        <v>9</v>
      </c>
      <c r="AJ211" s="119"/>
      <c r="AK211" s="119"/>
      <c r="AL211" s="119"/>
      <c r="AM211" s="5">
        <f>SUM(GC[[#This Row],[IS1Inv1M1]:[IS4Inv10M2]])</f>
        <v>21</v>
      </c>
      <c r="AN211" s="119"/>
      <c r="AO211" s="121"/>
    </row>
    <row r="212" spans="1:41">
      <c r="A212" s="119">
        <v>210</v>
      </c>
      <c r="B212" s="113">
        <f t="shared" si="3"/>
        <v>45683</v>
      </c>
      <c r="C212" s="114">
        <f>YEAR(GC[[#This Row],[Date]])+IF(MONTH(GC[[#This Row],[Date]])&gt;=4,1,0)</f>
        <v>2025</v>
      </c>
      <c r="D212" s="115">
        <f>YEAR(GC[[#This Row],[Date]])</f>
        <v>2025</v>
      </c>
      <c r="E212" s="112" t="s">
        <v>326</v>
      </c>
      <c r="F212" s="112" t="s">
        <v>326</v>
      </c>
      <c r="G212" s="116" t="str">
        <f>TEXT(GC[[#This Row],[Date]],"mmm-yy")</f>
        <v>Jan-25</v>
      </c>
      <c r="H212" s="116">
        <f>DAY(EOMONTH(GC[[#This Row],[Month Year]],0))</f>
        <v>31</v>
      </c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5">
        <f>SUM(GC[[#This Row],[IS1Inv1M1]:[IS4Inv10M2]])</f>
        <v>0</v>
      </c>
      <c r="AN212" s="119"/>
      <c r="AO212" s="121"/>
    </row>
    <row r="213" spans="1:41">
      <c r="A213" s="119">
        <v>211</v>
      </c>
      <c r="B213" s="113">
        <f t="shared" si="3"/>
        <v>45684</v>
      </c>
      <c r="C213" s="114">
        <f>YEAR(GC[[#This Row],[Date]])+IF(MONTH(GC[[#This Row],[Date]])&gt;=4,1,0)</f>
        <v>2025</v>
      </c>
      <c r="D213" s="115">
        <f>YEAR(GC[[#This Row],[Date]])</f>
        <v>2025</v>
      </c>
      <c r="E213" s="112" t="s">
        <v>326</v>
      </c>
      <c r="F213" s="112" t="s">
        <v>326</v>
      </c>
      <c r="G213" s="116" t="str">
        <f>TEXT(GC[[#This Row],[Date]],"mmm-yy")</f>
        <v>Jan-25</v>
      </c>
      <c r="H213" s="116">
        <f>DAY(EOMONTH(GC[[#This Row],[Month Year]],0))</f>
        <v>31</v>
      </c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>
        <v>10</v>
      </c>
      <c r="AB213" s="119">
        <v>26</v>
      </c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5">
        <f>SUM(GC[[#This Row],[IS1Inv1M1]:[IS4Inv10M2]])</f>
        <v>36</v>
      </c>
      <c r="AN213" s="119"/>
      <c r="AO213" s="121"/>
    </row>
    <row r="214" spans="1:41">
      <c r="A214" s="119">
        <v>212</v>
      </c>
      <c r="B214" s="113">
        <f t="shared" si="3"/>
        <v>45685</v>
      </c>
      <c r="C214" s="114">
        <f>YEAR(GC[[#This Row],[Date]])+IF(MONTH(GC[[#This Row],[Date]])&gt;=4,1,0)</f>
        <v>2025</v>
      </c>
      <c r="D214" s="115">
        <f>YEAR(GC[[#This Row],[Date]])</f>
        <v>2025</v>
      </c>
      <c r="E214" s="112" t="s">
        <v>326</v>
      </c>
      <c r="F214" s="112" t="s">
        <v>326</v>
      </c>
      <c r="G214" s="116" t="str">
        <f>TEXT(GC[[#This Row],[Date]],"mmm-yy")</f>
        <v>Jan-25</v>
      </c>
      <c r="H214" s="116">
        <f>DAY(EOMONTH(GC[[#This Row],[Month Year]],0))</f>
        <v>31</v>
      </c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>
        <v>22</v>
      </c>
      <c r="AB214" s="119">
        <v>14</v>
      </c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5">
        <f>SUM(GC[[#This Row],[IS1Inv1M1]:[IS4Inv10M2]])</f>
        <v>36</v>
      </c>
      <c r="AN214" s="119"/>
      <c r="AO214" s="121"/>
    </row>
    <row r="215" spans="1:41">
      <c r="A215" s="119">
        <v>213</v>
      </c>
      <c r="B215" s="113">
        <f t="shared" si="3"/>
        <v>45686</v>
      </c>
      <c r="C215" s="114">
        <f>YEAR(GC[[#This Row],[Date]])+IF(MONTH(GC[[#This Row],[Date]])&gt;=4,1,0)</f>
        <v>2025</v>
      </c>
      <c r="D215" s="115">
        <f>YEAR(GC[[#This Row],[Date]])</f>
        <v>2025</v>
      </c>
      <c r="E215" s="112" t="s">
        <v>326</v>
      </c>
      <c r="F215" s="112" t="s">
        <v>326</v>
      </c>
      <c r="G215" s="116" t="str">
        <f>TEXT(GC[[#This Row],[Date]],"mmm-yy")</f>
        <v>Jan-25</v>
      </c>
      <c r="H215" s="116">
        <f>DAY(EOMONTH(GC[[#This Row],[Month Year]],0))</f>
        <v>31</v>
      </c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>
        <v>19</v>
      </c>
      <c r="AJ215" s="119"/>
      <c r="AK215" s="119"/>
      <c r="AL215" s="119"/>
      <c r="AM215" s="5">
        <f>SUM(GC[[#This Row],[IS1Inv1M1]:[IS4Inv10M2]])</f>
        <v>19</v>
      </c>
      <c r="AN215" s="119"/>
      <c r="AO215" s="121"/>
    </row>
    <row r="216" spans="1:41">
      <c r="A216" s="119">
        <v>214</v>
      </c>
      <c r="B216" s="113">
        <f t="shared" si="3"/>
        <v>45687</v>
      </c>
      <c r="C216" s="114">
        <f>YEAR(GC[[#This Row],[Date]])+IF(MONTH(GC[[#This Row],[Date]])&gt;=4,1,0)</f>
        <v>2025</v>
      </c>
      <c r="D216" s="115">
        <f>YEAR(GC[[#This Row],[Date]])</f>
        <v>2025</v>
      </c>
      <c r="E216" s="112" t="s">
        <v>326</v>
      </c>
      <c r="F216" s="112" t="s">
        <v>326</v>
      </c>
      <c r="G216" s="116" t="str">
        <f>TEXT(GC[[#This Row],[Date]],"mmm-yy")</f>
        <v>Jan-25</v>
      </c>
      <c r="H216" s="116">
        <f>DAY(EOMONTH(GC[[#This Row],[Month Year]],0))</f>
        <v>31</v>
      </c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>
        <v>18</v>
      </c>
      <c r="AL216" s="119"/>
      <c r="AM216" s="5">
        <f>SUM(GC[[#This Row],[IS1Inv1M1]:[IS4Inv10M2]])</f>
        <v>18</v>
      </c>
      <c r="AN216" s="119"/>
      <c r="AO216" s="121"/>
    </row>
    <row r="217" spans="1:41">
      <c r="A217" s="119">
        <v>215</v>
      </c>
      <c r="B217" s="113">
        <f t="shared" si="3"/>
        <v>45688</v>
      </c>
      <c r="C217" s="114">
        <f>YEAR(GC[[#This Row],[Date]])+IF(MONTH(GC[[#This Row],[Date]])&gt;=4,1,0)</f>
        <v>2025</v>
      </c>
      <c r="D217" s="115">
        <f>YEAR(GC[[#This Row],[Date]])</f>
        <v>2025</v>
      </c>
      <c r="E217" s="112" t="s">
        <v>326</v>
      </c>
      <c r="F217" s="112" t="s">
        <v>326</v>
      </c>
      <c r="G217" s="116" t="str">
        <f>TEXT(GC[[#This Row],[Date]],"mmm-yy")</f>
        <v>Jan-25</v>
      </c>
      <c r="H217" s="116">
        <f>DAY(EOMONTH(GC[[#This Row],[Month Year]],0))</f>
        <v>31</v>
      </c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>
        <v>21</v>
      </c>
      <c r="AH217" s="119"/>
      <c r="AI217" s="119"/>
      <c r="AJ217" s="119"/>
      <c r="AK217" s="119"/>
      <c r="AL217" s="119"/>
      <c r="AM217" s="5">
        <f>SUM(GC[[#This Row],[IS1Inv1M1]:[IS4Inv10M2]])</f>
        <v>21</v>
      </c>
      <c r="AN217" s="119"/>
      <c r="AO217" s="121"/>
    </row>
    <row r="218" spans="1:41">
      <c r="A218" s="119">
        <v>216</v>
      </c>
      <c r="B218" s="113">
        <f t="shared" si="3"/>
        <v>45689</v>
      </c>
      <c r="C218" s="114">
        <f>YEAR(GC[[#This Row],[Date]])+IF(MONTH(GC[[#This Row],[Date]])&gt;=4,1,0)</f>
        <v>2025</v>
      </c>
      <c r="D218" s="115">
        <f>YEAR(GC[[#This Row],[Date]])</f>
        <v>2025</v>
      </c>
      <c r="E218" s="112" t="s">
        <v>326</v>
      </c>
      <c r="F218" s="112" t="s">
        <v>326</v>
      </c>
      <c r="G218" s="116" t="str">
        <f>TEXT(GC[[#This Row],[Date]],"mmm-yy")</f>
        <v>Feb-25</v>
      </c>
      <c r="H218" s="116">
        <f>DAY(EOMONTH(GC[[#This Row],[Month Year]],0))</f>
        <v>28</v>
      </c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>
        <v>16</v>
      </c>
      <c r="AH218" s="119"/>
      <c r="AI218" s="119"/>
      <c r="AJ218" s="119"/>
      <c r="AK218" s="119"/>
      <c r="AL218" s="119">
        <v>20</v>
      </c>
      <c r="AM218" s="5">
        <f>SUM(GC[[#This Row],[IS1Inv1M1]:[IS4Inv10M2]])</f>
        <v>36</v>
      </c>
      <c r="AN218" s="119"/>
      <c r="AO218" s="121"/>
    </row>
    <row r="219" spans="1:41">
      <c r="A219" s="119">
        <v>217</v>
      </c>
      <c r="B219" s="113">
        <f t="shared" ref="B219:B227" si="4">B218+1</f>
        <v>45690</v>
      </c>
      <c r="C219" s="114">
        <f>YEAR(GC[[#This Row],[Date]])+IF(MONTH(GC[[#This Row],[Date]])&gt;=4,1,0)</f>
        <v>2025</v>
      </c>
      <c r="D219" s="115">
        <f>YEAR(GC[[#This Row],[Date]])</f>
        <v>2025</v>
      </c>
      <c r="E219" s="112" t="s">
        <v>326</v>
      </c>
      <c r="F219" s="112" t="s">
        <v>326</v>
      </c>
      <c r="G219" s="116" t="str">
        <f>TEXT(GC[[#This Row],[Date]],"mmm-yy")</f>
        <v>Feb-25</v>
      </c>
      <c r="H219" s="116">
        <f>DAY(EOMONTH(GC[[#This Row],[Month Year]],0))</f>
        <v>28</v>
      </c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>
        <v>16</v>
      </c>
      <c r="AH219" s="119"/>
      <c r="AI219" s="119"/>
      <c r="AJ219" s="119"/>
      <c r="AK219" s="119">
        <v>14</v>
      </c>
      <c r="AL219" s="119">
        <v>4</v>
      </c>
      <c r="AM219" s="5">
        <f>SUM(GC[[#This Row],[IS1Inv1M1]:[IS4Inv10M2]])</f>
        <v>34</v>
      </c>
      <c r="AN219" s="119"/>
      <c r="AO219" s="121"/>
    </row>
    <row r="220" spans="1:41">
      <c r="A220" s="119">
        <v>218</v>
      </c>
      <c r="B220" s="113">
        <f t="shared" si="4"/>
        <v>45691</v>
      </c>
      <c r="C220" s="114">
        <f>YEAR(GC[[#This Row],[Date]])+IF(MONTH(GC[[#This Row],[Date]])&gt;=4,1,0)</f>
        <v>2025</v>
      </c>
      <c r="D220" s="115">
        <f>YEAR(GC[[#This Row],[Date]])</f>
        <v>2025</v>
      </c>
      <c r="E220" s="112" t="s">
        <v>326</v>
      </c>
      <c r="F220" s="112" t="s">
        <v>326</v>
      </c>
      <c r="G220" s="116" t="str">
        <f>TEXT(GC[[#This Row],[Date]],"mmm-yy")</f>
        <v>Feb-25</v>
      </c>
      <c r="H220" s="116">
        <f>DAY(EOMONTH(GC[[#This Row],[Month Year]],0))</f>
        <v>28</v>
      </c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>
        <v>11</v>
      </c>
      <c r="AH220" s="119"/>
      <c r="AI220" s="119"/>
      <c r="AJ220" s="119"/>
      <c r="AK220" s="119">
        <v>6</v>
      </c>
      <c r="AL220" s="119">
        <v>17</v>
      </c>
      <c r="AM220" s="5">
        <f>SUM(GC[[#This Row],[IS1Inv1M1]:[IS4Inv10M2]])</f>
        <v>34</v>
      </c>
      <c r="AN220" s="119"/>
      <c r="AO220" s="121"/>
    </row>
    <row r="221" spans="1:41">
      <c r="A221" s="119">
        <v>219</v>
      </c>
      <c r="B221" s="113">
        <f t="shared" si="4"/>
        <v>45692</v>
      </c>
      <c r="C221" s="114">
        <f>YEAR(GC[[#This Row],[Date]])+IF(MONTH(GC[[#This Row],[Date]])&gt;=4,1,0)</f>
        <v>2025</v>
      </c>
      <c r="D221" s="115">
        <f>YEAR(GC[[#This Row],[Date]])</f>
        <v>2025</v>
      </c>
      <c r="E221" s="112" t="s">
        <v>326</v>
      </c>
      <c r="F221" s="112" t="s">
        <v>326</v>
      </c>
      <c r="G221" s="116" t="str">
        <f>TEXT(GC[[#This Row],[Date]],"mmm-yy")</f>
        <v>Feb-25</v>
      </c>
      <c r="H221" s="116">
        <f>DAY(EOMONTH(GC[[#This Row],[Month Year]],0))</f>
        <v>28</v>
      </c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5">
        <f>SUM(GC[[#This Row],[IS1Inv1M1]:[IS4Inv10M2]])</f>
        <v>0</v>
      </c>
      <c r="AN221" s="119"/>
      <c r="AO221" s="121"/>
    </row>
    <row r="222" spans="1:41">
      <c r="A222" s="119">
        <v>220</v>
      </c>
      <c r="B222" s="113">
        <f t="shared" si="4"/>
        <v>45693</v>
      </c>
      <c r="C222" s="114">
        <f>YEAR(GC[[#This Row],[Date]])+IF(MONTH(GC[[#This Row],[Date]])&gt;=4,1,0)</f>
        <v>2025</v>
      </c>
      <c r="D222" s="115">
        <f>YEAR(GC[[#This Row],[Date]])</f>
        <v>2025</v>
      </c>
      <c r="E222" s="112" t="s">
        <v>326</v>
      </c>
      <c r="F222" s="112" t="s">
        <v>326</v>
      </c>
      <c r="G222" s="116" t="str">
        <f>TEXT(GC[[#This Row],[Date]],"mmm-yy")</f>
        <v>Feb-25</v>
      </c>
      <c r="H222" s="116">
        <f>DAY(EOMONTH(GC[[#This Row],[Month Year]],0))</f>
        <v>28</v>
      </c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>
        <v>11</v>
      </c>
      <c r="AI222" s="119"/>
      <c r="AJ222" s="119"/>
      <c r="AK222" s="119"/>
      <c r="AL222" s="119">
        <v>24</v>
      </c>
      <c r="AM222" s="5">
        <f>SUM(GC[[#This Row],[IS1Inv1M1]:[IS4Inv10M2]])</f>
        <v>35</v>
      </c>
      <c r="AN222" s="119"/>
      <c r="AO222" s="121"/>
    </row>
    <row r="223" spans="1:41">
      <c r="A223" s="119">
        <v>221</v>
      </c>
      <c r="B223" s="113">
        <f t="shared" si="4"/>
        <v>45694</v>
      </c>
      <c r="C223" s="114">
        <f>YEAR(GC[[#This Row],[Date]])+IF(MONTH(GC[[#This Row],[Date]])&gt;=4,1,0)</f>
        <v>2025</v>
      </c>
      <c r="D223" s="115">
        <f>YEAR(GC[[#This Row],[Date]])</f>
        <v>2025</v>
      </c>
      <c r="E223" s="112" t="s">
        <v>326</v>
      </c>
      <c r="F223" s="112" t="s">
        <v>326</v>
      </c>
      <c r="G223" s="116" t="str">
        <f>TEXT(GC[[#This Row],[Date]],"mmm-yy")</f>
        <v>Feb-25</v>
      </c>
      <c r="H223" s="116">
        <f>DAY(EOMONTH(GC[[#This Row],[Month Year]],0))</f>
        <v>28</v>
      </c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>
        <v>22</v>
      </c>
      <c r="AM223" s="5">
        <f>SUM(GC[[#This Row],[IS1Inv1M1]:[IS4Inv10M2]])</f>
        <v>22</v>
      </c>
      <c r="AN223" s="119"/>
      <c r="AO223" s="121"/>
    </row>
    <row r="224" spans="1:41">
      <c r="A224" s="119">
        <v>222</v>
      </c>
      <c r="B224" s="113">
        <f t="shared" si="4"/>
        <v>45695</v>
      </c>
      <c r="C224" s="114">
        <f>YEAR(GC[[#This Row],[Date]])+IF(MONTH(GC[[#This Row],[Date]])&gt;=4,1,0)</f>
        <v>2025</v>
      </c>
      <c r="D224" s="115">
        <f>YEAR(GC[[#This Row],[Date]])</f>
        <v>2025</v>
      </c>
      <c r="E224" s="112" t="s">
        <v>326</v>
      </c>
      <c r="F224" s="112" t="s">
        <v>326</v>
      </c>
      <c r="G224" s="116" t="str">
        <f>TEXT(GC[[#This Row],[Date]],"mmm-yy")</f>
        <v>Feb-25</v>
      </c>
      <c r="H224" s="116">
        <f>DAY(EOMONTH(GC[[#This Row],[Month Year]],0))</f>
        <v>28</v>
      </c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>
        <v>27</v>
      </c>
      <c r="AG224" s="119"/>
      <c r="AH224" s="119">
        <v>9</v>
      </c>
      <c r="AI224" s="119"/>
      <c r="AJ224" s="119"/>
      <c r="AK224" s="119"/>
      <c r="AL224" s="119"/>
      <c r="AM224" s="5">
        <f>SUM(GC[[#This Row],[IS1Inv1M1]:[IS4Inv10M2]])</f>
        <v>36</v>
      </c>
      <c r="AN224" s="119"/>
      <c r="AO224" s="121"/>
    </row>
    <row r="225" spans="1:41">
      <c r="A225" s="119">
        <v>223</v>
      </c>
      <c r="B225" s="113">
        <f t="shared" si="4"/>
        <v>45696</v>
      </c>
      <c r="C225" s="114">
        <f>YEAR(GC[[#This Row],[Date]])+IF(MONTH(GC[[#This Row],[Date]])&gt;=4,1,0)</f>
        <v>2025</v>
      </c>
      <c r="D225" s="115">
        <f>YEAR(GC[[#This Row],[Date]])</f>
        <v>2025</v>
      </c>
      <c r="E225" s="112" t="s">
        <v>326</v>
      </c>
      <c r="F225" s="112" t="s">
        <v>326</v>
      </c>
      <c r="G225" s="116" t="str">
        <f>TEXT(GC[[#This Row],[Date]],"mmm-yy")</f>
        <v>Feb-25</v>
      </c>
      <c r="H225" s="116">
        <f>DAY(EOMONTH(GC[[#This Row],[Month Year]],0))</f>
        <v>28</v>
      </c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>
        <v>40</v>
      </c>
      <c r="AI225" s="119"/>
      <c r="AJ225" s="119"/>
      <c r="AK225" s="119"/>
      <c r="AL225" s="119"/>
      <c r="AM225" s="5">
        <f>SUM(GC[[#This Row],[IS1Inv1M1]:[IS4Inv10M2]])</f>
        <v>40</v>
      </c>
      <c r="AN225" s="119"/>
      <c r="AO225" s="121"/>
    </row>
    <row r="226" spans="1:41">
      <c r="A226" s="119">
        <v>224</v>
      </c>
      <c r="B226" s="113">
        <f t="shared" si="4"/>
        <v>45697</v>
      </c>
      <c r="C226" s="114">
        <f>YEAR(GC[[#This Row],[Date]])+IF(MONTH(GC[[#This Row],[Date]])&gt;=4,1,0)</f>
        <v>2025</v>
      </c>
      <c r="D226" s="115">
        <f>YEAR(GC[[#This Row],[Date]])</f>
        <v>2025</v>
      </c>
      <c r="E226" s="112" t="s">
        <v>326</v>
      </c>
      <c r="F226" s="112" t="s">
        <v>326</v>
      </c>
      <c r="G226" s="116" t="str">
        <f>TEXT(GC[[#This Row],[Date]],"mmm-yy")</f>
        <v>Feb-25</v>
      </c>
      <c r="H226" s="116">
        <f>DAY(EOMONTH(GC[[#This Row],[Month Year]],0))</f>
        <v>28</v>
      </c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5"/>
      <c r="AN226" s="119"/>
      <c r="AO226" s="121"/>
    </row>
    <row r="227" spans="1:41">
      <c r="A227" s="119">
        <v>225</v>
      </c>
      <c r="B227" s="113">
        <f t="shared" si="4"/>
        <v>45698</v>
      </c>
      <c r="C227" s="114">
        <f>YEAR(GC[[#This Row],[Date]])+IF(MONTH(GC[[#This Row],[Date]])&gt;=4,1,0)</f>
        <v>2025</v>
      </c>
      <c r="D227" s="115">
        <f>YEAR(GC[[#This Row],[Date]])</f>
        <v>2025</v>
      </c>
      <c r="E227" s="112" t="s">
        <v>326</v>
      </c>
      <c r="F227" s="112" t="s">
        <v>326</v>
      </c>
      <c r="G227" s="116" t="str">
        <f>TEXT(GC[[#This Row],[Date]],"mmm-yy")</f>
        <v>Feb-25</v>
      </c>
      <c r="H227" s="116">
        <f>DAY(EOMONTH(GC[[#This Row],[Month Year]],0))</f>
        <v>28</v>
      </c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5"/>
      <c r="AN227" s="119"/>
      <c r="AO227" s="121"/>
    </row>
    <row r="228" spans="1:41">
      <c r="A228" s="119"/>
      <c r="B228" s="113"/>
      <c r="C228" s="114"/>
      <c r="D228" s="115"/>
      <c r="E228" s="112"/>
      <c r="F228" s="112"/>
      <c r="G228" s="116"/>
      <c r="H228" s="116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5"/>
      <c r="AN228" s="119"/>
      <c r="AO228" s="121"/>
    </row>
    <row r="229" spans="1:41">
      <c r="A229" s="119"/>
      <c r="B229" s="113"/>
      <c r="C229" s="114"/>
      <c r="D229" s="115"/>
      <c r="E229" s="112"/>
      <c r="F229" s="112"/>
      <c r="G229" s="116"/>
      <c r="H229" s="116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5"/>
      <c r="AN229" s="119"/>
      <c r="AO229" s="121"/>
    </row>
    <row r="230" spans="1:41">
      <c r="A230" s="119"/>
      <c r="B230" s="113"/>
      <c r="C230" s="114"/>
      <c r="D230" s="115"/>
      <c r="E230" s="112"/>
      <c r="F230" s="112"/>
      <c r="G230" s="116"/>
      <c r="H230" s="116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5"/>
      <c r="AN230" s="119"/>
      <c r="AO230" s="121"/>
    </row>
    <row r="231" spans="1:41">
      <c r="A231" s="119"/>
      <c r="B231" s="113"/>
      <c r="C231" s="114"/>
      <c r="D231" s="115"/>
      <c r="E231" s="112"/>
      <c r="F231" s="112"/>
      <c r="G231" s="116"/>
      <c r="H231" s="116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5"/>
      <c r="AN231" s="119"/>
      <c r="AO231" s="121"/>
    </row>
    <row r="232" spans="1:41">
      <c r="A232" s="119"/>
      <c r="B232" s="113"/>
      <c r="C232" s="114"/>
      <c r="D232" s="115"/>
      <c r="E232" s="112"/>
      <c r="F232" s="112"/>
      <c r="G232" s="116"/>
      <c r="H232" s="116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5"/>
      <c r="AN232" s="119"/>
      <c r="AO232" s="121"/>
    </row>
    <row r="233" spans="1:41">
      <c r="A233" s="119"/>
      <c r="B233" s="113"/>
      <c r="C233" s="114"/>
      <c r="D233" s="115"/>
      <c r="E233" s="112"/>
      <c r="F233" s="112"/>
      <c r="G233" s="116"/>
      <c r="H233" s="116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5"/>
      <c r="AN233" s="119"/>
      <c r="AO233" s="121"/>
    </row>
    <row r="234" spans="1:41">
      <c r="A234" s="119"/>
      <c r="B234" s="113"/>
      <c r="C234" s="114"/>
      <c r="D234" s="115"/>
      <c r="E234" s="112"/>
      <c r="F234" s="112"/>
      <c r="G234" s="116"/>
      <c r="H234" s="116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5"/>
      <c r="AN234" s="119"/>
      <c r="AO234" s="121"/>
    </row>
    <row r="235" spans="1:41">
      <c r="A235" s="119"/>
      <c r="B235" s="113"/>
      <c r="C235" s="114"/>
      <c r="D235" s="115"/>
      <c r="E235" s="112"/>
      <c r="F235" s="112"/>
      <c r="G235" s="116"/>
      <c r="H235" s="116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5"/>
      <c r="AN235" s="119"/>
      <c r="AO235" s="121"/>
    </row>
    <row r="236" spans="1:41">
      <c r="A236" s="119"/>
      <c r="B236" s="113"/>
      <c r="C236" s="114"/>
      <c r="D236" s="115"/>
      <c r="E236" s="112"/>
      <c r="F236" s="112"/>
      <c r="G236" s="116"/>
      <c r="H236" s="116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5"/>
      <c r="AN236" s="119"/>
      <c r="AO236" s="121"/>
    </row>
    <row r="237" spans="1:41">
      <c r="A237" s="119"/>
      <c r="B237" s="113"/>
      <c r="C237" s="114"/>
      <c r="D237" s="115"/>
      <c r="E237" s="112"/>
      <c r="F237" s="112"/>
      <c r="G237" s="116"/>
      <c r="H237" s="116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5"/>
      <c r="AN237" s="119"/>
      <c r="AO237" s="121"/>
    </row>
    <row r="238" spans="1:41">
      <c r="A238" s="119"/>
      <c r="B238" s="113"/>
      <c r="C238" s="114"/>
      <c r="D238" s="115"/>
      <c r="E238" s="112"/>
      <c r="F238" s="112"/>
      <c r="G238" s="116"/>
      <c r="H238" s="116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5"/>
      <c r="AN238" s="119"/>
      <c r="AO238" s="121"/>
    </row>
    <row r="239" spans="1:41">
      <c r="A239" s="119"/>
      <c r="B239" s="113"/>
      <c r="C239" s="114"/>
      <c r="D239" s="115"/>
      <c r="E239" s="112"/>
      <c r="F239" s="112"/>
      <c r="G239" s="116"/>
      <c r="H239" s="116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5"/>
      <c r="AN239" s="119"/>
      <c r="AO239" s="121"/>
    </row>
    <row r="240" spans="1:41">
      <c r="A240" s="119"/>
      <c r="B240" s="113"/>
      <c r="C240" s="114"/>
      <c r="D240" s="115"/>
      <c r="E240" s="112"/>
      <c r="F240" s="112"/>
      <c r="G240" s="116"/>
      <c r="H240" s="116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5"/>
      <c r="AN240" s="119"/>
      <c r="AO240" s="121"/>
    </row>
    <row r="241" spans="1:41">
      <c r="A241" s="119"/>
      <c r="B241" s="113"/>
      <c r="C241" s="114"/>
      <c r="D241" s="115"/>
      <c r="E241" s="112"/>
      <c r="F241" s="112"/>
      <c r="G241" s="116"/>
      <c r="H241" s="116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5"/>
      <c r="AN241" s="119"/>
      <c r="AO241" s="121"/>
    </row>
    <row r="242" spans="1:41">
      <c r="A242" s="119"/>
      <c r="B242" s="113"/>
      <c r="C242" s="114"/>
      <c r="D242" s="115"/>
      <c r="E242" s="112"/>
      <c r="F242" s="112"/>
      <c r="G242" s="116"/>
      <c r="H242" s="116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5"/>
      <c r="AN242" s="119"/>
      <c r="AO242" s="121"/>
    </row>
    <row r="243" spans="1:41">
      <c r="A243" s="119"/>
      <c r="B243" s="113"/>
      <c r="C243" s="114"/>
      <c r="D243" s="115"/>
      <c r="E243" s="112"/>
      <c r="F243" s="112"/>
      <c r="G243" s="116"/>
      <c r="H243" s="116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5"/>
      <c r="AN243" s="119"/>
      <c r="AO243" s="121"/>
    </row>
    <row r="244" spans="1:41">
      <c r="A244" s="119"/>
      <c r="B244" s="113"/>
      <c r="C244" s="114"/>
      <c r="D244" s="115"/>
      <c r="E244" s="112"/>
      <c r="F244" s="112"/>
      <c r="G244" s="116"/>
      <c r="H244" s="116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5"/>
      <c r="AN244" s="119"/>
      <c r="AO244" s="121"/>
    </row>
    <row r="245" spans="1:41">
      <c r="A245" s="119"/>
      <c r="B245" s="113"/>
      <c r="C245" s="114"/>
      <c r="D245" s="115"/>
      <c r="E245" s="112"/>
      <c r="F245" s="112"/>
      <c r="G245" s="116"/>
      <c r="H245" s="116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5"/>
      <c r="AN245" s="119"/>
      <c r="AO245" s="121"/>
    </row>
    <row r="246" spans="1:41">
      <c r="A246" s="119"/>
      <c r="B246" s="113"/>
      <c r="C246" s="114"/>
      <c r="D246" s="115"/>
      <c r="E246" s="112"/>
      <c r="F246" s="112"/>
      <c r="G246" s="116"/>
      <c r="H246" s="116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5"/>
      <c r="AN246" s="119"/>
      <c r="AO246" s="121"/>
    </row>
    <row r="247" spans="1:41">
      <c r="A247" s="119"/>
      <c r="B247" s="113"/>
      <c r="C247" s="114"/>
      <c r="D247" s="115"/>
      <c r="E247" s="112"/>
      <c r="F247" s="112"/>
      <c r="G247" s="116"/>
      <c r="H247" s="116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5"/>
      <c r="AN247" s="119"/>
      <c r="AO247" s="121"/>
    </row>
    <row r="248" spans="1:41">
      <c r="A248" s="119"/>
      <c r="B248" s="113"/>
      <c r="C248" s="114"/>
      <c r="D248" s="115"/>
      <c r="E248" s="112"/>
      <c r="F248" s="112"/>
      <c r="G248" s="116"/>
      <c r="H248" s="116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5"/>
      <c r="AN248" s="119"/>
      <c r="AO248" s="121"/>
    </row>
    <row r="249" spans="1:41">
      <c r="A249" s="119"/>
      <c r="B249" s="113"/>
      <c r="C249" s="114"/>
      <c r="D249" s="115"/>
      <c r="E249" s="112"/>
      <c r="F249" s="112"/>
      <c r="G249" s="116"/>
      <c r="H249" s="116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5"/>
      <c r="AN249" s="119"/>
      <c r="AO249" s="121"/>
    </row>
    <row r="250" spans="1:41">
      <c r="A250" s="119"/>
      <c r="B250" s="113"/>
      <c r="C250" s="114"/>
      <c r="D250" s="115"/>
      <c r="E250" s="112"/>
      <c r="F250" s="112"/>
      <c r="G250" s="116"/>
      <c r="H250" s="116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5"/>
      <c r="AN250" s="119"/>
      <c r="AO250" s="121"/>
    </row>
    <row r="251" spans="1:41">
      <c r="A251" s="119"/>
      <c r="B251" s="113"/>
      <c r="C251" s="114"/>
      <c r="D251" s="115"/>
      <c r="E251" s="112"/>
      <c r="F251" s="112"/>
      <c r="G251" s="116"/>
      <c r="H251" s="116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5"/>
      <c r="AN251" s="119"/>
      <c r="AO251" s="121"/>
    </row>
    <row r="252" spans="1:41">
      <c r="A252" s="119"/>
      <c r="B252" s="113"/>
      <c r="C252" s="114"/>
      <c r="D252" s="115"/>
      <c r="E252" s="112"/>
      <c r="F252" s="112"/>
      <c r="G252" s="116"/>
      <c r="H252" s="116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5"/>
      <c r="AN252" s="119"/>
      <c r="AO252" s="121"/>
    </row>
    <row r="253" spans="1:41">
      <c r="A253" s="119"/>
      <c r="B253" s="113"/>
      <c r="C253" s="114"/>
      <c r="D253" s="115"/>
      <c r="E253" s="112"/>
      <c r="F253" s="112"/>
      <c r="G253" s="116"/>
      <c r="H253" s="116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5"/>
      <c r="AN253" s="119"/>
      <c r="AO253" s="121"/>
    </row>
    <row r="254" spans="1:41">
      <c r="A254" s="119"/>
      <c r="B254" s="113"/>
      <c r="C254" s="114"/>
      <c r="D254" s="115"/>
      <c r="E254" s="112"/>
      <c r="F254" s="112"/>
      <c r="G254" s="116"/>
      <c r="H254" s="116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5"/>
      <c r="AN254" s="119"/>
      <c r="AO254" s="121"/>
    </row>
    <row r="255" spans="1:41">
      <c r="A255" s="119"/>
      <c r="B255" s="113"/>
      <c r="C255" s="114"/>
      <c r="D255" s="115"/>
      <c r="E255" s="112"/>
      <c r="F255" s="112"/>
      <c r="G255" s="116"/>
      <c r="H255" s="116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5"/>
      <c r="AN255" s="119"/>
      <c r="AO255" s="121"/>
    </row>
    <row r="256" spans="1:41">
      <c r="A256" s="119"/>
      <c r="B256" s="113"/>
      <c r="C256" s="114"/>
      <c r="D256" s="115"/>
      <c r="E256" s="112"/>
      <c r="F256" s="112"/>
      <c r="G256" s="116"/>
      <c r="H256" s="116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5"/>
      <c r="AN256" s="119"/>
      <c r="AO256" s="121"/>
    </row>
    <row r="257" spans="1:41">
      <c r="A257" s="119"/>
      <c r="B257" s="113"/>
      <c r="C257" s="114"/>
      <c r="D257" s="115"/>
      <c r="E257" s="112"/>
      <c r="F257" s="112"/>
      <c r="G257" s="116"/>
      <c r="H257" s="116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5"/>
      <c r="AN257" s="119"/>
      <c r="AO257" s="121"/>
    </row>
    <row r="258" spans="1:41">
      <c r="A258" s="119"/>
      <c r="B258" s="113"/>
      <c r="C258" s="114"/>
      <c r="D258" s="115"/>
      <c r="E258" s="112"/>
      <c r="F258" s="112"/>
      <c r="G258" s="116"/>
      <c r="H258" s="116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5"/>
      <c r="AN258" s="119"/>
      <c r="AO258" s="121"/>
    </row>
    <row r="259" spans="1:41">
      <c r="A259" s="119"/>
      <c r="B259" s="113"/>
      <c r="C259" s="114"/>
      <c r="D259" s="115"/>
      <c r="E259" s="112"/>
      <c r="F259" s="112"/>
      <c r="G259" s="116"/>
      <c r="H259" s="116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5"/>
      <c r="AN259" s="119"/>
      <c r="AO259" s="121"/>
    </row>
    <row r="260" spans="1:41">
      <c r="A260" s="119"/>
      <c r="B260" s="113"/>
      <c r="C260" s="114"/>
      <c r="D260" s="115"/>
      <c r="E260" s="112"/>
      <c r="F260" s="112"/>
      <c r="G260" s="116"/>
      <c r="H260" s="116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5"/>
      <c r="AN260" s="119"/>
      <c r="AO260" s="121"/>
    </row>
    <row r="261" spans="1:41">
      <c r="A261" s="119"/>
      <c r="B261" s="113"/>
      <c r="C261" s="114"/>
      <c r="D261" s="115"/>
      <c r="E261" s="112"/>
      <c r="F261" s="112"/>
      <c r="G261" s="116"/>
      <c r="H261" s="116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5"/>
      <c r="AN261" s="119"/>
      <c r="AO261" s="121"/>
    </row>
    <row r="262" spans="1:41">
      <c r="A262" s="119"/>
      <c r="B262" s="113"/>
      <c r="C262" s="114"/>
      <c r="D262" s="115"/>
      <c r="E262" s="112"/>
      <c r="F262" s="112"/>
      <c r="G262" s="116"/>
      <c r="H262" s="116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5"/>
      <c r="AN262" s="119"/>
      <c r="AO262" s="121"/>
    </row>
    <row r="263" spans="1:41">
      <c r="A263" s="119"/>
      <c r="B263" s="113"/>
      <c r="C263" s="114"/>
      <c r="D263" s="115"/>
      <c r="E263" s="112"/>
      <c r="F263" s="112"/>
      <c r="G263" s="116"/>
      <c r="H263" s="116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5"/>
      <c r="AN263" s="119"/>
      <c r="AO263" s="121"/>
    </row>
    <row r="264" spans="1:41">
      <c r="A264" s="119"/>
      <c r="B264" s="113"/>
      <c r="C264" s="114"/>
      <c r="D264" s="115"/>
      <c r="E264" s="112"/>
      <c r="F264" s="112"/>
      <c r="G264" s="116"/>
      <c r="H264" s="116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5"/>
      <c r="AN264" s="119"/>
      <c r="AO264" s="121"/>
    </row>
    <row r="265" spans="1:41">
      <c r="A265" s="119"/>
      <c r="B265" s="113"/>
      <c r="C265" s="114"/>
      <c r="D265" s="115"/>
      <c r="E265" s="112"/>
      <c r="F265" s="112"/>
      <c r="G265" s="116"/>
      <c r="H265" s="116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5"/>
      <c r="AN265" s="119"/>
      <c r="AO265" s="121"/>
    </row>
    <row r="266" spans="1:41">
      <c r="A266" s="119"/>
      <c r="B266" s="113"/>
      <c r="C266" s="114"/>
      <c r="D266" s="115"/>
      <c r="E266" s="112"/>
      <c r="F266" s="112"/>
      <c r="G266" s="116"/>
      <c r="H266" s="116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5"/>
      <c r="AN266" s="119"/>
      <c r="AO266" s="121"/>
    </row>
    <row r="267" spans="1:41">
      <c r="A267" s="119"/>
      <c r="B267" s="113"/>
      <c r="C267" s="114"/>
      <c r="D267" s="115"/>
      <c r="E267" s="112"/>
      <c r="F267" s="112"/>
      <c r="G267" s="116"/>
      <c r="H267" s="116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5"/>
      <c r="AN267" s="119"/>
      <c r="AO267" s="121"/>
    </row>
    <row r="268" spans="1:41">
      <c r="A268" s="119"/>
      <c r="B268" s="113"/>
      <c r="C268" s="114"/>
      <c r="D268" s="115"/>
      <c r="E268" s="112"/>
      <c r="F268" s="112"/>
      <c r="G268" s="116"/>
      <c r="H268" s="116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5"/>
      <c r="AN268" s="119"/>
      <c r="AO268" s="121"/>
    </row>
    <row r="269" spans="1:41">
      <c r="A269" s="119"/>
      <c r="B269" s="113"/>
      <c r="C269" s="114"/>
      <c r="D269" s="115"/>
      <c r="E269" s="112"/>
      <c r="F269" s="112"/>
      <c r="G269" s="116"/>
      <c r="H269" s="116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5"/>
      <c r="AN269" s="119"/>
      <c r="AO269" s="121"/>
    </row>
    <row r="270" spans="1:41">
      <c r="A270" s="119"/>
      <c r="B270" s="113"/>
      <c r="C270" s="114"/>
      <c r="D270" s="115"/>
      <c r="E270" s="112"/>
      <c r="F270" s="112"/>
      <c r="G270" s="116"/>
      <c r="H270" s="116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5"/>
      <c r="AN270" s="119"/>
      <c r="AO270" s="121"/>
    </row>
  </sheetData>
  <phoneticPr fontId="9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FA2A-5D12-4891-BC6D-4B60F3DF4765}">
  <dimension ref="A1:AR37"/>
  <sheetViews>
    <sheetView workbookViewId="0">
      <pane xSplit="4" ySplit="1" topLeftCell="E11" activePane="bottomRight" state="frozen"/>
      <selection pane="topRight" activeCell="C1" sqref="C1"/>
      <selection pane="bottomLeft" activeCell="C1" sqref="C1"/>
      <selection pane="bottomRight" activeCell="N2" sqref="N2:N25"/>
    </sheetView>
  </sheetViews>
  <sheetFormatPr defaultColWidth="8.85546875" defaultRowHeight="15"/>
  <cols>
    <col min="1" max="1" width="8.85546875" style="9"/>
    <col min="2" max="2" width="9.85546875" style="9" bestFit="1" customWidth="1"/>
    <col min="3" max="3" width="15.85546875" style="9" customWidth="1"/>
    <col min="4" max="6" width="8.85546875" style="9"/>
    <col min="7" max="7" width="20.42578125" style="9" customWidth="1"/>
    <col min="8" max="8" width="8.85546875" style="9"/>
    <col min="9" max="9" width="9.42578125" style="9" bestFit="1" customWidth="1"/>
    <col min="10" max="14" width="8.85546875" style="9"/>
    <col min="15" max="15" width="9.85546875" style="9" bestFit="1" customWidth="1"/>
    <col min="16" max="16" width="11" style="9" customWidth="1"/>
    <col min="17" max="17" width="15.140625" style="9" customWidth="1"/>
    <col min="18" max="19" width="10.85546875" style="9" customWidth="1"/>
    <col min="20" max="20" width="13" style="9" customWidth="1"/>
    <col min="21" max="25" width="12.85546875" style="9" customWidth="1"/>
    <col min="26" max="27" width="14.42578125" style="9" customWidth="1"/>
    <col min="28" max="29" width="15.42578125" style="9" customWidth="1"/>
    <col min="30" max="38" width="9.85546875" style="9" customWidth="1"/>
    <col min="39" max="39" width="11.140625" style="241" customWidth="1"/>
    <col min="40" max="40" width="12.42578125" style="241" bestFit="1" customWidth="1"/>
    <col min="41" max="16384" width="8.85546875" style="9"/>
  </cols>
  <sheetData>
    <row r="1" spans="1:44" ht="45">
      <c r="A1" s="207" t="s">
        <v>6</v>
      </c>
      <c r="B1" s="207" t="s">
        <v>1205</v>
      </c>
      <c r="C1" s="207" t="s">
        <v>1206</v>
      </c>
      <c r="D1" s="207" t="s">
        <v>60</v>
      </c>
      <c r="E1" s="207" t="s">
        <v>1207</v>
      </c>
      <c r="F1" s="207" t="s">
        <v>1208</v>
      </c>
      <c r="G1" s="207" t="s">
        <v>1209</v>
      </c>
      <c r="H1" s="207" t="s">
        <v>1210</v>
      </c>
      <c r="I1" s="207" t="s">
        <v>1211</v>
      </c>
      <c r="J1" s="207" t="s">
        <v>1212</v>
      </c>
      <c r="K1" s="207" t="s">
        <v>1213</v>
      </c>
      <c r="L1" s="207" t="s">
        <v>1214</v>
      </c>
      <c r="M1" s="207" t="s">
        <v>1215</v>
      </c>
      <c r="N1" s="207" t="s">
        <v>1216</v>
      </c>
      <c r="O1" s="207" t="s">
        <v>1217</v>
      </c>
      <c r="P1" s="207" t="s">
        <v>1218</v>
      </c>
      <c r="Q1" s="207" t="s">
        <v>1219</v>
      </c>
      <c r="R1" s="207" t="s">
        <v>1220</v>
      </c>
      <c r="S1" s="207" t="s">
        <v>1221</v>
      </c>
      <c r="T1" s="207" t="s">
        <v>1222</v>
      </c>
      <c r="U1" s="207" t="s">
        <v>1223</v>
      </c>
      <c r="V1" s="207" t="s">
        <v>1224</v>
      </c>
      <c r="W1" s="207" t="s">
        <v>1225</v>
      </c>
      <c r="X1" s="207" t="s">
        <v>1226</v>
      </c>
      <c r="Y1" s="207" t="s">
        <v>1227</v>
      </c>
      <c r="Z1" s="207" t="s">
        <v>1228</v>
      </c>
      <c r="AA1" s="207" t="s">
        <v>1229</v>
      </c>
      <c r="AB1" s="207" t="s">
        <v>1230</v>
      </c>
      <c r="AC1" s="207" t="s">
        <v>1231</v>
      </c>
      <c r="AD1" s="207" t="s">
        <v>1232</v>
      </c>
      <c r="AE1" s="207" t="s">
        <v>1233</v>
      </c>
      <c r="AF1" s="207" t="s">
        <v>1234</v>
      </c>
      <c r="AG1" s="207" t="s">
        <v>1235</v>
      </c>
      <c r="AH1" s="207" t="s">
        <v>1236</v>
      </c>
      <c r="AI1" s="207" t="s">
        <v>1237</v>
      </c>
      <c r="AJ1" s="207" t="s">
        <v>1238</v>
      </c>
      <c r="AK1" s="207" t="s">
        <v>1239</v>
      </c>
      <c r="AL1" s="207" t="s">
        <v>1240</v>
      </c>
      <c r="AM1" s="207" t="s">
        <v>13</v>
      </c>
      <c r="AN1" s="207" t="s">
        <v>14</v>
      </c>
      <c r="AQ1" s="9" t="s">
        <v>337</v>
      </c>
      <c r="AR1" s="186">
        <v>136.82</v>
      </c>
    </row>
    <row r="2" spans="1:44">
      <c r="A2" s="208">
        <v>1</v>
      </c>
      <c r="B2" s="209" t="s">
        <v>1241</v>
      </c>
      <c r="C2" s="208">
        <v>5</v>
      </c>
      <c r="D2" s="209">
        <v>45383</v>
      </c>
      <c r="E2" s="210">
        <f t="shared" ref="E2:E9" si="0">YEAR(D2)</f>
        <v>2024</v>
      </c>
      <c r="F2" s="262" t="s">
        <v>1242</v>
      </c>
      <c r="G2" s="211">
        <f t="shared" ref="G2:G9" si="1">DAY(EOMONTH(D2,0))</f>
        <v>30</v>
      </c>
      <c r="H2" s="212">
        <v>211.4</v>
      </c>
      <c r="I2" s="212">
        <v>214.2</v>
      </c>
      <c r="J2" s="213"/>
      <c r="K2" s="212"/>
      <c r="L2" s="211"/>
      <c r="M2" s="214">
        <v>0</v>
      </c>
      <c r="N2" s="214"/>
      <c r="O2" s="215" t="str">
        <f t="shared" ref="O2:O13" si="2">IFERROR(M2/I2/N2,"")</f>
        <v/>
      </c>
      <c r="P2" s="213">
        <f t="shared" ref="P2:P13" si="3">IFERROR(I2/G2,"")</f>
        <v>7.14</v>
      </c>
      <c r="Q2" s="211">
        <f>COUNTIFS('Daily KPI'!$D:$D,D2,'Daily KPI'!$K:$K,"&gt;0")</f>
        <v>0</v>
      </c>
      <c r="R2" s="214">
        <f t="shared" ref="R2:R13" si="4">I2/G2*Q2</f>
        <v>0</v>
      </c>
      <c r="S2" s="214">
        <f>SUMIF($F$2:F2,F2,$R$2:R2)</f>
        <v>0</v>
      </c>
      <c r="T2" s="213">
        <f t="shared" ref="T2:T13" si="5">M2/G2</f>
        <v>0</v>
      </c>
      <c r="U2" s="214">
        <f t="shared" ref="U2:U13" si="6">M2/G2*Q2</f>
        <v>0</v>
      </c>
      <c r="V2" s="214">
        <f>SUMIF($F$2:F2,F2,$U$2:U2)</f>
        <v>0</v>
      </c>
      <c r="W2" s="215" t="str">
        <f t="shared" ref="W2:W13" si="7">IFERROR(T2/(24*N2),"")</f>
        <v/>
      </c>
      <c r="X2" s="215" t="str">
        <f t="shared" ref="X2:X25" si="8">IFERROR(U2/(24*N2*Q2),"")</f>
        <v/>
      </c>
      <c r="Y2" s="215" t="str">
        <f t="shared" ref="Y2:Y19" si="9">IFERROR(V2/(24*N2*SUMIFS($Q:$Q,$F:$F,$F2,$D:$D,"&lt;="&amp;D2)),"")</f>
        <v/>
      </c>
      <c r="Z2" s="213">
        <f>IFERROR(AVERAGEIF('Daily KPI'!D:D,Table14[[#This Row],[Month]],'Daily KPI'!AB:AB),0)</f>
        <v>0</v>
      </c>
      <c r="AA2" s="212">
        <f>IFERROR(AVERAGEIF($F$2:F2,F2,$Z$2:Z2),"")</f>
        <v>0</v>
      </c>
      <c r="AB2" s="214"/>
      <c r="AC2" s="213"/>
      <c r="AD2" s="213"/>
      <c r="AE2" s="215">
        <v>0.995</v>
      </c>
      <c r="AF2" s="215">
        <v>0.995</v>
      </c>
      <c r="AG2" s="215"/>
      <c r="AH2" s="215"/>
      <c r="AI2" s="215"/>
      <c r="AJ2" s="215"/>
      <c r="AK2" s="215"/>
      <c r="AL2" s="215"/>
      <c r="AM2" s="238">
        <f>SUMIF('Daily KPI'!$D:$D,$D2,'Daily KPI'!AS:AS)</f>
        <v>0</v>
      </c>
      <c r="AN2" s="238">
        <f>SUMIF($F$2:F2,F2,$AM$2:AM2)</f>
        <v>0</v>
      </c>
    </row>
    <row r="3" spans="1:44">
      <c r="A3" s="208">
        <f t="shared" ref="A3:A25" si="10">A2+1</f>
        <v>2</v>
      </c>
      <c r="B3" s="216" t="s">
        <v>1243</v>
      </c>
      <c r="C3" s="208">
        <v>6</v>
      </c>
      <c r="D3" s="216">
        <v>45413</v>
      </c>
      <c r="E3" s="217">
        <f t="shared" si="0"/>
        <v>2024</v>
      </c>
      <c r="F3" s="262" t="s">
        <v>1242</v>
      </c>
      <c r="G3" s="208">
        <f t="shared" si="1"/>
        <v>31</v>
      </c>
      <c r="H3" s="218">
        <v>219.5</v>
      </c>
      <c r="I3" s="218">
        <v>213.6</v>
      </c>
      <c r="J3" s="219"/>
      <c r="K3" s="218"/>
      <c r="L3" s="208"/>
      <c r="M3" s="220">
        <v>8914.1690998165868</v>
      </c>
      <c r="N3" s="220">
        <v>50.959999999999994</v>
      </c>
      <c r="O3" s="221">
        <f t="shared" si="2"/>
        <v>0.81893644826600687</v>
      </c>
      <c r="P3" s="219">
        <f t="shared" si="3"/>
        <v>6.8903225806451607</v>
      </c>
      <c r="Q3" s="208">
        <f>COUNTIFS('Daily KPI'!$D:$D,D3,'Daily KPI'!$K:$K,"&gt;0")</f>
        <v>0</v>
      </c>
      <c r="R3" s="220">
        <f t="shared" si="4"/>
        <v>0</v>
      </c>
      <c r="S3" s="220">
        <f>SUMIF($F$2:F3,F3,$R$2:R3)</f>
        <v>0</v>
      </c>
      <c r="T3" s="219">
        <f t="shared" si="5"/>
        <v>287.55384192956734</v>
      </c>
      <c r="U3" s="220">
        <f t="shared" si="6"/>
        <v>0</v>
      </c>
      <c r="V3" s="220">
        <f>SUMIF($F$2:F3,F3,$U$2:U3)</f>
        <v>0</v>
      </c>
      <c r="W3" s="221">
        <f t="shared" si="7"/>
        <v>0.23511401256669229</v>
      </c>
      <c r="X3" s="221" t="str">
        <f t="shared" si="8"/>
        <v/>
      </c>
      <c r="Y3" s="221" t="str">
        <f t="shared" si="9"/>
        <v/>
      </c>
      <c r="Z3" s="219">
        <f>IFERROR(AVERAGEIF('Daily KPI'!D:D,Table14[[#This Row],[Month]],'Daily KPI'!AB:AB),0)</f>
        <v>0</v>
      </c>
      <c r="AA3" s="212">
        <f>IFERROR(AVERAGEIF($F$2:F3,F3,$Z$2:Z3),"")</f>
        <v>0</v>
      </c>
      <c r="AB3" s="220"/>
      <c r="AC3" s="219"/>
      <c r="AD3" s="219"/>
      <c r="AE3" s="215">
        <v>0.995</v>
      </c>
      <c r="AF3" s="215">
        <v>0.995</v>
      </c>
      <c r="AG3" s="221"/>
      <c r="AH3" s="221"/>
      <c r="AI3" s="221"/>
      <c r="AJ3" s="221"/>
      <c r="AK3" s="221"/>
      <c r="AL3" s="221"/>
      <c r="AM3" s="239">
        <f>SUMIF('Daily KPI'!$D:$D,$D3,'Daily KPI'!AS:AS)</f>
        <v>0</v>
      </c>
      <c r="AN3" s="239">
        <f>SUMIF($F$2:F3,F3,$AM$2:AM3)</f>
        <v>0</v>
      </c>
    </row>
    <row r="4" spans="1:44">
      <c r="A4" s="208">
        <f t="shared" si="10"/>
        <v>3</v>
      </c>
      <c r="B4" s="209" t="s">
        <v>1244</v>
      </c>
      <c r="C4" s="208">
        <v>7</v>
      </c>
      <c r="D4" s="209">
        <v>45444</v>
      </c>
      <c r="E4" s="210">
        <f t="shared" si="0"/>
        <v>2024</v>
      </c>
      <c r="F4" s="262" t="s">
        <v>1242</v>
      </c>
      <c r="G4" s="211">
        <f t="shared" si="1"/>
        <v>30</v>
      </c>
      <c r="H4" s="212">
        <v>155.19999999999999</v>
      </c>
      <c r="I4" s="212">
        <v>149.1</v>
      </c>
      <c r="J4" s="213"/>
      <c r="K4" s="212"/>
      <c r="L4" s="211"/>
      <c r="M4" s="214">
        <v>6430.6478172716343</v>
      </c>
      <c r="N4" s="214">
        <v>50.959999999999994</v>
      </c>
      <c r="O4" s="215">
        <f t="shared" si="2"/>
        <v>0.84634544805089507</v>
      </c>
      <c r="P4" s="213">
        <f t="shared" si="3"/>
        <v>4.97</v>
      </c>
      <c r="Q4" s="211">
        <f>COUNTIFS('Daily KPI'!$D:$D,D4,'Daily KPI'!$K:$K,"&gt;0")</f>
        <v>0</v>
      </c>
      <c r="R4" s="214">
        <f t="shared" si="4"/>
        <v>0</v>
      </c>
      <c r="S4" s="214">
        <f>SUMIF($F$2:F4,F4,$R$2:R4)</f>
        <v>0</v>
      </c>
      <c r="T4" s="213">
        <f t="shared" si="5"/>
        <v>214.35492724238782</v>
      </c>
      <c r="U4" s="214">
        <f t="shared" si="6"/>
        <v>0</v>
      </c>
      <c r="V4" s="214">
        <f>SUMIF($F$2:F4,F4,$U$2:U4)</f>
        <v>0</v>
      </c>
      <c r="W4" s="215">
        <f t="shared" si="7"/>
        <v>0.17526403653387282</v>
      </c>
      <c r="X4" s="215" t="str">
        <f t="shared" si="8"/>
        <v/>
      </c>
      <c r="Y4" s="215" t="str">
        <f t="shared" si="9"/>
        <v/>
      </c>
      <c r="Z4" s="213">
        <f>IFERROR(AVERAGEIF('Daily KPI'!D:D,Table14[[#This Row],[Month]],'Daily KPI'!AB:AB),0)</f>
        <v>0</v>
      </c>
      <c r="AA4" s="212">
        <f>IFERROR(AVERAGEIF($F$2:F4,F4,$Z$2:Z4),"")</f>
        <v>0</v>
      </c>
      <c r="AB4" s="214"/>
      <c r="AC4" s="213"/>
      <c r="AD4" s="213"/>
      <c r="AE4" s="215">
        <v>0.995</v>
      </c>
      <c r="AF4" s="215">
        <v>0.995</v>
      </c>
      <c r="AG4" s="215"/>
      <c r="AH4" s="215"/>
      <c r="AI4" s="215"/>
      <c r="AJ4" s="215"/>
      <c r="AK4" s="215"/>
      <c r="AL4" s="215"/>
      <c r="AM4" s="239">
        <f>SUMIF('Daily KPI'!$D:$D,$D4,'Daily KPI'!AS:AS)</f>
        <v>0</v>
      </c>
      <c r="AN4" s="239">
        <f>SUMIF($F$2:F4,F4,$AM$2:AM4)</f>
        <v>0</v>
      </c>
    </row>
    <row r="5" spans="1:44">
      <c r="A5" s="208">
        <f t="shared" si="10"/>
        <v>4</v>
      </c>
      <c r="B5" s="216" t="s">
        <v>1245</v>
      </c>
      <c r="C5" s="208">
        <v>8</v>
      </c>
      <c r="D5" s="216">
        <v>45474</v>
      </c>
      <c r="E5" s="217">
        <f t="shared" si="0"/>
        <v>2024</v>
      </c>
      <c r="F5" s="262" t="s">
        <v>1242</v>
      </c>
      <c r="G5" s="208">
        <f t="shared" si="1"/>
        <v>31</v>
      </c>
      <c r="H5" s="218">
        <v>121.5</v>
      </c>
      <c r="I5" s="218">
        <v>117.7</v>
      </c>
      <c r="J5" s="219"/>
      <c r="K5" s="218"/>
      <c r="L5" s="208"/>
      <c r="M5" s="220">
        <v>7423.9879048760449</v>
      </c>
      <c r="N5" s="220">
        <v>83.157499999999999</v>
      </c>
      <c r="O5" s="221">
        <f t="shared" si="2"/>
        <v>0.75850660746777687</v>
      </c>
      <c r="P5" s="219">
        <f t="shared" si="3"/>
        <v>3.7967741935483872</v>
      </c>
      <c r="Q5" s="208">
        <f>COUNTIFS('Daily KPI'!$D:$D,D5,'Daily KPI'!$K:$K,"&gt;0")</f>
        <v>0</v>
      </c>
      <c r="R5" s="220">
        <f t="shared" si="4"/>
        <v>0</v>
      </c>
      <c r="S5" s="220">
        <f>SUMIF($F$2:F5,F5,$R$2:R5)</f>
        <v>0</v>
      </c>
      <c r="T5" s="219">
        <f t="shared" si="5"/>
        <v>239.48348080245307</v>
      </c>
      <c r="U5" s="220">
        <f t="shared" si="6"/>
        <v>0</v>
      </c>
      <c r="V5" s="220">
        <f>SUMIF($F$2:F5,F5,$U$2:U5)</f>
        <v>0</v>
      </c>
      <c r="W5" s="221">
        <f t="shared" si="7"/>
        <v>0.11999492970289966</v>
      </c>
      <c r="X5" s="221" t="str">
        <f t="shared" si="8"/>
        <v/>
      </c>
      <c r="Y5" s="221" t="str">
        <f t="shared" si="9"/>
        <v/>
      </c>
      <c r="Z5" s="219">
        <f>IFERROR(AVERAGEIF('Daily KPI'!D:D,Table14[[#This Row],[Month]],'Daily KPI'!AB:AB),0)</f>
        <v>0</v>
      </c>
      <c r="AA5" s="212">
        <f>IFERROR(AVERAGEIF($F$2:F5,F5,$Z$2:Z5),"")</f>
        <v>0</v>
      </c>
      <c r="AB5" s="220"/>
      <c r="AC5" s="219"/>
      <c r="AD5" s="219"/>
      <c r="AE5" s="215">
        <v>0.995</v>
      </c>
      <c r="AF5" s="215">
        <v>0.995</v>
      </c>
      <c r="AG5" s="221"/>
      <c r="AH5" s="221"/>
      <c r="AI5" s="221"/>
      <c r="AJ5" s="221"/>
      <c r="AK5" s="221"/>
      <c r="AL5" s="221"/>
      <c r="AM5" s="239">
        <f>SUMIF('Daily KPI'!$D:$D,$D5,'Daily KPI'!AS:AS)</f>
        <v>0</v>
      </c>
      <c r="AN5" s="239">
        <f>SUMIF($F$2:F5,F5,$AM$2:AM5)</f>
        <v>0</v>
      </c>
    </row>
    <row r="6" spans="1:44">
      <c r="A6" s="208">
        <f t="shared" si="10"/>
        <v>5</v>
      </c>
      <c r="B6" s="209" t="s">
        <v>1246</v>
      </c>
      <c r="C6" s="208">
        <v>9</v>
      </c>
      <c r="D6" s="209">
        <v>45505</v>
      </c>
      <c r="E6" s="210">
        <f t="shared" si="0"/>
        <v>2024</v>
      </c>
      <c r="F6" s="262" t="s">
        <v>1242</v>
      </c>
      <c r="G6" s="211">
        <f t="shared" si="1"/>
        <v>31</v>
      </c>
      <c r="H6" s="212">
        <v>124.7</v>
      </c>
      <c r="I6" s="212">
        <v>123.5</v>
      </c>
      <c r="J6" s="213"/>
      <c r="K6" s="212"/>
      <c r="L6" s="211"/>
      <c r="M6" s="214">
        <v>8136.5382675204819</v>
      </c>
      <c r="N6" s="214">
        <v>83.157499999999999</v>
      </c>
      <c r="O6" s="215">
        <f t="shared" si="2"/>
        <v>0.79226649372074509</v>
      </c>
      <c r="P6" s="213">
        <f t="shared" si="3"/>
        <v>3.9838709677419355</v>
      </c>
      <c r="Q6" s="211">
        <f>COUNTIFS('Daily KPI'!$D:$D,D6,'Daily KPI'!$K:$K,"&gt;0")</f>
        <v>0</v>
      </c>
      <c r="R6" s="214">
        <f t="shared" si="4"/>
        <v>0</v>
      </c>
      <c r="S6" s="214">
        <f>SUMIF($F$2:F6,F6,$R$2:R6)</f>
        <v>0</v>
      </c>
      <c r="T6" s="213">
        <f t="shared" si="5"/>
        <v>262.46897637162846</v>
      </c>
      <c r="U6" s="214">
        <f t="shared" si="6"/>
        <v>0</v>
      </c>
      <c r="V6" s="214">
        <f>SUMIF($F$2:F6,F6,$U$2:U6)</f>
        <v>0</v>
      </c>
      <c r="W6" s="215">
        <f t="shared" si="7"/>
        <v>0.13151197846036561</v>
      </c>
      <c r="X6" s="215" t="str">
        <f t="shared" si="8"/>
        <v/>
      </c>
      <c r="Y6" s="215" t="str">
        <f t="shared" si="9"/>
        <v/>
      </c>
      <c r="Z6" s="213">
        <f>IFERROR(AVERAGEIF('Daily KPI'!D:D,Table14[[#This Row],[Month]],'Daily KPI'!AB:AB),0)</f>
        <v>0</v>
      </c>
      <c r="AA6" s="212">
        <f>IFERROR(AVERAGEIF($F$2:F6,F6,$Z$2:Z6),"")</f>
        <v>0</v>
      </c>
      <c r="AB6" s="214"/>
      <c r="AC6" s="213"/>
      <c r="AD6" s="213"/>
      <c r="AE6" s="215">
        <v>0.995</v>
      </c>
      <c r="AF6" s="215">
        <v>0.995</v>
      </c>
      <c r="AG6" s="215"/>
      <c r="AH6" s="215"/>
      <c r="AI6" s="215"/>
      <c r="AJ6" s="215"/>
      <c r="AK6" s="215"/>
      <c r="AL6" s="215"/>
      <c r="AM6" s="239">
        <f>SUMIF('Daily KPI'!$D:$D,$D6,'Daily KPI'!AS:AS)</f>
        <v>0</v>
      </c>
      <c r="AN6" s="239">
        <f>SUMIF($F$2:F6,F6,$AM$2:AM6)</f>
        <v>0</v>
      </c>
    </row>
    <row r="7" spans="1:44">
      <c r="A7" s="208">
        <f t="shared" si="10"/>
        <v>6</v>
      </c>
      <c r="B7" s="216" t="s">
        <v>1247</v>
      </c>
      <c r="C7" s="208">
        <v>10</v>
      </c>
      <c r="D7" s="216">
        <v>45536</v>
      </c>
      <c r="E7" s="217">
        <f t="shared" si="0"/>
        <v>2024</v>
      </c>
      <c r="F7" s="262" t="s">
        <v>1242</v>
      </c>
      <c r="G7" s="208">
        <f t="shared" si="1"/>
        <v>30</v>
      </c>
      <c r="H7" s="218">
        <v>146.30000000000001</v>
      </c>
      <c r="I7" s="218">
        <v>150.5</v>
      </c>
      <c r="J7" s="219"/>
      <c r="K7" s="218"/>
      <c r="L7" s="208"/>
      <c r="M7" s="220">
        <v>10149.158824836317</v>
      </c>
      <c r="N7" s="220">
        <v>83.157499999999999</v>
      </c>
      <c r="O7" s="221">
        <f t="shared" si="2"/>
        <v>0.81094635193904185</v>
      </c>
      <c r="P7" s="219">
        <f t="shared" si="3"/>
        <v>5.0166666666666666</v>
      </c>
      <c r="Q7" s="208">
        <f>COUNTIFS('Daily KPI'!$D:$D,D7,'Daily KPI'!$K:$K,"&gt;0")</f>
        <v>0</v>
      </c>
      <c r="R7" s="220">
        <f t="shared" si="4"/>
        <v>0</v>
      </c>
      <c r="S7" s="220">
        <f>SUMIF($F$2:F7,F7,$R$2:R7)</f>
        <v>0</v>
      </c>
      <c r="T7" s="219">
        <f t="shared" si="5"/>
        <v>338.30529416121055</v>
      </c>
      <c r="U7" s="220">
        <f t="shared" si="6"/>
        <v>0</v>
      </c>
      <c r="V7" s="220">
        <f>SUMIF($F$2:F7,F7,$U$2:U7)</f>
        <v>0</v>
      </c>
      <c r="W7" s="221">
        <f t="shared" si="7"/>
        <v>0.16951031384281362</v>
      </c>
      <c r="X7" s="221" t="str">
        <f t="shared" si="8"/>
        <v/>
      </c>
      <c r="Y7" s="221" t="str">
        <f t="shared" si="9"/>
        <v/>
      </c>
      <c r="Z7" s="219">
        <f>IFERROR(AVERAGEIF('Daily KPI'!D:D,Table14[[#This Row],[Month]],'Daily KPI'!AB:AB),0)</f>
        <v>0</v>
      </c>
      <c r="AA7" s="212">
        <f>IFERROR(AVERAGEIF($F$2:F7,F7,$Z$2:Z7),"")</f>
        <v>0</v>
      </c>
      <c r="AB7" s="220"/>
      <c r="AC7" s="219"/>
      <c r="AD7" s="219"/>
      <c r="AE7" s="215">
        <v>0.995</v>
      </c>
      <c r="AF7" s="215">
        <v>0.995</v>
      </c>
      <c r="AG7" s="221"/>
      <c r="AH7" s="221"/>
      <c r="AI7" s="221"/>
      <c r="AJ7" s="221"/>
      <c r="AK7" s="221"/>
      <c r="AL7" s="221"/>
      <c r="AM7" s="239">
        <f>SUMIF('Daily KPI'!$D:$D,$D7,'Daily KPI'!AS:AS)</f>
        <v>0</v>
      </c>
      <c r="AN7" s="239">
        <f>SUMIF($F$2:F7,F7,$AM$2:AM7)</f>
        <v>0</v>
      </c>
    </row>
    <row r="8" spans="1:44">
      <c r="A8" s="208">
        <f t="shared" si="10"/>
        <v>7</v>
      </c>
      <c r="B8" s="209" t="s">
        <v>1248</v>
      </c>
      <c r="C8" s="208">
        <v>11</v>
      </c>
      <c r="D8" s="209">
        <v>45566</v>
      </c>
      <c r="E8" s="210">
        <f t="shared" si="0"/>
        <v>2024</v>
      </c>
      <c r="F8" s="262" t="s">
        <v>1242</v>
      </c>
      <c r="G8" s="211">
        <f t="shared" si="1"/>
        <v>31</v>
      </c>
      <c r="H8" s="212">
        <v>165.6</v>
      </c>
      <c r="I8" s="212">
        <v>180.6</v>
      </c>
      <c r="J8" s="213"/>
      <c r="K8" s="212"/>
      <c r="L8" s="211"/>
      <c r="M8" s="214">
        <v>17354.208132459316</v>
      </c>
      <c r="N8" s="214">
        <v>136.82</v>
      </c>
      <c r="O8" s="215">
        <f t="shared" si="2"/>
        <v>0.70232393558201034</v>
      </c>
      <c r="P8" s="213">
        <f t="shared" si="3"/>
        <v>5.8258064516129027</v>
      </c>
      <c r="Q8" s="211">
        <f>COUNTIFS('Daily KPI'!$D:$D,D8,'Daily KPI'!$K:$K,"&gt;0")</f>
        <v>0</v>
      </c>
      <c r="R8" s="214">
        <f t="shared" si="4"/>
        <v>0</v>
      </c>
      <c r="S8" s="214">
        <f>SUMIF($F$2:F8,F8,$R$2:R8)</f>
        <v>0</v>
      </c>
      <c r="T8" s="213">
        <f t="shared" si="5"/>
        <v>559.81316556320371</v>
      </c>
      <c r="U8" s="214">
        <f t="shared" si="6"/>
        <v>0</v>
      </c>
      <c r="V8" s="214">
        <f>SUMIF($F$2:F8,F8,$U$2:U8)</f>
        <v>0</v>
      </c>
      <c r="W8" s="215">
        <f t="shared" si="7"/>
        <v>0.1704834714598267</v>
      </c>
      <c r="X8" s="215" t="str">
        <f t="shared" si="8"/>
        <v/>
      </c>
      <c r="Y8" s="215" t="str">
        <f t="shared" si="9"/>
        <v/>
      </c>
      <c r="Z8" s="213">
        <f>IFERROR(AVERAGEIF('Daily KPI'!D:D,Table14[[#This Row],[Month]],'Daily KPI'!AB:AB),0)</f>
        <v>0</v>
      </c>
      <c r="AA8" s="212">
        <f>IFERROR(AVERAGEIF($F$2:F8,F8,$Z$2:Z8),"")</f>
        <v>0</v>
      </c>
      <c r="AB8" s="214"/>
      <c r="AC8" s="213"/>
      <c r="AD8" s="213"/>
      <c r="AE8" s="215">
        <v>0.995</v>
      </c>
      <c r="AF8" s="215">
        <v>0.995</v>
      </c>
      <c r="AG8" s="215"/>
      <c r="AH8" s="215"/>
      <c r="AI8" s="215"/>
      <c r="AJ8" s="215"/>
      <c r="AK8" s="215"/>
      <c r="AL8" s="215"/>
      <c r="AM8" s="239">
        <f>SUMIF('Daily KPI'!$D:$D,$D8,'Daily KPI'!AS:AS)</f>
        <v>0</v>
      </c>
      <c r="AN8" s="239">
        <f>SUMIF($F$2:F8,F8,$AM$2:AM8)</f>
        <v>0</v>
      </c>
    </row>
    <row r="9" spans="1:44">
      <c r="A9" s="208">
        <f t="shared" si="10"/>
        <v>8</v>
      </c>
      <c r="B9" s="216" t="s">
        <v>1249</v>
      </c>
      <c r="C9" s="208">
        <v>12</v>
      </c>
      <c r="D9" s="216">
        <v>45597</v>
      </c>
      <c r="E9" s="217">
        <f t="shared" si="0"/>
        <v>2024</v>
      </c>
      <c r="F9" s="262" t="s">
        <v>1242</v>
      </c>
      <c r="G9" s="208">
        <f t="shared" si="1"/>
        <v>30</v>
      </c>
      <c r="H9" s="218">
        <v>146.1</v>
      </c>
      <c r="I9" s="218">
        <v>167.5</v>
      </c>
      <c r="J9" s="219"/>
      <c r="K9" s="218"/>
      <c r="L9" s="208"/>
      <c r="M9" s="220">
        <v>17240.823729184125</v>
      </c>
      <c r="N9" s="214">
        <v>136.82</v>
      </c>
      <c r="O9" s="221">
        <f t="shared" si="2"/>
        <v>0.75230442128710895</v>
      </c>
      <c r="P9" s="219">
        <f t="shared" si="3"/>
        <v>5.583333333333333</v>
      </c>
      <c r="Q9" s="208">
        <f>COUNTIFS('Daily KPI'!$D:$D,D9,'Daily KPI'!$K:$K,"&gt;0")</f>
        <v>0</v>
      </c>
      <c r="R9" s="220">
        <f t="shared" si="4"/>
        <v>0</v>
      </c>
      <c r="S9" s="220">
        <f>SUMIF($F$2:F9,F9,$R$2:R9)</f>
        <v>0</v>
      </c>
      <c r="T9" s="219">
        <f t="shared" si="5"/>
        <v>574.6941243061375</v>
      </c>
      <c r="U9" s="220">
        <f t="shared" si="6"/>
        <v>0</v>
      </c>
      <c r="V9" s="220">
        <f>SUMIF($F$2:F9,F9,$U$2:U9)</f>
        <v>0</v>
      </c>
      <c r="W9" s="221">
        <f t="shared" si="7"/>
        <v>0.1750152646744316</v>
      </c>
      <c r="X9" s="221" t="str">
        <f t="shared" si="8"/>
        <v/>
      </c>
      <c r="Y9" s="221" t="str">
        <f t="shared" si="9"/>
        <v/>
      </c>
      <c r="Z9" s="219">
        <f>IFERROR(AVERAGEIF('Daily KPI'!D:D,Table14[[#This Row],[Month]],'Daily KPI'!AB:AB),0)</f>
        <v>0</v>
      </c>
      <c r="AA9" s="212">
        <f>IFERROR(AVERAGEIF($F$2:F9,F9,$Z$2:Z9),"")</f>
        <v>0</v>
      </c>
      <c r="AB9" s="220"/>
      <c r="AC9" s="219"/>
      <c r="AD9" s="219"/>
      <c r="AE9" s="215">
        <v>0.995</v>
      </c>
      <c r="AF9" s="215">
        <v>0.995</v>
      </c>
      <c r="AG9" s="221"/>
      <c r="AH9" s="221"/>
      <c r="AI9" s="221"/>
      <c r="AJ9" s="221"/>
      <c r="AK9" s="221"/>
      <c r="AL9" s="221"/>
      <c r="AM9" s="239">
        <f>SUMIF('Daily KPI'!$D:$D,$D9,'Daily KPI'!AS:AS)</f>
        <v>0</v>
      </c>
      <c r="AN9" s="239">
        <f>SUMIF($F$2:F9,F9,$AM$2:AM9)</f>
        <v>0</v>
      </c>
    </row>
    <row r="10" spans="1:44">
      <c r="A10" s="208">
        <f t="shared" si="10"/>
        <v>9</v>
      </c>
      <c r="B10" s="209" t="s">
        <v>1250</v>
      </c>
      <c r="C10" s="208">
        <v>2</v>
      </c>
      <c r="D10" s="209">
        <v>45627</v>
      </c>
      <c r="E10" s="210">
        <f>YEAR(D10)</f>
        <v>2024</v>
      </c>
      <c r="F10" s="262" t="s">
        <v>1242</v>
      </c>
      <c r="G10" s="211">
        <f>DAY(EOMONTH(D10,0))</f>
        <v>31</v>
      </c>
      <c r="H10" s="212">
        <v>140.30000000000001</v>
      </c>
      <c r="I10" s="212">
        <v>165.2</v>
      </c>
      <c r="J10" s="213"/>
      <c r="K10" s="212"/>
      <c r="L10" s="211"/>
      <c r="M10" s="214">
        <v>18551.291339325668</v>
      </c>
      <c r="N10" s="214">
        <v>136.82</v>
      </c>
      <c r="O10" s="215">
        <f t="shared" si="2"/>
        <v>0.82075685146342348</v>
      </c>
      <c r="P10" s="213">
        <f t="shared" si="3"/>
        <v>5.3290322580645162</v>
      </c>
      <c r="Q10" s="211">
        <f>COUNTIFS('Daily KPI'!$D:$D,D10,'Daily KPI'!$K:$K,"&gt;0")</f>
        <v>0</v>
      </c>
      <c r="R10" s="214">
        <f t="shared" si="4"/>
        <v>0</v>
      </c>
      <c r="S10" s="214">
        <f>SUMIF($F$2:F10,F10,$R$2:R10)</f>
        <v>0</v>
      </c>
      <c r="T10" s="213">
        <f t="shared" si="5"/>
        <v>598.4287528814732</v>
      </c>
      <c r="U10" s="214">
        <f t="shared" si="6"/>
        <v>0</v>
      </c>
      <c r="V10" s="214">
        <f>SUMIF($F$2:F10,F10,$U$2:U10)</f>
        <v>0</v>
      </c>
      <c r="W10" s="215">
        <f t="shared" si="7"/>
        <v>0.18224332239483543</v>
      </c>
      <c r="X10" s="215" t="str">
        <f t="shared" si="8"/>
        <v/>
      </c>
      <c r="Y10" s="215" t="str">
        <f t="shared" si="9"/>
        <v/>
      </c>
      <c r="Z10" s="213">
        <f>IFERROR(AVERAGEIF('Daily KPI'!D:D,Table14[[#This Row],[Month]],'Daily KPI'!AB:AB),0)</f>
        <v>0</v>
      </c>
      <c r="AA10" s="212">
        <f>IFERROR(AVERAGEIF($F$2:F10,F10,$Z$2:Z10),"")</f>
        <v>0</v>
      </c>
      <c r="AB10" s="214"/>
      <c r="AC10" s="213"/>
      <c r="AD10" s="213"/>
      <c r="AE10" s="215">
        <v>0.995</v>
      </c>
      <c r="AF10" s="215">
        <v>0.995</v>
      </c>
      <c r="AG10" s="215"/>
      <c r="AH10" s="215"/>
      <c r="AI10" s="215"/>
      <c r="AJ10" s="215"/>
      <c r="AK10" s="215"/>
      <c r="AL10" s="215"/>
      <c r="AM10" s="239">
        <f>SUMIF('Daily KPI'!$D:$D,$D10,'Daily KPI'!AS:AS)</f>
        <v>0</v>
      </c>
      <c r="AN10" s="239">
        <f>SUMIF($F$2:F10,F10,$AM$2:AM10)</f>
        <v>0</v>
      </c>
    </row>
    <row r="11" spans="1:44">
      <c r="A11" s="208">
        <f t="shared" si="10"/>
        <v>10</v>
      </c>
      <c r="B11" s="216" t="s">
        <v>1251</v>
      </c>
      <c r="C11" s="208">
        <v>3</v>
      </c>
      <c r="D11" s="216">
        <v>45658</v>
      </c>
      <c r="E11" s="217">
        <f>YEAR(D11)</f>
        <v>2025</v>
      </c>
      <c r="F11" s="262" t="s">
        <v>1242</v>
      </c>
      <c r="G11" s="208">
        <f>DAY(EOMONTH(D11,0))</f>
        <v>31</v>
      </c>
      <c r="H11" s="218">
        <v>147.30000000000001</v>
      </c>
      <c r="I11" s="218">
        <v>171</v>
      </c>
      <c r="J11" s="219"/>
      <c r="K11" s="218"/>
      <c r="L11" s="208"/>
      <c r="M11" s="220">
        <v>20347.6286237573</v>
      </c>
      <c r="N11" s="214">
        <v>136.82</v>
      </c>
      <c r="O11" s="221">
        <f t="shared" si="2"/>
        <v>0.86969726835178085</v>
      </c>
      <c r="P11" s="219">
        <f t="shared" si="3"/>
        <v>5.5161290322580649</v>
      </c>
      <c r="Q11" s="208">
        <f>COUNTIFS('Daily KPI'!$D:$D,D11,'Daily KPI'!$K:$K,"&gt;0")</f>
        <v>0</v>
      </c>
      <c r="R11" s="220">
        <f t="shared" si="4"/>
        <v>0</v>
      </c>
      <c r="S11" s="220">
        <f>SUMIF($F$2:F11,F11,$R$2:R11)</f>
        <v>0</v>
      </c>
      <c r="T11" s="219">
        <f t="shared" si="5"/>
        <v>656.37511689539679</v>
      </c>
      <c r="U11" s="220">
        <f t="shared" si="6"/>
        <v>0</v>
      </c>
      <c r="V11" s="220">
        <f>SUMIF($F$2:F11,F11,$U$2:U11)</f>
        <v>0</v>
      </c>
      <c r="W11" s="221">
        <f t="shared" si="7"/>
        <v>0.19989009796794963</v>
      </c>
      <c r="X11" s="221" t="str">
        <f t="shared" si="8"/>
        <v/>
      </c>
      <c r="Y11" s="221" t="str">
        <f t="shared" si="9"/>
        <v/>
      </c>
      <c r="Z11" s="219">
        <f>IFERROR(AVERAGEIF('Daily KPI'!D:D,Table14[[#This Row],[Month]],'Daily KPI'!AB:AB),0)</f>
        <v>0</v>
      </c>
      <c r="AA11" s="212">
        <f>IFERROR(AVERAGEIF($F$2:F11,F11,$Z$2:Z11),"")</f>
        <v>0</v>
      </c>
      <c r="AB11" s="220"/>
      <c r="AC11" s="219"/>
      <c r="AD11" s="219"/>
      <c r="AE11" s="215">
        <v>0.995</v>
      </c>
      <c r="AF11" s="215">
        <v>0.995</v>
      </c>
      <c r="AG11" s="221"/>
      <c r="AH11" s="221"/>
      <c r="AI11" s="221"/>
      <c r="AJ11" s="221"/>
      <c r="AK11" s="221"/>
      <c r="AL11" s="221"/>
      <c r="AM11" s="239">
        <f>SUMIF('Daily KPI'!$D:$D,$D11,'Daily KPI'!AS:AS)</f>
        <v>0</v>
      </c>
      <c r="AN11" s="239">
        <f>SUMIF($F$2:F11,F11,$AM$2:AM11)</f>
        <v>0</v>
      </c>
    </row>
    <row r="12" spans="1:44">
      <c r="A12" s="208">
        <f t="shared" si="10"/>
        <v>11</v>
      </c>
      <c r="B12" s="216" t="s">
        <v>1252</v>
      </c>
      <c r="C12" s="208">
        <v>4</v>
      </c>
      <c r="D12" s="216">
        <v>45689</v>
      </c>
      <c r="E12" s="217">
        <f t="shared" ref="E12:E13" si="11">YEAR(D12)</f>
        <v>2025</v>
      </c>
      <c r="F12" s="262" t="s">
        <v>1242</v>
      </c>
      <c r="G12" s="208">
        <f t="shared" ref="G12:G13" si="12">DAY(EOMONTH(D12,0))</f>
        <v>28</v>
      </c>
      <c r="H12" s="218">
        <v>157.69999999999999</v>
      </c>
      <c r="I12" s="218">
        <v>176.7</v>
      </c>
      <c r="J12" s="219"/>
      <c r="K12" s="218"/>
      <c r="L12" s="208"/>
      <c r="M12" s="220">
        <v>19824.225523084078</v>
      </c>
      <c r="N12" s="214">
        <v>136.82</v>
      </c>
      <c r="O12" s="221">
        <f t="shared" si="2"/>
        <v>0.81999290386131363</v>
      </c>
      <c r="P12" s="219">
        <f t="shared" si="3"/>
        <v>6.3107142857142851</v>
      </c>
      <c r="Q12" s="208">
        <f>COUNTIFS('Daily KPI'!$D:$D,D12,'Daily KPI'!$K:$K,"&gt;0")</f>
        <v>0</v>
      </c>
      <c r="R12" s="220">
        <f t="shared" si="4"/>
        <v>0</v>
      </c>
      <c r="S12" s="220">
        <f>SUMIF($F$2:F12,F12,$R$2:R12)</f>
        <v>0</v>
      </c>
      <c r="T12" s="219">
        <f t="shared" si="5"/>
        <v>708.00805439585997</v>
      </c>
      <c r="U12" s="220">
        <f t="shared" si="6"/>
        <v>0</v>
      </c>
      <c r="V12" s="220">
        <f>SUMIF($F$2:F25,F12,$U$2:U25)</f>
        <v>2303.1033926514156</v>
      </c>
      <c r="W12" s="221">
        <f t="shared" si="7"/>
        <v>0.21561420552424718</v>
      </c>
      <c r="X12" s="221" t="str">
        <f t="shared" si="8"/>
        <v/>
      </c>
      <c r="Y12" s="221" t="str">
        <f t="shared" si="9"/>
        <v/>
      </c>
      <c r="Z12" s="219">
        <f>IFERROR(AVERAGEIF('Daily KPI'!D:D,Table14[[#This Row],[Month]],'Daily KPI'!AB:AB),0)</f>
        <v>0</v>
      </c>
      <c r="AA12" s="212">
        <f>IFERROR(AVERAGEIF($F$2:F12,F12,$Z$2:Z12),"")</f>
        <v>0</v>
      </c>
      <c r="AB12" s="220"/>
      <c r="AC12" s="219"/>
      <c r="AD12" s="219"/>
      <c r="AE12" s="215">
        <v>0.995</v>
      </c>
      <c r="AF12" s="215">
        <v>0.995</v>
      </c>
      <c r="AG12" s="221"/>
      <c r="AH12" s="221"/>
      <c r="AI12" s="221"/>
      <c r="AJ12" s="221"/>
      <c r="AK12" s="221"/>
      <c r="AL12" s="221"/>
      <c r="AM12" s="239">
        <f>SUMIF('Daily KPI'!$D:$D,$D12,'Daily KPI'!AS:AS)</f>
        <v>0</v>
      </c>
      <c r="AN12" s="239">
        <f>SUMIF($F$2:F12,F12,$AM$2:AM12)</f>
        <v>0</v>
      </c>
    </row>
    <row r="13" spans="1:44">
      <c r="A13" s="208">
        <f t="shared" si="10"/>
        <v>12</v>
      </c>
      <c r="B13" s="216" t="s">
        <v>1253</v>
      </c>
      <c r="C13" s="208">
        <v>5</v>
      </c>
      <c r="D13" s="216">
        <v>45717</v>
      </c>
      <c r="E13" s="217">
        <f t="shared" si="11"/>
        <v>2025</v>
      </c>
      <c r="F13" s="262" t="s">
        <v>1242</v>
      </c>
      <c r="G13" s="208">
        <f t="shared" si="12"/>
        <v>31</v>
      </c>
      <c r="H13" s="218">
        <v>201.5</v>
      </c>
      <c r="I13" s="218">
        <v>214.6</v>
      </c>
      <c r="J13" s="219"/>
      <c r="K13" s="218"/>
      <c r="L13" s="208"/>
      <c r="M13" s="220">
        <v>23798.73505739796</v>
      </c>
      <c r="N13" s="214">
        <v>136.82</v>
      </c>
      <c r="O13" s="221">
        <f t="shared" si="2"/>
        <v>0.81054022098673606</v>
      </c>
      <c r="P13" s="219">
        <f t="shared" si="3"/>
        <v>6.9225806451612906</v>
      </c>
      <c r="Q13" s="208">
        <f>COUNTIFS('Daily KPI'!$D:$D,D13,'Daily KPI'!$K:$K,"&gt;0")</f>
        <v>3</v>
      </c>
      <c r="R13" s="220">
        <f t="shared" si="4"/>
        <v>20.767741935483873</v>
      </c>
      <c r="S13" s="220">
        <f>SUMIF($F$2:F25,F13,$R$2:R25)</f>
        <v>20.767741935483873</v>
      </c>
      <c r="T13" s="219">
        <f t="shared" si="5"/>
        <v>767.70113088380515</v>
      </c>
      <c r="U13" s="220">
        <f t="shared" si="6"/>
        <v>2303.1033926514156</v>
      </c>
      <c r="V13" s="220">
        <f>SUMIF($F$2:F25,F13,$U$2:U25)</f>
        <v>2303.1033926514156</v>
      </c>
      <c r="W13" s="221">
        <f t="shared" si="7"/>
        <v>0.23379291858031392</v>
      </c>
      <c r="X13" s="221">
        <f t="shared" si="8"/>
        <v>0.23379291858031392</v>
      </c>
      <c r="Y13" s="221">
        <f t="shared" si="9"/>
        <v>0.23379291858031392</v>
      </c>
      <c r="Z13" s="219">
        <f>IFERROR(AVERAGEIF('Daily KPI'!D:D,Table14[[#This Row],[Month]],'Daily KPI'!AB:AB),0)</f>
        <v>97</v>
      </c>
      <c r="AA13" s="212">
        <f>IFERROR(AVERAGEIF($F$2:F13,F13,$Z$2:Z13),"")</f>
        <v>8.0833333333333339</v>
      </c>
      <c r="AB13" s="220"/>
      <c r="AC13" s="219"/>
      <c r="AD13" s="219"/>
      <c r="AE13" s="215">
        <v>0.995</v>
      </c>
      <c r="AF13" s="215">
        <v>0.995</v>
      </c>
      <c r="AG13" s="221"/>
      <c r="AH13" s="221"/>
      <c r="AI13" s="221"/>
      <c r="AJ13" s="221"/>
      <c r="AK13" s="221"/>
      <c r="AL13" s="221"/>
      <c r="AM13" s="239">
        <f>SUMIF('Daily KPI'!$D:$D,$D13,'Daily KPI'!AS:AS)</f>
        <v>1632809.7433649122</v>
      </c>
      <c r="AN13" s="239">
        <f>SUMIF($F$2:F13,F13,$AM$2:AM13)</f>
        <v>1632809.7433649122</v>
      </c>
    </row>
    <row r="14" spans="1:44">
      <c r="A14" s="208">
        <f t="shared" si="10"/>
        <v>13</v>
      </c>
      <c r="B14" s="216" t="str">
        <f>B2</f>
        <v>April</v>
      </c>
      <c r="C14" s="208">
        <f>C2</f>
        <v>5</v>
      </c>
      <c r="D14" s="216">
        <v>45748</v>
      </c>
      <c r="E14" s="217">
        <f t="shared" ref="E14:E16" si="13">YEAR(D14)</f>
        <v>2025</v>
      </c>
      <c r="F14" s="262" t="s">
        <v>1254</v>
      </c>
      <c r="G14" s="208">
        <f t="shared" ref="G14:G16" si="14">DAY(EOMONTH(D14,0))</f>
        <v>30</v>
      </c>
      <c r="H14" s="218">
        <f>H2</f>
        <v>211.4</v>
      </c>
      <c r="I14" s="218">
        <f>I2</f>
        <v>214.2</v>
      </c>
      <c r="J14" s="219"/>
      <c r="K14" s="218"/>
      <c r="L14" s="208"/>
      <c r="M14" s="220">
        <v>21288.830610900219</v>
      </c>
      <c r="N14" s="214">
        <v>130</v>
      </c>
      <c r="O14" s="221">
        <f t="shared" ref="O14:O16" si="15">IFERROR(M14/I14/N14,"")</f>
        <v>0.76452024028227472</v>
      </c>
      <c r="P14" s="219">
        <f t="shared" ref="P14:P16" si="16">IFERROR(I14/G14,"")</f>
        <v>7.14</v>
      </c>
      <c r="Q14" s="208">
        <f>COUNTIFS('Daily KPI'!$D:$D,D14,'Daily KPI'!$K:$K,"&gt;0")</f>
        <v>30</v>
      </c>
      <c r="R14" s="220">
        <f t="shared" ref="R14:R16" si="17">I14/G14*Q14</f>
        <v>214.2</v>
      </c>
      <c r="S14" s="220">
        <f>SUMIF($F$2:F14,F14,$R$2:R14)</f>
        <v>214.2</v>
      </c>
      <c r="T14" s="220">
        <f>M14/G14</f>
        <v>709.62768703000734</v>
      </c>
      <c r="U14" s="220">
        <f>M14/G14*Q14</f>
        <v>21288.830610900219</v>
      </c>
      <c r="V14" s="220">
        <f>SUMIF($F$2:F14,F14,$U$2:U14)</f>
        <v>21288.830610900219</v>
      </c>
      <c r="W14" s="221">
        <f>IFERROR(T14/(24*N14),"")</f>
        <v>0.22744477148397671</v>
      </c>
      <c r="X14" s="221">
        <f t="shared" si="8"/>
        <v>0.22744477148397671</v>
      </c>
      <c r="Y14" s="221">
        <f t="shared" si="9"/>
        <v>0.22744477148397671</v>
      </c>
      <c r="Z14" s="219">
        <f>IFERROR(AVERAGEIF('Daily KPI'!D:D,Table14[[#This Row],[Month]],'Daily KPI'!AB:AB),0)</f>
        <v>103.26666666666667</v>
      </c>
      <c r="AA14" s="212">
        <f>IFERROR(AVERAGEIF($F$2:F14,F14,$Z$2:Z14),"")</f>
        <v>103.26666666666667</v>
      </c>
      <c r="AB14" s="220"/>
      <c r="AC14" s="219"/>
      <c r="AD14" s="219"/>
      <c r="AE14" s="215">
        <v>0.995</v>
      </c>
      <c r="AF14" s="215">
        <v>0.995</v>
      </c>
      <c r="AG14" s="221"/>
      <c r="AH14" s="221"/>
      <c r="AI14" s="221"/>
      <c r="AJ14" s="221"/>
      <c r="AK14" s="221"/>
      <c r="AL14" s="221"/>
      <c r="AM14" s="239">
        <f>SUMIF('Daily KPI'!$D:$D,$D14,'Daily KPI'!AS:AS)</f>
        <v>16910973.649376631</v>
      </c>
      <c r="AN14" s="239">
        <f>SUMIF($F$2:F14,F14,$AM$2:AM14)</f>
        <v>16910973.649376631</v>
      </c>
    </row>
    <row r="15" spans="1:44">
      <c r="A15" s="208">
        <f t="shared" si="10"/>
        <v>14</v>
      </c>
      <c r="B15" s="216" t="str">
        <f t="shared" ref="B15:C25" si="18">B3</f>
        <v>May</v>
      </c>
      <c r="C15" s="208">
        <f t="shared" si="18"/>
        <v>6</v>
      </c>
      <c r="D15" s="216">
        <v>45778</v>
      </c>
      <c r="E15" s="217">
        <f t="shared" si="13"/>
        <v>2025</v>
      </c>
      <c r="F15" s="262" t="s">
        <v>1254</v>
      </c>
      <c r="G15" s="208">
        <f t="shared" si="14"/>
        <v>31</v>
      </c>
      <c r="H15" s="218">
        <f t="shared" ref="H15:I15" si="19">H3</f>
        <v>219.5</v>
      </c>
      <c r="I15" s="218">
        <f t="shared" si="19"/>
        <v>213.6</v>
      </c>
      <c r="J15" s="219"/>
      <c r="K15" s="218"/>
      <c r="L15" s="208"/>
      <c r="M15" s="220">
        <v>22397.613143379167</v>
      </c>
      <c r="N15" s="214">
        <v>130</v>
      </c>
      <c r="O15" s="221">
        <f t="shared" si="15"/>
        <v>0.806597995656121</v>
      </c>
      <c r="P15" s="219">
        <f t="shared" si="16"/>
        <v>6.8903225806451607</v>
      </c>
      <c r="Q15" s="208">
        <f>COUNTIFS('Daily KPI'!$D:$D,D15,'Daily KPI'!$K:$K,"&gt;0")</f>
        <v>31</v>
      </c>
      <c r="R15" s="220">
        <f t="shared" si="17"/>
        <v>213.6</v>
      </c>
      <c r="S15" s="220">
        <f>SUMIF($F$2:F15,F15,$R$2:R15)</f>
        <v>427.79999999999995</v>
      </c>
      <c r="T15" s="219">
        <f t="shared" ref="T15:T16" si="20">M15/G15</f>
        <v>722.50364978642472</v>
      </c>
      <c r="U15" s="220">
        <f t="shared" ref="U15:U16" si="21">M15/G15*Q15</f>
        <v>22397.613143379167</v>
      </c>
      <c r="V15" s="220">
        <f>SUMIF($F$2:F15,F15,$U$2:U15)</f>
        <v>43686.443754279389</v>
      </c>
      <c r="W15" s="221">
        <f t="shared" ref="W15:W16" si="22">IFERROR(T15/(24*N15),"")</f>
        <v>0.23157168262385408</v>
      </c>
      <c r="X15" s="221">
        <f t="shared" si="8"/>
        <v>0.23157168262385408</v>
      </c>
      <c r="Y15" s="221">
        <f t="shared" si="9"/>
        <v>0.22954205419440621</v>
      </c>
      <c r="Z15" s="219">
        <f>IFERROR(AVERAGEIF('Daily KPI'!D:D,Table14[[#This Row],[Month]],'Daily KPI'!AB:AB),0)</f>
        <v>113.89999999999996</v>
      </c>
      <c r="AA15" s="212">
        <f>IFERROR(AVERAGEIF($F$2:F15,F15,$Z$2:Z15),"")</f>
        <v>108.58333333333331</v>
      </c>
      <c r="AB15" s="220"/>
      <c r="AC15" s="219"/>
      <c r="AD15" s="219"/>
      <c r="AE15" s="215">
        <v>0.995</v>
      </c>
      <c r="AF15" s="215">
        <v>0.995</v>
      </c>
      <c r="AG15" s="221"/>
      <c r="AH15" s="221"/>
      <c r="AI15" s="221"/>
      <c r="AJ15" s="221"/>
      <c r="AK15" s="221"/>
      <c r="AL15" s="221"/>
      <c r="AM15" s="239">
        <f>SUMIF('Daily KPI'!$D:$D,$D15,'Daily KPI'!AS:AS)</f>
        <v>19623754.900237598</v>
      </c>
      <c r="AN15" s="239">
        <f>SUMIF($F$2:F15,F15,$AM$2:AM15)</f>
        <v>36534728.549614228</v>
      </c>
    </row>
    <row r="16" spans="1:44">
      <c r="A16" s="208">
        <f t="shared" si="10"/>
        <v>15</v>
      </c>
      <c r="B16" s="216" t="str">
        <f t="shared" si="18"/>
        <v>June</v>
      </c>
      <c r="C16" s="208">
        <f t="shared" si="18"/>
        <v>7</v>
      </c>
      <c r="D16" s="216">
        <v>45809</v>
      </c>
      <c r="E16" s="217">
        <f t="shared" si="13"/>
        <v>2025</v>
      </c>
      <c r="F16" s="262" t="s">
        <v>1254</v>
      </c>
      <c r="G16" s="208">
        <f t="shared" si="14"/>
        <v>30</v>
      </c>
      <c r="H16" s="218">
        <f t="shared" ref="H16:I16" si="23">H4</f>
        <v>155.19999999999999</v>
      </c>
      <c r="I16" s="218">
        <f t="shared" si="23"/>
        <v>149.1</v>
      </c>
      <c r="J16" s="219"/>
      <c r="K16" s="218"/>
      <c r="L16" s="208"/>
      <c r="M16" s="220">
        <v>16321.490274764539</v>
      </c>
      <c r="N16" s="214">
        <v>130</v>
      </c>
      <c r="O16" s="221">
        <f t="shared" si="15"/>
        <v>0.84205181214283342</v>
      </c>
      <c r="P16" s="219">
        <f t="shared" si="16"/>
        <v>4.97</v>
      </c>
      <c r="Q16" s="208">
        <f>COUNTIFS('Daily KPI'!$D:$D,D16,'Daily KPI'!$K:$K,"&gt;0")</f>
        <v>30</v>
      </c>
      <c r="R16" s="220">
        <f t="shared" si="17"/>
        <v>149.1</v>
      </c>
      <c r="S16" s="220">
        <f>SUMIF($F$2:F25,F16,$R$2:R25)</f>
        <v>633.85161290322583</v>
      </c>
      <c r="T16" s="219">
        <f t="shared" si="20"/>
        <v>544.04967582548466</v>
      </c>
      <c r="U16" s="220">
        <f t="shared" si="21"/>
        <v>16321.490274764539</v>
      </c>
      <c r="V16" s="220">
        <f>SUMIF($F$2:F25,F16,$U$2:U25)</f>
        <v>66323.861310265522</v>
      </c>
      <c r="W16" s="221">
        <f t="shared" si="22"/>
        <v>0.17437489609791174</v>
      </c>
      <c r="X16" s="221">
        <f t="shared" si="8"/>
        <v>0.17437489609791174</v>
      </c>
      <c r="Y16" s="221">
        <f t="shared" si="9"/>
        <v>0.23360052588850916</v>
      </c>
      <c r="Z16" s="219">
        <f>IFERROR(AVERAGEIF('Daily KPI'!D:D,Table14[[#This Row],[Month]],'Daily KPI'!AB:AB),0)</f>
        <v>123.42933333333333</v>
      </c>
      <c r="AA16" s="212">
        <f>IFERROR(AVERAGEIF($F$2:F16,F16,$Z$2:Z16),"")</f>
        <v>113.53199999999998</v>
      </c>
      <c r="AB16" s="220"/>
      <c r="AC16" s="219"/>
      <c r="AD16" s="219"/>
      <c r="AE16" s="215">
        <v>0.995</v>
      </c>
      <c r="AF16" s="215">
        <v>0.995</v>
      </c>
      <c r="AG16" s="221"/>
      <c r="AH16" s="221"/>
      <c r="AI16" s="221"/>
      <c r="AJ16" s="221"/>
      <c r="AK16" s="221"/>
      <c r="AL16" s="221"/>
      <c r="AM16" s="239">
        <f>SUMIF('Daily KPI'!$D:$D,$D16,'Daily KPI'!AS:AS)</f>
        <v>15496543.566312855</v>
      </c>
      <c r="AN16" s="239">
        <f>SUMIF($F$2:F16,F16,$AM$2:AM16)</f>
        <v>52031272.115927085</v>
      </c>
    </row>
    <row r="17" spans="1:40">
      <c r="A17" s="208">
        <f t="shared" si="10"/>
        <v>16</v>
      </c>
      <c r="B17" s="216" t="str">
        <f t="shared" si="18"/>
        <v>July</v>
      </c>
      <c r="C17" s="208">
        <f t="shared" si="18"/>
        <v>8</v>
      </c>
      <c r="D17" s="216">
        <v>45839</v>
      </c>
      <c r="E17" s="217">
        <f t="shared" ref="E17:E19" si="24">YEAR(D17)</f>
        <v>2025</v>
      </c>
      <c r="F17" s="262" t="s">
        <v>1254</v>
      </c>
      <c r="G17" s="208">
        <f t="shared" ref="G17:G19" si="25">DAY(EOMONTH(D17,0))</f>
        <v>31</v>
      </c>
      <c r="H17" s="218">
        <f t="shared" ref="H17:I17" si="26">H5</f>
        <v>121.5</v>
      </c>
      <c r="I17" s="218">
        <f t="shared" si="26"/>
        <v>117.7</v>
      </c>
      <c r="J17" s="219"/>
      <c r="K17" s="218"/>
      <c r="L17" s="208"/>
      <c r="M17" s="220">
        <v>13052.916381191299</v>
      </c>
      <c r="N17" s="214">
        <v>130</v>
      </c>
      <c r="O17" s="221">
        <f t="shared" ref="O17:O19" si="27">IFERROR(M17/I17/N17,"")</f>
        <v>0.85307603301688106</v>
      </c>
      <c r="P17" s="219">
        <f t="shared" ref="P17:P19" si="28">IFERROR(I17/G17,"")</f>
        <v>3.7967741935483872</v>
      </c>
      <c r="Q17" s="208">
        <f>COUNTIFS('Daily KPI'!$D:$D,D17,'Daily KPI'!$K:$K,"&gt;0")</f>
        <v>15</v>
      </c>
      <c r="R17" s="220">
        <f t="shared" ref="R17:R19" si="29">I17/G17*Q17</f>
        <v>56.951612903225808</v>
      </c>
      <c r="S17" s="220">
        <f>SUMIF($F$2:F17,F17,$R$2:R17)</f>
        <v>633.85161290322583</v>
      </c>
      <c r="T17" s="219">
        <f t="shared" ref="T17:T19" si="30">M17/G17</f>
        <v>421.06181874810642</v>
      </c>
      <c r="U17" s="220">
        <f t="shared" ref="U17:U19" si="31">M17/G17*Q17</f>
        <v>6315.9272812215959</v>
      </c>
      <c r="V17" s="220">
        <f>SUMIF($F$2:F17,F17,$U$2:U17)</f>
        <v>66323.861310265522</v>
      </c>
      <c r="W17" s="221">
        <f t="shared" ref="W17:W19" si="32">IFERROR(T17/(24*N17),"")</f>
        <v>0.13495571113721361</v>
      </c>
      <c r="X17" s="221">
        <f t="shared" si="8"/>
        <v>0.13495571113721358</v>
      </c>
      <c r="Y17" s="221">
        <f t="shared" si="9"/>
        <v>0.200543847696739</v>
      </c>
      <c r="Z17" s="219">
        <f>IFERROR(AVERAGEIF('Daily KPI'!D:D,Table14[[#This Row],[Month]],'Daily KPI'!AB:AB),0)</f>
        <v>61.974193548387085</v>
      </c>
      <c r="AA17" s="212">
        <f>IFERROR(AVERAGEIF($F$2:F17,F17,$Z$2:Z17),"")</f>
        <v>100.64254838709675</v>
      </c>
      <c r="AB17" s="220"/>
      <c r="AC17" s="219"/>
      <c r="AD17" s="219"/>
      <c r="AE17" s="215">
        <v>0.995</v>
      </c>
      <c r="AF17" s="215">
        <v>0.995</v>
      </c>
      <c r="AG17" s="221"/>
      <c r="AH17" s="221"/>
      <c r="AI17" s="221"/>
      <c r="AJ17" s="221"/>
      <c r="AK17" s="221"/>
      <c r="AL17" s="221"/>
      <c r="AM17" s="239">
        <f>SUMIF('Daily KPI'!$D:$D,$D17,'Daily KPI'!AS:AS)</f>
        <v>6222645.8936835555</v>
      </c>
      <c r="AN17" s="239">
        <f>SUMIF($F$2:F17,F17,$AM$2:AM17)</f>
        <v>58253918.009610638</v>
      </c>
    </row>
    <row r="18" spans="1:40">
      <c r="A18" s="208">
        <f t="shared" si="10"/>
        <v>17</v>
      </c>
      <c r="B18" s="216" t="str">
        <f t="shared" si="18"/>
        <v>August</v>
      </c>
      <c r="C18" s="208">
        <f t="shared" si="18"/>
        <v>9</v>
      </c>
      <c r="D18" s="216">
        <v>45870</v>
      </c>
      <c r="E18" s="217">
        <f t="shared" si="24"/>
        <v>2025</v>
      </c>
      <c r="F18" s="262" t="s">
        <v>1254</v>
      </c>
      <c r="G18" s="208">
        <f t="shared" si="25"/>
        <v>31</v>
      </c>
      <c r="H18" s="218">
        <f t="shared" ref="H18:I18" si="33">H6</f>
        <v>124.7</v>
      </c>
      <c r="I18" s="218">
        <f t="shared" si="33"/>
        <v>123.5</v>
      </c>
      <c r="J18" s="219"/>
      <c r="K18" s="218"/>
      <c r="L18" s="208"/>
      <c r="M18" s="220">
        <v>13717.566878477022</v>
      </c>
      <c r="N18" s="214">
        <v>130</v>
      </c>
      <c r="O18" s="221">
        <f t="shared" si="27"/>
        <v>0.85441089246197577</v>
      </c>
      <c r="P18" s="219">
        <f t="shared" si="28"/>
        <v>3.9838709677419355</v>
      </c>
      <c r="Q18" s="208">
        <f>COUNTIFS('Daily KPI'!$D:$D,D18,'Daily KPI'!$K:$K,"&gt;0")</f>
        <v>0</v>
      </c>
      <c r="R18" s="220">
        <f t="shared" si="29"/>
        <v>0</v>
      </c>
      <c r="S18" s="220">
        <f>SUMIF($F$2:F18,F18,$R$2:R18)</f>
        <v>633.85161290322583</v>
      </c>
      <c r="T18" s="219">
        <f t="shared" si="30"/>
        <v>442.50215737022654</v>
      </c>
      <c r="U18" s="220">
        <f t="shared" si="31"/>
        <v>0</v>
      </c>
      <c r="V18" s="220">
        <f>SUMIF($F$2:F18,F18,$U$2:U18)</f>
        <v>66323.861310265522</v>
      </c>
      <c r="W18" s="221">
        <f t="shared" si="32"/>
        <v>0.14182761454173928</v>
      </c>
      <c r="X18" s="221" t="str">
        <f t="shared" si="8"/>
        <v/>
      </c>
      <c r="Y18" s="221">
        <f t="shared" si="9"/>
        <v>0.200543847696739</v>
      </c>
      <c r="Z18" s="219">
        <f>IFERROR(AVERAGEIF('Daily KPI'!D:D,Table14[[#This Row],[Month]],'Daily KPI'!AB:AB),0)</f>
        <v>0</v>
      </c>
      <c r="AA18" s="212">
        <f>IFERROR(AVERAGEIF($F$2:F18,F18,$Z$2:Z18),"")</f>
        <v>80.514038709677408</v>
      </c>
      <c r="AB18" s="220"/>
      <c r="AC18" s="219"/>
      <c r="AD18" s="219"/>
      <c r="AE18" s="215">
        <v>0.995</v>
      </c>
      <c r="AF18" s="215">
        <v>0.995</v>
      </c>
      <c r="AG18" s="221"/>
      <c r="AH18" s="221"/>
      <c r="AI18" s="221"/>
      <c r="AJ18" s="221"/>
      <c r="AK18" s="221"/>
      <c r="AL18" s="221"/>
      <c r="AM18" s="239">
        <f>SUMIF('Daily KPI'!$D:$D,$D18,'Daily KPI'!AS:AS)</f>
        <v>0</v>
      </c>
      <c r="AN18" s="239">
        <f>SUMIF($F$2:F18,F18,$AM$2:AM18)</f>
        <v>58253918.009610638</v>
      </c>
    </row>
    <row r="19" spans="1:40">
      <c r="A19" s="208">
        <f t="shared" si="10"/>
        <v>18</v>
      </c>
      <c r="B19" s="216" t="str">
        <f t="shared" si="18"/>
        <v>September</v>
      </c>
      <c r="C19" s="208">
        <f t="shared" si="18"/>
        <v>10</v>
      </c>
      <c r="D19" s="216">
        <v>45901</v>
      </c>
      <c r="E19" s="217">
        <f t="shared" si="24"/>
        <v>2025</v>
      </c>
      <c r="F19" s="262" t="s">
        <v>1254</v>
      </c>
      <c r="G19" s="208">
        <f t="shared" si="25"/>
        <v>30</v>
      </c>
      <c r="H19" s="218">
        <f t="shared" ref="H19:I19" si="34">H7</f>
        <v>146.30000000000001</v>
      </c>
      <c r="I19" s="218">
        <f t="shared" si="34"/>
        <v>150.5</v>
      </c>
      <c r="J19" s="219"/>
      <c r="K19" s="218"/>
      <c r="L19" s="208"/>
      <c r="M19" s="220">
        <v>16496.079732519654</v>
      </c>
      <c r="N19" s="214">
        <v>130</v>
      </c>
      <c r="O19" s="221">
        <f t="shared" si="27"/>
        <v>0.84314233235469738</v>
      </c>
      <c r="P19" s="219">
        <f t="shared" si="28"/>
        <v>5.0166666666666666</v>
      </c>
      <c r="Q19" s="208">
        <f>COUNTIFS('Daily KPI'!$D:$D,D19,'Daily KPI'!$K:$K,"&gt;0")</f>
        <v>0</v>
      </c>
      <c r="R19" s="220">
        <f t="shared" si="29"/>
        <v>0</v>
      </c>
      <c r="S19" s="220">
        <f>SUMIF($F$2:F25,F19,$R$2:R25)</f>
        <v>633.85161290322583</v>
      </c>
      <c r="T19" s="219">
        <f t="shared" si="30"/>
        <v>549.86932441732176</v>
      </c>
      <c r="U19" s="220">
        <f t="shared" si="31"/>
        <v>0</v>
      </c>
      <c r="V19" s="220">
        <f>SUMIF($F$2:F25,F19,$U$2:U25)</f>
        <v>66323.861310265522</v>
      </c>
      <c r="W19" s="221">
        <f t="shared" si="32"/>
        <v>0.17624016808247492</v>
      </c>
      <c r="X19" s="221" t="str">
        <f t="shared" si="8"/>
        <v/>
      </c>
      <c r="Y19" s="221">
        <f t="shared" si="9"/>
        <v>0.200543847696739</v>
      </c>
      <c r="Z19" s="219">
        <f>IFERROR(AVERAGEIF('Daily KPI'!D:D,Table14[[#This Row],[Month]],'Daily KPI'!AB:AB),0)</f>
        <v>0</v>
      </c>
      <c r="AA19" s="212">
        <f>IFERROR(AVERAGEIF($F$2:F19,F19,$Z$2:Z19),"")</f>
        <v>67.095032258064506</v>
      </c>
      <c r="AB19" s="220"/>
      <c r="AC19" s="219"/>
      <c r="AD19" s="219"/>
      <c r="AE19" s="215">
        <v>0.995</v>
      </c>
      <c r="AF19" s="215">
        <v>0.995</v>
      </c>
      <c r="AG19" s="221"/>
      <c r="AH19" s="221"/>
      <c r="AI19" s="221"/>
      <c r="AJ19" s="221"/>
      <c r="AK19" s="221"/>
      <c r="AL19" s="221"/>
      <c r="AM19" s="239">
        <f>SUMIF('Daily KPI'!$D:$D,$D19,'Daily KPI'!AS:AS)</f>
        <v>0</v>
      </c>
      <c r="AN19" s="239">
        <f>SUMIF($F$2:F19,F19,$AM$2:AM19)</f>
        <v>58253918.009610638</v>
      </c>
    </row>
    <row r="20" spans="1:40">
      <c r="A20" s="208">
        <f t="shared" si="10"/>
        <v>19</v>
      </c>
      <c r="B20" s="216" t="str">
        <f>B8</f>
        <v>October</v>
      </c>
      <c r="C20" s="208">
        <f t="shared" ref="C20:C25" si="35">C8</f>
        <v>11</v>
      </c>
      <c r="D20" s="216">
        <v>45931</v>
      </c>
      <c r="E20" s="217">
        <f t="shared" ref="E20:E25" si="36">YEAR(D20)</f>
        <v>2025</v>
      </c>
      <c r="F20" s="262" t="s">
        <v>1254</v>
      </c>
      <c r="G20" s="208">
        <f t="shared" ref="G20:G25" si="37">DAY(EOMONTH(D20,0))</f>
        <v>31</v>
      </c>
      <c r="H20" s="218">
        <f t="shared" ref="H20:I20" si="38">H8</f>
        <v>165.6</v>
      </c>
      <c r="I20" s="218">
        <f t="shared" si="38"/>
        <v>180.6</v>
      </c>
      <c r="J20" s="219"/>
      <c r="K20" s="218"/>
      <c r="L20" s="208"/>
      <c r="M20" s="220">
        <v>19695.672558805851</v>
      </c>
      <c r="N20" s="214">
        <v>130</v>
      </c>
      <c r="O20" s="221">
        <f t="shared" ref="O20:O25" si="39">IFERROR(M20/I20/N20,"")</f>
        <v>0.83889907823519261</v>
      </c>
      <c r="P20" s="219">
        <f t="shared" ref="P20:P25" si="40">IFERROR(I20/G20,"")</f>
        <v>5.8258064516129027</v>
      </c>
      <c r="Q20" s="208">
        <f>COUNTIFS('Daily KPI'!$D:$D,D20,'Daily KPI'!$K:$K,"&gt;0")</f>
        <v>0</v>
      </c>
      <c r="R20" s="220">
        <f t="shared" ref="R20:R25" si="41">I20/G20*Q20</f>
        <v>0</v>
      </c>
      <c r="S20" s="220">
        <f>SUMIF($F$2:F20,F20,$R$2:R20)</f>
        <v>633.85161290322583</v>
      </c>
      <c r="T20" s="219">
        <f t="shared" ref="T20:T25" si="42">M20/G20</f>
        <v>635.34427609051136</v>
      </c>
      <c r="U20" s="220">
        <f t="shared" ref="U20:U25" si="43">M20/G20*Q20</f>
        <v>0</v>
      </c>
      <c r="V20" s="220">
        <f>SUMIF($F$2:F20,F20,$U$2:U20)</f>
        <v>66323.861310265522</v>
      </c>
      <c r="W20" s="221">
        <f t="shared" ref="W20:W25" si="44">IFERROR(T20/(24*N20),"")</f>
        <v>0.20363598592644594</v>
      </c>
      <c r="X20" s="221" t="str">
        <f t="shared" si="8"/>
        <v/>
      </c>
      <c r="Y20" s="221">
        <f t="shared" ref="Y20:Y25" si="45">IFERROR(V20/(24*N20*SUMIFS($Q:$Q,$F:$F,$F20,$D:$D,"&lt;="&amp;D20)),"")</f>
        <v>0.200543847696739</v>
      </c>
      <c r="Z20" s="219">
        <f>IFERROR(AVERAGEIF('Daily KPI'!D:D,Table14[[#This Row],[Month]],'Daily KPI'!AB:AB),0)</f>
        <v>0</v>
      </c>
      <c r="AA20" s="212">
        <f>IFERROR(AVERAGEIF($F$2:F20,F20,$Z$2:Z20),"")</f>
        <v>57.510027649769576</v>
      </c>
      <c r="AB20" s="220"/>
      <c r="AC20" s="219"/>
      <c r="AD20" s="219"/>
      <c r="AE20" s="215">
        <v>0.995</v>
      </c>
      <c r="AF20" s="215">
        <v>0.995</v>
      </c>
      <c r="AG20" s="221"/>
      <c r="AH20" s="221"/>
      <c r="AI20" s="221"/>
      <c r="AJ20" s="221"/>
      <c r="AK20" s="221"/>
      <c r="AL20" s="221"/>
      <c r="AM20" s="239">
        <f>SUMIF('Daily KPI'!$D:$D,$D20,'Daily KPI'!AS:AS)</f>
        <v>0</v>
      </c>
      <c r="AN20" s="239">
        <f>SUMIF($F$2:F20,F20,$AM$2:AM20)</f>
        <v>58253918.009610638</v>
      </c>
    </row>
    <row r="21" spans="1:40">
      <c r="A21" s="208">
        <f t="shared" si="10"/>
        <v>20</v>
      </c>
      <c r="B21" s="216" t="str">
        <f t="shared" si="18"/>
        <v>November</v>
      </c>
      <c r="C21" s="208">
        <f t="shared" si="35"/>
        <v>12</v>
      </c>
      <c r="D21" s="216">
        <v>45962</v>
      </c>
      <c r="E21" s="217">
        <f t="shared" si="36"/>
        <v>2025</v>
      </c>
      <c r="F21" s="262" t="s">
        <v>1254</v>
      </c>
      <c r="G21" s="208">
        <f t="shared" si="37"/>
        <v>30</v>
      </c>
      <c r="H21" s="218">
        <f t="shared" ref="H21:I21" si="46">H9</f>
        <v>146.1</v>
      </c>
      <c r="I21" s="218">
        <f t="shared" si="46"/>
        <v>167.5</v>
      </c>
      <c r="J21" s="219"/>
      <c r="K21" s="218"/>
      <c r="L21" s="208"/>
      <c r="M21" s="220">
        <v>18545.39626237359</v>
      </c>
      <c r="N21" s="214">
        <v>130</v>
      </c>
      <c r="O21" s="221">
        <f t="shared" si="39"/>
        <v>0.85168295119970561</v>
      </c>
      <c r="P21" s="219">
        <f t="shared" si="40"/>
        <v>5.583333333333333</v>
      </c>
      <c r="Q21" s="208">
        <f>COUNTIFS('Daily KPI'!$D:$D,D21,'Daily KPI'!$K:$K,"&gt;0")</f>
        <v>0</v>
      </c>
      <c r="R21" s="220">
        <f t="shared" si="41"/>
        <v>0</v>
      </c>
      <c r="S21" s="220">
        <f>SUMIF($F$2:F21,F21,$R$2:R21)</f>
        <v>633.85161290322583</v>
      </c>
      <c r="T21" s="219">
        <f t="shared" si="42"/>
        <v>618.17987541245304</v>
      </c>
      <c r="U21" s="220">
        <f t="shared" si="43"/>
        <v>0</v>
      </c>
      <c r="V21" s="220">
        <f>SUMIF($F$2:F21,F21,$U$2:U21)</f>
        <v>66323.861310265522</v>
      </c>
      <c r="W21" s="221">
        <f t="shared" si="44"/>
        <v>0.19813457545270932</v>
      </c>
      <c r="X21" s="221" t="str">
        <f t="shared" si="8"/>
        <v/>
      </c>
      <c r="Y21" s="221">
        <f t="shared" si="45"/>
        <v>0.200543847696739</v>
      </c>
      <c r="Z21" s="219">
        <f>IFERROR(AVERAGEIF('Daily KPI'!D:D,Table14[[#This Row],[Month]],'Daily KPI'!AB:AB),0)</f>
        <v>0</v>
      </c>
      <c r="AA21" s="212">
        <f>IFERROR(AVERAGEIF($F$2:F21,F21,$Z$2:Z21),"")</f>
        <v>50.321274193548376</v>
      </c>
      <c r="AB21" s="220"/>
      <c r="AC21" s="219"/>
      <c r="AD21" s="219"/>
      <c r="AE21" s="215">
        <v>0.995</v>
      </c>
      <c r="AF21" s="215">
        <v>0.995</v>
      </c>
      <c r="AG21" s="221"/>
      <c r="AH21" s="221"/>
      <c r="AI21" s="221"/>
      <c r="AJ21" s="221"/>
      <c r="AK21" s="221"/>
      <c r="AL21" s="221"/>
      <c r="AM21" s="239">
        <f>SUMIF('Daily KPI'!$D:$D,$D21,'Daily KPI'!AS:AS)</f>
        <v>0</v>
      </c>
      <c r="AN21" s="239">
        <f>SUMIF($F$2:F21,F21,$AM$2:AM21)</f>
        <v>58253918.009610638</v>
      </c>
    </row>
    <row r="22" spans="1:40">
      <c r="A22" s="208">
        <f t="shared" si="10"/>
        <v>21</v>
      </c>
      <c r="B22" s="216" t="str">
        <f t="shared" si="18"/>
        <v>December</v>
      </c>
      <c r="C22" s="208">
        <f t="shared" si="35"/>
        <v>2</v>
      </c>
      <c r="D22" s="216">
        <v>45992</v>
      </c>
      <c r="E22" s="217">
        <f t="shared" si="36"/>
        <v>2025</v>
      </c>
      <c r="F22" s="262" t="s">
        <v>1254</v>
      </c>
      <c r="G22" s="208">
        <f t="shared" si="37"/>
        <v>31</v>
      </c>
      <c r="H22" s="218">
        <f t="shared" ref="H22:I22" si="47">H10</f>
        <v>140.30000000000001</v>
      </c>
      <c r="I22" s="218">
        <f t="shared" si="47"/>
        <v>165.2</v>
      </c>
      <c r="J22" s="219"/>
      <c r="K22" s="218"/>
      <c r="L22" s="208"/>
      <c r="M22" s="220">
        <v>18457.393547743763</v>
      </c>
      <c r="N22" s="214">
        <v>130</v>
      </c>
      <c r="O22" s="221">
        <f t="shared" si="39"/>
        <v>0.85944279883329133</v>
      </c>
      <c r="P22" s="219">
        <f t="shared" si="40"/>
        <v>5.3290322580645162</v>
      </c>
      <c r="Q22" s="208">
        <f>COUNTIFS('Daily KPI'!$D:$D,D22,'Daily KPI'!$K:$K,"&gt;0")</f>
        <v>0</v>
      </c>
      <c r="R22" s="220">
        <f t="shared" si="41"/>
        <v>0</v>
      </c>
      <c r="S22" s="220">
        <f>SUMIF($F$2:F22,F22,$R$2:R22)</f>
        <v>633.85161290322583</v>
      </c>
      <c r="T22" s="219">
        <f t="shared" si="42"/>
        <v>595.39979186270205</v>
      </c>
      <c r="U22" s="220">
        <f t="shared" si="43"/>
        <v>0</v>
      </c>
      <c r="V22" s="220">
        <f>SUMIF($F$2:F22,F22,$U$2:U22)</f>
        <v>66323.861310265522</v>
      </c>
      <c r="W22" s="221">
        <f t="shared" si="44"/>
        <v>0.19083326662266092</v>
      </c>
      <c r="X22" s="221" t="str">
        <f t="shared" si="8"/>
        <v/>
      </c>
      <c r="Y22" s="221">
        <f t="shared" si="45"/>
        <v>0.200543847696739</v>
      </c>
      <c r="Z22" s="219">
        <f>IFERROR(AVERAGEIF('Daily KPI'!D:D,Table14[[#This Row],[Month]],'Daily KPI'!AB:AB),0)</f>
        <v>0</v>
      </c>
      <c r="AA22" s="212">
        <f>IFERROR(AVERAGEIF($F$2:F22,F22,$Z$2:Z22),"")</f>
        <v>44.730021505376335</v>
      </c>
      <c r="AB22" s="220"/>
      <c r="AC22" s="219"/>
      <c r="AD22" s="219"/>
      <c r="AE22" s="215">
        <v>0.995</v>
      </c>
      <c r="AF22" s="215">
        <v>0.995</v>
      </c>
      <c r="AG22" s="221"/>
      <c r="AH22" s="221"/>
      <c r="AI22" s="221"/>
      <c r="AJ22" s="221"/>
      <c r="AK22" s="221"/>
      <c r="AL22" s="221"/>
      <c r="AM22" s="239">
        <f>SUMIF('Daily KPI'!$D:$D,$D22,'Daily KPI'!AS:AS)</f>
        <v>0</v>
      </c>
      <c r="AN22" s="239">
        <f>SUMIF($F$2:F22,F22,$AM$2:AM22)</f>
        <v>58253918.009610638</v>
      </c>
    </row>
    <row r="23" spans="1:40">
      <c r="A23" s="208">
        <f t="shared" si="10"/>
        <v>22</v>
      </c>
      <c r="B23" s="216" t="str">
        <f t="shared" si="18"/>
        <v>January</v>
      </c>
      <c r="C23" s="208">
        <f t="shared" si="35"/>
        <v>3</v>
      </c>
      <c r="D23" s="216">
        <v>46023</v>
      </c>
      <c r="E23" s="217">
        <f t="shared" si="36"/>
        <v>2026</v>
      </c>
      <c r="F23" s="262" t="s">
        <v>1254</v>
      </c>
      <c r="G23" s="208">
        <f t="shared" si="37"/>
        <v>31</v>
      </c>
      <c r="H23" s="218">
        <f t="shared" ref="H23:I23" si="48">H11</f>
        <v>147.30000000000001</v>
      </c>
      <c r="I23" s="218">
        <f t="shared" si="48"/>
        <v>171</v>
      </c>
      <c r="J23" s="219"/>
      <c r="K23" s="218"/>
      <c r="L23" s="208"/>
      <c r="M23" s="220">
        <v>19032.124258899839</v>
      </c>
      <c r="N23" s="214">
        <v>130</v>
      </c>
      <c r="O23" s="221">
        <f t="shared" si="39"/>
        <v>0.85614594057129279</v>
      </c>
      <c r="P23" s="219">
        <f t="shared" si="40"/>
        <v>5.5161290322580649</v>
      </c>
      <c r="Q23" s="208">
        <f>COUNTIFS('Daily KPI'!$D:$D,D23,'Daily KPI'!$K:$K,"&gt;0")</f>
        <v>0</v>
      </c>
      <c r="R23" s="220">
        <f t="shared" si="41"/>
        <v>0</v>
      </c>
      <c r="S23" s="220">
        <f>SUMIF($F$2:F23,F23,$R$2:R23)</f>
        <v>633.85161290322583</v>
      </c>
      <c r="T23" s="219">
        <f t="shared" si="42"/>
        <v>613.9394922225755</v>
      </c>
      <c r="U23" s="220">
        <f t="shared" si="43"/>
        <v>0</v>
      </c>
      <c r="V23" s="220">
        <f>SUMIF($F$2:F23,F23,$U$2:U23)</f>
        <v>66323.861310265522</v>
      </c>
      <c r="W23" s="221">
        <f t="shared" si="44"/>
        <v>0.19677547827646649</v>
      </c>
      <c r="X23" s="221" t="str">
        <f t="shared" si="8"/>
        <v/>
      </c>
      <c r="Y23" s="221">
        <f t="shared" si="45"/>
        <v>0.200543847696739</v>
      </c>
      <c r="Z23" s="219">
        <f>IFERROR(AVERAGEIF('Daily KPI'!D:D,Table14[[#This Row],[Month]],'Daily KPI'!AB:AB),0)</f>
        <v>0</v>
      </c>
      <c r="AA23" s="212">
        <f>IFERROR(AVERAGEIF($F$2:F23,F23,$Z$2:Z23),"")</f>
        <v>40.257019354838704</v>
      </c>
      <c r="AB23" s="220"/>
      <c r="AC23" s="219"/>
      <c r="AD23" s="219"/>
      <c r="AE23" s="215">
        <v>0.995</v>
      </c>
      <c r="AF23" s="215">
        <v>0.995</v>
      </c>
      <c r="AG23" s="221"/>
      <c r="AH23" s="221"/>
      <c r="AI23" s="221"/>
      <c r="AJ23" s="221"/>
      <c r="AK23" s="221"/>
      <c r="AL23" s="221"/>
      <c r="AM23" s="239">
        <f>SUMIF('Daily KPI'!$D:$D,$D23,'Daily KPI'!AS:AS)</f>
        <v>0</v>
      </c>
      <c r="AN23" s="239">
        <f>SUMIF($F$2:F23,F23,$AM$2:AM23)</f>
        <v>58253918.009610638</v>
      </c>
    </row>
    <row r="24" spans="1:40">
      <c r="A24" s="208">
        <f t="shared" si="10"/>
        <v>23</v>
      </c>
      <c r="B24" s="216" t="str">
        <f t="shared" si="18"/>
        <v>February</v>
      </c>
      <c r="C24" s="208">
        <f t="shared" si="35"/>
        <v>4</v>
      </c>
      <c r="D24" s="216">
        <v>46054</v>
      </c>
      <c r="E24" s="217">
        <f t="shared" si="36"/>
        <v>2026</v>
      </c>
      <c r="F24" s="262" t="s">
        <v>1254</v>
      </c>
      <c r="G24" s="208">
        <f t="shared" si="37"/>
        <v>28</v>
      </c>
      <c r="H24" s="218">
        <f t="shared" ref="H24:I24" si="49">H12</f>
        <v>157.69999999999999</v>
      </c>
      <c r="I24" s="218">
        <f t="shared" si="49"/>
        <v>176.7</v>
      </c>
      <c r="J24" s="219"/>
      <c r="K24" s="218"/>
      <c r="L24" s="208"/>
      <c r="M24" s="220">
        <v>19102.934485482692</v>
      </c>
      <c r="N24" s="214">
        <v>130</v>
      </c>
      <c r="O24" s="221">
        <f t="shared" si="39"/>
        <v>0.8316109218354748</v>
      </c>
      <c r="P24" s="219">
        <f t="shared" si="40"/>
        <v>6.3107142857142851</v>
      </c>
      <c r="Q24" s="208">
        <f>COUNTIFS('Daily KPI'!$D:$D,D24,'Daily KPI'!$K:$K,"&gt;0")</f>
        <v>0</v>
      </c>
      <c r="R24" s="220">
        <f t="shared" si="41"/>
        <v>0</v>
      </c>
      <c r="S24" s="220">
        <f>SUMIF($F$2:F24,F24,$R$2:R24)</f>
        <v>633.85161290322583</v>
      </c>
      <c r="T24" s="219">
        <f t="shared" si="42"/>
        <v>682.24766019581045</v>
      </c>
      <c r="U24" s="220">
        <f t="shared" si="43"/>
        <v>0</v>
      </c>
      <c r="V24" s="220">
        <f>SUMIF($F$2:F24,F24,$U$2:U24)</f>
        <v>66323.861310265522</v>
      </c>
      <c r="W24" s="221">
        <f t="shared" si="44"/>
        <v>0.21866912185763154</v>
      </c>
      <c r="X24" s="221" t="str">
        <f t="shared" si="8"/>
        <v/>
      </c>
      <c r="Y24" s="221">
        <f t="shared" si="45"/>
        <v>0.200543847696739</v>
      </c>
      <c r="Z24" s="219">
        <f>IFERROR(AVERAGEIF('Daily KPI'!D:D,Table14[[#This Row],[Month]],'Daily KPI'!AB:AB),0)</f>
        <v>0</v>
      </c>
      <c r="AA24" s="212">
        <f>IFERROR(AVERAGEIF($F$2:F24,F24,$Z$2:Z24),"")</f>
        <v>36.597290322580641</v>
      </c>
      <c r="AB24" s="220"/>
      <c r="AC24" s="219"/>
      <c r="AD24" s="219"/>
      <c r="AE24" s="215">
        <v>0.995</v>
      </c>
      <c r="AF24" s="215">
        <v>0.995</v>
      </c>
      <c r="AG24" s="221"/>
      <c r="AH24" s="221"/>
      <c r="AI24" s="221"/>
      <c r="AJ24" s="221"/>
      <c r="AK24" s="221"/>
      <c r="AL24" s="221"/>
      <c r="AM24" s="239">
        <f>SUMIF('Daily KPI'!$D:$D,$D24,'Daily KPI'!AS:AS)</f>
        <v>0</v>
      </c>
      <c r="AN24" s="239">
        <f>SUMIF($F$2:F24,F24,$AM$2:AM24)</f>
        <v>58253918.009610638</v>
      </c>
    </row>
    <row r="25" spans="1:40">
      <c r="A25" s="208">
        <f t="shared" si="10"/>
        <v>24</v>
      </c>
      <c r="B25" s="216" t="str">
        <f t="shared" si="18"/>
        <v>March</v>
      </c>
      <c r="C25" s="208">
        <f t="shared" si="35"/>
        <v>5</v>
      </c>
      <c r="D25" s="216">
        <v>46082</v>
      </c>
      <c r="E25" s="217">
        <f t="shared" si="36"/>
        <v>2026</v>
      </c>
      <c r="F25" s="262" t="s">
        <v>1254</v>
      </c>
      <c r="G25" s="208">
        <f t="shared" si="37"/>
        <v>31</v>
      </c>
      <c r="H25" s="218">
        <f t="shared" ref="H25:I25" si="50">H13</f>
        <v>201.5</v>
      </c>
      <c r="I25" s="218">
        <f t="shared" si="50"/>
        <v>214.6</v>
      </c>
      <c r="J25" s="219"/>
      <c r="K25" s="218"/>
      <c r="L25" s="208"/>
      <c r="M25" s="220">
        <v>22483.298594922213</v>
      </c>
      <c r="N25" s="214">
        <v>130</v>
      </c>
      <c r="O25" s="221">
        <f t="shared" si="39"/>
        <v>0.80591076761496216</v>
      </c>
      <c r="P25" s="219">
        <f t="shared" si="40"/>
        <v>6.9225806451612906</v>
      </c>
      <c r="Q25" s="208">
        <f>COUNTIFS('Daily KPI'!$D:$D,D25,'Daily KPI'!$K:$K,"&gt;0")</f>
        <v>0</v>
      </c>
      <c r="R25" s="220">
        <f t="shared" si="41"/>
        <v>0</v>
      </c>
      <c r="S25" s="220">
        <f>SUMIF($F$2:F25,F25,$R$2:R25)</f>
        <v>633.85161290322583</v>
      </c>
      <c r="T25" s="219">
        <f t="shared" si="42"/>
        <v>725.26769661039395</v>
      </c>
      <c r="U25" s="220">
        <f t="shared" si="43"/>
        <v>0</v>
      </c>
      <c r="V25" s="220">
        <f>SUMIF($F$2:F25,F25,$U$2:U25)</f>
        <v>66323.861310265522</v>
      </c>
      <c r="W25" s="221">
        <f t="shared" si="44"/>
        <v>0.23245759506743396</v>
      </c>
      <c r="X25" s="221" t="str">
        <f t="shared" si="8"/>
        <v/>
      </c>
      <c r="Y25" s="221">
        <f t="shared" si="45"/>
        <v>0.200543847696739</v>
      </c>
      <c r="Z25" s="219">
        <f>IFERROR(AVERAGEIF('Daily KPI'!D:D,Table14[[#This Row],[Month]],'Daily KPI'!AB:AB),0)</f>
        <v>0</v>
      </c>
      <c r="AA25" s="212">
        <f>IFERROR(AVERAGEIF($F$2:F25,F25,$Z$2:Z25),"")</f>
        <v>33.547516129032253</v>
      </c>
      <c r="AB25" s="220"/>
      <c r="AC25" s="219"/>
      <c r="AD25" s="219"/>
      <c r="AE25" s="215">
        <v>0.995</v>
      </c>
      <c r="AF25" s="215">
        <v>0.995</v>
      </c>
      <c r="AG25" s="221"/>
      <c r="AH25" s="221"/>
      <c r="AI25" s="221"/>
      <c r="AJ25" s="221"/>
      <c r="AK25" s="221"/>
      <c r="AL25" s="221"/>
      <c r="AM25" s="239">
        <f>SUMIF('Daily KPI'!$D:$D,$D25,'Daily KPI'!AS:AS)</f>
        <v>0</v>
      </c>
      <c r="AN25" s="239">
        <f>SUMIF($F$2:F25,F25,$AM$2:AM25)</f>
        <v>58253918.009610638</v>
      </c>
    </row>
    <row r="26" spans="1:40">
      <c r="A26" s="208"/>
      <c r="B26" s="222"/>
      <c r="C26" s="208"/>
      <c r="D26" s="222"/>
      <c r="E26" s="208"/>
      <c r="F26" s="208"/>
      <c r="G26" s="208"/>
      <c r="H26" s="218"/>
      <c r="I26" s="218"/>
      <c r="J26" s="219"/>
      <c r="K26" s="218"/>
      <c r="L26" s="208"/>
      <c r="M26" s="220"/>
      <c r="N26" s="220"/>
      <c r="O26" s="223"/>
      <c r="P26" s="219"/>
      <c r="Q26" s="208"/>
      <c r="R26" s="220"/>
      <c r="S26" s="220"/>
      <c r="T26" s="219"/>
      <c r="U26" s="220"/>
      <c r="V26" s="220"/>
      <c r="W26" s="223"/>
      <c r="X26" s="223"/>
      <c r="Y26" s="223"/>
      <c r="Z26" s="219"/>
      <c r="AA26" s="218"/>
      <c r="AB26" s="220"/>
      <c r="AC26" s="219"/>
      <c r="AD26" s="219"/>
      <c r="AE26" s="223"/>
      <c r="AF26" s="223"/>
      <c r="AG26" s="223"/>
      <c r="AH26" s="223"/>
      <c r="AI26" s="223"/>
      <c r="AJ26" s="223"/>
      <c r="AK26" s="223"/>
      <c r="AL26" s="223"/>
      <c r="AM26" s="261"/>
      <c r="AN26" s="261"/>
    </row>
    <row r="27" spans="1:40">
      <c r="AM27" s="240"/>
      <c r="AN27" s="240"/>
    </row>
    <row r="28" spans="1:40">
      <c r="AM28" s="240"/>
      <c r="AN28" s="240"/>
    </row>
    <row r="29" spans="1:40">
      <c r="AM29" s="240"/>
      <c r="AN29" s="240"/>
    </row>
    <row r="30" spans="1:40">
      <c r="AM30" s="240"/>
      <c r="AN30" s="240"/>
    </row>
    <row r="31" spans="1:40">
      <c r="AM31" s="240"/>
      <c r="AN31" s="240"/>
    </row>
    <row r="32" spans="1:40">
      <c r="AM32" s="240"/>
      <c r="AN32" s="240"/>
    </row>
    <row r="33" spans="39:40">
      <c r="AM33" s="240"/>
      <c r="AN33" s="240"/>
    </row>
    <row r="34" spans="39:40">
      <c r="AM34" s="240"/>
      <c r="AN34" s="240"/>
    </row>
    <row r="35" spans="39:40">
      <c r="AM35" s="240"/>
      <c r="AN35" s="240"/>
    </row>
    <row r="36" spans="39:40">
      <c r="AM36" s="240"/>
      <c r="AN36" s="240"/>
    </row>
    <row r="37" spans="39:40">
      <c r="AM37" s="240"/>
      <c r="AN37" s="240"/>
    </row>
  </sheetData>
  <phoneticPr fontId="100" type="noConversion"/>
  <pageMargins left="0.7" right="0.7" top="0.75" bottom="0.75" header="0.3" footer="0.3"/>
  <ignoredErrors>
    <ignoredError sqref="AE2 AE3:AE2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H5" sqref="H5"/>
    </sheetView>
  </sheetViews>
  <sheetFormatPr defaultColWidth="8.85546875" defaultRowHeight="15"/>
  <cols>
    <col min="1" max="1" width="11" customWidth="1"/>
    <col min="2" max="2" width="10.140625" customWidth="1"/>
    <col min="3" max="3" width="14.140625" customWidth="1"/>
    <col min="4" max="5" width="13.140625" customWidth="1"/>
    <col min="6" max="6" width="14" customWidth="1"/>
    <col min="7" max="7" width="9.85546875" customWidth="1"/>
    <col min="8" max="8" width="10.140625" customWidth="1"/>
    <col min="10" max="10" width="9.140625" customWidth="1"/>
    <col min="11" max="11" width="9" customWidth="1"/>
    <col min="12" max="12" width="9.140625" customWidth="1"/>
    <col min="13" max="13" width="9.85546875" customWidth="1"/>
    <col min="14" max="14" width="10.140625" customWidth="1"/>
  </cols>
  <sheetData>
    <row r="1" spans="1:14">
      <c r="A1" s="63" t="s">
        <v>44</v>
      </c>
      <c r="B1" s="64">
        <f>O2Summary!B5</f>
        <v>45853</v>
      </c>
      <c r="C1" s="79">
        <f>O2Summary!B4</f>
        <v>45839</v>
      </c>
    </row>
    <row r="2" spans="1:14" ht="21">
      <c r="A2" s="352" t="s">
        <v>45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1:14" ht="47.25">
      <c r="A3" s="77" t="s">
        <v>46</v>
      </c>
      <c r="B3" s="77" t="s">
        <v>47</v>
      </c>
      <c r="C3" s="67" t="s">
        <v>48</v>
      </c>
      <c r="D3" s="67" t="s">
        <v>49</v>
      </c>
      <c r="E3" s="67" t="s">
        <v>50</v>
      </c>
      <c r="F3" s="67" t="s">
        <v>51</v>
      </c>
      <c r="G3" s="67" t="s">
        <v>52</v>
      </c>
      <c r="H3" s="67" t="s">
        <v>53</v>
      </c>
      <c r="I3" s="67" t="s">
        <v>54</v>
      </c>
      <c r="J3" s="67" t="s">
        <v>55</v>
      </c>
      <c r="K3" s="67" t="s">
        <v>56</v>
      </c>
      <c r="L3" s="67" t="s">
        <v>57</v>
      </c>
      <c r="M3" s="67" t="s">
        <v>58</v>
      </c>
      <c r="N3" s="67" t="s">
        <v>59</v>
      </c>
    </row>
    <row r="4" spans="1:14">
      <c r="A4" s="129">
        <f>YEAR(B1)+IF(MONTH(B1)&gt;=4,1,0)</f>
        <v>2026</v>
      </c>
      <c r="B4" s="69">
        <f>B1-(O2Summary!B7)+1</f>
        <v>106</v>
      </c>
      <c r="C4" s="70">
        <f>_xlfn.XLOOKUP($C$1,'Modelling New'!$D:$D,'Modelling New'!$S:$S)</f>
        <v>633.85161290322583</v>
      </c>
      <c r="D4" s="71">
        <f>SUMIFS('Daily KPI'!$I:$I,'Daily KPI'!$A:$A,"&gt;="&amp;O2Summary!$B$7,'Daily KPI'!$A:$A,"&lt;="&amp;AnnualKPI!$B$1)</f>
        <v>567.88133922499981</v>
      </c>
      <c r="E4" s="69">
        <f>_xlfn.XLOOKUP($C$1,'Modelling New'!$D:$D,'Modelling New'!$V:$V,0)</f>
        <v>66323.861310265522</v>
      </c>
      <c r="F4" s="72">
        <f>SUMIFS('Daily KPI'!$AA:$AA,'Daily KPI'!$A:$A,"&gt;="&amp;O2Summary!$B$7,'Daily KPI'!$A:$A,"&lt;="&amp;AnnualKPI!$B$1)/1000</f>
        <v>51711.551999999974</v>
      </c>
      <c r="G4" s="73">
        <f>_xlfn.XLOOKUP($C$1,'Modelling New'!$D:$D,'Modelling New'!$Y:$Y,0)</f>
        <v>0.200543847696739</v>
      </c>
      <c r="H4" s="74">
        <f>F4/(24*B4)/(_xlfn.XLOOKUP($B$1,'Daily KPI'!$A:$A,'Daily KPI'!$AR:$AR))</f>
        <v>0.15636052249637147</v>
      </c>
      <c r="I4" s="73">
        <f>_xlfn.XLOOKUP($C$1,'Modelling New'!$D:$D,'Modelling New'!$AF:$AF,0)</f>
        <v>0.995</v>
      </c>
      <c r="J4" s="75">
        <f>AVERAGEIFS('Daily KPI'!$R:$R,'Daily KPI'!$D:$D,"&gt;="&amp;O2Summary!$B$7,'Daily KPI'!$A:$A,"&lt;="&amp;AnnualKPI!$B$1)</f>
        <v>0.9886772075148974</v>
      </c>
      <c r="K4" s="73">
        <f>_xlfn.XLOOKUP($C$1,'Modelling New'!$D:$D,'Modelling New'!$AE:$AE,0)</f>
        <v>0.995</v>
      </c>
      <c r="L4" s="75">
        <f>AVERAGEIFS('Daily KPI'!$O:$O,'Daily KPI'!$A:$A,"&gt;="&amp;O2Summary!$B$7,'Daily KPI'!$A:$A,"&lt;="&amp;AnnualKPI!$B$1)</f>
        <v>0.98632183007452234</v>
      </c>
      <c r="M4" s="76">
        <f>_xlfn.XLOOKUP($C$1,'Modelling New'!$D:$D,'Modelling New'!$O:$O)</f>
        <v>0.85307603301688106</v>
      </c>
      <c r="N4" s="74">
        <f>F4/D4/(_xlfn.XLOOKUP($C$1,'Daily KPI'!$A:$A,'Daily KPI'!$AB:$AB))</f>
        <v>0.71096571063782577</v>
      </c>
    </row>
  </sheetData>
  <sheetProtection algorithmName="SHA-512" hashValue="97DYhZv+gXniSyi7F0yh4mE7WsJrmNScNhKBA1k6P5OxAEoN9z+zWqXG8wT+u8f/gsQupdOVRswrOt+2NruAQg==" saltValue="tXF4pwdMChy1Uoe8gPhySg==" spinCount="100000" sheet="1" objects="1" scenarios="1"/>
  <mergeCells count="1">
    <mergeCell ref="A2:N2"/>
  </mergeCells>
  <pageMargins left="0.7" right="0.7" top="0.75" bottom="0.75" header="0.3" footer="0.3"/>
  <pageSetup orientation="portrait"/>
  <headerFooter>
    <oddFooter>&amp;C&amp;1#&amp;"Calibri"&amp;8&amp;K000000Classification: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E16" sqref="E16"/>
    </sheetView>
  </sheetViews>
  <sheetFormatPr defaultColWidth="8.85546875" defaultRowHeight="29.25" customHeight="1"/>
  <cols>
    <col min="1" max="1" width="18.140625" style="5" customWidth="1"/>
    <col min="2" max="2" width="9.85546875" bestFit="1" customWidth="1"/>
    <col min="3" max="3" width="12.140625" customWidth="1"/>
    <col min="4" max="4" width="12" customWidth="1"/>
    <col min="5" max="6" width="14.85546875" customWidth="1"/>
    <col min="7" max="12" width="12.140625" customWidth="1"/>
    <col min="13" max="13" width="11.140625" customWidth="1"/>
    <col min="14" max="14" width="13.85546875" customWidth="1"/>
    <col min="15" max="20" width="11.140625" customWidth="1"/>
  </cols>
  <sheetData>
    <row r="1" spans="1:15" ht="29.25" customHeight="1">
      <c r="A1" s="128" t="s">
        <v>44</v>
      </c>
      <c r="B1" s="64">
        <f>O2Summary!B5</f>
        <v>45853</v>
      </c>
      <c r="C1" s="65">
        <v>0</v>
      </c>
      <c r="D1" s="65">
        <v>0</v>
      </c>
      <c r="E1" s="65">
        <v>0</v>
      </c>
      <c r="F1" s="65">
        <v>0</v>
      </c>
    </row>
    <row r="2" spans="1:15" ht="29.25" customHeight="1">
      <c r="A2" s="352" t="s">
        <v>0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</row>
    <row r="3" spans="1:15" ht="29.25" customHeight="1">
      <c r="A3" s="77" t="s">
        <v>60</v>
      </c>
      <c r="B3" s="66" t="s">
        <v>47</v>
      </c>
      <c r="C3" s="67" t="s">
        <v>61</v>
      </c>
      <c r="D3" s="67" t="s">
        <v>62</v>
      </c>
      <c r="E3" s="67" t="s">
        <v>50</v>
      </c>
      <c r="F3" s="67" t="s">
        <v>51</v>
      </c>
      <c r="G3" s="67" t="s">
        <v>52</v>
      </c>
      <c r="H3" s="67" t="s">
        <v>53</v>
      </c>
      <c r="I3" s="67" t="s">
        <v>54</v>
      </c>
      <c r="J3" s="67" t="s">
        <v>55</v>
      </c>
      <c r="K3" s="67" t="s">
        <v>56</v>
      </c>
      <c r="L3" s="67" t="s">
        <v>57</v>
      </c>
      <c r="M3" s="67" t="s">
        <v>63</v>
      </c>
      <c r="N3" s="67" t="s">
        <v>64</v>
      </c>
      <c r="O3" s="67" t="s">
        <v>65</v>
      </c>
    </row>
    <row r="4" spans="1:15" ht="29.25" customHeight="1">
      <c r="A4" s="68">
        <f>O2Summary!$B$4</f>
        <v>45839</v>
      </c>
      <c r="B4" s="69">
        <f>DAY(B1)</f>
        <v>15</v>
      </c>
      <c r="C4" s="70">
        <f>_xlfn.XLOOKUP($A$4,'Modelling New'!$D:$D,'Modelling New'!$R:$R,0)</f>
        <v>56.951612903225808</v>
      </c>
      <c r="D4" s="71">
        <f>SUMIF('Daily KPI'!$D:$D,$A$4,'Daily KPI'!$I:$I)</f>
        <v>55.740608699999996</v>
      </c>
      <c r="E4" s="69">
        <f>_xlfn.XLOOKUP($A$4,'Modelling New'!$D:$D,'Modelling New'!$U:$U,0)</f>
        <v>6315.9272812215959</v>
      </c>
      <c r="F4" s="72">
        <f>SUMIFS('Daily KPI'!$AA:$AA,'Daily KPI'!$D:$D,"&gt;="&amp;$A$4,'Daily KPI'!$D:$D,"&lt;="&amp;MonthlyKPI!$B$1)/1000</f>
        <v>5811.4080000000013</v>
      </c>
      <c r="G4" s="73">
        <f>_xlfn.XLOOKUP($A$4,'Modelling New'!$D:$D,'Modelling New'!$X:$X,0)</f>
        <v>0.13495571113721358</v>
      </c>
      <c r="H4" s="75">
        <f>F4/(24*B4)/(_xlfn.XLOOKUP($B$1,'Daily KPI'!$A:$A,'Daily KPI'!$AR:$AR))</f>
        <v>0.12417538461538465</v>
      </c>
      <c r="I4" s="73">
        <f>_xlfn.XLOOKUP($A$4,'Modelling New'!$D:$D,'Modelling New'!$AF:$AF,0)</f>
        <v>0.995</v>
      </c>
      <c r="J4" s="74">
        <f>AVERAGEIF('Daily KPI'!$D:$D,$A$4,'Daily KPI'!$R:$R)</f>
        <v>1</v>
      </c>
      <c r="K4" s="73">
        <f>_xlfn.XLOOKUP($A$4,'Modelling New'!$D:$D,'Modelling New'!$AE:$AE,0)</f>
        <v>0.995</v>
      </c>
      <c r="L4" s="74">
        <f>AVERAGEIF('Daily KPI'!$D:$D,$A$4,'Daily KPI'!$O:$O)</f>
        <v>0.99314934985136449</v>
      </c>
      <c r="M4" s="76">
        <f>_xlfn.XLOOKUP($A$4,'Modelling New'!$D:$D,'Modelling New'!$O:$O,0)</f>
        <v>0.85307603301688106</v>
      </c>
      <c r="N4" s="74">
        <f>F4/D4/_xlfn.XLOOKUP($B$1,'Daily KPI'!$A:$A,'Daily KPI'!$AB:$AB)</f>
        <v>0.81400737750298946</v>
      </c>
      <c r="O4" s="74" t="str">
        <f>IFERROR(AVERAGEIF('Daily KPI'!$D:$D,$A$4,'Daily KPI'!$V:$V),"")</f>
        <v/>
      </c>
    </row>
    <row r="6" spans="1:15" ht="29.25" customHeight="1">
      <c r="A6" s="128" t="s">
        <v>66</v>
      </c>
      <c r="B6" s="64">
        <f>B7-6</f>
        <v>45847</v>
      </c>
      <c r="D6" s="27"/>
      <c r="F6" s="27"/>
    </row>
    <row r="7" spans="1:15" ht="29.25" customHeight="1">
      <c r="A7" s="128" t="s">
        <v>67</v>
      </c>
      <c r="B7" s="64">
        <f>B1</f>
        <v>45853</v>
      </c>
    </row>
    <row r="8" spans="1:15" ht="29.25" customHeight="1">
      <c r="A8" s="352" t="s">
        <v>0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</row>
    <row r="9" spans="1:15" ht="29.25" customHeight="1">
      <c r="A9" s="77" t="s">
        <v>60</v>
      </c>
      <c r="B9" s="66" t="s">
        <v>47</v>
      </c>
      <c r="C9" s="67" t="s">
        <v>61</v>
      </c>
      <c r="D9" s="67" t="s">
        <v>62</v>
      </c>
      <c r="E9" s="67" t="s">
        <v>50</v>
      </c>
      <c r="F9" s="67" t="s">
        <v>51</v>
      </c>
      <c r="G9" s="67" t="s">
        <v>52</v>
      </c>
      <c r="H9" s="67" t="s">
        <v>53</v>
      </c>
      <c r="I9" s="67" t="s">
        <v>54</v>
      </c>
      <c r="J9" s="67" t="s">
        <v>55</v>
      </c>
      <c r="K9" s="67" t="s">
        <v>56</v>
      </c>
      <c r="L9" s="67" t="s">
        <v>57</v>
      </c>
      <c r="M9" s="67" t="s">
        <v>63</v>
      </c>
      <c r="N9" s="67" t="s">
        <v>64</v>
      </c>
      <c r="O9" s="67" t="s">
        <v>65</v>
      </c>
    </row>
    <row r="10" spans="1:15" s="44" customFormat="1" ht="29.25" customHeight="1">
      <c r="A10" s="68">
        <f>A4</f>
        <v>45839</v>
      </c>
      <c r="B10" s="69">
        <f>(B7-B6)+1</f>
        <v>7</v>
      </c>
      <c r="C10" s="70">
        <f>SUMIFS('Daily KPI'!$AC:$AC,'Daily KPI'!$A:$A,"&gt;="&amp;$B$6,'Daily KPI'!$A:$A,"&lt;="&amp;$B$7)</f>
        <v>26.57741935483871</v>
      </c>
      <c r="D10" s="71">
        <f>SUMIFS('Daily KPI'!$I:$I,'Daily KPI'!$A:$A,"&gt;="&amp;B6,'Daily KPI'!$A:$A,"&lt;="&amp;B7)</f>
        <v>30.716482124999992</v>
      </c>
      <c r="E10" s="69">
        <f>SUMIFS('Daily KPI'!$AD:$AD,'Daily KPI'!$A:$A,"&gt;="&amp;B6,'Daily KPI'!$A:$A,"&lt;="&amp;B7)/1000</f>
        <v>2947.4327312367445</v>
      </c>
      <c r="F10" s="72">
        <f>SUMIFS('Daily KPI'!$AA:$AA,'Daily KPI'!$A:$A,"&gt;="&amp;B6,'Daily KPI'!$A:$A,"&lt;="&amp;B7)/1000</f>
        <v>3176.9279999999958</v>
      </c>
      <c r="G10" s="73">
        <f>E10/(24*B10*_xlfn.XLOOKUP($A$10,'Modelling New'!$D:$D,'Modelling New'!$N:$N))</f>
        <v>0.13495571113721358</v>
      </c>
      <c r="H10" s="75">
        <f>F10/(24*B10*AVERAGEIFS('Daily KPI'!$AR:$AR,'Daily KPI'!$A:$A,"&gt;="&amp;B6,'Daily KPI'!$A:$A,"&lt;="&amp;B7))</f>
        <v>0.14546373626373607</v>
      </c>
      <c r="I10" s="73">
        <f>_xlfn.XLOOKUP($A$10,'Modelling New'!$D:$D,'Modelling New'!$AF:$AF,0)</f>
        <v>0.995</v>
      </c>
      <c r="J10" s="74">
        <f>AVERAGEIFS('Daily KPI'!$R:$R,'Daily KPI'!$A:$A,"&gt;="&amp;B6,'Daily KPI'!$A:$A,"&lt;="&amp;B7)</f>
        <v>1</v>
      </c>
      <c r="K10" s="73">
        <f>_xlfn.XLOOKUP($A$10,'Modelling New'!$D:$D,'Modelling New'!$AE:$AE,0)</f>
        <v>0.995</v>
      </c>
      <c r="L10" s="74">
        <f>AVERAGEIFS('Daily KPI'!$O:$O,'Daily KPI'!$A:$A,"&gt;="&amp;B6,'Daily KPI'!$A:$A,"&lt;="&amp;B7)</f>
        <v>0.99967997074560322</v>
      </c>
      <c r="M10" s="76">
        <f>E10/C10/_xlfn.XLOOKUP($A$10,'Modelling New'!$D:$D,'Modelling New'!$N:$N)</f>
        <v>0.85307603301688106</v>
      </c>
      <c r="N10" s="74">
        <f>F10/D10/AVERAGEIFS('Daily KPI'!$AB:$AB,'Daily KPI'!$A:$A,"&gt;="&amp;B6,'Daily KPI'!$A:$A,"&lt;="&amp;B7)</f>
        <v>0.80752239935773862</v>
      </c>
      <c r="O10" s="74" t="str">
        <f>IFERROR(AVERAGEIFS(#REF!,#REF!,"&gt;="&amp;B6,#REF!,"&lt;="&amp;B7),"")</f>
        <v/>
      </c>
    </row>
  </sheetData>
  <sheetProtection algorithmName="SHA-512" hashValue="a0fy0JIrWToJIjy7gEjx5yNXS1bgzmvhmSN0Zu/baMOPMsiJEhtfvqmeli5aczqE+xFrD7wuJLx6mVCXDaw6cA==" saltValue="6dYb+vruGcaWgeiolr8eVg==" spinCount="100000" sheet="1" objects="1" scenarios="1"/>
  <mergeCells count="2">
    <mergeCell ref="A8:O8"/>
    <mergeCell ref="A2:O2"/>
  </mergeCells>
  <pageMargins left="0.7" right="0.7" top="0.75" bottom="0.75" header="0.3" footer="0.3"/>
  <pageSetup paperSize="9" orientation="portrait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A422-8541-4840-81BA-DD8F8AEEF690}">
  <dimension ref="A1:AS1116"/>
  <sheetViews>
    <sheetView zoomScale="85" workbookViewId="0">
      <pane xSplit="1" ySplit="1" topLeftCell="R47" activePane="bottomRight" state="frozen"/>
      <selection pane="topRight" activeCell="AB39" sqref="AB39"/>
      <selection pane="bottomLeft" activeCell="AB39" sqref="AB39"/>
      <selection pane="bottomRight" activeCell="W65" sqref="W65"/>
    </sheetView>
  </sheetViews>
  <sheetFormatPr defaultRowHeight="15"/>
  <cols>
    <col min="1" max="1" width="10.140625" bestFit="1" customWidth="1"/>
    <col min="2" max="5" width="9" customWidth="1"/>
    <col min="6" max="9" width="10.140625" customWidth="1"/>
    <col min="10" max="12" width="11.140625" customWidth="1"/>
    <col min="13" max="13" width="15.140625" bestFit="1" customWidth="1"/>
    <col min="14" max="36" width="11.140625" customWidth="1"/>
    <col min="37" max="39" width="11.140625" style="259" customWidth="1"/>
    <col min="40" max="40" width="11.140625" style="202" customWidth="1"/>
    <col min="41" max="43" width="11.140625" customWidth="1"/>
    <col min="44" max="45" width="11.140625" style="237" customWidth="1"/>
  </cols>
  <sheetData>
    <row r="1" spans="1:45" ht="60">
      <c r="A1" s="225" t="s">
        <v>68</v>
      </c>
      <c r="B1" s="226" t="s">
        <v>69</v>
      </c>
      <c r="C1" s="226" t="s">
        <v>70</v>
      </c>
      <c r="D1" s="226" t="s">
        <v>71</v>
      </c>
      <c r="E1" s="226" t="s">
        <v>47</v>
      </c>
      <c r="F1" s="227" t="s">
        <v>72</v>
      </c>
      <c r="G1" s="227" t="s">
        <v>73</v>
      </c>
      <c r="H1" s="227" t="s">
        <v>74</v>
      </c>
      <c r="I1" s="227" t="s">
        <v>75</v>
      </c>
      <c r="J1" s="227" t="s">
        <v>76</v>
      </c>
      <c r="K1" s="227" t="s">
        <v>77</v>
      </c>
      <c r="L1" s="227" t="s">
        <v>78</v>
      </c>
      <c r="M1" s="227" t="s">
        <v>79</v>
      </c>
      <c r="N1" s="227" t="s">
        <v>80</v>
      </c>
      <c r="O1" s="227" t="s">
        <v>81</v>
      </c>
      <c r="P1" s="227" t="s">
        <v>82</v>
      </c>
      <c r="Q1" s="227" t="s">
        <v>83</v>
      </c>
      <c r="R1" s="227" t="s">
        <v>84</v>
      </c>
      <c r="S1" s="227" t="s">
        <v>85</v>
      </c>
      <c r="T1" s="227" t="s">
        <v>86</v>
      </c>
      <c r="U1" s="227" t="s">
        <v>87</v>
      </c>
      <c r="V1" s="227" t="s">
        <v>88</v>
      </c>
      <c r="W1" s="227" t="s">
        <v>89</v>
      </c>
      <c r="X1" s="227" t="s">
        <v>90</v>
      </c>
      <c r="Y1" s="227" t="s">
        <v>91</v>
      </c>
      <c r="Z1" s="227" t="s">
        <v>92</v>
      </c>
      <c r="AA1" s="227" t="s">
        <v>93</v>
      </c>
      <c r="AB1" s="227" t="s">
        <v>94</v>
      </c>
      <c r="AC1" s="227" t="s">
        <v>95</v>
      </c>
      <c r="AD1" s="227" t="s">
        <v>96</v>
      </c>
      <c r="AE1" s="227" t="s">
        <v>97</v>
      </c>
      <c r="AF1" s="227" t="s">
        <v>98</v>
      </c>
      <c r="AG1" s="227" t="s">
        <v>99</v>
      </c>
      <c r="AH1" s="227" t="s">
        <v>100</v>
      </c>
      <c r="AI1" s="227" t="s">
        <v>101</v>
      </c>
      <c r="AJ1" s="227" t="s">
        <v>102</v>
      </c>
      <c r="AK1" s="257" t="s">
        <v>103</v>
      </c>
      <c r="AL1" s="257" t="s">
        <v>104</v>
      </c>
      <c r="AM1" s="257" t="s">
        <v>105</v>
      </c>
      <c r="AN1" s="228" t="s">
        <v>106</v>
      </c>
      <c r="AO1" s="227" t="s">
        <v>107</v>
      </c>
      <c r="AP1" s="227" t="s">
        <v>108</v>
      </c>
      <c r="AQ1" s="227" t="s">
        <v>109</v>
      </c>
      <c r="AR1" s="224" t="s">
        <v>110</v>
      </c>
      <c r="AS1" s="224" t="s">
        <v>111</v>
      </c>
    </row>
    <row r="2" spans="1:45">
      <c r="A2" s="18">
        <v>45745</v>
      </c>
      <c r="B2" s="29">
        <f>YEAR(Table13[[#This Row],[Date]])+IF(MONTH(Table13[[#This Row],[Date]])&gt;=4,1,0)</f>
        <v>2025</v>
      </c>
      <c r="C2" s="9">
        <f>YEAR(Table13[[#This Row],[Date]])</f>
        <v>2025</v>
      </c>
      <c r="D2" s="229">
        <f>Table13[[#This Row],[Date]]-DAY(Table13[[#This Row],[Date]])+1</f>
        <v>45717</v>
      </c>
      <c r="E2" s="9">
        <f t="shared" ref="E2:E39" si="0">DAY(EOMONTH(A2,0))</f>
        <v>31</v>
      </c>
      <c r="F2" s="199">
        <f>IFERROR(_xlfn.XLOOKUP($A2,Input_Raw!$A:$A,Input_Raw!$FC:$FC),"")</f>
        <v>11.549999999999999</v>
      </c>
      <c r="G2" s="200">
        <f>IFERROR(_xlfn.XLOOKUP($A2,Input_Raw!$A:$A,Input_Raw!$CY:$CY),"")</f>
        <v>6.9921496000000012</v>
      </c>
      <c r="H2" s="200" t="str">
        <f>IFERROR(_xlfn.XLOOKUP($A2,Input_Raw!$A:$A,Input_Raw!$DA:$DA),"")</f>
        <v/>
      </c>
      <c r="I2" s="200">
        <f>IFERROR(_xlfn.XLOOKUP($A2,Input_Raw!$A:$A,Input_Raw!$CX:$CX),"")</f>
        <v>5.5478074666666668</v>
      </c>
      <c r="J2" s="200">
        <f>IFERROR(_xlfn.XLOOKUP($A2,Input_Raw!$A:$A,Input_Raw!$CZ:$CZ),"")</f>
        <v>0.89155528333333256</v>
      </c>
      <c r="K2" s="201">
        <f>IFERROR(_xlfn.XLOOKUP($A2,Input_Raw!$A:$A,Input_Raw!$DB:$DB),"")</f>
        <v>29.428501118568214</v>
      </c>
      <c r="L2" s="201">
        <f>IFERROR(_xlfn.XLOOKUP($A2,Input_Raw!$A:$A,Input_Raw!$DC:$DC),"")</f>
        <v>36.839984340044779</v>
      </c>
      <c r="M2" s="200">
        <f>IFERROR(_xlfn.XLOOKUP($A2,Input_Raw!$A:$A,Input_Raw!$DF:$DF),"")</f>
        <v>0.77800000000000002</v>
      </c>
      <c r="N2" s="200">
        <f>IFERROR(_xlfn.XLOOKUP($A2,Input_Raw!$A:$A,Input_Raw!$DG:$DG),"")</f>
        <v>2.109</v>
      </c>
      <c r="O2" s="230" t="str">
        <f>IFERROR(1-(SUMIF(Plant_BD!$B:$B,$A2,Plant_BD!$AL:$AL)/($AA2+SUMIF(Plant_BD!$B:$B,$A2,Plant_BD!$AL:$AL))),"")</f>
        <v/>
      </c>
      <c r="P2" s="230"/>
      <c r="Q2" s="231" t="str">
        <f>IFERROR(1-(SUMIF(Grid_BD!$B:$B,$A2,Grid_BD!$V:$V)/($AA2+SUMIF(Grid_BD!$B:$B,$A2,Grid_BD!$V:$V))),"")</f>
        <v/>
      </c>
      <c r="R2" s="230" t="str">
        <f>IFERROR(1-(SUMIF(Grid_BD!$B:$B,$A2,Grid_BD!$V:$V)/($AA2+SUMIF(Grid_BD!$B:$B,$A2,Grid_BD!$V:$V))),"")</f>
        <v/>
      </c>
      <c r="S2" s="9"/>
      <c r="T2" s="231"/>
      <c r="U2" s="232" t="str">
        <f t="shared" ref="U2:U39" si="1">IFERROR(AA2/I2/AB2/1000,"")</f>
        <v/>
      </c>
      <c r="V2" s="232">
        <f>IFERROR(_xlfn.XLOOKUP($A2,Input_Raw!$A:$A,Input_Raw!$FG:$FG),"")</f>
        <v>0</v>
      </c>
      <c r="W2" s="233" t="str">
        <f t="shared" ref="W2:W39" si="2">IFERROR(AA2/(24*AR2*1000),"")</f>
        <v/>
      </c>
      <c r="X2" s="29">
        <f>IFERROR(_xlfn.XLOOKUP($A2,Input_Raw!$A:$A,Input_Raw!$DP:$DP),"")</f>
        <v>505955.50000000006</v>
      </c>
      <c r="Y2" s="29" t="str">
        <f>IFERROR(_xlfn.XLOOKUP($A2,Input_Raw!$A:$A,Input_Raw!EW:EW),"")</f>
        <v/>
      </c>
      <c r="Z2" s="29" t="str">
        <f>IFERROR(_xlfn.XLOOKUP($A2,Input_Raw!$A:$A,Input_Raw!EX:EX),"")</f>
        <v/>
      </c>
      <c r="AA2" s="29" t="str">
        <f>IFERROR(_xlfn.XLOOKUP($A2,Input_Raw!$A:$A,Input_Raw!FA:FA),"")</f>
        <v/>
      </c>
      <c r="AB2" s="9">
        <f>IFERROR(_xlfn.XLOOKUP($A2,Input_Raw!$A:$A,Input_Raw!FD:FD),"")</f>
        <v>97</v>
      </c>
      <c r="AC2" s="185">
        <f>IFERROR(_xlfn.XLOOKUP($D2,'Modelling New'!$D:$D,'Modelling New'!P:P),"")</f>
        <v>6.9225806451612906</v>
      </c>
      <c r="AD2" s="29">
        <f>IFERROR(_xlfn.XLOOKUP($D2,'Modelling New'!$D:$D,'Modelling New'!T:T)*1000,"")</f>
        <v>767701.1308838051</v>
      </c>
      <c r="AE2" s="233">
        <f>IFERROR(_xlfn.XLOOKUP($D2,'Modelling New'!$D:$D,'Modelling New'!O:O),"")</f>
        <v>0.81054022098673606</v>
      </c>
      <c r="AF2" s="233">
        <f>IFERROR(_xlfn.XLOOKUP($D2,'Modelling New'!$D:$D,'Modelling New'!W:W),"")</f>
        <v>0.23379291858031392</v>
      </c>
      <c r="AG2" s="233">
        <f>IFERROR(_xlfn.XLOOKUP($D2,'Modelling New'!$D:$D,'Modelling New'!AE:AE),"")</f>
        <v>0.995</v>
      </c>
      <c r="AH2" s="234">
        <f>IFERROR(_xlfn.XLOOKUP($D2,'Modelling New'!$D:$D,'Modelling New'!AF:AF),"")</f>
        <v>0.995</v>
      </c>
      <c r="AI2" s="9"/>
      <c r="AJ2" s="9"/>
      <c r="AK2" s="258"/>
      <c r="AL2" s="258"/>
      <c r="AM2" s="258"/>
      <c r="AN2" s="235"/>
      <c r="AO2" s="233"/>
      <c r="AP2" s="233"/>
      <c r="AQ2" s="233"/>
      <c r="AR2" s="236">
        <f>_xlfn.XLOOKUP(D2,'Modelling New'!$D:$D,'Modelling New'!$N:$N)</f>
        <v>136.82</v>
      </c>
      <c r="AS2" s="236">
        <f t="shared" ref="AS2:AS39" si="3">IFERROR((AD2/AR2)*AB2,"")</f>
        <v>544269.91445497074</v>
      </c>
    </row>
    <row r="3" spans="1:45">
      <c r="A3" s="18">
        <f t="shared" ref="A3:A41" si="4">A2+1</f>
        <v>45746</v>
      </c>
      <c r="B3" s="29">
        <f>YEAR(Table13[[#This Row],[Date]])+IF(MONTH(Table13[[#This Row],[Date]])&gt;=4,1,0)</f>
        <v>2025</v>
      </c>
      <c r="C3" s="9">
        <f>YEAR(Table13[[#This Row],[Date]])</f>
        <v>2025</v>
      </c>
      <c r="D3" s="229">
        <f>Table13[[#This Row],[Date]]-DAY(Table13[[#This Row],[Date]])+1</f>
        <v>45717</v>
      </c>
      <c r="E3" s="9">
        <f t="shared" si="0"/>
        <v>31</v>
      </c>
      <c r="F3" s="199">
        <f>IFERROR(_xlfn.XLOOKUP($A3,Input_Raw!$A:$A,Input_Raw!$FC:$FC),"")</f>
        <v>11.533333333333331</v>
      </c>
      <c r="G3" s="185">
        <f>IFERROR(_xlfn.XLOOKUP($A3,Input_Raw!$A:$A,Input_Raw!$CY:$CY),"")</f>
        <v>6.67531885</v>
      </c>
      <c r="H3" s="185" t="str">
        <f>IFERROR(_xlfn.XLOOKUP($A3,Input_Raw!$A:$A,Input_Raw!$DA:$DA),"")</f>
        <v/>
      </c>
      <c r="I3" s="185">
        <f>IFERROR(_xlfn.XLOOKUP($A3,Input_Raw!$A:$A,Input_Raw!$CX:$CX),"")</f>
        <v>5.2804577833333326</v>
      </c>
      <c r="J3" s="185">
        <f>IFERROR(_xlfn.XLOOKUP($A3,Input_Raw!$A:$A,Input_Raw!$CZ:$CZ),"")</f>
        <v>0.85918861666666624</v>
      </c>
      <c r="K3" s="201">
        <f>IFERROR(_xlfn.XLOOKUP($A3,Input_Raw!$A:$A,Input_Raw!$DB:$DB),"")</f>
        <v>30.223930789707243</v>
      </c>
      <c r="L3" s="201">
        <f>IFERROR(_xlfn.XLOOKUP($A3,Input_Raw!$A:$A,Input_Raw!$DC:$DC),"")</f>
        <v>38.070228039041687</v>
      </c>
      <c r="M3" s="200">
        <f>IFERROR(_xlfn.XLOOKUP($A3,Input_Raw!$A:$A,Input_Raw!$DF:$DF),"")</f>
        <v>0.96656433007985842</v>
      </c>
      <c r="N3" s="200">
        <f>IFERROR(_xlfn.XLOOKUP($A3,Input_Raw!$A:$A,Input_Raw!$DG:$DG),"")</f>
        <v>2.6789999999999998</v>
      </c>
      <c r="O3" s="230">
        <f>IFERROR(1-(SUMIF(Plant_BD!$B:$B,$A3,Plant_BD!$AL:$AL)/($AA3+SUMIF(Plant_BD!$B:$B,$A3,Plant_BD!$AL:$AL))),"")</f>
        <v>1</v>
      </c>
      <c r="P3" s="230"/>
      <c r="Q3" s="231">
        <f>IFERROR(1-(SUMIF(Grid_BD!$B:$B,$A3,Grid_BD!$V:$V)/($AA3+SUMIF(Grid_BD!$B:$B,$A3,Grid_BD!$V:$V))),"")</f>
        <v>1</v>
      </c>
      <c r="R3" s="230">
        <f>IFERROR(1-(SUMIF(Grid_BD!$B:$B,$A3,Grid_BD!$V:$V)/($AA3+SUMIF(Grid_BD!$B:$B,$A3,Grid_BD!$V:$V))),"")</f>
        <v>1</v>
      </c>
      <c r="S3" s="9"/>
      <c r="T3" s="231"/>
      <c r="U3" s="232">
        <f t="shared" si="1"/>
        <v>0.92522437407661917</v>
      </c>
      <c r="V3" s="232">
        <f>IFERROR(_xlfn.XLOOKUP($A3,Input_Raw!$A:$A,Input_Raw!$FG:$FG),"")</f>
        <v>0</v>
      </c>
      <c r="W3" s="233">
        <f t="shared" si="2"/>
        <v>0.14432100570091838</v>
      </c>
      <c r="X3" s="29">
        <f>IFERROR(_xlfn.XLOOKUP($A3,Input_Raw!$A:$A,Input_Raw!$DP:$DP),"")</f>
        <v>484660.80000000005</v>
      </c>
      <c r="Y3" s="29">
        <f>IFERROR(_xlfn.XLOOKUP($A3,Input_Raw!$A:$A,Input_Raw!EW:EW),"")</f>
        <v>476135.99999999162</v>
      </c>
      <c r="Z3" s="29">
        <f>IFERROR(_xlfn.XLOOKUP($A3,Input_Raw!$A:$A,Input_Raw!EX:EX),"")</f>
        <v>2231.9999999999345</v>
      </c>
      <c r="AA3" s="29">
        <f>IFERROR(_xlfn.XLOOKUP($A3,Input_Raw!$A:$A,Input_Raw!FA:FA),"")</f>
        <v>473903.99999999168</v>
      </c>
      <c r="AB3" s="9">
        <f>IFERROR(_xlfn.XLOOKUP($A3,Input_Raw!$A:$A,Input_Raw!FD:FD),"")</f>
        <v>97</v>
      </c>
      <c r="AC3" s="185">
        <f>IFERROR(_xlfn.XLOOKUP($D3,'Modelling New'!$D:$D,'Modelling New'!P:P),"")</f>
        <v>6.9225806451612906</v>
      </c>
      <c r="AD3" s="29">
        <f>IFERROR(_xlfn.XLOOKUP($D3,'Modelling New'!$D:$D,'Modelling New'!T:T)*1000,"")</f>
        <v>767701.1308838051</v>
      </c>
      <c r="AE3" s="233">
        <f>IFERROR(_xlfn.XLOOKUP($D3,'Modelling New'!$D:$D,'Modelling New'!O:O),"")</f>
        <v>0.81054022098673606</v>
      </c>
      <c r="AF3" s="233">
        <f>IFERROR(_xlfn.XLOOKUP($D3,'Modelling New'!$D:$D,'Modelling New'!W:W),"")</f>
        <v>0.23379291858031392</v>
      </c>
      <c r="AG3" s="233">
        <f>IFERROR(_xlfn.XLOOKUP($D3,'Modelling New'!$D:$D,'Modelling New'!AE:AE),"")</f>
        <v>0.995</v>
      </c>
      <c r="AH3" s="234">
        <f>IFERROR(_xlfn.XLOOKUP($D3,'Modelling New'!$D:$D,'Modelling New'!AF:AF),"")</f>
        <v>0.995</v>
      </c>
      <c r="AI3" s="9"/>
      <c r="AJ3" s="9"/>
      <c r="AK3" s="258"/>
      <c r="AL3" s="258"/>
      <c r="AM3" s="258"/>
      <c r="AN3" s="235"/>
      <c r="AO3" s="233"/>
      <c r="AP3" s="233"/>
      <c r="AQ3" s="233"/>
      <c r="AR3" s="236">
        <f>_xlfn.XLOOKUP(D3,'Modelling New'!$D:$D,'Modelling New'!$N:$N)</f>
        <v>136.82</v>
      </c>
      <c r="AS3" s="236">
        <f t="shared" si="3"/>
        <v>544269.91445497074</v>
      </c>
    </row>
    <row r="4" spans="1:45">
      <c r="A4" s="18">
        <f t="shared" si="4"/>
        <v>45747</v>
      </c>
      <c r="B4" s="29">
        <f>YEAR(Table13[[#This Row],[Date]])+IF(MONTH(Table13[[#This Row],[Date]])&gt;=4,1,0)</f>
        <v>2025</v>
      </c>
      <c r="C4" s="9">
        <f>YEAR(Table13[[#This Row],[Date]])</f>
        <v>2025</v>
      </c>
      <c r="D4" s="229">
        <f>Table13[[#This Row],[Date]]-DAY(Table13[[#This Row],[Date]])+1</f>
        <v>45717</v>
      </c>
      <c r="E4" s="9">
        <f t="shared" si="0"/>
        <v>31</v>
      </c>
      <c r="F4" s="199">
        <f>IFERROR(_xlfn.XLOOKUP($A4,Input_Raw!$A:$A,Input_Raw!$FC:$FC),"")</f>
        <v>11.35</v>
      </c>
      <c r="G4" s="200">
        <f>IFERROR(_xlfn.XLOOKUP($A4,Input_Raw!$A:$A,Input_Raw!$CY:$CY),"")</f>
        <v>5.2572097833333382</v>
      </c>
      <c r="H4" s="200" t="str">
        <f>IFERROR(_xlfn.XLOOKUP($A4,Input_Raw!$A:$A,Input_Raw!$DA:$DA),"")</f>
        <v/>
      </c>
      <c r="I4" s="200">
        <f>IFERROR(_xlfn.XLOOKUP($A4,Input_Raw!$A:$A,Input_Raw!$CX:$CX),"")</f>
        <v>4.106817033333332</v>
      </c>
      <c r="J4" s="200">
        <f>IFERROR(_xlfn.XLOOKUP($A4,Input_Raw!$A:$A,Input_Raw!$CZ:$CZ),"")</f>
        <v>0.68373261666666718</v>
      </c>
      <c r="K4" s="201">
        <f>IFERROR(_xlfn.XLOOKUP($A4,Input_Raw!$A:$A,Input_Raw!$DB:$DB),"")</f>
        <v>31.031810897435843</v>
      </c>
      <c r="L4" s="201">
        <f>IFERROR(_xlfn.XLOOKUP($A4,Input_Raw!$A:$A,Input_Raw!$DC:$DC),"")</f>
        <v>38.522138621794817</v>
      </c>
      <c r="M4" s="200">
        <f>IFERROR(_xlfn.XLOOKUP($A4,Input_Raw!$A:$A,Input_Raw!$DF:$DF),"")</f>
        <v>0.99419631410256448</v>
      </c>
      <c r="N4" s="200">
        <f>IFERROR(_xlfn.XLOOKUP($A4,Input_Raw!$A:$A,Input_Raw!$DG:$DG),"")</f>
        <v>2.7240000000000002</v>
      </c>
      <c r="O4" s="230">
        <f>IFERROR(1-(SUMIF(Plant_BD!$B:$B,$A4,Plant_BD!$AL:$AL)/($AA4+SUMIF(Plant_BD!$B:$B,$A4,Plant_BD!$AL:$AL))),"")</f>
        <v>1</v>
      </c>
      <c r="P4" s="230"/>
      <c r="Q4" s="231">
        <f>IFERROR(1-(SUMIF(Grid_BD!$B:$B,$A4,Grid_BD!$V:$V)/($AA4+SUMIF(Grid_BD!$B:$B,$A4,Grid_BD!$V:$V))),"")</f>
        <v>1</v>
      </c>
      <c r="R4" s="230">
        <f>IFERROR(1-(SUMIF(Grid_BD!$B:$B,$A4,Grid_BD!$V:$V)/($AA4+SUMIF(Grid_BD!$B:$B,$A4,Grid_BD!$V:$V))),"")</f>
        <v>1</v>
      </c>
      <c r="S4" s="9"/>
      <c r="T4" s="231"/>
      <c r="U4" s="232">
        <f t="shared" si="1"/>
        <v>0.91581196201865378</v>
      </c>
      <c r="V4" s="232">
        <f>IFERROR(_xlfn.XLOOKUP($A4,Input_Raw!$A:$A,Input_Raw!$FG:$FG),"")</f>
        <v>0</v>
      </c>
      <c r="W4" s="233">
        <f t="shared" si="2"/>
        <v>0.11110217804415068</v>
      </c>
      <c r="X4" s="29">
        <f>IFERROR(_xlfn.XLOOKUP($A4,Input_Raw!$A:$A,Input_Raw!$DP:$DP),"")</f>
        <v>375616.79999999993</v>
      </c>
      <c r="Y4" s="29">
        <f>IFERROR(_xlfn.XLOOKUP($A4,Input_Raw!$A:$A,Input_Raw!EW:EW),"")</f>
        <v>367848.00000001676</v>
      </c>
      <c r="Z4" s="29">
        <f>IFERROR(_xlfn.XLOOKUP($A4,Input_Raw!$A:$A,Input_Raw!EX:EX),"")</f>
        <v>3024.0000000000327</v>
      </c>
      <c r="AA4" s="29">
        <f>IFERROR(_xlfn.XLOOKUP($A4,Input_Raw!$A:$A,Input_Raw!FA:FA),"")</f>
        <v>364824.00000001671</v>
      </c>
      <c r="AB4" s="9">
        <f>IFERROR(_xlfn.XLOOKUP($A4,Input_Raw!$A:$A,Input_Raw!FD:FD),"")</f>
        <v>97</v>
      </c>
      <c r="AC4" s="185">
        <f>IFERROR(_xlfn.XLOOKUP($D4,'Modelling New'!$D:$D,'Modelling New'!P:P),"")</f>
        <v>6.9225806451612906</v>
      </c>
      <c r="AD4" s="29">
        <f>IFERROR(_xlfn.XLOOKUP($D4,'Modelling New'!$D:$D,'Modelling New'!T:T)*1000,"")</f>
        <v>767701.1308838051</v>
      </c>
      <c r="AE4" s="233">
        <f>IFERROR(_xlfn.XLOOKUP($D4,'Modelling New'!$D:$D,'Modelling New'!O:O),"")</f>
        <v>0.81054022098673606</v>
      </c>
      <c r="AF4" s="233">
        <f>IFERROR(_xlfn.XLOOKUP($D4,'Modelling New'!$D:$D,'Modelling New'!W:W),"")</f>
        <v>0.23379291858031392</v>
      </c>
      <c r="AG4" s="233">
        <f>IFERROR(_xlfn.XLOOKUP($D4,'Modelling New'!$D:$D,'Modelling New'!AE:AE),"")</f>
        <v>0.995</v>
      </c>
      <c r="AH4" s="234">
        <f>IFERROR(_xlfn.XLOOKUP($D4,'Modelling New'!$D:$D,'Modelling New'!AF:AF),"")</f>
        <v>0.995</v>
      </c>
      <c r="AI4" s="9"/>
      <c r="AJ4" s="9"/>
      <c r="AK4" s="258"/>
      <c r="AL4" s="258"/>
      <c r="AM4" s="258"/>
      <c r="AN4" s="235"/>
      <c r="AO4" s="233"/>
      <c r="AP4" s="233"/>
      <c r="AQ4" s="233"/>
      <c r="AR4" s="236">
        <f>_xlfn.XLOOKUP(D4,'Modelling New'!$D:$D,'Modelling New'!$N:$N)</f>
        <v>136.82</v>
      </c>
      <c r="AS4" s="236">
        <f t="shared" si="3"/>
        <v>544269.91445497074</v>
      </c>
    </row>
    <row r="5" spans="1:45">
      <c r="A5" s="18">
        <f t="shared" si="4"/>
        <v>45748</v>
      </c>
      <c r="B5" s="29">
        <f>YEAR(Table13[[#This Row],[Date]])+IF(MONTH(Table13[[#This Row],[Date]])&gt;=4,1,0)</f>
        <v>2026</v>
      </c>
      <c r="C5" s="9">
        <f>YEAR(Table13[[#This Row],[Date]])</f>
        <v>2025</v>
      </c>
      <c r="D5" s="229">
        <f>Table13[[#This Row],[Date]]-DAY(Table13[[#This Row],[Date]])+1</f>
        <v>45748</v>
      </c>
      <c r="E5" s="9">
        <f t="shared" si="0"/>
        <v>30</v>
      </c>
      <c r="F5" s="199">
        <f>IFERROR(_xlfn.XLOOKUP($A5,Input_Raw!$A:$A,Input_Raw!$FC:$FC),"")</f>
        <v>10.566666666666666</v>
      </c>
      <c r="G5" s="185">
        <f>IFERROR(_xlfn.XLOOKUP($A5,Input_Raw!$A:$A,Input_Raw!$CY:$CY),"")</f>
        <v>2.214</v>
      </c>
      <c r="H5" s="185">
        <f>IFERROR(_xlfn.XLOOKUP($A5,Input_Raw!$A:$A,Input_Raw!$DA:$DA),"")</f>
        <v>0.40200000000000002</v>
      </c>
      <c r="I5" s="185">
        <f>IFERROR(_xlfn.XLOOKUP($A5,Input_Raw!$A:$A,Input_Raw!$CX:$CX),"")</f>
        <v>1.68</v>
      </c>
      <c r="J5" s="185">
        <f>IFERROR(_xlfn.XLOOKUP($A5,Input_Raw!$A:$A,Input_Raw!$CZ:$CZ),"")</f>
        <v>0.27400000000000002</v>
      </c>
      <c r="K5" s="201">
        <f>IFERROR(_xlfn.XLOOKUP($A5,Input_Raw!$A:$A,Input_Raw!$DB:$DB),"")</f>
        <v>30.347999999999999</v>
      </c>
      <c r="L5" s="201">
        <f>IFERROR(_xlfn.XLOOKUP($A5,Input_Raw!$A:$A,Input_Raw!$DC:$DC),"")</f>
        <v>37.567999999999998</v>
      </c>
      <c r="M5" s="200">
        <f>IFERROR(_xlfn.XLOOKUP($A5,Input_Raw!$A:$A,Input_Raw!$DF:$DF),"")</f>
        <v>0.66600000000000004</v>
      </c>
      <c r="N5" s="200">
        <f>IFERROR(_xlfn.XLOOKUP($A5,Input_Raw!$A:$A,Input_Raw!$DG:$DG),"")</f>
        <v>1.6919999999999999</v>
      </c>
      <c r="O5" s="230">
        <f>IFERROR(1-(SUMIF(Plant_BD!$B:$B,$A5,Plant_BD!$AL:$AL)/($AA5+SUMIF(Plant_BD!$B:$B,$A5,Plant_BD!$AL:$AL))),"")</f>
        <v>1</v>
      </c>
      <c r="P5" s="230"/>
      <c r="Q5" s="231">
        <f>IFERROR(1-(SUMIF(Grid_BD!$B:$B,$A5,Grid_BD!$V:$V)/($AA5+SUMIF(Grid_BD!$B:$B,$A5,Grid_BD!$V:$V))),"")</f>
        <v>1</v>
      </c>
      <c r="R5" s="230">
        <f>IFERROR(1-(SUMIF(Grid_BD!$B:$B,$A5,Grid_BD!$V:$V)/($AA5+SUMIF(Grid_BD!$B:$B,$A5,Grid_BD!$V:$V))),"")</f>
        <v>1</v>
      </c>
      <c r="S5" s="9"/>
      <c r="T5" s="231"/>
      <c r="U5" s="232">
        <f t="shared" si="1"/>
        <v>1.0285714285714285</v>
      </c>
      <c r="V5" s="232">
        <f>IFERROR(_xlfn.XLOOKUP($A5,Input_Raw!$A:$A,Input_Raw!$FG:$FG),"")</f>
        <v>0</v>
      </c>
      <c r="W5" s="233">
        <f t="shared" si="2"/>
        <v>5.3723076923076915E-2</v>
      </c>
      <c r="X5" s="29">
        <f>IFERROR(_xlfn.XLOOKUP($A5,Input_Raw!$A:$A,Input_Raw!$DP:$DP),"")</f>
        <v>165499.4</v>
      </c>
      <c r="Y5" s="29">
        <f>IFERROR(_xlfn.XLOOKUP($A5,Input_Raw!$A:$A,Input_Raw!EW:EW),"")</f>
        <v>168840</v>
      </c>
      <c r="Z5" s="29">
        <f>IFERROR(_xlfn.XLOOKUP($A5,Input_Raw!$A:$A,Input_Raw!EX:EX),"")</f>
        <v>1224.0000000000327</v>
      </c>
      <c r="AA5" s="29">
        <f>IFERROR(_xlfn.XLOOKUP($A5,Input_Raw!$A:$A,Input_Raw!FA:FA),"")</f>
        <v>167615.99999999997</v>
      </c>
      <c r="AB5" s="9">
        <f>IFERROR(_xlfn.XLOOKUP($A5,Input_Raw!$A:$A,Input_Raw!FD:FD),"")</f>
        <v>97</v>
      </c>
      <c r="AC5" s="185">
        <f>IFERROR(_xlfn.XLOOKUP($D5,'Modelling New'!$D:$D,'Modelling New'!P:P),"")</f>
        <v>7.14</v>
      </c>
      <c r="AD5" s="29">
        <f>IFERROR(_xlfn.XLOOKUP($D5,'Modelling New'!$D:$D,'Modelling New'!T:T)*1000,"")</f>
        <v>709627.68703000736</v>
      </c>
      <c r="AE5" s="233">
        <f>IFERROR(_xlfn.XLOOKUP($D5,'Modelling New'!$D:$D,'Modelling New'!O:O),"")</f>
        <v>0.76452024028227472</v>
      </c>
      <c r="AF5" s="233">
        <f>IFERROR(_xlfn.XLOOKUP($D5,'Modelling New'!$D:$D,'Modelling New'!W:W),"")</f>
        <v>0.22744477148397671</v>
      </c>
      <c r="AG5" s="233">
        <f>IFERROR(_xlfn.XLOOKUP($D5,'Modelling New'!$D:$D,'Modelling New'!AE:AE),"")</f>
        <v>0.995</v>
      </c>
      <c r="AH5" s="234">
        <f>IFERROR(_xlfn.XLOOKUP($D5,'Modelling New'!$D:$D,'Modelling New'!AF:AF),"")</f>
        <v>0.995</v>
      </c>
      <c r="AI5" s="9"/>
      <c r="AJ5" s="9"/>
      <c r="AK5" s="258"/>
      <c r="AL5" s="258"/>
      <c r="AM5" s="258"/>
      <c r="AN5" s="235"/>
      <c r="AO5" s="233"/>
      <c r="AP5" s="233"/>
      <c r="AQ5" s="233"/>
      <c r="AR5" s="236">
        <f>_xlfn.XLOOKUP(D5,'Modelling New'!$D:$D,'Modelling New'!$N:$N)</f>
        <v>130</v>
      </c>
      <c r="AS5" s="236">
        <f t="shared" si="3"/>
        <v>529491.42801469774</v>
      </c>
    </row>
    <row r="6" spans="1:45">
      <c r="A6" s="18">
        <f t="shared" si="4"/>
        <v>45749</v>
      </c>
      <c r="B6" s="29">
        <f>YEAR(Table13[[#This Row],[Date]])+IF(MONTH(Table13[[#This Row],[Date]])&gt;=4,1,0)</f>
        <v>2026</v>
      </c>
      <c r="C6" s="9">
        <f>YEAR(Table13[[#This Row],[Date]])</f>
        <v>2025</v>
      </c>
      <c r="D6" s="229">
        <f>Table13[[#This Row],[Date]]-DAY(Table13[[#This Row],[Date]])+1</f>
        <v>45748</v>
      </c>
      <c r="E6" s="9">
        <f t="shared" si="0"/>
        <v>30</v>
      </c>
      <c r="F6" s="199">
        <f>IFERROR(_xlfn.XLOOKUP($A6,Input_Raw!$A:$A,Input_Raw!$FC:$FC),"")</f>
        <v>10.416666666666666</v>
      </c>
      <c r="G6" s="200">
        <f>IFERROR(_xlfn.XLOOKUP($A6,Input_Raw!$A:$A,Input_Raw!$CY:$CY),"")</f>
        <v>4.0104408333333366</v>
      </c>
      <c r="H6" s="200">
        <f>IFERROR(_xlfn.XLOOKUP($A6,Input_Raw!$A:$A,Input_Raw!$DA:$DA),"")</f>
        <v>0.67438216666666695</v>
      </c>
      <c r="I6" s="200">
        <f>IFERROR(_xlfn.XLOOKUP($A6,Input_Raw!$A:$A,Input_Raw!$CX:$CX),"")</f>
        <v>3.0988523999999997</v>
      </c>
      <c r="J6" s="200">
        <f>IFERROR(_xlfn.XLOOKUP($A6,Input_Raw!$A:$A,Input_Raw!$CZ:$CZ),"")</f>
        <v>0.42088406666666633</v>
      </c>
      <c r="K6" s="201">
        <f>IFERROR(_xlfn.XLOOKUP($A6,Input_Raw!$A:$A,Input_Raw!$DB:$DB),"")</f>
        <v>28.203182692307703</v>
      </c>
      <c r="L6" s="201">
        <f>IFERROR(_xlfn.XLOOKUP($A6,Input_Raw!$A:$A,Input_Raw!$DC:$DC),"")</f>
        <v>36.144302884615364</v>
      </c>
      <c r="M6" s="200">
        <f>IFERROR(_xlfn.XLOOKUP($A6,Input_Raw!$A:$A,Input_Raw!$DF:$DF),"")</f>
        <v>1.461758653846152</v>
      </c>
      <c r="N6" s="200">
        <f>IFERROR(_xlfn.XLOOKUP($A6,Input_Raw!$A:$A,Input_Raw!$DG:$DG),"")</f>
        <v>2.88</v>
      </c>
      <c r="O6" s="230">
        <f>IFERROR(1-(SUMIF(Plant_BD!$B:$B,$A6,Plant_BD!$AL:$AL)/($AA6+SUMIF(Plant_BD!$B:$B,$A6,Plant_BD!$AL:$AL))),"")</f>
        <v>1</v>
      </c>
      <c r="P6" s="230"/>
      <c r="Q6" s="231">
        <f>IFERROR(1-(SUMIF(Grid_BD!$B:$B,$A6,Grid_BD!$V:$V)/($AA6+SUMIF(Grid_BD!$B:$B,$A6,Grid_BD!$V:$V))),"")</f>
        <v>1</v>
      </c>
      <c r="R6" s="230">
        <f>IFERROR(1-(SUMIF(Grid_BD!$B:$B,$A6,Grid_BD!$V:$V)/($AA6+SUMIF(Grid_BD!$B:$B,$A6,Grid_BD!$V:$V))),"")</f>
        <v>1</v>
      </c>
      <c r="S6" s="9"/>
      <c r="T6" s="231"/>
      <c r="U6" s="232">
        <f t="shared" si="1"/>
        <v>1.0098583791392166</v>
      </c>
      <c r="V6" s="232">
        <f>IFERROR(_xlfn.XLOOKUP($A6,Input_Raw!$A:$A,Input_Raw!$FG:$FG),"")</f>
        <v>0</v>
      </c>
      <c r="W6" s="233">
        <f t="shared" si="2"/>
        <v>9.7292307692307733E-2</v>
      </c>
      <c r="X6" s="29">
        <f>IFERROR(_xlfn.XLOOKUP($A6,Input_Raw!$A:$A,Input_Raw!$DP:$DP),"")</f>
        <v>304616.59999999992</v>
      </c>
      <c r="Y6" s="29">
        <f>IFERROR(_xlfn.XLOOKUP($A6,Input_Raw!$A:$A,Input_Raw!EW:EW),"")</f>
        <v>306360</v>
      </c>
      <c r="Z6" s="29">
        <f>IFERROR(_xlfn.XLOOKUP($A6,Input_Raw!$A:$A,Input_Raw!EX:EX),"")</f>
        <v>2807.9999999999018</v>
      </c>
      <c r="AA6" s="29">
        <f>IFERROR(_xlfn.XLOOKUP($A6,Input_Raw!$A:$A,Input_Raw!FA:FA),"")</f>
        <v>303552.00000000012</v>
      </c>
      <c r="AB6" s="9">
        <f>IFERROR(_xlfn.XLOOKUP($A6,Input_Raw!$A:$A,Input_Raw!FD:FD),"")</f>
        <v>97</v>
      </c>
      <c r="AC6" s="185">
        <f>IFERROR(_xlfn.XLOOKUP($D6,'Modelling New'!$D:$D,'Modelling New'!P:P),"")</f>
        <v>7.14</v>
      </c>
      <c r="AD6" s="29">
        <f>IFERROR(_xlfn.XLOOKUP($D6,'Modelling New'!$D:$D,'Modelling New'!T:T)*1000,"")</f>
        <v>709627.68703000736</v>
      </c>
      <c r="AE6" s="233">
        <f>IFERROR(_xlfn.XLOOKUP($D6,'Modelling New'!$D:$D,'Modelling New'!O:O),"")</f>
        <v>0.76452024028227472</v>
      </c>
      <c r="AF6" s="233">
        <f>IFERROR(_xlfn.XLOOKUP($D6,'Modelling New'!$D:$D,'Modelling New'!W:W),"")</f>
        <v>0.22744477148397671</v>
      </c>
      <c r="AG6" s="233">
        <f>IFERROR(_xlfn.XLOOKUP($D6,'Modelling New'!$D:$D,'Modelling New'!AE:AE),"")</f>
        <v>0.995</v>
      </c>
      <c r="AH6" s="234">
        <f>IFERROR(_xlfn.XLOOKUP($D6,'Modelling New'!$D:$D,'Modelling New'!AF:AF),"")</f>
        <v>0.995</v>
      </c>
      <c r="AI6" s="9"/>
      <c r="AJ6" s="9"/>
      <c r="AK6" s="258"/>
      <c r="AL6" s="258"/>
      <c r="AM6" s="258"/>
      <c r="AN6" s="235"/>
      <c r="AO6" s="233"/>
      <c r="AP6" s="233"/>
      <c r="AQ6" s="233"/>
      <c r="AR6" s="236">
        <f>_xlfn.XLOOKUP(D6,'Modelling New'!$D:$D,'Modelling New'!$N:$N)</f>
        <v>130</v>
      </c>
      <c r="AS6" s="236">
        <f t="shared" si="3"/>
        <v>529491.42801469774</v>
      </c>
    </row>
    <row r="7" spans="1:45">
      <c r="A7" s="18">
        <f t="shared" si="4"/>
        <v>45750</v>
      </c>
      <c r="B7" s="29">
        <f>YEAR(Table13[[#This Row],[Date]])+IF(MONTH(Table13[[#This Row],[Date]])&gt;=4,1,0)</f>
        <v>2026</v>
      </c>
      <c r="C7" s="9">
        <f>YEAR(Table13[[#This Row],[Date]])</f>
        <v>2025</v>
      </c>
      <c r="D7" s="229">
        <f>Table13[[#This Row],[Date]]-DAY(Table13[[#This Row],[Date]])+1</f>
        <v>45748</v>
      </c>
      <c r="E7" s="9">
        <f t="shared" si="0"/>
        <v>30</v>
      </c>
      <c r="F7" s="199">
        <f>IFERROR(_xlfn.XLOOKUP($A7,Input_Raw!$A:$A,Input_Raw!$FC:$FC),"")</f>
        <v>10.083333333333334</v>
      </c>
      <c r="G7" s="185">
        <f>IFERROR(_xlfn.XLOOKUP($A7,Input_Raw!$A:$A,Input_Raw!$CY:$CY),"")</f>
        <v>4.3913989166666703</v>
      </c>
      <c r="H7" s="185">
        <f>IFERROR(_xlfn.XLOOKUP($A7,Input_Raw!$A:$A,Input_Raw!$DA:$DA),"")</f>
        <v>0.74058401666666573</v>
      </c>
      <c r="I7" s="185">
        <f>IFERROR(_xlfn.XLOOKUP($A7,Input_Raw!$A:$A,Input_Raw!$CX:$CX),"")</f>
        <v>4.5550656999999966</v>
      </c>
      <c r="J7" s="185">
        <f>IFERROR(_xlfn.XLOOKUP($A7,Input_Raw!$A:$A,Input_Raw!$CZ:$CZ),"")</f>
        <v>0.50570113333333389</v>
      </c>
      <c r="K7" s="201">
        <f>IFERROR(_xlfn.XLOOKUP($A7,Input_Raw!$A:$A,Input_Raw!$DB:$DB),"")</f>
        <v>26.490573770491778</v>
      </c>
      <c r="L7" s="201">
        <f>IFERROR(_xlfn.XLOOKUP($A7,Input_Raw!$A:$A,Input_Raw!$DC:$DC),"")</f>
        <v>34.034232786885255</v>
      </c>
      <c r="M7" s="200">
        <f>IFERROR(_xlfn.XLOOKUP($A7,Input_Raw!$A:$A,Input_Raw!$DF:$DF),"")</f>
        <v>1.0990622950819684</v>
      </c>
      <c r="N7" s="200">
        <f>IFERROR(_xlfn.XLOOKUP($A7,Input_Raw!$A:$A,Input_Raw!$DG:$DG),"")</f>
        <v>2.952</v>
      </c>
      <c r="O7" s="230">
        <f>IFERROR(1-(SUMIF(Plant_BD!$B:$B,$A7,Plant_BD!$AL:$AL)/($AA7+SUMIF(Plant_BD!$B:$B,$A7,Plant_BD!$AL:$AL))),"")</f>
        <v>0.94758976132028505</v>
      </c>
      <c r="P7" s="230"/>
      <c r="Q7" s="231">
        <f>IFERROR(1-(SUMIF(Grid_BD!$B:$B,$A7,Grid_BD!$V:$V)/($AA7+SUMIF(Grid_BD!$B:$B,$A7,Grid_BD!$V:$V))),"")</f>
        <v>1</v>
      </c>
      <c r="R7" s="230">
        <f>IFERROR(1-(SUMIF(Grid_BD!$B:$B,$A7,Grid_BD!$V:$V)/($AA7+SUMIF(Grid_BD!$B:$B,$A7,Grid_BD!$V:$V))),"")</f>
        <v>1</v>
      </c>
      <c r="S7" s="9"/>
      <c r="T7" s="231"/>
      <c r="U7" s="232">
        <f t="shared" si="1"/>
        <v>0.73500586391100231</v>
      </c>
      <c r="V7" s="232">
        <f>IFERROR(_xlfn.XLOOKUP($A7,Input_Raw!$A:$A,Input_Raw!$FG:$FG),"")</f>
        <v>0</v>
      </c>
      <c r="W7" s="233">
        <f t="shared" si="2"/>
        <v>0.10516153846153443</v>
      </c>
      <c r="X7" s="29">
        <f>IFERROR(_xlfn.XLOOKUP($A7,Input_Raw!$A:$A,Input_Raw!$DP:$DP),"")</f>
        <v>336079.3</v>
      </c>
      <c r="Y7" s="29">
        <f>IFERROR(_xlfn.XLOOKUP($A7,Input_Raw!$A:$A,Input_Raw!EW:EW),"")</f>
        <v>329903.99999998743</v>
      </c>
      <c r="Z7" s="29">
        <f>IFERROR(_xlfn.XLOOKUP($A7,Input_Raw!$A:$A,Input_Raw!EX:EX),"")</f>
        <v>1800</v>
      </c>
      <c r="AA7" s="29">
        <f>IFERROR(_xlfn.XLOOKUP($A7,Input_Raw!$A:$A,Input_Raw!FA:FA),"")</f>
        <v>328103.99999998743</v>
      </c>
      <c r="AB7" s="9">
        <f>IFERROR(_xlfn.XLOOKUP($A7,Input_Raw!$A:$A,Input_Raw!FD:FD),"")</f>
        <v>98</v>
      </c>
      <c r="AC7" s="185">
        <f>IFERROR(_xlfn.XLOOKUP($D7,'Modelling New'!$D:$D,'Modelling New'!P:P),"")</f>
        <v>7.14</v>
      </c>
      <c r="AD7" s="29">
        <f>IFERROR(_xlfn.XLOOKUP($D7,'Modelling New'!$D:$D,'Modelling New'!T:T)*1000,"")</f>
        <v>709627.68703000736</v>
      </c>
      <c r="AE7" s="233">
        <f>IFERROR(_xlfn.XLOOKUP($D7,'Modelling New'!$D:$D,'Modelling New'!O:O),"")</f>
        <v>0.76452024028227472</v>
      </c>
      <c r="AF7" s="233">
        <f>IFERROR(_xlfn.XLOOKUP($D7,'Modelling New'!$D:$D,'Modelling New'!W:W),"")</f>
        <v>0.22744477148397671</v>
      </c>
      <c r="AG7" s="233">
        <f>IFERROR(_xlfn.XLOOKUP($D7,'Modelling New'!$D:$D,'Modelling New'!AE:AE),"")</f>
        <v>0.995</v>
      </c>
      <c r="AH7" s="234">
        <f>IFERROR(_xlfn.XLOOKUP($D7,'Modelling New'!$D:$D,'Modelling New'!AF:AF),"")</f>
        <v>0.995</v>
      </c>
      <c r="AI7" s="9"/>
      <c r="AJ7" s="9"/>
      <c r="AK7" s="258"/>
      <c r="AL7" s="258"/>
      <c r="AM7" s="258"/>
      <c r="AN7" s="235"/>
      <c r="AO7" s="233"/>
      <c r="AP7" s="233"/>
      <c r="AQ7" s="233"/>
      <c r="AR7" s="236">
        <f>_xlfn.XLOOKUP(D7,'Modelling New'!$D:$D,'Modelling New'!$N:$N)</f>
        <v>130</v>
      </c>
      <c r="AS7" s="236">
        <f t="shared" si="3"/>
        <v>534950.10253031319</v>
      </c>
    </row>
    <row r="8" spans="1:45">
      <c r="A8" s="18">
        <f t="shared" si="4"/>
        <v>45751</v>
      </c>
      <c r="B8" s="29">
        <f>YEAR(Table13[[#This Row],[Date]])+IF(MONTH(Table13[[#This Row],[Date]])&gt;=4,1,0)</f>
        <v>2026</v>
      </c>
      <c r="C8" s="9">
        <f>YEAR(Table13[[#This Row],[Date]])</f>
        <v>2025</v>
      </c>
      <c r="D8" s="229">
        <f>Table13[[#This Row],[Date]]-DAY(Table13[[#This Row],[Date]])+1</f>
        <v>45748</v>
      </c>
      <c r="E8" s="9">
        <f t="shared" si="0"/>
        <v>30</v>
      </c>
      <c r="F8" s="199">
        <f>IFERROR(_xlfn.XLOOKUP($A8,Input_Raw!$A:$A,Input_Raw!$FC:$FC),"")</f>
        <v>11.9</v>
      </c>
      <c r="G8" s="200">
        <f>IFERROR(_xlfn.XLOOKUP($A8,Input_Raw!$A:$A,Input_Raw!$CY:$CY),"")</f>
        <v>6.6430321000000063</v>
      </c>
      <c r="H8" s="200">
        <f>IFERROR(_xlfn.XLOOKUP($A8,Input_Raw!$A:$A,Input_Raw!$DA:$DA),"")</f>
        <v>1.1981101500000002</v>
      </c>
      <c r="I8" s="200">
        <f>IFERROR(_xlfn.XLOOKUP($A8,Input_Raw!$A:$A,Input_Raw!$CX:$CX),"")</f>
        <v>6.7136915833333282</v>
      </c>
      <c r="J8" s="200">
        <f>IFERROR(_xlfn.XLOOKUP($A8,Input_Raw!$A:$A,Input_Raw!$CZ:$CZ),"")</f>
        <v>0.77825446666666664</v>
      </c>
      <c r="K8" s="201">
        <f>IFERROR(_xlfn.XLOOKUP($A8,Input_Raw!$A:$A,Input_Raw!$DB:$DB),"")</f>
        <v>28.981240174672486</v>
      </c>
      <c r="L8" s="201">
        <f>IFERROR(_xlfn.XLOOKUP($A8,Input_Raw!$A:$A,Input_Raw!$DC:$DC),"")</f>
        <v>37.302214847161579</v>
      </c>
      <c r="M8" s="200">
        <f>IFERROR(_xlfn.XLOOKUP($A8,Input_Raw!$A:$A,Input_Raw!$DF:$DF),"")</f>
        <v>0.73128471615720525</v>
      </c>
      <c r="N8" s="200">
        <f>IFERROR(_xlfn.XLOOKUP($A8,Input_Raw!$A:$A,Input_Raw!$DG:$DG),"")</f>
        <v>2.9550000000000001</v>
      </c>
      <c r="O8" s="230">
        <f>IFERROR(1-(SUMIF(Plant_BD!$B:$B,$A8,Plant_BD!$AL:$AL)/($AA8+SUMIF(Plant_BD!$B:$B,$A8,Plant_BD!$AL:$AL))),"")</f>
        <v>1</v>
      </c>
      <c r="P8" s="230"/>
      <c r="Q8" s="231">
        <f>IFERROR(1-(SUMIF(Grid_BD!$B:$B,$A8,Grid_BD!$V:$V)/($AA8+SUMIF(Grid_BD!$B:$B,$A8,Grid_BD!$V:$V))),"")</f>
        <v>1</v>
      </c>
      <c r="R8" s="230">
        <f>IFERROR(1-(SUMIF(Grid_BD!$B:$B,$A8,Grid_BD!$V:$V)/($AA8+SUMIF(Grid_BD!$B:$B,$A8,Grid_BD!$V:$V))),"")</f>
        <v>1</v>
      </c>
      <c r="S8" s="9"/>
      <c r="T8" s="231"/>
      <c r="U8" s="232">
        <f t="shared" si="1"/>
        <v>0.8457224955187852</v>
      </c>
      <c r="V8" s="232">
        <f>IFERROR(_xlfn.XLOOKUP($A8,Input_Raw!$A:$A,Input_Raw!$FG:$FG),"")</f>
        <v>0</v>
      </c>
      <c r="W8" s="233">
        <f t="shared" si="2"/>
        <v>0.18198461538461941</v>
      </c>
      <c r="X8" s="29">
        <f>IFERROR(_xlfn.XLOOKUP($A8,Input_Raw!$A:$A,Input_Raw!$DP:$DP),"")</f>
        <v>581403.70000000007</v>
      </c>
      <c r="Y8" s="29">
        <f>IFERROR(_xlfn.XLOOKUP($A8,Input_Raw!$A:$A,Input_Raw!EW:EW),"")</f>
        <v>570456.00000001257</v>
      </c>
      <c r="Z8" s="29">
        <f>IFERROR(_xlfn.XLOOKUP($A8,Input_Raw!$A:$A,Input_Raw!EX:EX),"")</f>
        <v>2664.0000000000327</v>
      </c>
      <c r="AA8" s="29">
        <f>IFERROR(_xlfn.XLOOKUP($A8,Input_Raw!$A:$A,Input_Raw!FA:FA),"")</f>
        <v>567792.00000001257</v>
      </c>
      <c r="AB8" s="9">
        <f>IFERROR(_xlfn.XLOOKUP($A8,Input_Raw!$A:$A,Input_Raw!FD:FD),"")</f>
        <v>100</v>
      </c>
      <c r="AC8" s="185">
        <f>IFERROR(_xlfn.XLOOKUP($D8,'Modelling New'!$D:$D,'Modelling New'!P:P),"")</f>
        <v>7.14</v>
      </c>
      <c r="AD8" s="29">
        <f>IFERROR(_xlfn.XLOOKUP($D8,'Modelling New'!$D:$D,'Modelling New'!T:T)*1000,"")</f>
        <v>709627.68703000736</v>
      </c>
      <c r="AE8" s="233">
        <f>IFERROR(_xlfn.XLOOKUP($D8,'Modelling New'!$D:$D,'Modelling New'!O:O),"")</f>
        <v>0.76452024028227472</v>
      </c>
      <c r="AF8" s="233">
        <f>IFERROR(_xlfn.XLOOKUP($D8,'Modelling New'!$D:$D,'Modelling New'!W:W),"")</f>
        <v>0.22744477148397671</v>
      </c>
      <c r="AG8" s="233">
        <f>IFERROR(_xlfn.XLOOKUP($D8,'Modelling New'!$D:$D,'Modelling New'!AE:AE),"")</f>
        <v>0.995</v>
      </c>
      <c r="AH8" s="234">
        <f>IFERROR(_xlfn.XLOOKUP($D8,'Modelling New'!$D:$D,'Modelling New'!AF:AF),"")</f>
        <v>0.995</v>
      </c>
      <c r="AI8" s="9"/>
      <c r="AJ8" s="9"/>
      <c r="AK8" s="258"/>
      <c r="AL8" s="258"/>
      <c r="AM8" s="258"/>
      <c r="AN8" s="235"/>
      <c r="AO8" s="233"/>
      <c r="AP8" s="233"/>
      <c r="AQ8" s="233"/>
      <c r="AR8" s="236">
        <f>_xlfn.XLOOKUP(D8,'Modelling New'!$D:$D,'Modelling New'!$N:$N)</f>
        <v>130</v>
      </c>
      <c r="AS8" s="236">
        <f t="shared" si="3"/>
        <v>545867.45156154409</v>
      </c>
    </row>
    <row r="9" spans="1:45">
      <c r="A9" s="18">
        <f t="shared" si="4"/>
        <v>45752</v>
      </c>
      <c r="B9" s="29">
        <f>YEAR(Table13[[#This Row],[Date]])+IF(MONTH(Table13[[#This Row],[Date]])&gt;=4,1,0)</f>
        <v>2026</v>
      </c>
      <c r="C9" s="9">
        <f>YEAR(Table13[[#This Row],[Date]])</f>
        <v>2025</v>
      </c>
      <c r="D9" s="229">
        <f>Table13[[#This Row],[Date]]-DAY(Table13[[#This Row],[Date]])+1</f>
        <v>45748</v>
      </c>
      <c r="E9" s="9">
        <f t="shared" si="0"/>
        <v>30</v>
      </c>
      <c r="F9" s="199">
        <f>IFERROR(_xlfn.XLOOKUP($A9,Input_Raw!$A:$A,Input_Raw!$FC:$FC),"")</f>
        <v>11.799999999999999</v>
      </c>
      <c r="G9" s="185">
        <f>IFERROR(_xlfn.XLOOKUP($A9,Input_Raw!$A:$A,Input_Raw!$CY:$CY),"")</f>
        <v>6.9011737333333381</v>
      </c>
      <c r="H9" s="185">
        <f>IFERROR(_xlfn.XLOOKUP($A9,Input_Raw!$A:$A,Input_Raw!$DA:$DA),"")</f>
        <v>1.2698613999999997</v>
      </c>
      <c r="I9" s="185">
        <f>IFERROR(_xlfn.XLOOKUP($A9,Input_Raw!$A:$A,Input_Raw!$CX:$CX),"")</f>
        <v>7.0237711999999988</v>
      </c>
      <c r="J9" s="185">
        <f>IFERROR(_xlfn.XLOOKUP($A9,Input_Raw!$A:$A,Input_Raw!$CZ:$CZ),"")</f>
        <v>0.83065995000000026</v>
      </c>
      <c r="K9" s="201">
        <f>IFERROR(_xlfn.XLOOKUP($A9,Input_Raw!$A:$A,Input_Raw!$DB:$DB),"")</f>
        <v>30.65649837133547</v>
      </c>
      <c r="L9" s="201">
        <f>IFERROR(_xlfn.XLOOKUP($A9,Input_Raw!$A:$A,Input_Raw!$DC:$DC),"")</f>
        <v>38.092573289902283</v>
      </c>
      <c r="M9" s="200">
        <f>IFERROR(_xlfn.XLOOKUP($A9,Input_Raw!$A:$A,Input_Raw!$DF:$DF),"")</f>
        <v>0.82883061889250742</v>
      </c>
      <c r="N9" s="200">
        <f>IFERROR(_xlfn.XLOOKUP($A9,Input_Raw!$A:$A,Input_Raw!$DG:$DG),"")</f>
        <v>2.9670000000000001</v>
      </c>
      <c r="O9" s="230">
        <f>IFERROR(1-(SUMIF(Plant_BD!$B:$B,$A9,Plant_BD!$AL:$AL)/($AA9+SUMIF(Plant_BD!$B:$B,$A9,Plant_BD!$AL:$AL))),"")</f>
        <v>1</v>
      </c>
      <c r="P9" s="230"/>
      <c r="Q9" s="231">
        <f>IFERROR(1-(SUMIF(Grid_BD!$B:$B,$A9,Grid_BD!$V:$V)/($AA9+SUMIF(Grid_BD!$B:$B,$A9,Grid_BD!$V:$V))),"")</f>
        <v>1</v>
      </c>
      <c r="R9" s="230">
        <f>IFERROR(1-(SUMIF(Grid_BD!$B:$B,$A9,Grid_BD!$V:$V)/($AA9+SUMIF(Grid_BD!$B:$B,$A9,Grid_BD!$V:$V))),"")</f>
        <v>1</v>
      </c>
      <c r="S9" s="9"/>
      <c r="T9" s="231"/>
      <c r="U9" s="232">
        <f t="shared" si="1"/>
        <v>0.81364033176530592</v>
      </c>
      <c r="V9" s="232">
        <f>IFERROR(_xlfn.XLOOKUP($A9,Input_Raw!$A:$A,Input_Raw!$FG:$FG),"")</f>
        <v>0</v>
      </c>
      <c r="W9" s="233">
        <f t="shared" si="2"/>
        <v>0.18683076923076386</v>
      </c>
      <c r="X9" s="29">
        <f>IFERROR(_xlfn.XLOOKUP($A9,Input_Raw!$A:$A,Input_Raw!$DP:$DP),"")</f>
        <v>596774.30000000005</v>
      </c>
      <c r="Y9" s="29">
        <f>IFERROR(_xlfn.XLOOKUP($A9,Input_Raw!$A:$A,Input_Raw!EW:EW),"")</f>
        <v>585431.99999998324</v>
      </c>
      <c r="Z9" s="29">
        <f>IFERROR(_xlfn.XLOOKUP($A9,Input_Raw!$A:$A,Input_Raw!EX:EX),"")</f>
        <v>2520</v>
      </c>
      <c r="AA9" s="29">
        <f>IFERROR(_xlfn.XLOOKUP($A9,Input_Raw!$A:$A,Input_Raw!FA:FA),"")</f>
        <v>582911.99999998324</v>
      </c>
      <c r="AB9" s="9">
        <f>IFERROR(_xlfn.XLOOKUP($A9,Input_Raw!$A:$A,Input_Raw!FD:FD),"")</f>
        <v>102</v>
      </c>
      <c r="AC9" s="185">
        <f>IFERROR(_xlfn.XLOOKUP($D9,'Modelling New'!$D:$D,'Modelling New'!P:P),"")</f>
        <v>7.14</v>
      </c>
      <c r="AD9" s="29">
        <f>IFERROR(_xlfn.XLOOKUP($D9,'Modelling New'!$D:$D,'Modelling New'!T:T)*1000,"")</f>
        <v>709627.68703000736</v>
      </c>
      <c r="AE9" s="233">
        <f>IFERROR(_xlfn.XLOOKUP($D9,'Modelling New'!$D:$D,'Modelling New'!O:O),"")</f>
        <v>0.76452024028227472</v>
      </c>
      <c r="AF9" s="233">
        <f>IFERROR(_xlfn.XLOOKUP($D9,'Modelling New'!$D:$D,'Modelling New'!W:W),"")</f>
        <v>0.22744477148397671</v>
      </c>
      <c r="AG9" s="233">
        <f>IFERROR(_xlfn.XLOOKUP($D9,'Modelling New'!$D:$D,'Modelling New'!AE:AE),"")</f>
        <v>0.995</v>
      </c>
      <c r="AH9" s="234">
        <f>IFERROR(_xlfn.XLOOKUP($D9,'Modelling New'!$D:$D,'Modelling New'!AF:AF),"")</f>
        <v>0.995</v>
      </c>
      <c r="AI9" s="9"/>
      <c r="AJ9" s="9"/>
      <c r="AK9" s="258"/>
      <c r="AL9" s="258"/>
      <c r="AM9" s="258"/>
      <c r="AN9" s="235"/>
      <c r="AO9" s="233"/>
      <c r="AP9" s="233"/>
      <c r="AQ9" s="233"/>
      <c r="AR9" s="236">
        <f>_xlfn.XLOOKUP(D9,'Modelling New'!$D:$D,'Modelling New'!$N:$N)</f>
        <v>130</v>
      </c>
      <c r="AS9" s="236">
        <f t="shared" si="3"/>
        <v>556784.80059277499</v>
      </c>
    </row>
    <row r="10" spans="1:45">
      <c r="A10" s="18">
        <f t="shared" si="4"/>
        <v>45753</v>
      </c>
      <c r="B10" s="29">
        <f>YEAR(Table13[[#This Row],[Date]])+IF(MONTH(Table13[[#This Row],[Date]])&gt;=4,1,0)</f>
        <v>2026</v>
      </c>
      <c r="C10" s="9">
        <f>YEAR(Table13[[#This Row],[Date]])</f>
        <v>2025</v>
      </c>
      <c r="D10" s="229">
        <f>Table13[[#This Row],[Date]]-DAY(Table13[[#This Row],[Date]])+1</f>
        <v>45748</v>
      </c>
      <c r="E10" s="9">
        <f t="shared" si="0"/>
        <v>30</v>
      </c>
      <c r="F10" s="199">
        <f>IFERROR(_xlfn.XLOOKUP($A10,Input_Raw!$A:$A,Input_Raw!$FC:$FC),"")</f>
        <v>11.783333333333333</v>
      </c>
      <c r="G10" s="200">
        <f>IFERROR(_xlfn.XLOOKUP($A10,Input_Raw!$A:$A,Input_Raw!$CY:$CY),"")</f>
        <v>7.1267072166666701</v>
      </c>
      <c r="H10" s="200">
        <f>IFERROR(_xlfn.XLOOKUP($A10,Input_Raw!$A:$A,Input_Raw!$DA:$DA),"")</f>
        <v>1.3176237000000013</v>
      </c>
      <c r="I10" s="200">
        <f>IFERROR(_xlfn.XLOOKUP($A10,Input_Raw!$A:$A,Input_Raw!$CX:$CX),"")</f>
        <v>7.2617078499999996</v>
      </c>
      <c r="J10" s="200">
        <f>IFERROR(_xlfn.XLOOKUP($A10,Input_Raw!$A:$A,Input_Raw!$CZ:$CZ),"")</f>
        <v>0.85638393333333385</v>
      </c>
      <c r="K10" s="201">
        <f>IFERROR(_xlfn.XLOOKUP($A10,Input_Raw!$A:$A,Input_Raw!$DB:$DB),"")</f>
        <v>32.570993031358924</v>
      </c>
      <c r="L10" s="201">
        <f>IFERROR(_xlfn.XLOOKUP($A10,Input_Raw!$A:$A,Input_Raw!$DC:$DC),"")</f>
        <v>39.887005226480888</v>
      </c>
      <c r="M10" s="200">
        <f>IFERROR(_xlfn.XLOOKUP($A10,Input_Raw!$A:$A,Input_Raw!$DF:$DF),"")</f>
        <v>0.9254790940766543</v>
      </c>
      <c r="N10" s="200">
        <f>IFERROR(_xlfn.XLOOKUP($A10,Input_Raw!$A:$A,Input_Raw!$DG:$DG),"")</f>
        <v>2.496</v>
      </c>
      <c r="O10" s="230">
        <f>IFERROR(1-(SUMIF(Plant_BD!$B:$B,$A10,Plant_BD!$AL:$AL)/($AA10+SUMIF(Plant_BD!$B:$B,$A10,Plant_BD!$AL:$AL))),"")</f>
        <v>1</v>
      </c>
      <c r="P10" s="230"/>
      <c r="Q10" s="231">
        <f>IFERROR(1-(SUMIF(Grid_BD!$B:$B,$A10,Grid_BD!$V:$V)/($AA10+SUMIF(Grid_BD!$B:$B,$A10,Grid_BD!$V:$V))),"")</f>
        <v>1</v>
      </c>
      <c r="R10" s="230">
        <f>IFERROR(1-(SUMIF(Grid_BD!$B:$B,$A10,Grid_BD!$V:$V)/($AA10+SUMIF(Grid_BD!$B:$B,$A10,Grid_BD!$V:$V))),"")</f>
        <v>1</v>
      </c>
      <c r="S10" s="9"/>
      <c r="T10" s="231"/>
      <c r="U10" s="232">
        <f t="shared" si="1"/>
        <v>0.80865760719330126</v>
      </c>
      <c r="V10" s="232">
        <f>IFERROR(_xlfn.XLOOKUP($A10,Input_Raw!$A:$A,Input_Raw!$FG:$FG),"")</f>
        <v>0</v>
      </c>
      <c r="W10" s="233">
        <f t="shared" si="2"/>
        <v>0.19197692307692846</v>
      </c>
      <c r="X10" s="29">
        <f>IFERROR(_xlfn.XLOOKUP($A10,Input_Raw!$A:$A,Input_Raw!$DP:$DP),"")</f>
        <v>611640.69999999995</v>
      </c>
      <c r="Y10" s="29">
        <f>IFERROR(_xlfn.XLOOKUP($A10,Input_Raw!$A:$A,Input_Raw!EW:EW),"")</f>
        <v>601128.00000001676</v>
      </c>
      <c r="Z10" s="29">
        <f>IFERROR(_xlfn.XLOOKUP($A10,Input_Raw!$A:$A,Input_Raw!EX:EX),"")</f>
        <v>2160</v>
      </c>
      <c r="AA10" s="29">
        <f>IFERROR(_xlfn.XLOOKUP($A10,Input_Raw!$A:$A,Input_Raw!FA:FA),"")</f>
        <v>598968.00000001676</v>
      </c>
      <c r="AB10" s="9">
        <f>IFERROR(_xlfn.XLOOKUP($A10,Input_Raw!$A:$A,Input_Raw!FD:FD),"")</f>
        <v>102</v>
      </c>
      <c r="AC10" s="185">
        <f>IFERROR(_xlfn.XLOOKUP($D10,'Modelling New'!$D:$D,'Modelling New'!P:P),"")</f>
        <v>7.14</v>
      </c>
      <c r="AD10" s="29">
        <f>IFERROR(_xlfn.XLOOKUP($D10,'Modelling New'!$D:$D,'Modelling New'!T:T)*1000,"")</f>
        <v>709627.68703000736</v>
      </c>
      <c r="AE10" s="233">
        <f>IFERROR(_xlfn.XLOOKUP($D10,'Modelling New'!$D:$D,'Modelling New'!O:O),"")</f>
        <v>0.76452024028227472</v>
      </c>
      <c r="AF10" s="233">
        <f>IFERROR(_xlfn.XLOOKUP($D10,'Modelling New'!$D:$D,'Modelling New'!W:W),"")</f>
        <v>0.22744477148397671</v>
      </c>
      <c r="AG10" s="233">
        <f>IFERROR(_xlfn.XLOOKUP($D10,'Modelling New'!$D:$D,'Modelling New'!AE:AE),"")</f>
        <v>0.995</v>
      </c>
      <c r="AH10" s="234">
        <f>IFERROR(_xlfn.XLOOKUP($D10,'Modelling New'!$D:$D,'Modelling New'!AF:AF),"")</f>
        <v>0.995</v>
      </c>
      <c r="AI10" s="9"/>
      <c r="AJ10" s="9"/>
      <c r="AK10" s="258"/>
      <c r="AL10" s="258"/>
      <c r="AM10" s="258"/>
      <c r="AN10" s="235"/>
      <c r="AO10" s="233"/>
      <c r="AP10" s="233"/>
      <c r="AQ10" s="233"/>
      <c r="AR10" s="236">
        <f>_xlfn.XLOOKUP(D10,'Modelling New'!$D:$D,'Modelling New'!$N:$N)</f>
        <v>130</v>
      </c>
      <c r="AS10" s="236">
        <f t="shared" si="3"/>
        <v>556784.80059277499</v>
      </c>
    </row>
    <row r="11" spans="1:45">
      <c r="A11" s="18">
        <f t="shared" si="4"/>
        <v>45754</v>
      </c>
      <c r="B11" s="29">
        <f>YEAR(Table13[[#This Row],[Date]])+IF(MONTH(Table13[[#This Row],[Date]])&gt;=4,1,0)</f>
        <v>2026</v>
      </c>
      <c r="C11" s="9">
        <f>YEAR(Table13[[#This Row],[Date]])</f>
        <v>2025</v>
      </c>
      <c r="D11" s="229">
        <f>Table13[[#This Row],[Date]]-DAY(Table13[[#This Row],[Date]])+1</f>
        <v>45748</v>
      </c>
      <c r="E11" s="9">
        <f t="shared" si="0"/>
        <v>30</v>
      </c>
      <c r="F11" s="199">
        <f>IFERROR(_xlfn.XLOOKUP($A11,Input_Raw!$A:$A,Input_Raw!$FC:$FC),"")</f>
        <v>11.366666666666665</v>
      </c>
      <c r="G11" s="185">
        <f>IFERROR(_xlfn.XLOOKUP($A11,Input_Raw!$A:$A,Input_Raw!$CY:$CY),"")</f>
        <v>7.1847138333333245</v>
      </c>
      <c r="H11" s="185">
        <f>IFERROR(_xlfn.XLOOKUP($A11,Input_Raw!$A:$A,Input_Raw!$DA:$DA),"")</f>
        <v>1.3355898833333333</v>
      </c>
      <c r="I11" s="185">
        <f>IFERROR(_xlfn.XLOOKUP($A11,Input_Raw!$A:$A,Input_Raw!$CX:$CX),"")</f>
        <v>7.3114926833333271</v>
      </c>
      <c r="J11" s="185">
        <f>IFERROR(_xlfn.XLOOKUP($A11,Input_Raw!$A:$A,Input_Raw!$CZ:$CZ),"")</f>
        <v>0.8737235333333343</v>
      </c>
      <c r="K11" s="201">
        <f>IFERROR(_xlfn.XLOOKUP($A11,Input_Raw!$A:$A,Input_Raw!$DB:$DB),"")</f>
        <v>33.641074523396867</v>
      </c>
      <c r="L11" s="201">
        <f>IFERROR(_xlfn.XLOOKUP($A11,Input_Raw!$A:$A,Input_Raw!$DC:$DC),"")</f>
        <v>40.8464974003466</v>
      </c>
      <c r="M11" s="200">
        <f>IFERROR(_xlfn.XLOOKUP($A11,Input_Raw!$A:$A,Input_Raw!$DF:$DF),"")</f>
        <v>1.0249913344887345</v>
      </c>
      <c r="N11" s="200">
        <f>IFERROR(_xlfn.XLOOKUP($A11,Input_Raw!$A:$A,Input_Raw!$DG:$DG),"")</f>
        <v>2.88</v>
      </c>
      <c r="O11" s="230">
        <f>IFERROR(1-(SUMIF(Plant_BD!$B:$B,$A11,Plant_BD!$AL:$AL)/($AA11+SUMIF(Plant_BD!$B:$B,$A11,Plant_BD!$AL:$AL))),"")</f>
        <v>1</v>
      </c>
      <c r="P11" s="230"/>
      <c r="Q11" s="231">
        <f>IFERROR(1-(SUMIF(Grid_BD!$B:$B,$A11,Grid_BD!$V:$V)/($AA11+SUMIF(Grid_BD!$B:$B,$A11,Grid_BD!$V:$V))),"")</f>
        <v>1</v>
      </c>
      <c r="R11" s="230">
        <f>IFERROR(1-(SUMIF(Grid_BD!$B:$B,$A11,Grid_BD!$V:$V)/($AA11+SUMIF(Grid_BD!$B:$B,$A11,Grid_BD!$V:$V))),"")</f>
        <v>1</v>
      </c>
      <c r="S11" s="9"/>
      <c r="T11" s="231"/>
      <c r="U11" s="232">
        <f t="shared" si="1"/>
        <v>0.80653040793062247</v>
      </c>
      <c r="V11" s="232">
        <f>IFERROR(_xlfn.XLOOKUP($A11,Input_Raw!$A:$A,Input_Raw!$FG:$FG),"")</f>
        <v>0</v>
      </c>
      <c r="W11" s="233">
        <f t="shared" si="2"/>
        <v>0.19278461538461542</v>
      </c>
      <c r="X11" s="29">
        <f>IFERROR(_xlfn.XLOOKUP($A11,Input_Raw!$A:$A,Input_Raw!$DP:$DP),"")</f>
        <v>616547</v>
      </c>
      <c r="Y11" s="29">
        <f>IFERROR(_xlfn.XLOOKUP($A11,Input_Raw!$A:$A,Input_Raw!EW:EW),"")</f>
        <v>604080</v>
      </c>
      <c r="Z11" s="29">
        <f>IFERROR(_xlfn.XLOOKUP($A11,Input_Raw!$A:$A,Input_Raw!EX:EX),"")</f>
        <v>2591.9999999999345</v>
      </c>
      <c r="AA11" s="29">
        <f>IFERROR(_xlfn.XLOOKUP($A11,Input_Raw!$A:$A,Input_Raw!FA:FA),"")</f>
        <v>601488.00000000012</v>
      </c>
      <c r="AB11" s="9">
        <f>IFERROR(_xlfn.XLOOKUP($A11,Input_Raw!$A:$A,Input_Raw!FD:FD),"")</f>
        <v>102</v>
      </c>
      <c r="AC11" s="185">
        <f>IFERROR(_xlfn.XLOOKUP($D11,'Modelling New'!$D:$D,'Modelling New'!P:P),"")</f>
        <v>7.14</v>
      </c>
      <c r="AD11" s="29">
        <f>IFERROR(_xlfn.XLOOKUP($D11,'Modelling New'!$D:$D,'Modelling New'!T:T)*1000,"")</f>
        <v>709627.68703000736</v>
      </c>
      <c r="AE11" s="233">
        <f>IFERROR(_xlfn.XLOOKUP($D11,'Modelling New'!$D:$D,'Modelling New'!O:O),"")</f>
        <v>0.76452024028227472</v>
      </c>
      <c r="AF11" s="233">
        <f>IFERROR(_xlfn.XLOOKUP($D11,'Modelling New'!$D:$D,'Modelling New'!W:W),"")</f>
        <v>0.22744477148397671</v>
      </c>
      <c r="AG11" s="233">
        <f>IFERROR(_xlfn.XLOOKUP($D11,'Modelling New'!$D:$D,'Modelling New'!AE:AE),"")</f>
        <v>0.995</v>
      </c>
      <c r="AH11" s="234">
        <f>IFERROR(_xlfn.XLOOKUP($D11,'Modelling New'!$D:$D,'Modelling New'!AF:AF),"")</f>
        <v>0.995</v>
      </c>
      <c r="AI11" s="9"/>
      <c r="AJ11" s="9"/>
      <c r="AK11" s="258"/>
      <c r="AL11" s="258"/>
      <c r="AM11" s="258"/>
      <c r="AN11" s="235"/>
      <c r="AO11" s="233"/>
      <c r="AP11" s="233"/>
      <c r="AQ11" s="233"/>
      <c r="AR11" s="236">
        <f>_xlfn.XLOOKUP(D11,'Modelling New'!$D:$D,'Modelling New'!$N:$N)</f>
        <v>130</v>
      </c>
      <c r="AS11" s="236">
        <f t="shared" si="3"/>
        <v>556784.80059277499</v>
      </c>
    </row>
    <row r="12" spans="1:45">
      <c r="A12" s="18">
        <f t="shared" si="4"/>
        <v>45755</v>
      </c>
      <c r="B12" s="29">
        <f>YEAR(Table13[[#This Row],[Date]])+IF(MONTH(Table13[[#This Row],[Date]])&gt;=4,1,0)</f>
        <v>2026</v>
      </c>
      <c r="C12" s="9">
        <f>YEAR(Table13[[#This Row],[Date]])</f>
        <v>2025</v>
      </c>
      <c r="D12" s="229">
        <f>Table13[[#This Row],[Date]]-DAY(Table13[[#This Row],[Date]])+1</f>
        <v>45748</v>
      </c>
      <c r="E12" s="9">
        <f t="shared" si="0"/>
        <v>30</v>
      </c>
      <c r="F12" s="199">
        <f>IFERROR(_xlfn.XLOOKUP($A12,Input_Raw!$A:$A,Input_Raw!$FC:$FC),"")</f>
        <v>11.866666666666665</v>
      </c>
      <c r="G12" s="200">
        <f>IFERROR(_xlfn.XLOOKUP($A12,Input_Raw!$A:$A,Input_Raw!$CY:$CY),"")</f>
        <v>7.0545122499999966</v>
      </c>
      <c r="H12" s="200">
        <f>IFERROR(_xlfn.XLOOKUP($A12,Input_Raw!$A:$A,Input_Raw!$DA:$DA),"")</f>
        <v>1.3287214333333337</v>
      </c>
      <c r="I12" s="200">
        <f>IFERROR(_xlfn.XLOOKUP($A12,Input_Raw!$A:$A,Input_Raw!$CX:$CX),"")</f>
        <v>7.195246400000002</v>
      </c>
      <c r="J12" s="200">
        <f>IFERROR(_xlfn.XLOOKUP($A12,Input_Raw!$A:$A,Input_Raw!$CZ:$CZ),"")</f>
        <v>0.88503054999999997</v>
      </c>
      <c r="K12" s="201">
        <f>IFERROR(_xlfn.XLOOKUP($A12,Input_Raw!$A:$A,Input_Raw!$DB:$DB),"")</f>
        <v>33.79870801033595</v>
      </c>
      <c r="L12" s="201">
        <f>IFERROR(_xlfn.XLOOKUP($A12,Input_Raw!$A:$A,Input_Raw!$DC:$DC),"")</f>
        <v>41.103325581395296</v>
      </c>
      <c r="M12" s="200">
        <f>IFERROR(_xlfn.XLOOKUP($A12,Input_Raw!$A:$A,Input_Raw!$DF:$DF),"")</f>
        <v>0.94429198966408301</v>
      </c>
      <c r="N12" s="200">
        <f>IFERROR(_xlfn.XLOOKUP($A12,Input_Raw!$A:$A,Input_Raw!$DG:$DG),"")</f>
        <v>2.9340000000000002</v>
      </c>
      <c r="O12" s="230">
        <f>IFERROR(1-(SUMIF(Plant_BD!$B:$B,$A12,Plant_BD!$AL:$AL)/($AA12+SUMIF(Plant_BD!$B:$B,$A12,Plant_BD!$AL:$AL))),"")</f>
        <v>0.99914249880876715</v>
      </c>
      <c r="P12" s="230"/>
      <c r="Q12" s="231">
        <f>IFERROR(1-(SUMIF(Grid_BD!$B:$B,$A12,Grid_BD!$V:$V)/($AA12+SUMIF(Grid_BD!$B:$B,$A12,Grid_BD!$V:$V))),"")</f>
        <v>1</v>
      </c>
      <c r="R12" s="230">
        <f>IFERROR(1-(SUMIF(Grid_BD!$B:$B,$A12,Grid_BD!$V:$V)/($AA12+SUMIF(Grid_BD!$B:$B,$A12,Grid_BD!$V:$V))),"")</f>
        <v>1</v>
      </c>
      <c r="S12" s="9"/>
      <c r="T12" s="231"/>
      <c r="U12" s="232">
        <f t="shared" si="1"/>
        <v>0.80003800679226345</v>
      </c>
      <c r="V12" s="232">
        <f>IFERROR(_xlfn.XLOOKUP($A12,Input_Raw!$A:$A,Input_Raw!$FG:$FG),"")</f>
        <v>0</v>
      </c>
      <c r="W12" s="233">
        <f t="shared" si="2"/>
        <v>0.18819230769230497</v>
      </c>
      <c r="X12" s="29">
        <f>IFERROR(_xlfn.XLOOKUP($A12,Input_Raw!$A:$A,Input_Raw!$DP:$DP),"")</f>
        <v>601810.19999999995</v>
      </c>
      <c r="Y12" s="29">
        <f>IFERROR(_xlfn.XLOOKUP($A12,Input_Raw!$A:$A,Input_Raw!EW:EW),"")</f>
        <v>589535.99999999162</v>
      </c>
      <c r="Z12" s="29">
        <f>IFERROR(_xlfn.XLOOKUP($A12,Input_Raw!$A:$A,Input_Raw!EX:EX),"")</f>
        <v>2376.000000000131</v>
      </c>
      <c r="AA12" s="29">
        <f>IFERROR(_xlfn.XLOOKUP($A12,Input_Raw!$A:$A,Input_Raw!FA:FA),"")</f>
        <v>587159.9999999915</v>
      </c>
      <c r="AB12" s="9">
        <f>IFERROR(_xlfn.XLOOKUP($A12,Input_Raw!$A:$A,Input_Raw!FD:FD),"")</f>
        <v>102</v>
      </c>
      <c r="AC12" s="185">
        <f>IFERROR(_xlfn.XLOOKUP($D12,'Modelling New'!$D:$D,'Modelling New'!P:P),"")</f>
        <v>7.14</v>
      </c>
      <c r="AD12" s="29">
        <f>IFERROR(_xlfn.XLOOKUP($D12,'Modelling New'!$D:$D,'Modelling New'!T:T)*1000,"")</f>
        <v>709627.68703000736</v>
      </c>
      <c r="AE12" s="233">
        <f>IFERROR(_xlfn.XLOOKUP($D12,'Modelling New'!$D:$D,'Modelling New'!O:O),"")</f>
        <v>0.76452024028227472</v>
      </c>
      <c r="AF12" s="233">
        <f>IFERROR(_xlfn.XLOOKUP($D12,'Modelling New'!$D:$D,'Modelling New'!W:W),"")</f>
        <v>0.22744477148397671</v>
      </c>
      <c r="AG12" s="233">
        <f>IFERROR(_xlfn.XLOOKUP($D12,'Modelling New'!$D:$D,'Modelling New'!AE:AE),"")</f>
        <v>0.995</v>
      </c>
      <c r="AH12" s="234">
        <f>IFERROR(_xlfn.XLOOKUP($D12,'Modelling New'!$D:$D,'Modelling New'!AF:AF),"")</f>
        <v>0.995</v>
      </c>
      <c r="AI12" s="9"/>
      <c r="AJ12" s="9"/>
      <c r="AK12" s="258"/>
      <c r="AL12" s="258"/>
      <c r="AM12" s="258"/>
      <c r="AN12" s="235"/>
      <c r="AO12" s="233"/>
      <c r="AP12" s="233"/>
      <c r="AQ12" s="233"/>
      <c r="AR12" s="236">
        <f>_xlfn.XLOOKUP(D12,'Modelling New'!$D:$D,'Modelling New'!$N:$N)</f>
        <v>130</v>
      </c>
      <c r="AS12" s="236">
        <f t="shared" si="3"/>
        <v>556784.80059277499</v>
      </c>
    </row>
    <row r="13" spans="1:45">
      <c r="A13" s="18">
        <f t="shared" si="4"/>
        <v>45756</v>
      </c>
      <c r="B13" s="29">
        <f>YEAR(Table13[[#This Row],[Date]])+IF(MONTH(Table13[[#This Row],[Date]])&gt;=4,1,0)</f>
        <v>2026</v>
      </c>
      <c r="C13" s="9">
        <f>YEAR(Table13[[#This Row],[Date]])</f>
        <v>2025</v>
      </c>
      <c r="D13" s="229">
        <f>Table13[[#This Row],[Date]]-DAY(Table13[[#This Row],[Date]])+1</f>
        <v>45748</v>
      </c>
      <c r="E13" s="9">
        <f t="shared" si="0"/>
        <v>30</v>
      </c>
      <c r="F13" s="199">
        <f>IFERROR(_xlfn.XLOOKUP($A13,Input_Raw!$A:$A,Input_Raw!$FC:$FC),"")</f>
        <v>11.75</v>
      </c>
      <c r="G13" s="185">
        <f>IFERROR(_xlfn.XLOOKUP($A13,Input_Raw!$A:$A,Input_Raw!$CY:$CY),"")</f>
        <v>6.2230471166666685</v>
      </c>
      <c r="H13" s="185">
        <f>IFERROR(_xlfn.XLOOKUP($A13,Input_Raw!$A:$A,Input_Raw!$DA:$DA),"")</f>
        <v>1.2042739666666684</v>
      </c>
      <c r="I13" s="185">
        <f>IFERROR(_xlfn.XLOOKUP($A13,Input_Raw!$A:$A,Input_Raw!$CX:$CX),"")</f>
        <v>6.3737436833333359</v>
      </c>
      <c r="J13" s="185">
        <f>IFERROR(_xlfn.XLOOKUP($A13,Input_Raw!$A:$A,Input_Raw!$CZ:$CZ),"")</f>
        <v>0.80677334999999928</v>
      </c>
      <c r="K13" s="201">
        <f>IFERROR(_xlfn.XLOOKUP($A13,Input_Raw!$A:$A,Input_Raw!$DB:$DB),"")</f>
        <v>33.301143884892149</v>
      </c>
      <c r="L13" s="201">
        <f>IFERROR(_xlfn.XLOOKUP($A13,Input_Raw!$A:$A,Input_Raw!$DC:$DC),"")</f>
        <v>43.264656115107854</v>
      </c>
      <c r="M13" s="200">
        <f>IFERROR(_xlfn.XLOOKUP($A13,Input_Raw!$A:$A,Input_Raw!$DF:$DF),"")</f>
        <v>0.67707841726618623</v>
      </c>
      <c r="N13" s="200">
        <f>IFERROR(_xlfn.XLOOKUP($A13,Input_Raw!$A:$A,Input_Raw!$DG:$DG),"")</f>
        <v>2.496</v>
      </c>
      <c r="O13" s="230">
        <f>IFERROR(1-(SUMIF(Plant_BD!$B:$B,$A13,Plant_BD!$AL:$AL)/($AA13+SUMIF(Plant_BD!$B:$B,$A13,Plant_BD!$AL:$AL))),"")</f>
        <v>1</v>
      </c>
      <c r="P13" s="230"/>
      <c r="Q13" s="231">
        <f>IFERROR(1-(SUMIF(Grid_BD!$B:$B,$A13,Grid_BD!$V:$V)/($AA13+SUMIF(Grid_BD!$B:$B,$A13,Grid_BD!$V:$V))),"")</f>
        <v>1</v>
      </c>
      <c r="R13" s="230">
        <f>IFERROR(1-(SUMIF(Grid_BD!$B:$B,$A13,Grid_BD!$V:$V)/($AA13+SUMIF(Grid_BD!$B:$B,$A13,Grid_BD!$V:$V))),"")</f>
        <v>1</v>
      </c>
      <c r="S13" s="9"/>
      <c r="T13" s="231"/>
      <c r="U13" s="232">
        <f t="shared" si="1"/>
        <v>0.82252887718139844</v>
      </c>
      <c r="V13" s="232">
        <f>IFERROR(_xlfn.XLOOKUP($A13,Input_Raw!$A:$A,Input_Raw!$FG:$FG),"")</f>
        <v>0</v>
      </c>
      <c r="W13" s="233">
        <f t="shared" si="2"/>
        <v>0.17139230769231037</v>
      </c>
      <c r="X13" s="29">
        <f>IFERROR(_xlfn.XLOOKUP($A13,Input_Raw!$A:$A,Input_Raw!$DP:$DP),"")</f>
        <v>548640.4</v>
      </c>
      <c r="Y13" s="29">
        <f>IFERROR(_xlfn.XLOOKUP($A13,Input_Raw!$A:$A,Input_Raw!EW:EW),"")</f>
        <v>538344.00000000838</v>
      </c>
      <c r="Z13" s="29">
        <f>IFERROR(_xlfn.XLOOKUP($A13,Input_Raw!$A:$A,Input_Raw!EX:EX),"")</f>
        <v>3600</v>
      </c>
      <c r="AA13" s="29">
        <f>IFERROR(_xlfn.XLOOKUP($A13,Input_Raw!$A:$A,Input_Raw!FA:FA),"")</f>
        <v>534744.00000000838</v>
      </c>
      <c r="AB13" s="9">
        <f>IFERROR(_xlfn.XLOOKUP($A13,Input_Raw!$A:$A,Input_Raw!FD:FD),"")</f>
        <v>102</v>
      </c>
      <c r="AC13" s="185">
        <f>IFERROR(_xlfn.XLOOKUP($D13,'Modelling New'!$D:$D,'Modelling New'!P:P),"")</f>
        <v>7.14</v>
      </c>
      <c r="AD13" s="29">
        <f>IFERROR(_xlfn.XLOOKUP($D13,'Modelling New'!$D:$D,'Modelling New'!T:T)*1000,"")</f>
        <v>709627.68703000736</v>
      </c>
      <c r="AE13" s="233">
        <f>IFERROR(_xlfn.XLOOKUP($D13,'Modelling New'!$D:$D,'Modelling New'!O:O),"")</f>
        <v>0.76452024028227472</v>
      </c>
      <c r="AF13" s="233">
        <f>IFERROR(_xlfn.XLOOKUP($D13,'Modelling New'!$D:$D,'Modelling New'!W:W),"")</f>
        <v>0.22744477148397671</v>
      </c>
      <c r="AG13" s="233">
        <f>IFERROR(_xlfn.XLOOKUP($D13,'Modelling New'!$D:$D,'Modelling New'!AE:AE),"")</f>
        <v>0.995</v>
      </c>
      <c r="AH13" s="234">
        <f>IFERROR(_xlfn.XLOOKUP($D13,'Modelling New'!$D:$D,'Modelling New'!AF:AF),"")</f>
        <v>0.995</v>
      </c>
      <c r="AI13" s="9"/>
      <c r="AJ13" s="9"/>
      <c r="AK13" s="258"/>
      <c r="AL13" s="258"/>
      <c r="AM13" s="258"/>
      <c r="AN13" s="235"/>
      <c r="AO13" s="233"/>
      <c r="AP13" s="233"/>
      <c r="AQ13" s="233"/>
      <c r="AR13" s="236">
        <f>_xlfn.XLOOKUP(D13,'Modelling New'!$D:$D,'Modelling New'!$N:$N)</f>
        <v>130</v>
      </c>
      <c r="AS13" s="236">
        <f t="shared" si="3"/>
        <v>556784.80059277499</v>
      </c>
    </row>
    <row r="14" spans="1:45">
      <c r="A14" s="18">
        <f t="shared" si="4"/>
        <v>45757</v>
      </c>
      <c r="B14" s="29">
        <f>YEAR(Table13[[#This Row],[Date]])+IF(MONTH(Table13[[#This Row],[Date]])&gt;=4,1,0)</f>
        <v>2026</v>
      </c>
      <c r="C14" s="9">
        <f>YEAR(Table13[[#This Row],[Date]])</f>
        <v>2025</v>
      </c>
      <c r="D14" s="229">
        <f>Table13[[#This Row],[Date]]-DAY(Table13[[#This Row],[Date]])+1</f>
        <v>45748</v>
      </c>
      <c r="E14" s="9">
        <f t="shared" si="0"/>
        <v>30</v>
      </c>
      <c r="F14" s="199">
        <f>IFERROR(_xlfn.XLOOKUP($A14,Input_Raw!$A:$A,Input_Raw!$FC:$FC),"")</f>
        <v>11.85</v>
      </c>
      <c r="G14" s="200">
        <f>IFERROR(_xlfn.XLOOKUP($A14,Input_Raw!$A:$A,Input_Raw!$CY:$CY),"")</f>
        <v>6.8726599833333353</v>
      </c>
      <c r="H14" s="200">
        <f>IFERROR(_xlfn.XLOOKUP($A14,Input_Raw!$A:$A,Input_Raw!$DA:$DA),"")</f>
        <v>1.3100595666666666</v>
      </c>
      <c r="I14" s="200">
        <f>IFERROR(_xlfn.XLOOKUP($A14,Input_Raw!$A:$A,Input_Raw!$CX:$CX),"")</f>
        <v>7.0734217833333304</v>
      </c>
      <c r="J14" s="200">
        <f>IFERROR(_xlfn.XLOOKUP($A14,Input_Raw!$A:$A,Input_Raw!$CZ:$CZ),"")</f>
        <v>0.90686493333333273</v>
      </c>
      <c r="K14" s="201">
        <f>IFERROR(_xlfn.XLOOKUP($A14,Input_Raw!$A:$A,Input_Raw!$DB:$DB),"")</f>
        <v>34.802471111111082</v>
      </c>
      <c r="L14" s="201">
        <f>IFERROR(_xlfn.XLOOKUP($A14,Input_Raw!$A:$A,Input_Raw!$DC:$DC),"")</f>
        <v>48.381240888888932</v>
      </c>
      <c r="M14" s="200">
        <f>IFERROR(_xlfn.XLOOKUP($A14,Input_Raw!$A:$A,Input_Raw!$DF:$DF),"")</f>
        <v>1.3233893333333344</v>
      </c>
      <c r="N14" s="200">
        <f>IFERROR(_xlfn.XLOOKUP($A14,Input_Raw!$A:$A,Input_Raw!$DG:$DG),"")</f>
        <v>3.4350000000000001</v>
      </c>
      <c r="O14" s="230">
        <f>IFERROR(1-(SUMIF(Plant_BD!$B:$B,$A14,Plant_BD!$AL:$AL)/($AA14+SUMIF(Plant_BD!$B:$B,$A14,Plant_BD!$AL:$AL))),"")</f>
        <v>1</v>
      </c>
      <c r="P14" s="230"/>
      <c r="Q14" s="231">
        <f>IFERROR(1-(SUMIF(Grid_BD!$B:$B,$A14,Grid_BD!$V:$V)/($AA14+SUMIF(Grid_BD!$B:$B,$A14,Grid_BD!$V:$V))),"")</f>
        <v>1</v>
      </c>
      <c r="R14" s="230">
        <f>IFERROR(1-(SUMIF(Grid_BD!$B:$B,$A14,Grid_BD!$V:$V)/($AA14+SUMIF(Grid_BD!$B:$B,$A14,Grid_BD!$V:$V))),"")</f>
        <v>1</v>
      </c>
      <c r="S14" s="9"/>
      <c r="T14" s="231"/>
      <c r="U14" s="232">
        <f t="shared" si="1"/>
        <v>0.8010433734362552</v>
      </c>
      <c r="V14" s="232">
        <f>IFERROR(_xlfn.XLOOKUP($A14,Input_Raw!$A:$A,Input_Raw!$FG:$FG),"")</f>
        <v>0</v>
      </c>
      <c r="W14" s="233">
        <f t="shared" si="2"/>
        <v>0.18523846153846155</v>
      </c>
      <c r="X14" s="29">
        <f>IFERROR(_xlfn.XLOOKUP($A14,Input_Raw!$A:$A,Input_Raw!$DP:$DP),"")</f>
        <v>591491.9</v>
      </c>
      <c r="Y14" s="29">
        <f>IFERROR(_xlfn.XLOOKUP($A14,Input_Raw!$A:$A,Input_Raw!EW:EW),"")</f>
        <v>579600</v>
      </c>
      <c r="Z14" s="29">
        <f>IFERROR(_xlfn.XLOOKUP($A14,Input_Raw!$A:$A,Input_Raw!EX:EX),"")</f>
        <v>1655.9999999999673</v>
      </c>
      <c r="AA14" s="29">
        <f>IFERROR(_xlfn.XLOOKUP($A14,Input_Raw!$A:$A,Input_Raw!FA:FA),"")</f>
        <v>577944</v>
      </c>
      <c r="AB14" s="9">
        <f>IFERROR(_xlfn.XLOOKUP($A14,Input_Raw!$A:$A,Input_Raw!FD:FD),"")</f>
        <v>102</v>
      </c>
      <c r="AC14" s="185">
        <f>IFERROR(_xlfn.XLOOKUP($D14,'Modelling New'!$D:$D,'Modelling New'!P:P),"")</f>
        <v>7.14</v>
      </c>
      <c r="AD14" s="29">
        <f>IFERROR(_xlfn.XLOOKUP($D14,'Modelling New'!$D:$D,'Modelling New'!T:T)*1000,"")</f>
        <v>709627.68703000736</v>
      </c>
      <c r="AE14" s="233">
        <f>IFERROR(_xlfn.XLOOKUP($D14,'Modelling New'!$D:$D,'Modelling New'!O:O),"")</f>
        <v>0.76452024028227472</v>
      </c>
      <c r="AF14" s="233">
        <f>IFERROR(_xlfn.XLOOKUP($D14,'Modelling New'!$D:$D,'Modelling New'!W:W),"")</f>
        <v>0.22744477148397671</v>
      </c>
      <c r="AG14" s="233">
        <f>IFERROR(_xlfn.XLOOKUP($D14,'Modelling New'!$D:$D,'Modelling New'!AE:AE),"")</f>
        <v>0.995</v>
      </c>
      <c r="AH14" s="234">
        <f>IFERROR(_xlfn.XLOOKUP($D14,'Modelling New'!$D:$D,'Modelling New'!AF:AF),"")</f>
        <v>0.995</v>
      </c>
      <c r="AI14" s="9"/>
      <c r="AJ14" s="9"/>
      <c r="AK14" s="258"/>
      <c r="AL14" s="258"/>
      <c r="AM14" s="258"/>
      <c r="AN14" s="235"/>
      <c r="AO14" s="233"/>
      <c r="AP14" s="233"/>
      <c r="AQ14" s="233"/>
      <c r="AR14" s="236">
        <f>_xlfn.XLOOKUP(D14,'Modelling New'!$D:$D,'Modelling New'!$N:$N)</f>
        <v>130</v>
      </c>
      <c r="AS14" s="236">
        <f t="shared" si="3"/>
        <v>556784.80059277499</v>
      </c>
    </row>
    <row r="15" spans="1:45">
      <c r="A15" s="18">
        <f t="shared" si="4"/>
        <v>45758</v>
      </c>
      <c r="B15" s="29">
        <f>YEAR(Table13[[#This Row],[Date]])+IF(MONTH(Table13[[#This Row],[Date]])&gt;=4,1,0)</f>
        <v>2026</v>
      </c>
      <c r="C15" s="9">
        <f>YEAR(Table13[[#This Row],[Date]])</f>
        <v>2025</v>
      </c>
      <c r="D15" s="229">
        <f>Table13[[#This Row],[Date]]-DAY(Table13[[#This Row],[Date]])+1</f>
        <v>45748</v>
      </c>
      <c r="E15" s="9">
        <f t="shared" si="0"/>
        <v>30</v>
      </c>
      <c r="F15" s="199">
        <f>IFERROR(_xlfn.XLOOKUP($A15,Input_Raw!$A:$A,Input_Raw!$FC:$FC),"")</f>
        <v>11.866666666666665</v>
      </c>
      <c r="G15" s="185">
        <f>IFERROR(_xlfn.XLOOKUP($A15,Input_Raw!$A:$A,Input_Raw!$CY:$CY),"")</f>
        <v>6.9105347333333302</v>
      </c>
      <c r="H15" s="185">
        <f>IFERROR(_xlfn.XLOOKUP($A15,Input_Raw!$A:$A,Input_Raw!$DA:$DA),"")</f>
        <v>1.3228814166666651</v>
      </c>
      <c r="I15" s="185">
        <f>IFERROR(_xlfn.XLOOKUP($A15,Input_Raw!$A:$A,Input_Raw!$CX:$CX),"")</f>
        <v>7.0755978333333296</v>
      </c>
      <c r="J15" s="185">
        <f>IFERROR(_xlfn.XLOOKUP($A15,Input_Raw!$A:$A,Input_Raw!$CZ:$CZ),"")</f>
        <v>0.903054466666667</v>
      </c>
      <c r="K15" s="201">
        <f>IFERROR(_xlfn.XLOOKUP($A15,Input_Raw!$A:$A,Input_Raw!$DB:$DB),"")</f>
        <v>32.857876480541414</v>
      </c>
      <c r="L15" s="201">
        <f>IFERROR(_xlfn.XLOOKUP($A15,Input_Raw!$A:$A,Input_Raw!$DC:$DC),"")</f>
        <v>45.95619543147204</v>
      </c>
      <c r="M15" s="200">
        <f>IFERROR(_xlfn.XLOOKUP($A15,Input_Raw!$A:$A,Input_Raw!$DF:$DF),"")</f>
        <v>1.4104035532994941</v>
      </c>
      <c r="N15" s="200">
        <f>IFERROR(_xlfn.XLOOKUP($A15,Input_Raw!$A:$A,Input_Raw!$DG:$DG),"")</f>
        <v>3.3119999999999998</v>
      </c>
      <c r="O15" s="230">
        <f>IFERROR(1-(SUMIF(Plant_BD!$B:$B,$A15,Plant_BD!$AL:$AL)/($AA15+SUMIF(Plant_BD!$B:$B,$A15,Plant_BD!$AL:$AL))),"")</f>
        <v>1</v>
      </c>
      <c r="P15" s="230"/>
      <c r="Q15" s="231">
        <f>IFERROR(1-(SUMIF(Grid_BD!$B:$B,$A15,Grid_BD!$V:$V)/($AA15+SUMIF(Grid_BD!$B:$B,$A15,Grid_BD!$V:$V))),"")</f>
        <v>1</v>
      </c>
      <c r="R15" s="230">
        <f>IFERROR(1-(SUMIF(Grid_BD!$B:$B,$A15,Grid_BD!$V:$V)/($AA15+SUMIF(Grid_BD!$B:$B,$A15,Grid_BD!$V:$V))),"")</f>
        <v>1</v>
      </c>
      <c r="S15" s="9"/>
      <c r="T15" s="231"/>
      <c r="U15" s="232">
        <f t="shared" si="1"/>
        <v>0.81695861245863133</v>
      </c>
      <c r="V15" s="232">
        <f>IFERROR(_xlfn.XLOOKUP($A15,Input_Raw!$A:$A,Input_Raw!$FG:$FG),"")</f>
        <v>0</v>
      </c>
      <c r="W15" s="233">
        <f t="shared" si="2"/>
        <v>0.18897692307692313</v>
      </c>
      <c r="X15" s="29">
        <f>IFERROR(_xlfn.XLOOKUP($A15,Input_Raw!$A:$A,Input_Raw!$DP:$DP),"")</f>
        <v>605068.80000000005</v>
      </c>
      <c r="Y15" s="29">
        <f>IFERROR(_xlfn.XLOOKUP($A15,Input_Raw!$A:$A,Input_Raw!EW:EW),"")</f>
        <v>592920</v>
      </c>
      <c r="Z15" s="29">
        <f>IFERROR(_xlfn.XLOOKUP($A15,Input_Raw!$A:$A,Input_Raw!EX:EX),"")</f>
        <v>3311.9999999999345</v>
      </c>
      <c r="AA15" s="29">
        <f>IFERROR(_xlfn.XLOOKUP($A15,Input_Raw!$A:$A,Input_Raw!FA:FA),"")</f>
        <v>589608.00000000012</v>
      </c>
      <c r="AB15" s="9">
        <f>IFERROR(_xlfn.XLOOKUP($A15,Input_Raw!$A:$A,Input_Raw!FD:FD),"")</f>
        <v>102</v>
      </c>
      <c r="AC15" s="185">
        <f>IFERROR(_xlfn.XLOOKUP($D15,'Modelling New'!$D:$D,'Modelling New'!P:P),"")</f>
        <v>7.14</v>
      </c>
      <c r="AD15" s="29">
        <f>IFERROR(_xlfn.XLOOKUP($D15,'Modelling New'!$D:$D,'Modelling New'!T:T)*1000,"")</f>
        <v>709627.68703000736</v>
      </c>
      <c r="AE15" s="233">
        <f>IFERROR(_xlfn.XLOOKUP($D15,'Modelling New'!$D:$D,'Modelling New'!O:O),"")</f>
        <v>0.76452024028227472</v>
      </c>
      <c r="AF15" s="233">
        <f>IFERROR(_xlfn.XLOOKUP($D15,'Modelling New'!$D:$D,'Modelling New'!W:W),"")</f>
        <v>0.22744477148397671</v>
      </c>
      <c r="AG15" s="233">
        <f>IFERROR(_xlfn.XLOOKUP($D15,'Modelling New'!$D:$D,'Modelling New'!AE:AE),"")</f>
        <v>0.995</v>
      </c>
      <c r="AH15" s="234">
        <f>IFERROR(_xlfn.XLOOKUP($D15,'Modelling New'!$D:$D,'Modelling New'!AF:AF),"")</f>
        <v>0.995</v>
      </c>
      <c r="AI15" s="9"/>
      <c r="AJ15" s="9"/>
      <c r="AK15" s="258"/>
      <c r="AL15" s="258"/>
      <c r="AM15" s="258"/>
      <c r="AN15" s="235"/>
      <c r="AO15" s="233"/>
      <c r="AP15" s="233"/>
      <c r="AQ15" s="233"/>
      <c r="AR15" s="236">
        <f>_xlfn.XLOOKUP(D15,'Modelling New'!$D:$D,'Modelling New'!$N:$N)</f>
        <v>130</v>
      </c>
      <c r="AS15" s="236">
        <f t="shared" si="3"/>
        <v>556784.80059277499</v>
      </c>
    </row>
    <row r="16" spans="1:45">
      <c r="A16" s="18">
        <f t="shared" si="4"/>
        <v>45759</v>
      </c>
      <c r="B16" s="29">
        <f>YEAR(Table13[[#This Row],[Date]])+IF(MONTH(Table13[[#This Row],[Date]])&gt;=4,1,0)</f>
        <v>2026</v>
      </c>
      <c r="C16" s="9">
        <f>YEAR(Table13[[#This Row],[Date]])</f>
        <v>2025</v>
      </c>
      <c r="D16" s="229">
        <f>Table13[[#This Row],[Date]]-DAY(Table13[[#This Row],[Date]])+1</f>
        <v>45748</v>
      </c>
      <c r="E16" s="9">
        <f t="shared" si="0"/>
        <v>30</v>
      </c>
      <c r="F16" s="199">
        <f>IFERROR(_xlfn.XLOOKUP($A16,Input_Raw!$A:$A,Input_Raw!$FC:$FC),"")</f>
        <v>11.966666666666669</v>
      </c>
      <c r="G16" s="200">
        <f>IFERROR(_xlfn.XLOOKUP($A16,Input_Raw!$A:$A,Input_Raw!$CY:$CY),"")</f>
        <v>6.9940562999999969</v>
      </c>
      <c r="H16" s="200">
        <f>IFERROR(_xlfn.XLOOKUP($A16,Input_Raw!$A:$A,Input_Raw!$DA:$DA),"")</f>
        <v>1.3164961666666657</v>
      </c>
      <c r="I16" s="200">
        <f>IFERROR(_xlfn.XLOOKUP($A16,Input_Raw!$A:$A,Input_Raw!$CX:$CX),"")</f>
        <v>7.132342966666652</v>
      </c>
      <c r="J16" s="200">
        <f>IFERROR(_xlfn.XLOOKUP($A16,Input_Raw!$A:$A,Input_Raw!$CZ:$CZ),"")</f>
        <v>0.88438691666666613</v>
      </c>
      <c r="K16" s="201">
        <f>IFERROR(_xlfn.XLOOKUP($A16,Input_Raw!$A:$A,Input_Raw!$DB:$DB),"")</f>
        <v>30.362980599647294</v>
      </c>
      <c r="L16" s="201">
        <f>IFERROR(_xlfn.XLOOKUP($A16,Input_Raw!$A:$A,Input_Raw!$DC:$DC),"")</f>
        <v>44.854952380952348</v>
      </c>
      <c r="M16" s="200">
        <f>IFERROR(_xlfn.XLOOKUP($A16,Input_Raw!$A:$A,Input_Raw!$DF:$DF),"")</f>
        <v>1.3114761904761902</v>
      </c>
      <c r="N16" s="200">
        <f>IFERROR(_xlfn.XLOOKUP($A16,Input_Raw!$A:$A,Input_Raw!$DG:$DG),"")</f>
        <v>2.9550000000000001</v>
      </c>
      <c r="O16" s="230">
        <f>IFERROR(1-(SUMIF(Plant_BD!$B:$B,$A16,Plant_BD!$AL:$AL)/($AA16+SUMIF(Plant_BD!$B:$B,$A16,Plant_BD!$AL:$AL))),"")</f>
        <v>0.99179413208007727</v>
      </c>
      <c r="P16" s="230"/>
      <c r="Q16" s="231">
        <f>IFERROR(1-(SUMIF(Grid_BD!$B:$B,$A16,Grid_BD!$V:$V)/($AA16+SUMIF(Grid_BD!$B:$B,$A16,Grid_BD!$V:$V))),"")</f>
        <v>1</v>
      </c>
      <c r="R16" s="230">
        <f>IFERROR(1-(SUMIF(Grid_BD!$B:$B,$A16,Grid_BD!$V:$V)/($AA16+SUMIF(Grid_BD!$B:$B,$A16,Grid_BD!$V:$V))),"")</f>
        <v>1</v>
      </c>
      <c r="S16" s="9"/>
      <c r="T16" s="231"/>
      <c r="U16" s="232">
        <f t="shared" si="1"/>
        <v>0.79630626826389239</v>
      </c>
      <c r="V16" s="232">
        <f>IFERROR(_xlfn.XLOOKUP($A16,Input_Raw!$A:$A,Input_Raw!$FG:$FG),"")</f>
        <v>0</v>
      </c>
      <c r="W16" s="233">
        <f t="shared" si="2"/>
        <v>0.18567692307691772</v>
      </c>
      <c r="X16" s="29">
        <f>IFERROR(_xlfn.XLOOKUP($A16,Input_Raw!$A:$A,Input_Raw!$DP:$DP),"")</f>
        <v>589858.6</v>
      </c>
      <c r="Y16" s="29">
        <f>IFERROR(_xlfn.XLOOKUP($A16,Input_Raw!$A:$A,Input_Raw!EW:EW),"")</f>
        <v>581111.99999998324</v>
      </c>
      <c r="Z16" s="29">
        <f>IFERROR(_xlfn.XLOOKUP($A16,Input_Raw!$A:$A,Input_Raw!EX:EX),"")</f>
        <v>1800</v>
      </c>
      <c r="AA16" s="29">
        <f>IFERROR(_xlfn.XLOOKUP($A16,Input_Raw!$A:$A,Input_Raw!FA:FA),"")</f>
        <v>579311.99999998324</v>
      </c>
      <c r="AB16" s="9">
        <f>IFERROR(_xlfn.XLOOKUP($A16,Input_Raw!$A:$A,Input_Raw!FD:FD),"")</f>
        <v>102</v>
      </c>
      <c r="AC16" s="185">
        <f>IFERROR(_xlfn.XLOOKUP($D16,'Modelling New'!$D:$D,'Modelling New'!P:P),"")</f>
        <v>7.14</v>
      </c>
      <c r="AD16" s="29">
        <f>IFERROR(_xlfn.XLOOKUP($D16,'Modelling New'!$D:$D,'Modelling New'!T:T)*1000,"")</f>
        <v>709627.68703000736</v>
      </c>
      <c r="AE16" s="233">
        <f>IFERROR(_xlfn.XLOOKUP($D16,'Modelling New'!$D:$D,'Modelling New'!O:O),"")</f>
        <v>0.76452024028227472</v>
      </c>
      <c r="AF16" s="233">
        <f>IFERROR(_xlfn.XLOOKUP($D16,'Modelling New'!$D:$D,'Modelling New'!W:W),"")</f>
        <v>0.22744477148397671</v>
      </c>
      <c r="AG16" s="233">
        <f>IFERROR(_xlfn.XLOOKUP($D16,'Modelling New'!$D:$D,'Modelling New'!AE:AE),"")</f>
        <v>0.995</v>
      </c>
      <c r="AH16" s="234">
        <f>IFERROR(_xlfn.XLOOKUP($D16,'Modelling New'!$D:$D,'Modelling New'!AF:AF),"")</f>
        <v>0.995</v>
      </c>
      <c r="AI16" s="9"/>
      <c r="AJ16" s="9"/>
      <c r="AK16" s="258"/>
      <c r="AL16" s="258"/>
      <c r="AM16" s="258"/>
      <c r="AN16" s="235"/>
      <c r="AO16" s="233"/>
      <c r="AP16" s="233"/>
      <c r="AQ16" s="233"/>
      <c r="AR16" s="236">
        <f>_xlfn.XLOOKUP(D16,'Modelling New'!$D:$D,'Modelling New'!$N:$N)</f>
        <v>130</v>
      </c>
      <c r="AS16" s="236">
        <f t="shared" si="3"/>
        <v>556784.80059277499</v>
      </c>
    </row>
    <row r="17" spans="1:45">
      <c r="A17" s="18">
        <f t="shared" si="4"/>
        <v>45760</v>
      </c>
      <c r="B17" s="29">
        <f>YEAR(Table13[[#This Row],[Date]])+IF(MONTH(Table13[[#This Row],[Date]])&gt;=4,1,0)</f>
        <v>2026</v>
      </c>
      <c r="C17" s="9">
        <f>YEAR(Table13[[#This Row],[Date]])</f>
        <v>2025</v>
      </c>
      <c r="D17" s="229">
        <f>Table13[[#This Row],[Date]]-DAY(Table13[[#This Row],[Date]])+1</f>
        <v>45748</v>
      </c>
      <c r="E17" s="9">
        <f t="shared" si="0"/>
        <v>30</v>
      </c>
      <c r="F17" s="199">
        <f>IFERROR(_xlfn.XLOOKUP($A17,Input_Raw!$A:$A,Input_Raw!$FC:$FC),"")</f>
        <v>11.983333333333334</v>
      </c>
      <c r="G17" s="185">
        <f>IFERROR(_xlfn.XLOOKUP($A17,Input_Raw!$A:$A,Input_Raw!$CY:$CY),"")</f>
        <v>7.1595291833333459</v>
      </c>
      <c r="H17" s="185">
        <f>IFERROR(_xlfn.XLOOKUP($A17,Input_Raw!$A:$A,Input_Raw!$DA:$DA),"")</f>
        <v>1.3927207166666655</v>
      </c>
      <c r="I17" s="185">
        <f>IFERROR(_xlfn.XLOOKUP($A17,Input_Raw!$A:$A,Input_Raw!$CX:$CX),"")</f>
        <v>7.2977119500000018</v>
      </c>
      <c r="J17" s="185">
        <f>IFERROR(_xlfn.XLOOKUP($A17,Input_Raw!$A:$A,Input_Raw!$CZ:$CZ),"")</f>
        <v>0.93395558333333362</v>
      </c>
      <c r="K17" s="201">
        <f>IFERROR(_xlfn.XLOOKUP($A17,Input_Raw!$A:$A,Input_Raw!$DB:$DB),"")</f>
        <v>31.349423076923117</v>
      </c>
      <c r="L17" s="201">
        <f>IFERROR(_xlfn.XLOOKUP($A17,Input_Raw!$A:$A,Input_Raw!$DC:$DC),"")</f>
        <v>44.587847692307705</v>
      </c>
      <c r="M17" s="200">
        <f>IFERROR(_xlfn.XLOOKUP($A17,Input_Raw!$A:$A,Input_Raw!$DF:$DF),"")</f>
        <v>1.2587630769230778</v>
      </c>
      <c r="N17" s="200">
        <f>IFERROR(_xlfn.XLOOKUP($A17,Input_Raw!$A:$A,Input_Raw!$DG:$DG),"")</f>
        <v>2.5920000000000001</v>
      </c>
      <c r="O17" s="230">
        <f>IFERROR(1-(SUMIF(Plant_BD!$B:$B,$A17,Plant_BD!$AL:$AL)/($AA17+SUMIF(Plant_BD!$B:$B,$A17,Plant_BD!$AL:$AL))),"")</f>
        <v>0.96950107417349762</v>
      </c>
      <c r="P17" s="230"/>
      <c r="Q17" s="231">
        <f>IFERROR(1-(SUMIF(Grid_BD!$B:$B,$A17,Grid_BD!$V:$V)/($AA17+SUMIF(Grid_BD!$B:$B,$A17,Grid_BD!$V:$V))),"")</f>
        <v>1</v>
      </c>
      <c r="R17" s="230">
        <f>IFERROR(1-(SUMIF(Grid_BD!$B:$B,$A17,Grid_BD!$V:$V)/($AA17+SUMIF(Grid_BD!$B:$B,$A17,Grid_BD!$V:$V))),"")</f>
        <v>1</v>
      </c>
      <c r="S17" s="9"/>
      <c r="T17" s="231"/>
      <c r="U17" s="232">
        <f t="shared" si="1"/>
        <v>0.76646102271903471</v>
      </c>
      <c r="V17" s="232">
        <f>IFERROR(_xlfn.XLOOKUP($A17,Input_Raw!$A:$A,Input_Raw!$FG:$FG),"")</f>
        <v>0</v>
      </c>
      <c r="W17" s="233">
        <f t="shared" si="2"/>
        <v>0.1828615384615398</v>
      </c>
      <c r="X17" s="29">
        <f>IFERROR(_xlfn.XLOOKUP($A17,Input_Raw!$A:$A,Input_Raw!$DP:$DP),"")</f>
        <v>584026.60000000009</v>
      </c>
      <c r="Y17" s="29">
        <f>IFERROR(_xlfn.XLOOKUP($A17,Input_Raw!$A:$A,Input_Raw!EW:EW),"")</f>
        <v>573552.00000000419</v>
      </c>
      <c r="Z17" s="29">
        <f>IFERROR(_xlfn.XLOOKUP($A17,Input_Raw!$A:$A,Input_Raw!EX:EX),"")</f>
        <v>3024.0000000000327</v>
      </c>
      <c r="AA17" s="29">
        <f>IFERROR(_xlfn.XLOOKUP($A17,Input_Raw!$A:$A,Input_Raw!FA:FA),"")</f>
        <v>570528.00000000419</v>
      </c>
      <c r="AB17" s="9">
        <f>IFERROR(_xlfn.XLOOKUP($A17,Input_Raw!$A:$A,Input_Raw!FD:FD),"")</f>
        <v>102</v>
      </c>
      <c r="AC17" s="185">
        <f>IFERROR(_xlfn.XLOOKUP($D17,'Modelling New'!$D:$D,'Modelling New'!P:P),"")</f>
        <v>7.14</v>
      </c>
      <c r="AD17" s="29">
        <f>IFERROR(_xlfn.XLOOKUP($D17,'Modelling New'!$D:$D,'Modelling New'!T:T)*1000,"")</f>
        <v>709627.68703000736</v>
      </c>
      <c r="AE17" s="233">
        <f>IFERROR(_xlfn.XLOOKUP($D17,'Modelling New'!$D:$D,'Modelling New'!O:O),"")</f>
        <v>0.76452024028227472</v>
      </c>
      <c r="AF17" s="233">
        <f>IFERROR(_xlfn.XLOOKUP($D17,'Modelling New'!$D:$D,'Modelling New'!W:W),"")</f>
        <v>0.22744477148397671</v>
      </c>
      <c r="AG17" s="233">
        <f>IFERROR(_xlfn.XLOOKUP($D17,'Modelling New'!$D:$D,'Modelling New'!AE:AE),"")</f>
        <v>0.995</v>
      </c>
      <c r="AH17" s="234">
        <f>IFERROR(_xlfn.XLOOKUP($D17,'Modelling New'!$D:$D,'Modelling New'!AF:AF),"")</f>
        <v>0.995</v>
      </c>
      <c r="AI17" s="9"/>
      <c r="AJ17" s="9"/>
      <c r="AK17" s="258"/>
      <c r="AL17" s="258"/>
      <c r="AM17" s="258"/>
      <c r="AN17" s="235"/>
      <c r="AO17" s="233"/>
      <c r="AP17" s="233"/>
      <c r="AQ17" s="233"/>
      <c r="AR17" s="236">
        <f>_xlfn.XLOOKUP(D17,'Modelling New'!$D:$D,'Modelling New'!$N:$N)</f>
        <v>130</v>
      </c>
      <c r="AS17" s="236">
        <f t="shared" si="3"/>
        <v>556784.80059277499</v>
      </c>
    </row>
    <row r="18" spans="1:45">
      <c r="A18" s="18">
        <f t="shared" si="4"/>
        <v>45761</v>
      </c>
      <c r="B18" s="29">
        <f>YEAR(Table13[[#This Row],[Date]])+IF(MONTH(Table13[[#This Row],[Date]])&gt;=4,1,0)</f>
        <v>2026</v>
      </c>
      <c r="C18" s="9">
        <f>YEAR(Table13[[#This Row],[Date]])</f>
        <v>2025</v>
      </c>
      <c r="D18" s="229">
        <f>Table13[[#This Row],[Date]]-DAY(Table13[[#This Row],[Date]])+1</f>
        <v>45748</v>
      </c>
      <c r="E18" s="9">
        <f t="shared" si="0"/>
        <v>30</v>
      </c>
      <c r="F18" s="199">
        <f>IFERROR(_xlfn.XLOOKUP($A18,Input_Raw!$A:$A,Input_Raw!$FC:$FC),"")</f>
        <v>11.916666666666668</v>
      </c>
      <c r="G18" s="200">
        <f>IFERROR(_xlfn.XLOOKUP($A18,Input_Raw!$A:$A,Input_Raw!$CY:$CY),"")</f>
        <v>7.1232418333333234</v>
      </c>
      <c r="H18" s="200">
        <f>IFERROR(_xlfn.XLOOKUP($A18,Input_Raw!$A:$A,Input_Raw!$DA:$DA),"")</f>
        <v>1.3867391333333356</v>
      </c>
      <c r="I18" s="200">
        <f>IFERROR(_xlfn.XLOOKUP($A18,Input_Raw!$A:$A,Input_Raw!$CX:$CX),"")</f>
        <v>7.251993583333336</v>
      </c>
      <c r="J18" s="200">
        <f>IFERROR(_xlfn.XLOOKUP($A18,Input_Raw!$A:$A,Input_Raw!$CZ:$CZ),"")</f>
        <v>0.94167478333333277</v>
      </c>
      <c r="K18" s="201">
        <f>IFERROR(_xlfn.XLOOKUP($A18,Input_Raw!$A:$A,Input_Raw!$DB:$DB),"")</f>
        <v>32.894079295154185</v>
      </c>
      <c r="L18" s="201">
        <f>IFERROR(_xlfn.XLOOKUP($A18,Input_Raw!$A:$A,Input_Raw!$DC:$DC),"")</f>
        <v>47.343733039647553</v>
      </c>
      <c r="M18" s="200">
        <f>IFERROR(_xlfn.XLOOKUP($A18,Input_Raw!$A:$A,Input_Raw!$DF:$DF),"")</f>
        <v>1.1613374449339202</v>
      </c>
      <c r="N18" s="200">
        <f>IFERROR(_xlfn.XLOOKUP($A18,Input_Raw!$A:$A,Input_Raw!$DG:$DG),"")</f>
        <v>2.4</v>
      </c>
      <c r="O18" s="230">
        <f>IFERROR(1-(SUMIF(Plant_BD!$B:$B,$A18,Plant_BD!$AL:$AL)/($AA18+SUMIF(Plant_BD!$B:$B,$A18,Plant_BD!$AL:$AL))),"")</f>
        <v>0.97545327982334629</v>
      </c>
      <c r="P18" s="230"/>
      <c r="Q18" s="231">
        <f>IFERROR(1-(SUMIF(Grid_BD!$B:$B,$A18,Grid_BD!$V:$V)/($AA18+SUMIF(Grid_BD!$B:$B,$A18,Grid_BD!$V:$V))),"")</f>
        <v>1</v>
      </c>
      <c r="R18" s="230">
        <f>IFERROR(1-(SUMIF(Grid_BD!$B:$B,$A18,Grid_BD!$V:$V)/($AA18+SUMIF(Grid_BD!$B:$B,$A18,Grid_BD!$V:$V))),"")</f>
        <v>1</v>
      </c>
      <c r="S18" s="9"/>
      <c r="T18" s="231"/>
      <c r="U18" s="232">
        <f t="shared" si="1"/>
        <v>0.77024731299624771</v>
      </c>
      <c r="V18" s="232">
        <f>IFERROR(_xlfn.XLOOKUP($A18,Input_Raw!$A:$A,Input_Raw!$FG:$FG),"")</f>
        <v>0</v>
      </c>
      <c r="W18" s="233">
        <f t="shared" si="2"/>
        <v>0.18798461538461403</v>
      </c>
      <c r="X18" s="29">
        <f>IFERROR(_xlfn.XLOOKUP($A18,Input_Raw!$A:$A,Input_Raw!$DP:$DP),"")</f>
        <v>601367.60000000009</v>
      </c>
      <c r="Y18" s="29">
        <f>IFERROR(_xlfn.XLOOKUP($A18,Input_Raw!$A:$A,Input_Raw!EW:EW),"")</f>
        <v>588527.99999999581</v>
      </c>
      <c r="Z18" s="29">
        <f>IFERROR(_xlfn.XLOOKUP($A18,Input_Raw!$A:$A,Input_Raw!EX:EX),"")</f>
        <v>2015.9999999999673</v>
      </c>
      <c r="AA18" s="29">
        <f>IFERROR(_xlfn.XLOOKUP($A18,Input_Raw!$A:$A,Input_Raw!FA:FA),"")</f>
        <v>586511.99999999581</v>
      </c>
      <c r="AB18" s="9">
        <f>IFERROR(_xlfn.XLOOKUP($A18,Input_Raw!$A:$A,Input_Raw!FD:FD),"")</f>
        <v>105</v>
      </c>
      <c r="AC18" s="185">
        <f>IFERROR(_xlfn.XLOOKUP($D18,'Modelling New'!$D:$D,'Modelling New'!P:P),"")</f>
        <v>7.14</v>
      </c>
      <c r="AD18" s="29">
        <f>IFERROR(_xlfn.XLOOKUP($D18,'Modelling New'!$D:$D,'Modelling New'!T:T)*1000,"")</f>
        <v>709627.68703000736</v>
      </c>
      <c r="AE18" s="233">
        <f>IFERROR(_xlfn.XLOOKUP($D18,'Modelling New'!$D:$D,'Modelling New'!O:O),"")</f>
        <v>0.76452024028227472</v>
      </c>
      <c r="AF18" s="233">
        <f>IFERROR(_xlfn.XLOOKUP($D18,'Modelling New'!$D:$D,'Modelling New'!W:W),"")</f>
        <v>0.22744477148397671</v>
      </c>
      <c r="AG18" s="233">
        <f>IFERROR(_xlfn.XLOOKUP($D18,'Modelling New'!$D:$D,'Modelling New'!AE:AE),"")</f>
        <v>0.995</v>
      </c>
      <c r="AH18" s="234">
        <f>IFERROR(_xlfn.XLOOKUP($D18,'Modelling New'!$D:$D,'Modelling New'!AF:AF),"")</f>
        <v>0.995</v>
      </c>
      <c r="AI18" s="9"/>
      <c r="AJ18" s="9"/>
      <c r="AK18" s="258"/>
      <c r="AL18" s="258"/>
      <c r="AM18" s="258"/>
      <c r="AN18" s="235"/>
      <c r="AO18" s="233"/>
      <c r="AP18" s="233"/>
      <c r="AQ18" s="233"/>
      <c r="AR18" s="236">
        <f>_xlfn.XLOOKUP(D18,'Modelling New'!$D:$D,'Modelling New'!$N:$N)</f>
        <v>130</v>
      </c>
      <c r="AS18" s="236">
        <f t="shared" si="3"/>
        <v>573160.82413962134</v>
      </c>
    </row>
    <row r="19" spans="1:45">
      <c r="A19" s="18">
        <f t="shared" si="4"/>
        <v>45762</v>
      </c>
      <c r="B19" s="29">
        <f>YEAR(Table13[[#This Row],[Date]])+IF(MONTH(Table13[[#This Row],[Date]])&gt;=4,1,0)</f>
        <v>2026</v>
      </c>
      <c r="C19" s="9">
        <f>YEAR(Table13[[#This Row],[Date]])</f>
        <v>2025</v>
      </c>
      <c r="D19" s="229">
        <f>Table13[[#This Row],[Date]]-DAY(Table13[[#This Row],[Date]])+1</f>
        <v>45748</v>
      </c>
      <c r="E19" s="9">
        <f t="shared" si="0"/>
        <v>30</v>
      </c>
      <c r="F19" s="199">
        <f>IFERROR(_xlfn.XLOOKUP($A19,Input_Raw!$A:$A,Input_Raw!$FC:$FC),"")</f>
        <v>12</v>
      </c>
      <c r="G19" s="185">
        <f>IFERROR(_xlfn.XLOOKUP($A19,Input_Raw!$A:$A,Input_Raw!$CY:$CY),"")</f>
        <v>7.0363546166666593</v>
      </c>
      <c r="H19" s="185">
        <f>IFERROR(_xlfn.XLOOKUP($A19,Input_Raw!$A:$A,Input_Raw!$DA:$DA),"")</f>
        <v>1.3790044999999982</v>
      </c>
      <c r="I19" s="185">
        <f>IFERROR(_xlfn.XLOOKUP($A19,Input_Raw!$A:$A,Input_Raw!$CX:$CX),"")</f>
        <v>7.1474630166666611</v>
      </c>
      <c r="J19" s="185">
        <f>IFERROR(_xlfn.XLOOKUP($A19,Input_Raw!$A:$A,Input_Raw!$CZ:$CZ),"")</f>
        <v>0.92568135000000074</v>
      </c>
      <c r="K19" s="201">
        <f>IFERROR(_xlfn.XLOOKUP($A19,Input_Raw!$A:$A,Input_Raw!$DB:$DB),"")</f>
        <v>33.69563492063493</v>
      </c>
      <c r="L19" s="201">
        <f>IFERROR(_xlfn.XLOOKUP($A19,Input_Raw!$A:$A,Input_Raw!$DC:$DC),"")</f>
        <v>47.241304232804232</v>
      </c>
      <c r="M19" s="200">
        <f>IFERROR(_xlfn.XLOOKUP($A19,Input_Raw!$A:$A,Input_Raw!$DF:$DF),"")</f>
        <v>1.3764973544973564</v>
      </c>
      <c r="N19" s="200">
        <f>IFERROR(_xlfn.XLOOKUP($A19,Input_Raw!$A:$A,Input_Raw!$DG:$DG),"")</f>
        <v>2.8740000000000001</v>
      </c>
      <c r="O19" s="230">
        <f>IFERROR(1-(SUMIF(Plant_BD!$B:$B,$A19,Plant_BD!$AL:$AL)/($AA19+SUMIF(Plant_BD!$B:$B,$A19,Plant_BD!$AL:$AL))),"")</f>
        <v>0.97484480713645372</v>
      </c>
      <c r="P19" s="230"/>
      <c r="Q19" s="231">
        <f>IFERROR(1-(SUMIF(Grid_BD!$B:$B,$A19,Grid_BD!$V:$V)/($AA19+SUMIF(Grid_BD!$B:$B,$A19,Grid_BD!$V:$V))),"")</f>
        <v>1</v>
      </c>
      <c r="R19" s="230">
        <f>IFERROR(1-(SUMIF(Grid_BD!$B:$B,$A19,Grid_BD!$V:$V)/($AA19+SUMIF(Grid_BD!$B:$B,$A19,Grid_BD!$V:$V))),"")</f>
        <v>1</v>
      </c>
      <c r="S19" s="9"/>
      <c r="T19" s="231"/>
      <c r="U19" s="232">
        <f t="shared" si="1"/>
        <v>0.76213255990443596</v>
      </c>
      <c r="V19" s="232">
        <f>IFERROR(_xlfn.XLOOKUP($A19,Input_Raw!$A:$A,Input_Raw!$FG:$FG),"")</f>
        <v>0</v>
      </c>
      <c r="W19" s="233">
        <f t="shared" si="2"/>
        <v>0.18332307692308231</v>
      </c>
      <c r="X19" s="29">
        <f>IFERROR(_xlfn.XLOOKUP($A19,Input_Raw!$A:$A,Input_Raw!$DP:$DP),"")</f>
        <v>586386.30000000005</v>
      </c>
      <c r="Y19" s="29">
        <f>IFERROR(_xlfn.XLOOKUP($A19,Input_Raw!$A:$A,Input_Raw!EW:EW),"")</f>
        <v>574488.00000001676</v>
      </c>
      <c r="Z19" s="29">
        <f>IFERROR(_xlfn.XLOOKUP($A19,Input_Raw!$A:$A,Input_Raw!EX:EX),"")</f>
        <v>2520</v>
      </c>
      <c r="AA19" s="29">
        <f>IFERROR(_xlfn.XLOOKUP($A19,Input_Raw!$A:$A,Input_Raw!FA:FA),"")</f>
        <v>571968.00000001676</v>
      </c>
      <c r="AB19" s="9">
        <f>IFERROR(_xlfn.XLOOKUP($A19,Input_Raw!$A:$A,Input_Raw!FD:FD),"")</f>
        <v>105</v>
      </c>
      <c r="AC19" s="185">
        <f>IFERROR(_xlfn.XLOOKUP($D19,'Modelling New'!$D:$D,'Modelling New'!P:P),"")</f>
        <v>7.14</v>
      </c>
      <c r="AD19" s="29">
        <f>IFERROR(_xlfn.XLOOKUP($D19,'Modelling New'!$D:$D,'Modelling New'!T:T)*1000,"")</f>
        <v>709627.68703000736</v>
      </c>
      <c r="AE19" s="233">
        <f>IFERROR(_xlfn.XLOOKUP($D19,'Modelling New'!$D:$D,'Modelling New'!O:O),"")</f>
        <v>0.76452024028227472</v>
      </c>
      <c r="AF19" s="233">
        <f>IFERROR(_xlfn.XLOOKUP($D19,'Modelling New'!$D:$D,'Modelling New'!W:W),"")</f>
        <v>0.22744477148397671</v>
      </c>
      <c r="AG19" s="233">
        <f>IFERROR(_xlfn.XLOOKUP($D19,'Modelling New'!$D:$D,'Modelling New'!AE:AE),"")</f>
        <v>0.995</v>
      </c>
      <c r="AH19" s="234">
        <f>IFERROR(_xlfn.XLOOKUP($D19,'Modelling New'!$D:$D,'Modelling New'!AF:AF),"")</f>
        <v>0.995</v>
      </c>
      <c r="AI19" s="9"/>
      <c r="AJ19" s="9"/>
      <c r="AK19" s="258"/>
      <c r="AL19" s="258"/>
      <c r="AM19" s="258"/>
      <c r="AN19" s="235"/>
      <c r="AO19" s="233"/>
      <c r="AP19" s="233"/>
      <c r="AQ19" s="233"/>
      <c r="AR19" s="236">
        <f>_xlfn.XLOOKUP(D19,'Modelling New'!$D:$D,'Modelling New'!$N:$N)</f>
        <v>130</v>
      </c>
      <c r="AS19" s="236">
        <f t="shared" si="3"/>
        <v>573160.82413962134</v>
      </c>
    </row>
    <row r="20" spans="1:45">
      <c r="A20" s="18">
        <f t="shared" si="4"/>
        <v>45763</v>
      </c>
      <c r="B20" s="29">
        <f>YEAR(Table13[[#This Row],[Date]])+IF(MONTH(Table13[[#This Row],[Date]])&gt;=4,1,0)</f>
        <v>2026</v>
      </c>
      <c r="C20" s="9">
        <f>YEAR(Table13[[#This Row],[Date]])</f>
        <v>2025</v>
      </c>
      <c r="D20" s="229">
        <f>Table13[[#This Row],[Date]]-DAY(Table13[[#This Row],[Date]])+1</f>
        <v>45748</v>
      </c>
      <c r="E20" s="9">
        <f t="shared" si="0"/>
        <v>30</v>
      </c>
      <c r="F20" s="199">
        <f>IFERROR(_xlfn.XLOOKUP($A20,Input_Raw!$A:$A,Input_Raw!$FC:$FC),"")</f>
        <v>11.5</v>
      </c>
      <c r="G20" s="200">
        <f>IFERROR(_xlfn.XLOOKUP($A20,Input_Raw!$A:$A,Input_Raw!$CY:$CY),"")</f>
        <v>6.3113735000000091</v>
      </c>
      <c r="H20" s="200">
        <f>IFERROR(_xlfn.XLOOKUP($A20,Input_Raw!$A:$A,Input_Raw!$DA:$DA),"")</f>
        <v>1.2429307333333328</v>
      </c>
      <c r="I20" s="200">
        <f>IFERROR(_xlfn.XLOOKUP($A20,Input_Raw!$A:$A,Input_Raw!$CX:$CX),"")</f>
        <v>6.420340383333329</v>
      </c>
      <c r="J20" s="200">
        <f>IFERROR(_xlfn.XLOOKUP($A20,Input_Raw!$A:$A,Input_Raw!$CZ:$CZ),"")</f>
        <v>0.8414362833333342</v>
      </c>
      <c r="K20" s="201">
        <f>IFERROR(_xlfn.XLOOKUP($A20,Input_Raw!$A:$A,Input_Raw!$DB:$DB),"")</f>
        <v>33.827604501607738</v>
      </c>
      <c r="L20" s="201">
        <f>IFERROR(_xlfn.XLOOKUP($A20,Input_Raw!$A:$A,Input_Raw!$DC:$DC),"")</f>
        <v>46.984334405144693</v>
      </c>
      <c r="M20" s="200">
        <f>IFERROR(_xlfn.XLOOKUP($A20,Input_Raw!$A:$A,Input_Raw!$DF:$DF),"")</f>
        <v>1.0567837620578757</v>
      </c>
      <c r="N20" s="200">
        <f>IFERROR(_xlfn.XLOOKUP($A20,Input_Raw!$A:$A,Input_Raw!$DG:$DG),"")</f>
        <v>3.0089999999999999</v>
      </c>
      <c r="O20" s="230">
        <f>IFERROR(1-(SUMIF(Plant_BD!$B:$B,$A20,Plant_BD!$AL:$AL)/($AA20+SUMIF(Plant_BD!$B:$B,$A20,Plant_BD!$AL:$AL))),"")</f>
        <v>0.9763732465823709</v>
      </c>
      <c r="P20" s="230"/>
      <c r="Q20" s="231">
        <f>IFERROR(1-(SUMIF(Grid_BD!$B:$B,$A20,Grid_BD!$V:$V)/($AA20+SUMIF(Grid_BD!$B:$B,$A20,Grid_BD!$V:$V))),"")</f>
        <v>1</v>
      </c>
      <c r="R20" s="230">
        <f>IFERROR(1-(SUMIF(Grid_BD!$B:$B,$A20,Grid_BD!$V:$V)/($AA20+SUMIF(Grid_BD!$B:$B,$A20,Grid_BD!$V:$V))),"")</f>
        <v>1</v>
      </c>
      <c r="S20" s="9"/>
      <c r="T20" s="231"/>
      <c r="U20" s="232">
        <f t="shared" si="1"/>
        <v>0.7754996045842717</v>
      </c>
      <c r="V20" s="232">
        <f>IFERROR(_xlfn.XLOOKUP($A20,Input_Raw!$A:$A,Input_Raw!$FG:$FG),"")</f>
        <v>0</v>
      </c>
      <c r="W20" s="233">
        <f t="shared" si="2"/>
        <v>0.16756153846153846</v>
      </c>
      <c r="X20" s="29">
        <f>IFERROR(_xlfn.XLOOKUP($A20,Input_Raw!$A:$A,Input_Raw!$DP:$DP),"")</f>
        <v>619396.80000000005</v>
      </c>
      <c r="Y20" s="29">
        <f>IFERROR(_xlfn.XLOOKUP($A20,Input_Raw!$A:$A,Input_Raw!EW:EW),"")</f>
        <v>525960</v>
      </c>
      <c r="Z20" s="29">
        <f>IFERROR(_xlfn.XLOOKUP($A20,Input_Raw!$A:$A,Input_Raw!EX:EX),"")</f>
        <v>3168.0000000000655</v>
      </c>
      <c r="AA20" s="29">
        <f>IFERROR(_xlfn.XLOOKUP($A20,Input_Raw!$A:$A,Input_Raw!FA:FA),"")</f>
        <v>522791.99999999994</v>
      </c>
      <c r="AB20" s="9">
        <f>IFERROR(_xlfn.XLOOKUP($A20,Input_Raw!$A:$A,Input_Raw!FD:FD),"")</f>
        <v>105</v>
      </c>
      <c r="AC20" s="185">
        <f>IFERROR(_xlfn.XLOOKUP($D20,'Modelling New'!$D:$D,'Modelling New'!P:P),"")</f>
        <v>7.14</v>
      </c>
      <c r="AD20" s="29">
        <f>IFERROR(_xlfn.XLOOKUP($D20,'Modelling New'!$D:$D,'Modelling New'!T:T)*1000,"")</f>
        <v>709627.68703000736</v>
      </c>
      <c r="AE20" s="233">
        <f>IFERROR(_xlfn.XLOOKUP($D20,'Modelling New'!$D:$D,'Modelling New'!O:O),"")</f>
        <v>0.76452024028227472</v>
      </c>
      <c r="AF20" s="233">
        <f>IFERROR(_xlfn.XLOOKUP($D20,'Modelling New'!$D:$D,'Modelling New'!W:W),"")</f>
        <v>0.22744477148397671</v>
      </c>
      <c r="AG20" s="233">
        <f>IFERROR(_xlfn.XLOOKUP($D20,'Modelling New'!$D:$D,'Modelling New'!AE:AE),"")</f>
        <v>0.995</v>
      </c>
      <c r="AH20" s="234">
        <f>IFERROR(_xlfn.XLOOKUP($D20,'Modelling New'!$D:$D,'Modelling New'!AF:AF),"")</f>
        <v>0.995</v>
      </c>
      <c r="AI20" s="9"/>
      <c r="AJ20" s="9"/>
      <c r="AK20" s="258"/>
      <c r="AL20" s="258"/>
      <c r="AM20" s="258"/>
      <c r="AN20" s="235"/>
      <c r="AO20" s="233"/>
      <c r="AP20" s="233"/>
      <c r="AQ20" s="233"/>
      <c r="AR20" s="236">
        <f>_xlfn.XLOOKUP(D20,'Modelling New'!$D:$D,'Modelling New'!$N:$N)</f>
        <v>130</v>
      </c>
      <c r="AS20" s="236">
        <f t="shared" si="3"/>
        <v>573160.82413962134</v>
      </c>
    </row>
    <row r="21" spans="1:45">
      <c r="A21" s="18">
        <f t="shared" si="4"/>
        <v>45764</v>
      </c>
      <c r="B21" s="29">
        <f>YEAR(Table13[[#This Row],[Date]])+IF(MONTH(Table13[[#This Row],[Date]])&gt;=4,1,0)</f>
        <v>2026</v>
      </c>
      <c r="C21" s="9">
        <f>YEAR(Table13[[#This Row],[Date]])</f>
        <v>2025</v>
      </c>
      <c r="D21" s="229">
        <f>Table13[[#This Row],[Date]]-DAY(Table13[[#This Row],[Date]])+1</f>
        <v>45748</v>
      </c>
      <c r="E21" s="9">
        <f t="shared" si="0"/>
        <v>30</v>
      </c>
      <c r="F21" s="199">
        <f>IFERROR(_xlfn.XLOOKUP($A21,Input_Raw!$A:$A,Input_Raw!$FC:$FC),"")</f>
        <v>11.933333333333332</v>
      </c>
      <c r="G21" s="185">
        <f>IFERROR(_xlfn.XLOOKUP($A21,Input_Raw!$A:$A,Input_Raw!$CY:$CY),"")</f>
        <v>7.0730000000000004</v>
      </c>
      <c r="H21" s="185">
        <f>IFERROR(_xlfn.XLOOKUP($A21,Input_Raw!$A:$A,Input_Raw!$DA:$DA),"")</f>
        <v>1.3979999999999999</v>
      </c>
      <c r="I21" s="185">
        <f>IFERROR(_xlfn.XLOOKUP($A21,Input_Raw!$A:$A,Input_Raw!$CX:$CX),"")</f>
        <v>7.149</v>
      </c>
      <c r="J21" s="185">
        <f>IFERROR(_xlfn.XLOOKUP($A21,Input_Raw!$A:$A,Input_Raw!$CZ:$CZ),"")</f>
        <v>0.92800000000000005</v>
      </c>
      <c r="K21" s="201">
        <f>IFERROR(_xlfn.XLOOKUP($A21,Input_Raw!$A:$A,Input_Raw!$DB:$DB),"")</f>
        <v>34.167000000000002</v>
      </c>
      <c r="L21" s="201">
        <f>IFERROR(_xlfn.XLOOKUP($A21,Input_Raw!$A:$A,Input_Raw!$DC:$DC),"")</f>
        <v>45.872999999999998</v>
      </c>
      <c r="M21" s="200">
        <f>IFERROR(_xlfn.XLOOKUP($A21,Input_Raw!$A:$A,Input_Raw!$DF:$DF),"")</f>
        <v>1.0720000000000001</v>
      </c>
      <c r="N21" s="200">
        <f>IFERROR(_xlfn.XLOOKUP($A21,Input_Raw!$A:$A,Input_Raw!$DG:$DG),"")</f>
        <v>2.58</v>
      </c>
      <c r="O21" s="230">
        <f>IFERROR(1-(SUMIF(Plant_BD!$B:$B,$A21,Plant_BD!$AL:$AL)/($AA21+SUMIF(Plant_BD!$B:$B,$A21,Plant_BD!$AL:$AL))),"")</f>
        <v>0.99916696434399843</v>
      </c>
      <c r="P21" s="230"/>
      <c r="Q21" s="231">
        <f>IFERROR(1-(SUMIF(Grid_BD!$B:$B,$A21,Grid_BD!$V:$V)/($AA21+SUMIF(Grid_BD!$B:$B,$A21,Grid_BD!$V:$V))),"")</f>
        <v>1</v>
      </c>
      <c r="R21" s="230">
        <f>IFERROR(1-(SUMIF(Grid_BD!$B:$B,$A21,Grid_BD!$V:$V)/($AA21+SUMIF(Grid_BD!$B:$B,$A21,Grid_BD!$V:$V))),"")</f>
        <v>1</v>
      </c>
      <c r="S21" s="9"/>
      <c r="T21" s="231"/>
      <c r="U21" s="232">
        <f t="shared" si="1"/>
        <v>0.78633175469096028</v>
      </c>
      <c r="V21" s="232">
        <f>IFERROR(_xlfn.XLOOKUP($A21,Input_Raw!$A:$A,Input_Raw!$FG:$FG),"")</f>
        <v>0</v>
      </c>
      <c r="W21" s="233">
        <f t="shared" si="2"/>
        <v>0.18918461538461409</v>
      </c>
      <c r="X21" s="29">
        <f>IFERROR(_xlfn.XLOOKUP($A21,Input_Raw!$A:$A,Input_Raw!$DP:$DP),"")</f>
        <v>604513</v>
      </c>
      <c r="Y21" s="29">
        <f>IFERROR(_xlfn.XLOOKUP($A21,Input_Raw!$A:$A,Input_Raw!EW:EW),"")</f>
        <v>593207.99999999581</v>
      </c>
      <c r="Z21" s="29">
        <f>IFERROR(_xlfn.XLOOKUP($A21,Input_Raw!$A:$A,Input_Raw!EX:EX),"")</f>
        <v>2951.9999999999345</v>
      </c>
      <c r="AA21" s="29">
        <f>IFERROR(_xlfn.XLOOKUP($A21,Input_Raw!$A:$A,Input_Raw!FA:FA),"")</f>
        <v>590255.99999999593</v>
      </c>
      <c r="AB21" s="9">
        <f>IFERROR(_xlfn.XLOOKUP($A21,Input_Raw!$A:$A,Input_Raw!FD:FD),"")</f>
        <v>105</v>
      </c>
      <c r="AC21" s="185">
        <f>IFERROR(_xlfn.XLOOKUP($D21,'Modelling New'!$D:$D,'Modelling New'!P:P),"")</f>
        <v>7.14</v>
      </c>
      <c r="AD21" s="29">
        <f>IFERROR(_xlfn.XLOOKUP($D21,'Modelling New'!$D:$D,'Modelling New'!T:T)*1000,"")</f>
        <v>709627.68703000736</v>
      </c>
      <c r="AE21" s="233">
        <f>IFERROR(_xlfn.XLOOKUP($D21,'Modelling New'!$D:$D,'Modelling New'!O:O),"")</f>
        <v>0.76452024028227472</v>
      </c>
      <c r="AF21" s="233">
        <f>IFERROR(_xlfn.XLOOKUP($D21,'Modelling New'!$D:$D,'Modelling New'!W:W),"")</f>
        <v>0.22744477148397671</v>
      </c>
      <c r="AG21" s="233">
        <f>IFERROR(_xlfn.XLOOKUP($D21,'Modelling New'!$D:$D,'Modelling New'!AE:AE),"")</f>
        <v>0.995</v>
      </c>
      <c r="AH21" s="234">
        <f>IFERROR(_xlfn.XLOOKUP($D21,'Modelling New'!$D:$D,'Modelling New'!AF:AF),"")</f>
        <v>0.995</v>
      </c>
      <c r="AI21" s="9"/>
      <c r="AJ21" s="9"/>
      <c r="AK21" s="258"/>
      <c r="AL21" s="258"/>
      <c r="AM21" s="258"/>
      <c r="AN21" s="235"/>
      <c r="AO21" s="233"/>
      <c r="AP21" s="233"/>
      <c r="AQ21" s="233"/>
      <c r="AR21" s="236">
        <f>_xlfn.XLOOKUP(D21,'Modelling New'!$D:$D,'Modelling New'!$N:$N)</f>
        <v>130</v>
      </c>
      <c r="AS21" s="236">
        <f t="shared" si="3"/>
        <v>573160.82413962134</v>
      </c>
    </row>
    <row r="22" spans="1:45">
      <c r="A22" s="18">
        <f t="shared" si="4"/>
        <v>45765</v>
      </c>
      <c r="B22" s="29">
        <f>YEAR(Table13[[#This Row],[Date]])+IF(MONTH(Table13[[#This Row],[Date]])&gt;=4,1,0)</f>
        <v>2026</v>
      </c>
      <c r="C22" s="9">
        <f>YEAR(Table13[[#This Row],[Date]])</f>
        <v>2025</v>
      </c>
      <c r="D22" s="229">
        <f>Table13[[#This Row],[Date]]-DAY(Table13[[#This Row],[Date]])+1</f>
        <v>45748</v>
      </c>
      <c r="E22" s="9">
        <f t="shared" si="0"/>
        <v>30</v>
      </c>
      <c r="F22" s="199">
        <f>IFERROR(_xlfn.XLOOKUP($A22,Input_Raw!$A:$A,Input_Raw!$FC:$FC),"")</f>
        <v>11.950000000000001</v>
      </c>
      <c r="G22" s="200">
        <f>IFERROR(_xlfn.XLOOKUP($A22,Input_Raw!$A:$A,Input_Raw!$CY:$CY),"")</f>
        <v>6.26</v>
      </c>
      <c r="H22" s="200">
        <f>IFERROR(_xlfn.XLOOKUP($A22,Input_Raw!$A:$A,Input_Raw!$DA:$DA),"")</f>
        <v>1.248</v>
      </c>
      <c r="I22" s="200">
        <f>IFERROR(_xlfn.XLOOKUP($A22,Input_Raw!$A:$A,Input_Raw!$CX:$CX),"")</f>
        <v>6.3220000000000001</v>
      </c>
      <c r="J22" s="200">
        <f>IFERROR(_xlfn.XLOOKUP($A22,Input_Raw!$A:$A,Input_Raw!$CZ:$CZ),"")</f>
        <v>0.77400000000000002</v>
      </c>
      <c r="K22" s="201">
        <f>IFERROR(_xlfn.XLOOKUP($A22,Input_Raw!$A:$A,Input_Raw!$DB:$DB),"")</f>
        <v>34.081000000000003</v>
      </c>
      <c r="L22" s="201">
        <f>IFERROR(_xlfn.XLOOKUP($A22,Input_Raw!$A:$A,Input_Raw!$DC:$DC),"")</f>
        <v>45.521000000000001</v>
      </c>
      <c r="M22" s="200">
        <f>IFERROR(_xlfn.XLOOKUP($A22,Input_Raw!$A:$A,Input_Raw!$DF:$DF),"")</f>
        <v>1.167</v>
      </c>
      <c r="N22" s="200">
        <f>IFERROR(_xlfn.XLOOKUP($A22,Input_Raw!$A:$A,Input_Raw!$DG:$DG),"")</f>
        <v>3.117</v>
      </c>
      <c r="O22" s="230">
        <f>IFERROR(1-(SUMIF(Plant_BD!$B:$B,$A22,Plant_BD!$AL:$AL)/($AA22+SUMIF(Plant_BD!$B:$B,$A22,Plant_BD!$AL:$AL))),"")</f>
        <v>1</v>
      </c>
      <c r="P22" s="230"/>
      <c r="Q22" s="231">
        <f>IFERROR(1-(SUMIF(Grid_BD!$B:$B,$A22,Grid_BD!$V:$V)/($AA22+SUMIF(Grid_BD!$B:$B,$A22,Grid_BD!$V:$V))),"")</f>
        <v>1</v>
      </c>
      <c r="R22" s="230">
        <f>IFERROR(1-(SUMIF(Grid_BD!$B:$B,$A22,Grid_BD!$V:$V)/($AA22+SUMIF(Grid_BD!$B:$B,$A22,Grid_BD!$V:$V))),"")</f>
        <v>1</v>
      </c>
      <c r="S22" s="9"/>
      <c r="T22" s="231"/>
      <c r="U22" s="232">
        <f t="shared" si="1"/>
        <v>0.78832195959685358</v>
      </c>
      <c r="V22" s="232">
        <f>IFERROR(_xlfn.XLOOKUP($A22,Input_Raw!$A:$A,Input_Raw!$FG:$FG),"")</f>
        <v>0</v>
      </c>
      <c r="W22" s="233">
        <f t="shared" si="2"/>
        <v>0.16772307692307287</v>
      </c>
      <c r="X22" s="29">
        <f>IFERROR(_xlfn.XLOOKUP($A22,Input_Raw!$A:$A,Input_Raw!$DP:$DP),"")</f>
        <v>548560.6</v>
      </c>
      <c r="Y22" s="29">
        <f>IFERROR(_xlfn.XLOOKUP($A22,Input_Raw!$A:$A,Input_Raw!EW:EW),"")</f>
        <v>525383.99999998743</v>
      </c>
      <c r="Z22" s="29">
        <f>IFERROR(_xlfn.XLOOKUP($A22,Input_Raw!$A:$A,Input_Raw!EX:EX),"")</f>
        <v>2088.0000000000655</v>
      </c>
      <c r="AA22" s="29">
        <f>IFERROR(_xlfn.XLOOKUP($A22,Input_Raw!$A:$A,Input_Raw!FA:FA),"")</f>
        <v>523295.99999998737</v>
      </c>
      <c r="AB22" s="9">
        <f>IFERROR(_xlfn.XLOOKUP($A22,Input_Raw!$A:$A,Input_Raw!FD:FD),"")</f>
        <v>105</v>
      </c>
      <c r="AC22" s="185">
        <f>IFERROR(_xlfn.XLOOKUP($D22,'Modelling New'!$D:$D,'Modelling New'!P:P),"")</f>
        <v>7.14</v>
      </c>
      <c r="AD22" s="29">
        <f>IFERROR(_xlfn.XLOOKUP($D22,'Modelling New'!$D:$D,'Modelling New'!T:T)*1000,"")</f>
        <v>709627.68703000736</v>
      </c>
      <c r="AE22" s="233">
        <f>IFERROR(_xlfn.XLOOKUP($D22,'Modelling New'!$D:$D,'Modelling New'!O:O),"")</f>
        <v>0.76452024028227472</v>
      </c>
      <c r="AF22" s="233">
        <f>IFERROR(_xlfn.XLOOKUP($D22,'Modelling New'!$D:$D,'Modelling New'!W:W),"")</f>
        <v>0.22744477148397671</v>
      </c>
      <c r="AG22" s="233">
        <f>IFERROR(_xlfn.XLOOKUP($D22,'Modelling New'!$D:$D,'Modelling New'!AE:AE),"")</f>
        <v>0.995</v>
      </c>
      <c r="AH22" s="234">
        <f>IFERROR(_xlfn.XLOOKUP($D22,'Modelling New'!$D:$D,'Modelling New'!AF:AF),"")</f>
        <v>0.995</v>
      </c>
      <c r="AI22" s="9"/>
      <c r="AJ22" s="9"/>
      <c r="AK22" s="258"/>
      <c r="AL22" s="258"/>
      <c r="AM22" s="258"/>
      <c r="AN22" s="235"/>
      <c r="AO22" s="233"/>
      <c r="AP22" s="233"/>
      <c r="AQ22" s="233"/>
      <c r="AR22" s="236">
        <f>_xlfn.XLOOKUP(D22,'Modelling New'!$D:$D,'Modelling New'!$N:$N)</f>
        <v>130</v>
      </c>
      <c r="AS22" s="236">
        <f t="shared" si="3"/>
        <v>573160.82413962134</v>
      </c>
    </row>
    <row r="23" spans="1:45">
      <c r="A23" s="18">
        <f t="shared" si="4"/>
        <v>45766</v>
      </c>
      <c r="B23" s="29">
        <f>YEAR(Table13[[#This Row],[Date]])+IF(MONTH(Table13[[#This Row],[Date]])&gt;=4,1,0)</f>
        <v>2026</v>
      </c>
      <c r="C23" s="9">
        <f>YEAR(Table13[[#This Row],[Date]])</f>
        <v>2025</v>
      </c>
      <c r="D23" s="229">
        <f>Table13[[#This Row],[Date]]-DAY(Table13[[#This Row],[Date]])+1</f>
        <v>45748</v>
      </c>
      <c r="E23" s="9">
        <f t="shared" si="0"/>
        <v>30</v>
      </c>
      <c r="F23" s="199">
        <f>IFERROR(_xlfn.XLOOKUP($A23,Input_Raw!$A:$A,Input_Raw!$FC:$FC),"")</f>
        <v>12.066666666666666</v>
      </c>
      <c r="G23" s="185">
        <f>IFERROR(_xlfn.XLOOKUP($A23,Input_Raw!$A:$A,Input_Raw!$CY:$CY),"")</f>
        <v>7.1534676333333289</v>
      </c>
      <c r="H23" s="185">
        <f>IFERROR(_xlfn.XLOOKUP($A23,Input_Raw!$A:$A,Input_Raw!$DA:$DA),"")</f>
        <v>1.4176835499999965</v>
      </c>
      <c r="I23" s="185">
        <f>IFERROR(_xlfn.XLOOKUP($A23,Input_Raw!$A:$A,Input_Raw!$CX:$CX),"")</f>
        <v>7.2034397833333221</v>
      </c>
      <c r="J23" s="185">
        <f>IFERROR(_xlfn.XLOOKUP($A23,Input_Raw!$A:$A,Input_Raw!$CZ:$CZ),"")</f>
        <v>0.94859071666666694</v>
      </c>
      <c r="K23" s="201">
        <f>IFERROR(_xlfn.XLOOKUP($A23,Input_Raw!$A:$A,Input_Raw!$DB:$DB),"")</f>
        <v>33.854152777777742</v>
      </c>
      <c r="L23" s="201">
        <f>IFERROR(_xlfn.XLOOKUP($A23,Input_Raw!$A:$A,Input_Raw!$DC:$DC),"")</f>
        <v>45.871319444444431</v>
      </c>
      <c r="M23" s="200">
        <f>IFERROR(_xlfn.XLOOKUP($A23,Input_Raw!$A:$A,Input_Raw!$DF:$DF),"")</f>
        <v>1.3137354166666648</v>
      </c>
      <c r="N23" s="200">
        <f>IFERROR(_xlfn.XLOOKUP($A23,Input_Raw!$A:$A,Input_Raw!$DG:$DG),"")</f>
        <v>3.1829999999999998</v>
      </c>
      <c r="O23" s="230">
        <f>IFERROR(1-(SUMIF(Plant_BD!$B:$B,$A23,Plant_BD!$AL:$AL)/($AA23+SUMIF(Plant_BD!$B:$B,$A23,Plant_BD!$AL:$AL))),"")</f>
        <v>1</v>
      </c>
      <c r="P23" s="230"/>
      <c r="Q23" s="231">
        <f>IFERROR(1-(SUMIF(Grid_BD!$B:$B,$A23,Grid_BD!$V:$V)/($AA23+SUMIF(Grid_BD!$B:$B,$A23,Grid_BD!$V:$V))),"")</f>
        <v>1</v>
      </c>
      <c r="R23" s="230">
        <f>IFERROR(1-(SUMIF(Grid_BD!$B:$B,$A23,Grid_BD!$V:$V)/($AA23+SUMIF(Grid_BD!$B:$B,$A23,Grid_BD!$V:$V))),"")</f>
        <v>1</v>
      </c>
      <c r="S23" s="9"/>
      <c r="T23" s="231"/>
      <c r="U23" s="232">
        <f t="shared" si="1"/>
        <v>0.80571031185883013</v>
      </c>
      <c r="V23" s="232">
        <f>IFERROR(_xlfn.XLOOKUP($A23,Input_Raw!$A:$A,Input_Raw!$FG:$FG),"")</f>
        <v>0</v>
      </c>
      <c r="W23" s="233">
        <f t="shared" si="2"/>
        <v>0.1953230769230796</v>
      </c>
      <c r="X23" s="29">
        <f>IFERROR(_xlfn.XLOOKUP($A23,Input_Raw!$A:$A,Input_Raw!$DP:$DP),"")</f>
        <v>586955.60000000009</v>
      </c>
      <c r="Y23" s="29">
        <f>IFERROR(_xlfn.XLOOKUP($A23,Input_Raw!$A:$A,Input_Raw!EW:EW),"")</f>
        <v>613224.00000000838</v>
      </c>
      <c r="Z23" s="29">
        <f>IFERROR(_xlfn.XLOOKUP($A23,Input_Raw!$A:$A,Input_Raw!EX:EX),"")</f>
        <v>3815.9999999999673</v>
      </c>
      <c r="AA23" s="29">
        <f>IFERROR(_xlfn.XLOOKUP($A23,Input_Raw!$A:$A,Input_Raw!FA:FA),"")</f>
        <v>609408.00000000838</v>
      </c>
      <c r="AB23" s="9">
        <f>IFERROR(_xlfn.XLOOKUP($A23,Input_Raw!$A:$A,Input_Raw!FD:FD),"")</f>
        <v>105</v>
      </c>
      <c r="AC23" s="185">
        <f>IFERROR(_xlfn.XLOOKUP($D23,'Modelling New'!$D:$D,'Modelling New'!P:P),"")</f>
        <v>7.14</v>
      </c>
      <c r="AD23" s="29">
        <f>IFERROR(_xlfn.XLOOKUP($D23,'Modelling New'!$D:$D,'Modelling New'!T:T)*1000,"")</f>
        <v>709627.68703000736</v>
      </c>
      <c r="AE23" s="233">
        <f>IFERROR(_xlfn.XLOOKUP($D23,'Modelling New'!$D:$D,'Modelling New'!O:O),"")</f>
        <v>0.76452024028227472</v>
      </c>
      <c r="AF23" s="233">
        <f>IFERROR(_xlfn.XLOOKUP($D23,'Modelling New'!$D:$D,'Modelling New'!W:W),"")</f>
        <v>0.22744477148397671</v>
      </c>
      <c r="AG23" s="233">
        <f>IFERROR(_xlfn.XLOOKUP($D23,'Modelling New'!$D:$D,'Modelling New'!AE:AE),"")</f>
        <v>0.995</v>
      </c>
      <c r="AH23" s="234">
        <f>IFERROR(_xlfn.XLOOKUP($D23,'Modelling New'!$D:$D,'Modelling New'!AF:AF),"")</f>
        <v>0.995</v>
      </c>
      <c r="AI23" s="9"/>
      <c r="AJ23" s="9"/>
      <c r="AK23" s="258"/>
      <c r="AL23" s="258"/>
      <c r="AM23" s="258"/>
      <c r="AN23" s="235"/>
      <c r="AO23" s="233"/>
      <c r="AP23" s="233"/>
      <c r="AQ23" s="233"/>
      <c r="AR23" s="236">
        <f>_xlfn.XLOOKUP(D23,'Modelling New'!$D:$D,'Modelling New'!$N:$N)</f>
        <v>130</v>
      </c>
      <c r="AS23" s="236">
        <f t="shared" si="3"/>
        <v>573160.82413962134</v>
      </c>
    </row>
    <row r="24" spans="1:45">
      <c r="A24" s="18">
        <f t="shared" si="4"/>
        <v>45767</v>
      </c>
      <c r="B24" s="29">
        <f>YEAR(Table13[[#This Row],[Date]])+IF(MONTH(Table13[[#This Row],[Date]])&gt;=4,1,0)</f>
        <v>2026</v>
      </c>
      <c r="C24" s="9">
        <f>YEAR(Table13[[#This Row],[Date]])</f>
        <v>2025</v>
      </c>
      <c r="D24" s="229">
        <f>Table13[[#This Row],[Date]]-DAY(Table13[[#This Row],[Date]])+1</f>
        <v>45748</v>
      </c>
      <c r="E24" s="9">
        <f t="shared" si="0"/>
        <v>30</v>
      </c>
      <c r="F24" s="199">
        <f>IFERROR(_xlfn.XLOOKUP($A24,Input_Raw!$A:$A,Input_Raw!$FC:$FC),"")</f>
        <v>12.083333333333336</v>
      </c>
      <c r="G24" s="200">
        <f>IFERROR(_xlfn.XLOOKUP($A24,Input_Raw!$A:$A,Input_Raw!$CY:$CY),"")</f>
        <v>7.3981508166666661</v>
      </c>
      <c r="H24" s="200">
        <f>IFERROR(_xlfn.XLOOKUP($A24,Input_Raw!$A:$A,Input_Raw!$DA:$DA),"")</f>
        <v>1.4598083333333318</v>
      </c>
      <c r="I24" s="200">
        <f>IFERROR(_xlfn.XLOOKUP($A24,Input_Raw!$A:$A,Input_Raw!$CX:$CX),"")</f>
        <v>7.4408317166666675</v>
      </c>
      <c r="J24" s="200">
        <f>IFERROR(_xlfn.XLOOKUP($A24,Input_Raw!$A:$A,Input_Raw!$CZ:$CZ),"")</f>
        <v>0.96290266666666546</v>
      </c>
      <c r="K24" s="201">
        <f>IFERROR(_xlfn.XLOOKUP($A24,Input_Raw!$A:$A,Input_Raw!$DB:$DB),"")</f>
        <v>32.920486061472424</v>
      </c>
      <c r="L24" s="201">
        <f>IFERROR(_xlfn.XLOOKUP($A24,Input_Raw!$A:$A,Input_Raw!$DC:$DC),"")</f>
        <v>44.980195139385259</v>
      </c>
      <c r="M24" s="200">
        <f>IFERROR(_xlfn.XLOOKUP($A24,Input_Raw!$A:$A,Input_Raw!$DF:$DF),"")</f>
        <v>1.3652423159399565</v>
      </c>
      <c r="N24" s="200">
        <f>IFERROR(_xlfn.XLOOKUP($A24,Input_Raw!$A:$A,Input_Raw!$DG:$DG),"")</f>
        <v>2.9910000000000001</v>
      </c>
      <c r="O24" s="230">
        <f>IFERROR(1-(SUMIF(Plant_BD!$B:$B,$A24,Plant_BD!$AL:$AL)/($AA24+SUMIF(Plant_BD!$B:$B,$A24,Plant_BD!$AL:$AL))),"")</f>
        <v>1</v>
      </c>
      <c r="P24" s="230"/>
      <c r="Q24" s="231">
        <f>IFERROR(1-(SUMIF(Grid_BD!$B:$B,$A24,Grid_BD!$V:$V)/($AA24+SUMIF(Grid_BD!$B:$B,$A24,Grid_BD!$V:$V))),"")</f>
        <v>1</v>
      </c>
      <c r="R24" s="230">
        <f>IFERROR(1-(SUMIF(Grid_BD!$B:$B,$A24,Grid_BD!$V:$V)/($AA24+SUMIF(Grid_BD!$B:$B,$A24,Grid_BD!$V:$V))),"")</f>
        <v>1</v>
      </c>
      <c r="S24" s="9"/>
      <c r="T24" s="231"/>
      <c r="U24" s="232">
        <f t="shared" si="1"/>
        <v>0.80802027059365578</v>
      </c>
      <c r="V24" s="232">
        <f>IFERROR(_xlfn.XLOOKUP($A24,Input_Raw!$A:$A,Input_Raw!$FG:$FG),"")</f>
        <v>0</v>
      </c>
      <c r="W24" s="233">
        <f t="shared" si="2"/>
        <v>0.20233846153846155</v>
      </c>
      <c r="X24" s="29">
        <f>IFERROR(_xlfn.XLOOKUP($A24,Input_Raw!$A:$A,Input_Raw!$DP:$DP),"")</f>
        <v>600717.80000000005</v>
      </c>
      <c r="Y24" s="29">
        <f>IFERROR(_xlfn.XLOOKUP($A24,Input_Raw!$A:$A,Input_Raw!EW:EW),"")</f>
        <v>632880</v>
      </c>
      <c r="Z24" s="29">
        <f>IFERROR(_xlfn.XLOOKUP($A24,Input_Raw!$A:$A,Input_Raw!EX:EX),"")</f>
        <v>1584.0000000000327</v>
      </c>
      <c r="AA24" s="29">
        <f>IFERROR(_xlfn.XLOOKUP($A24,Input_Raw!$A:$A,Input_Raw!FA:FA),"")</f>
        <v>631296</v>
      </c>
      <c r="AB24" s="9">
        <f>IFERROR(_xlfn.XLOOKUP($A24,Input_Raw!$A:$A,Input_Raw!FD:FD),"")</f>
        <v>105</v>
      </c>
      <c r="AC24" s="185">
        <f>IFERROR(_xlfn.XLOOKUP($D24,'Modelling New'!$D:$D,'Modelling New'!P:P),"")</f>
        <v>7.14</v>
      </c>
      <c r="AD24" s="29">
        <f>IFERROR(_xlfn.XLOOKUP($D24,'Modelling New'!$D:$D,'Modelling New'!T:T)*1000,"")</f>
        <v>709627.68703000736</v>
      </c>
      <c r="AE24" s="233">
        <f>IFERROR(_xlfn.XLOOKUP($D24,'Modelling New'!$D:$D,'Modelling New'!O:O),"")</f>
        <v>0.76452024028227472</v>
      </c>
      <c r="AF24" s="233">
        <f>IFERROR(_xlfn.XLOOKUP($D24,'Modelling New'!$D:$D,'Modelling New'!W:W),"")</f>
        <v>0.22744477148397671</v>
      </c>
      <c r="AG24" s="233">
        <f>IFERROR(_xlfn.XLOOKUP($D24,'Modelling New'!$D:$D,'Modelling New'!AE:AE),"")</f>
        <v>0.995</v>
      </c>
      <c r="AH24" s="234">
        <f>IFERROR(_xlfn.XLOOKUP($D24,'Modelling New'!$D:$D,'Modelling New'!AF:AF),"")</f>
        <v>0.995</v>
      </c>
      <c r="AI24" s="9"/>
      <c r="AJ24" s="9"/>
      <c r="AK24" s="258"/>
      <c r="AL24" s="258"/>
      <c r="AM24" s="258"/>
      <c r="AN24" s="235"/>
      <c r="AO24" s="233"/>
      <c r="AP24" s="233"/>
      <c r="AQ24" s="233"/>
      <c r="AR24" s="236">
        <f>_xlfn.XLOOKUP(D24,'Modelling New'!$D:$D,'Modelling New'!$N:$N)</f>
        <v>130</v>
      </c>
      <c r="AS24" s="236">
        <f t="shared" si="3"/>
        <v>573160.82413962134</v>
      </c>
    </row>
    <row r="25" spans="1:45">
      <c r="A25" s="18">
        <f t="shared" si="4"/>
        <v>45768</v>
      </c>
      <c r="B25" s="29">
        <f>YEAR(Table13[[#This Row],[Date]])+IF(MONTH(Table13[[#This Row],[Date]])&gt;=4,1,0)</f>
        <v>2026</v>
      </c>
      <c r="C25" s="9">
        <f>YEAR(Table13[[#This Row],[Date]])</f>
        <v>2025</v>
      </c>
      <c r="D25" s="229">
        <f>Table13[[#This Row],[Date]]-DAY(Table13[[#This Row],[Date]])+1</f>
        <v>45748</v>
      </c>
      <c r="E25" s="9">
        <f t="shared" si="0"/>
        <v>30</v>
      </c>
      <c r="F25" s="199">
        <f>IFERROR(_xlfn.XLOOKUP($A25,Input_Raw!$A:$A,Input_Raw!$FC:$FC),"")</f>
        <v>12.116666666666669</v>
      </c>
      <c r="G25" s="185">
        <f>IFERROR(_xlfn.XLOOKUP($A25,Input_Raw!$A:$A,Input_Raw!$CY:$CY),"")</f>
        <v>7.0362274333333339</v>
      </c>
      <c r="H25" s="185">
        <f>IFERROR(_xlfn.XLOOKUP($A25,Input_Raw!$A:$A,Input_Raw!$DA:$DA),"")</f>
        <v>1.3952645166666668</v>
      </c>
      <c r="I25" s="185">
        <f>IFERROR(_xlfn.XLOOKUP($A25,Input_Raw!$A:$A,Input_Raw!$CX:$CX),"")</f>
        <v>7.0776942666666569</v>
      </c>
      <c r="J25" s="185">
        <f>IFERROR(_xlfn.XLOOKUP($A25,Input_Raw!$A:$A,Input_Raw!$CZ:$CZ),"")</f>
        <v>0.94385484999999969</v>
      </c>
      <c r="K25" s="201">
        <f>IFERROR(_xlfn.XLOOKUP($A25,Input_Raw!$A:$A,Input_Raw!$DB:$DB),"")</f>
        <v>32.514258351893069</v>
      </c>
      <c r="L25" s="201">
        <f>IFERROR(_xlfn.XLOOKUP($A25,Input_Raw!$A:$A,Input_Raw!$DC:$DC),"")</f>
        <v>44.512149962880457</v>
      </c>
      <c r="M25" s="200">
        <f>IFERROR(_xlfn.XLOOKUP($A25,Input_Raw!$A:$A,Input_Raw!$DF:$DF),"")</f>
        <v>1.0995263548626577</v>
      </c>
      <c r="N25" s="200">
        <f>IFERROR(_xlfn.XLOOKUP($A25,Input_Raw!$A:$A,Input_Raw!$DG:$DG),"")</f>
        <v>2.4569999999999999</v>
      </c>
      <c r="O25" s="230">
        <f>IFERROR(1-(SUMIF(Plant_BD!$B:$B,$A25,Plant_BD!$AL:$AL)/($AA25+SUMIF(Plant_BD!$B:$B,$A25,Plant_BD!$AL:$AL))),"")</f>
        <v>1</v>
      </c>
      <c r="P25" s="230"/>
      <c r="Q25" s="231">
        <f>IFERROR(1-(SUMIF(Grid_BD!$B:$B,$A25,Grid_BD!$V:$V)/($AA25+SUMIF(Grid_BD!$B:$B,$A25,Grid_BD!$V:$V))),"")</f>
        <v>1</v>
      </c>
      <c r="R25" s="230">
        <f>IFERROR(1-(SUMIF(Grid_BD!$B:$B,$A25,Grid_BD!$V:$V)/($AA25+SUMIF(Grid_BD!$B:$B,$A25,Grid_BD!$V:$V))),"")</f>
        <v>1</v>
      </c>
      <c r="S25" s="9"/>
      <c r="T25" s="231"/>
      <c r="U25" s="232">
        <f t="shared" si="1"/>
        <v>0.84056430225815804</v>
      </c>
      <c r="V25" s="232">
        <f>IFERROR(_xlfn.XLOOKUP($A25,Input_Raw!$A:$A,Input_Raw!$FG:$FG),"")</f>
        <v>0</v>
      </c>
      <c r="W25" s="233">
        <f t="shared" si="2"/>
        <v>0.20021538461538735</v>
      </c>
      <c r="X25" s="29">
        <f>IFERROR(_xlfn.XLOOKUP($A25,Input_Raw!$A:$A,Input_Raw!$DP:$DP),"")</f>
        <v>566539.59899999993</v>
      </c>
      <c r="Y25" s="29">
        <f>IFERROR(_xlfn.XLOOKUP($A25,Input_Raw!$A:$A,Input_Raw!EW:EW),"")</f>
        <v>626904.00000000838</v>
      </c>
      <c r="Z25" s="29">
        <f>IFERROR(_xlfn.XLOOKUP($A25,Input_Raw!$A:$A,Input_Raw!EX:EX),"")</f>
        <v>2231.9999999999345</v>
      </c>
      <c r="AA25" s="29">
        <f>IFERROR(_xlfn.XLOOKUP($A25,Input_Raw!$A:$A,Input_Raw!FA:FA),"")</f>
        <v>624672.0000000085</v>
      </c>
      <c r="AB25" s="9">
        <f>IFERROR(_xlfn.XLOOKUP($A25,Input_Raw!$A:$A,Input_Raw!FD:FD),"")</f>
        <v>105</v>
      </c>
      <c r="AC25" s="185">
        <f>IFERROR(_xlfn.XLOOKUP($D25,'Modelling New'!$D:$D,'Modelling New'!P:P),"")</f>
        <v>7.14</v>
      </c>
      <c r="AD25" s="29">
        <f>IFERROR(_xlfn.XLOOKUP($D25,'Modelling New'!$D:$D,'Modelling New'!T:T)*1000,"")</f>
        <v>709627.68703000736</v>
      </c>
      <c r="AE25" s="233">
        <f>IFERROR(_xlfn.XLOOKUP($D25,'Modelling New'!$D:$D,'Modelling New'!O:O),"")</f>
        <v>0.76452024028227472</v>
      </c>
      <c r="AF25" s="233">
        <f>IFERROR(_xlfn.XLOOKUP($D25,'Modelling New'!$D:$D,'Modelling New'!W:W),"")</f>
        <v>0.22744477148397671</v>
      </c>
      <c r="AG25" s="233">
        <f>IFERROR(_xlfn.XLOOKUP($D25,'Modelling New'!$D:$D,'Modelling New'!AE:AE),"")</f>
        <v>0.995</v>
      </c>
      <c r="AH25" s="234">
        <f>IFERROR(_xlfn.XLOOKUP($D25,'Modelling New'!$D:$D,'Modelling New'!AF:AF),"")</f>
        <v>0.995</v>
      </c>
      <c r="AI25" s="9"/>
      <c r="AJ25" s="9"/>
      <c r="AK25" s="258"/>
      <c r="AL25" s="258"/>
      <c r="AM25" s="258"/>
      <c r="AN25" s="235"/>
      <c r="AO25" s="233"/>
      <c r="AP25" s="233"/>
      <c r="AQ25" s="233"/>
      <c r="AR25" s="236">
        <f>_xlfn.XLOOKUP(D25,'Modelling New'!$D:$D,'Modelling New'!$N:$N)</f>
        <v>130</v>
      </c>
      <c r="AS25" s="236">
        <f t="shared" si="3"/>
        <v>573160.82413962134</v>
      </c>
    </row>
    <row r="26" spans="1:45">
      <c r="A26" s="18">
        <f t="shared" si="4"/>
        <v>45769</v>
      </c>
      <c r="B26" s="29">
        <f>YEAR(Table13[[#This Row],[Date]])+IF(MONTH(Table13[[#This Row],[Date]])&gt;=4,1,0)</f>
        <v>2026</v>
      </c>
      <c r="C26" s="9">
        <f>YEAR(Table13[[#This Row],[Date]])</f>
        <v>2025</v>
      </c>
      <c r="D26" s="229">
        <f>Table13[[#This Row],[Date]]-DAY(Table13[[#This Row],[Date]])+1</f>
        <v>45748</v>
      </c>
      <c r="E26" s="9">
        <f t="shared" si="0"/>
        <v>30</v>
      </c>
      <c r="F26" s="199">
        <f>IFERROR(_xlfn.XLOOKUP($A26,Input_Raw!$A:$A,Input_Raw!$FC:$FC),"")</f>
        <v>12.133333333333333</v>
      </c>
      <c r="G26" s="200">
        <f>IFERROR(_xlfn.XLOOKUP($A26,Input_Raw!$A:$A,Input_Raw!$CY:$CY),"")</f>
        <v>7.2761967333333297</v>
      </c>
      <c r="H26" s="200">
        <f>IFERROR(_xlfn.XLOOKUP($A26,Input_Raw!$A:$A,Input_Raw!$DA:$DA),"")</f>
        <v>1.4461927166666662</v>
      </c>
      <c r="I26" s="200">
        <f>IFERROR(_xlfn.XLOOKUP($A26,Input_Raw!$A:$A,Input_Raw!$CX:$CX),"")</f>
        <v>7.3124169833333426</v>
      </c>
      <c r="J26" s="200">
        <f>IFERROR(_xlfn.XLOOKUP($A26,Input_Raw!$A:$A,Input_Raw!$CZ:$CZ),"")</f>
        <v>0.97527401666666591</v>
      </c>
      <c r="K26" s="201">
        <f>IFERROR(_xlfn.XLOOKUP($A26,Input_Raw!$A:$A,Input_Raw!$DB:$DB),"")</f>
        <v>33.894411326378489</v>
      </c>
      <c r="L26" s="201">
        <f>IFERROR(_xlfn.XLOOKUP($A26,Input_Raw!$A:$A,Input_Raw!$DC:$DC),"")</f>
        <v>46.28647540983598</v>
      </c>
      <c r="M26" s="200">
        <f>IFERROR(_xlfn.XLOOKUP($A26,Input_Raw!$A:$A,Input_Raw!$DF:$DF),"")</f>
        <v>0.98780923994038716</v>
      </c>
      <c r="N26" s="200">
        <f>IFERROR(_xlfn.XLOOKUP($A26,Input_Raw!$A:$A,Input_Raw!$DG:$DG),"")</f>
        <v>2.2650000000000001</v>
      </c>
      <c r="O26" s="230">
        <f>IFERROR(1-(SUMIF(Plant_BD!$B:$B,$A26,Plant_BD!$AL:$AL)/($AA26+SUMIF(Plant_BD!$B:$B,$A26,Plant_BD!$AL:$AL))),"")</f>
        <v>0.98708619005850085</v>
      </c>
      <c r="P26" s="230"/>
      <c r="Q26" s="231">
        <f>IFERROR(1-(SUMIF(Grid_BD!$B:$B,$A26,Grid_BD!$V:$V)/($AA26+SUMIF(Grid_BD!$B:$B,$A26,Grid_BD!$V:$V))),"")</f>
        <v>1</v>
      </c>
      <c r="R26" s="230">
        <f>IFERROR(1-(SUMIF(Grid_BD!$B:$B,$A26,Grid_BD!$V:$V)/($AA26+SUMIF(Grid_BD!$B:$B,$A26,Grid_BD!$V:$V))),"")</f>
        <v>1</v>
      </c>
      <c r="S26" s="9"/>
      <c r="T26" s="231"/>
      <c r="U26" s="232">
        <f t="shared" si="1"/>
        <v>0.80392414502990461</v>
      </c>
      <c r="V26" s="232">
        <f>IFERROR(_xlfn.XLOOKUP($A26,Input_Raw!$A:$A,Input_Raw!$FG:$FG),"")</f>
        <v>0</v>
      </c>
      <c r="W26" s="233">
        <f t="shared" si="2"/>
        <v>0.19783846153845616</v>
      </c>
      <c r="X26" s="29">
        <f>IFERROR(_xlfn.XLOOKUP($A26,Input_Raw!$A:$A,Input_Raw!$DP:$DP),"")</f>
        <v>581073.5</v>
      </c>
      <c r="Y26" s="29">
        <f>IFERROR(_xlfn.XLOOKUP($A26,Input_Raw!$A:$A,Input_Raw!EW:EW),"")</f>
        <v>619631.99999998324</v>
      </c>
      <c r="Z26" s="29">
        <f>IFERROR(_xlfn.XLOOKUP($A26,Input_Raw!$A:$A,Input_Raw!EX:EX),"")</f>
        <v>2375.9999999999673</v>
      </c>
      <c r="AA26" s="29">
        <f>IFERROR(_xlfn.XLOOKUP($A26,Input_Raw!$A:$A,Input_Raw!FA:FA),"")</f>
        <v>617255.99999998324</v>
      </c>
      <c r="AB26" s="9">
        <f>IFERROR(_xlfn.XLOOKUP($A26,Input_Raw!$A:$A,Input_Raw!FD:FD),"")</f>
        <v>105</v>
      </c>
      <c r="AC26" s="185">
        <f>IFERROR(_xlfn.XLOOKUP($D26,'Modelling New'!$D:$D,'Modelling New'!P:P),"")</f>
        <v>7.14</v>
      </c>
      <c r="AD26" s="29">
        <f>IFERROR(_xlfn.XLOOKUP($D26,'Modelling New'!$D:$D,'Modelling New'!T:T)*1000,"")</f>
        <v>709627.68703000736</v>
      </c>
      <c r="AE26" s="233">
        <f>IFERROR(_xlfn.XLOOKUP($D26,'Modelling New'!$D:$D,'Modelling New'!O:O),"")</f>
        <v>0.76452024028227472</v>
      </c>
      <c r="AF26" s="233">
        <f>IFERROR(_xlfn.XLOOKUP($D26,'Modelling New'!$D:$D,'Modelling New'!W:W),"")</f>
        <v>0.22744477148397671</v>
      </c>
      <c r="AG26" s="233">
        <f>IFERROR(_xlfn.XLOOKUP($D26,'Modelling New'!$D:$D,'Modelling New'!AE:AE),"")</f>
        <v>0.995</v>
      </c>
      <c r="AH26" s="234">
        <f>IFERROR(_xlfn.XLOOKUP($D26,'Modelling New'!$D:$D,'Modelling New'!AF:AF),"")</f>
        <v>0.995</v>
      </c>
      <c r="AI26" s="9"/>
      <c r="AJ26" s="9"/>
      <c r="AK26" s="258"/>
      <c r="AL26" s="258"/>
      <c r="AM26" s="258"/>
      <c r="AN26" s="235"/>
      <c r="AO26" s="233"/>
      <c r="AP26" s="233"/>
      <c r="AQ26" s="233"/>
      <c r="AR26" s="236">
        <f>_xlfn.XLOOKUP(D26,'Modelling New'!$D:$D,'Modelling New'!$N:$N)</f>
        <v>130</v>
      </c>
      <c r="AS26" s="236">
        <f t="shared" si="3"/>
        <v>573160.82413962134</v>
      </c>
    </row>
    <row r="27" spans="1:45">
      <c r="A27" s="18">
        <f t="shared" si="4"/>
        <v>45770</v>
      </c>
      <c r="B27" s="29">
        <f>YEAR(Table13[[#This Row],[Date]])+IF(MONTH(Table13[[#This Row],[Date]])&gt;=4,1,0)</f>
        <v>2026</v>
      </c>
      <c r="C27" s="9">
        <f>YEAR(Table13[[#This Row],[Date]])</f>
        <v>2025</v>
      </c>
      <c r="D27" s="229">
        <f>Table13[[#This Row],[Date]]-DAY(Table13[[#This Row],[Date]])+1</f>
        <v>45748</v>
      </c>
      <c r="E27" s="9">
        <f t="shared" si="0"/>
        <v>30</v>
      </c>
      <c r="F27" s="199">
        <f>IFERROR(_xlfn.XLOOKUP($A27,Input_Raw!$A:$A,Input_Raw!$FC:$FC),"")</f>
        <v>12.1</v>
      </c>
      <c r="G27" s="185">
        <f>IFERROR(_xlfn.XLOOKUP($A27,Input_Raw!$A:$A,Input_Raw!$CY:$CY),"")</f>
        <v>7.2514088000000019</v>
      </c>
      <c r="H27" s="185">
        <f>IFERROR(_xlfn.XLOOKUP($A27,Input_Raw!$A:$A,Input_Raw!$DA:$DA),"")</f>
        <v>1.4546560666666659</v>
      </c>
      <c r="I27" s="185">
        <f>IFERROR(_xlfn.XLOOKUP($A27,Input_Raw!$A:$A,Input_Raw!$CX:$CX),"")</f>
        <v>7.267512199999997</v>
      </c>
      <c r="J27" s="185">
        <f>IFERROR(_xlfn.XLOOKUP($A27,Input_Raw!$A:$A,Input_Raw!$CZ:$CZ),"")</f>
        <v>0.98194756666666594</v>
      </c>
      <c r="K27" s="201">
        <f>IFERROR(_xlfn.XLOOKUP($A27,Input_Raw!$A:$A,Input_Raw!$DB:$DB),"")</f>
        <v>34.564774247491734</v>
      </c>
      <c r="L27" s="201">
        <f>IFERROR(_xlfn.XLOOKUP($A27,Input_Raw!$A:$A,Input_Raw!$DC:$DC),"")</f>
        <v>47.986234949832735</v>
      </c>
      <c r="M27" s="200">
        <f>IFERROR(_xlfn.XLOOKUP($A27,Input_Raw!$A:$A,Input_Raw!$DF:$DF),"")</f>
        <v>0.99358193979933207</v>
      </c>
      <c r="N27" s="200">
        <f>IFERROR(_xlfn.XLOOKUP($A27,Input_Raw!$A:$A,Input_Raw!$DG:$DG),"")</f>
        <v>2.6459999999999999</v>
      </c>
      <c r="O27" s="230">
        <f>IFERROR(1-(SUMIF(Plant_BD!$B:$B,$A27,Plant_BD!$AL:$AL)/($AA27+SUMIF(Plant_BD!$B:$B,$A27,Plant_BD!$AL:$AL))),"")</f>
        <v>1</v>
      </c>
      <c r="P27" s="230"/>
      <c r="Q27" s="231">
        <f>IFERROR(1-(SUMIF(Grid_BD!$B:$B,$A27,Grid_BD!$V:$V)/($AA27+SUMIF(Grid_BD!$B:$B,$A27,Grid_BD!$V:$V))),"")</f>
        <v>1</v>
      </c>
      <c r="R27" s="230">
        <f>IFERROR(1-(SUMIF(Grid_BD!$B:$B,$A27,Grid_BD!$V:$V)/($AA27+SUMIF(Grid_BD!$B:$B,$A27,Grid_BD!$V:$V))),"")</f>
        <v>1</v>
      </c>
      <c r="S27" s="9"/>
      <c r="T27" s="231"/>
      <c r="U27" s="232">
        <f t="shared" si="1"/>
        <v>0.80832534215963558</v>
      </c>
      <c r="V27" s="232">
        <f>IFERROR(_xlfn.XLOOKUP($A27,Input_Raw!$A:$A,Input_Raw!$FG:$FG),"")</f>
        <v>0</v>
      </c>
      <c r="W27" s="233">
        <f t="shared" si="2"/>
        <v>0.19770000000000132</v>
      </c>
      <c r="X27" s="29">
        <f>IFERROR(_xlfn.XLOOKUP($A27,Input_Raw!$A:$A,Input_Raw!$DP:$DP),"")</f>
        <v>585076.10000000009</v>
      </c>
      <c r="Y27" s="29">
        <f>IFERROR(_xlfn.XLOOKUP($A27,Input_Raw!$A:$A,Input_Raw!EW:EW),"")</f>
        <v>618912.00000000419</v>
      </c>
      <c r="Z27" s="29">
        <f>IFERROR(_xlfn.XLOOKUP($A27,Input_Raw!$A:$A,Input_Raw!EX:EX),"")</f>
        <v>2088.0000000000655</v>
      </c>
      <c r="AA27" s="29">
        <f>IFERROR(_xlfn.XLOOKUP($A27,Input_Raw!$A:$A,Input_Raw!FA:FA),"")</f>
        <v>616824.00000000407</v>
      </c>
      <c r="AB27" s="9">
        <f>IFERROR(_xlfn.XLOOKUP($A27,Input_Raw!$A:$A,Input_Raw!FD:FD),"")</f>
        <v>105</v>
      </c>
      <c r="AC27" s="185">
        <f>IFERROR(_xlfn.XLOOKUP($D27,'Modelling New'!$D:$D,'Modelling New'!P:P),"")</f>
        <v>7.14</v>
      </c>
      <c r="AD27" s="29">
        <f>IFERROR(_xlfn.XLOOKUP($D27,'Modelling New'!$D:$D,'Modelling New'!T:T)*1000,"")</f>
        <v>709627.68703000736</v>
      </c>
      <c r="AE27" s="233">
        <f>IFERROR(_xlfn.XLOOKUP($D27,'Modelling New'!$D:$D,'Modelling New'!O:O),"")</f>
        <v>0.76452024028227472</v>
      </c>
      <c r="AF27" s="233">
        <f>IFERROR(_xlfn.XLOOKUP($D27,'Modelling New'!$D:$D,'Modelling New'!W:W),"")</f>
        <v>0.22744477148397671</v>
      </c>
      <c r="AG27" s="233">
        <f>IFERROR(_xlfn.XLOOKUP($D27,'Modelling New'!$D:$D,'Modelling New'!AE:AE),"")</f>
        <v>0.995</v>
      </c>
      <c r="AH27" s="234">
        <f>IFERROR(_xlfn.XLOOKUP($D27,'Modelling New'!$D:$D,'Modelling New'!AF:AF),"")</f>
        <v>0.995</v>
      </c>
      <c r="AI27" s="9"/>
      <c r="AJ27" s="9"/>
      <c r="AK27" s="258"/>
      <c r="AL27" s="258"/>
      <c r="AM27" s="258"/>
      <c r="AN27" s="235"/>
      <c r="AO27" s="233"/>
      <c r="AP27" s="233"/>
      <c r="AQ27" s="233"/>
      <c r="AR27" s="236">
        <f>_xlfn.XLOOKUP(D27,'Modelling New'!$D:$D,'Modelling New'!$N:$N)</f>
        <v>130</v>
      </c>
      <c r="AS27" s="236">
        <f t="shared" si="3"/>
        <v>573160.82413962134</v>
      </c>
    </row>
    <row r="28" spans="1:45">
      <c r="A28" s="18">
        <f t="shared" si="4"/>
        <v>45771</v>
      </c>
      <c r="B28" s="29">
        <f>YEAR(Table13[[#This Row],[Date]])+IF(MONTH(Table13[[#This Row],[Date]])&gt;=4,1,0)</f>
        <v>2026</v>
      </c>
      <c r="C28" s="9">
        <f>YEAR(Table13[[#This Row],[Date]])</f>
        <v>2025</v>
      </c>
      <c r="D28" s="229">
        <f>Table13[[#This Row],[Date]]-DAY(Table13[[#This Row],[Date]])+1</f>
        <v>45748</v>
      </c>
      <c r="E28" s="9">
        <f t="shared" si="0"/>
        <v>30</v>
      </c>
      <c r="F28" s="199">
        <f>IFERROR(_xlfn.XLOOKUP($A28,Input_Raw!$A:$A,Input_Raw!$FC:$FC),"")</f>
        <v>12.183333333333335</v>
      </c>
      <c r="G28" s="200">
        <f>IFERROR(_xlfn.XLOOKUP($A28,Input_Raw!$A:$A,Input_Raw!$CY:$CY),"")</f>
        <v>6.942666066666666</v>
      </c>
      <c r="H28" s="200">
        <f>IFERROR(_xlfn.XLOOKUP($A28,Input_Raw!$A:$A,Input_Raw!$DA:$DA),"")</f>
        <v>1.3974052499999994</v>
      </c>
      <c r="I28" s="200">
        <f>IFERROR(_xlfn.XLOOKUP($A28,Input_Raw!$A:$A,Input_Raw!$CX:$CX),"")</f>
        <v>6.9662361500000021</v>
      </c>
      <c r="J28" s="200">
        <f>IFERROR(_xlfn.XLOOKUP($A28,Input_Raw!$A:$A,Input_Raw!$CZ:$CZ),"")</f>
        <v>0.96716798333333232</v>
      </c>
      <c r="K28" s="201">
        <f>IFERROR(_xlfn.XLOOKUP($A28,Input_Raw!$A:$A,Input_Raw!$DB:$DB),"")</f>
        <v>34.53467400508044</v>
      </c>
      <c r="L28" s="201">
        <f>IFERROR(_xlfn.XLOOKUP($A28,Input_Raw!$A:$A,Input_Raw!$DC:$DC),"")</f>
        <v>47.438395427603695</v>
      </c>
      <c r="M28" s="200">
        <f>IFERROR(_xlfn.XLOOKUP($A28,Input_Raw!$A:$A,Input_Raw!$DF:$DF),"")</f>
        <v>1.098401354784083</v>
      </c>
      <c r="N28" s="200">
        <f>IFERROR(_xlfn.XLOOKUP($A28,Input_Raw!$A:$A,Input_Raw!$DG:$DG),"")</f>
        <v>2.4390000000000001</v>
      </c>
      <c r="O28" s="230">
        <f>IFERROR(1-(SUMIF(Plant_BD!$B:$B,$A28,Plant_BD!$AL:$AL)/($AA28+SUMIF(Plant_BD!$B:$B,$A28,Plant_BD!$AL:$AL))),"")</f>
        <v>1</v>
      </c>
      <c r="P28" s="230"/>
      <c r="Q28" s="231">
        <f>IFERROR(1-(SUMIF(Grid_BD!$B:$B,$A28,Grid_BD!$V:$V)/($AA28+SUMIF(Grid_BD!$B:$B,$A28,Grid_BD!$V:$V))),"")</f>
        <v>1</v>
      </c>
      <c r="R28" s="230">
        <f>IFERROR(1-(SUMIF(Grid_BD!$B:$B,$A28,Grid_BD!$V:$V)/($AA28+SUMIF(Grid_BD!$B:$B,$A28,Grid_BD!$V:$V))),"")</f>
        <v>1</v>
      </c>
      <c r="S28" s="9"/>
      <c r="T28" s="231"/>
      <c r="U28" s="232">
        <f t="shared" si="1"/>
        <v>0.80833976813802833</v>
      </c>
      <c r="V28" s="232">
        <f>IFERROR(_xlfn.XLOOKUP($A28,Input_Raw!$A:$A,Input_Raw!$FG:$FG),"")</f>
        <v>0</v>
      </c>
      <c r="W28" s="233">
        <f t="shared" si="2"/>
        <v>0.18950769230769363</v>
      </c>
      <c r="X28" s="29">
        <f>IFERROR(_xlfn.XLOOKUP($A28,Input_Raw!$A:$A,Input_Raw!$DP:$DP),"")</f>
        <v>573442.19999999995</v>
      </c>
      <c r="Y28" s="29">
        <f>IFERROR(_xlfn.XLOOKUP($A28,Input_Raw!$A:$A,Input_Raw!EW:EW),"")</f>
        <v>593712.00000000419</v>
      </c>
      <c r="Z28" s="29">
        <f>IFERROR(_xlfn.XLOOKUP($A28,Input_Raw!$A:$A,Input_Raw!EX:EX),"")</f>
        <v>2448.0000000000655</v>
      </c>
      <c r="AA28" s="29">
        <f>IFERROR(_xlfn.XLOOKUP($A28,Input_Raw!$A:$A,Input_Raw!FA:FA),"")</f>
        <v>591264.00000000407</v>
      </c>
      <c r="AB28" s="9">
        <f>IFERROR(_xlfn.XLOOKUP($A28,Input_Raw!$A:$A,Input_Raw!FD:FD),"")</f>
        <v>105</v>
      </c>
      <c r="AC28" s="185">
        <f>IFERROR(_xlfn.XLOOKUP($D28,'Modelling New'!$D:$D,'Modelling New'!P:P),"")</f>
        <v>7.14</v>
      </c>
      <c r="AD28" s="29">
        <f>IFERROR(_xlfn.XLOOKUP($D28,'Modelling New'!$D:$D,'Modelling New'!T:T)*1000,"")</f>
        <v>709627.68703000736</v>
      </c>
      <c r="AE28" s="233">
        <f>IFERROR(_xlfn.XLOOKUP($D28,'Modelling New'!$D:$D,'Modelling New'!O:O),"")</f>
        <v>0.76452024028227472</v>
      </c>
      <c r="AF28" s="233">
        <f>IFERROR(_xlfn.XLOOKUP($D28,'Modelling New'!$D:$D,'Modelling New'!W:W),"")</f>
        <v>0.22744477148397671</v>
      </c>
      <c r="AG28" s="233">
        <f>IFERROR(_xlfn.XLOOKUP($D28,'Modelling New'!$D:$D,'Modelling New'!AE:AE),"")</f>
        <v>0.995</v>
      </c>
      <c r="AH28" s="234">
        <f>IFERROR(_xlfn.XLOOKUP($D28,'Modelling New'!$D:$D,'Modelling New'!AF:AF),"")</f>
        <v>0.995</v>
      </c>
      <c r="AI28" s="9"/>
      <c r="AJ28" s="9"/>
      <c r="AK28" s="258"/>
      <c r="AL28" s="258"/>
      <c r="AM28" s="258"/>
      <c r="AN28" s="235"/>
      <c r="AO28" s="233"/>
      <c r="AP28" s="233"/>
      <c r="AQ28" s="233"/>
      <c r="AR28" s="236">
        <f>_xlfn.XLOOKUP(D28,'Modelling New'!$D:$D,'Modelling New'!$N:$N)</f>
        <v>130</v>
      </c>
      <c r="AS28" s="236">
        <f t="shared" si="3"/>
        <v>573160.82413962134</v>
      </c>
    </row>
    <row r="29" spans="1:45">
      <c r="A29" s="18">
        <f t="shared" si="4"/>
        <v>45772</v>
      </c>
      <c r="B29" s="29">
        <f>YEAR(Table13[[#This Row],[Date]])+IF(MONTH(Table13[[#This Row],[Date]])&gt;=4,1,0)</f>
        <v>2026</v>
      </c>
      <c r="C29" s="9">
        <f>YEAR(Table13[[#This Row],[Date]])</f>
        <v>2025</v>
      </c>
      <c r="D29" s="229">
        <f>Table13[[#This Row],[Date]]-DAY(Table13[[#This Row],[Date]])+1</f>
        <v>45748</v>
      </c>
      <c r="E29" s="9">
        <f t="shared" si="0"/>
        <v>30</v>
      </c>
      <c r="F29" s="199">
        <f>IFERROR(_xlfn.XLOOKUP($A29,Input_Raw!$A:$A,Input_Raw!$FC:$FC),"")</f>
        <v>12.083333333333336</v>
      </c>
      <c r="G29" s="185">
        <f>IFERROR(_xlfn.XLOOKUP($A29,Input_Raw!$A:$A,Input_Raw!$CY:$CY),"")</f>
        <v>7.0078852000000111</v>
      </c>
      <c r="H29" s="185">
        <f>IFERROR(_xlfn.XLOOKUP($A29,Input_Raw!$A:$A,Input_Raw!$DA:$DA),"")</f>
        <v>1.4078384000000006</v>
      </c>
      <c r="I29" s="185">
        <f>IFERROR(_xlfn.XLOOKUP($A29,Input_Raw!$A:$A,Input_Raw!$CX:$CX),"")</f>
        <v>7.0080912333333325</v>
      </c>
      <c r="J29" s="185">
        <f>IFERROR(_xlfn.XLOOKUP($A29,Input_Raw!$A:$A,Input_Raw!$CZ:$CZ),"")</f>
        <v>0.95771016666666597</v>
      </c>
      <c r="K29" s="201">
        <f>IFERROR(_xlfn.XLOOKUP($A29,Input_Raw!$A:$A,Input_Raw!$DB:$DB),"")</f>
        <v>34.729205350118043</v>
      </c>
      <c r="L29" s="201">
        <f>IFERROR(_xlfn.XLOOKUP($A29,Input_Raw!$A:$A,Input_Raw!$DC:$DC),"")</f>
        <v>48.10381904012587</v>
      </c>
      <c r="M29" s="200">
        <f>IFERROR(_xlfn.XLOOKUP($A29,Input_Raw!$A:$A,Input_Raw!$DF:$DF),"")</f>
        <v>1.0152368214004723</v>
      </c>
      <c r="N29" s="200">
        <f>IFERROR(_xlfn.XLOOKUP($A29,Input_Raw!$A:$A,Input_Raw!$DG:$DG),"")</f>
        <v>2.0910000000000002</v>
      </c>
      <c r="O29" s="230">
        <f>IFERROR(1-(SUMIF(Plant_BD!$B:$B,$A29,Plant_BD!$AL:$AL)/($AA29+SUMIF(Plant_BD!$B:$B,$A29,Plant_BD!$AL:$AL))),"")</f>
        <v>0.99606622323784288</v>
      </c>
      <c r="P29" s="230"/>
      <c r="Q29" s="231">
        <f>IFERROR(1-(SUMIF(Grid_BD!$B:$B,$A29,Grid_BD!$V:$V)/($AA29+SUMIF(Grid_BD!$B:$B,$A29,Grid_BD!$V:$V))),"")</f>
        <v>1</v>
      </c>
      <c r="R29" s="230">
        <f>IFERROR(1-(SUMIF(Grid_BD!$B:$B,$A29,Grid_BD!$V:$V)/($AA29+SUMIF(Grid_BD!$B:$B,$A29,Grid_BD!$V:$V))),"")</f>
        <v>1</v>
      </c>
      <c r="S29" s="9"/>
      <c r="T29" s="231"/>
      <c r="U29" s="232">
        <f t="shared" si="1"/>
        <v>0.81339449892287197</v>
      </c>
      <c r="V29" s="232" t="str">
        <f>IFERROR(_xlfn.XLOOKUP($A29,Input_Raw!$A:$A,Input_Raw!$FG:$FG),"")</f>
        <v/>
      </c>
      <c r="W29" s="233">
        <f t="shared" si="2"/>
        <v>0.19183846153846426</v>
      </c>
      <c r="X29" s="29">
        <f>IFERROR(_xlfn.XLOOKUP($A29,Input_Raw!$A:$A,Input_Raw!$DP:$DP),"")</f>
        <v>614346.69999999995</v>
      </c>
      <c r="Y29" s="29">
        <f>IFERROR(_xlfn.XLOOKUP($A29,Input_Raw!$A:$A,Input_Raw!EW:EW),"")</f>
        <v>601344.00000000838</v>
      </c>
      <c r="Z29" s="29">
        <f>IFERROR(_xlfn.XLOOKUP($A29,Input_Raw!$A:$A,Input_Raw!EX:EX),"")</f>
        <v>2807.9999999999018</v>
      </c>
      <c r="AA29" s="29">
        <f>IFERROR(_xlfn.XLOOKUP($A29,Input_Raw!$A:$A,Input_Raw!FA:FA),"")</f>
        <v>598536.0000000085</v>
      </c>
      <c r="AB29" s="9">
        <f>IFERROR(_xlfn.XLOOKUP($A29,Input_Raw!$A:$A,Input_Raw!FD:FD),"")</f>
        <v>105</v>
      </c>
      <c r="AC29" s="185">
        <f>IFERROR(_xlfn.XLOOKUP($D29,'Modelling New'!$D:$D,'Modelling New'!P:P),"")</f>
        <v>7.14</v>
      </c>
      <c r="AD29" s="29">
        <f>IFERROR(_xlfn.XLOOKUP($D29,'Modelling New'!$D:$D,'Modelling New'!T:T)*1000,"")</f>
        <v>709627.68703000736</v>
      </c>
      <c r="AE29" s="233">
        <f>IFERROR(_xlfn.XLOOKUP($D29,'Modelling New'!$D:$D,'Modelling New'!O:O),"")</f>
        <v>0.76452024028227472</v>
      </c>
      <c r="AF29" s="233">
        <f>IFERROR(_xlfn.XLOOKUP($D29,'Modelling New'!$D:$D,'Modelling New'!W:W),"")</f>
        <v>0.22744477148397671</v>
      </c>
      <c r="AG29" s="233">
        <f>IFERROR(_xlfn.XLOOKUP($D29,'Modelling New'!$D:$D,'Modelling New'!AE:AE),"")</f>
        <v>0.995</v>
      </c>
      <c r="AH29" s="234">
        <f>IFERROR(_xlfn.XLOOKUP($D29,'Modelling New'!$D:$D,'Modelling New'!AF:AF),"")</f>
        <v>0.995</v>
      </c>
      <c r="AI29" s="9"/>
      <c r="AJ29" s="9"/>
      <c r="AK29" s="258"/>
      <c r="AL29" s="258"/>
      <c r="AM29" s="258"/>
      <c r="AN29" s="235"/>
      <c r="AO29" s="233"/>
      <c r="AP29" s="233"/>
      <c r="AQ29" s="233"/>
      <c r="AR29" s="236">
        <f>_xlfn.XLOOKUP(D29,'Modelling New'!$D:$D,'Modelling New'!$N:$N)</f>
        <v>130</v>
      </c>
      <c r="AS29" s="236">
        <f t="shared" si="3"/>
        <v>573160.82413962134</v>
      </c>
    </row>
    <row r="30" spans="1:45">
      <c r="A30" s="18">
        <f t="shared" si="4"/>
        <v>45773</v>
      </c>
      <c r="B30" s="29">
        <f>YEAR(Table13[[#This Row],[Date]])+IF(MONTH(Table13[[#This Row],[Date]])&gt;=4,1,0)</f>
        <v>2026</v>
      </c>
      <c r="C30" s="9">
        <f>YEAR(Table13[[#This Row],[Date]])</f>
        <v>2025</v>
      </c>
      <c r="D30" s="229">
        <f>Table13[[#This Row],[Date]]-DAY(Table13[[#This Row],[Date]])+1</f>
        <v>45748</v>
      </c>
      <c r="E30" s="9">
        <f t="shared" si="0"/>
        <v>30</v>
      </c>
      <c r="F30" s="199">
        <f>IFERROR(_xlfn.XLOOKUP($A30,Input_Raw!$A:$A,Input_Raw!$FC:$FC),"")</f>
        <v>12.216666666666669</v>
      </c>
      <c r="G30" s="200">
        <f>IFERROR(_xlfn.XLOOKUP($A30,Input_Raw!$A:$A,Input_Raw!$CY:$CY),"")</f>
        <v>4.940709433333331</v>
      </c>
      <c r="H30" s="200">
        <f>IFERROR(_xlfn.XLOOKUP($A30,Input_Raw!$A:$A,Input_Raw!$DA:$DA),"")</f>
        <v>0.98833121666666535</v>
      </c>
      <c r="I30" s="200">
        <f>IFERROR(_xlfn.XLOOKUP($A30,Input_Raw!$A:$A,Input_Raw!$CX:$CX),"")</f>
        <v>4.9439592833333368</v>
      </c>
      <c r="J30" s="200">
        <f>IFERROR(_xlfn.XLOOKUP($A30,Input_Raw!$A:$A,Input_Raw!$CZ:$CZ),"")</f>
        <v>0.74732183333333502</v>
      </c>
      <c r="K30" s="201">
        <f>IFERROR(_xlfn.XLOOKUP($A30,Input_Raw!$A:$A,Input_Raw!$DB:$DB),"")</f>
        <v>33.198866559485467</v>
      </c>
      <c r="L30" s="201">
        <f>IFERROR(_xlfn.XLOOKUP($A30,Input_Raw!$A:$A,Input_Raw!$DC:$DC),"")</f>
        <v>43.480128617363356</v>
      </c>
      <c r="M30" s="200">
        <f>IFERROR(_xlfn.XLOOKUP($A30,Input_Raw!$A:$A,Input_Raw!$DF:$DF),"")</f>
        <v>1.1836085209003226</v>
      </c>
      <c r="N30" s="200">
        <f>IFERROR(_xlfn.XLOOKUP($A30,Input_Raw!$A:$A,Input_Raw!$DG:$DG),"")</f>
        <v>3.0449999999999999</v>
      </c>
      <c r="O30" s="230">
        <f>IFERROR(1-(SUMIF(Plant_BD!$B:$B,$A30,Plant_BD!$AL:$AL)/($AA30+SUMIF(Plant_BD!$B:$B,$A30,Plant_BD!$AL:$AL))),"")</f>
        <v>1</v>
      </c>
      <c r="P30" s="230"/>
      <c r="Q30" s="231">
        <f>IFERROR(1-(SUMIF(Grid_BD!$B:$B,$A30,Grid_BD!$V:$V)/($AA30+SUMIF(Grid_BD!$B:$B,$A30,Grid_BD!$V:$V))),"")</f>
        <v>1</v>
      </c>
      <c r="R30" s="230">
        <f>IFERROR(1-(SUMIF(Grid_BD!$B:$B,$A30,Grid_BD!$V:$V)/($AA30+SUMIF(Grid_BD!$B:$B,$A30,Grid_BD!$V:$V))),"")</f>
        <v>1</v>
      </c>
      <c r="S30" s="9"/>
      <c r="T30" s="231"/>
      <c r="U30" s="232">
        <f t="shared" si="1"/>
        <v>0.85090853337705041</v>
      </c>
      <c r="V30" s="232" t="str">
        <f>IFERROR(_xlfn.XLOOKUP($A30,Input_Raw!$A:$A,Input_Raw!$FG:$FG),"")</f>
        <v/>
      </c>
      <c r="W30" s="233">
        <f t="shared" si="2"/>
        <v>0.14157692307691902</v>
      </c>
      <c r="X30" s="29">
        <f>IFERROR(_xlfn.XLOOKUP($A30,Input_Raw!$A:$A,Input_Raw!$DP:$DP),"")</f>
        <v>452433.9</v>
      </c>
      <c r="Y30" s="29">
        <f>IFERROR(_xlfn.XLOOKUP($A30,Input_Raw!$A:$A,Input_Raw!EW:EW),"")</f>
        <v>444383.99999998743</v>
      </c>
      <c r="Z30" s="29">
        <f>IFERROR(_xlfn.XLOOKUP($A30,Input_Raw!$A:$A,Input_Raw!EX:EX),"")</f>
        <v>2664.0000000000327</v>
      </c>
      <c r="AA30" s="29">
        <f>IFERROR(_xlfn.XLOOKUP($A30,Input_Raw!$A:$A,Input_Raw!FA:FA),"")</f>
        <v>441719.99999998737</v>
      </c>
      <c r="AB30" s="9">
        <f>IFERROR(_xlfn.XLOOKUP($A30,Input_Raw!$A:$A,Input_Raw!FD:FD),"")</f>
        <v>105</v>
      </c>
      <c r="AC30" s="185">
        <f>IFERROR(_xlfn.XLOOKUP($D30,'Modelling New'!$D:$D,'Modelling New'!P:P),"")</f>
        <v>7.14</v>
      </c>
      <c r="AD30" s="29">
        <f>IFERROR(_xlfn.XLOOKUP($D30,'Modelling New'!$D:$D,'Modelling New'!T:T)*1000,"")</f>
        <v>709627.68703000736</v>
      </c>
      <c r="AE30" s="233">
        <f>IFERROR(_xlfn.XLOOKUP($D30,'Modelling New'!$D:$D,'Modelling New'!O:O),"")</f>
        <v>0.76452024028227472</v>
      </c>
      <c r="AF30" s="233">
        <f>IFERROR(_xlfn.XLOOKUP($D30,'Modelling New'!$D:$D,'Modelling New'!W:W),"")</f>
        <v>0.22744477148397671</v>
      </c>
      <c r="AG30" s="233">
        <f>IFERROR(_xlfn.XLOOKUP($D30,'Modelling New'!$D:$D,'Modelling New'!AE:AE),"")</f>
        <v>0.995</v>
      </c>
      <c r="AH30" s="234">
        <f>IFERROR(_xlfn.XLOOKUP($D30,'Modelling New'!$D:$D,'Modelling New'!AF:AF),"")</f>
        <v>0.995</v>
      </c>
      <c r="AI30" s="9"/>
      <c r="AJ30" s="9"/>
      <c r="AK30" s="258"/>
      <c r="AL30" s="258"/>
      <c r="AM30" s="258"/>
      <c r="AN30" s="235"/>
      <c r="AO30" s="233"/>
      <c r="AP30" s="233"/>
      <c r="AQ30" s="233"/>
      <c r="AR30" s="236">
        <f>_xlfn.XLOOKUP(D30,'Modelling New'!$D:$D,'Modelling New'!$N:$N)</f>
        <v>130</v>
      </c>
      <c r="AS30" s="236">
        <f t="shared" si="3"/>
        <v>573160.82413962134</v>
      </c>
    </row>
    <row r="31" spans="1:45">
      <c r="A31" s="18">
        <f t="shared" si="4"/>
        <v>45774</v>
      </c>
      <c r="B31" s="29">
        <f>YEAR(Table13[[#This Row],[Date]])+IF(MONTH(Table13[[#This Row],[Date]])&gt;=4,1,0)</f>
        <v>2026</v>
      </c>
      <c r="C31" s="9">
        <f>YEAR(Table13[[#This Row],[Date]])</f>
        <v>2025</v>
      </c>
      <c r="D31" s="229">
        <f>Table13[[#This Row],[Date]]-DAY(Table13[[#This Row],[Date]])+1</f>
        <v>45748</v>
      </c>
      <c r="E31" s="9">
        <f t="shared" si="0"/>
        <v>30</v>
      </c>
      <c r="F31" s="199">
        <f>IFERROR(_xlfn.XLOOKUP($A31,Input_Raw!$A:$A,Input_Raw!$FC:$FC),"")</f>
        <v>12.183333333333335</v>
      </c>
      <c r="G31" s="185">
        <f>IFERROR(_xlfn.XLOOKUP($A31,Input_Raw!$A:$A,Input_Raw!$CY:$CY),"")</f>
        <v>7.6219880333333352</v>
      </c>
      <c r="H31" s="185">
        <f>IFERROR(_xlfn.XLOOKUP($A31,Input_Raw!$A:$A,Input_Raw!$DA:$DA),"")</f>
        <v>1.4941409499999989</v>
      </c>
      <c r="I31" s="185">
        <f>IFERROR(_xlfn.XLOOKUP($A31,Input_Raw!$A:$A,Input_Raw!$CX:$CX),"")</f>
        <v>7.5635796833333417</v>
      </c>
      <c r="J31" s="185">
        <f>IFERROR(_xlfn.XLOOKUP($A31,Input_Raw!$A:$A,Input_Raw!$CZ:$CZ),"")</f>
        <v>1.0114160166666659</v>
      </c>
      <c r="K31" s="201">
        <f>IFERROR(_xlfn.XLOOKUP($A31,Input_Raw!$A:$A,Input_Raw!$DB:$DB),"")</f>
        <v>33.387426686217069</v>
      </c>
      <c r="L31" s="201">
        <f>IFERROR(_xlfn.XLOOKUP($A31,Input_Raw!$A:$A,Input_Raw!$DC:$DC),"")</f>
        <v>46.429399560117247</v>
      </c>
      <c r="M31" s="200">
        <f>IFERROR(_xlfn.XLOOKUP($A31,Input_Raw!$A:$A,Input_Raw!$DF:$DF),"")</f>
        <v>0.83431231671554296</v>
      </c>
      <c r="N31" s="200">
        <f>IFERROR(_xlfn.XLOOKUP($A31,Input_Raw!$A:$A,Input_Raw!$DG:$DG),"")</f>
        <v>3.3090000000000002</v>
      </c>
      <c r="O31" s="230">
        <f>IFERROR(1-(SUMIF(Plant_BD!$B:$B,$A31,Plant_BD!$AL:$AL)/($AA31+SUMIF(Plant_BD!$B:$B,$A31,Plant_BD!$AL:$AL))),"")</f>
        <v>1</v>
      </c>
      <c r="P31" s="230"/>
      <c r="Q31" s="231">
        <f>IFERROR(1-(SUMIF(Grid_BD!$B:$B,$A31,Grid_BD!$V:$V)/($AA31+SUMIF(Grid_BD!$B:$B,$A31,Grid_BD!$V:$V))),"")</f>
        <v>1</v>
      </c>
      <c r="R31" s="230">
        <f>IFERROR(1-(SUMIF(Grid_BD!$B:$B,$A31,Grid_BD!$V:$V)/($AA31+SUMIF(Grid_BD!$B:$B,$A31,Grid_BD!$V:$V))),"")</f>
        <v>1</v>
      </c>
      <c r="S31" s="9"/>
      <c r="T31" s="231"/>
      <c r="U31" s="232">
        <f t="shared" si="1"/>
        <v>0.80968463903528953</v>
      </c>
      <c r="V31" s="232" t="str">
        <f>IFERROR(_xlfn.XLOOKUP($A31,Input_Raw!$A:$A,Input_Raw!$FG:$FG),"")</f>
        <v/>
      </c>
      <c r="W31" s="233">
        <f t="shared" si="2"/>
        <v>0.20610000000000403</v>
      </c>
      <c r="X31" s="29">
        <f>IFERROR(_xlfn.XLOOKUP($A31,Input_Raw!$A:$A,Input_Raw!$DP:$DP),"")</f>
        <v>660179.30000000005</v>
      </c>
      <c r="Y31" s="29">
        <f>IFERROR(_xlfn.XLOOKUP($A31,Input_Raw!$A:$A,Input_Raw!EW:EW),"")</f>
        <v>646056.00000001257</v>
      </c>
      <c r="Z31" s="29">
        <f>IFERROR(_xlfn.XLOOKUP($A31,Input_Raw!$A:$A,Input_Raw!EX:EX),"")</f>
        <v>3024.0000000000327</v>
      </c>
      <c r="AA31" s="29">
        <f>IFERROR(_xlfn.XLOOKUP($A31,Input_Raw!$A:$A,Input_Raw!FA:FA),"")</f>
        <v>643032.00000001257</v>
      </c>
      <c r="AB31" s="9">
        <f>IFERROR(_xlfn.XLOOKUP($A31,Input_Raw!$A:$A,Input_Raw!FD:FD),"")</f>
        <v>105</v>
      </c>
      <c r="AC31" s="185">
        <f>IFERROR(_xlfn.XLOOKUP($D31,'Modelling New'!$D:$D,'Modelling New'!P:P),"")</f>
        <v>7.14</v>
      </c>
      <c r="AD31" s="29">
        <f>IFERROR(_xlfn.XLOOKUP($D31,'Modelling New'!$D:$D,'Modelling New'!T:T)*1000,"")</f>
        <v>709627.68703000736</v>
      </c>
      <c r="AE31" s="233">
        <f>IFERROR(_xlfn.XLOOKUP($D31,'Modelling New'!$D:$D,'Modelling New'!O:O),"")</f>
        <v>0.76452024028227472</v>
      </c>
      <c r="AF31" s="233">
        <f>IFERROR(_xlfn.XLOOKUP($D31,'Modelling New'!$D:$D,'Modelling New'!W:W),"")</f>
        <v>0.22744477148397671</v>
      </c>
      <c r="AG31" s="233">
        <f>IFERROR(_xlfn.XLOOKUP($D31,'Modelling New'!$D:$D,'Modelling New'!AE:AE),"")</f>
        <v>0.995</v>
      </c>
      <c r="AH31" s="234">
        <f>IFERROR(_xlfn.XLOOKUP($D31,'Modelling New'!$D:$D,'Modelling New'!AF:AF),"")</f>
        <v>0.995</v>
      </c>
      <c r="AI31" s="9"/>
      <c r="AJ31" s="9"/>
      <c r="AK31" s="258"/>
      <c r="AL31" s="258"/>
      <c r="AM31" s="258"/>
      <c r="AN31" s="235"/>
      <c r="AO31" s="233"/>
      <c r="AP31" s="233"/>
      <c r="AQ31" s="233"/>
      <c r="AR31" s="236">
        <f>_xlfn.XLOOKUP(D31,'Modelling New'!$D:$D,'Modelling New'!$N:$N)</f>
        <v>130</v>
      </c>
      <c r="AS31" s="236">
        <f t="shared" si="3"/>
        <v>573160.82413962134</v>
      </c>
    </row>
    <row r="32" spans="1:45">
      <c r="A32" s="18">
        <f t="shared" si="4"/>
        <v>45775</v>
      </c>
      <c r="B32" s="29">
        <f>YEAR(Table13[[#This Row],[Date]])+IF(MONTH(Table13[[#This Row],[Date]])&gt;=4,1,0)</f>
        <v>2026</v>
      </c>
      <c r="C32" s="9">
        <f>YEAR(Table13[[#This Row],[Date]])</f>
        <v>2025</v>
      </c>
      <c r="D32" s="229">
        <f>Table13[[#This Row],[Date]]-DAY(Table13[[#This Row],[Date]])+1</f>
        <v>45748</v>
      </c>
      <c r="E32" s="9">
        <f t="shared" si="0"/>
        <v>30</v>
      </c>
      <c r="F32" s="199">
        <f>IFERROR(_xlfn.XLOOKUP($A32,Input_Raw!$A:$A,Input_Raw!$FC:$FC),"")</f>
        <v>12.166666666666666</v>
      </c>
      <c r="G32" s="200">
        <f>IFERROR(_xlfn.XLOOKUP($A32,Input_Raw!$A:$A,Input_Raw!$CY:$CY),"")</f>
        <v>7.3132474333333359</v>
      </c>
      <c r="H32" s="200">
        <f>IFERROR(_xlfn.XLOOKUP($A32,Input_Raw!$A:$A,Input_Raw!$DA:$DA),"")</f>
        <v>1.4423139333333357</v>
      </c>
      <c r="I32" s="200">
        <f>IFERROR(_xlfn.XLOOKUP($A32,Input_Raw!$A:$A,Input_Raw!$CX:$CX),"")</f>
        <v>7.2595238333333336</v>
      </c>
      <c r="J32" s="200">
        <f>IFERROR(_xlfn.XLOOKUP($A32,Input_Raw!$A:$A,Input_Raw!$CZ:$CZ),"")</f>
        <v>0.97667948333333265</v>
      </c>
      <c r="K32" s="201">
        <f>IFERROR(_xlfn.XLOOKUP($A32,Input_Raw!$A:$A,Input_Raw!$DB:$DB),"")</f>
        <v>34.416343750000024</v>
      </c>
      <c r="L32" s="201">
        <f>IFERROR(_xlfn.XLOOKUP($A32,Input_Raw!$A:$A,Input_Raw!$DC:$DC),"")</f>
        <v>47.668648437499989</v>
      </c>
      <c r="M32" s="200">
        <f>IFERROR(_xlfn.XLOOKUP($A32,Input_Raw!$A:$A,Input_Raw!$DF:$DF),"")</f>
        <v>0.93262031249999977</v>
      </c>
      <c r="N32" s="200">
        <f>IFERROR(_xlfn.XLOOKUP($A32,Input_Raw!$A:$A,Input_Raw!$DG:$DG),"")</f>
        <v>2.835</v>
      </c>
      <c r="O32" s="230">
        <f>IFERROR(1-(SUMIF(Plant_BD!$B:$B,$A32,Plant_BD!$AL:$AL)/($AA32+SUMIF(Plant_BD!$B:$B,$A32,Plant_BD!$AL:$AL))),"")</f>
        <v>0.99645916808372992</v>
      </c>
      <c r="P32" s="230"/>
      <c r="Q32" s="231">
        <f>IFERROR(1-(SUMIF(Grid_BD!$B:$B,$A32,Grid_BD!$V:$V)/($AA32+SUMIF(Grid_BD!$B:$B,$A32,Grid_BD!$V:$V))),"")</f>
        <v>1</v>
      </c>
      <c r="R32" s="230">
        <f>IFERROR(1-(SUMIF(Grid_BD!$B:$B,$A32,Grid_BD!$V:$V)/($AA32+SUMIF(Grid_BD!$B:$B,$A32,Grid_BD!$V:$V))),"")</f>
        <v>1</v>
      </c>
      <c r="S32" s="9"/>
      <c r="T32" s="231"/>
      <c r="U32" s="232">
        <f t="shared" si="1"/>
        <v>0.80307777727535878</v>
      </c>
      <c r="V32" s="232" t="str">
        <f>IFERROR(_xlfn.XLOOKUP($A32,Input_Raw!$A:$A,Input_Raw!$FG:$FG),"")</f>
        <v/>
      </c>
      <c r="W32" s="233">
        <f t="shared" si="2"/>
        <v>0.19806923076922678</v>
      </c>
      <c r="X32" s="29">
        <f>IFERROR(_xlfn.XLOOKUP($A32,Input_Raw!$A:$A,Input_Raw!$DP:$DP),"")</f>
        <v>633561.10000000009</v>
      </c>
      <c r="Y32" s="29">
        <f>IFERROR(_xlfn.XLOOKUP($A32,Input_Raw!$A:$A,Input_Raw!EW:EW),"")</f>
        <v>620063.99999998743</v>
      </c>
      <c r="Z32" s="29">
        <f>IFERROR(_xlfn.XLOOKUP($A32,Input_Raw!$A:$A,Input_Raw!EX:EX),"")</f>
        <v>2087.9999999999018</v>
      </c>
      <c r="AA32" s="29">
        <f>IFERROR(_xlfn.XLOOKUP($A32,Input_Raw!$A:$A,Input_Raw!FA:FA),"")</f>
        <v>617975.99999998754</v>
      </c>
      <c r="AB32" s="9">
        <f>IFERROR(_xlfn.XLOOKUP($A32,Input_Raw!$A:$A,Input_Raw!FD:FD),"")</f>
        <v>106</v>
      </c>
      <c r="AC32" s="185">
        <f>IFERROR(_xlfn.XLOOKUP($D32,'Modelling New'!$D:$D,'Modelling New'!P:P),"")</f>
        <v>7.14</v>
      </c>
      <c r="AD32" s="29">
        <f>IFERROR(_xlfn.XLOOKUP($D32,'Modelling New'!$D:$D,'Modelling New'!T:T)*1000,"")</f>
        <v>709627.68703000736</v>
      </c>
      <c r="AE32" s="233">
        <f>IFERROR(_xlfn.XLOOKUP($D32,'Modelling New'!$D:$D,'Modelling New'!O:O),"")</f>
        <v>0.76452024028227472</v>
      </c>
      <c r="AF32" s="233">
        <f>IFERROR(_xlfn.XLOOKUP($D32,'Modelling New'!$D:$D,'Modelling New'!W:W),"")</f>
        <v>0.22744477148397671</v>
      </c>
      <c r="AG32" s="233">
        <f>IFERROR(_xlfn.XLOOKUP($D32,'Modelling New'!$D:$D,'Modelling New'!AE:AE),"")</f>
        <v>0.995</v>
      </c>
      <c r="AH32" s="234">
        <f>IFERROR(_xlfn.XLOOKUP($D32,'Modelling New'!$D:$D,'Modelling New'!AF:AF),"")</f>
        <v>0.995</v>
      </c>
      <c r="AI32" s="9"/>
      <c r="AJ32" s="9"/>
      <c r="AK32" s="258"/>
      <c r="AL32" s="258"/>
      <c r="AM32" s="258"/>
      <c r="AN32" s="235"/>
      <c r="AO32" s="233"/>
      <c r="AP32" s="233"/>
      <c r="AQ32" s="233"/>
      <c r="AR32" s="236">
        <f>_xlfn.XLOOKUP(D32,'Modelling New'!$D:$D,'Modelling New'!$N:$N)</f>
        <v>130</v>
      </c>
      <c r="AS32" s="236">
        <f t="shared" si="3"/>
        <v>578619.49865523679</v>
      </c>
    </row>
    <row r="33" spans="1:45">
      <c r="A33" s="18">
        <f t="shared" si="4"/>
        <v>45776</v>
      </c>
      <c r="B33" s="29">
        <f>YEAR(Table13[[#This Row],[Date]])+IF(MONTH(Table13[[#This Row],[Date]])&gt;=4,1,0)</f>
        <v>2026</v>
      </c>
      <c r="C33" s="9">
        <f>YEAR(Table13[[#This Row],[Date]])</f>
        <v>2025</v>
      </c>
      <c r="D33" s="229">
        <f>Table13[[#This Row],[Date]]-DAY(Table13[[#This Row],[Date]])+1</f>
        <v>45748</v>
      </c>
      <c r="E33" s="9">
        <f t="shared" si="0"/>
        <v>30</v>
      </c>
      <c r="F33" s="199">
        <f>IFERROR(_xlfn.XLOOKUP($A33,Input_Raw!$A:$A,Input_Raw!$FC:$FC),"")</f>
        <v>12.2</v>
      </c>
      <c r="G33" s="185">
        <f>IFERROR(_xlfn.XLOOKUP($A33,Input_Raw!$A:$A,Input_Raw!$CY:$CY),"")</f>
        <v>7.319</v>
      </c>
      <c r="H33" s="185">
        <f>IFERROR(_xlfn.XLOOKUP($A33,Input_Raw!$A:$A,Input_Raw!$DA:$DA),"")</f>
        <v>1.45</v>
      </c>
      <c r="I33" s="185">
        <f>IFERROR(_xlfn.XLOOKUP($A33,Input_Raw!$A:$A,Input_Raw!$CX:$CX),"")</f>
        <v>7.25</v>
      </c>
      <c r="J33" s="185">
        <f>IFERROR(_xlfn.XLOOKUP($A33,Input_Raw!$A:$A,Input_Raw!$CZ:$CZ),"")</f>
        <v>0.97299999999999998</v>
      </c>
      <c r="K33" s="201">
        <f>IFERROR(_xlfn.XLOOKUP($A33,Input_Raw!$A:$A,Input_Raw!$DB:$DB),"")</f>
        <v>34.658999999999999</v>
      </c>
      <c r="L33" s="201">
        <f>IFERROR(_xlfn.XLOOKUP($A33,Input_Raw!$A:$A,Input_Raw!$DC:$DC),"")</f>
        <v>46.444000000000003</v>
      </c>
      <c r="M33" s="200">
        <f>IFERROR(_xlfn.XLOOKUP($A33,Input_Raw!$A:$A,Input_Raw!$DF:$DF),"")</f>
        <v>1.127</v>
      </c>
      <c r="N33" s="200">
        <f>IFERROR(_xlfn.XLOOKUP($A33,Input_Raw!$A:$A,Input_Raw!$DG:$DG),"")</f>
        <v>3.234</v>
      </c>
      <c r="O33" s="230">
        <f>IFERROR(1-(SUMIF(Plant_BD!$B:$B,$A33,Plant_BD!$AL:$AL)/($AA33+SUMIF(Plant_BD!$B:$B,$A33,Plant_BD!$AL:$AL))),"")</f>
        <v>0.99211436091576954</v>
      </c>
      <c r="P33" s="230"/>
      <c r="Q33" s="231">
        <f>IFERROR(1-(SUMIF(Grid_BD!$B:$B,$A33,Grid_BD!$V:$V)/($AA33+SUMIF(Grid_BD!$B:$B,$A33,Grid_BD!$V:$V))),"")</f>
        <v>1</v>
      </c>
      <c r="R33" s="230">
        <f>IFERROR(1-(SUMIF(Grid_BD!$B:$B,$A33,Grid_BD!$V:$V)/($AA33+SUMIF(Grid_BD!$B:$B,$A33,Grid_BD!$V:$V))),"")</f>
        <v>1</v>
      </c>
      <c r="S33" s="9"/>
      <c r="T33" s="231"/>
      <c r="U33" s="232">
        <f t="shared" si="1"/>
        <v>0.80225894599871517</v>
      </c>
      <c r="V33" s="232" t="str">
        <f>IFERROR(_xlfn.XLOOKUP($A33,Input_Raw!$A:$A,Input_Raw!$FG:$FG),"")</f>
        <v/>
      </c>
      <c r="W33" s="233">
        <f t="shared" si="2"/>
        <v>0.19760769230769634</v>
      </c>
      <c r="X33" s="29">
        <f>IFERROR(_xlfn.XLOOKUP($A33,Input_Raw!$A:$A,Input_Raw!$DP:$DP),"")</f>
        <v>584773.29999999993</v>
      </c>
      <c r="Y33" s="29">
        <f>IFERROR(_xlfn.XLOOKUP($A33,Input_Raw!$A:$A,Input_Raw!EW:EW),"")</f>
        <v>620136.00000001257</v>
      </c>
      <c r="Z33" s="29">
        <f>IFERROR(_xlfn.XLOOKUP($A33,Input_Raw!$A:$A,Input_Raw!EX:EX),"")</f>
        <v>3600</v>
      </c>
      <c r="AA33" s="29">
        <f>IFERROR(_xlfn.XLOOKUP($A33,Input_Raw!$A:$A,Input_Raw!FA:FA),"")</f>
        <v>616536.00000001257</v>
      </c>
      <c r="AB33" s="9">
        <f>IFERROR(_xlfn.XLOOKUP($A33,Input_Raw!$A:$A,Input_Raw!FD:FD),"")</f>
        <v>106</v>
      </c>
      <c r="AC33" s="185">
        <f>IFERROR(_xlfn.XLOOKUP($D33,'Modelling New'!$D:$D,'Modelling New'!P:P),"")</f>
        <v>7.14</v>
      </c>
      <c r="AD33" s="29">
        <f>IFERROR(_xlfn.XLOOKUP($D33,'Modelling New'!$D:$D,'Modelling New'!T:T)*1000,"")</f>
        <v>709627.68703000736</v>
      </c>
      <c r="AE33" s="233">
        <f>IFERROR(_xlfn.XLOOKUP($D33,'Modelling New'!$D:$D,'Modelling New'!O:O),"")</f>
        <v>0.76452024028227472</v>
      </c>
      <c r="AF33" s="233">
        <f>IFERROR(_xlfn.XLOOKUP($D33,'Modelling New'!$D:$D,'Modelling New'!W:W),"")</f>
        <v>0.22744477148397671</v>
      </c>
      <c r="AG33" s="233">
        <f>IFERROR(_xlfn.XLOOKUP($D33,'Modelling New'!$D:$D,'Modelling New'!AE:AE),"")</f>
        <v>0.995</v>
      </c>
      <c r="AH33" s="234">
        <f>IFERROR(_xlfn.XLOOKUP($D33,'Modelling New'!$D:$D,'Modelling New'!AF:AF),"")</f>
        <v>0.995</v>
      </c>
      <c r="AI33" s="9"/>
      <c r="AJ33" s="9"/>
      <c r="AK33" s="258"/>
      <c r="AL33" s="258"/>
      <c r="AM33" s="258"/>
      <c r="AN33" s="235"/>
      <c r="AO33" s="233"/>
      <c r="AP33" s="233"/>
      <c r="AQ33" s="233"/>
      <c r="AR33" s="236">
        <f>_xlfn.XLOOKUP(D33,'Modelling New'!$D:$D,'Modelling New'!$N:$N)</f>
        <v>130</v>
      </c>
      <c r="AS33" s="236">
        <f t="shared" si="3"/>
        <v>578619.49865523679</v>
      </c>
    </row>
    <row r="34" spans="1:45">
      <c r="A34" s="18">
        <f t="shared" si="4"/>
        <v>45777</v>
      </c>
      <c r="B34" s="29">
        <f>YEAR(Table13[[#This Row],[Date]])+IF(MONTH(Table13[[#This Row],[Date]])&gt;=4,1,0)</f>
        <v>2026</v>
      </c>
      <c r="C34" s="9">
        <f>YEAR(Table13[[#This Row],[Date]])</f>
        <v>2025</v>
      </c>
      <c r="D34" s="229">
        <f>Table13[[#This Row],[Date]]-DAY(Table13[[#This Row],[Date]])+1</f>
        <v>45748</v>
      </c>
      <c r="E34" s="9">
        <f t="shared" si="0"/>
        <v>30</v>
      </c>
      <c r="F34" s="199">
        <f>IFERROR(_xlfn.XLOOKUP($A34,Input_Raw!$A:$A,Input_Raw!$FC:$FC),"")</f>
        <v>12.350000000000001</v>
      </c>
      <c r="G34" s="200">
        <f>IFERROR(_xlfn.XLOOKUP($A34,Input_Raw!$A:$A,Input_Raw!$CY:$CY),"")</f>
        <v>7.1730949499999959</v>
      </c>
      <c r="H34" s="200">
        <f>IFERROR(_xlfn.XLOOKUP($A34,Input_Raw!$A:$A,Input_Raw!$DA:$DA),"")</f>
        <v>1.4169633833333344</v>
      </c>
      <c r="I34" s="200">
        <f>IFERROR(_xlfn.XLOOKUP($A34,Input_Raw!$A:$A,Input_Raw!$CX:$CX),"")</f>
        <v>7.1097299999999928</v>
      </c>
      <c r="J34" s="200">
        <f>IFERROR(_xlfn.XLOOKUP($A34,Input_Raw!$A:$A,Input_Raw!$CZ:$CZ),"")</f>
        <v>0.95906664999999913</v>
      </c>
      <c r="K34" s="201">
        <f>IFERROR(_xlfn.XLOOKUP($A34,Input_Raw!$A:$A,Input_Raw!$DB:$DB),"")</f>
        <v>34.780388888888922</v>
      </c>
      <c r="L34" s="201">
        <f>IFERROR(_xlfn.XLOOKUP($A34,Input_Raw!$A:$A,Input_Raw!$DC:$DC),"")</f>
        <v>46.799704861111138</v>
      </c>
      <c r="M34" s="200">
        <f>IFERROR(_xlfn.XLOOKUP($A34,Input_Raw!$A:$A,Input_Raw!$DF:$DF),"")</f>
        <v>1.3726166666666655</v>
      </c>
      <c r="N34" s="200">
        <f>IFERROR(_xlfn.XLOOKUP($A34,Input_Raw!$A:$A,Input_Raw!$DG:$DG),"")</f>
        <v>3.3029999999999999</v>
      </c>
      <c r="O34" s="230">
        <f>IFERROR(1-(SUMIF(Plant_BD!$B:$B,$A34,Plant_BD!$AL:$AL)/($AA34+SUMIF(Plant_BD!$B:$B,$A34,Plant_BD!$AL:$AL))),"")</f>
        <v>0.99398398660643084</v>
      </c>
      <c r="P34" s="230"/>
      <c r="Q34" s="231">
        <f>IFERROR(1-(SUMIF(Grid_BD!$B:$B,$A34,Grid_BD!$V:$V)/($AA34+SUMIF(Grid_BD!$B:$B,$A34,Grid_BD!$V:$V))),"")</f>
        <v>1</v>
      </c>
      <c r="R34" s="230">
        <f>IFERROR(1-(SUMIF(Grid_BD!$B:$B,$A34,Grid_BD!$V:$V)/($AA34+SUMIF(Grid_BD!$B:$B,$A34,Grid_BD!$V:$V))),"")</f>
        <v>1</v>
      </c>
      <c r="S34" s="9"/>
      <c r="T34" s="231"/>
      <c r="U34" s="232">
        <f t="shared" si="1"/>
        <v>0.80776891217027569</v>
      </c>
      <c r="V34" s="232" t="str">
        <f>IFERROR(_xlfn.XLOOKUP($A34,Input_Raw!$A:$A,Input_Raw!$FG:$FG),"")</f>
        <v/>
      </c>
      <c r="W34" s="233">
        <f t="shared" si="2"/>
        <v>0.19511538461537919</v>
      </c>
      <c r="X34" s="29">
        <f>IFERROR(_xlfn.XLOOKUP($A34,Input_Raw!$A:$A,Input_Raw!$DP:$DP),"")</f>
        <v>622453.6</v>
      </c>
      <c r="Y34" s="29">
        <f>IFERROR(_xlfn.XLOOKUP($A34,Input_Raw!$A:$A,Input_Raw!EW:EW),"")</f>
        <v>612071.99999998324</v>
      </c>
      <c r="Z34" s="29">
        <f>IFERROR(_xlfn.XLOOKUP($A34,Input_Raw!$A:$A,Input_Raw!EX:EX),"")</f>
        <v>3312.0000000000982</v>
      </c>
      <c r="AA34" s="29">
        <f>IFERROR(_xlfn.XLOOKUP($A34,Input_Raw!$A:$A,Input_Raw!FA:FA),"")</f>
        <v>608759.99999998312</v>
      </c>
      <c r="AB34" s="9">
        <f>IFERROR(_xlfn.XLOOKUP($A34,Input_Raw!$A:$A,Input_Raw!FD:FD),"")</f>
        <v>106</v>
      </c>
      <c r="AC34" s="185">
        <f>IFERROR(_xlfn.XLOOKUP($D34,'Modelling New'!$D:$D,'Modelling New'!P:P),"")</f>
        <v>7.14</v>
      </c>
      <c r="AD34" s="29">
        <f>IFERROR(_xlfn.XLOOKUP($D34,'Modelling New'!$D:$D,'Modelling New'!T:T)*1000,"")</f>
        <v>709627.68703000736</v>
      </c>
      <c r="AE34" s="233">
        <f>IFERROR(_xlfn.XLOOKUP($D34,'Modelling New'!$D:$D,'Modelling New'!O:O),"")</f>
        <v>0.76452024028227472</v>
      </c>
      <c r="AF34" s="233">
        <f>IFERROR(_xlfn.XLOOKUP($D34,'Modelling New'!$D:$D,'Modelling New'!W:W),"")</f>
        <v>0.22744477148397671</v>
      </c>
      <c r="AG34" s="233">
        <f>IFERROR(_xlfn.XLOOKUP($D34,'Modelling New'!$D:$D,'Modelling New'!AE:AE),"")</f>
        <v>0.995</v>
      </c>
      <c r="AH34" s="234">
        <f>IFERROR(_xlfn.XLOOKUP($D34,'Modelling New'!$D:$D,'Modelling New'!AF:AF),"")</f>
        <v>0.995</v>
      </c>
      <c r="AI34" s="9"/>
      <c r="AJ34" s="9"/>
      <c r="AK34" s="258"/>
      <c r="AL34" s="258"/>
      <c r="AM34" s="258"/>
      <c r="AN34" s="235"/>
      <c r="AO34" s="233"/>
      <c r="AP34" s="233"/>
      <c r="AQ34" s="233"/>
      <c r="AR34" s="236">
        <f>_xlfn.XLOOKUP(D34,'Modelling New'!$D:$D,'Modelling New'!$N:$N)</f>
        <v>130</v>
      </c>
      <c r="AS34" s="236">
        <f t="shared" si="3"/>
        <v>578619.49865523679</v>
      </c>
    </row>
    <row r="35" spans="1:45">
      <c r="A35" s="18">
        <f t="shared" si="4"/>
        <v>45778</v>
      </c>
      <c r="B35" s="29">
        <f>YEAR(Table13[[#This Row],[Date]])+IF(MONTH(Table13[[#This Row],[Date]])&gt;=4,1,0)</f>
        <v>2026</v>
      </c>
      <c r="C35" s="9">
        <f>YEAR(Table13[[#This Row],[Date]])</f>
        <v>2025</v>
      </c>
      <c r="D35" s="229">
        <f>Table13[[#This Row],[Date]]-DAY(Table13[[#This Row],[Date]])+1</f>
        <v>45778</v>
      </c>
      <c r="E35" s="9">
        <f t="shared" si="0"/>
        <v>31</v>
      </c>
      <c r="F35" s="199">
        <f>IFERROR(_xlfn.XLOOKUP($A35,Input_Raw!$A:$A,Input_Raw!$FC:$FC),"")</f>
        <v>12.250000000000002</v>
      </c>
      <c r="G35" s="185">
        <f>IFERROR(_xlfn.XLOOKUP($A35,Input_Raw!$A:$A,Input_Raw!$CY:$CY),"")</f>
        <v>6.7727145250000023</v>
      </c>
      <c r="H35" s="185">
        <f>IFERROR(_xlfn.XLOOKUP($A35,Input_Raw!$A:$A,Input_Raw!$DA:$DA),"")</f>
        <v>1.3220148500000013</v>
      </c>
      <c r="I35" s="185">
        <f>IFERROR(_xlfn.XLOOKUP($A35,Input_Raw!$A:$A,Input_Raw!$CX:$CX),"")</f>
        <v>6.7944487083333307</v>
      </c>
      <c r="J35" s="185">
        <f>IFERROR(_xlfn.XLOOKUP($A35,Input_Raw!$A:$A,Input_Raw!$CZ:$CZ),"")</f>
        <v>1.0523186583333333</v>
      </c>
      <c r="K35" s="201">
        <f>IFERROR(_xlfn.XLOOKUP($A35,Input_Raw!$A:$A,Input_Raw!$DB:$DB),"")</f>
        <v>34.348020654715512</v>
      </c>
      <c r="L35" s="201">
        <f>IFERROR(_xlfn.XLOOKUP($A35,Input_Raw!$A:$A,Input_Raw!$DC:$DC),"")</f>
        <v>45.56160405300075</v>
      </c>
      <c r="M35" s="200">
        <f>IFERROR(_xlfn.XLOOKUP($A35,Input_Raw!$A:$A,Input_Raw!$DF:$DF),"")</f>
        <v>1.0509953234606388</v>
      </c>
      <c r="N35" s="200">
        <f>IFERROR(_xlfn.XLOOKUP($A35,Input_Raw!$A:$A,Input_Raw!$DG:$DG),"")</f>
        <v>3.069</v>
      </c>
      <c r="O35" s="230">
        <f>IFERROR(1-(SUMIF(Plant_BD!$B:$B,$A35,Plant_BD!$AL:$AL)/($AA35+SUMIF(Plant_BD!$B:$B,$A35,Plant_BD!$AL:$AL))),"")</f>
        <v>0.99994824206254385</v>
      </c>
      <c r="P35" s="230"/>
      <c r="Q35" s="231">
        <f>IFERROR(1-(SUMIF(Grid_BD!$B:$B,$A35,Grid_BD!$V:$V)/($AA35+SUMIF(Grid_BD!$B:$B,$A35,Grid_BD!$V:$V))),"")</f>
        <v>1</v>
      </c>
      <c r="R35" s="230">
        <f>IFERROR(1-(SUMIF(Grid_BD!$B:$B,$A35,Grid_BD!$V:$V)/($AA35+SUMIF(Grid_BD!$B:$B,$A35,Grid_BD!$V:$V))),"")</f>
        <v>1</v>
      </c>
      <c r="S35" s="9"/>
      <c r="T35" s="231"/>
      <c r="U35" s="232">
        <f t="shared" si="1"/>
        <v>0.84325222077799633</v>
      </c>
      <c r="V35" s="232" t="str">
        <f>IFERROR(_xlfn.XLOOKUP($A35,Input_Raw!$A:$A,Input_Raw!$FG:$FG),"")</f>
        <v/>
      </c>
      <c r="W35" s="233">
        <f t="shared" si="2"/>
        <v>0.19465384615385017</v>
      </c>
      <c r="X35" s="29">
        <f>IFERROR(_xlfn.XLOOKUP($A35,Input_Raw!$A:$A,Input_Raw!$DP:$DP),"")</f>
        <v>618886.10000000009</v>
      </c>
      <c r="Y35" s="29">
        <f>IFERROR(_xlfn.XLOOKUP($A35,Input_Raw!$A:$A,Input_Raw!EW:EW),"")</f>
        <v>608256.00000001257</v>
      </c>
      <c r="Z35" s="29">
        <f>IFERROR(_xlfn.XLOOKUP($A35,Input_Raw!$A:$A,Input_Raw!EX:EX),"")</f>
        <v>935.99999999996726</v>
      </c>
      <c r="AA35" s="29">
        <f>IFERROR(_xlfn.XLOOKUP($A35,Input_Raw!$A:$A,Input_Raw!FA:FA),"")</f>
        <v>607320.00000001257</v>
      </c>
      <c r="AB35" s="9">
        <f>IFERROR(_xlfn.XLOOKUP($A35,Input_Raw!$A:$A,Input_Raw!FD:FD),"")</f>
        <v>106</v>
      </c>
      <c r="AC35" s="185">
        <f>IFERROR(_xlfn.XLOOKUP($D35,'Modelling New'!$D:$D,'Modelling New'!P:P),"")</f>
        <v>6.8903225806451607</v>
      </c>
      <c r="AD35" s="29">
        <f>IFERROR(_xlfn.XLOOKUP($D35,'Modelling New'!$D:$D,'Modelling New'!T:T)*1000,"")</f>
        <v>722503.64978642471</v>
      </c>
      <c r="AE35" s="233">
        <f>IFERROR(_xlfn.XLOOKUP($D35,'Modelling New'!$D:$D,'Modelling New'!O:O),"")</f>
        <v>0.806597995656121</v>
      </c>
      <c r="AF35" s="233">
        <f>IFERROR(_xlfn.XLOOKUP($D35,'Modelling New'!$D:$D,'Modelling New'!W:W),"")</f>
        <v>0.23157168262385408</v>
      </c>
      <c r="AG35" s="233">
        <f>IFERROR(_xlfn.XLOOKUP($D35,'Modelling New'!$D:$D,'Modelling New'!AE:AE),"")</f>
        <v>0.995</v>
      </c>
      <c r="AH35" s="234">
        <f>IFERROR(_xlfn.XLOOKUP($D35,'Modelling New'!$D:$D,'Modelling New'!AF:AF),"")</f>
        <v>0.995</v>
      </c>
      <c r="AI35" s="9"/>
      <c r="AJ35" s="9"/>
      <c r="AK35" s="258"/>
      <c r="AL35" s="258"/>
      <c r="AM35" s="258"/>
      <c r="AN35" s="235"/>
      <c r="AO35" s="233"/>
      <c r="AP35" s="233"/>
      <c r="AQ35" s="233"/>
      <c r="AR35" s="236">
        <f>_xlfn.XLOOKUP(D35,'Modelling New'!$D:$D,'Modelling New'!$N:$N)</f>
        <v>130</v>
      </c>
      <c r="AS35" s="236">
        <f t="shared" si="3"/>
        <v>589118.36059508473</v>
      </c>
    </row>
    <row r="36" spans="1:45">
      <c r="A36" s="18">
        <f t="shared" si="4"/>
        <v>45779</v>
      </c>
      <c r="B36" s="29">
        <f>YEAR(Table13[[#This Row],[Date]])+IF(MONTH(Table13[[#This Row],[Date]])&gt;=4,1,0)</f>
        <v>2026</v>
      </c>
      <c r="C36" s="9">
        <f>YEAR(Table13[[#This Row],[Date]])</f>
        <v>2025</v>
      </c>
      <c r="D36" s="229">
        <f>Table13[[#This Row],[Date]]-DAY(Table13[[#This Row],[Date]])+1</f>
        <v>45778</v>
      </c>
      <c r="E36" s="9">
        <f t="shared" si="0"/>
        <v>31</v>
      </c>
      <c r="F36" s="199">
        <f>IFERROR(_xlfn.XLOOKUP($A36,Input_Raw!$A:$A,Input_Raw!$FC:$FC),"")</f>
        <v>12.116666666666664</v>
      </c>
      <c r="G36" s="200">
        <f>IFERROR(_xlfn.XLOOKUP($A36,Input_Raw!$A:$A,Input_Raw!$CY:$CY),"")</f>
        <v>6.5467237416666695</v>
      </c>
      <c r="H36" s="200">
        <f>IFERROR(_xlfn.XLOOKUP($A36,Input_Raw!$A:$A,Input_Raw!$DA:$DA),"")</f>
        <v>1.2694045833333329</v>
      </c>
      <c r="I36" s="200">
        <f>IFERROR(_xlfn.XLOOKUP($A36,Input_Raw!$A:$A,Input_Raw!$CX:$CX),"")</f>
        <v>6.6064659666666623</v>
      </c>
      <c r="J36" s="200">
        <f>IFERROR(_xlfn.XLOOKUP($A36,Input_Raw!$A:$A,Input_Raw!$CZ:$CZ),"")</f>
        <v>1.0281764249999998</v>
      </c>
      <c r="K36" s="201">
        <f>IFERROR(_xlfn.XLOOKUP($A36,Input_Raw!$A:$A,Input_Raw!$DB:$DB),"")</f>
        <v>35.026340624147807</v>
      </c>
      <c r="L36" s="201">
        <f>IFERROR(_xlfn.XLOOKUP($A36,Input_Raw!$A:$A,Input_Raw!$DC:$DC),"")</f>
        <v>46.832291066784634</v>
      </c>
      <c r="M36" s="200">
        <f>IFERROR(_xlfn.XLOOKUP($A36,Input_Raw!$A:$A,Input_Raw!$DF:$DF),"")</f>
        <v>1.2342428004176957</v>
      </c>
      <c r="N36" s="200">
        <f>IFERROR(_xlfn.XLOOKUP($A36,Input_Raw!$A:$A,Input_Raw!$DG:$DG),"")</f>
        <v>3.351</v>
      </c>
      <c r="O36" s="230">
        <f>IFERROR(1-(SUMIF(Plant_BD!$B:$B,$A36,Plant_BD!$AL:$AL)/($AA36+SUMIF(Plant_BD!$B:$B,$A36,Plant_BD!$AL:$AL))),"")</f>
        <v>1</v>
      </c>
      <c r="P36" s="230"/>
      <c r="Q36" s="231">
        <f>IFERROR(1-(SUMIF(Grid_BD!$B:$B,$A36,Grid_BD!$V:$V)/($AA36+SUMIF(Grid_BD!$B:$B,$A36,Grid_BD!$V:$V))),"")</f>
        <v>1</v>
      </c>
      <c r="R36" s="230">
        <f>IFERROR(1-(SUMIF(Grid_BD!$B:$B,$A36,Grid_BD!$V:$V)/($AA36+SUMIF(Grid_BD!$B:$B,$A36,Grid_BD!$V:$V))),"")</f>
        <v>1</v>
      </c>
      <c r="S36" s="9"/>
      <c r="T36" s="231"/>
      <c r="U36" s="232">
        <f t="shared" si="1"/>
        <v>0.83845815765455189</v>
      </c>
      <c r="V36" s="232" t="str">
        <f>IFERROR(_xlfn.XLOOKUP($A36,Input_Raw!$A:$A,Input_Raw!$FG:$FG),"")</f>
        <v/>
      </c>
      <c r="W36" s="233">
        <f t="shared" si="2"/>
        <v>0.1881923076923063</v>
      </c>
      <c r="X36" s="29">
        <f>IFERROR(_xlfn.XLOOKUP($A36,Input_Raw!$A:$A,Input_Raw!$DP:$DP),"")</f>
        <v>601298.50000000012</v>
      </c>
      <c r="Y36" s="29">
        <f>IFERROR(_xlfn.XLOOKUP($A36,Input_Raw!$A:$A,Input_Raw!EW:EW),"")</f>
        <v>589967.99999999581</v>
      </c>
      <c r="Z36" s="29">
        <f>IFERROR(_xlfn.XLOOKUP($A36,Input_Raw!$A:$A,Input_Raw!EX:EX),"")</f>
        <v>2808.0000000000655</v>
      </c>
      <c r="AA36" s="29">
        <f>IFERROR(_xlfn.XLOOKUP($A36,Input_Raw!$A:$A,Input_Raw!FA:FA),"")</f>
        <v>587159.99999999569</v>
      </c>
      <c r="AB36" s="9">
        <f>IFERROR(_xlfn.XLOOKUP($A36,Input_Raw!$A:$A,Input_Raw!FD:FD),"")</f>
        <v>106</v>
      </c>
      <c r="AC36" s="185">
        <f>IFERROR(_xlfn.XLOOKUP($D36,'Modelling New'!$D:$D,'Modelling New'!P:P),"")</f>
        <v>6.8903225806451607</v>
      </c>
      <c r="AD36" s="29">
        <f>IFERROR(_xlfn.XLOOKUP($D36,'Modelling New'!$D:$D,'Modelling New'!T:T)*1000,"")</f>
        <v>722503.64978642471</v>
      </c>
      <c r="AE36" s="233">
        <f>IFERROR(_xlfn.XLOOKUP($D36,'Modelling New'!$D:$D,'Modelling New'!O:O),"")</f>
        <v>0.806597995656121</v>
      </c>
      <c r="AF36" s="233">
        <f>IFERROR(_xlfn.XLOOKUP($D36,'Modelling New'!$D:$D,'Modelling New'!W:W),"")</f>
        <v>0.23157168262385408</v>
      </c>
      <c r="AG36" s="233">
        <f>IFERROR(_xlfn.XLOOKUP($D36,'Modelling New'!$D:$D,'Modelling New'!AE:AE),"")</f>
        <v>0.995</v>
      </c>
      <c r="AH36" s="234">
        <f>IFERROR(_xlfn.XLOOKUP($D36,'Modelling New'!$D:$D,'Modelling New'!AF:AF),"")</f>
        <v>0.995</v>
      </c>
      <c r="AI36" s="9"/>
      <c r="AJ36" s="9"/>
      <c r="AK36" s="258"/>
      <c r="AL36" s="258"/>
      <c r="AM36" s="258"/>
      <c r="AN36" s="235"/>
      <c r="AO36" s="233"/>
      <c r="AP36" s="233"/>
      <c r="AQ36" s="233"/>
      <c r="AR36" s="236">
        <f>_xlfn.XLOOKUP(D36,'Modelling New'!$D:$D,'Modelling New'!$N:$N)</f>
        <v>130</v>
      </c>
      <c r="AS36" s="236">
        <f t="shared" si="3"/>
        <v>589118.36059508473</v>
      </c>
    </row>
    <row r="37" spans="1:45">
      <c r="A37" s="18">
        <f t="shared" si="4"/>
        <v>45780</v>
      </c>
      <c r="B37" s="29">
        <f>YEAR(Table13[[#This Row],[Date]])+IF(MONTH(Table13[[#This Row],[Date]])&gt;=4,1,0)</f>
        <v>2026</v>
      </c>
      <c r="C37" s="9">
        <f>YEAR(Table13[[#This Row],[Date]])</f>
        <v>2025</v>
      </c>
      <c r="D37" s="229">
        <f>Table13[[#This Row],[Date]]-DAY(Table13[[#This Row],[Date]])+1</f>
        <v>45778</v>
      </c>
      <c r="E37" s="9">
        <f t="shared" si="0"/>
        <v>31</v>
      </c>
      <c r="F37" s="199">
        <f>IFERROR(_xlfn.XLOOKUP($A37,Input_Raw!$A:$A,Input_Raw!$FC:$FC),"")</f>
        <v>12.283333333333335</v>
      </c>
      <c r="G37" s="185">
        <f>IFERROR(_xlfn.XLOOKUP($A37,Input_Raw!$A:$A,Input_Raw!$CY:$CY),"")</f>
        <v>6.7389212499999953</v>
      </c>
      <c r="H37" s="185">
        <f>IFERROR(_xlfn.XLOOKUP($A37,Input_Raw!$A:$A,Input_Raw!$DA:$DA),"")</f>
        <v>1.3062831583333341</v>
      </c>
      <c r="I37" s="185">
        <f>IFERROR(_xlfn.XLOOKUP($A37,Input_Raw!$A:$A,Input_Raw!$CX:$CX),"")</f>
        <v>6.6288632166666588</v>
      </c>
      <c r="J37" s="185">
        <f>IFERROR(_xlfn.XLOOKUP($A37,Input_Raw!$A:$A,Input_Raw!$CZ:$CZ),"")</f>
        <v>1.0335434083333335</v>
      </c>
      <c r="K37" s="201">
        <f>IFERROR(_xlfn.XLOOKUP($A37,Input_Raw!$A:$A,Input_Raw!$DB:$DB),"")</f>
        <v>34.236163194444451</v>
      </c>
      <c r="L37" s="201">
        <f>IFERROR(_xlfn.XLOOKUP($A37,Input_Raw!$A:$A,Input_Raw!$DC:$DC),"")</f>
        <v>45.05058541666665</v>
      </c>
      <c r="M37" s="200">
        <f>IFERROR(_xlfn.XLOOKUP($A37,Input_Raw!$A:$A,Input_Raw!$DF:$DF),"")</f>
        <v>1.3776812499999997</v>
      </c>
      <c r="N37" s="200">
        <f>IFERROR(_xlfn.XLOOKUP($A37,Input_Raw!$A:$A,Input_Raw!$DG:$DG),"")</f>
        <v>3.1379999999999999</v>
      </c>
      <c r="O37" s="230">
        <f>IFERROR(1-(SUMIF(Plant_BD!$B:$B,$A37,Plant_BD!$AL:$AL)/($AA37+SUMIF(Plant_BD!$B:$B,$A37,Plant_BD!$AL:$AL))),"")</f>
        <v>0.99316887281716459</v>
      </c>
      <c r="P37" s="230"/>
      <c r="Q37" s="231">
        <f>IFERROR(1-(SUMIF(Grid_BD!$B:$B,$A37,Grid_BD!$V:$V)/($AA37+SUMIF(Grid_BD!$B:$B,$A37,Grid_BD!$V:$V))),"")</f>
        <v>1</v>
      </c>
      <c r="R37" s="230">
        <f>IFERROR(1-(SUMIF(Grid_BD!$B:$B,$A37,Grid_BD!$V:$V)/($AA37+SUMIF(Grid_BD!$B:$B,$A37,Grid_BD!$V:$V))),"")</f>
        <v>1</v>
      </c>
      <c r="S37" s="9"/>
      <c r="T37" s="231"/>
      <c r="U37" s="232">
        <f t="shared" si="1"/>
        <v>0.8131847633369087</v>
      </c>
      <c r="V37" s="232" t="str">
        <f>IFERROR(_xlfn.XLOOKUP($A37,Input_Raw!$A:$A,Input_Raw!$FG:$FG),"")</f>
        <v/>
      </c>
      <c r="W37" s="233">
        <f t="shared" si="2"/>
        <v>0.18313846153846428</v>
      </c>
      <c r="X37" s="29">
        <f>IFERROR(_xlfn.XLOOKUP($A37,Input_Raw!$A:$A,Input_Raw!$DP:$DP),"")</f>
        <v>585677.80000000005</v>
      </c>
      <c r="Y37" s="29">
        <f>IFERROR(_xlfn.XLOOKUP($A37,Input_Raw!$A:$A,Input_Raw!EW:EW),"")</f>
        <v>573624.00000000838</v>
      </c>
      <c r="Z37" s="29">
        <f>IFERROR(_xlfn.XLOOKUP($A37,Input_Raw!$A:$A,Input_Raw!EX:EX),"")</f>
        <v>2231.9999999999345</v>
      </c>
      <c r="AA37" s="29">
        <f>IFERROR(_xlfn.XLOOKUP($A37,Input_Raw!$A:$A,Input_Raw!FA:FA),"")</f>
        <v>571392.0000000085</v>
      </c>
      <c r="AB37" s="9">
        <f>IFERROR(_xlfn.XLOOKUP($A37,Input_Raw!$A:$A,Input_Raw!FD:FD),"")</f>
        <v>106</v>
      </c>
      <c r="AC37" s="185">
        <f>IFERROR(_xlfn.XLOOKUP($D37,'Modelling New'!$D:$D,'Modelling New'!P:P),"")</f>
        <v>6.8903225806451607</v>
      </c>
      <c r="AD37" s="29">
        <f>IFERROR(_xlfn.XLOOKUP($D37,'Modelling New'!$D:$D,'Modelling New'!T:T)*1000,"")</f>
        <v>722503.64978642471</v>
      </c>
      <c r="AE37" s="233">
        <f>IFERROR(_xlfn.XLOOKUP($D37,'Modelling New'!$D:$D,'Modelling New'!O:O),"")</f>
        <v>0.806597995656121</v>
      </c>
      <c r="AF37" s="233">
        <f>IFERROR(_xlfn.XLOOKUP($D37,'Modelling New'!$D:$D,'Modelling New'!W:W),"")</f>
        <v>0.23157168262385408</v>
      </c>
      <c r="AG37" s="233">
        <f>IFERROR(_xlfn.XLOOKUP($D37,'Modelling New'!$D:$D,'Modelling New'!AE:AE),"")</f>
        <v>0.995</v>
      </c>
      <c r="AH37" s="234">
        <f>IFERROR(_xlfn.XLOOKUP($D37,'Modelling New'!$D:$D,'Modelling New'!AF:AF),"")</f>
        <v>0.995</v>
      </c>
      <c r="AI37" s="9"/>
      <c r="AJ37" s="9"/>
      <c r="AK37" s="258"/>
      <c r="AL37" s="258"/>
      <c r="AM37" s="258"/>
      <c r="AN37" s="235"/>
      <c r="AO37" s="233"/>
      <c r="AP37" s="233"/>
      <c r="AQ37" s="233"/>
      <c r="AR37" s="236">
        <f>_xlfn.XLOOKUP(D37,'Modelling New'!$D:$D,'Modelling New'!$N:$N)</f>
        <v>130</v>
      </c>
      <c r="AS37" s="236">
        <f t="shared" si="3"/>
        <v>589118.36059508473</v>
      </c>
    </row>
    <row r="38" spans="1:45">
      <c r="A38" s="18">
        <f t="shared" si="4"/>
        <v>45781</v>
      </c>
      <c r="B38" s="29">
        <f>YEAR(Table13[[#This Row],[Date]])+IF(MONTH(Table13[[#This Row],[Date]])&gt;=4,1,0)</f>
        <v>2026</v>
      </c>
      <c r="C38" s="9">
        <f>YEAR(Table13[[#This Row],[Date]])</f>
        <v>2025</v>
      </c>
      <c r="D38" s="229">
        <f>Table13[[#This Row],[Date]]-DAY(Table13[[#This Row],[Date]])+1</f>
        <v>45778</v>
      </c>
      <c r="E38" s="9">
        <f t="shared" si="0"/>
        <v>31</v>
      </c>
      <c r="F38" s="199">
        <f>IFERROR(_xlfn.XLOOKUP($A38,Input_Raw!$A:$A,Input_Raw!$FC:$FC),"")</f>
        <v>12.316666666666668</v>
      </c>
      <c r="G38" s="200">
        <f>IFERROR(_xlfn.XLOOKUP($A38,Input_Raw!$A:$A,Input_Raw!$CY:$CY),"")</f>
        <v>7.0226036499999935</v>
      </c>
      <c r="H38" s="200">
        <f>IFERROR(_xlfn.XLOOKUP($A38,Input_Raw!$A:$A,Input_Raw!$DA:$DA),"")</f>
        <v>1.3584885833333318</v>
      </c>
      <c r="I38" s="200">
        <f>IFERROR(_xlfn.XLOOKUP($A38,Input_Raw!$A:$A,Input_Raw!$CX:$CX),"")</f>
        <v>6.9749303999999963</v>
      </c>
      <c r="J38" s="200">
        <f>IFERROR(_xlfn.XLOOKUP($A38,Input_Raw!$A:$A,Input_Raw!$CZ:$CZ),"")</f>
        <v>1.080763658333332</v>
      </c>
      <c r="K38" s="201">
        <f>IFERROR(_xlfn.XLOOKUP($A38,Input_Raw!$A:$A,Input_Raw!$DB:$DB),"")</f>
        <v>32.2476319444444</v>
      </c>
      <c r="L38" s="201">
        <f>IFERROR(_xlfn.XLOOKUP($A38,Input_Raw!$A:$A,Input_Raw!$DC:$DC),"")</f>
        <v>44.457882291666706</v>
      </c>
      <c r="M38" s="200">
        <f>IFERROR(_xlfn.XLOOKUP($A38,Input_Raw!$A:$A,Input_Raw!$DF:$DF),"")</f>
        <v>1.210973958333333</v>
      </c>
      <c r="N38" s="200">
        <f>IFERROR(_xlfn.XLOOKUP($A38,Input_Raw!$A:$A,Input_Raw!$DG:$DG),"")</f>
        <v>3.5339999999999998</v>
      </c>
      <c r="O38" s="230">
        <f>IFERROR(1-(SUMIF(Plant_BD!$B:$B,$A38,Plant_BD!$AL:$AL)/($AA38+SUMIF(Plant_BD!$B:$B,$A38,Plant_BD!$AL:$AL))),"")</f>
        <v>0.99411531900245709</v>
      </c>
      <c r="P38" s="230"/>
      <c r="Q38" s="231">
        <f>IFERROR(1-(SUMIF(Grid_BD!$B:$B,$A38,Grid_BD!$V:$V)/($AA38+SUMIF(Grid_BD!$B:$B,$A38,Grid_BD!$V:$V))),"")</f>
        <v>1</v>
      </c>
      <c r="R38" s="230">
        <f>IFERROR(1-(SUMIF(Grid_BD!$B:$B,$A38,Grid_BD!$V:$V)/($AA38+SUMIF(Grid_BD!$B:$B,$A38,Grid_BD!$V:$V))),"")</f>
        <v>1</v>
      </c>
      <c r="S38" s="9"/>
      <c r="T38" s="231"/>
      <c r="U38" s="232">
        <f t="shared" si="1"/>
        <v>0.83360539664188082</v>
      </c>
      <c r="V38" s="232" t="str">
        <f>IFERROR(_xlfn.XLOOKUP($A38,Input_Raw!$A:$A,Input_Raw!$FG:$FG),"")</f>
        <v/>
      </c>
      <c r="W38" s="233">
        <f t="shared" si="2"/>
        <v>0.19753846153846155</v>
      </c>
      <c r="X38" s="29">
        <f>IFERROR(_xlfn.XLOOKUP($A38,Input_Raw!$A:$A,Input_Raw!$DP:$DP),"")</f>
        <v>640105</v>
      </c>
      <c r="Y38" s="29">
        <f>IFERROR(_xlfn.XLOOKUP($A38,Input_Raw!$A:$A,Input_Raw!EW:EW),"")</f>
        <v>619200</v>
      </c>
      <c r="Z38" s="29">
        <f>IFERROR(_xlfn.XLOOKUP($A38,Input_Raw!$A:$A,Input_Raw!EX:EX),"")</f>
        <v>2880</v>
      </c>
      <c r="AA38" s="29">
        <f>IFERROR(_xlfn.XLOOKUP($A38,Input_Raw!$A:$A,Input_Raw!FA:FA),"")</f>
        <v>616320</v>
      </c>
      <c r="AB38" s="9">
        <f>IFERROR(_xlfn.XLOOKUP($A38,Input_Raw!$A:$A,Input_Raw!FD:FD),"")</f>
        <v>106</v>
      </c>
      <c r="AC38" s="185">
        <f>IFERROR(_xlfn.XLOOKUP($D38,'Modelling New'!$D:$D,'Modelling New'!P:P),"")</f>
        <v>6.8903225806451607</v>
      </c>
      <c r="AD38" s="29">
        <f>IFERROR(_xlfn.XLOOKUP($D38,'Modelling New'!$D:$D,'Modelling New'!T:T)*1000,"")</f>
        <v>722503.64978642471</v>
      </c>
      <c r="AE38" s="233">
        <f>IFERROR(_xlfn.XLOOKUP($D38,'Modelling New'!$D:$D,'Modelling New'!O:O),"")</f>
        <v>0.806597995656121</v>
      </c>
      <c r="AF38" s="233">
        <f>IFERROR(_xlfn.XLOOKUP($D38,'Modelling New'!$D:$D,'Modelling New'!W:W),"")</f>
        <v>0.23157168262385408</v>
      </c>
      <c r="AG38" s="233">
        <f>IFERROR(_xlfn.XLOOKUP($D38,'Modelling New'!$D:$D,'Modelling New'!AE:AE),"")</f>
        <v>0.995</v>
      </c>
      <c r="AH38" s="234">
        <f>IFERROR(_xlfn.XLOOKUP($D38,'Modelling New'!$D:$D,'Modelling New'!AF:AF),"")</f>
        <v>0.995</v>
      </c>
      <c r="AI38" s="9"/>
      <c r="AJ38" s="9"/>
      <c r="AK38" s="258"/>
      <c r="AL38" s="258"/>
      <c r="AM38" s="258"/>
      <c r="AN38" s="235"/>
      <c r="AO38" s="233"/>
      <c r="AP38" s="233"/>
      <c r="AQ38" s="233"/>
      <c r="AR38" s="236">
        <f>_xlfn.XLOOKUP(D38,'Modelling New'!$D:$D,'Modelling New'!$N:$N)</f>
        <v>130</v>
      </c>
      <c r="AS38" s="236">
        <f t="shared" si="3"/>
        <v>589118.36059508473</v>
      </c>
    </row>
    <row r="39" spans="1:45">
      <c r="A39" s="18">
        <f t="shared" si="4"/>
        <v>45782</v>
      </c>
      <c r="B39" s="29">
        <f>YEAR(Table13[[#This Row],[Date]])+IF(MONTH(Table13[[#This Row],[Date]])&gt;=4,1,0)</f>
        <v>2026</v>
      </c>
      <c r="C39" s="9">
        <f>YEAR(Table13[[#This Row],[Date]])</f>
        <v>2025</v>
      </c>
      <c r="D39" s="229">
        <f>Table13[[#This Row],[Date]]-DAY(Table13[[#This Row],[Date]])+1</f>
        <v>45778</v>
      </c>
      <c r="E39" s="9">
        <f t="shared" si="0"/>
        <v>31</v>
      </c>
      <c r="F39" s="199">
        <f>IFERROR(_xlfn.XLOOKUP($A39,Input_Raw!$A:$A,Input_Raw!$FC:$FC),"")</f>
        <v>12.966666666666665</v>
      </c>
      <c r="G39" s="185">
        <f>IFERROR(_xlfn.XLOOKUP($A39,Input_Raw!$A:$A,Input_Raw!$CY:$CY),"")</f>
        <v>6.6341772000000017</v>
      </c>
      <c r="H39" s="185">
        <f>IFERROR(_xlfn.XLOOKUP($A39,Input_Raw!$A:$A,Input_Raw!$DA:$DA),"")</f>
        <v>1.2550928333333338</v>
      </c>
      <c r="I39" s="185">
        <f>IFERROR(_xlfn.XLOOKUP($A39,Input_Raw!$A:$A,Input_Raw!$CX:$CX),"")</f>
        <v>6.5433729500000002</v>
      </c>
      <c r="J39" s="185">
        <f>IFERROR(_xlfn.XLOOKUP($A39,Input_Raw!$A:$A,Input_Raw!$CZ:$CZ),"")</f>
        <v>4.0191772000000014</v>
      </c>
      <c r="K39" s="201">
        <f>IFERROR(_xlfn.XLOOKUP($A39,Input_Raw!$A:$A,Input_Raw!$DB:$DB),"")</f>
        <v>32.477587427143987</v>
      </c>
      <c r="L39" s="201">
        <f>IFERROR(_xlfn.XLOOKUP($A39,Input_Raw!$A:$A,Input_Raw!$DC:$DC),"")</f>
        <v>44.325004995836792</v>
      </c>
      <c r="M39" s="200">
        <f>IFERROR(_xlfn.XLOOKUP($A39,Input_Raw!$A:$A,Input_Raw!$DF:$DF),"")</f>
        <v>1.1245099916736043</v>
      </c>
      <c r="N39" s="200">
        <f>IFERROR(_xlfn.XLOOKUP($A39,Input_Raw!$A:$A,Input_Raw!$DG:$DG),"")</f>
        <v>3.9010000000000002</v>
      </c>
      <c r="O39" s="230">
        <f>IFERROR(1-(SUMIF(Plant_BD!$B:$B,$A39,Plant_BD!$AL:$AL)/($AA39+SUMIF(Plant_BD!$B:$B,$A39,Plant_BD!$AL:$AL))),"")</f>
        <v>1</v>
      </c>
      <c r="P39" s="230"/>
      <c r="Q39" s="231">
        <f>IFERROR(1-(SUMIF(Grid_BD!$B:$B,$A39,Grid_BD!$V:$V)/($AA39+SUMIF(Grid_BD!$B:$B,$A39,Grid_BD!$V:$V))),"")</f>
        <v>1</v>
      </c>
      <c r="R39" s="230">
        <f>IFERROR(1-(SUMIF(Grid_BD!$B:$B,$A39,Grid_BD!$V:$V)/($AA39+SUMIF(Grid_BD!$B:$B,$A39,Grid_BD!$V:$V))),"")</f>
        <v>1</v>
      </c>
      <c r="S39" s="9"/>
      <c r="T39" s="231"/>
      <c r="U39" s="232">
        <f t="shared" si="1"/>
        <v>0.85868817566513223</v>
      </c>
      <c r="V39" s="232" t="str">
        <f>IFERROR(_xlfn.XLOOKUP($A39,Input_Raw!$A:$A,Input_Raw!$FG:$FG),"")</f>
        <v/>
      </c>
      <c r="W39" s="233">
        <f t="shared" si="2"/>
        <v>0.19089230769230769</v>
      </c>
      <c r="X39" s="29">
        <f>IFERROR(_xlfn.XLOOKUP($A39,Input_Raw!$A:$A,Input_Raw!$DP:$DP),"")</f>
        <v>610385.80000000005</v>
      </c>
      <c r="Y39" s="29">
        <f>IFERROR(_xlfn.XLOOKUP($A39,Input_Raw!$A:$A,Input_Raw!EW:EW),"")</f>
        <v>597960</v>
      </c>
      <c r="Z39" s="29">
        <f>IFERROR(_xlfn.XLOOKUP($A39,Input_Raw!$A:$A,Input_Raw!EX:EX),"")</f>
        <v>2375.9999999999673</v>
      </c>
      <c r="AA39" s="29">
        <f>IFERROR(_xlfn.XLOOKUP($A39,Input_Raw!$A:$A,Input_Raw!FA:FA),"")</f>
        <v>595584</v>
      </c>
      <c r="AB39" s="9">
        <f>IFERROR(_xlfn.XLOOKUP($A39,Input_Raw!$A:$A,Input_Raw!FD:FD),"")</f>
        <v>106</v>
      </c>
      <c r="AC39" s="185">
        <f>IFERROR(_xlfn.XLOOKUP($D39,'Modelling New'!$D:$D,'Modelling New'!P:P),"")</f>
        <v>6.8903225806451607</v>
      </c>
      <c r="AD39" s="29">
        <f>IFERROR(_xlfn.XLOOKUP($D39,'Modelling New'!$D:$D,'Modelling New'!T:T)*1000,"")</f>
        <v>722503.64978642471</v>
      </c>
      <c r="AE39" s="233">
        <f>IFERROR(_xlfn.XLOOKUP($D39,'Modelling New'!$D:$D,'Modelling New'!O:O),"")</f>
        <v>0.806597995656121</v>
      </c>
      <c r="AF39" s="233">
        <f>IFERROR(_xlfn.XLOOKUP($D39,'Modelling New'!$D:$D,'Modelling New'!W:W),"")</f>
        <v>0.23157168262385408</v>
      </c>
      <c r="AG39" s="233">
        <f>IFERROR(_xlfn.XLOOKUP($D39,'Modelling New'!$D:$D,'Modelling New'!AE:AE),"")</f>
        <v>0.995</v>
      </c>
      <c r="AH39" s="234">
        <f>IFERROR(_xlfn.XLOOKUP($D39,'Modelling New'!$D:$D,'Modelling New'!AF:AF),"")</f>
        <v>0.995</v>
      </c>
      <c r="AI39" s="9"/>
      <c r="AJ39" s="9"/>
      <c r="AK39" s="258"/>
      <c r="AL39" s="258"/>
      <c r="AM39" s="258"/>
      <c r="AN39" s="235"/>
      <c r="AO39" s="233"/>
      <c r="AP39" s="233"/>
      <c r="AQ39" s="233"/>
      <c r="AR39" s="236">
        <f>_xlfn.XLOOKUP(D39,'Modelling New'!$D:$D,'Modelling New'!$N:$N)</f>
        <v>130</v>
      </c>
      <c r="AS39" s="236">
        <f t="shared" si="3"/>
        <v>589118.36059508473</v>
      </c>
    </row>
    <row r="40" spans="1:45">
      <c r="A40" s="18">
        <f t="shared" si="4"/>
        <v>45783</v>
      </c>
      <c r="B40" s="29">
        <f>YEAR(Table13[[#This Row],[Date]])+IF(MONTH(Table13[[#This Row],[Date]])&gt;=4,1,0)</f>
        <v>2026</v>
      </c>
      <c r="C40" s="9">
        <f>YEAR(Table13[[#This Row],[Date]])</f>
        <v>2025</v>
      </c>
      <c r="D40" s="229">
        <f>Table13[[#This Row],[Date]]-DAY(Table13[[#This Row],[Date]])+1</f>
        <v>45778</v>
      </c>
      <c r="E40" s="9">
        <f t="shared" ref="E40:E103" si="5">DAY(EOMONTH(A40,0))</f>
        <v>31</v>
      </c>
      <c r="F40" s="199">
        <f>IFERROR(_xlfn.XLOOKUP($A40,Input_Raw!$A:$A,Input_Raw!$FC:$FC),"")</f>
        <v>11.65</v>
      </c>
      <c r="G40" s="200">
        <f>IFERROR(_xlfn.XLOOKUP($A40,Input_Raw!$A:$A,Input_Raw!$CY:$CY),"")</f>
        <v>6.5114990333333385</v>
      </c>
      <c r="H40" s="200">
        <f>IFERROR(_xlfn.XLOOKUP($A40,Input_Raw!$A:$A,Input_Raw!$DA:$DA),"")</f>
        <v>1.1526370333333338</v>
      </c>
      <c r="I40" s="200">
        <f>IFERROR(_xlfn.XLOOKUP($A40,Input_Raw!$A:$A,Input_Raw!$CX:$CX),"")</f>
        <v>6.6249372083333347</v>
      </c>
      <c r="J40" s="200">
        <f>IFERROR(_xlfn.XLOOKUP($A40,Input_Raw!$A:$A,Input_Raw!$CZ:$CZ),"")</f>
        <v>0.91383813333333308</v>
      </c>
      <c r="K40" s="201">
        <f>IFERROR(_xlfn.XLOOKUP($A40,Input_Raw!$A:$A,Input_Raw!$DB:$DB),"")</f>
        <v>28.059817274478693</v>
      </c>
      <c r="L40" s="201">
        <f>IFERROR(_xlfn.XLOOKUP($A40,Input_Raw!$A:$A,Input_Raw!$DC:$DC),"")</f>
        <v>40.513636661906439</v>
      </c>
      <c r="M40" s="200">
        <f>IFERROR(_xlfn.XLOOKUP($A40,Input_Raw!$A:$A,Input_Raw!$DF:$DF),"")</f>
        <v>1.34615974761111</v>
      </c>
      <c r="N40" s="200">
        <f>IFERROR(_xlfn.XLOOKUP($A40,Input_Raw!$A:$A,Input_Raw!$DG:$DG),"")</f>
        <v>5.8740000000000006</v>
      </c>
      <c r="O40" s="230">
        <f>IFERROR(1-(SUMIF(Plant_BD!$B:$B,$A40,Plant_BD!$AL:$AL)/($AA40+SUMIF(Plant_BD!$B:$B,$A40,Plant_BD!$AL:$AL))),"")</f>
        <v>1</v>
      </c>
      <c r="P40" s="230"/>
      <c r="Q40" s="231">
        <f>IFERROR(1-(SUMIF(Grid_BD!$B:$B,$A40,Grid_BD!$V:$V)/($AA40+SUMIF(Grid_BD!$B:$B,$A40,Grid_BD!$V:$V))),"")</f>
        <v>1</v>
      </c>
      <c r="R40" s="230">
        <f>IFERROR(1-(SUMIF(Grid_BD!$B:$B,$A40,Grid_BD!$V:$V)/($AA40+SUMIF(Grid_BD!$B:$B,$A40,Grid_BD!$V:$V))),"")</f>
        <v>1</v>
      </c>
      <c r="S40" s="9"/>
      <c r="T40" s="231"/>
      <c r="U40" s="232">
        <f t="shared" ref="U40:U103" si="6">IFERROR(AA40/I40/AB40/1000,"")</f>
        <v>0.85765141823619007</v>
      </c>
      <c r="V40" s="232" t="str">
        <f>IFERROR(_xlfn.XLOOKUP($A40,Input_Raw!$A:$A,Input_Raw!$FG:$FG),"")</f>
        <v/>
      </c>
      <c r="W40" s="233">
        <f t="shared" ref="W40:W103" si="7">IFERROR(AA40/(24*AR40*1000),"")</f>
        <v>0.19303846153846016</v>
      </c>
      <c r="X40" s="29">
        <f>IFERROR(_xlfn.XLOOKUP($A40,Input_Raw!$A:$A,Input_Raw!$DP:$DP),"")</f>
        <v>612105.70000000007</v>
      </c>
      <c r="Y40" s="29">
        <f>IFERROR(_xlfn.XLOOKUP($A40,Input_Raw!$A:$A,Input_Raw!EW:EW),"")</f>
        <v>604367.99999999581</v>
      </c>
      <c r="Z40" s="29">
        <f>IFERROR(_xlfn.XLOOKUP($A40,Input_Raw!$A:$A,Input_Raw!EX:EX),"")</f>
        <v>2088.0000000000655</v>
      </c>
      <c r="AA40" s="29">
        <f>IFERROR(_xlfn.XLOOKUP($A40,Input_Raw!$A:$A,Input_Raw!FA:FA),"")</f>
        <v>602279.99999999569</v>
      </c>
      <c r="AB40" s="9">
        <f>IFERROR(_xlfn.XLOOKUP($A40,Input_Raw!$A:$A,Input_Raw!FD:FD),"")</f>
        <v>106</v>
      </c>
      <c r="AC40" s="185">
        <f>IFERROR(_xlfn.XLOOKUP($D40,'Modelling New'!$D:$D,'Modelling New'!P:P),"")</f>
        <v>6.8903225806451607</v>
      </c>
      <c r="AD40" s="29">
        <f>IFERROR(_xlfn.XLOOKUP($D40,'Modelling New'!$D:$D,'Modelling New'!T:T)*1000,"")</f>
        <v>722503.64978642471</v>
      </c>
      <c r="AE40" s="233">
        <f>IFERROR(_xlfn.XLOOKUP($D40,'Modelling New'!$D:$D,'Modelling New'!O:O),"")</f>
        <v>0.806597995656121</v>
      </c>
      <c r="AF40" s="233">
        <f>IFERROR(_xlfn.XLOOKUP($D40,'Modelling New'!$D:$D,'Modelling New'!W:W),"")</f>
        <v>0.23157168262385408</v>
      </c>
      <c r="AG40" s="233">
        <f>IFERROR(_xlfn.XLOOKUP($D40,'Modelling New'!$D:$D,'Modelling New'!AE:AE),"")</f>
        <v>0.995</v>
      </c>
      <c r="AH40" s="234">
        <f>IFERROR(_xlfn.XLOOKUP($D40,'Modelling New'!$D:$D,'Modelling New'!AF:AF),"")</f>
        <v>0.995</v>
      </c>
      <c r="AI40" s="9"/>
      <c r="AJ40" s="9"/>
      <c r="AK40" s="258"/>
      <c r="AL40" s="258"/>
      <c r="AM40" s="258"/>
      <c r="AN40" s="235"/>
      <c r="AO40" s="233"/>
      <c r="AP40" s="233"/>
      <c r="AQ40" s="233"/>
      <c r="AR40" s="236">
        <f>_xlfn.XLOOKUP(D40,'Modelling New'!$D:$D,'Modelling New'!$N:$N)</f>
        <v>130</v>
      </c>
      <c r="AS40" s="236">
        <f t="shared" ref="AS40:AS103" si="8">IFERROR((AD40/AR40)*AB40,"")</f>
        <v>589118.36059508473</v>
      </c>
    </row>
    <row r="41" spans="1:45">
      <c r="A41" s="18">
        <f t="shared" si="4"/>
        <v>45784</v>
      </c>
      <c r="B41" s="29">
        <f>YEAR(Table13[[#This Row],[Date]])+IF(MONTH(Table13[[#This Row],[Date]])&gt;=4,1,0)</f>
        <v>2026</v>
      </c>
      <c r="C41" s="9">
        <f>YEAR(Table13[[#This Row],[Date]])</f>
        <v>2025</v>
      </c>
      <c r="D41" s="229">
        <f>Table13[[#This Row],[Date]]-DAY(Table13[[#This Row],[Date]])+1</f>
        <v>45778</v>
      </c>
      <c r="E41" s="9">
        <f t="shared" si="5"/>
        <v>31</v>
      </c>
      <c r="F41" s="199">
        <f>IFERROR(_xlfn.XLOOKUP($A41,Input_Raw!$A:$A,Input_Raw!$FC:$FC),"")</f>
        <v>12.416666666666668</v>
      </c>
      <c r="G41" s="185">
        <f>IFERROR(_xlfn.XLOOKUP($A41,Input_Raw!$A:$A,Input_Raw!$CY:$CY),"")</f>
        <v>6.9249999999999998</v>
      </c>
      <c r="H41" s="185">
        <f>IFERROR(_xlfn.XLOOKUP($A41,Input_Raw!$A:$A,Input_Raw!$DA:$DA),"")</f>
        <v>1.198</v>
      </c>
      <c r="I41" s="185">
        <f>IFERROR(_xlfn.XLOOKUP($A41,Input_Raw!$A:$A,Input_Raw!$CX:$CX),"")</f>
        <v>6.8324999999999996</v>
      </c>
      <c r="J41" s="185">
        <f>IFERROR(_xlfn.XLOOKUP($A41,Input_Raw!$A:$A,Input_Raw!$CZ:$CZ),"")</f>
        <v>0.95550000000000002</v>
      </c>
      <c r="K41" s="201">
        <f>IFERROR(_xlfn.XLOOKUP($A41,Input_Raw!$A:$A,Input_Raw!$DB:$DB),"")</f>
        <v>26.634</v>
      </c>
      <c r="L41" s="201">
        <f>IFERROR(_xlfn.XLOOKUP($A41,Input_Raw!$A:$A,Input_Raw!$DC:$DC),"")</f>
        <v>39.819499999999998</v>
      </c>
      <c r="M41" s="200">
        <f>IFERROR(_xlfn.XLOOKUP($A41,Input_Raw!$A:$A,Input_Raw!$DF:$DF),"")</f>
        <v>1.1695</v>
      </c>
      <c r="N41" s="200">
        <f>IFERROR(_xlfn.XLOOKUP($A41,Input_Raw!$A:$A,Input_Raw!$DG:$DG),"")</f>
        <v>4.1549999999999994</v>
      </c>
      <c r="O41" s="230">
        <f>IFERROR(1-(SUMIF(Plant_BD!$B:$B,$A41,Plant_BD!$AL:$AL)/($AA41+SUMIF(Plant_BD!$B:$B,$A41,Plant_BD!$AL:$AL))),"")</f>
        <v>0.98473319520529101</v>
      </c>
      <c r="P41" s="230"/>
      <c r="Q41" s="231">
        <f>IFERROR(1-(SUMIF(Grid_BD!$B:$B,$A41,Grid_BD!$V:$V)/($AA41+SUMIF(Grid_BD!$B:$B,$A41,Grid_BD!$V:$V))),"")</f>
        <v>1</v>
      </c>
      <c r="R41" s="230">
        <f>IFERROR(1-(SUMIF(Grid_BD!$B:$B,$A41,Grid_BD!$V:$V)/($AA41+SUMIF(Grid_BD!$B:$B,$A41,Grid_BD!$V:$V))),"")</f>
        <v>1</v>
      </c>
      <c r="S41" s="9"/>
      <c r="T41" s="231"/>
      <c r="U41" s="232">
        <f t="shared" si="6"/>
        <v>0.84879564235860006</v>
      </c>
      <c r="V41" s="232" t="str">
        <f>IFERROR(_xlfn.XLOOKUP($A41,Input_Raw!$A:$A,Input_Raw!$FG:$FG),"")</f>
        <v/>
      </c>
      <c r="W41" s="233">
        <f t="shared" si="7"/>
        <v>0.19703076923077056</v>
      </c>
      <c r="X41" s="29">
        <f>IFERROR(_xlfn.XLOOKUP($A41,Input_Raw!$A:$A,Input_Raw!$DP:$DP),"")</f>
        <v>627970</v>
      </c>
      <c r="Y41" s="29">
        <f>IFERROR(_xlfn.XLOOKUP($A41,Input_Raw!$A:$A,Input_Raw!EW:EW),"")</f>
        <v>616392.00000000419</v>
      </c>
      <c r="Z41" s="29">
        <f>IFERROR(_xlfn.XLOOKUP($A41,Input_Raw!$A:$A,Input_Raw!EX:EX),"")</f>
        <v>1655.9999999999673</v>
      </c>
      <c r="AA41" s="29">
        <f>IFERROR(_xlfn.XLOOKUP($A41,Input_Raw!$A:$A,Input_Raw!FA:FA),"")</f>
        <v>614736.00000000419</v>
      </c>
      <c r="AB41" s="9">
        <f>IFERROR(_xlfn.XLOOKUP($A41,Input_Raw!$A:$A,Input_Raw!FD:FD),"")</f>
        <v>106</v>
      </c>
      <c r="AC41" s="185">
        <f>IFERROR(_xlfn.XLOOKUP($D41,'Modelling New'!$D:$D,'Modelling New'!P:P),"")</f>
        <v>6.8903225806451607</v>
      </c>
      <c r="AD41" s="29">
        <f>IFERROR(_xlfn.XLOOKUP($D41,'Modelling New'!$D:$D,'Modelling New'!T:T)*1000,"")</f>
        <v>722503.64978642471</v>
      </c>
      <c r="AE41" s="233">
        <f>IFERROR(_xlfn.XLOOKUP($D41,'Modelling New'!$D:$D,'Modelling New'!O:O),"")</f>
        <v>0.806597995656121</v>
      </c>
      <c r="AF41" s="233">
        <f>IFERROR(_xlfn.XLOOKUP($D41,'Modelling New'!$D:$D,'Modelling New'!W:W),"")</f>
        <v>0.23157168262385408</v>
      </c>
      <c r="AG41" s="233">
        <f>IFERROR(_xlfn.XLOOKUP($D41,'Modelling New'!$D:$D,'Modelling New'!AE:AE),"")</f>
        <v>0.995</v>
      </c>
      <c r="AH41" s="234">
        <f>IFERROR(_xlfn.XLOOKUP($D41,'Modelling New'!$D:$D,'Modelling New'!AF:AF),"")</f>
        <v>0.995</v>
      </c>
      <c r="AI41" s="9"/>
      <c r="AJ41" s="9"/>
      <c r="AK41" s="258"/>
      <c r="AL41" s="258"/>
      <c r="AM41" s="258"/>
      <c r="AN41" s="235"/>
      <c r="AO41" s="233"/>
      <c r="AP41" s="233"/>
      <c r="AQ41" s="233"/>
      <c r="AR41" s="236">
        <f>_xlfn.XLOOKUP(D41,'Modelling New'!$D:$D,'Modelling New'!$N:$N)</f>
        <v>130</v>
      </c>
      <c r="AS41" s="236">
        <f t="shared" si="8"/>
        <v>589118.36059508473</v>
      </c>
    </row>
    <row r="42" spans="1:45">
      <c r="A42" s="18">
        <f t="shared" ref="A42:A105" si="9">A41+1</f>
        <v>45785</v>
      </c>
      <c r="B42" s="29">
        <f>YEAR(Table13[[#This Row],[Date]])+IF(MONTH(Table13[[#This Row],[Date]])&gt;=4,1,0)</f>
        <v>2026</v>
      </c>
      <c r="C42" s="9">
        <f>YEAR(Table13[[#This Row],[Date]])</f>
        <v>2025</v>
      </c>
      <c r="D42" s="229">
        <f>Table13[[#This Row],[Date]]-DAY(Table13[[#This Row],[Date]])+1</f>
        <v>45778</v>
      </c>
      <c r="E42" s="9">
        <f t="shared" si="5"/>
        <v>31</v>
      </c>
      <c r="F42" s="199">
        <f>IFERROR(_xlfn.XLOOKUP($A42,Input_Raw!$A:$A,Input_Raw!$FC:$FC),"")</f>
        <v>11.716666666666669</v>
      </c>
      <c r="G42" s="200">
        <f>IFERROR(_xlfn.XLOOKUP($A42,Input_Raw!$A:$A,Input_Raw!$CY:$CY),"")</f>
        <v>1.6428539000000013</v>
      </c>
      <c r="H42" s="200">
        <f>IFERROR(_xlfn.XLOOKUP($A42,Input_Raw!$A:$A,Input_Raw!$DA:$DA),"")</f>
        <v>1.6257669416666662</v>
      </c>
      <c r="I42" s="200">
        <f>IFERROR(_xlfn.XLOOKUP($A42,Input_Raw!$A:$A,Input_Raw!$CX:$CX),"")</f>
        <v>2.800439208333334</v>
      </c>
      <c r="J42" s="200">
        <f>IFERROR(_xlfn.XLOOKUP($A42,Input_Raw!$A:$A,Input_Raw!$CZ:$CZ),"")</f>
        <v>1.5419629333333338</v>
      </c>
      <c r="K42" s="201">
        <f>IFERROR(_xlfn.XLOOKUP($A42,Input_Raw!$A:$A,Input_Raw!$DB:$DB),"")</f>
        <v>27.184364197956683</v>
      </c>
      <c r="L42" s="201">
        <f>IFERROR(_xlfn.XLOOKUP($A42,Input_Raw!$A:$A,Input_Raw!$DC:$DC),"")</f>
        <v>36.659014327589929</v>
      </c>
      <c r="M42" s="200">
        <f>IFERROR(_xlfn.XLOOKUP($A42,Input_Raw!$A:$A,Input_Raw!$DF:$DF),"")</f>
        <v>0.76960090907000667</v>
      </c>
      <c r="N42" s="200">
        <f>IFERROR(_xlfn.XLOOKUP($A42,Input_Raw!$A:$A,Input_Raw!$DG:$DG),"")</f>
        <v>1.9379999999999999</v>
      </c>
      <c r="O42" s="230">
        <f>IFERROR(1-(SUMIF(Plant_BD!$B:$B,$A42,Plant_BD!$AL:$AL)/($AA42+SUMIF(Plant_BD!$B:$B,$A42,Plant_BD!$AL:$AL))),"")</f>
        <v>1</v>
      </c>
      <c r="P42" s="230"/>
      <c r="Q42" s="231">
        <f>IFERROR(1-(SUMIF(Grid_BD!$B:$B,$A42,Grid_BD!$V:$V)/($AA42+SUMIF(Grid_BD!$B:$B,$A42,Grid_BD!$V:$V))),"")</f>
        <v>1</v>
      </c>
      <c r="R42" s="230">
        <f>IFERROR(1-(SUMIF(Grid_BD!$B:$B,$A42,Grid_BD!$V:$V)/($AA42+SUMIF(Grid_BD!$B:$B,$A42,Grid_BD!$V:$V))),"")</f>
        <v>1</v>
      </c>
      <c r="S42" s="9"/>
      <c r="T42" s="231"/>
      <c r="U42" s="232">
        <f t="shared" si="6"/>
        <v>0.94456226056174419</v>
      </c>
      <c r="V42" s="232" t="str">
        <f>IFERROR(_xlfn.XLOOKUP($A42,Input_Raw!$A:$A,Input_Raw!$FG:$FG),"")</f>
        <v/>
      </c>
      <c r="W42" s="233">
        <f t="shared" si="7"/>
        <v>9.4107692307688257E-2</v>
      </c>
      <c r="X42" s="29">
        <f>IFERROR(_xlfn.XLOOKUP($A42,Input_Raw!$A:$A,Input_Raw!$DP:$DP),"")</f>
        <v>395098.69999999995</v>
      </c>
      <c r="Y42" s="29">
        <f>IFERROR(_xlfn.XLOOKUP($A42,Input_Raw!$A:$A,Input_Raw!EW:EW),"")</f>
        <v>296423.99999998743</v>
      </c>
      <c r="Z42" s="29">
        <f>IFERROR(_xlfn.XLOOKUP($A42,Input_Raw!$A:$A,Input_Raw!EX:EX),"")</f>
        <v>2808.0000000000655</v>
      </c>
      <c r="AA42" s="29">
        <f>IFERROR(_xlfn.XLOOKUP($A42,Input_Raw!$A:$A,Input_Raw!FA:FA),"")</f>
        <v>293615.99999998737</v>
      </c>
      <c r="AB42" s="9">
        <f>IFERROR(_xlfn.XLOOKUP($A42,Input_Raw!$A:$A,Input_Raw!FD:FD),"")</f>
        <v>111</v>
      </c>
      <c r="AC42" s="185">
        <f>IFERROR(_xlfn.XLOOKUP($D42,'Modelling New'!$D:$D,'Modelling New'!P:P),"")</f>
        <v>6.8903225806451607</v>
      </c>
      <c r="AD42" s="29">
        <f>IFERROR(_xlfn.XLOOKUP($D42,'Modelling New'!$D:$D,'Modelling New'!T:T)*1000,"")</f>
        <v>722503.64978642471</v>
      </c>
      <c r="AE42" s="233">
        <f>IFERROR(_xlfn.XLOOKUP($D42,'Modelling New'!$D:$D,'Modelling New'!O:O),"")</f>
        <v>0.806597995656121</v>
      </c>
      <c r="AF42" s="233">
        <f>IFERROR(_xlfn.XLOOKUP($D42,'Modelling New'!$D:$D,'Modelling New'!W:W),"")</f>
        <v>0.23157168262385408</v>
      </c>
      <c r="AG42" s="233">
        <f>IFERROR(_xlfn.XLOOKUP($D42,'Modelling New'!$D:$D,'Modelling New'!AE:AE),"")</f>
        <v>0.995</v>
      </c>
      <c r="AH42" s="234">
        <f>IFERROR(_xlfn.XLOOKUP($D42,'Modelling New'!$D:$D,'Modelling New'!AF:AF),"")</f>
        <v>0.995</v>
      </c>
      <c r="AI42" s="9"/>
      <c r="AJ42" s="9"/>
      <c r="AK42" s="258"/>
      <c r="AL42" s="258"/>
      <c r="AM42" s="258"/>
      <c r="AN42" s="235"/>
      <c r="AO42" s="233"/>
      <c r="AP42" s="233"/>
      <c r="AQ42" s="233"/>
      <c r="AR42" s="236">
        <f>_xlfn.XLOOKUP(D42,'Modelling New'!$D:$D,'Modelling New'!$N:$N)</f>
        <v>130</v>
      </c>
      <c r="AS42" s="236">
        <f t="shared" si="8"/>
        <v>616906.96250994725</v>
      </c>
    </row>
    <row r="43" spans="1:45">
      <c r="A43" s="18">
        <f t="shared" si="9"/>
        <v>45786</v>
      </c>
      <c r="B43" s="29">
        <f>YEAR(Table13[[#This Row],[Date]])+IF(MONTH(Table13[[#This Row],[Date]])&gt;=4,1,0)</f>
        <v>2026</v>
      </c>
      <c r="C43" s="9">
        <f>YEAR(Table13[[#This Row],[Date]])</f>
        <v>2025</v>
      </c>
      <c r="D43" s="229">
        <f>Table13[[#This Row],[Date]]-DAY(Table13[[#This Row],[Date]])+1</f>
        <v>45778</v>
      </c>
      <c r="E43" s="9">
        <f t="shared" si="5"/>
        <v>31</v>
      </c>
      <c r="F43" s="199">
        <f>IFERROR(_xlfn.XLOOKUP($A43,Input_Raw!$A:$A,Input_Raw!$FC:$FC),"")</f>
        <v>12.333333333333336</v>
      </c>
      <c r="G43" s="185">
        <f>IFERROR(_xlfn.XLOOKUP($A43,Input_Raw!$A:$A,Input_Raw!$CY:$CY),"")</f>
        <v>6.4970219583333346</v>
      </c>
      <c r="H43" s="185">
        <f>IFERROR(_xlfn.XLOOKUP($A43,Input_Raw!$A:$A,Input_Raw!$DA:$DA),"")</f>
        <v>3.7762322500000023</v>
      </c>
      <c r="I43" s="185">
        <f>IFERROR(_xlfn.XLOOKUP($A43,Input_Raw!$A:$A,Input_Raw!$CX:$CX),"")</f>
        <v>6.3926259250000053</v>
      </c>
      <c r="J43" s="185">
        <f>IFERROR(_xlfn.XLOOKUP($A43,Input_Raw!$A:$A,Input_Raw!$CZ:$CZ),"")</f>
        <v>0.91157143333333357</v>
      </c>
      <c r="K43" s="201">
        <f>IFERROR(_xlfn.XLOOKUP($A43,Input_Raw!$A:$A,Input_Raw!$DB:$DB),"")</f>
        <v>30.239728554534416</v>
      </c>
      <c r="L43" s="201">
        <f>IFERROR(_xlfn.XLOOKUP($A43,Input_Raw!$A:$A,Input_Raw!$DC:$DC),"")</f>
        <v>44.218970984930365</v>
      </c>
      <c r="M43" s="200">
        <f>IFERROR(_xlfn.XLOOKUP($A43,Input_Raw!$A:$A,Input_Raw!$DF:$DF),"")</f>
        <v>0.9026263978240302</v>
      </c>
      <c r="N43" s="200">
        <f>IFERROR(_xlfn.XLOOKUP($A43,Input_Raw!$A:$A,Input_Raw!$DG:$DG),"")</f>
        <v>2.6654999999999998</v>
      </c>
      <c r="O43" s="230">
        <f>IFERROR(1-(SUMIF(Plant_BD!$B:$B,$A43,Plant_BD!$AL:$AL)/($AA43+SUMIF(Plant_BD!$B:$B,$A43,Plant_BD!$AL:$AL))),"")</f>
        <v>0.95492549670953808</v>
      </c>
      <c r="P43" s="230"/>
      <c r="Q43" s="231">
        <f>IFERROR(1-(SUMIF(Grid_BD!$B:$B,$A43,Grid_BD!$V:$V)/($AA43+SUMIF(Grid_BD!$B:$B,$A43,Grid_BD!$V:$V))),"")</f>
        <v>1</v>
      </c>
      <c r="R43" s="230">
        <f>IFERROR(1-(SUMIF(Grid_BD!$B:$B,$A43,Grid_BD!$V:$V)/($AA43+SUMIF(Grid_BD!$B:$B,$A43,Grid_BD!$V:$V))),"")</f>
        <v>1</v>
      </c>
      <c r="S43" s="9"/>
      <c r="T43" s="231"/>
      <c r="U43" s="232">
        <f t="shared" si="6"/>
        <v>0.78505995086747216</v>
      </c>
      <c r="V43" s="232" t="str">
        <f>IFERROR(_xlfn.XLOOKUP($A43,Input_Raw!$A:$A,Input_Raw!$FG:$FG),"")</f>
        <v/>
      </c>
      <c r="W43" s="233">
        <f t="shared" si="7"/>
        <v>0.17854615384615521</v>
      </c>
      <c r="X43" s="29">
        <f>IFERROR(_xlfn.XLOOKUP($A43,Input_Raw!$A:$A,Input_Raw!$DP:$DP),"")</f>
        <v>570517.09999999986</v>
      </c>
      <c r="Y43" s="29">
        <f>IFERROR(_xlfn.XLOOKUP($A43,Input_Raw!$A:$A,Input_Raw!EW:EW),"")</f>
        <v>559512.00000000419</v>
      </c>
      <c r="Z43" s="29">
        <f>IFERROR(_xlfn.XLOOKUP($A43,Input_Raw!$A:$A,Input_Raw!EX:EX),"")</f>
        <v>2447.9999999999018</v>
      </c>
      <c r="AA43" s="29">
        <f>IFERROR(_xlfn.XLOOKUP($A43,Input_Raw!$A:$A,Input_Raw!FA:FA),"")</f>
        <v>557064.00000000431</v>
      </c>
      <c r="AB43" s="9">
        <f>IFERROR(_xlfn.XLOOKUP($A43,Input_Raw!$A:$A,Input_Raw!FD:FD),"")</f>
        <v>111</v>
      </c>
      <c r="AC43" s="185">
        <f>IFERROR(_xlfn.XLOOKUP($D43,'Modelling New'!$D:$D,'Modelling New'!P:P),"")</f>
        <v>6.8903225806451607</v>
      </c>
      <c r="AD43" s="29">
        <f>IFERROR(_xlfn.XLOOKUP($D43,'Modelling New'!$D:$D,'Modelling New'!T:T)*1000,"")</f>
        <v>722503.64978642471</v>
      </c>
      <c r="AE43" s="233">
        <f>IFERROR(_xlfn.XLOOKUP($D43,'Modelling New'!$D:$D,'Modelling New'!O:O),"")</f>
        <v>0.806597995656121</v>
      </c>
      <c r="AF43" s="233">
        <f>IFERROR(_xlfn.XLOOKUP($D43,'Modelling New'!$D:$D,'Modelling New'!W:W),"")</f>
        <v>0.23157168262385408</v>
      </c>
      <c r="AG43" s="233">
        <f>IFERROR(_xlfn.XLOOKUP($D43,'Modelling New'!$D:$D,'Modelling New'!AE:AE),"")</f>
        <v>0.995</v>
      </c>
      <c r="AH43" s="234">
        <f>IFERROR(_xlfn.XLOOKUP($D43,'Modelling New'!$D:$D,'Modelling New'!AF:AF),"")</f>
        <v>0.995</v>
      </c>
      <c r="AI43" s="9"/>
      <c r="AJ43" s="9"/>
      <c r="AK43" s="258"/>
      <c r="AL43" s="258"/>
      <c r="AM43" s="258"/>
      <c r="AN43" s="235"/>
      <c r="AO43" s="233"/>
      <c r="AP43" s="233"/>
      <c r="AQ43" s="233"/>
      <c r="AR43" s="236">
        <f>_xlfn.XLOOKUP(D43,'Modelling New'!$D:$D,'Modelling New'!$N:$N)</f>
        <v>130</v>
      </c>
      <c r="AS43" s="236">
        <f t="shared" si="8"/>
        <v>616906.96250994725</v>
      </c>
    </row>
    <row r="44" spans="1:45">
      <c r="A44" s="18">
        <f t="shared" si="9"/>
        <v>45787</v>
      </c>
      <c r="B44" s="29">
        <f>YEAR(Table13[[#This Row],[Date]])+IF(MONTH(Table13[[#This Row],[Date]])&gt;=4,1,0)</f>
        <v>2026</v>
      </c>
      <c r="C44" s="9">
        <f>YEAR(Table13[[#This Row],[Date]])</f>
        <v>2025</v>
      </c>
      <c r="D44" s="229">
        <f>Table13[[#This Row],[Date]]-DAY(Table13[[#This Row],[Date]])+1</f>
        <v>45778</v>
      </c>
      <c r="E44" s="9">
        <f t="shared" si="5"/>
        <v>31</v>
      </c>
      <c r="F44" s="199">
        <f>IFERROR(_xlfn.XLOOKUP($A44,Input_Raw!$A:$A,Input_Raw!$FC:$FC),"")</f>
        <v>12.4</v>
      </c>
      <c r="G44" s="200">
        <f>IFERROR(_xlfn.XLOOKUP($A44,Input_Raw!$A:$A,Input_Raw!$CY:$CY),"")</f>
        <v>6.6508540749999998</v>
      </c>
      <c r="H44" s="200">
        <f>IFERROR(_xlfn.XLOOKUP($A44,Input_Raw!$A:$A,Input_Raw!$DA:$DA),"")</f>
        <v>1.2471075166666643</v>
      </c>
      <c r="I44" s="200">
        <f>IFERROR(_xlfn.XLOOKUP($A44,Input_Raw!$A:$A,Input_Raw!$CX:$CX),"")</f>
        <v>6.6142921249999969</v>
      </c>
      <c r="J44" s="200">
        <f>IFERROR(_xlfn.XLOOKUP($A44,Input_Raw!$A:$A,Input_Raw!$CZ:$CZ),"")</f>
        <v>0.93745178333333334</v>
      </c>
      <c r="K44" s="201">
        <f>IFERROR(_xlfn.XLOOKUP($A44,Input_Raw!$A:$A,Input_Raw!$DB:$DB),"")</f>
        <v>31.312185268101324</v>
      </c>
      <c r="L44" s="201">
        <f>IFERROR(_xlfn.XLOOKUP($A44,Input_Raw!$A:$A,Input_Raw!$DC:$DC),"")</f>
        <v>44.336283204661385</v>
      </c>
      <c r="M44" s="200">
        <f>IFERROR(_xlfn.XLOOKUP($A44,Input_Raw!$A:$A,Input_Raw!$DF:$DF),"")</f>
        <v>1.221730429097577</v>
      </c>
      <c r="N44" s="200">
        <f>IFERROR(_xlfn.XLOOKUP($A44,Input_Raw!$A:$A,Input_Raw!$DG:$DG),"")</f>
        <v>3.5745</v>
      </c>
      <c r="O44" s="230">
        <f>IFERROR(1-(SUMIF(Plant_BD!$B:$B,$A44,Plant_BD!$AL:$AL)/($AA44+SUMIF(Plant_BD!$B:$B,$A44,Plant_BD!$AL:$AL))),"")</f>
        <v>1</v>
      </c>
      <c r="P44" s="230"/>
      <c r="Q44" s="231">
        <f>IFERROR(1-(SUMIF(Grid_BD!$B:$B,$A44,Grid_BD!$V:$V)/($AA44+SUMIF(Grid_BD!$B:$B,$A44,Grid_BD!$V:$V))),"")</f>
        <v>1</v>
      </c>
      <c r="R44" s="230">
        <f>IFERROR(1-(SUMIF(Grid_BD!$B:$B,$A44,Grid_BD!$V:$V)/($AA44+SUMIF(Grid_BD!$B:$B,$A44,Grid_BD!$V:$V))),"")</f>
        <v>1</v>
      </c>
      <c r="S44" s="9"/>
      <c r="T44" s="231"/>
      <c r="U44" s="232">
        <f t="shared" si="6"/>
        <v>0.8248477207655458</v>
      </c>
      <c r="V44" s="232" t="str">
        <f>IFERROR(_xlfn.XLOOKUP($A44,Input_Raw!$A:$A,Input_Raw!$FG:$FG),"")</f>
        <v/>
      </c>
      <c r="W44" s="233">
        <f t="shared" si="7"/>
        <v>0.19409999999999866</v>
      </c>
      <c r="X44" s="29">
        <f>IFERROR(_xlfn.XLOOKUP($A44,Input_Raw!$A:$A,Input_Raw!$DP:$DP),"")</f>
        <v>618413.69999999995</v>
      </c>
      <c r="Y44" s="29">
        <f>IFERROR(_xlfn.XLOOKUP($A44,Input_Raw!$A:$A,Input_Raw!EW:EW),"")</f>
        <v>608327.99999999581</v>
      </c>
      <c r="Z44" s="29">
        <f>IFERROR(_xlfn.XLOOKUP($A44,Input_Raw!$A:$A,Input_Raw!EX:EX),"")</f>
        <v>2735.9999999999673</v>
      </c>
      <c r="AA44" s="29">
        <f>IFERROR(_xlfn.XLOOKUP($A44,Input_Raw!$A:$A,Input_Raw!FA:FA),"")</f>
        <v>605591.99999999581</v>
      </c>
      <c r="AB44" s="9">
        <f>IFERROR(_xlfn.XLOOKUP($A44,Input_Raw!$A:$A,Input_Raw!FD:FD),"")</f>
        <v>111</v>
      </c>
      <c r="AC44" s="185">
        <f>IFERROR(_xlfn.XLOOKUP($D44,'Modelling New'!$D:$D,'Modelling New'!P:P),"")</f>
        <v>6.8903225806451607</v>
      </c>
      <c r="AD44" s="29">
        <f>IFERROR(_xlfn.XLOOKUP($D44,'Modelling New'!$D:$D,'Modelling New'!T:T)*1000,"")</f>
        <v>722503.64978642471</v>
      </c>
      <c r="AE44" s="233">
        <f>IFERROR(_xlfn.XLOOKUP($D44,'Modelling New'!$D:$D,'Modelling New'!O:O),"")</f>
        <v>0.806597995656121</v>
      </c>
      <c r="AF44" s="233">
        <f>IFERROR(_xlfn.XLOOKUP($D44,'Modelling New'!$D:$D,'Modelling New'!W:W),"")</f>
        <v>0.23157168262385408</v>
      </c>
      <c r="AG44" s="233">
        <f>IFERROR(_xlfn.XLOOKUP($D44,'Modelling New'!$D:$D,'Modelling New'!AE:AE),"")</f>
        <v>0.995</v>
      </c>
      <c r="AH44" s="234">
        <f>IFERROR(_xlfn.XLOOKUP($D44,'Modelling New'!$D:$D,'Modelling New'!AF:AF),"")</f>
        <v>0.995</v>
      </c>
      <c r="AI44" s="9"/>
      <c r="AJ44" s="9"/>
      <c r="AK44" s="258"/>
      <c r="AL44" s="258"/>
      <c r="AM44" s="258"/>
      <c r="AN44" s="235"/>
      <c r="AO44" s="233"/>
      <c r="AP44" s="233"/>
      <c r="AQ44" s="233"/>
      <c r="AR44" s="236">
        <f>_xlfn.XLOOKUP(D44,'Modelling New'!$D:$D,'Modelling New'!$N:$N)</f>
        <v>130</v>
      </c>
      <c r="AS44" s="236">
        <f t="shared" si="8"/>
        <v>616906.96250994725</v>
      </c>
    </row>
    <row r="45" spans="1:45">
      <c r="A45" s="18">
        <f t="shared" si="9"/>
        <v>45788</v>
      </c>
      <c r="B45" s="29">
        <f>YEAR(Table13[[#This Row],[Date]])+IF(MONTH(Table13[[#This Row],[Date]])&gt;=4,1,0)</f>
        <v>2026</v>
      </c>
      <c r="C45" s="9">
        <f>YEAR(Table13[[#This Row],[Date]])</f>
        <v>2025</v>
      </c>
      <c r="D45" s="229">
        <f>Table13[[#This Row],[Date]]-DAY(Table13[[#This Row],[Date]])+1</f>
        <v>45778</v>
      </c>
      <c r="E45" s="9">
        <f t="shared" si="5"/>
        <v>31</v>
      </c>
      <c r="F45" s="199">
        <f>IFERROR(_xlfn.XLOOKUP($A45,Input_Raw!$A:$A,Input_Raw!$FC:$FC),"")</f>
        <v>12.4</v>
      </c>
      <c r="G45" s="185">
        <f>IFERROR(_xlfn.XLOOKUP($A45,Input_Raw!$A:$A,Input_Raw!$CY:$CY),"")</f>
        <v>5.0195781416666687</v>
      </c>
      <c r="H45" s="185">
        <f>IFERROR(_xlfn.XLOOKUP($A45,Input_Raw!$A:$A,Input_Raw!$DA:$DA),"")</f>
        <v>3.0195322750000018</v>
      </c>
      <c r="I45" s="185">
        <f>IFERROR(_xlfn.XLOOKUP($A45,Input_Raw!$A:$A,Input_Raw!$CX:$CX),"")</f>
        <v>5.0238358500000047</v>
      </c>
      <c r="J45" s="185">
        <f>IFERROR(_xlfn.XLOOKUP($A45,Input_Raw!$A:$A,Input_Raw!$CZ:$CZ),"")</f>
        <v>0.7255239499999997</v>
      </c>
      <c r="K45" s="201">
        <f>IFERROR(_xlfn.XLOOKUP($A45,Input_Raw!$A:$A,Input_Raw!$DB:$DB),"")</f>
        <v>30.529776591042271</v>
      </c>
      <c r="L45" s="201">
        <f>IFERROR(_xlfn.XLOOKUP($A45,Input_Raw!$A:$A,Input_Raw!$DC:$DC),"")</f>
        <v>42.362846176427553</v>
      </c>
      <c r="M45" s="200">
        <f>IFERROR(_xlfn.XLOOKUP($A45,Input_Raw!$A:$A,Input_Raw!$DF:$DF),"")</f>
        <v>0.9882698066722343</v>
      </c>
      <c r="N45" s="200">
        <f>IFERROR(_xlfn.XLOOKUP($A45,Input_Raw!$A:$A,Input_Raw!$DG:$DG),"")</f>
        <v>4.0949999999999998</v>
      </c>
      <c r="O45" s="230">
        <f>IFERROR(1-(SUMIF(Plant_BD!$B:$B,$A45,Plant_BD!$AL:$AL)/($AA45+SUMIF(Plant_BD!$B:$B,$A45,Plant_BD!$AL:$AL))),"")</f>
        <v>1</v>
      </c>
      <c r="P45" s="230"/>
      <c r="Q45" s="231">
        <f>IFERROR(1-(SUMIF(Grid_BD!$B:$B,$A45,Grid_BD!$V:$V)/($AA45+SUMIF(Grid_BD!$B:$B,$A45,Grid_BD!$V:$V))),"")</f>
        <v>1</v>
      </c>
      <c r="R45" s="230">
        <f>IFERROR(1-(SUMIF(Grid_BD!$B:$B,$A45,Grid_BD!$V:$V)/($AA45+SUMIF(Grid_BD!$B:$B,$A45,Grid_BD!$V:$V))),"")</f>
        <v>1</v>
      </c>
      <c r="S45" s="9"/>
      <c r="T45" s="231"/>
      <c r="U45" s="232">
        <f t="shared" si="6"/>
        <v>0.82955886537725221</v>
      </c>
      <c r="V45" s="232" t="str">
        <f>IFERROR(_xlfn.XLOOKUP($A45,Input_Raw!$A:$A,Input_Raw!$FG:$FG),"")</f>
        <v/>
      </c>
      <c r="W45" s="233">
        <f t="shared" si="7"/>
        <v>0.14826923076923076</v>
      </c>
      <c r="X45" s="29">
        <f>IFERROR(_xlfn.XLOOKUP($A45,Input_Raw!$A:$A,Input_Raw!$DP:$DP),"")</f>
        <v>474902.9</v>
      </c>
      <c r="Y45" s="29">
        <f>IFERROR(_xlfn.XLOOKUP($A45,Input_Raw!$A:$A,Input_Raw!EW:EW),"")</f>
        <v>465840</v>
      </c>
      <c r="Z45" s="29">
        <f>IFERROR(_xlfn.XLOOKUP($A45,Input_Raw!$A:$A,Input_Raw!EX:EX),"")</f>
        <v>3240</v>
      </c>
      <c r="AA45" s="29">
        <f>IFERROR(_xlfn.XLOOKUP($A45,Input_Raw!$A:$A,Input_Raw!FA:FA),"")</f>
        <v>462600</v>
      </c>
      <c r="AB45" s="9">
        <f>IFERROR(_xlfn.XLOOKUP($A45,Input_Raw!$A:$A,Input_Raw!FD:FD),"")</f>
        <v>111</v>
      </c>
      <c r="AC45" s="185">
        <f>IFERROR(_xlfn.XLOOKUP($D45,'Modelling New'!$D:$D,'Modelling New'!P:P),"")</f>
        <v>6.8903225806451607</v>
      </c>
      <c r="AD45" s="29">
        <f>IFERROR(_xlfn.XLOOKUP($D45,'Modelling New'!$D:$D,'Modelling New'!T:T)*1000,"")</f>
        <v>722503.64978642471</v>
      </c>
      <c r="AE45" s="233">
        <f>IFERROR(_xlfn.XLOOKUP($D45,'Modelling New'!$D:$D,'Modelling New'!O:O),"")</f>
        <v>0.806597995656121</v>
      </c>
      <c r="AF45" s="233">
        <f>IFERROR(_xlfn.XLOOKUP($D45,'Modelling New'!$D:$D,'Modelling New'!W:W),"")</f>
        <v>0.23157168262385408</v>
      </c>
      <c r="AG45" s="233">
        <f>IFERROR(_xlfn.XLOOKUP($D45,'Modelling New'!$D:$D,'Modelling New'!AE:AE),"")</f>
        <v>0.995</v>
      </c>
      <c r="AH45" s="234">
        <f>IFERROR(_xlfn.XLOOKUP($D45,'Modelling New'!$D:$D,'Modelling New'!AF:AF),"")</f>
        <v>0.995</v>
      </c>
      <c r="AI45" s="9"/>
      <c r="AJ45" s="9"/>
      <c r="AK45" s="258"/>
      <c r="AL45" s="258"/>
      <c r="AM45" s="258"/>
      <c r="AN45" s="235"/>
      <c r="AO45" s="233"/>
      <c r="AP45" s="233"/>
      <c r="AQ45" s="233"/>
      <c r="AR45" s="236">
        <f>_xlfn.XLOOKUP(D45,'Modelling New'!$D:$D,'Modelling New'!$N:$N)</f>
        <v>130</v>
      </c>
      <c r="AS45" s="236">
        <f t="shared" si="8"/>
        <v>616906.96250994725</v>
      </c>
    </row>
    <row r="46" spans="1:45">
      <c r="A46" s="18">
        <f t="shared" si="9"/>
        <v>45789</v>
      </c>
      <c r="B46" s="29">
        <f>YEAR(Table13[[#This Row],[Date]])+IF(MONTH(Table13[[#This Row],[Date]])&gt;=4,1,0)</f>
        <v>2026</v>
      </c>
      <c r="C46" s="9">
        <f>YEAR(Table13[[#This Row],[Date]])</f>
        <v>2025</v>
      </c>
      <c r="D46" s="229">
        <f>Table13[[#This Row],[Date]]-DAY(Table13[[#This Row],[Date]])+1</f>
        <v>45778</v>
      </c>
      <c r="E46" s="9">
        <f t="shared" si="5"/>
        <v>31</v>
      </c>
      <c r="F46" s="199">
        <f>IFERROR(_xlfn.XLOOKUP($A46,Input_Raw!$A:$A,Input_Raw!$FC:$FC),"")</f>
        <v>12.4</v>
      </c>
      <c r="G46" s="200">
        <f>IFERROR(_xlfn.XLOOKUP($A46,Input_Raw!$A:$A,Input_Raw!$CY:$CY),"")</f>
        <v>5.0978526583333394</v>
      </c>
      <c r="H46" s="200">
        <f>IFERROR(_xlfn.XLOOKUP($A46,Input_Raw!$A:$A,Input_Raw!$DA:$DA),"")</f>
        <v>0.92995367500000037</v>
      </c>
      <c r="I46" s="200">
        <f>IFERROR(_xlfn.XLOOKUP($A46,Input_Raw!$A:$A,Input_Raw!$CX:$CX),"")</f>
        <v>5.1501863583333325</v>
      </c>
      <c r="J46" s="200">
        <f>IFERROR(_xlfn.XLOOKUP($A46,Input_Raw!$A:$A,Input_Raw!$CZ:$CZ),"")</f>
        <v>0.7325373666666678</v>
      </c>
      <c r="K46" s="201">
        <f>IFERROR(_xlfn.XLOOKUP($A46,Input_Raw!$A:$A,Input_Raw!$DB:$DB),"")</f>
        <v>30.746254753941777</v>
      </c>
      <c r="L46" s="201">
        <f>IFERROR(_xlfn.XLOOKUP($A46,Input_Raw!$A:$A,Input_Raw!$DC:$DC),"")</f>
        <v>42.617459495938824</v>
      </c>
      <c r="M46" s="200">
        <f>IFERROR(_xlfn.XLOOKUP($A46,Input_Raw!$A:$A,Input_Raw!$DF:$DF),"")</f>
        <v>1.2086206282847587</v>
      </c>
      <c r="N46" s="200">
        <f>IFERROR(_xlfn.XLOOKUP($A46,Input_Raw!$A:$A,Input_Raw!$DG:$DG),"")</f>
        <v>3.7679999999999998</v>
      </c>
      <c r="O46" s="230">
        <f>IFERROR(1-(SUMIF(Plant_BD!$B:$B,$A46,Plant_BD!$AL:$AL)/($AA46+SUMIF(Plant_BD!$B:$B,$A46,Plant_BD!$AL:$AL))),"")</f>
        <v>1</v>
      </c>
      <c r="P46" s="230"/>
      <c r="Q46" s="231">
        <f>IFERROR(1-(SUMIF(Grid_BD!$B:$B,$A46,Grid_BD!$V:$V)/($AA46+SUMIF(Grid_BD!$B:$B,$A46,Grid_BD!$V:$V))),"")</f>
        <v>1</v>
      </c>
      <c r="R46" s="230">
        <f>IFERROR(1-(SUMIF(Grid_BD!$B:$B,$A46,Grid_BD!$V:$V)/($AA46+SUMIF(Grid_BD!$B:$B,$A46,Grid_BD!$V:$V))),"")</f>
        <v>1</v>
      </c>
      <c r="S46" s="9"/>
      <c r="T46" s="231"/>
      <c r="U46" s="232">
        <f t="shared" si="6"/>
        <v>0.82860292085440945</v>
      </c>
      <c r="V46" s="232" t="str">
        <f>IFERROR(_xlfn.XLOOKUP($A46,Input_Raw!$A:$A,Input_Raw!$FG:$FG),"")</f>
        <v/>
      </c>
      <c r="W46" s="233">
        <f t="shared" si="7"/>
        <v>0.15182307692307956</v>
      </c>
      <c r="X46" s="29">
        <f>IFERROR(_xlfn.XLOOKUP($A46,Input_Raw!$A:$A,Input_Raw!$DP:$DP),"")</f>
        <v>480784</v>
      </c>
      <c r="Y46" s="29">
        <f>IFERROR(_xlfn.XLOOKUP($A46,Input_Raw!$A:$A,Input_Raw!EW:EW),"")</f>
        <v>476784.00000000838</v>
      </c>
      <c r="Z46" s="29">
        <f>IFERROR(_xlfn.XLOOKUP($A46,Input_Raw!$A:$A,Input_Raw!EX:EX),"")</f>
        <v>3096.000000000131</v>
      </c>
      <c r="AA46" s="29">
        <f>IFERROR(_xlfn.XLOOKUP($A46,Input_Raw!$A:$A,Input_Raw!FA:FA),"")</f>
        <v>473688.00000000827</v>
      </c>
      <c r="AB46" s="9">
        <f>IFERROR(_xlfn.XLOOKUP($A46,Input_Raw!$A:$A,Input_Raw!FD:FD),"")</f>
        <v>111</v>
      </c>
      <c r="AC46" s="185">
        <f>IFERROR(_xlfn.XLOOKUP($D46,'Modelling New'!$D:$D,'Modelling New'!P:P),"")</f>
        <v>6.8903225806451607</v>
      </c>
      <c r="AD46" s="29">
        <f>IFERROR(_xlfn.XLOOKUP($D46,'Modelling New'!$D:$D,'Modelling New'!T:T)*1000,"")</f>
        <v>722503.64978642471</v>
      </c>
      <c r="AE46" s="233">
        <f>IFERROR(_xlfn.XLOOKUP($D46,'Modelling New'!$D:$D,'Modelling New'!O:O),"")</f>
        <v>0.806597995656121</v>
      </c>
      <c r="AF46" s="233">
        <f>IFERROR(_xlfn.XLOOKUP($D46,'Modelling New'!$D:$D,'Modelling New'!W:W),"")</f>
        <v>0.23157168262385408</v>
      </c>
      <c r="AG46" s="233">
        <f>IFERROR(_xlfn.XLOOKUP($D46,'Modelling New'!$D:$D,'Modelling New'!AE:AE),"")</f>
        <v>0.995</v>
      </c>
      <c r="AH46" s="234">
        <f>IFERROR(_xlfn.XLOOKUP($D46,'Modelling New'!$D:$D,'Modelling New'!AF:AF),"")</f>
        <v>0.995</v>
      </c>
      <c r="AI46" s="9"/>
      <c r="AJ46" s="9"/>
      <c r="AK46" s="258"/>
      <c r="AL46" s="258"/>
      <c r="AM46" s="258"/>
      <c r="AN46" s="235"/>
      <c r="AO46" s="233"/>
      <c r="AP46" s="233"/>
      <c r="AQ46" s="233"/>
      <c r="AR46" s="236">
        <f>_xlfn.XLOOKUP(D46,'Modelling New'!$D:$D,'Modelling New'!$N:$N)</f>
        <v>130</v>
      </c>
      <c r="AS46" s="236">
        <f t="shared" si="8"/>
        <v>616906.96250994725</v>
      </c>
    </row>
    <row r="47" spans="1:45">
      <c r="A47" s="18">
        <f t="shared" si="9"/>
        <v>45790</v>
      </c>
      <c r="B47" s="29">
        <f>YEAR(Table13[[#This Row],[Date]])+IF(MONTH(Table13[[#This Row],[Date]])&gt;=4,1,0)</f>
        <v>2026</v>
      </c>
      <c r="C47" s="9">
        <f>YEAR(Table13[[#This Row],[Date]])</f>
        <v>2025</v>
      </c>
      <c r="D47" s="229">
        <f>Table13[[#This Row],[Date]]-DAY(Table13[[#This Row],[Date]])+1</f>
        <v>45778</v>
      </c>
      <c r="E47" s="9">
        <f t="shared" si="5"/>
        <v>31</v>
      </c>
      <c r="F47" s="199">
        <f>IFERROR(_xlfn.XLOOKUP($A47,Input_Raw!$A:$A,Input_Raw!$FC:$FC),"")</f>
        <v>12.4</v>
      </c>
      <c r="G47" s="185">
        <f>IFERROR(_xlfn.XLOOKUP($A47,Input_Raw!$A:$A,Input_Raw!$CY:$CY),"")</f>
        <v>3.4529891666666632</v>
      </c>
      <c r="H47" s="185">
        <f>IFERROR(_xlfn.XLOOKUP($A47,Input_Raw!$A:$A,Input_Raw!$DA:$DA),"")</f>
        <v>0.60197658333333337</v>
      </c>
      <c r="I47" s="185">
        <f>IFERROR(_xlfn.XLOOKUP($A47,Input_Raw!$A:$A,Input_Raw!$CX:$CX),"")</f>
        <v>3.3404308166666681</v>
      </c>
      <c r="J47" s="185">
        <f>IFERROR(_xlfn.XLOOKUP($A47,Input_Raw!$A:$A,Input_Raw!$CZ:$CZ),"")</f>
        <v>0.46789799166666673</v>
      </c>
      <c r="K47" s="201">
        <f>IFERROR(_xlfn.XLOOKUP($A47,Input_Raw!$A:$A,Input_Raw!$DB:$DB),"")</f>
        <v>30.387321987347043</v>
      </c>
      <c r="L47" s="201">
        <f>IFERROR(_xlfn.XLOOKUP($A47,Input_Raw!$A:$A,Input_Raw!$DC:$DC),"")</f>
        <v>40.300776878054343</v>
      </c>
      <c r="M47" s="200">
        <f>IFERROR(_xlfn.XLOOKUP($A47,Input_Raw!$A:$A,Input_Raw!$DF:$DF),"")</f>
        <v>1.1787962097965687</v>
      </c>
      <c r="N47" s="200">
        <f>IFERROR(_xlfn.XLOOKUP($A47,Input_Raw!$A:$A,Input_Raw!$DG:$DG),"")</f>
        <v>1.9893880952380951</v>
      </c>
      <c r="O47" s="230">
        <f>IFERROR(1-(SUMIF(Plant_BD!$B:$B,$A47,Plant_BD!$AL:$AL)/($AA47+SUMIF(Plant_BD!$B:$B,$A47,Plant_BD!$AL:$AL))),"")</f>
        <v>1</v>
      </c>
      <c r="P47" s="230"/>
      <c r="Q47" s="231">
        <f>IFERROR(1-(SUMIF(Grid_BD!$B:$B,$A47,Grid_BD!$V:$V)/($AA47+SUMIF(Grid_BD!$B:$B,$A47,Grid_BD!$V:$V))),"")</f>
        <v>1</v>
      </c>
      <c r="R47" s="230">
        <f>IFERROR(1-(SUMIF(Grid_BD!$B:$B,$A47,Grid_BD!$V:$V)/($AA47+SUMIF(Grid_BD!$B:$B,$A47,Grid_BD!$V:$V))),"")</f>
        <v>1</v>
      </c>
      <c r="S47" s="9"/>
      <c r="T47" s="231"/>
      <c r="U47" s="232">
        <f t="shared" si="6"/>
        <v>0.87031984878654323</v>
      </c>
      <c r="V47" s="232" t="str">
        <f>IFERROR(_xlfn.XLOOKUP($A47,Input_Raw!$A:$A,Input_Raw!$FG:$FG),"")</f>
        <v/>
      </c>
      <c r="W47" s="233">
        <f t="shared" si="7"/>
        <v>0.10343076923076924</v>
      </c>
      <c r="X47" s="29">
        <f>IFERROR(_xlfn.XLOOKUP($A47,Input_Raw!$A:$A,Input_Raw!$DP:$DP),"")</f>
        <v>332749.40000000002</v>
      </c>
      <c r="Y47" s="29">
        <f>IFERROR(_xlfn.XLOOKUP($A47,Input_Raw!$A:$A,Input_Raw!EW:EW),"")</f>
        <v>326160</v>
      </c>
      <c r="Z47" s="29">
        <f>IFERROR(_xlfn.XLOOKUP($A47,Input_Raw!$A:$A,Input_Raw!EX:EX),"")</f>
        <v>3455.9999999999673</v>
      </c>
      <c r="AA47" s="29">
        <f>IFERROR(_xlfn.XLOOKUP($A47,Input_Raw!$A:$A,Input_Raw!FA:FA),"")</f>
        <v>322704.00000000006</v>
      </c>
      <c r="AB47" s="9">
        <f>IFERROR(_xlfn.XLOOKUP($A47,Input_Raw!$A:$A,Input_Raw!FD:FD),"")</f>
        <v>111</v>
      </c>
      <c r="AC47" s="185">
        <f>IFERROR(_xlfn.XLOOKUP($D47,'Modelling New'!$D:$D,'Modelling New'!P:P),"")</f>
        <v>6.8903225806451607</v>
      </c>
      <c r="AD47" s="29">
        <f>IFERROR(_xlfn.XLOOKUP($D47,'Modelling New'!$D:$D,'Modelling New'!T:T)*1000,"")</f>
        <v>722503.64978642471</v>
      </c>
      <c r="AE47" s="233">
        <f>IFERROR(_xlfn.XLOOKUP($D47,'Modelling New'!$D:$D,'Modelling New'!O:O),"")</f>
        <v>0.806597995656121</v>
      </c>
      <c r="AF47" s="233">
        <f>IFERROR(_xlfn.XLOOKUP($D47,'Modelling New'!$D:$D,'Modelling New'!W:W),"")</f>
        <v>0.23157168262385408</v>
      </c>
      <c r="AG47" s="233">
        <f>IFERROR(_xlfn.XLOOKUP($D47,'Modelling New'!$D:$D,'Modelling New'!AE:AE),"")</f>
        <v>0.995</v>
      </c>
      <c r="AH47" s="234">
        <f>IFERROR(_xlfn.XLOOKUP($D47,'Modelling New'!$D:$D,'Modelling New'!AF:AF),"")</f>
        <v>0.995</v>
      </c>
      <c r="AI47" s="9"/>
      <c r="AJ47" s="9"/>
      <c r="AK47" s="258"/>
      <c r="AL47" s="258"/>
      <c r="AM47" s="258"/>
      <c r="AN47" s="235"/>
      <c r="AO47" s="233"/>
      <c r="AP47" s="233"/>
      <c r="AQ47" s="233"/>
      <c r="AR47" s="236">
        <f>_xlfn.XLOOKUP(D47,'Modelling New'!$D:$D,'Modelling New'!$N:$N)</f>
        <v>130</v>
      </c>
      <c r="AS47" s="236">
        <f t="shared" si="8"/>
        <v>616906.96250994725</v>
      </c>
    </row>
    <row r="48" spans="1:45">
      <c r="A48" s="18">
        <f t="shared" si="9"/>
        <v>45791</v>
      </c>
      <c r="B48" s="29">
        <f>YEAR(Table13[[#This Row],[Date]])+IF(MONTH(Table13[[#This Row],[Date]])&gt;=4,1,0)</f>
        <v>2026</v>
      </c>
      <c r="C48" s="9">
        <f>YEAR(Table13[[#This Row],[Date]])</f>
        <v>2025</v>
      </c>
      <c r="D48" s="229">
        <f>Table13[[#This Row],[Date]]-DAY(Table13[[#This Row],[Date]])+1</f>
        <v>45778</v>
      </c>
      <c r="E48" s="9">
        <f t="shared" si="5"/>
        <v>31</v>
      </c>
      <c r="F48" s="199">
        <f>IFERROR(_xlfn.XLOOKUP($A48,Input_Raw!$A:$A,Input_Raw!$FC:$FC),"")</f>
        <v>12.4</v>
      </c>
      <c r="G48" s="200">
        <f>IFERROR(_xlfn.XLOOKUP($A48,Input_Raw!$A:$A,Input_Raw!$CY:$CY),"")</f>
        <v>4.5428257333333333</v>
      </c>
      <c r="H48" s="200">
        <f>IFERROR(_xlfn.XLOOKUP($A48,Input_Raw!$A:$A,Input_Raw!$DA:$DA),"")</f>
        <v>0.79799035833333287</v>
      </c>
      <c r="I48" s="200">
        <f>IFERROR(_xlfn.XLOOKUP($A48,Input_Raw!$A:$A,Input_Raw!$CX:$CX),"")</f>
        <v>4.3417617999999969</v>
      </c>
      <c r="J48" s="200">
        <f>IFERROR(_xlfn.XLOOKUP($A48,Input_Raw!$A:$A,Input_Raw!$CZ:$CZ),"")</f>
        <v>0.59314307499999952</v>
      </c>
      <c r="K48" s="201">
        <f>IFERROR(_xlfn.XLOOKUP($A48,Input_Raw!$A:$A,Input_Raw!$DB:$DB),"")</f>
        <v>31.381731924503079</v>
      </c>
      <c r="L48" s="201">
        <f>IFERROR(_xlfn.XLOOKUP($A48,Input_Raw!$A:$A,Input_Raw!$DC:$DC),"")</f>
        <v>42.756110977135386</v>
      </c>
      <c r="M48" s="200">
        <f>IFERROR(_xlfn.XLOOKUP($A48,Input_Raw!$A:$A,Input_Raw!$DF:$DF),"")</f>
        <v>1.2687451611558069</v>
      </c>
      <c r="N48" s="200">
        <f>IFERROR(_xlfn.XLOOKUP($A48,Input_Raw!$A:$A,Input_Raw!$DG:$DG),"")</f>
        <v>2.4630000000000001</v>
      </c>
      <c r="O48" s="230">
        <f>IFERROR(1-(SUMIF(Plant_BD!$B:$B,$A48,Plant_BD!$AL:$AL)/($AA48+SUMIF(Plant_BD!$B:$B,$A48,Plant_BD!$AL:$AL))),"")</f>
        <v>1</v>
      </c>
      <c r="P48" s="230"/>
      <c r="Q48" s="231">
        <f>IFERROR(1-(SUMIF(Grid_BD!$B:$B,$A48,Grid_BD!$V:$V)/($AA48+SUMIF(Grid_BD!$B:$B,$A48,Grid_BD!$V:$V))),"")</f>
        <v>1</v>
      </c>
      <c r="R48" s="230">
        <f>IFERROR(1-(SUMIF(Grid_BD!$B:$B,$A48,Grid_BD!$V:$V)/($AA48+SUMIF(Grid_BD!$B:$B,$A48,Grid_BD!$V:$V))),"")</f>
        <v>1</v>
      </c>
      <c r="S48" s="9"/>
      <c r="T48" s="231"/>
      <c r="U48" s="232">
        <f t="shared" si="6"/>
        <v>0.85126733576215363</v>
      </c>
      <c r="V48" s="232" t="str">
        <f>IFERROR(_xlfn.XLOOKUP($A48,Input_Raw!$A:$A,Input_Raw!$FG:$FG),"")</f>
        <v/>
      </c>
      <c r="W48" s="233">
        <f t="shared" si="7"/>
        <v>0.13504615384614982</v>
      </c>
      <c r="X48" s="29">
        <f>IFERROR(_xlfn.XLOOKUP($A48,Input_Raw!$A:$A,Input_Raw!$DP:$DP),"")</f>
        <v>415627.19999999995</v>
      </c>
      <c r="Y48" s="29">
        <f>IFERROR(_xlfn.XLOOKUP($A48,Input_Raw!$A:$A,Input_Raw!EW:EW),"")</f>
        <v>423863.99999998743</v>
      </c>
      <c r="Z48" s="29">
        <f>IFERROR(_xlfn.XLOOKUP($A48,Input_Raw!$A:$A,Input_Raw!EX:EX),"")</f>
        <v>2520</v>
      </c>
      <c r="AA48" s="29">
        <f>IFERROR(_xlfn.XLOOKUP($A48,Input_Raw!$A:$A,Input_Raw!FA:FA),"")</f>
        <v>421343.99999998743</v>
      </c>
      <c r="AB48" s="9">
        <f>IFERROR(_xlfn.XLOOKUP($A48,Input_Raw!$A:$A,Input_Raw!FD:FD),"")</f>
        <v>114</v>
      </c>
      <c r="AC48" s="185">
        <f>IFERROR(_xlfn.XLOOKUP($D48,'Modelling New'!$D:$D,'Modelling New'!P:P),"")</f>
        <v>6.8903225806451607</v>
      </c>
      <c r="AD48" s="29">
        <f>IFERROR(_xlfn.XLOOKUP($D48,'Modelling New'!$D:$D,'Modelling New'!T:T)*1000,"")</f>
        <v>722503.64978642471</v>
      </c>
      <c r="AE48" s="233">
        <f>IFERROR(_xlfn.XLOOKUP($D48,'Modelling New'!$D:$D,'Modelling New'!O:O),"")</f>
        <v>0.806597995656121</v>
      </c>
      <c r="AF48" s="233">
        <f>IFERROR(_xlfn.XLOOKUP($D48,'Modelling New'!$D:$D,'Modelling New'!W:W),"")</f>
        <v>0.23157168262385408</v>
      </c>
      <c r="AG48" s="233">
        <f>IFERROR(_xlfn.XLOOKUP($D48,'Modelling New'!$D:$D,'Modelling New'!AE:AE),"")</f>
        <v>0.995</v>
      </c>
      <c r="AH48" s="234">
        <f>IFERROR(_xlfn.XLOOKUP($D48,'Modelling New'!$D:$D,'Modelling New'!AF:AF),"")</f>
        <v>0.995</v>
      </c>
      <c r="AI48" s="9"/>
      <c r="AJ48" s="9"/>
      <c r="AK48" s="258"/>
      <c r="AL48" s="258"/>
      <c r="AM48" s="258"/>
      <c r="AN48" s="235"/>
      <c r="AO48" s="233"/>
      <c r="AP48" s="233"/>
      <c r="AQ48" s="233"/>
      <c r="AR48" s="236">
        <f>_xlfn.XLOOKUP(D48,'Modelling New'!$D:$D,'Modelling New'!$N:$N)</f>
        <v>130</v>
      </c>
      <c r="AS48" s="236">
        <f t="shared" si="8"/>
        <v>633580.12365886476</v>
      </c>
    </row>
    <row r="49" spans="1:45">
      <c r="A49" s="18">
        <f t="shared" si="9"/>
        <v>45792</v>
      </c>
      <c r="B49" s="29">
        <f>YEAR(Table13[[#This Row],[Date]])+IF(MONTH(Table13[[#This Row],[Date]])&gt;=4,1,0)</f>
        <v>2026</v>
      </c>
      <c r="C49" s="9">
        <f>YEAR(Table13[[#This Row],[Date]])</f>
        <v>2025</v>
      </c>
      <c r="D49" s="229">
        <f>Table13[[#This Row],[Date]]-DAY(Table13[[#This Row],[Date]])+1</f>
        <v>45778</v>
      </c>
      <c r="E49" s="9">
        <f t="shared" si="5"/>
        <v>31</v>
      </c>
      <c r="F49" s="199">
        <f>IFERROR(_xlfn.XLOOKUP($A49,Input_Raw!$A:$A,Input_Raw!$FC:$FC),"")</f>
        <v>12.9</v>
      </c>
      <c r="G49" s="185">
        <f>IFERROR(_xlfn.XLOOKUP($A49,Input_Raw!$A:$A,Input_Raw!$CY:$CY),"")</f>
        <v>4.2141304166666664</v>
      </c>
      <c r="H49" s="185">
        <f>IFERROR(_xlfn.XLOOKUP($A49,Input_Raw!$A:$A,Input_Raw!$DA:$DA),"")</f>
        <v>0.75503757499999935</v>
      </c>
      <c r="I49" s="185">
        <f>IFERROR(_xlfn.XLOOKUP($A49,Input_Raw!$A:$A,Input_Raw!$CX:$CX),"")</f>
        <v>4.1260593833333328</v>
      </c>
      <c r="J49" s="185">
        <f>IFERROR(_xlfn.XLOOKUP($A49,Input_Raw!$A:$A,Input_Raw!$CZ:$CZ),"")</f>
        <v>0.5693108499999997</v>
      </c>
      <c r="K49" s="201">
        <f>IFERROR(_xlfn.XLOOKUP($A49,Input_Raw!$A:$A,Input_Raw!$DB:$DB),"")</f>
        <v>29.971046001175324</v>
      </c>
      <c r="L49" s="201">
        <f>IFERROR(_xlfn.XLOOKUP($A49,Input_Raw!$A:$A,Input_Raw!$DC:$DC),"")</f>
        <v>40.712753917439265</v>
      </c>
      <c r="M49" s="200">
        <f>IFERROR(_xlfn.XLOOKUP($A49,Input_Raw!$A:$A,Input_Raw!$DF:$DF),"")</f>
        <v>1.3424417482979161</v>
      </c>
      <c r="N49" s="200">
        <f>IFERROR(_xlfn.XLOOKUP($A49,Input_Raw!$A:$A,Input_Raw!$DG:$DG),"")</f>
        <v>5.7359999999999998</v>
      </c>
      <c r="O49" s="230">
        <f>IFERROR(1-(SUMIF(Plant_BD!$B:$B,$A49,Plant_BD!$AL:$AL)/($AA49+SUMIF(Plant_BD!$B:$B,$A49,Plant_BD!$AL:$AL))),"")</f>
        <v>1</v>
      </c>
      <c r="P49" s="230"/>
      <c r="Q49" s="231">
        <f>IFERROR(1-(SUMIF(Grid_BD!$B:$B,$A49,Grid_BD!$V:$V)/($AA49+SUMIF(Grid_BD!$B:$B,$A49,Grid_BD!$V:$V))),"")</f>
        <v>1</v>
      </c>
      <c r="R49" s="230">
        <f>IFERROR(1-(SUMIF(Grid_BD!$B:$B,$A49,Grid_BD!$V:$V)/($AA49+SUMIF(Grid_BD!$B:$B,$A49,Grid_BD!$V:$V))),"")</f>
        <v>1</v>
      </c>
      <c r="S49" s="9"/>
      <c r="T49" s="231"/>
      <c r="U49" s="232">
        <f t="shared" si="6"/>
        <v>0.83255173413469064</v>
      </c>
      <c r="V49" s="232" t="str">
        <f>IFERROR(_xlfn.XLOOKUP($A49,Input_Raw!$A:$A,Input_Raw!$FG:$FG),"")</f>
        <v/>
      </c>
      <c r="W49" s="233">
        <f t="shared" si="7"/>
        <v>0.12551538461538594</v>
      </c>
      <c r="X49" s="29">
        <f>IFERROR(_xlfn.XLOOKUP($A49,Input_Raw!$A:$A,Input_Raw!$DP:$DP),"")</f>
        <v>388248.99999999994</v>
      </c>
      <c r="Y49" s="29">
        <f>IFERROR(_xlfn.XLOOKUP($A49,Input_Raw!$A:$A,Input_Raw!EW:EW),"")</f>
        <v>394632.00000000419</v>
      </c>
      <c r="Z49" s="29">
        <f>IFERROR(_xlfn.XLOOKUP($A49,Input_Raw!$A:$A,Input_Raw!EX:EX),"")</f>
        <v>3024.0000000000327</v>
      </c>
      <c r="AA49" s="29">
        <f>IFERROR(_xlfn.XLOOKUP($A49,Input_Raw!$A:$A,Input_Raw!FA:FA),"")</f>
        <v>391608.00000000413</v>
      </c>
      <c r="AB49" s="9">
        <f>IFERROR(_xlfn.XLOOKUP($A49,Input_Raw!$A:$A,Input_Raw!FD:FD),"")</f>
        <v>114</v>
      </c>
      <c r="AC49" s="185">
        <f>IFERROR(_xlfn.XLOOKUP($D49,'Modelling New'!$D:$D,'Modelling New'!P:P),"")</f>
        <v>6.8903225806451607</v>
      </c>
      <c r="AD49" s="29">
        <f>IFERROR(_xlfn.XLOOKUP($D49,'Modelling New'!$D:$D,'Modelling New'!T:T)*1000,"")</f>
        <v>722503.64978642471</v>
      </c>
      <c r="AE49" s="233">
        <f>IFERROR(_xlfn.XLOOKUP($D49,'Modelling New'!$D:$D,'Modelling New'!O:O),"")</f>
        <v>0.806597995656121</v>
      </c>
      <c r="AF49" s="233">
        <f>IFERROR(_xlfn.XLOOKUP($D49,'Modelling New'!$D:$D,'Modelling New'!W:W),"")</f>
        <v>0.23157168262385408</v>
      </c>
      <c r="AG49" s="233">
        <f>IFERROR(_xlfn.XLOOKUP($D49,'Modelling New'!$D:$D,'Modelling New'!AE:AE),"")</f>
        <v>0.995</v>
      </c>
      <c r="AH49" s="234">
        <f>IFERROR(_xlfn.XLOOKUP($D49,'Modelling New'!$D:$D,'Modelling New'!AF:AF),"")</f>
        <v>0.995</v>
      </c>
      <c r="AI49" s="9"/>
      <c r="AJ49" s="9"/>
      <c r="AK49" s="258"/>
      <c r="AL49" s="258"/>
      <c r="AM49" s="258"/>
      <c r="AN49" s="235"/>
      <c r="AO49" s="233"/>
      <c r="AP49" s="233"/>
      <c r="AQ49" s="233"/>
      <c r="AR49" s="236">
        <f>_xlfn.XLOOKUP(D49,'Modelling New'!$D:$D,'Modelling New'!$N:$N)</f>
        <v>130</v>
      </c>
      <c r="AS49" s="236">
        <f t="shared" si="8"/>
        <v>633580.12365886476</v>
      </c>
    </row>
    <row r="50" spans="1:45">
      <c r="A50" s="18">
        <f t="shared" si="9"/>
        <v>45793</v>
      </c>
      <c r="B50" s="29">
        <f>YEAR(Table13[[#This Row],[Date]])+IF(MONTH(Table13[[#This Row],[Date]])&gt;=4,1,0)</f>
        <v>2026</v>
      </c>
      <c r="C50" s="9">
        <f>YEAR(Table13[[#This Row],[Date]])</f>
        <v>2025</v>
      </c>
      <c r="D50" s="229">
        <f>Table13[[#This Row],[Date]]-DAY(Table13[[#This Row],[Date]])+1</f>
        <v>45778</v>
      </c>
      <c r="E50" s="9">
        <f t="shared" si="5"/>
        <v>31</v>
      </c>
      <c r="F50" s="199">
        <f>IFERROR(_xlfn.XLOOKUP($A50,Input_Raw!$A:$A,Input_Raw!$FC:$FC),"")</f>
        <v>12.9</v>
      </c>
      <c r="G50" s="200">
        <f>IFERROR(_xlfn.XLOOKUP($A50,Input_Raw!$A:$A,Input_Raw!$CY:$CY),"")</f>
        <v>4.7998345249999925</v>
      </c>
      <c r="H50" s="200">
        <f>IFERROR(_xlfn.XLOOKUP($A50,Input_Raw!$A:$A,Input_Raw!$DA:$DA),"")</f>
        <v>0.72242025833283319</v>
      </c>
      <c r="I50" s="200">
        <f>IFERROR(_xlfn.XLOOKUP($A50,Input_Raw!$A:$A,Input_Raw!$CX:$CX),"")</f>
        <v>4.7411628333333358</v>
      </c>
      <c r="J50" s="200">
        <f>IFERROR(_xlfn.XLOOKUP($A50,Input_Raw!$A:$A,Input_Raw!$CZ:$CZ),"")</f>
        <v>0.63962021666666635</v>
      </c>
      <c r="K50" s="201">
        <f>IFERROR(_xlfn.XLOOKUP($A50,Input_Raw!$A:$A,Input_Raw!$DB:$DB),"")</f>
        <v>29.74551437544234</v>
      </c>
      <c r="L50" s="201">
        <f>IFERROR(_xlfn.XLOOKUP($A50,Input_Raw!$A:$A,Input_Raw!$DC:$DC),"")</f>
        <v>40.682402419497471</v>
      </c>
      <c r="M50" s="200">
        <f>IFERROR(_xlfn.XLOOKUP($A50,Input_Raw!$A:$A,Input_Raw!$DF:$DF),"")</f>
        <v>1.2140760483014852</v>
      </c>
      <c r="N50" s="200">
        <f>IFERROR(_xlfn.XLOOKUP($A50,Input_Raw!$A:$A,Input_Raw!$DG:$DG),"")</f>
        <v>4.6814999999999998</v>
      </c>
      <c r="O50" s="230">
        <f>IFERROR(1-(SUMIF(Plant_BD!$B:$B,$A50,Plant_BD!$AL:$AL)/($AA50+SUMIF(Plant_BD!$B:$B,$A50,Plant_BD!$AL:$AL))),"")</f>
        <v>0.97498227075860455</v>
      </c>
      <c r="P50" s="230"/>
      <c r="Q50" s="231">
        <f>IFERROR(1-(SUMIF(Grid_BD!$B:$B,$A50,Grid_BD!$V:$V)/($AA50+SUMIF(Grid_BD!$B:$B,$A50,Grid_BD!$V:$V))),"")</f>
        <v>1</v>
      </c>
      <c r="R50" s="230">
        <f>IFERROR(1-(SUMIF(Grid_BD!$B:$B,$A50,Grid_BD!$V:$V)/($AA50+SUMIF(Grid_BD!$B:$B,$A50,Grid_BD!$V:$V))),"")</f>
        <v>1</v>
      </c>
      <c r="S50" s="9"/>
      <c r="T50" s="231"/>
      <c r="U50" s="232">
        <f t="shared" si="6"/>
        <v>0.84056660738921651</v>
      </c>
      <c r="V50" s="232" t="str">
        <f>IFERROR(_xlfn.XLOOKUP($A50,Input_Raw!$A:$A,Input_Raw!$FG:$FG),"")</f>
        <v/>
      </c>
      <c r="W50" s="233">
        <f t="shared" si="7"/>
        <v>0.14561538461538867</v>
      </c>
      <c r="X50" s="29">
        <f>IFERROR(_xlfn.XLOOKUP($A50,Input_Raw!$A:$A,Input_Raw!$DP:$DP),"")</f>
        <v>462903.8</v>
      </c>
      <c r="Y50" s="29">
        <f>IFERROR(_xlfn.XLOOKUP($A50,Input_Raw!$A:$A,Input_Raw!EW:EW),"")</f>
        <v>457056.00000001257</v>
      </c>
      <c r="Z50" s="29">
        <f>IFERROR(_xlfn.XLOOKUP($A50,Input_Raw!$A:$A,Input_Raw!EX:EX),"")</f>
        <v>2735.9999999999673</v>
      </c>
      <c r="AA50" s="29">
        <f>IFERROR(_xlfn.XLOOKUP($A50,Input_Raw!$A:$A,Input_Raw!FA:FA),"")</f>
        <v>454320.00000001263</v>
      </c>
      <c r="AB50" s="9">
        <f>IFERROR(_xlfn.XLOOKUP($A50,Input_Raw!$A:$A,Input_Raw!FD:FD),"")</f>
        <v>114</v>
      </c>
      <c r="AC50" s="185">
        <f>IFERROR(_xlfn.XLOOKUP($D50,'Modelling New'!$D:$D,'Modelling New'!P:P),"")</f>
        <v>6.8903225806451607</v>
      </c>
      <c r="AD50" s="29">
        <f>IFERROR(_xlfn.XLOOKUP($D50,'Modelling New'!$D:$D,'Modelling New'!T:T)*1000,"")</f>
        <v>722503.64978642471</v>
      </c>
      <c r="AE50" s="233">
        <f>IFERROR(_xlfn.XLOOKUP($D50,'Modelling New'!$D:$D,'Modelling New'!O:O),"")</f>
        <v>0.806597995656121</v>
      </c>
      <c r="AF50" s="233">
        <f>IFERROR(_xlfn.XLOOKUP($D50,'Modelling New'!$D:$D,'Modelling New'!W:W),"")</f>
        <v>0.23157168262385408</v>
      </c>
      <c r="AG50" s="233">
        <f>IFERROR(_xlfn.XLOOKUP($D50,'Modelling New'!$D:$D,'Modelling New'!AE:AE),"")</f>
        <v>0.995</v>
      </c>
      <c r="AH50" s="234">
        <f>IFERROR(_xlfn.XLOOKUP($D50,'Modelling New'!$D:$D,'Modelling New'!AF:AF),"")</f>
        <v>0.995</v>
      </c>
      <c r="AI50" s="9"/>
      <c r="AJ50" s="9"/>
      <c r="AK50" s="258"/>
      <c r="AL50" s="258"/>
      <c r="AM50" s="258"/>
      <c r="AN50" s="235"/>
      <c r="AO50" s="233"/>
      <c r="AP50" s="233"/>
      <c r="AQ50" s="233"/>
      <c r="AR50" s="236">
        <f>_xlfn.XLOOKUP(D50,'Modelling New'!$D:$D,'Modelling New'!$N:$N)</f>
        <v>130</v>
      </c>
      <c r="AS50" s="236">
        <f t="shared" si="8"/>
        <v>633580.12365886476</v>
      </c>
    </row>
    <row r="51" spans="1:45">
      <c r="A51" s="18">
        <f t="shared" si="9"/>
        <v>45794</v>
      </c>
      <c r="B51" s="29">
        <f>YEAR(Table13[[#This Row],[Date]])+IF(MONTH(Table13[[#This Row],[Date]])&gt;=4,1,0)</f>
        <v>2026</v>
      </c>
      <c r="C51" s="9">
        <f>YEAR(Table13[[#This Row],[Date]])</f>
        <v>2025</v>
      </c>
      <c r="D51" s="229">
        <f>Table13[[#This Row],[Date]]-DAY(Table13[[#This Row],[Date]])+1</f>
        <v>45778</v>
      </c>
      <c r="E51" s="9">
        <f t="shared" si="5"/>
        <v>31</v>
      </c>
      <c r="F51" s="199">
        <f>IFERROR(_xlfn.XLOOKUP($A51,Input_Raw!$A:$A,Input_Raw!$FC:$FC),"")</f>
        <v>12.9</v>
      </c>
      <c r="G51" s="185">
        <f>IFERROR(_xlfn.XLOOKUP($A51,Input_Raw!$A:$A,Input_Raw!$CY:$CY),"")</f>
        <v>4.5853345249999897</v>
      </c>
      <c r="H51" s="185">
        <f>IFERROR(_xlfn.XLOOKUP($A51,Input_Raw!$A:$A,Input_Raw!$DA:$DA),"")</f>
        <v>0.66042025833283291</v>
      </c>
      <c r="I51" s="185">
        <f>IFERROR(_xlfn.XLOOKUP($A51,Input_Raw!$A:$A,Input_Raw!$CX:$CX),"")</f>
        <v>4.3351628333333352</v>
      </c>
      <c r="J51" s="185">
        <f>IFERROR(_xlfn.XLOOKUP($A51,Input_Raw!$A:$A,Input_Raw!$CZ:$CZ),"")</f>
        <v>0.57112021666666646</v>
      </c>
      <c r="K51" s="201">
        <f>IFERROR(_xlfn.XLOOKUP($A51,Input_Raw!$A:$A,Input_Raw!$DB:$DB),"")</f>
        <v>29.745014375442349</v>
      </c>
      <c r="L51" s="201">
        <f>IFERROR(_xlfn.XLOOKUP($A51,Input_Raw!$A:$A,Input_Raw!$DC:$DC),"")</f>
        <v>40.640402419497448</v>
      </c>
      <c r="M51" s="200">
        <f>IFERROR(_xlfn.XLOOKUP($A51,Input_Raw!$A:$A,Input_Raw!$DF:$DF),"")</f>
        <v>1.2005760483014849</v>
      </c>
      <c r="N51" s="200">
        <f>IFERROR(_xlfn.XLOOKUP($A51,Input_Raw!$A:$A,Input_Raw!$DG:$DG),"")</f>
        <v>4.58</v>
      </c>
      <c r="O51" s="230">
        <f>IFERROR(1-(SUMIF(Plant_BD!$B:$B,$A51,Plant_BD!$AL:$AL)/($AA51+SUMIF(Plant_BD!$B:$B,$A51,Plant_BD!$AL:$AL))),"")</f>
        <v>1</v>
      </c>
      <c r="P51" s="230"/>
      <c r="Q51" s="231">
        <f>IFERROR(1-(SUMIF(Grid_BD!$B:$B,$A51,Grid_BD!$V:$V)/($AA51+SUMIF(Grid_BD!$B:$B,$A51,Grid_BD!$V:$V))),"")</f>
        <v>1</v>
      </c>
      <c r="R51" s="230">
        <f>IFERROR(1-(SUMIF(Grid_BD!$B:$B,$A51,Grid_BD!$V:$V)/($AA51+SUMIF(Grid_BD!$B:$B,$A51,Grid_BD!$V:$V))),"")</f>
        <v>1</v>
      </c>
      <c r="S51" s="9"/>
      <c r="T51" s="231"/>
      <c r="U51" s="232">
        <f t="shared" si="6"/>
        <v>1.1995907080225623</v>
      </c>
      <c r="V51" s="232" t="str">
        <f>IFERROR(_xlfn.XLOOKUP($A51,Input_Raw!$A:$A,Input_Raw!$FG:$FG),"")</f>
        <v/>
      </c>
      <c r="W51" s="233">
        <f t="shared" si="7"/>
        <v>0.19001538461537923</v>
      </c>
      <c r="X51" s="29">
        <f>IFERROR(_xlfn.XLOOKUP($A51,Input_Raw!$A:$A,Input_Raw!$DP:$DP),"")</f>
        <v>606789.69999999995</v>
      </c>
      <c r="Y51" s="29">
        <f>IFERROR(_xlfn.XLOOKUP($A51,Input_Raw!$A:$A,Input_Raw!EW:EW),"")</f>
        <v>594431.99999998324</v>
      </c>
      <c r="Z51" s="29">
        <f>IFERROR(_xlfn.XLOOKUP($A51,Input_Raw!$A:$A,Input_Raw!EX:EX),"")</f>
        <v>1584.0000000000327</v>
      </c>
      <c r="AA51" s="29">
        <f>IFERROR(_xlfn.XLOOKUP($A51,Input_Raw!$A:$A,Input_Raw!FA:FA),"")</f>
        <v>592847.99999998324</v>
      </c>
      <c r="AB51" s="9">
        <f>IFERROR(_xlfn.XLOOKUP($A51,Input_Raw!$A:$A,Input_Raw!FD:FD),"")</f>
        <v>114</v>
      </c>
      <c r="AC51" s="185">
        <f>IFERROR(_xlfn.XLOOKUP($D51,'Modelling New'!$D:$D,'Modelling New'!P:P),"")</f>
        <v>6.8903225806451607</v>
      </c>
      <c r="AD51" s="29">
        <f>IFERROR(_xlfn.XLOOKUP($D51,'Modelling New'!$D:$D,'Modelling New'!T:T)*1000,"")</f>
        <v>722503.64978642471</v>
      </c>
      <c r="AE51" s="233">
        <f>IFERROR(_xlfn.XLOOKUP($D51,'Modelling New'!$D:$D,'Modelling New'!O:O),"")</f>
        <v>0.806597995656121</v>
      </c>
      <c r="AF51" s="233">
        <f>IFERROR(_xlfn.XLOOKUP($D51,'Modelling New'!$D:$D,'Modelling New'!W:W),"")</f>
        <v>0.23157168262385408</v>
      </c>
      <c r="AG51" s="233">
        <f>IFERROR(_xlfn.XLOOKUP($D51,'Modelling New'!$D:$D,'Modelling New'!AE:AE),"")</f>
        <v>0.995</v>
      </c>
      <c r="AH51" s="234">
        <f>IFERROR(_xlfn.XLOOKUP($D51,'Modelling New'!$D:$D,'Modelling New'!AF:AF),"")</f>
        <v>0.995</v>
      </c>
      <c r="AI51" s="9"/>
      <c r="AJ51" s="9"/>
      <c r="AK51" s="258"/>
      <c r="AL51" s="258"/>
      <c r="AM51" s="258"/>
      <c r="AN51" s="235"/>
      <c r="AO51" s="233"/>
      <c r="AP51" s="233"/>
      <c r="AQ51" s="233"/>
      <c r="AR51" s="236">
        <f>_xlfn.XLOOKUP(D51,'Modelling New'!$D:$D,'Modelling New'!$N:$N)</f>
        <v>130</v>
      </c>
      <c r="AS51" s="236">
        <f t="shared" si="8"/>
        <v>633580.12365886476</v>
      </c>
    </row>
    <row r="52" spans="1:45">
      <c r="A52" s="18">
        <f t="shared" si="9"/>
        <v>45795</v>
      </c>
      <c r="B52" s="29">
        <f>YEAR(Table13[[#This Row],[Date]])+IF(MONTH(Table13[[#This Row],[Date]])&gt;=4,1,0)</f>
        <v>2026</v>
      </c>
      <c r="C52" s="9">
        <f>YEAR(Table13[[#This Row],[Date]])</f>
        <v>2025</v>
      </c>
      <c r="D52" s="229">
        <f>Table13[[#This Row],[Date]]-DAY(Table13[[#This Row],[Date]])+1</f>
        <v>45778</v>
      </c>
      <c r="E52" s="9">
        <f t="shared" si="5"/>
        <v>31</v>
      </c>
      <c r="F52" s="199">
        <f>IFERROR(_xlfn.XLOOKUP($A52,Input_Raw!$A:$A,Input_Raw!$FC:$FC),"")</f>
        <v>12.9</v>
      </c>
      <c r="G52" s="200">
        <f>IFERROR(_xlfn.XLOOKUP($A52,Input_Raw!$A:$A,Input_Raw!$CY:$CY),"")</f>
        <v>5.8417184000000013</v>
      </c>
      <c r="H52" s="200">
        <f>IFERROR(_xlfn.XLOOKUP($A52,Input_Raw!$A:$A,Input_Raw!$DA:$DA),"")</f>
        <v>1.0630442583333319</v>
      </c>
      <c r="I52" s="200">
        <f>IFERROR(_xlfn.XLOOKUP($A52,Input_Raw!$A:$A,Input_Raw!$CX:$CX),"")</f>
        <v>5.7215290083333281</v>
      </c>
      <c r="J52" s="200">
        <f>IFERROR(_xlfn.XLOOKUP($A52,Input_Raw!$A:$A,Input_Raw!$CZ:$CZ),"")</f>
        <v>0.80572659166666649</v>
      </c>
      <c r="K52" s="201">
        <f>IFERROR(_xlfn.XLOOKUP($A52,Input_Raw!$A:$A,Input_Raw!$DB:$DB),"")</f>
        <v>30.909737474224279</v>
      </c>
      <c r="L52" s="201">
        <f>IFERROR(_xlfn.XLOOKUP($A52,Input_Raw!$A:$A,Input_Raw!$DC:$DC),"")</f>
        <v>44.789630650408462</v>
      </c>
      <c r="M52" s="200">
        <f>IFERROR(_xlfn.XLOOKUP($A52,Input_Raw!$A:$A,Input_Raw!$DF:$DF),"")</f>
        <v>1.3010270344375765</v>
      </c>
      <c r="N52" s="200">
        <f>IFERROR(_xlfn.XLOOKUP($A52,Input_Raw!$A:$A,Input_Raw!$DG:$DG),"")</f>
        <v>6.1890000000000001</v>
      </c>
      <c r="O52" s="230">
        <f>IFERROR(1-(SUMIF(Plant_BD!$B:$B,$A52,Plant_BD!$AL:$AL)/($AA52+SUMIF(Plant_BD!$B:$B,$A52,Plant_BD!$AL:$AL))),"")</f>
        <v>0.99123751560253615</v>
      </c>
      <c r="P52" s="230"/>
      <c r="Q52" s="231">
        <f>IFERROR(1-(SUMIF(Grid_BD!$B:$B,$A52,Grid_BD!$V:$V)/($AA52+SUMIF(Grid_BD!$B:$B,$A52,Grid_BD!$V:$V))),"")</f>
        <v>1</v>
      </c>
      <c r="R52" s="230">
        <f>IFERROR(1-(SUMIF(Grid_BD!$B:$B,$A52,Grid_BD!$V:$V)/($AA52+SUMIF(Grid_BD!$B:$B,$A52,Grid_BD!$V:$V))),"")</f>
        <v>1</v>
      </c>
      <c r="S52" s="9"/>
      <c r="T52" s="231"/>
      <c r="U52" s="232">
        <f t="shared" si="6"/>
        <v>0.87370829740446387</v>
      </c>
      <c r="V52" s="232" t="str">
        <f>IFERROR(_xlfn.XLOOKUP($A52,Input_Raw!$A:$A,Input_Raw!$FG:$FG),"")</f>
        <v/>
      </c>
      <c r="W52" s="233">
        <f t="shared" si="7"/>
        <v>0.18265384615385019</v>
      </c>
      <c r="X52" s="29">
        <f>IFERROR(_xlfn.XLOOKUP($A52,Input_Raw!$A:$A,Input_Raw!$DP:$DP),"")</f>
        <v>582603.19999999995</v>
      </c>
      <c r="Y52" s="29">
        <f>IFERROR(_xlfn.XLOOKUP($A52,Input_Raw!$A:$A,Input_Raw!EW:EW),"")</f>
        <v>571536.00000001257</v>
      </c>
      <c r="Z52" s="29">
        <f>IFERROR(_xlfn.XLOOKUP($A52,Input_Raw!$A:$A,Input_Raw!EX:EX),"")</f>
        <v>1655.9999999999673</v>
      </c>
      <c r="AA52" s="29">
        <f>IFERROR(_xlfn.XLOOKUP($A52,Input_Raw!$A:$A,Input_Raw!FA:FA),"")</f>
        <v>569880.00000001257</v>
      </c>
      <c r="AB52" s="9">
        <f>IFERROR(_xlfn.XLOOKUP($A52,Input_Raw!$A:$A,Input_Raw!FD:FD),"")</f>
        <v>114</v>
      </c>
      <c r="AC52" s="185">
        <f>IFERROR(_xlfn.XLOOKUP($D52,'Modelling New'!$D:$D,'Modelling New'!P:P),"")</f>
        <v>6.8903225806451607</v>
      </c>
      <c r="AD52" s="29">
        <f>IFERROR(_xlfn.XLOOKUP($D52,'Modelling New'!$D:$D,'Modelling New'!T:T)*1000,"")</f>
        <v>722503.64978642471</v>
      </c>
      <c r="AE52" s="233">
        <f>IFERROR(_xlfn.XLOOKUP($D52,'Modelling New'!$D:$D,'Modelling New'!O:O),"")</f>
        <v>0.806597995656121</v>
      </c>
      <c r="AF52" s="233">
        <f>IFERROR(_xlfn.XLOOKUP($D52,'Modelling New'!$D:$D,'Modelling New'!W:W),"")</f>
        <v>0.23157168262385408</v>
      </c>
      <c r="AG52" s="233">
        <f>IFERROR(_xlfn.XLOOKUP($D52,'Modelling New'!$D:$D,'Modelling New'!AE:AE),"")</f>
        <v>0.995</v>
      </c>
      <c r="AH52" s="234">
        <f>IFERROR(_xlfn.XLOOKUP($D52,'Modelling New'!$D:$D,'Modelling New'!AF:AF),"")</f>
        <v>0.995</v>
      </c>
      <c r="AI52" s="9"/>
      <c r="AJ52" s="9"/>
      <c r="AK52" s="258"/>
      <c r="AL52" s="258"/>
      <c r="AM52" s="258"/>
      <c r="AN52" s="235"/>
      <c r="AO52" s="233"/>
      <c r="AP52" s="233"/>
      <c r="AQ52" s="233"/>
      <c r="AR52" s="236">
        <f>_xlfn.XLOOKUP(D52,'Modelling New'!$D:$D,'Modelling New'!$N:$N)</f>
        <v>130</v>
      </c>
      <c r="AS52" s="236">
        <f t="shared" si="8"/>
        <v>633580.12365886476</v>
      </c>
    </row>
    <row r="53" spans="1:45">
      <c r="A53" s="18">
        <f t="shared" si="9"/>
        <v>45796</v>
      </c>
      <c r="B53" s="29">
        <f>YEAR(Table13[[#This Row],[Date]])+IF(MONTH(Table13[[#This Row],[Date]])&gt;=4,1,0)</f>
        <v>2026</v>
      </c>
      <c r="C53" s="9">
        <f>YEAR(Table13[[#This Row],[Date]])</f>
        <v>2025</v>
      </c>
      <c r="D53" s="229">
        <f>Table13[[#This Row],[Date]]-DAY(Table13[[#This Row],[Date]])+1</f>
        <v>45778</v>
      </c>
      <c r="E53" s="9">
        <f t="shared" si="5"/>
        <v>31</v>
      </c>
      <c r="F53" s="199">
        <f>IFERROR(_xlfn.XLOOKUP($A53,Input_Raw!$A:$A,Input_Raw!$FC:$FC),"")</f>
        <v>12.9</v>
      </c>
      <c r="G53" s="185">
        <f>IFERROR(_xlfn.XLOOKUP($A53,Input_Raw!$A:$A,Input_Raw!$CY:$CY),"")</f>
        <v>5.4376280416666631</v>
      </c>
      <c r="H53" s="185">
        <f>IFERROR(_xlfn.XLOOKUP($A53,Input_Raw!$A:$A,Input_Raw!$DA:$DA),"")</f>
        <v>0.97585424166666601</v>
      </c>
      <c r="I53" s="185">
        <f>IFERROR(_xlfn.XLOOKUP($A53,Input_Raw!$A:$A,Input_Raw!$CX:$CX),"")</f>
        <v>5.3823629666666601</v>
      </c>
      <c r="J53" s="185">
        <f>IFERROR(_xlfn.XLOOKUP($A53,Input_Raw!$A:$A,Input_Raw!$CZ:$CZ),"")</f>
        <v>0.73666378333333382</v>
      </c>
      <c r="K53" s="201">
        <f>IFERROR(_xlfn.XLOOKUP($A53,Input_Raw!$A:$A,Input_Raw!$DB:$DB),"")</f>
        <v>31.407776614500797</v>
      </c>
      <c r="L53" s="201">
        <f>IFERROR(_xlfn.XLOOKUP($A53,Input_Raw!$A:$A,Input_Raw!$DC:$DC),"")</f>
        <v>44.880390433424921</v>
      </c>
      <c r="M53" s="200">
        <f>IFERROR(_xlfn.XLOOKUP($A53,Input_Raw!$A:$A,Input_Raw!$DF:$DF),"")</f>
        <v>1.142311446242481</v>
      </c>
      <c r="N53" s="200">
        <f>IFERROR(_xlfn.XLOOKUP($A53,Input_Raw!$A:$A,Input_Raw!$DG:$DG),"")</f>
        <v>4.5194999999999999</v>
      </c>
      <c r="O53" s="230">
        <f>IFERROR(1-(SUMIF(Plant_BD!$B:$B,$A53,Plant_BD!$AL:$AL)/($AA53+SUMIF(Plant_BD!$B:$B,$A53,Plant_BD!$AL:$AL))),"")</f>
        <v>0.99309735501694152</v>
      </c>
      <c r="P53" s="230"/>
      <c r="Q53" s="231">
        <f>IFERROR(1-(SUMIF(Grid_BD!$B:$B,$A53,Grid_BD!$V:$V)/($AA53+SUMIF(Grid_BD!$B:$B,$A53,Grid_BD!$V:$V))),"")</f>
        <v>1</v>
      </c>
      <c r="R53" s="230">
        <f>IFERROR(1-(SUMIF(Grid_BD!$B:$B,$A53,Grid_BD!$V:$V)/($AA53+SUMIF(Grid_BD!$B:$B,$A53,Grid_BD!$V:$V))),"")</f>
        <v>1</v>
      </c>
      <c r="S53" s="9"/>
      <c r="T53" s="231"/>
      <c r="U53" s="232">
        <f t="shared" si="6"/>
        <v>0.81996624150685649</v>
      </c>
      <c r="V53" s="232" t="str">
        <f>IFERROR(_xlfn.XLOOKUP($A53,Input_Raw!$A:$A,Input_Raw!$FG:$FG),"")</f>
        <v/>
      </c>
      <c r="W53" s="233">
        <f t="shared" si="7"/>
        <v>0.1669153846153833</v>
      </c>
      <c r="X53" s="29">
        <f>IFERROR(_xlfn.XLOOKUP($A53,Input_Raw!$A:$A,Input_Raw!$DP:$DP),"")</f>
        <v>540174.10000000009</v>
      </c>
      <c r="Y53" s="29">
        <f>IFERROR(_xlfn.XLOOKUP($A53,Input_Raw!$A:$A,Input_Raw!EW:EW),"")</f>
        <v>523727.99999999581</v>
      </c>
      <c r="Z53" s="29">
        <f>IFERROR(_xlfn.XLOOKUP($A53,Input_Raw!$A:$A,Input_Raw!EX:EX),"")</f>
        <v>2951.9999999999345</v>
      </c>
      <c r="AA53" s="29">
        <f>IFERROR(_xlfn.XLOOKUP($A53,Input_Raw!$A:$A,Input_Raw!FA:FA),"")</f>
        <v>520775.99999999587</v>
      </c>
      <c r="AB53" s="9">
        <f>IFERROR(_xlfn.XLOOKUP($A53,Input_Raw!$A:$A,Input_Raw!FD:FD),"")</f>
        <v>118</v>
      </c>
      <c r="AC53" s="185">
        <f>IFERROR(_xlfn.XLOOKUP($D53,'Modelling New'!$D:$D,'Modelling New'!P:P),"")</f>
        <v>6.8903225806451607</v>
      </c>
      <c r="AD53" s="29">
        <f>IFERROR(_xlfn.XLOOKUP($D53,'Modelling New'!$D:$D,'Modelling New'!T:T)*1000,"")</f>
        <v>722503.64978642471</v>
      </c>
      <c r="AE53" s="233">
        <f>IFERROR(_xlfn.XLOOKUP($D53,'Modelling New'!$D:$D,'Modelling New'!O:O),"")</f>
        <v>0.806597995656121</v>
      </c>
      <c r="AF53" s="233">
        <f>IFERROR(_xlfn.XLOOKUP($D53,'Modelling New'!$D:$D,'Modelling New'!W:W),"")</f>
        <v>0.23157168262385408</v>
      </c>
      <c r="AG53" s="233">
        <f>IFERROR(_xlfn.XLOOKUP($D53,'Modelling New'!$D:$D,'Modelling New'!AE:AE),"")</f>
        <v>0.995</v>
      </c>
      <c r="AH53" s="234">
        <f>IFERROR(_xlfn.XLOOKUP($D53,'Modelling New'!$D:$D,'Modelling New'!AF:AF),"")</f>
        <v>0.995</v>
      </c>
      <c r="AI53" s="9"/>
      <c r="AJ53" s="9"/>
      <c r="AK53" s="258"/>
      <c r="AL53" s="258"/>
      <c r="AM53" s="258"/>
      <c r="AN53" s="235"/>
      <c r="AO53" s="233"/>
      <c r="AP53" s="233"/>
      <c r="AQ53" s="233"/>
      <c r="AR53" s="236">
        <f>_xlfn.XLOOKUP(D53,'Modelling New'!$D:$D,'Modelling New'!$N:$N)</f>
        <v>130</v>
      </c>
      <c r="AS53" s="236">
        <f t="shared" si="8"/>
        <v>655811.00519075477</v>
      </c>
    </row>
    <row r="54" spans="1:45">
      <c r="A54" s="18">
        <f t="shared" si="9"/>
        <v>45797</v>
      </c>
      <c r="B54" s="29">
        <f>YEAR(Table13[[#This Row],[Date]])+IF(MONTH(Table13[[#This Row],[Date]])&gt;=4,1,0)</f>
        <v>2026</v>
      </c>
      <c r="C54" s="9">
        <f>YEAR(Table13[[#This Row],[Date]])</f>
        <v>2025</v>
      </c>
      <c r="D54" s="229">
        <f>Table13[[#This Row],[Date]]-DAY(Table13[[#This Row],[Date]])+1</f>
        <v>45778</v>
      </c>
      <c r="E54" s="9">
        <f t="shared" si="5"/>
        <v>31</v>
      </c>
      <c r="F54" s="199">
        <f>IFERROR(_xlfn.XLOOKUP($A54,Input_Raw!$A:$A,Input_Raw!$FC:$FC),"")</f>
        <v>12.9</v>
      </c>
      <c r="G54" s="200">
        <f>IFERROR(_xlfn.XLOOKUP($A54,Input_Raw!$A:$A,Input_Raw!$CY:$CY),"")</f>
        <v>4.4093042916666647</v>
      </c>
      <c r="H54" s="200">
        <f>IFERROR(_xlfn.XLOOKUP($A54,Input_Raw!$A:$A,Input_Raw!$DA:$DA),"")</f>
        <v>0.74484316666666617</v>
      </c>
      <c r="I54" s="200">
        <f>IFERROR(_xlfn.XLOOKUP($A54,Input_Raw!$A:$A,Input_Raw!$CX:$CX),"")</f>
        <v>4.2949318333333331</v>
      </c>
      <c r="J54" s="200">
        <f>IFERROR(_xlfn.XLOOKUP($A54,Input_Raw!$A:$A,Input_Raw!$CZ:$CZ),"")</f>
        <v>0.55376820833333373</v>
      </c>
      <c r="K54" s="201">
        <f>IFERROR(_xlfn.XLOOKUP($A54,Input_Raw!$A:$A,Input_Raw!$DB:$DB),"")</f>
        <v>30.98289087205039</v>
      </c>
      <c r="L54" s="201">
        <f>IFERROR(_xlfn.XLOOKUP($A54,Input_Raw!$A:$A,Input_Raw!$DC:$DC),"")</f>
        <v>41.981150643283982</v>
      </c>
      <c r="M54" s="200">
        <f>IFERROR(_xlfn.XLOOKUP($A54,Input_Raw!$A:$A,Input_Raw!$DF:$DF),"")</f>
        <v>0.94515163108005584</v>
      </c>
      <c r="N54" s="200">
        <f>IFERROR(_xlfn.XLOOKUP($A54,Input_Raw!$A:$A,Input_Raw!$DG:$DG),"")</f>
        <v>2.3985000000000003</v>
      </c>
      <c r="O54" s="230">
        <f>IFERROR(1-(SUMIF(Plant_BD!$B:$B,$A54,Plant_BD!$AL:$AL)/($AA54+SUMIF(Plant_BD!$B:$B,$A54,Plant_BD!$AL:$AL))),"")</f>
        <v>1</v>
      </c>
      <c r="P54" s="230"/>
      <c r="Q54" s="231">
        <f>IFERROR(1-(SUMIF(Grid_BD!$B:$B,$A54,Grid_BD!$V:$V)/($AA54+SUMIF(Grid_BD!$B:$B,$A54,Grid_BD!$V:$V))),"")</f>
        <v>1</v>
      </c>
      <c r="R54" s="230">
        <f>IFERROR(1-(SUMIF(Grid_BD!$B:$B,$A54,Grid_BD!$V:$V)/($AA54+SUMIF(Grid_BD!$B:$B,$A54,Grid_BD!$V:$V))),"")</f>
        <v>1</v>
      </c>
      <c r="S54" s="9"/>
      <c r="T54" s="231"/>
      <c r="U54" s="232">
        <f t="shared" si="6"/>
        <v>0.86447969374418887</v>
      </c>
      <c r="V54" s="232" t="str">
        <f>IFERROR(_xlfn.XLOOKUP($A54,Input_Raw!$A:$A,Input_Raw!$FG:$FG),"")</f>
        <v/>
      </c>
      <c r="W54" s="233">
        <f t="shared" si="7"/>
        <v>0.14042307692307557</v>
      </c>
      <c r="X54" s="29">
        <f>IFERROR(_xlfn.XLOOKUP($A54,Input_Raw!$A:$A,Input_Raw!$DP:$DP),"")</f>
        <v>447367.60000000003</v>
      </c>
      <c r="Y54" s="29">
        <f>IFERROR(_xlfn.XLOOKUP($A54,Input_Raw!$A:$A,Input_Raw!EW:EW),"")</f>
        <v>441287.99999999581</v>
      </c>
      <c r="Z54" s="29">
        <f>IFERROR(_xlfn.XLOOKUP($A54,Input_Raw!$A:$A,Input_Raw!EX:EX),"")</f>
        <v>3168.0000000000655</v>
      </c>
      <c r="AA54" s="29">
        <f>IFERROR(_xlfn.XLOOKUP($A54,Input_Raw!$A:$A,Input_Raw!FA:FA),"")</f>
        <v>438119.99999999575</v>
      </c>
      <c r="AB54" s="9">
        <f>IFERROR(_xlfn.XLOOKUP($A54,Input_Raw!$A:$A,Input_Raw!FD:FD),"")</f>
        <v>118</v>
      </c>
      <c r="AC54" s="185">
        <f>IFERROR(_xlfn.XLOOKUP($D54,'Modelling New'!$D:$D,'Modelling New'!P:P),"")</f>
        <v>6.8903225806451607</v>
      </c>
      <c r="AD54" s="29">
        <f>IFERROR(_xlfn.XLOOKUP($D54,'Modelling New'!$D:$D,'Modelling New'!T:T)*1000,"")</f>
        <v>722503.64978642471</v>
      </c>
      <c r="AE54" s="233">
        <f>IFERROR(_xlfn.XLOOKUP($D54,'Modelling New'!$D:$D,'Modelling New'!O:O),"")</f>
        <v>0.806597995656121</v>
      </c>
      <c r="AF54" s="233">
        <f>IFERROR(_xlfn.XLOOKUP($D54,'Modelling New'!$D:$D,'Modelling New'!W:W),"")</f>
        <v>0.23157168262385408</v>
      </c>
      <c r="AG54" s="233">
        <f>IFERROR(_xlfn.XLOOKUP($D54,'Modelling New'!$D:$D,'Modelling New'!AE:AE),"")</f>
        <v>0.995</v>
      </c>
      <c r="AH54" s="234">
        <f>IFERROR(_xlfn.XLOOKUP($D54,'Modelling New'!$D:$D,'Modelling New'!AF:AF),"")</f>
        <v>0.995</v>
      </c>
      <c r="AI54" s="9"/>
      <c r="AJ54" s="9"/>
      <c r="AK54" s="258"/>
      <c r="AL54" s="258"/>
      <c r="AM54" s="258"/>
      <c r="AN54" s="235"/>
      <c r="AO54" s="233"/>
      <c r="AP54" s="233"/>
      <c r="AQ54" s="233"/>
      <c r="AR54" s="236">
        <f>_xlfn.XLOOKUP(D54,'Modelling New'!$D:$D,'Modelling New'!$N:$N)</f>
        <v>130</v>
      </c>
      <c r="AS54" s="236">
        <f t="shared" si="8"/>
        <v>655811.00519075477</v>
      </c>
    </row>
    <row r="55" spans="1:45">
      <c r="A55" s="18">
        <f t="shared" si="9"/>
        <v>45798</v>
      </c>
      <c r="B55" s="29">
        <f>YEAR(Table13[[#This Row],[Date]])+IF(MONTH(Table13[[#This Row],[Date]])&gt;=4,1,0)</f>
        <v>2026</v>
      </c>
      <c r="C55" s="9">
        <f>YEAR(Table13[[#This Row],[Date]])</f>
        <v>2025</v>
      </c>
      <c r="D55" s="229">
        <f>Table13[[#This Row],[Date]]-DAY(Table13[[#This Row],[Date]])+1</f>
        <v>45778</v>
      </c>
      <c r="E55" s="9">
        <f t="shared" si="5"/>
        <v>31</v>
      </c>
      <c r="F55" s="199">
        <f>IFERROR(_xlfn.XLOOKUP($A55,Input_Raw!$A:$A,Input_Raw!$FC:$FC),"")</f>
        <v>12.9</v>
      </c>
      <c r="G55" s="185">
        <f>IFERROR(_xlfn.XLOOKUP($A55,Input_Raw!$A:$A,Input_Raw!$CY:$CY),"")</f>
        <v>5.06894934166667</v>
      </c>
      <c r="H55" s="185">
        <f>IFERROR(_xlfn.XLOOKUP($A55,Input_Raw!$A:$A,Input_Raw!$DA:$DA),"")</f>
        <v>0.74667409999999923</v>
      </c>
      <c r="I55" s="185">
        <f>IFERROR(_xlfn.XLOOKUP($A55,Input_Raw!$A:$A,Input_Raw!$CX:$CX),"")</f>
        <v>4.938241274999994</v>
      </c>
      <c r="J55" s="185">
        <f>IFERROR(_xlfn.XLOOKUP($A55,Input_Raw!$A:$A,Input_Raw!$CZ:$CZ),"")</f>
        <v>0.54250147499999968</v>
      </c>
      <c r="K55" s="201">
        <f>IFERROR(_xlfn.XLOOKUP($A55,Input_Raw!$A:$A,Input_Raw!$DB:$DB),"")</f>
        <v>28.752469992060163</v>
      </c>
      <c r="L55" s="201">
        <f>IFERROR(_xlfn.XLOOKUP($A55,Input_Raw!$A:$A,Input_Raw!$DC:$DC),"")</f>
        <v>40.333250780785207</v>
      </c>
      <c r="M55" s="200">
        <f>IFERROR(_xlfn.XLOOKUP($A55,Input_Raw!$A:$A,Input_Raw!$DF:$DF),"")</f>
        <v>1.0779089504480626</v>
      </c>
      <c r="N55" s="200">
        <f>IFERROR(_xlfn.XLOOKUP($A55,Input_Raw!$A:$A,Input_Raw!$DG:$DG),"")</f>
        <v>5.6594999999999995</v>
      </c>
      <c r="O55" s="230">
        <f>IFERROR(1-(SUMIF(Plant_BD!$B:$B,$A55,Plant_BD!$AL:$AL)/($AA55+SUMIF(Plant_BD!$B:$B,$A55,Plant_BD!$AL:$AL))),"")</f>
        <v>0.95546352301678494</v>
      </c>
      <c r="P55" s="230"/>
      <c r="Q55" s="231">
        <f>IFERROR(1-(SUMIF(Grid_BD!$B:$B,$A55,Grid_BD!$V:$V)/($AA55+SUMIF(Grid_BD!$B:$B,$A55,Grid_BD!$V:$V))),"")</f>
        <v>1</v>
      </c>
      <c r="R55" s="230">
        <f>IFERROR(1-(SUMIF(Grid_BD!$B:$B,$A55,Grid_BD!$V:$V)/($AA55+SUMIF(Grid_BD!$B:$B,$A55,Grid_BD!$V:$V))),"")</f>
        <v>1</v>
      </c>
      <c r="S55" s="9"/>
      <c r="T55" s="231"/>
      <c r="U55" s="232">
        <f t="shared" si="6"/>
        <v>0.79980440377410233</v>
      </c>
      <c r="V55" s="232" t="str">
        <f>IFERROR(_xlfn.XLOOKUP($A55,Input_Raw!$A:$A,Input_Raw!$FG:$FG),"")</f>
        <v/>
      </c>
      <c r="W55" s="233">
        <f t="shared" si="7"/>
        <v>0.14937692307692174</v>
      </c>
      <c r="X55" s="29">
        <f>IFERROR(_xlfn.XLOOKUP($A55,Input_Raw!$A:$A,Input_Raw!$DP:$DP),"")</f>
        <v>474566.29999999993</v>
      </c>
      <c r="Y55" s="29">
        <f>IFERROR(_xlfn.XLOOKUP($A55,Input_Raw!$A:$A,Input_Raw!EW:EW),"")</f>
        <v>467927.99999999581</v>
      </c>
      <c r="Z55" s="29">
        <f>IFERROR(_xlfn.XLOOKUP($A55,Input_Raw!$A:$A,Input_Raw!EX:EX),"")</f>
        <v>1871.9999999999345</v>
      </c>
      <c r="AA55" s="29">
        <f>IFERROR(_xlfn.XLOOKUP($A55,Input_Raw!$A:$A,Input_Raw!FA:FA),"")</f>
        <v>466055.99999999587</v>
      </c>
      <c r="AB55" s="9">
        <f>IFERROR(_xlfn.XLOOKUP($A55,Input_Raw!$A:$A,Input_Raw!FD:FD),"")</f>
        <v>118</v>
      </c>
      <c r="AC55" s="185">
        <f>IFERROR(_xlfn.XLOOKUP($D55,'Modelling New'!$D:$D,'Modelling New'!P:P),"")</f>
        <v>6.8903225806451607</v>
      </c>
      <c r="AD55" s="29">
        <f>IFERROR(_xlfn.XLOOKUP($D55,'Modelling New'!$D:$D,'Modelling New'!T:T)*1000,"")</f>
        <v>722503.64978642471</v>
      </c>
      <c r="AE55" s="233">
        <f>IFERROR(_xlfn.XLOOKUP($D55,'Modelling New'!$D:$D,'Modelling New'!O:O),"")</f>
        <v>0.806597995656121</v>
      </c>
      <c r="AF55" s="233">
        <f>IFERROR(_xlfn.XLOOKUP($D55,'Modelling New'!$D:$D,'Modelling New'!W:W),"")</f>
        <v>0.23157168262385408</v>
      </c>
      <c r="AG55" s="233">
        <f>IFERROR(_xlfn.XLOOKUP($D55,'Modelling New'!$D:$D,'Modelling New'!AE:AE),"")</f>
        <v>0.995</v>
      </c>
      <c r="AH55" s="234">
        <f>IFERROR(_xlfn.XLOOKUP($D55,'Modelling New'!$D:$D,'Modelling New'!AF:AF),"")</f>
        <v>0.995</v>
      </c>
      <c r="AI55" s="9"/>
      <c r="AJ55" s="9"/>
      <c r="AK55" s="258"/>
      <c r="AL55" s="258"/>
      <c r="AM55" s="258"/>
      <c r="AN55" s="235"/>
      <c r="AO55" s="233"/>
      <c r="AP55" s="233"/>
      <c r="AQ55" s="233"/>
      <c r="AR55" s="236">
        <f>_xlfn.XLOOKUP(D55,'Modelling New'!$D:$D,'Modelling New'!$N:$N)</f>
        <v>130</v>
      </c>
      <c r="AS55" s="236">
        <f t="shared" si="8"/>
        <v>655811.00519075477</v>
      </c>
    </row>
    <row r="56" spans="1:45">
      <c r="A56" s="18">
        <f t="shared" si="9"/>
        <v>45799</v>
      </c>
      <c r="B56" s="29">
        <f>YEAR(Table13[[#This Row],[Date]])+IF(MONTH(Table13[[#This Row],[Date]])&gt;=4,1,0)</f>
        <v>2026</v>
      </c>
      <c r="C56" s="9">
        <f>YEAR(Table13[[#This Row],[Date]])</f>
        <v>2025</v>
      </c>
      <c r="D56" s="229">
        <f>Table13[[#This Row],[Date]]-DAY(Table13[[#This Row],[Date]])+1</f>
        <v>45778</v>
      </c>
      <c r="E56" s="9">
        <f t="shared" si="5"/>
        <v>31</v>
      </c>
      <c r="F56" s="199">
        <f>IFERROR(_xlfn.XLOOKUP($A56,Input_Raw!$A:$A,Input_Raw!$FC:$FC),"")</f>
        <v>12.533333333333335</v>
      </c>
      <c r="G56" s="200">
        <f>IFERROR(_xlfn.XLOOKUP($A56,Input_Raw!$A:$A,Input_Raw!$CY:$CY),"")</f>
        <v>6.3728733750000046</v>
      </c>
      <c r="H56" s="200">
        <f>IFERROR(_xlfn.XLOOKUP($A56,Input_Raw!$A:$A,Input_Raw!$DA:$DA),"")</f>
        <v>0.87286632500000061</v>
      </c>
      <c r="I56" s="200">
        <f>IFERROR(_xlfn.XLOOKUP($A56,Input_Raw!$A:$A,Input_Raw!$CX:$CX),"")</f>
        <v>6.2420594250000008</v>
      </c>
      <c r="J56" s="200">
        <f>IFERROR(_xlfn.XLOOKUP($A56,Input_Raw!$A:$A,Input_Raw!$CZ:$CZ),"")</f>
        <v>0.6650737166666667</v>
      </c>
      <c r="K56" s="201">
        <f>IFERROR(_xlfn.XLOOKUP($A56,Input_Raw!$A:$A,Input_Raw!$DB:$DB),"")</f>
        <v>27.727643723159545</v>
      </c>
      <c r="L56" s="201">
        <f>IFERROR(_xlfn.XLOOKUP($A56,Input_Raw!$A:$A,Input_Raw!$DC:$DC),"")</f>
        <v>40.738590036882627</v>
      </c>
      <c r="M56" s="200">
        <f>IFERROR(_xlfn.XLOOKUP($A56,Input_Raw!$A:$A,Input_Raw!$DF:$DF),"")</f>
        <v>0.91528808794035244</v>
      </c>
      <c r="N56" s="200">
        <f>IFERROR(_xlfn.XLOOKUP($A56,Input_Raw!$A:$A,Input_Raw!$DG:$DG),"")</f>
        <v>3.4965000000000002</v>
      </c>
      <c r="O56" s="230">
        <f>IFERROR(1-(SUMIF(Plant_BD!$B:$B,$A56,Plant_BD!$AL:$AL)/($AA56+SUMIF(Plant_BD!$B:$B,$A56,Plant_BD!$AL:$AL))),"")</f>
        <v>0.95336677741639175</v>
      </c>
      <c r="P56" s="230"/>
      <c r="Q56" s="231">
        <f>IFERROR(1-(SUMIF(Grid_BD!$B:$B,$A56,Grid_BD!$V:$V)/($AA56+SUMIF(Grid_BD!$B:$B,$A56,Grid_BD!$V:$V))),"")</f>
        <v>1</v>
      </c>
      <c r="R56" s="230">
        <f>IFERROR(1-(SUMIF(Grid_BD!$B:$B,$A56,Grid_BD!$V:$V)/($AA56+SUMIF(Grid_BD!$B:$B,$A56,Grid_BD!$V:$V))),"")</f>
        <v>1</v>
      </c>
      <c r="S56" s="9"/>
      <c r="T56" s="231"/>
      <c r="U56" s="232">
        <f t="shared" si="6"/>
        <v>0.76216697110725806</v>
      </c>
      <c r="V56" s="232" t="str">
        <f>IFERROR(_xlfn.XLOOKUP($A56,Input_Raw!$A:$A,Input_Raw!$FG:$FG),"")</f>
        <v/>
      </c>
      <c r="W56" s="233">
        <f t="shared" si="7"/>
        <v>0.17993076923077053</v>
      </c>
      <c r="X56" s="29">
        <f>IFERROR(_xlfn.XLOOKUP($A56,Input_Raw!$A:$A,Input_Raw!$DP:$DP),"")</f>
        <v>568018.19999999995</v>
      </c>
      <c r="Y56" s="29">
        <f>IFERROR(_xlfn.XLOOKUP($A56,Input_Raw!$A:$A,Input_Raw!EW:EW),"")</f>
        <v>563472.00000000419</v>
      </c>
      <c r="Z56" s="29">
        <f>IFERROR(_xlfn.XLOOKUP($A56,Input_Raw!$A:$A,Input_Raw!EX:EX),"")</f>
        <v>2088.0000000000655</v>
      </c>
      <c r="AA56" s="29">
        <f>IFERROR(_xlfn.XLOOKUP($A56,Input_Raw!$A:$A,Input_Raw!FA:FA),"")</f>
        <v>561384.00000000407</v>
      </c>
      <c r="AB56" s="9">
        <f>IFERROR(_xlfn.XLOOKUP($A56,Input_Raw!$A:$A,Input_Raw!FD:FD),"")</f>
        <v>118</v>
      </c>
      <c r="AC56" s="185">
        <f>IFERROR(_xlfn.XLOOKUP($D56,'Modelling New'!$D:$D,'Modelling New'!P:P),"")</f>
        <v>6.8903225806451607</v>
      </c>
      <c r="AD56" s="29">
        <f>IFERROR(_xlfn.XLOOKUP($D56,'Modelling New'!$D:$D,'Modelling New'!T:T)*1000,"")</f>
        <v>722503.64978642471</v>
      </c>
      <c r="AE56" s="233">
        <f>IFERROR(_xlfn.XLOOKUP($D56,'Modelling New'!$D:$D,'Modelling New'!O:O),"")</f>
        <v>0.806597995656121</v>
      </c>
      <c r="AF56" s="233">
        <f>IFERROR(_xlfn.XLOOKUP($D56,'Modelling New'!$D:$D,'Modelling New'!W:W),"")</f>
        <v>0.23157168262385408</v>
      </c>
      <c r="AG56" s="233">
        <f>IFERROR(_xlfn.XLOOKUP($D56,'Modelling New'!$D:$D,'Modelling New'!AE:AE),"")</f>
        <v>0.995</v>
      </c>
      <c r="AH56" s="234">
        <f>IFERROR(_xlfn.XLOOKUP($D56,'Modelling New'!$D:$D,'Modelling New'!AF:AF),"")</f>
        <v>0.995</v>
      </c>
      <c r="AI56" s="9"/>
      <c r="AJ56" s="9"/>
      <c r="AK56" s="258"/>
      <c r="AL56" s="258"/>
      <c r="AM56" s="258"/>
      <c r="AN56" s="235"/>
      <c r="AO56" s="233"/>
      <c r="AP56" s="233"/>
      <c r="AQ56" s="233"/>
      <c r="AR56" s="236">
        <f>_xlfn.XLOOKUP(D56,'Modelling New'!$D:$D,'Modelling New'!$N:$N)</f>
        <v>130</v>
      </c>
      <c r="AS56" s="236">
        <f t="shared" si="8"/>
        <v>655811.00519075477</v>
      </c>
    </row>
    <row r="57" spans="1:45">
      <c r="A57" s="18">
        <f t="shared" si="9"/>
        <v>45800</v>
      </c>
      <c r="B57" s="29">
        <f>YEAR(Table13[[#This Row],[Date]])+IF(MONTH(Table13[[#This Row],[Date]])&gt;=4,1,0)</f>
        <v>2026</v>
      </c>
      <c r="C57" s="9">
        <f>YEAR(Table13[[#This Row],[Date]])</f>
        <v>2025</v>
      </c>
      <c r="D57" s="229">
        <f>Table13[[#This Row],[Date]]-DAY(Table13[[#This Row],[Date]])+1</f>
        <v>45778</v>
      </c>
      <c r="E57" s="9">
        <f t="shared" si="5"/>
        <v>31</v>
      </c>
      <c r="F57" s="199">
        <f>IFERROR(_xlfn.XLOOKUP($A57,Input_Raw!$A:$A,Input_Raw!$FC:$FC),"")</f>
        <v>11.35</v>
      </c>
      <c r="G57" s="185">
        <f>IFERROR(_xlfn.XLOOKUP($A57,Input_Raw!$A:$A,Input_Raw!$CY:$CY),"")</f>
        <v>2.6958045833333331</v>
      </c>
      <c r="H57" s="185">
        <f>IFERROR(_xlfn.XLOOKUP($A57,Input_Raw!$A:$A,Input_Raw!$DA:$DA),"")</f>
        <v>0.37131239999999988</v>
      </c>
      <c r="I57" s="185">
        <f>IFERROR(_xlfn.XLOOKUP($A57,Input_Raw!$A:$A,Input_Raw!$CX:$CX),"")</f>
        <v>2.6424233416666665</v>
      </c>
      <c r="J57" s="185">
        <f>IFERROR(_xlfn.XLOOKUP($A57,Input_Raw!$A:$A,Input_Raw!$CZ:$CZ),"")</f>
        <v>0.2955788750000003</v>
      </c>
      <c r="K57" s="201">
        <f>IFERROR(_xlfn.XLOOKUP($A57,Input_Raw!$A:$A,Input_Raw!$DB:$DB),"")</f>
        <v>28.223681738524618</v>
      </c>
      <c r="L57" s="201">
        <f>IFERROR(_xlfn.XLOOKUP($A57,Input_Raw!$A:$A,Input_Raw!$DC:$DC),"")</f>
        <v>37.248613896141258</v>
      </c>
      <c r="M57" s="200">
        <f>IFERROR(_xlfn.XLOOKUP($A57,Input_Raw!$A:$A,Input_Raw!$DF:$DF),"")</f>
        <v>0.70151290862961069</v>
      </c>
      <c r="N57" s="200">
        <f>IFERROR(_xlfn.XLOOKUP($A57,Input_Raw!$A:$A,Input_Raw!$DG:$DG),"")</f>
        <v>2.0324999999999998</v>
      </c>
      <c r="O57" s="230">
        <f>IFERROR(1-(SUMIF(Plant_BD!$B:$B,$A57,Plant_BD!$AL:$AL)/($AA57+SUMIF(Plant_BD!$B:$B,$A57,Plant_BD!$AL:$AL))),"")</f>
        <v>0.95849020951193908</v>
      </c>
      <c r="P57" s="230"/>
      <c r="Q57" s="231">
        <f>IFERROR(1-(SUMIF(Grid_BD!$B:$B,$A57,Grid_BD!$V:$V)/($AA57+SUMIF(Grid_BD!$B:$B,$A57,Grid_BD!$V:$V))),"")</f>
        <v>1</v>
      </c>
      <c r="R57" s="230">
        <f>IFERROR(1-(SUMIF(Grid_BD!$B:$B,$A57,Grid_BD!$V:$V)/($AA57+SUMIF(Grid_BD!$B:$B,$A57,Grid_BD!$V:$V))),"")</f>
        <v>1</v>
      </c>
      <c r="S57" s="9"/>
      <c r="T57" s="231"/>
      <c r="U57" s="232">
        <f t="shared" si="6"/>
        <v>0.86569225591460064</v>
      </c>
      <c r="V57" s="232" t="str">
        <f>IFERROR(_xlfn.XLOOKUP($A57,Input_Raw!$A:$A,Input_Raw!$FG:$FG),"")</f>
        <v/>
      </c>
      <c r="W57" s="233">
        <f t="shared" si="7"/>
        <v>8.6515384615384633E-2</v>
      </c>
      <c r="X57" s="29">
        <f>IFERROR(_xlfn.XLOOKUP($A57,Input_Raw!$A:$A,Input_Raw!$DP:$DP),"")</f>
        <v>285555.5</v>
      </c>
      <c r="Y57" s="29">
        <f>IFERROR(_xlfn.XLOOKUP($A57,Input_Raw!$A:$A,Input_Raw!EW:EW),"")</f>
        <v>273240</v>
      </c>
      <c r="Z57" s="29">
        <f>IFERROR(_xlfn.XLOOKUP($A57,Input_Raw!$A:$A,Input_Raw!EX:EX),"")</f>
        <v>3311.9999999999345</v>
      </c>
      <c r="AA57" s="29">
        <f>IFERROR(_xlfn.XLOOKUP($A57,Input_Raw!$A:$A,Input_Raw!FA:FA),"")</f>
        <v>269928.00000000006</v>
      </c>
      <c r="AB57" s="9">
        <f>IFERROR(_xlfn.XLOOKUP($A57,Input_Raw!$A:$A,Input_Raw!FD:FD),"")</f>
        <v>118</v>
      </c>
      <c r="AC57" s="185">
        <f>IFERROR(_xlfn.XLOOKUP($D57,'Modelling New'!$D:$D,'Modelling New'!P:P),"")</f>
        <v>6.8903225806451607</v>
      </c>
      <c r="AD57" s="29">
        <f>IFERROR(_xlfn.XLOOKUP($D57,'Modelling New'!$D:$D,'Modelling New'!T:T)*1000,"")</f>
        <v>722503.64978642471</v>
      </c>
      <c r="AE57" s="233">
        <f>IFERROR(_xlfn.XLOOKUP($D57,'Modelling New'!$D:$D,'Modelling New'!O:O),"")</f>
        <v>0.806597995656121</v>
      </c>
      <c r="AF57" s="233">
        <f>IFERROR(_xlfn.XLOOKUP($D57,'Modelling New'!$D:$D,'Modelling New'!W:W),"")</f>
        <v>0.23157168262385408</v>
      </c>
      <c r="AG57" s="233">
        <f>IFERROR(_xlfn.XLOOKUP($D57,'Modelling New'!$D:$D,'Modelling New'!AE:AE),"")</f>
        <v>0.995</v>
      </c>
      <c r="AH57" s="234">
        <f>IFERROR(_xlfn.XLOOKUP($D57,'Modelling New'!$D:$D,'Modelling New'!AF:AF),"")</f>
        <v>0.995</v>
      </c>
      <c r="AI57" s="9"/>
      <c r="AJ57" s="9"/>
      <c r="AK57" s="258"/>
      <c r="AL57" s="258"/>
      <c r="AM57" s="258"/>
      <c r="AN57" s="235"/>
      <c r="AO57" s="233"/>
      <c r="AP57" s="233"/>
      <c r="AQ57" s="233"/>
      <c r="AR57" s="236">
        <f>_xlfn.XLOOKUP(D57,'Modelling New'!$D:$D,'Modelling New'!$N:$N)</f>
        <v>130</v>
      </c>
      <c r="AS57" s="236">
        <f t="shared" si="8"/>
        <v>655811.00519075477</v>
      </c>
    </row>
    <row r="58" spans="1:45">
      <c r="A58" s="18">
        <f t="shared" si="9"/>
        <v>45801</v>
      </c>
      <c r="B58" s="29">
        <f>YEAR(Table13[[#This Row],[Date]])+IF(MONTH(Table13[[#This Row],[Date]])&gt;=4,1,0)</f>
        <v>2026</v>
      </c>
      <c r="C58" s="9">
        <f>YEAR(Table13[[#This Row],[Date]])</f>
        <v>2025</v>
      </c>
      <c r="D58" s="229">
        <f>Table13[[#This Row],[Date]]-DAY(Table13[[#This Row],[Date]])+1</f>
        <v>45778</v>
      </c>
      <c r="E58" s="9">
        <f t="shared" si="5"/>
        <v>31</v>
      </c>
      <c r="F58" s="199">
        <f>IFERROR(_xlfn.XLOOKUP($A58,Input_Raw!$A:$A,Input_Raw!$FC:$FC),"")</f>
        <v>12.116666666666669</v>
      </c>
      <c r="G58" s="200">
        <f>IFERROR(_xlfn.XLOOKUP($A58,Input_Raw!$A:$A,Input_Raw!$CY:$CY),"")</f>
        <v>3.6094144499999992</v>
      </c>
      <c r="H58" s="200">
        <f>IFERROR(_xlfn.XLOOKUP($A58,Input_Raw!$A:$A,Input_Raw!$DA:$DA),"")</f>
        <v>0.51330055833333366</v>
      </c>
      <c r="I58" s="200">
        <f>IFERROR(_xlfn.XLOOKUP($A58,Input_Raw!$A:$A,Input_Raw!$CX:$CX),"")</f>
        <v>3.5202772916666696</v>
      </c>
      <c r="J58" s="200">
        <f>IFERROR(_xlfn.XLOOKUP($A58,Input_Raw!$A:$A,Input_Raw!$CZ:$CZ),"")</f>
        <v>0.39291635833333372</v>
      </c>
      <c r="K58" s="201">
        <f>IFERROR(_xlfn.XLOOKUP($A58,Input_Raw!$A:$A,Input_Raw!$DB:$DB),"")</f>
        <v>27.923654524969159</v>
      </c>
      <c r="L58" s="201">
        <f>IFERROR(_xlfn.XLOOKUP($A58,Input_Raw!$A:$A,Input_Raw!$DC:$DC),"")</f>
        <v>37.924574397609675</v>
      </c>
      <c r="M58" s="200">
        <f>IFERROR(_xlfn.XLOOKUP($A58,Input_Raw!$A:$A,Input_Raw!$DF:$DF),"")</f>
        <v>0.89796076789084067</v>
      </c>
      <c r="N58" s="200">
        <f>IFERROR(_xlfn.XLOOKUP($A58,Input_Raw!$A:$A,Input_Raw!$DG:$DG),"")</f>
        <v>2.2845</v>
      </c>
      <c r="O58" s="230">
        <f>IFERROR(1-(SUMIF(Plant_BD!$B:$B,$A58,Plant_BD!$AL:$AL)/($AA58+SUMIF(Plant_BD!$B:$B,$A58,Plant_BD!$AL:$AL))),"")</f>
        <v>0.93605455638243662</v>
      </c>
      <c r="P58" s="230"/>
      <c r="Q58" s="231">
        <f>IFERROR(1-(SUMIF(Grid_BD!$B:$B,$A58,Grid_BD!$V:$V)/($AA58+SUMIF(Grid_BD!$B:$B,$A58,Grid_BD!$V:$V))),"")</f>
        <v>1</v>
      </c>
      <c r="R58" s="230">
        <f>IFERROR(1-(SUMIF(Grid_BD!$B:$B,$A58,Grid_BD!$V:$V)/($AA58+SUMIF(Grid_BD!$B:$B,$A58,Grid_BD!$V:$V))),"")</f>
        <v>1</v>
      </c>
      <c r="S58" s="9"/>
      <c r="T58" s="231"/>
      <c r="U58" s="232">
        <f t="shared" si="6"/>
        <v>0.83146377638387348</v>
      </c>
      <c r="V58" s="232" t="str">
        <f>IFERROR(_xlfn.XLOOKUP($A58,Input_Raw!$A:$A,Input_Raw!$FG:$FG),"")</f>
        <v/>
      </c>
      <c r="W58" s="233">
        <f t="shared" si="7"/>
        <v>0.11070000000000399</v>
      </c>
      <c r="X58" s="29">
        <f>IFERROR(_xlfn.XLOOKUP($A58,Input_Raw!$A:$A,Input_Raw!$DP:$DP),"")</f>
        <v>352565.5</v>
      </c>
      <c r="Y58" s="29">
        <f>IFERROR(_xlfn.XLOOKUP($A58,Input_Raw!$A:$A,Input_Raw!EW:EW),"")</f>
        <v>348696.00000001257</v>
      </c>
      <c r="Z58" s="29">
        <f>IFERROR(_xlfn.XLOOKUP($A58,Input_Raw!$A:$A,Input_Raw!EX:EX),"")</f>
        <v>3312.0000000000982</v>
      </c>
      <c r="AA58" s="29">
        <f>IFERROR(_xlfn.XLOOKUP($A58,Input_Raw!$A:$A,Input_Raw!FA:FA),"")</f>
        <v>345384.00000001246</v>
      </c>
      <c r="AB58" s="9">
        <f>IFERROR(_xlfn.XLOOKUP($A58,Input_Raw!$A:$A,Input_Raw!FD:FD),"")</f>
        <v>118</v>
      </c>
      <c r="AC58" s="185">
        <f>IFERROR(_xlfn.XLOOKUP($D58,'Modelling New'!$D:$D,'Modelling New'!P:P),"")</f>
        <v>6.8903225806451607</v>
      </c>
      <c r="AD58" s="29">
        <f>IFERROR(_xlfn.XLOOKUP($D58,'Modelling New'!$D:$D,'Modelling New'!T:T)*1000,"")</f>
        <v>722503.64978642471</v>
      </c>
      <c r="AE58" s="233">
        <f>IFERROR(_xlfn.XLOOKUP($D58,'Modelling New'!$D:$D,'Modelling New'!O:O),"")</f>
        <v>0.806597995656121</v>
      </c>
      <c r="AF58" s="233">
        <f>IFERROR(_xlfn.XLOOKUP($D58,'Modelling New'!$D:$D,'Modelling New'!W:W),"")</f>
        <v>0.23157168262385408</v>
      </c>
      <c r="AG58" s="233">
        <f>IFERROR(_xlfn.XLOOKUP($D58,'Modelling New'!$D:$D,'Modelling New'!AE:AE),"")</f>
        <v>0.995</v>
      </c>
      <c r="AH58" s="234">
        <f>IFERROR(_xlfn.XLOOKUP($D58,'Modelling New'!$D:$D,'Modelling New'!AF:AF),"")</f>
        <v>0.995</v>
      </c>
      <c r="AI58" s="9"/>
      <c r="AJ58" s="9"/>
      <c r="AK58" s="258"/>
      <c r="AL58" s="258"/>
      <c r="AM58" s="258"/>
      <c r="AN58" s="235"/>
      <c r="AO58" s="233"/>
      <c r="AP58" s="233"/>
      <c r="AQ58" s="233"/>
      <c r="AR58" s="236">
        <f>_xlfn.XLOOKUP(D58,'Modelling New'!$D:$D,'Modelling New'!$N:$N)</f>
        <v>130</v>
      </c>
      <c r="AS58" s="236">
        <f t="shared" si="8"/>
        <v>655811.00519075477</v>
      </c>
    </row>
    <row r="59" spans="1:45">
      <c r="A59" s="18">
        <f t="shared" si="9"/>
        <v>45802</v>
      </c>
      <c r="B59" s="29">
        <f>YEAR(Table13[[#This Row],[Date]])+IF(MONTH(Table13[[#This Row],[Date]])&gt;=4,1,0)</f>
        <v>2026</v>
      </c>
      <c r="C59" s="9">
        <f>YEAR(Table13[[#This Row],[Date]])</f>
        <v>2025</v>
      </c>
      <c r="D59" s="229">
        <f>Table13[[#This Row],[Date]]-DAY(Table13[[#This Row],[Date]])+1</f>
        <v>45778</v>
      </c>
      <c r="E59" s="9">
        <f t="shared" si="5"/>
        <v>31</v>
      </c>
      <c r="F59" s="199">
        <f>IFERROR(_xlfn.XLOOKUP($A59,Input_Raw!$A:$A,Input_Raw!$FC:$FC),"")</f>
        <v>11.850000000000001</v>
      </c>
      <c r="G59" s="185">
        <f>IFERROR(_xlfn.XLOOKUP($A59,Input_Raw!$A:$A,Input_Raw!$CY:$CY),"")</f>
        <v>1.9565985666666661</v>
      </c>
      <c r="H59" s="185">
        <f>IFERROR(_xlfn.XLOOKUP($A59,Input_Raw!$A:$A,Input_Raw!$DA:$DA),"")</f>
        <v>0.24761743333333364</v>
      </c>
      <c r="I59" s="185">
        <f>IFERROR(_xlfn.XLOOKUP($A59,Input_Raw!$A:$A,Input_Raw!$CX:$CX),"")</f>
        <v>1.9297837499999995</v>
      </c>
      <c r="J59" s="185">
        <f>IFERROR(_xlfn.XLOOKUP($A59,Input_Raw!$A:$A,Input_Raw!$CZ:$CZ),"")</f>
        <v>0.19268006666666687</v>
      </c>
      <c r="K59" s="201">
        <f>IFERROR(_xlfn.XLOOKUP($A59,Input_Raw!$A:$A,Input_Raw!$DB:$DB),"")</f>
        <v>26.680776542092325</v>
      </c>
      <c r="L59" s="201">
        <f>IFERROR(_xlfn.XLOOKUP($A59,Input_Raw!$A:$A,Input_Raw!$DC:$DC),"")</f>
        <v>34.042662228087934</v>
      </c>
      <c r="M59" s="200">
        <f>IFERROR(_xlfn.XLOOKUP($A59,Input_Raw!$A:$A,Input_Raw!$DF:$DF),"")</f>
        <v>0.83718705927993897</v>
      </c>
      <c r="N59" s="200">
        <f>IFERROR(_xlfn.XLOOKUP($A59,Input_Raw!$A:$A,Input_Raw!$DG:$DG),"")</f>
        <v>2.3864999999999998</v>
      </c>
      <c r="O59" s="230">
        <f>IFERROR(1-(SUMIF(Plant_BD!$B:$B,$A59,Plant_BD!$AL:$AL)/($AA59+SUMIF(Plant_BD!$B:$B,$A59,Plant_BD!$AL:$AL))),"")</f>
        <v>0.95557144797816018</v>
      </c>
      <c r="P59" s="230"/>
      <c r="Q59" s="231">
        <f>IFERROR(1-(SUMIF(Grid_BD!$B:$B,$A59,Grid_BD!$V:$V)/($AA59+SUMIF(Grid_BD!$B:$B,$A59,Grid_BD!$V:$V))),"")</f>
        <v>1</v>
      </c>
      <c r="R59" s="230">
        <f>IFERROR(1-(SUMIF(Grid_BD!$B:$B,$A59,Grid_BD!$V:$V)/($AA59+SUMIF(Grid_BD!$B:$B,$A59,Grid_BD!$V:$V))),"")</f>
        <v>1</v>
      </c>
      <c r="S59" s="9"/>
      <c r="T59" s="231"/>
      <c r="U59" s="232">
        <f t="shared" si="6"/>
        <v>0.82533040106415989</v>
      </c>
      <c r="V59" s="232" t="str">
        <f>IFERROR(_xlfn.XLOOKUP($A59,Input_Raw!$A:$A,Input_Raw!$FG:$FG),"")</f>
        <v/>
      </c>
      <c r="W59" s="233">
        <f t="shared" si="7"/>
        <v>6.1615384615384614E-2</v>
      </c>
      <c r="X59" s="29">
        <f>IFERROR(_xlfn.XLOOKUP($A59,Input_Raw!$A:$A,Input_Raw!$DP:$DP),"")</f>
        <v>198709.1</v>
      </c>
      <c r="Y59" s="29">
        <f>IFERROR(_xlfn.XLOOKUP($A59,Input_Raw!$A:$A,Input_Raw!EW:EW),"")</f>
        <v>195120</v>
      </c>
      <c r="Z59" s="29">
        <f>IFERROR(_xlfn.XLOOKUP($A59,Input_Raw!$A:$A,Input_Raw!EX:EX),"")</f>
        <v>2880</v>
      </c>
      <c r="AA59" s="29">
        <f>IFERROR(_xlfn.XLOOKUP($A59,Input_Raw!$A:$A,Input_Raw!FA:FA),"")</f>
        <v>192240</v>
      </c>
      <c r="AB59" s="9">
        <f>IFERROR(_xlfn.XLOOKUP($A59,Input_Raw!$A:$A,Input_Raw!FD:FD),"")</f>
        <v>120.7</v>
      </c>
      <c r="AC59" s="185">
        <f>IFERROR(_xlfn.XLOOKUP($D59,'Modelling New'!$D:$D,'Modelling New'!P:P),"")</f>
        <v>6.8903225806451607</v>
      </c>
      <c r="AD59" s="29">
        <f>IFERROR(_xlfn.XLOOKUP($D59,'Modelling New'!$D:$D,'Modelling New'!T:T)*1000,"")</f>
        <v>722503.64978642471</v>
      </c>
      <c r="AE59" s="233">
        <f>IFERROR(_xlfn.XLOOKUP($D59,'Modelling New'!$D:$D,'Modelling New'!O:O),"")</f>
        <v>0.806597995656121</v>
      </c>
      <c r="AF59" s="233">
        <f>IFERROR(_xlfn.XLOOKUP($D59,'Modelling New'!$D:$D,'Modelling New'!W:W),"")</f>
        <v>0.23157168262385408</v>
      </c>
      <c r="AG59" s="233">
        <f>IFERROR(_xlfn.XLOOKUP($D59,'Modelling New'!$D:$D,'Modelling New'!AE:AE),"")</f>
        <v>0.995</v>
      </c>
      <c r="AH59" s="234">
        <f>IFERROR(_xlfn.XLOOKUP($D59,'Modelling New'!$D:$D,'Modelling New'!AF:AF),"")</f>
        <v>0.995</v>
      </c>
      <c r="AI59" s="9"/>
      <c r="AJ59" s="9"/>
      <c r="AK59" s="258"/>
      <c r="AL59" s="258"/>
      <c r="AM59" s="258"/>
      <c r="AN59" s="235"/>
      <c r="AO59" s="233"/>
      <c r="AP59" s="233"/>
      <c r="AQ59" s="233"/>
      <c r="AR59" s="236">
        <f>_xlfn.XLOOKUP(D59,'Modelling New'!$D:$D,'Modelling New'!$N:$N)</f>
        <v>130</v>
      </c>
      <c r="AS59" s="236">
        <f t="shared" si="8"/>
        <v>670816.8502247805</v>
      </c>
    </row>
    <row r="60" spans="1:45">
      <c r="A60" s="18">
        <f t="shared" si="9"/>
        <v>45803</v>
      </c>
      <c r="B60" s="29">
        <f>YEAR(Table13[[#This Row],[Date]])+IF(MONTH(Table13[[#This Row],[Date]])&gt;=4,1,0)</f>
        <v>2026</v>
      </c>
      <c r="C60" s="9">
        <f>YEAR(Table13[[#This Row],[Date]])</f>
        <v>2025</v>
      </c>
      <c r="D60" s="229">
        <f>Table13[[#This Row],[Date]]-DAY(Table13[[#This Row],[Date]])+1</f>
        <v>45778</v>
      </c>
      <c r="E60" s="9">
        <f t="shared" si="5"/>
        <v>31</v>
      </c>
      <c r="F60" s="199">
        <f>IFERROR(_xlfn.XLOOKUP($A60,Input_Raw!$A:$A,Input_Raw!$FC:$FC),"")</f>
        <v>12.266666666666666</v>
      </c>
      <c r="G60" s="200">
        <f>IFERROR(_xlfn.XLOOKUP($A60,Input_Raw!$A:$A,Input_Raw!$CY:$CY),"")</f>
        <v>7.042258866666665</v>
      </c>
      <c r="H60" s="200">
        <f>IFERROR(_xlfn.XLOOKUP($A60,Input_Raw!$A:$A,Input_Raw!$DA:$DA),"")</f>
        <v>0.91303183333333393</v>
      </c>
      <c r="I60" s="200">
        <f>IFERROR(_xlfn.XLOOKUP($A60,Input_Raw!$A:$A,Input_Raw!$CX:$CX),"")</f>
        <v>6.7432472583333318</v>
      </c>
      <c r="J60" s="200">
        <f>IFERROR(_xlfn.XLOOKUP($A60,Input_Raw!$A:$A,Input_Raw!$CZ:$CZ),"")</f>
        <v>0.69532872500000009</v>
      </c>
      <c r="K60" s="201">
        <f>IFERROR(_xlfn.XLOOKUP($A60,Input_Raw!$A:$A,Input_Raw!$DB:$DB),"")</f>
        <v>29.609042941775925</v>
      </c>
      <c r="L60" s="201">
        <f>IFERROR(_xlfn.XLOOKUP($A60,Input_Raw!$A:$A,Input_Raw!$DC:$DC),"")</f>
        <v>43.12478589114334</v>
      </c>
      <c r="M60" s="200">
        <f>IFERROR(_xlfn.XLOOKUP($A60,Input_Raw!$A:$A,Input_Raw!$DF:$DF),"")</f>
        <v>0.63661943811006028</v>
      </c>
      <c r="N60" s="200">
        <f>IFERROR(_xlfn.XLOOKUP($A60,Input_Raw!$A:$A,Input_Raw!$DG:$DG),"")</f>
        <v>5.3175000000000008</v>
      </c>
      <c r="O60" s="230">
        <f>IFERROR(1-(SUMIF(Plant_BD!$B:$B,$A60,Plant_BD!$AL:$AL)/($AA60+SUMIF(Plant_BD!$B:$B,$A60,Plant_BD!$AL:$AL))),"")</f>
        <v>0.95389365927427072</v>
      </c>
      <c r="P60" s="230"/>
      <c r="Q60" s="231">
        <f>IFERROR(1-(SUMIF(Grid_BD!$B:$B,$A60,Grid_BD!$V:$V)/($AA60+SUMIF(Grid_BD!$B:$B,$A60,Grid_BD!$V:$V))),"")</f>
        <v>1</v>
      </c>
      <c r="R60" s="230">
        <f>IFERROR(1-(SUMIF(Grid_BD!$B:$B,$A60,Grid_BD!$V:$V)/($AA60+SUMIF(Grid_BD!$B:$B,$A60,Grid_BD!$V:$V))),"")</f>
        <v>1</v>
      </c>
      <c r="S60" s="9"/>
      <c r="T60" s="231"/>
      <c r="U60" s="232">
        <f t="shared" si="6"/>
        <v>0.75404902528017226</v>
      </c>
      <c r="V60" s="232" t="str">
        <f>IFERROR(_xlfn.XLOOKUP($A60,Input_Raw!$A:$A,Input_Raw!$FG:$FG),"")</f>
        <v/>
      </c>
      <c r="W60" s="233">
        <f t="shared" si="7"/>
        <v>0.19670769230768967</v>
      </c>
      <c r="X60" s="29">
        <f>IFERROR(_xlfn.XLOOKUP($A60,Input_Raw!$A:$A,Input_Raw!$DP:$DP),"")</f>
        <v>627850</v>
      </c>
      <c r="Y60" s="29">
        <f>IFERROR(_xlfn.XLOOKUP($A60,Input_Raw!$A:$A,Input_Raw!EW:EW),"")</f>
        <v>617975.99999999162</v>
      </c>
      <c r="Z60" s="29">
        <f>IFERROR(_xlfn.XLOOKUP($A60,Input_Raw!$A:$A,Input_Raw!EX:EX),"")</f>
        <v>4247.9999999999018</v>
      </c>
      <c r="AA60" s="29">
        <f>IFERROR(_xlfn.XLOOKUP($A60,Input_Raw!$A:$A,Input_Raw!FA:FA),"")</f>
        <v>613727.99999999173</v>
      </c>
      <c r="AB60" s="9">
        <f>IFERROR(_xlfn.XLOOKUP($A60,Input_Raw!$A:$A,Input_Raw!FD:FD),"")</f>
        <v>120.7</v>
      </c>
      <c r="AC60" s="185">
        <f>IFERROR(_xlfn.XLOOKUP($D60,'Modelling New'!$D:$D,'Modelling New'!P:P),"")</f>
        <v>6.8903225806451607</v>
      </c>
      <c r="AD60" s="29">
        <f>IFERROR(_xlfn.XLOOKUP($D60,'Modelling New'!$D:$D,'Modelling New'!T:T)*1000,"")</f>
        <v>722503.64978642471</v>
      </c>
      <c r="AE60" s="233">
        <f>IFERROR(_xlfn.XLOOKUP($D60,'Modelling New'!$D:$D,'Modelling New'!O:O),"")</f>
        <v>0.806597995656121</v>
      </c>
      <c r="AF60" s="233">
        <f>IFERROR(_xlfn.XLOOKUP($D60,'Modelling New'!$D:$D,'Modelling New'!W:W),"")</f>
        <v>0.23157168262385408</v>
      </c>
      <c r="AG60" s="233">
        <f>IFERROR(_xlfn.XLOOKUP($D60,'Modelling New'!$D:$D,'Modelling New'!AE:AE),"")</f>
        <v>0.995</v>
      </c>
      <c r="AH60" s="234">
        <f>IFERROR(_xlfn.XLOOKUP($D60,'Modelling New'!$D:$D,'Modelling New'!AF:AF),"")</f>
        <v>0.995</v>
      </c>
      <c r="AI60" s="9"/>
      <c r="AJ60" s="9"/>
      <c r="AK60" s="258"/>
      <c r="AL60" s="258"/>
      <c r="AM60" s="258"/>
      <c r="AN60" s="235"/>
      <c r="AO60" s="233"/>
      <c r="AP60" s="233"/>
      <c r="AQ60" s="233"/>
      <c r="AR60" s="236">
        <f>_xlfn.XLOOKUP(D60,'Modelling New'!$D:$D,'Modelling New'!$N:$N)</f>
        <v>130</v>
      </c>
      <c r="AS60" s="236">
        <f t="shared" si="8"/>
        <v>670816.8502247805</v>
      </c>
    </row>
    <row r="61" spans="1:45">
      <c r="A61" s="18">
        <f t="shared" si="9"/>
        <v>45804</v>
      </c>
      <c r="B61" s="29">
        <f>YEAR(Table13[[#This Row],[Date]])+IF(MONTH(Table13[[#This Row],[Date]])&gt;=4,1,0)</f>
        <v>2026</v>
      </c>
      <c r="C61" s="9">
        <f>YEAR(Table13[[#This Row],[Date]])</f>
        <v>2025</v>
      </c>
      <c r="D61" s="229">
        <f>Table13[[#This Row],[Date]]-DAY(Table13[[#This Row],[Date]])+1</f>
        <v>45778</v>
      </c>
      <c r="E61" s="9">
        <f t="shared" si="5"/>
        <v>31</v>
      </c>
      <c r="F61" s="199">
        <f>IFERROR(_xlfn.XLOOKUP($A61,Input_Raw!$A:$A,Input_Raw!$FC:$FC),"")</f>
        <v>12.616666666666667</v>
      </c>
      <c r="G61" s="185">
        <f>IFERROR(_xlfn.XLOOKUP($A61,Input_Raw!$A:$A,Input_Raw!$CY:$CY),"")</f>
        <v>5.7729960416666675</v>
      </c>
      <c r="H61" s="185">
        <f>IFERROR(_xlfn.XLOOKUP($A61,Input_Raw!$A:$A,Input_Raw!$DA:$DA),"")</f>
        <v>0.83936645833333379</v>
      </c>
      <c r="I61" s="185">
        <f>IFERROR(_xlfn.XLOOKUP($A61,Input_Raw!$A:$A,Input_Raw!$CX:$CX),"")</f>
        <v>5.5893830666666684</v>
      </c>
      <c r="J61" s="185">
        <f>IFERROR(_xlfn.XLOOKUP($A61,Input_Raw!$A:$A,Input_Raw!$CZ:$CZ),"")</f>
        <v>0.63960322499999944</v>
      </c>
      <c r="K61" s="201">
        <f>IFERROR(_xlfn.XLOOKUP($A61,Input_Raw!$A:$A,Input_Raw!$DB:$DB),"")</f>
        <v>29.684560444721285</v>
      </c>
      <c r="L61" s="201">
        <f>IFERROR(_xlfn.XLOOKUP($A61,Input_Raw!$A:$A,Input_Raw!$DC:$DC),"")</f>
        <v>40.738698078561598</v>
      </c>
      <c r="M61" s="200">
        <f>IFERROR(_xlfn.XLOOKUP($A61,Input_Raw!$A:$A,Input_Raw!$DF:$DF),"")</f>
        <v>1.4352887349348162</v>
      </c>
      <c r="N61" s="200">
        <f>IFERROR(_xlfn.XLOOKUP($A61,Input_Raw!$A:$A,Input_Raw!$DG:$DG),"")</f>
        <v>4.8104999999999993</v>
      </c>
      <c r="O61" s="230">
        <f>IFERROR(1-(SUMIF(Plant_BD!$B:$B,$A61,Plant_BD!$AL:$AL)/($AA61+SUMIF(Plant_BD!$B:$B,$A61,Plant_BD!$AL:$AL))),"")</f>
        <v>0.9747437683453487</v>
      </c>
      <c r="P61" s="230"/>
      <c r="Q61" s="231">
        <f>IFERROR(1-(SUMIF(Grid_BD!$B:$B,$A61,Grid_BD!$V:$V)/($AA61+SUMIF(Grid_BD!$B:$B,$A61,Grid_BD!$V:$V))),"")</f>
        <v>1</v>
      </c>
      <c r="R61" s="230">
        <f>IFERROR(1-(SUMIF(Grid_BD!$B:$B,$A61,Grid_BD!$V:$V)/($AA61+SUMIF(Grid_BD!$B:$B,$A61,Grid_BD!$V:$V))),"")</f>
        <v>1</v>
      </c>
      <c r="S61" s="9"/>
      <c r="T61" s="231"/>
      <c r="U61" s="232">
        <f t="shared" si="6"/>
        <v>0.79882777387452231</v>
      </c>
      <c r="V61" s="232" t="str">
        <f>IFERROR(_xlfn.XLOOKUP($A61,Input_Raw!$A:$A,Input_Raw!$FG:$FG),"")</f>
        <v/>
      </c>
      <c r="W61" s="233">
        <f t="shared" si="7"/>
        <v>0.17273076923077191</v>
      </c>
      <c r="X61" s="29">
        <f>IFERROR(_xlfn.XLOOKUP($A61,Input_Raw!$A:$A,Input_Raw!$DP:$DP),"")</f>
        <v>551703.4</v>
      </c>
      <c r="Y61" s="29">
        <f>IFERROR(_xlfn.XLOOKUP($A61,Input_Raw!$A:$A,Input_Raw!EW:EW),"")</f>
        <v>540864.00000000838</v>
      </c>
      <c r="Z61" s="29">
        <f>IFERROR(_xlfn.XLOOKUP($A61,Input_Raw!$A:$A,Input_Raw!EX:EX),"")</f>
        <v>1944.0000000000327</v>
      </c>
      <c r="AA61" s="29">
        <f>IFERROR(_xlfn.XLOOKUP($A61,Input_Raw!$A:$A,Input_Raw!FA:FA),"")</f>
        <v>538920.00000000838</v>
      </c>
      <c r="AB61" s="9">
        <f>IFERROR(_xlfn.XLOOKUP($A61,Input_Raw!$A:$A,Input_Raw!FD:FD),"")</f>
        <v>120.7</v>
      </c>
      <c r="AC61" s="185">
        <f>IFERROR(_xlfn.XLOOKUP($D61,'Modelling New'!$D:$D,'Modelling New'!P:P),"")</f>
        <v>6.8903225806451607</v>
      </c>
      <c r="AD61" s="29">
        <f>IFERROR(_xlfn.XLOOKUP($D61,'Modelling New'!$D:$D,'Modelling New'!T:T)*1000,"")</f>
        <v>722503.64978642471</v>
      </c>
      <c r="AE61" s="233">
        <f>IFERROR(_xlfn.XLOOKUP($D61,'Modelling New'!$D:$D,'Modelling New'!O:O),"")</f>
        <v>0.806597995656121</v>
      </c>
      <c r="AF61" s="233">
        <f>IFERROR(_xlfn.XLOOKUP($D61,'Modelling New'!$D:$D,'Modelling New'!W:W),"")</f>
        <v>0.23157168262385408</v>
      </c>
      <c r="AG61" s="233">
        <f>IFERROR(_xlfn.XLOOKUP($D61,'Modelling New'!$D:$D,'Modelling New'!AE:AE),"")</f>
        <v>0.995</v>
      </c>
      <c r="AH61" s="234">
        <f>IFERROR(_xlfn.XLOOKUP($D61,'Modelling New'!$D:$D,'Modelling New'!AF:AF),"")</f>
        <v>0.995</v>
      </c>
      <c r="AI61" s="9"/>
      <c r="AJ61" s="9"/>
      <c r="AK61" s="258"/>
      <c r="AL61" s="258"/>
      <c r="AM61" s="258"/>
      <c r="AN61" s="235"/>
      <c r="AO61" s="233"/>
      <c r="AP61" s="233"/>
      <c r="AQ61" s="233"/>
      <c r="AR61" s="236">
        <f>_xlfn.XLOOKUP(D61,'Modelling New'!$D:$D,'Modelling New'!$N:$N)</f>
        <v>130</v>
      </c>
      <c r="AS61" s="236">
        <f t="shared" si="8"/>
        <v>670816.8502247805</v>
      </c>
    </row>
    <row r="62" spans="1:45">
      <c r="A62" s="18">
        <f t="shared" si="9"/>
        <v>45805</v>
      </c>
      <c r="B62" s="29">
        <f>YEAR(Table13[[#This Row],[Date]])+IF(MONTH(Table13[[#This Row],[Date]])&gt;=4,1,0)</f>
        <v>2026</v>
      </c>
      <c r="C62" s="9">
        <f>YEAR(Table13[[#This Row],[Date]])</f>
        <v>2025</v>
      </c>
      <c r="D62" s="229">
        <f>Table13[[#This Row],[Date]]-DAY(Table13[[#This Row],[Date]])+1</f>
        <v>45778</v>
      </c>
      <c r="E62" s="9">
        <f t="shared" si="5"/>
        <v>31</v>
      </c>
      <c r="F62" s="199">
        <f>IFERROR(_xlfn.XLOOKUP($A62,Input_Raw!$A:$A,Input_Raw!$FC:$FC),"")</f>
        <v>11.433333333333334</v>
      </c>
      <c r="G62" s="200">
        <f>IFERROR(_xlfn.XLOOKUP($A62,Input_Raw!$A:$A,Input_Raw!$CY:$CY),"")</f>
        <v>2.6981947833333306</v>
      </c>
      <c r="H62" s="200">
        <f>IFERROR(_xlfn.XLOOKUP($A62,Input_Raw!$A:$A,Input_Raw!$DA:$DA),"")</f>
        <v>0.34551070000000023</v>
      </c>
      <c r="I62" s="200">
        <f>IFERROR(_xlfn.XLOOKUP($A62,Input_Raw!$A:$A,Input_Raw!$CX:$CX),"")</f>
        <v>2.6786335083333332</v>
      </c>
      <c r="J62" s="200">
        <f>IFERROR(_xlfn.XLOOKUP($A62,Input_Raw!$A:$A,Input_Raw!$CZ:$CZ),"")</f>
        <v>0.25623871666666653</v>
      </c>
      <c r="K62" s="201">
        <f>IFERROR(_xlfn.XLOOKUP($A62,Input_Raw!$A:$A,Input_Raw!$DB:$DB),"")</f>
        <v>26.114432434473095</v>
      </c>
      <c r="L62" s="201">
        <f>IFERROR(_xlfn.XLOOKUP($A62,Input_Raw!$A:$A,Input_Raw!$DC:$DC),"")</f>
        <v>34.734700454406607</v>
      </c>
      <c r="M62" s="200">
        <f>IFERROR(_xlfn.XLOOKUP($A62,Input_Raw!$A:$A,Input_Raw!$DF:$DF),"")</f>
        <v>1.2448140090400837</v>
      </c>
      <c r="N62" s="200">
        <f>IFERROR(_xlfn.XLOOKUP($A62,Input_Raw!$A:$A,Input_Raw!$DG:$DG),"")</f>
        <v>3.1274999999999999</v>
      </c>
      <c r="O62" s="230">
        <f>IFERROR(1-(SUMIF(Plant_BD!$B:$B,$A62,Plant_BD!$AL:$AL)/($AA62+SUMIF(Plant_BD!$B:$B,$A62,Plant_BD!$AL:$AL))),"")</f>
        <v>0.9762582021749886</v>
      </c>
      <c r="P62" s="230"/>
      <c r="Q62" s="231">
        <f>IFERROR(1-(SUMIF(Grid_BD!$B:$B,$A62,Grid_BD!$V:$V)/($AA62+SUMIF(Grid_BD!$B:$B,$A62,Grid_BD!$V:$V))),"")</f>
        <v>1</v>
      </c>
      <c r="R62" s="230">
        <f>IFERROR(1-(SUMIF(Grid_BD!$B:$B,$A62,Grid_BD!$V:$V)/($AA62+SUMIF(Grid_BD!$B:$B,$A62,Grid_BD!$V:$V))),"")</f>
        <v>1</v>
      </c>
      <c r="S62" s="9"/>
      <c r="T62" s="231"/>
      <c r="U62" s="232">
        <f t="shared" si="6"/>
        <v>0.84245802245716783</v>
      </c>
      <c r="V62" s="232" t="str">
        <f>IFERROR(_xlfn.XLOOKUP($A62,Input_Raw!$A:$A,Input_Raw!$FG:$FG),"")</f>
        <v/>
      </c>
      <c r="W62" s="233">
        <f t="shared" si="7"/>
        <v>8.7299999999994646E-2</v>
      </c>
      <c r="X62" s="29">
        <f>IFERROR(_xlfn.XLOOKUP($A62,Input_Raw!$A:$A,Input_Raw!$DP:$DP),"")</f>
        <v>278512.5</v>
      </c>
      <c r="Y62" s="29">
        <f>IFERROR(_xlfn.XLOOKUP($A62,Input_Raw!$A:$A,Input_Raw!EW:EW),"")</f>
        <v>275111.99999998324</v>
      </c>
      <c r="Z62" s="29">
        <f>IFERROR(_xlfn.XLOOKUP($A62,Input_Raw!$A:$A,Input_Raw!EX:EX),"")</f>
        <v>2735.9999999999673</v>
      </c>
      <c r="AA62" s="29">
        <f>IFERROR(_xlfn.XLOOKUP($A62,Input_Raw!$A:$A,Input_Raw!FA:FA),"")</f>
        <v>272375.99999998329</v>
      </c>
      <c r="AB62" s="9">
        <f>IFERROR(_xlfn.XLOOKUP($A62,Input_Raw!$A:$A,Input_Raw!FD:FD),"")</f>
        <v>120.7</v>
      </c>
      <c r="AC62" s="185">
        <f>IFERROR(_xlfn.XLOOKUP($D62,'Modelling New'!$D:$D,'Modelling New'!P:P),"")</f>
        <v>6.8903225806451607</v>
      </c>
      <c r="AD62" s="29">
        <f>IFERROR(_xlfn.XLOOKUP($D62,'Modelling New'!$D:$D,'Modelling New'!T:T)*1000,"")</f>
        <v>722503.64978642471</v>
      </c>
      <c r="AE62" s="233">
        <f>IFERROR(_xlfn.XLOOKUP($D62,'Modelling New'!$D:$D,'Modelling New'!O:O),"")</f>
        <v>0.806597995656121</v>
      </c>
      <c r="AF62" s="233">
        <f>IFERROR(_xlfn.XLOOKUP($D62,'Modelling New'!$D:$D,'Modelling New'!W:W),"")</f>
        <v>0.23157168262385408</v>
      </c>
      <c r="AG62" s="233">
        <f>IFERROR(_xlfn.XLOOKUP($D62,'Modelling New'!$D:$D,'Modelling New'!AE:AE),"")</f>
        <v>0.995</v>
      </c>
      <c r="AH62" s="234">
        <f>IFERROR(_xlfn.XLOOKUP($D62,'Modelling New'!$D:$D,'Modelling New'!AF:AF),"")</f>
        <v>0.995</v>
      </c>
      <c r="AI62" s="9"/>
      <c r="AJ62" s="9"/>
      <c r="AK62" s="258"/>
      <c r="AL62" s="258"/>
      <c r="AM62" s="258"/>
      <c r="AN62" s="235"/>
      <c r="AO62" s="233"/>
      <c r="AP62" s="233"/>
      <c r="AQ62" s="233"/>
      <c r="AR62" s="236">
        <f>_xlfn.XLOOKUP(D62,'Modelling New'!$D:$D,'Modelling New'!$N:$N)</f>
        <v>130</v>
      </c>
      <c r="AS62" s="236">
        <f t="shared" si="8"/>
        <v>670816.8502247805</v>
      </c>
    </row>
    <row r="63" spans="1:45">
      <c r="A63" s="18">
        <f t="shared" si="9"/>
        <v>45806</v>
      </c>
      <c r="B63" s="29">
        <f>YEAR(Table13[[#This Row],[Date]])+IF(MONTH(Table13[[#This Row],[Date]])&gt;=4,1,0)</f>
        <v>2026</v>
      </c>
      <c r="C63" s="9">
        <f>YEAR(Table13[[#This Row],[Date]])</f>
        <v>2025</v>
      </c>
      <c r="D63" s="229">
        <f>Table13[[#This Row],[Date]]-DAY(Table13[[#This Row],[Date]])+1</f>
        <v>45778</v>
      </c>
      <c r="E63" s="9">
        <f t="shared" si="5"/>
        <v>31</v>
      </c>
      <c r="F63" s="199">
        <f>IFERROR(_xlfn.XLOOKUP($A63,Input_Raw!$A:$A,Input_Raw!$FC:$FC),"")</f>
        <v>12.450000000000001</v>
      </c>
      <c r="G63" s="185">
        <f>IFERROR(_xlfn.XLOOKUP($A63,Input_Raw!$A:$A,Input_Raw!$CY:$CY),"")</f>
        <v>5.5338341583333328</v>
      </c>
      <c r="H63" s="185">
        <f>IFERROR(_xlfn.XLOOKUP($A63,Input_Raw!$A:$A,Input_Raw!$DA:$DA),"")</f>
        <v>0.77423939166666655</v>
      </c>
      <c r="I63" s="185">
        <f>IFERROR(_xlfn.XLOOKUP($A63,Input_Raw!$A:$A,Input_Raw!$CX:$CX),"")</f>
        <v>5.3923668666666593</v>
      </c>
      <c r="J63" s="185">
        <f>IFERROR(_xlfn.XLOOKUP($A63,Input_Raw!$A:$A,Input_Raw!$CZ:$CZ),"")</f>
        <v>0.59009989999999934</v>
      </c>
      <c r="K63" s="201">
        <f>IFERROR(_xlfn.XLOOKUP($A63,Input_Raw!$A:$A,Input_Raw!$DB:$DB),"")</f>
        <v>29.994979868529178</v>
      </c>
      <c r="L63" s="201">
        <f>IFERROR(_xlfn.XLOOKUP($A63,Input_Raw!$A:$A,Input_Raw!$DC:$DC),"")</f>
        <v>42.430004519646502</v>
      </c>
      <c r="M63" s="200">
        <f>IFERROR(_xlfn.XLOOKUP($A63,Input_Raw!$A:$A,Input_Raw!$DF:$DF),"")</f>
        <v>1.493704434109675</v>
      </c>
      <c r="N63" s="200">
        <f>IFERROR(_xlfn.XLOOKUP($A63,Input_Raw!$A:$A,Input_Raw!$DG:$DG),"")</f>
        <v>3.3105000000000002</v>
      </c>
      <c r="O63" s="230">
        <f>IFERROR(1-(SUMIF(Plant_BD!$B:$B,$A63,Plant_BD!$AL:$AL)/($AA63+SUMIF(Plant_BD!$B:$B,$A63,Plant_BD!$AL:$AL))),"")</f>
        <v>0.97414863902494442</v>
      </c>
      <c r="P63" s="230"/>
      <c r="Q63" s="231">
        <f>IFERROR(1-(SUMIF(Grid_BD!$B:$B,$A63,Grid_BD!$V:$V)/($AA63+SUMIF(Grid_BD!$B:$B,$A63,Grid_BD!$V:$V))),"")</f>
        <v>1</v>
      </c>
      <c r="R63" s="230">
        <f>IFERROR(1-(SUMIF(Grid_BD!$B:$B,$A63,Grid_BD!$V:$V)/($AA63+SUMIF(Grid_BD!$B:$B,$A63,Grid_BD!$V:$V))),"")</f>
        <v>1</v>
      </c>
      <c r="S63" s="9"/>
      <c r="T63" s="231"/>
      <c r="U63" s="232">
        <f t="shared" si="6"/>
        <v>0.77203856200740129</v>
      </c>
      <c r="V63" s="232" t="str">
        <f>IFERROR(_xlfn.XLOOKUP($A63,Input_Raw!$A:$A,Input_Raw!$FG:$FG),"")</f>
        <v/>
      </c>
      <c r="W63" s="233">
        <f t="shared" si="7"/>
        <v>0.16105384615385016</v>
      </c>
      <c r="X63" s="29">
        <f>IFERROR(_xlfn.XLOOKUP($A63,Input_Raw!$A:$A,Input_Raw!$DP:$DP),"")</f>
        <v>516298.60000000003</v>
      </c>
      <c r="Y63" s="29">
        <f>IFERROR(_xlfn.XLOOKUP($A63,Input_Raw!$A:$A,Input_Raw!EW:EW),"")</f>
        <v>505296.00000001257</v>
      </c>
      <c r="Z63" s="29">
        <f>IFERROR(_xlfn.XLOOKUP($A63,Input_Raw!$A:$A,Input_Raw!EX:EX),"")</f>
        <v>2808.0000000000655</v>
      </c>
      <c r="AA63" s="29">
        <f>IFERROR(_xlfn.XLOOKUP($A63,Input_Raw!$A:$A,Input_Raw!FA:FA),"")</f>
        <v>502488.00000001251</v>
      </c>
      <c r="AB63" s="9">
        <f>IFERROR(_xlfn.XLOOKUP($A63,Input_Raw!$A:$A,Input_Raw!FD:FD),"")</f>
        <v>120.7</v>
      </c>
      <c r="AC63" s="185">
        <f>IFERROR(_xlfn.XLOOKUP($D63,'Modelling New'!$D:$D,'Modelling New'!P:P),"")</f>
        <v>6.8903225806451607</v>
      </c>
      <c r="AD63" s="29">
        <f>IFERROR(_xlfn.XLOOKUP($D63,'Modelling New'!$D:$D,'Modelling New'!T:T)*1000,"")</f>
        <v>722503.64978642471</v>
      </c>
      <c r="AE63" s="233">
        <f>IFERROR(_xlfn.XLOOKUP($D63,'Modelling New'!$D:$D,'Modelling New'!O:O),"")</f>
        <v>0.806597995656121</v>
      </c>
      <c r="AF63" s="233">
        <f>IFERROR(_xlfn.XLOOKUP($D63,'Modelling New'!$D:$D,'Modelling New'!W:W),"")</f>
        <v>0.23157168262385408</v>
      </c>
      <c r="AG63" s="233">
        <f>IFERROR(_xlfn.XLOOKUP($D63,'Modelling New'!$D:$D,'Modelling New'!AE:AE),"")</f>
        <v>0.995</v>
      </c>
      <c r="AH63" s="234">
        <f>IFERROR(_xlfn.XLOOKUP($D63,'Modelling New'!$D:$D,'Modelling New'!AF:AF),"")</f>
        <v>0.995</v>
      </c>
      <c r="AI63" s="9"/>
      <c r="AJ63" s="9"/>
      <c r="AK63" s="258"/>
      <c r="AL63" s="258"/>
      <c r="AM63" s="258"/>
      <c r="AN63" s="235"/>
      <c r="AO63" s="233"/>
      <c r="AP63" s="233"/>
      <c r="AQ63" s="233"/>
      <c r="AR63" s="236">
        <f>_xlfn.XLOOKUP(D63,'Modelling New'!$D:$D,'Modelling New'!$N:$N)</f>
        <v>130</v>
      </c>
      <c r="AS63" s="236">
        <f t="shared" si="8"/>
        <v>670816.8502247805</v>
      </c>
    </row>
    <row r="64" spans="1:45">
      <c r="A64" s="18">
        <f t="shared" si="9"/>
        <v>45807</v>
      </c>
      <c r="B64" s="29">
        <f>YEAR(Table13[[#This Row],[Date]])+IF(MONTH(Table13[[#This Row],[Date]])&gt;=4,1,0)</f>
        <v>2026</v>
      </c>
      <c r="C64" s="9">
        <f>YEAR(Table13[[#This Row],[Date]])</f>
        <v>2025</v>
      </c>
      <c r="D64" s="229">
        <f>Table13[[#This Row],[Date]]-DAY(Table13[[#This Row],[Date]])+1</f>
        <v>45778</v>
      </c>
      <c r="E64" s="9">
        <f t="shared" si="5"/>
        <v>31</v>
      </c>
      <c r="F64" s="199">
        <f>IFERROR(_xlfn.XLOOKUP($A64,Input_Raw!$A:$A,Input_Raw!$FC:$FC),"")</f>
        <v>12.400000000000002</v>
      </c>
      <c r="G64" s="200">
        <f>IFERROR(_xlfn.XLOOKUP($A64,Input_Raw!$A:$A,Input_Raw!$CY:$CY),"")</f>
        <v>5.5908978666666691</v>
      </c>
      <c r="H64" s="200">
        <f>IFERROR(_xlfn.XLOOKUP($A64,Input_Raw!$A:$A,Input_Raw!$DA:$DA),"")</f>
        <v>0.82703409166666664</v>
      </c>
      <c r="I64" s="200">
        <f>IFERROR(_xlfn.XLOOKUP($A64,Input_Raw!$A:$A,Input_Raw!$CX:$CX),"")</f>
        <v>5.3922111416666638</v>
      </c>
      <c r="J64" s="200">
        <f>IFERROR(_xlfn.XLOOKUP($A64,Input_Raw!$A:$A,Input_Raw!$CZ:$CZ),"")</f>
        <v>0.63643433333333355</v>
      </c>
      <c r="K64" s="201">
        <f>IFERROR(_xlfn.XLOOKUP($A64,Input_Raw!$A:$A,Input_Raw!$DB:$DB),"")</f>
        <v>30.625556349803126</v>
      </c>
      <c r="L64" s="201">
        <f>IFERROR(_xlfn.XLOOKUP($A64,Input_Raw!$A:$A,Input_Raw!$DC:$DC),"")</f>
        <v>41.244398264871222</v>
      </c>
      <c r="M64" s="200">
        <f>IFERROR(_xlfn.XLOOKUP($A64,Input_Raw!$A:$A,Input_Raw!$DF:$DF),"")</f>
        <v>1.6668485617893514</v>
      </c>
      <c r="N64" s="200">
        <f>IFERROR(_xlfn.XLOOKUP($A64,Input_Raw!$A:$A,Input_Raw!$DG:$DG),"")</f>
        <v>3.2744999999999997</v>
      </c>
      <c r="O64" s="230">
        <f>IFERROR(1-(SUMIF(Plant_BD!$B:$B,$A64,Plant_BD!$AL:$AL)/($AA64+SUMIF(Plant_BD!$B:$B,$A64,Plant_BD!$AL:$AL))),"")</f>
        <v>0.97477950900047705</v>
      </c>
      <c r="P64" s="230"/>
      <c r="Q64" s="231">
        <f>IFERROR(1-(SUMIF(Grid_BD!$B:$B,$A64,Grid_BD!$V:$V)/($AA64+SUMIF(Grid_BD!$B:$B,$A64,Grid_BD!$V:$V))),"")</f>
        <v>1</v>
      </c>
      <c r="R64" s="230">
        <f>IFERROR(1-(SUMIF(Grid_BD!$B:$B,$A64,Grid_BD!$V:$V)/($AA64+SUMIF(Grid_BD!$B:$B,$A64,Grid_BD!$V:$V))),"")</f>
        <v>1</v>
      </c>
      <c r="S64" s="9"/>
      <c r="T64" s="231"/>
      <c r="U64" s="232">
        <f t="shared" si="6"/>
        <v>0.79186296359054364</v>
      </c>
      <c r="V64" s="232" t="str">
        <f>IFERROR(_xlfn.XLOOKUP($A64,Input_Raw!$A:$A,Input_Raw!$FG:$FG),"")</f>
        <v/>
      </c>
      <c r="W64" s="233">
        <f t="shared" si="7"/>
        <v>0.16518461538461407</v>
      </c>
      <c r="X64" s="29">
        <f>IFERROR(_xlfn.XLOOKUP($A64,Input_Raw!$A:$A,Input_Raw!$DP:$DP),"")</f>
        <v>526650.9</v>
      </c>
      <c r="Y64" s="29">
        <f>IFERROR(_xlfn.XLOOKUP($A64,Input_Raw!$A:$A,Input_Raw!EW:EW),"")</f>
        <v>518687.99999999581</v>
      </c>
      <c r="Z64" s="29">
        <f>IFERROR(_xlfn.XLOOKUP($A64,Input_Raw!$A:$A,Input_Raw!EX:EX),"")</f>
        <v>3311.9999999999345</v>
      </c>
      <c r="AA64" s="29">
        <f>IFERROR(_xlfn.XLOOKUP($A64,Input_Raw!$A:$A,Input_Raw!FA:FA),"")</f>
        <v>515375.99999999587</v>
      </c>
      <c r="AB64" s="9">
        <f>IFERROR(_xlfn.XLOOKUP($A64,Input_Raw!$A:$A,Input_Raw!FD:FD),"")</f>
        <v>120.7</v>
      </c>
      <c r="AC64" s="185">
        <f>IFERROR(_xlfn.XLOOKUP($D64,'Modelling New'!$D:$D,'Modelling New'!P:P),"")</f>
        <v>6.8903225806451607</v>
      </c>
      <c r="AD64" s="29">
        <f>IFERROR(_xlfn.XLOOKUP($D64,'Modelling New'!$D:$D,'Modelling New'!T:T)*1000,"")</f>
        <v>722503.64978642471</v>
      </c>
      <c r="AE64" s="233">
        <f>IFERROR(_xlfn.XLOOKUP($D64,'Modelling New'!$D:$D,'Modelling New'!O:O),"")</f>
        <v>0.806597995656121</v>
      </c>
      <c r="AF64" s="233">
        <f>IFERROR(_xlfn.XLOOKUP($D64,'Modelling New'!$D:$D,'Modelling New'!W:W),"")</f>
        <v>0.23157168262385408</v>
      </c>
      <c r="AG64" s="233">
        <f>IFERROR(_xlfn.XLOOKUP($D64,'Modelling New'!$D:$D,'Modelling New'!AE:AE),"")</f>
        <v>0.995</v>
      </c>
      <c r="AH64" s="234">
        <f>IFERROR(_xlfn.XLOOKUP($D64,'Modelling New'!$D:$D,'Modelling New'!AF:AF),"")</f>
        <v>0.995</v>
      </c>
      <c r="AI64" s="9"/>
      <c r="AJ64" s="9"/>
      <c r="AK64" s="258"/>
      <c r="AL64" s="258"/>
      <c r="AM64" s="258"/>
      <c r="AN64" s="235"/>
      <c r="AO64" s="233"/>
      <c r="AP64" s="233"/>
      <c r="AQ64" s="233"/>
      <c r="AR64" s="236">
        <f>_xlfn.XLOOKUP(D64,'Modelling New'!$D:$D,'Modelling New'!$N:$N)</f>
        <v>130</v>
      </c>
      <c r="AS64" s="236">
        <f t="shared" si="8"/>
        <v>670816.8502247805</v>
      </c>
    </row>
    <row r="65" spans="1:45">
      <c r="A65" s="18">
        <f t="shared" si="9"/>
        <v>45808</v>
      </c>
      <c r="B65" s="29">
        <f>YEAR(Table13[[#This Row],[Date]])+IF(MONTH(Table13[[#This Row],[Date]])&gt;=4,1,0)</f>
        <v>2026</v>
      </c>
      <c r="C65" s="9">
        <f>YEAR(Table13[[#This Row],[Date]])</f>
        <v>2025</v>
      </c>
      <c r="D65" s="229">
        <f>Table13[[#This Row],[Date]]-DAY(Table13[[#This Row],[Date]])+1</f>
        <v>45778</v>
      </c>
      <c r="E65" s="9">
        <f t="shared" si="5"/>
        <v>31</v>
      </c>
      <c r="F65" s="199">
        <f>IFERROR(_xlfn.XLOOKUP($A65,Input_Raw!$A:$A,Input_Raw!$FC:$FC),"")</f>
        <v>12.833333333333332</v>
      </c>
      <c r="G65" s="185">
        <f>IFERROR(_xlfn.XLOOKUP($A65,Input_Raw!$A:$A,Input_Raw!$CY:$CY),"")</f>
        <v>7.2675136583333311</v>
      </c>
      <c r="H65" s="185">
        <f>IFERROR(_xlfn.XLOOKUP($A65,Input_Raw!$A:$A,Input_Raw!$DA:$DA),"")</f>
        <v>1.1054926916666656</v>
      </c>
      <c r="I65" s="185">
        <f>IFERROR(_xlfn.XLOOKUP($A65,Input_Raw!$A:$A,Input_Raw!$CX:$CX),"")</f>
        <v>7.0123685166666618</v>
      </c>
      <c r="J65" s="185">
        <f>IFERROR(_xlfn.XLOOKUP($A65,Input_Raw!$A:$A,Input_Raw!$CZ:$CZ),"")</f>
        <v>0.8618371916666665</v>
      </c>
      <c r="K65" s="201">
        <f>IFERROR(_xlfn.XLOOKUP($A65,Input_Raw!$A:$A,Input_Raw!$DB:$DB),"")</f>
        <v>31.269463035572205</v>
      </c>
      <c r="L65" s="201">
        <f>IFERROR(_xlfn.XLOOKUP($A65,Input_Raw!$A:$A,Input_Raw!$DC:$DC),"")</f>
        <v>43.527358278402836</v>
      </c>
      <c r="M65" s="200">
        <f>IFERROR(_xlfn.XLOOKUP($A65,Input_Raw!$A:$A,Input_Raw!$DF:$DF),"")</f>
        <v>1.8753166070007974</v>
      </c>
      <c r="N65" s="200">
        <f>IFERROR(_xlfn.XLOOKUP($A65,Input_Raw!$A:$A,Input_Raw!$DG:$DG),"")</f>
        <v>3.8775000000000004</v>
      </c>
      <c r="O65" s="230">
        <f>IFERROR(1-(SUMIF(Plant_BD!$B:$B,$A65,Plant_BD!$AL:$AL)/($AA65+SUMIF(Plant_BD!$B:$B,$A65,Plant_BD!$AL:$AL))),"")</f>
        <v>0.97420217610206861</v>
      </c>
      <c r="P65" s="230"/>
      <c r="Q65" s="231">
        <f>IFERROR(1-(SUMIF(Grid_BD!$B:$B,$A65,Grid_BD!$V:$V)/($AA65+SUMIF(Grid_BD!$B:$B,$A65,Grid_BD!$V:$V))),"")</f>
        <v>1</v>
      </c>
      <c r="R65" s="230">
        <f>IFERROR(1-(SUMIF(Grid_BD!$B:$B,$A65,Grid_BD!$V:$V)/($AA65+SUMIF(Grid_BD!$B:$B,$A65,Grid_BD!$V:$V))),"")</f>
        <v>1</v>
      </c>
      <c r="S65" s="9"/>
      <c r="T65" s="231"/>
      <c r="U65" s="232">
        <f t="shared" si="6"/>
        <v>0.77368325691689022</v>
      </c>
      <c r="V65" s="232" t="str">
        <f>IFERROR(_xlfn.XLOOKUP($A65,Input_Raw!$A:$A,Input_Raw!$FG:$FG),"")</f>
        <v/>
      </c>
      <c r="W65" s="233">
        <f t="shared" si="7"/>
        <v>0.20988461538461808</v>
      </c>
      <c r="X65" s="29">
        <f>IFERROR(_xlfn.XLOOKUP($A65,Input_Raw!$A:$A,Input_Raw!$DP:$DP),"")</f>
        <v>668786.20000000007</v>
      </c>
      <c r="Y65" s="29">
        <f>IFERROR(_xlfn.XLOOKUP($A65,Input_Raw!$A:$A,Input_Raw!EW:EW),"")</f>
        <v>657144.00000000838</v>
      </c>
      <c r="Z65" s="29">
        <f>IFERROR(_xlfn.XLOOKUP($A65,Input_Raw!$A:$A,Input_Raw!EX:EX),"")</f>
        <v>2304.0000000000327</v>
      </c>
      <c r="AA65" s="29">
        <f>IFERROR(_xlfn.XLOOKUP($A65,Input_Raw!$A:$A,Input_Raw!FA:FA),"")</f>
        <v>654840.00000000838</v>
      </c>
      <c r="AB65" s="9">
        <f>IFERROR(_xlfn.XLOOKUP($A65,Input_Raw!$A:$A,Input_Raw!FD:FD),"")</f>
        <v>120.7</v>
      </c>
      <c r="AC65" s="185">
        <f>IFERROR(_xlfn.XLOOKUP($D65,'Modelling New'!$D:$D,'Modelling New'!P:P),"")</f>
        <v>6.8903225806451607</v>
      </c>
      <c r="AD65" s="29">
        <f>IFERROR(_xlfn.XLOOKUP($D65,'Modelling New'!$D:$D,'Modelling New'!T:T)*1000,"")</f>
        <v>722503.64978642471</v>
      </c>
      <c r="AE65" s="233">
        <f>IFERROR(_xlfn.XLOOKUP($D65,'Modelling New'!$D:$D,'Modelling New'!O:O),"")</f>
        <v>0.806597995656121</v>
      </c>
      <c r="AF65" s="233">
        <f>IFERROR(_xlfn.XLOOKUP($D65,'Modelling New'!$D:$D,'Modelling New'!W:W),"")</f>
        <v>0.23157168262385408</v>
      </c>
      <c r="AG65" s="233">
        <f>IFERROR(_xlfn.XLOOKUP($D65,'Modelling New'!$D:$D,'Modelling New'!AE:AE),"")</f>
        <v>0.995</v>
      </c>
      <c r="AH65" s="234">
        <f>IFERROR(_xlfn.XLOOKUP($D65,'Modelling New'!$D:$D,'Modelling New'!AF:AF),"")</f>
        <v>0.995</v>
      </c>
      <c r="AI65" s="9"/>
      <c r="AJ65" s="9"/>
      <c r="AK65" s="258"/>
      <c r="AL65" s="258"/>
      <c r="AM65" s="258"/>
      <c r="AN65" s="235"/>
      <c r="AO65" s="233"/>
      <c r="AP65" s="233"/>
      <c r="AQ65" s="233"/>
      <c r="AR65" s="236">
        <f>_xlfn.XLOOKUP(D65,'Modelling New'!$D:$D,'Modelling New'!$N:$N)</f>
        <v>130</v>
      </c>
      <c r="AS65" s="236">
        <f t="shared" si="8"/>
        <v>670816.8502247805</v>
      </c>
    </row>
    <row r="66" spans="1:45">
      <c r="A66" s="18">
        <f t="shared" si="9"/>
        <v>45809</v>
      </c>
      <c r="B66" s="29">
        <f>YEAR(Table13[[#This Row],[Date]])+IF(MONTH(Table13[[#This Row],[Date]])&gt;=4,1,0)</f>
        <v>2026</v>
      </c>
      <c r="C66" s="9">
        <f>YEAR(Table13[[#This Row],[Date]])</f>
        <v>2025</v>
      </c>
      <c r="D66" s="229">
        <f>Table13[[#This Row],[Date]]-DAY(Table13[[#This Row],[Date]])+1</f>
        <v>45809</v>
      </c>
      <c r="E66" s="9">
        <f t="shared" si="5"/>
        <v>30</v>
      </c>
      <c r="F66" s="199">
        <f>IFERROR(_xlfn.XLOOKUP($A66,Input_Raw!$A:$A,Input_Raw!$FC:$FC),"")</f>
        <v>12.766666666666666</v>
      </c>
      <c r="G66" s="200">
        <f>IFERROR(_xlfn.XLOOKUP($A66,Input_Raw!$A:$A,Input_Raw!$CY:$CY),"")</f>
        <v>6.7692399416666653</v>
      </c>
      <c r="H66" s="200">
        <f>IFERROR(_xlfn.XLOOKUP($A66,Input_Raw!$A:$A,Input_Raw!$DA:$DA),"")</f>
        <v>1.0381673500000002</v>
      </c>
      <c r="I66" s="200">
        <f>IFERROR(_xlfn.XLOOKUP($A66,Input_Raw!$A:$A,Input_Raw!$CX:$CX),"")</f>
        <v>6.493747975000014</v>
      </c>
      <c r="J66" s="200">
        <f>IFERROR(_xlfn.XLOOKUP($A66,Input_Raw!$A:$A,Input_Raw!$CZ:$CZ),"")</f>
        <v>0.806364566666667</v>
      </c>
      <c r="K66" s="201">
        <f>IFERROR(_xlfn.XLOOKUP($A66,Input_Raw!$A:$A,Input_Raw!$DB:$DB),"")</f>
        <v>31.093324034542</v>
      </c>
      <c r="L66" s="201">
        <f>IFERROR(_xlfn.XLOOKUP($A66,Input_Raw!$A:$A,Input_Raw!$DC:$DC),"")</f>
        <v>45.248843960823379</v>
      </c>
      <c r="M66" s="200">
        <f>IFERROR(_xlfn.XLOOKUP($A66,Input_Raw!$A:$A,Input_Raw!$DF:$DF),"")</f>
        <v>1.7245391588267145</v>
      </c>
      <c r="N66" s="200">
        <f>IFERROR(_xlfn.XLOOKUP($A66,Input_Raw!$A:$A,Input_Raw!$DG:$DG),"")</f>
        <v>3.831</v>
      </c>
      <c r="O66" s="230">
        <f>IFERROR(1-(SUMIF(Plant_BD!$B:$B,$A66,Plant_BD!$AL:$AL)/($AA66+SUMIF(Plant_BD!$B:$B,$A66,Plant_BD!$AL:$AL))),"")</f>
        <v>0.42255955324124606</v>
      </c>
      <c r="P66" s="230"/>
      <c r="Q66" s="231">
        <f>IFERROR(1-(SUMIF(Grid_BD!$B:$B,$A66,Grid_BD!$V:$V)/($AA66+SUMIF(Grid_BD!$B:$B,$A66,Grid_BD!$V:$V))),"")</f>
        <v>0.40530095835738755</v>
      </c>
      <c r="R66" s="230">
        <f>IFERROR(1-(SUMIF(Grid_BD!$B:$B,$A66,Grid_BD!$V:$V)/($AA66+SUMIF(Grid_BD!$B:$B,$A66,Grid_BD!$V:$V))),"")</f>
        <v>0.40530095835738755</v>
      </c>
      <c r="S66" s="9"/>
      <c r="T66" s="231"/>
      <c r="U66" s="232">
        <f t="shared" si="6"/>
        <v>0.33758810852311266</v>
      </c>
      <c r="V66" s="232" t="str">
        <f>IFERROR(_xlfn.XLOOKUP($A66,Input_Raw!$A:$A,Input_Raw!$FG:$FG),"")</f>
        <v/>
      </c>
      <c r="W66" s="233">
        <f t="shared" si="7"/>
        <v>8.4807692307692306E-2</v>
      </c>
      <c r="X66" s="29">
        <f>IFERROR(_xlfn.XLOOKUP($A66,Input_Raw!$A:$A,Input_Raw!$DP:$DP),"")</f>
        <v>273977.5</v>
      </c>
      <c r="Y66" s="29">
        <f>IFERROR(_xlfn.XLOOKUP($A66,Input_Raw!$A:$A,Input_Raw!EW:EW),"")</f>
        <v>264600</v>
      </c>
      <c r="Z66" s="29">
        <f>IFERROR(_xlfn.XLOOKUP($A66,Input_Raw!$A:$A,Input_Raw!EX:EX),"")</f>
        <v>0</v>
      </c>
      <c r="AA66" s="29">
        <f>IFERROR(_xlfn.XLOOKUP($A66,Input_Raw!$A:$A,Input_Raw!FA:FA),"")</f>
        <v>264600</v>
      </c>
      <c r="AB66" s="9">
        <f>IFERROR(_xlfn.XLOOKUP($A66,Input_Raw!$A:$A,Input_Raw!FD:FD),"")</f>
        <v>120.7</v>
      </c>
      <c r="AC66" s="185">
        <f>IFERROR(_xlfn.XLOOKUP($D66,'Modelling New'!$D:$D,'Modelling New'!P:P),"")</f>
        <v>4.97</v>
      </c>
      <c r="AD66" s="29">
        <f>IFERROR(_xlfn.XLOOKUP($D66,'Modelling New'!$D:$D,'Modelling New'!T:T)*1000,"")</f>
        <v>544049.67582548468</v>
      </c>
      <c r="AE66" s="233">
        <f>IFERROR(_xlfn.XLOOKUP($D66,'Modelling New'!$D:$D,'Modelling New'!O:O),"")</f>
        <v>0.84205181214283342</v>
      </c>
      <c r="AF66" s="233">
        <f>IFERROR(_xlfn.XLOOKUP($D66,'Modelling New'!$D:$D,'Modelling New'!W:W),"")</f>
        <v>0.17437489609791174</v>
      </c>
      <c r="AG66" s="233">
        <f>IFERROR(_xlfn.XLOOKUP($D66,'Modelling New'!$D:$D,'Modelling New'!AE:AE),"")</f>
        <v>0.995</v>
      </c>
      <c r="AH66" s="234">
        <f>IFERROR(_xlfn.XLOOKUP($D66,'Modelling New'!$D:$D,'Modelling New'!AF:AF),"")</f>
        <v>0.995</v>
      </c>
      <c r="AI66" s="9"/>
      <c r="AJ66" s="9"/>
      <c r="AK66" s="258"/>
      <c r="AL66" s="258"/>
      <c r="AM66" s="258"/>
      <c r="AN66" s="235"/>
      <c r="AO66" s="233"/>
      <c r="AP66" s="233"/>
      <c r="AQ66" s="233"/>
      <c r="AR66" s="236">
        <f>_xlfn.XLOOKUP(D66,'Modelling New'!$D:$D,'Modelling New'!$N:$N)</f>
        <v>130</v>
      </c>
      <c r="AS66" s="236">
        <f t="shared" si="8"/>
        <v>505129.19901643082</v>
      </c>
    </row>
    <row r="67" spans="1:45">
      <c r="A67" s="18">
        <f t="shared" si="9"/>
        <v>45810</v>
      </c>
      <c r="B67" s="29">
        <f>YEAR(Table13[[#This Row],[Date]])+IF(MONTH(Table13[[#This Row],[Date]])&gt;=4,1,0)</f>
        <v>2026</v>
      </c>
      <c r="C67" s="9">
        <f>YEAR(Table13[[#This Row],[Date]])</f>
        <v>2025</v>
      </c>
      <c r="D67" s="229">
        <f>Table13[[#This Row],[Date]]-DAY(Table13[[#This Row],[Date]])+1</f>
        <v>45809</v>
      </c>
      <c r="E67" s="9">
        <f t="shared" si="5"/>
        <v>30</v>
      </c>
      <c r="F67" s="199">
        <f>IFERROR(_xlfn.XLOOKUP($A67,Input_Raw!$A:$A,Input_Raw!$FC:$FC),"")</f>
        <v>12.666666666666668</v>
      </c>
      <c r="G67" s="185">
        <f>IFERROR(_xlfn.XLOOKUP($A67,Input_Raw!$A:$A,Input_Raw!$CY:$CY),"")</f>
        <v>7.0219489750000044</v>
      </c>
      <c r="H67" s="185">
        <f>IFERROR(_xlfn.XLOOKUP($A67,Input_Raw!$A:$A,Input_Raw!$DA:$DA),"")</f>
        <v>1.0898763083333334</v>
      </c>
      <c r="I67" s="185">
        <f>IFERROR(_xlfn.XLOOKUP($A67,Input_Raw!$A:$A,Input_Raw!$CX:$CX),"")</f>
        <v>6.7173931833333285</v>
      </c>
      <c r="J67" s="185">
        <f>IFERROR(_xlfn.XLOOKUP($A67,Input_Raw!$A:$A,Input_Raw!$CZ:$CZ),"")</f>
        <v>0.87432039166666597</v>
      </c>
      <c r="K67" s="201">
        <f>IFERROR(_xlfn.XLOOKUP($A67,Input_Raw!$A:$A,Input_Raw!$DB:$DB),"")</f>
        <v>31.057029657846712</v>
      </c>
      <c r="L67" s="201">
        <f>IFERROR(_xlfn.XLOOKUP($A67,Input_Raw!$A:$A,Input_Raw!$DC:$DC),"")</f>
        <v>44.380076954483783</v>
      </c>
      <c r="M67" s="200">
        <f>IFERROR(_xlfn.XLOOKUP($A67,Input_Raw!$A:$A,Input_Raw!$DF:$DF),"")</f>
        <v>1.666497183851571</v>
      </c>
      <c r="N67" s="200">
        <f>IFERROR(_xlfn.XLOOKUP($A67,Input_Raw!$A:$A,Input_Raw!$DG:$DG),"")</f>
        <v>3.2984999999999998</v>
      </c>
      <c r="O67" s="230">
        <f>IFERROR(1-(SUMIF(Plant_BD!$B:$B,$A67,Plant_BD!$AL:$AL)/($AA67+SUMIF(Plant_BD!$B:$B,$A67,Plant_BD!$AL:$AL))),"")</f>
        <v>1</v>
      </c>
      <c r="P67" s="230"/>
      <c r="Q67" s="231">
        <f>IFERROR(1-(SUMIF(Grid_BD!$B:$B,$A67,Grid_BD!$V:$V)/($AA67+SUMIF(Grid_BD!$B:$B,$A67,Grid_BD!$V:$V))),"")</f>
        <v>1</v>
      </c>
      <c r="R67" s="230">
        <f>IFERROR(1-(SUMIF(Grid_BD!$B:$B,$A67,Grid_BD!$V:$V)/($AA67+SUMIF(Grid_BD!$B:$B,$A67,Grid_BD!$V:$V))),"")</f>
        <v>1</v>
      </c>
      <c r="S67" s="9"/>
      <c r="T67" s="231"/>
      <c r="U67" s="232">
        <f t="shared" si="6"/>
        <v>0.7491366217192843</v>
      </c>
      <c r="V67" s="232" t="str">
        <f>IFERROR(_xlfn.XLOOKUP($A67,Input_Raw!$A:$A,Input_Raw!$FG:$FG),"")</f>
        <v/>
      </c>
      <c r="W67" s="233">
        <f t="shared" si="7"/>
        <v>0.1946769230769177</v>
      </c>
      <c r="X67" s="29">
        <f>IFERROR(_xlfn.XLOOKUP($A67,Input_Raw!$A:$A,Input_Raw!$DP:$DP),"")</f>
        <v>652977.19999999995</v>
      </c>
      <c r="Y67" s="29">
        <f>IFERROR(_xlfn.XLOOKUP($A67,Input_Raw!$A:$A,Input_Raw!EW:EW),"")</f>
        <v>640151.99999998324</v>
      </c>
      <c r="Z67" s="29">
        <f>IFERROR(_xlfn.XLOOKUP($A67,Input_Raw!$A:$A,Input_Raw!EX:EX),"")</f>
        <v>32760</v>
      </c>
      <c r="AA67" s="29">
        <f>IFERROR(_xlfn.XLOOKUP($A67,Input_Raw!$A:$A,Input_Raw!FA:FA),"")</f>
        <v>607391.99999998324</v>
      </c>
      <c r="AB67" s="9">
        <f>IFERROR(_xlfn.XLOOKUP($A67,Input_Raw!$A:$A,Input_Raw!FD:FD),"")</f>
        <v>120.7</v>
      </c>
      <c r="AC67" s="185">
        <f>IFERROR(_xlfn.XLOOKUP($D67,'Modelling New'!$D:$D,'Modelling New'!P:P),"")</f>
        <v>4.97</v>
      </c>
      <c r="AD67" s="29">
        <f>IFERROR(_xlfn.XLOOKUP($D67,'Modelling New'!$D:$D,'Modelling New'!T:T)*1000,"")</f>
        <v>544049.67582548468</v>
      </c>
      <c r="AE67" s="233">
        <f>IFERROR(_xlfn.XLOOKUP($D67,'Modelling New'!$D:$D,'Modelling New'!O:O),"")</f>
        <v>0.84205181214283342</v>
      </c>
      <c r="AF67" s="233">
        <f>IFERROR(_xlfn.XLOOKUP($D67,'Modelling New'!$D:$D,'Modelling New'!W:W),"")</f>
        <v>0.17437489609791174</v>
      </c>
      <c r="AG67" s="233">
        <f>IFERROR(_xlfn.XLOOKUP($D67,'Modelling New'!$D:$D,'Modelling New'!AE:AE),"")</f>
        <v>0.995</v>
      </c>
      <c r="AH67" s="234">
        <f>IFERROR(_xlfn.XLOOKUP($D67,'Modelling New'!$D:$D,'Modelling New'!AF:AF),"")</f>
        <v>0.995</v>
      </c>
      <c r="AI67" s="9"/>
      <c r="AJ67" s="9"/>
      <c r="AK67" s="258"/>
      <c r="AL67" s="258"/>
      <c r="AM67" s="258"/>
      <c r="AN67" s="235"/>
      <c r="AO67" s="233"/>
      <c r="AP67" s="233"/>
      <c r="AQ67" s="233"/>
      <c r="AR67" s="236">
        <f>_xlfn.XLOOKUP(D67,'Modelling New'!$D:$D,'Modelling New'!$N:$N)</f>
        <v>130</v>
      </c>
      <c r="AS67" s="236">
        <f t="shared" si="8"/>
        <v>505129.19901643082</v>
      </c>
    </row>
    <row r="68" spans="1:45">
      <c r="A68" s="18">
        <f t="shared" si="9"/>
        <v>45811</v>
      </c>
      <c r="B68" s="29">
        <f>YEAR(Table13[[#This Row],[Date]])+IF(MONTH(Table13[[#This Row],[Date]])&gt;=4,1,0)</f>
        <v>2026</v>
      </c>
      <c r="C68" s="9">
        <f>YEAR(Table13[[#This Row],[Date]])</f>
        <v>2025</v>
      </c>
      <c r="D68" s="229">
        <f>Table13[[#This Row],[Date]]-DAY(Table13[[#This Row],[Date]])+1</f>
        <v>45809</v>
      </c>
      <c r="E68" s="9">
        <f t="shared" si="5"/>
        <v>30</v>
      </c>
      <c r="F68" s="199">
        <f>IFERROR(_xlfn.XLOOKUP($A68,Input_Raw!$A:$A,Input_Raw!$FC:$FC),"")</f>
        <v>12.65</v>
      </c>
      <c r="G68" s="200">
        <f>IFERROR(_xlfn.XLOOKUP($A68,Input_Raw!$A:$A,Input_Raw!$CY:$CY),"")</f>
        <v>6.5985606749999945</v>
      </c>
      <c r="H68" s="200">
        <f>IFERROR(_xlfn.XLOOKUP($A68,Input_Raw!$A:$A,Input_Raw!$DA:$DA),"")</f>
        <v>1.0414837833333332</v>
      </c>
      <c r="I68" s="200">
        <f>IFERROR(_xlfn.XLOOKUP($A68,Input_Raw!$A:$A,Input_Raw!$CX:$CX),"")</f>
        <v>6.2993572666666671</v>
      </c>
      <c r="J68" s="200">
        <f>IFERROR(_xlfn.XLOOKUP($A68,Input_Raw!$A:$A,Input_Raw!$CZ:$CZ),"")</f>
        <v>0.83345265833333237</v>
      </c>
      <c r="K68" s="201">
        <f>IFERROR(_xlfn.XLOOKUP($A68,Input_Raw!$A:$A,Input_Raw!$DB:$DB),"")</f>
        <v>30.885080437781902</v>
      </c>
      <c r="L68" s="201">
        <f>IFERROR(_xlfn.XLOOKUP($A68,Input_Raw!$A:$A,Input_Raw!$DC:$DC),"")</f>
        <v>42.526407222069111</v>
      </c>
      <c r="M68" s="200">
        <f>IFERROR(_xlfn.XLOOKUP($A68,Input_Raw!$A:$A,Input_Raw!$DF:$DF),"")</f>
        <v>1.7956576993172271</v>
      </c>
      <c r="N68" s="200">
        <f>IFERROR(_xlfn.XLOOKUP($A68,Input_Raw!$A:$A,Input_Raw!$DG:$DG),"")</f>
        <v>3.6509999999999998</v>
      </c>
      <c r="O68" s="230">
        <f>IFERROR(1-(SUMIF(Plant_BD!$B:$B,$A68,Plant_BD!$AL:$AL)/($AA68+SUMIF(Plant_BD!$B:$B,$A68,Plant_BD!$AL:$AL))),"")</f>
        <v>0.99995385488677169</v>
      </c>
      <c r="P68" s="230"/>
      <c r="Q68" s="231">
        <f>IFERROR(1-(SUMIF(Grid_BD!$B:$B,$A68,Grid_BD!$V:$V)/($AA68+SUMIF(Grid_BD!$B:$B,$A68,Grid_BD!$V:$V))),"")</f>
        <v>1</v>
      </c>
      <c r="R68" s="230">
        <f>IFERROR(1-(SUMIF(Grid_BD!$B:$B,$A68,Grid_BD!$V:$V)/($AA68+SUMIF(Grid_BD!$B:$B,$A68,Grid_BD!$V:$V))),"")</f>
        <v>1</v>
      </c>
      <c r="S68" s="9"/>
      <c r="T68" s="231"/>
      <c r="U68" s="232">
        <f t="shared" si="6"/>
        <v>0.78350058796730648</v>
      </c>
      <c r="V68" s="232" t="str">
        <f>IFERROR(_xlfn.XLOOKUP($A68,Input_Raw!$A:$A,Input_Raw!$FG:$FG),"")</f>
        <v/>
      </c>
      <c r="W68" s="233">
        <f t="shared" si="7"/>
        <v>0.19410000000000271</v>
      </c>
      <c r="X68" s="29">
        <f>IFERROR(_xlfn.XLOOKUP($A68,Input_Raw!$A:$A,Input_Raw!$DP:$DP),"")</f>
        <v>619614.70000000007</v>
      </c>
      <c r="Y68" s="29">
        <f>IFERROR(_xlfn.XLOOKUP($A68,Input_Raw!$A:$A,Input_Raw!EW:EW),"")</f>
        <v>608184.00000000838</v>
      </c>
      <c r="Z68" s="29">
        <f>IFERROR(_xlfn.XLOOKUP($A68,Input_Raw!$A:$A,Input_Raw!EX:EX),"")</f>
        <v>2591.9999999999345</v>
      </c>
      <c r="AA68" s="29">
        <f>IFERROR(_xlfn.XLOOKUP($A68,Input_Raw!$A:$A,Input_Raw!FA:FA),"")</f>
        <v>605592.0000000085</v>
      </c>
      <c r="AB68" s="9">
        <f>IFERROR(_xlfn.XLOOKUP($A68,Input_Raw!$A:$A,Input_Raw!FD:FD),"")</f>
        <v>122.7</v>
      </c>
      <c r="AC68" s="185">
        <f>IFERROR(_xlfn.XLOOKUP($D68,'Modelling New'!$D:$D,'Modelling New'!P:P),"")</f>
        <v>4.97</v>
      </c>
      <c r="AD68" s="29">
        <f>IFERROR(_xlfn.XLOOKUP($D68,'Modelling New'!$D:$D,'Modelling New'!T:T)*1000,"")</f>
        <v>544049.67582548468</v>
      </c>
      <c r="AE68" s="233">
        <f>IFERROR(_xlfn.XLOOKUP($D68,'Modelling New'!$D:$D,'Modelling New'!O:O),"")</f>
        <v>0.84205181214283342</v>
      </c>
      <c r="AF68" s="233">
        <f>IFERROR(_xlfn.XLOOKUP($D68,'Modelling New'!$D:$D,'Modelling New'!W:W),"")</f>
        <v>0.17437489609791174</v>
      </c>
      <c r="AG68" s="233">
        <f>IFERROR(_xlfn.XLOOKUP($D68,'Modelling New'!$D:$D,'Modelling New'!AE:AE),"")</f>
        <v>0.995</v>
      </c>
      <c r="AH68" s="234">
        <f>IFERROR(_xlfn.XLOOKUP($D68,'Modelling New'!$D:$D,'Modelling New'!AF:AF),"")</f>
        <v>0.995</v>
      </c>
      <c r="AI68" s="9"/>
      <c r="AJ68" s="9"/>
      <c r="AK68" s="258"/>
      <c r="AL68" s="258"/>
      <c r="AM68" s="258"/>
      <c r="AN68" s="235"/>
      <c r="AO68" s="233"/>
      <c r="AP68" s="233"/>
      <c r="AQ68" s="233"/>
      <c r="AR68" s="236">
        <f>_xlfn.XLOOKUP(D68,'Modelling New'!$D:$D,'Modelling New'!$N:$N)</f>
        <v>130</v>
      </c>
      <c r="AS68" s="236">
        <f t="shared" si="8"/>
        <v>513499.19402913057</v>
      </c>
    </row>
    <row r="69" spans="1:45">
      <c r="A69" s="18">
        <f t="shared" si="9"/>
        <v>45812</v>
      </c>
      <c r="B69" s="29">
        <f>YEAR(Table13[[#This Row],[Date]])+IF(MONTH(Table13[[#This Row],[Date]])&gt;=4,1,0)</f>
        <v>2026</v>
      </c>
      <c r="C69" s="9">
        <f>YEAR(Table13[[#This Row],[Date]])</f>
        <v>2025</v>
      </c>
      <c r="D69" s="229">
        <f>Table13[[#This Row],[Date]]-DAY(Table13[[#This Row],[Date]])+1</f>
        <v>45809</v>
      </c>
      <c r="E69" s="9">
        <f t="shared" si="5"/>
        <v>30</v>
      </c>
      <c r="F69" s="199">
        <f>IFERROR(_xlfn.XLOOKUP($A69,Input_Raw!$A:$A,Input_Raw!$FC:$FC),"")</f>
        <v>12.65</v>
      </c>
      <c r="G69" s="185">
        <f>IFERROR(_xlfn.XLOOKUP($A69,Input_Raw!$A:$A,Input_Raw!$CY:$CY),"")</f>
        <v>6.5699017833333357</v>
      </c>
      <c r="H69" s="185">
        <f>IFERROR(_xlfn.XLOOKUP($A69,Input_Raw!$A:$A,Input_Raw!$DA:$DA),"")</f>
        <v>1.0372255666666674</v>
      </c>
      <c r="I69" s="185">
        <f>IFERROR(_xlfn.XLOOKUP($A69,Input_Raw!$A:$A,Input_Raw!$CX:$CX),"")</f>
        <v>6.2918486750000024</v>
      </c>
      <c r="J69" s="185">
        <f>IFERROR(_xlfn.XLOOKUP($A69,Input_Raw!$A:$A,Input_Raw!$CZ:$CZ),"")</f>
        <v>0.83294176666666675</v>
      </c>
      <c r="K69" s="201">
        <f>IFERROR(_xlfn.XLOOKUP($A69,Input_Raw!$A:$A,Input_Raw!$DB:$DB),"")</f>
        <v>30.282020360473169</v>
      </c>
      <c r="L69" s="201">
        <f>IFERROR(_xlfn.XLOOKUP($A69,Input_Raw!$A:$A,Input_Raw!$DC:$DC),"")</f>
        <v>43.583758445583122</v>
      </c>
      <c r="M69" s="200">
        <f>IFERROR(_xlfn.XLOOKUP($A69,Input_Raw!$A:$A,Input_Raw!$DF:$DF),"")</f>
        <v>1.1870609252135982</v>
      </c>
      <c r="N69" s="200">
        <f>IFERROR(_xlfn.XLOOKUP($A69,Input_Raw!$A:$A,Input_Raw!$DG:$DG),"")</f>
        <v>3.2489999999999997</v>
      </c>
      <c r="O69" s="230">
        <f>IFERROR(1-(SUMIF(Plant_BD!$B:$B,$A69,Plant_BD!$AL:$AL)/($AA69+SUMIF(Plant_BD!$B:$B,$A69,Plant_BD!$AL:$AL))),"")</f>
        <v>0.99995982657185589</v>
      </c>
      <c r="P69" s="230"/>
      <c r="Q69" s="231">
        <f>IFERROR(1-(SUMIF(Grid_BD!$B:$B,$A69,Grid_BD!$V:$V)/($AA69+SUMIF(Grid_BD!$B:$B,$A69,Grid_BD!$V:$V))),"")</f>
        <v>1</v>
      </c>
      <c r="R69" s="230">
        <f>IFERROR(1-(SUMIF(Grid_BD!$B:$B,$A69,Grid_BD!$V:$V)/($AA69+SUMIF(Grid_BD!$B:$B,$A69,Grid_BD!$V:$V))),"")</f>
        <v>1</v>
      </c>
      <c r="S69" s="9"/>
      <c r="T69" s="231"/>
      <c r="U69" s="232">
        <f t="shared" si="6"/>
        <v>0.76279857492503178</v>
      </c>
      <c r="V69" s="232" t="str">
        <f>IFERROR(_xlfn.XLOOKUP($A69,Input_Raw!$A:$A,Input_Raw!$FG:$FG),"")</f>
        <v/>
      </c>
      <c r="W69" s="233">
        <f t="shared" si="7"/>
        <v>0.18874615384615251</v>
      </c>
      <c r="X69" s="29">
        <f>IFERROR(_xlfn.XLOOKUP($A69,Input_Raw!$A:$A,Input_Raw!$DP:$DP),"")</f>
        <v>602941.19999999995</v>
      </c>
      <c r="Y69" s="29">
        <f>IFERROR(_xlfn.XLOOKUP($A69,Input_Raw!$A:$A,Input_Raw!EW:EW),"")</f>
        <v>591767.99999999581</v>
      </c>
      <c r="Z69" s="29">
        <f>IFERROR(_xlfn.XLOOKUP($A69,Input_Raw!$A:$A,Input_Raw!EX:EX),"")</f>
        <v>2880</v>
      </c>
      <c r="AA69" s="29">
        <f>IFERROR(_xlfn.XLOOKUP($A69,Input_Raw!$A:$A,Input_Raw!FA:FA),"")</f>
        <v>588887.99999999581</v>
      </c>
      <c r="AB69" s="9">
        <f>IFERROR(_xlfn.XLOOKUP($A69,Input_Raw!$A:$A,Input_Raw!FD:FD),"")</f>
        <v>122.7</v>
      </c>
      <c r="AC69" s="185">
        <f>IFERROR(_xlfn.XLOOKUP($D69,'Modelling New'!$D:$D,'Modelling New'!P:P),"")</f>
        <v>4.97</v>
      </c>
      <c r="AD69" s="29">
        <f>IFERROR(_xlfn.XLOOKUP($D69,'Modelling New'!$D:$D,'Modelling New'!T:T)*1000,"")</f>
        <v>544049.67582548468</v>
      </c>
      <c r="AE69" s="233">
        <f>IFERROR(_xlfn.XLOOKUP($D69,'Modelling New'!$D:$D,'Modelling New'!O:O),"")</f>
        <v>0.84205181214283342</v>
      </c>
      <c r="AF69" s="233">
        <f>IFERROR(_xlfn.XLOOKUP($D69,'Modelling New'!$D:$D,'Modelling New'!W:W),"")</f>
        <v>0.17437489609791174</v>
      </c>
      <c r="AG69" s="233">
        <f>IFERROR(_xlfn.XLOOKUP($D69,'Modelling New'!$D:$D,'Modelling New'!AE:AE),"")</f>
        <v>0.995</v>
      </c>
      <c r="AH69" s="234">
        <f>IFERROR(_xlfn.XLOOKUP($D69,'Modelling New'!$D:$D,'Modelling New'!AF:AF),"")</f>
        <v>0.995</v>
      </c>
      <c r="AI69" s="9"/>
      <c r="AJ69" s="9"/>
      <c r="AK69" s="258"/>
      <c r="AL69" s="258"/>
      <c r="AM69" s="258"/>
      <c r="AN69" s="235"/>
      <c r="AO69" s="233"/>
      <c r="AP69" s="233"/>
      <c r="AQ69" s="233"/>
      <c r="AR69" s="236">
        <f>_xlfn.XLOOKUP(D69,'Modelling New'!$D:$D,'Modelling New'!$N:$N)</f>
        <v>130</v>
      </c>
      <c r="AS69" s="236">
        <f t="shared" si="8"/>
        <v>513499.19402913057</v>
      </c>
    </row>
    <row r="70" spans="1:45">
      <c r="A70" s="18">
        <f t="shared" si="9"/>
        <v>45813</v>
      </c>
      <c r="B70" s="29">
        <f>YEAR(Table13[[#This Row],[Date]])+IF(MONTH(Table13[[#This Row],[Date]])&gt;=4,1,0)</f>
        <v>2026</v>
      </c>
      <c r="C70" s="9">
        <f>YEAR(Table13[[#This Row],[Date]])</f>
        <v>2025</v>
      </c>
      <c r="D70" s="229">
        <f>Table13[[#This Row],[Date]]-DAY(Table13[[#This Row],[Date]])+1</f>
        <v>45809</v>
      </c>
      <c r="E70" s="9">
        <f t="shared" si="5"/>
        <v>30</v>
      </c>
      <c r="F70" s="199">
        <f>IFERROR(_xlfn.XLOOKUP($A70,Input_Raw!$A:$A,Input_Raw!$FC:$FC),"")</f>
        <v>12.533333333333335</v>
      </c>
      <c r="G70" s="200">
        <f>IFERROR(_xlfn.XLOOKUP($A70,Input_Raw!$A:$A,Input_Raw!$CY:$CY),"")</f>
        <v>6.5917211166666672</v>
      </c>
      <c r="H70" s="200">
        <f>IFERROR(_xlfn.XLOOKUP($A70,Input_Raw!$A:$A,Input_Raw!$DA:$DA),"")</f>
        <v>1.0270025250000001</v>
      </c>
      <c r="I70" s="200">
        <f>IFERROR(_xlfn.XLOOKUP($A70,Input_Raw!$A:$A,Input_Raw!$CX:$CX),"")</f>
        <v>6.2965364250000029</v>
      </c>
      <c r="J70" s="200">
        <f>IFERROR(_xlfn.XLOOKUP($A70,Input_Raw!$A:$A,Input_Raw!$CZ:$CZ),"")</f>
        <v>0.83163194166666665</v>
      </c>
      <c r="K70" s="201">
        <f>IFERROR(_xlfn.XLOOKUP($A70,Input_Raw!$A:$A,Input_Raw!$DB:$DB),"")</f>
        <v>29.909802423105514</v>
      </c>
      <c r="L70" s="201">
        <f>IFERROR(_xlfn.XLOOKUP($A70,Input_Raw!$A:$A,Input_Raw!$DC:$DC),"")</f>
        <v>43.463974574492667</v>
      </c>
      <c r="M70" s="200">
        <f>IFERROR(_xlfn.XLOOKUP($A70,Input_Raw!$A:$A,Input_Raw!$DF:$DF),"")</f>
        <v>0.98651597482581943</v>
      </c>
      <c r="N70" s="200">
        <f>IFERROR(_xlfn.XLOOKUP($A70,Input_Raw!$A:$A,Input_Raw!$DG:$DG),"")</f>
        <v>2.9355000000000002</v>
      </c>
      <c r="O70" s="230">
        <f>IFERROR(1-(SUMIF(Plant_BD!$B:$B,$A70,Plant_BD!$AL:$AL)/($AA70+SUMIF(Plant_BD!$B:$B,$A70,Plant_BD!$AL:$AL))),"")</f>
        <v>1</v>
      </c>
      <c r="P70" s="230"/>
      <c r="Q70" s="231">
        <f>IFERROR(1-(SUMIF(Grid_BD!$B:$B,$A70,Grid_BD!$V:$V)/($AA70+SUMIF(Grid_BD!$B:$B,$A70,Grid_BD!$V:$V))),"")</f>
        <v>1</v>
      </c>
      <c r="R70" s="230">
        <f>IFERROR(1-(SUMIF(Grid_BD!$B:$B,$A70,Grid_BD!$V:$V)/($AA70+SUMIF(Grid_BD!$B:$B,$A70,Grid_BD!$V:$V))),"")</f>
        <v>1</v>
      </c>
      <c r="S70" s="9"/>
      <c r="T70" s="231"/>
      <c r="U70" s="232">
        <f t="shared" si="6"/>
        <v>0.81358036236693398</v>
      </c>
      <c r="V70" s="232" t="str">
        <f>IFERROR(_xlfn.XLOOKUP($A70,Input_Raw!$A:$A,Input_Raw!$FG:$FG),"")</f>
        <v/>
      </c>
      <c r="W70" s="233">
        <f t="shared" si="7"/>
        <v>0.20146153846153977</v>
      </c>
      <c r="X70" s="29">
        <f>IFERROR(_xlfn.XLOOKUP($A70,Input_Raw!$A:$A,Input_Raw!$DP:$DP),"")</f>
        <v>643766.5</v>
      </c>
      <c r="Y70" s="29">
        <f>IFERROR(_xlfn.XLOOKUP($A70,Input_Raw!$A:$A,Input_Raw!EW:EW),"")</f>
        <v>631152.00000000419</v>
      </c>
      <c r="Z70" s="29">
        <f>IFERROR(_xlfn.XLOOKUP($A70,Input_Raw!$A:$A,Input_Raw!EX:EX),"")</f>
        <v>2592.0000000000982</v>
      </c>
      <c r="AA70" s="29">
        <f>IFERROR(_xlfn.XLOOKUP($A70,Input_Raw!$A:$A,Input_Raw!FA:FA),"")</f>
        <v>628560.00000000407</v>
      </c>
      <c r="AB70" s="9">
        <f>IFERROR(_xlfn.XLOOKUP($A70,Input_Raw!$A:$A,Input_Raw!FD:FD),"")</f>
        <v>122.7</v>
      </c>
      <c r="AC70" s="185">
        <f>IFERROR(_xlfn.XLOOKUP($D70,'Modelling New'!$D:$D,'Modelling New'!P:P),"")</f>
        <v>4.97</v>
      </c>
      <c r="AD70" s="29">
        <f>IFERROR(_xlfn.XLOOKUP($D70,'Modelling New'!$D:$D,'Modelling New'!T:T)*1000,"")</f>
        <v>544049.67582548468</v>
      </c>
      <c r="AE70" s="233">
        <f>IFERROR(_xlfn.XLOOKUP($D70,'Modelling New'!$D:$D,'Modelling New'!O:O),"")</f>
        <v>0.84205181214283342</v>
      </c>
      <c r="AF70" s="233">
        <f>IFERROR(_xlfn.XLOOKUP($D70,'Modelling New'!$D:$D,'Modelling New'!W:W),"")</f>
        <v>0.17437489609791174</v>
      </c>
      <c r="AG70" s="233">
        <f>IFERROR(_xlfn.XLOOKUP($D70,'Modelling New'!$D:$D,'Modelling New'!AE:AE),"")</f>
        <v>0.995</v>
      </c>
      <c r="AH70" s="234">
        <f>IFERROR(_xlfn.XLOOKUP($D70,'Modelling New'!$D:$D,'Modelling New'!AF:AF),"")</f>
        <v>0.995</v>
      </c>
      <c r="AI70" s="9"/>
      <c r="AJ70" s="9"/>
      <c r="AK70" s="258"/>
      <c r="AL70" s="258"/>
      <c r="AM70" s="258"/>
      <c r="AN70" s="235"/>
      <c r="AO70" s="233"/>
      <c r="AP70" s="233"/>
      <c r="AQ70" s="233"/>
      <c r="AR70" s="236">
        <f>_xlfn.XLOOKUP(D70,'Modelling New'!$D:$D,'Modelling New'!$N:$N)</f>
        <v>130</v>
      </c>
      <c r="AS70" s="236">
        <f t="shared" si="8"/>
        <v>513499.19402913057</v>
      </c>
    </row>
    <row r="71" spans="1:45">
      <c r="A71" s="18">
        <f t="shared" si="9"/>
        <v>45814</v>
      </c>
      <c r="B71" s="29">
        <f>YEAR(Table13[[#This Row],[Date]])+IF(MONTH(Table13[[#This Row],[Date]])&gt;=4,1,0)</f>
        <v>2026</v>
      </c>
      <c r="C71" s="9">
        <f>YEAR(Table13[[#This Row],[Date]])</f>
        <v>2025</v>
      </c>
      <c r="D71" s="229">
        <f>Table13[[#This Row],[Date]]-DAY(Table13[[#This Row],[Date]])+1</f>
        <v>45809</v>
      </c>
      <c r="E71" s="9">
        <f t="shared" si="5"/>
        <v>30</v>
      </c>
      <c r="F71" s="199">
        <f>IFERROR(_xlfn.XLOOKUP($A71,Input_Raw!$A:$A,Input_Raw!$FC:$FC),"")</f>
        <v>12.483333333333334</v>
      </c>
      <c r="G71" s="185">
        <f>IFERROR(_xlfn.XLOOKUP($A71,Input_Raw!$A:$A,Input_Raw!$CY:$CY),"")</f>
        <v>6.5675335499999923</v>
      </c>
      <c r="H71" s="185">
        <f>IFERROR(_xlfn.XLOOKUP($A71,Input_Raw!$A:$A,Input_Raw!$DA:$DA),"")</f>
        <v>1.051207716666666</v>
      </c>
      <c r="I71" s="185">
        <f>IFERROR(_xlfn.XLOOKUP($A71,Input_Raw!$A:$A,Input_Raw!$CX:$CX),"")</f>
        <v>6.2742636083333334</v>
      </c>
      <c r="J71" s="185">
        <f>IFERROR(_xlfn.XLOOKUP($A71,Input_Raw!$A:$A,Input_Raw!$CZ:$CZ),"")</f>
        <v>3.6134784833333273</v>
      </c>
      <c r="K71" s="201">
        <f>IFERROR(_xlfn.XLOOKUP($A71,Input_Raw!$A:$A,Input_Raw!$DB:$DB),"")</f>
        <v>32.00739104745648</v>
      </c>
      <c r="L71" s="201">
        <f>IFERROR(_xlfn.XLOOKUP($A71,Input_Raw!$A:$A,Input_Raw!$DC:$DC),"")</f>
        <v>44.284493395337456</v>
      </c>
      <c r="M71" s="200">
        <f>IFERROR(_xlfn.XLOOKUP($A71,Input_Raw!$A:$A,Input_Raw!$DF:$DF),"")</f>
        <v>1.2471338239532641</v>
      </c>
      <c r="N71" s="200">
        <f>IFERROR(_xlfn.XLOOKUP($A71,Input_Raw!$A:$A,Input_Raw!$DG:$DG),"")</f>
        <v>2.8215000000000003</v>
      </c>
      <c r="O71" s="230">
        <f>IFERROR(1-(SUMIF(Plant_BD!$B:$B,$A71,Plant_BD!$AL:$AL)/($AA71+SUMIF(Plant_BD!$B:$B,$A71,Plant_BD!$AL:$AL))),"")</f>
        <v>1</v>
      </c>
      <c r="P71" s="230"/>
      <c r="Q71" s="231">
        <f>IFERROR(1-(SUMIF(Grid_BD!$B:$B,$A71,Grid_BD!$V:$V)/($AA71+SUMIF(Grid_BD!$B:$B,$A71,Grid_BD!$V:$V))),"")</f>
        <v>1</v>
      </c>
      <c r="R71" s="230">
        <f>IFERROR(1-(SUMIF(Grid_BD!$B:$B,$A71,Grid_BD!$V:$V)/($AA71+SUMIF(Grid_BD!$B:$B,$A71,Grid_BD!$V:$V))),"")</f>
        <v>1</v>
      </c>
      <c r="S71" s="9"/>
      <c r="T71" s="231"/>
      <c r="U71" s="232">
        <f t="shared" si="6"/>
        <v>0.80814479020265506</v>
      </c>
      <c r="V71" s="232" t="str">
        <f>IFERROR(_xlfn.XLOOKUP($A71,Input_Raw!$A:$A,Input_Raw!$FG:$FG),"")</f>
        <v/>
      </c>
      <c r="W71" s="233">
        <f t="shared" si="7"/>
        <v>0.19940769230768965</v>
      </c>
      <c r="X71" s="29">
        <f>IFERROR(_xlfn.XLOOKUP($A71,Input_Raw!$A:$A,Input_Raw!$DP:$DP),"")</f>
        <v>637487</v>
      </c>
      <c r="Y71" s="29">
        <f>IFERROR(_xlfn.XLOOKUP($A71,Input_Raw!$A:$A,Input_Raw!EW:EW),"")</f>
        <v>625175.99999999162</v>
      </c>
      <c r="Z71" s="29">
        <f>IFERROR(_xlfn.XLOOKUP($A71,Input_Raw!$A:$A,Input_Raw!EX:EX),"")</f>
        <v>3023.999999999869</v>
      </c>
      <c r="AA71" s="29">
        <f>IFERROR(_xlfn.XLOOKUP($A71,Input_Raw!$A:$A,Input_Raw!FA:FA),"")</f>
        <v>622151.99999999173</v>
      </c>
      <c r="AB71" s="9">
        <f>IFERROR(_xlfn.XLOOKUP($A71,Input_Raw!$A:$A,Input_Raw!FD:FD),"")</f>
        <v>122.7</v>
      </c>
      <c r="AC71" s="185">
        <f>IFERROR(_xlfn.XLOOKUP($D71,'Modelling New'!$D:$D,'Modelling New'!P:P),"")</f>
        <v>4.97</v>
      </c>
      <c r="AD71" s="29">
        <f>IFERROR(_xlfn.XLOOKUP($D71,'Modelling New'!$D:$D,'Modelling New'!T:T)*1000,"")</f>
        <v>544049.67582548468</v>
      </c>
      <c r="AE71" s="233">
        <f>IFERROR(_xlfn.XLOOKUP($D71,'Modelling New'!$D:$D,'Modelling New'!O:O),"")</f>
        <v>0.84205181214283342</v>
      </c>
      <c r="AF71" s="233">
        <f>IFERROR(_xlfn.XLOOKUP($D71,'Modelling New'!$D:$D,'Modelling New'!W:W),"")</f>
        <v>0.17437489609791174</v>
      </c>
      <c r="AG71" s="233">
        <f>IFERROR(_xlfn.XLOOKUP($D71,'Modelling New'!$D:$D,'Modelling New'!AE:AE),"")</f>
        <v>0.995</v>
      </c>
      <c r="AH71" s="234">
        <f>IFERROR(_xlfn.XLOOKUP($D71,'Modelling New'!$D:$D,'Modelling New'!AF:AF),"")</f>
        <v>0.995</v>
      </c>
      <c r="AI71" s="9"/>
      <c r="AJ71" s="9"/>
      <c r="AK71" s="258"/>
      <c r="AL71" s="258"/>
      <c r="AM71" s="258"/>
      <c r="AN71" s="235"/>
      <c r="AO71" s="233"/>
      <c r="AP71" s="233"/>
      <c r="AQ71" s="233"/>
      <c r="AR71" s="236">
        <f>_xlfn.XLOOKUP(D71,'Modelling New'!$D:$D,'Modelling New'!$N:$N)</f>
        <v>130</v>
      </c>
      <c r="AS71" s="236">
        <f t="shared" si="8"/>
        <v>513499.19402913057</v>
      </c>
    </row>
    <row r="72" spans="1:45">
      <c r="A72" s="18">
        <f t="shared" si="9"/>
        <v>45815</v>
      </c>
      <c r="B72" s="29">
        <f>YEAR(Table13[[#This Row],[Date]])+IF(MONTH(Table13[[#This Row],[Date]])&gt;=4,1,0)</f>
        <v>2026</v>
      </c>
      <c r="C72" s="9">
        <f>YEAR(Table13[[#This Row],[Date]])</f>
        <v>2025</v>
      </c>
      <c r="D72" s="229">
        <f>Table13[[#This Row],[Date]]-DAY(Table13[[#This Row],[Date]])+1</f>
        <v>45809</v>
      </c>
      <c r="E72" s="9">
        <f t="shared" si="5"/>
        <v>30</v>
      </c>
      <c r="F72" s="199">
        <f>IFERROR(_xlfn.XLOOKUP($A72,Input_Raw!$A:$A,Input_Raw!$FC:$FC),"")</f>
        <v>12.600000000000001</v>
      </c>
      <c r="G72" s="200">
        <f>IFERROR(_xlfn.XLOOKUP($A72,Input_Raw!$A:$A,Input_Raw!$CY:$CY),"")</f>
        <v>6.1929848249999964</v>
      </c>
      <c r="H72" s="200">
        <f>IFERROR(_xlfn.XLOOKUP($A72,Input_Raw!$A:$A,Input_Raw!$DA:$DA),"")</f>
        <v>0.99153400833333338</v>
      </c>
      <c r="I72" s="200">
        <f>IFERROR(_xlfn.XLOOKUP($A72,Input_Raw!$A:$A,Input_Raw!$CX:$CX),"")</f>
        <v>5.9320743500000006</v>
      </c>
      <c r="J72" s="200">
        <f>IFERROR(_xlfn.XLOOKUP($A72,Input_Raw!$A:$A,Input_Raw!$CZ:$CZ),"")</f>
        <v>0.80910324166666703</v>
      </c>
      <c r="K72" s="201">
        <f>IFERROR(_xlfn.XLOOKUP($A72,Input_Raw!$A:$A,Input_Raw!$DB:$DB),"")</f>
        <v>32.817607632779414</v>
      </c>
      <c r="L72" s="201">
        <f>IFERROR(_xlfn.XLOOKUP($A72,Input_Raw!$A:$A,Input_Raw!$DC:$DC),"")</f>
        <v>45.429663202294293</v>
      </c>
      <c r="M72" s="200">
        <f>IFERROR(_xlfn.XLOOKUP($A72,Input_Raw!$A:$A,Input_Raw!$DF:$DF),"")</f>
        <v>1.4968167254823947</v>
      </c>
      <c r="N72" s="200">
        <f>IFERROR(_xlfn.XLOOKUP($A72,Input_Raw!$A:$A,Input_Raw!$DG:$DG),"")</f>
        <v>3.0585</v>
      </c>
      <c r="O72" s="230">
        <f>IFERROR(1-(SUMIF(Plant_BD!$B:$B,$A72,Plant_BD!$AL:$AL)/($AA72+SUMIF(Plant_BD!$B:$B,$A72,Plant_BD!$AL:$AL))),"")</f>
        <v>1</v>
      </c>
      <c r="P72" s="230"/>
      <c r="Q72" s="231">
        <f>IFERROR(1-(SUMIF(Grid_BD!$B:$B,$A72,Grid_BD!$V:$V)/($AA72+SUMIF(Grid_BD!$B:$B,$A72,Grid_BD!$V:$V))),"")</f>
        <v>1</v>
      </c>
      <c r="R72" s="230">
        <f>IFERROR(1-(SUMIF(Grid_BD!$B:$B,$A72,Grid_BD!$V:$V)/($AA72+SUMIF(Grid_BD!$B:$B,$A72,Grid_BD!$V:$V))),"")</f>
        <v>1</v>
      </c>
      <c r="S72" s="9"/>
      <c r="T72" s="231"/>
      <c r="U72" s="232">
        <f t="shared" si="6"/>
        <v>0.807577748404957</v>
      </c>
      <c r="V72" s="232" t="str">
        <f>IFERROR(_xlfn.XLOOKUP($A72,Input_Raw!$A:$A,Input_Raw!$FG:$FG),"")</f>
        <v/>
      </c>
      <c r="W72" s="233">
        <f t="shared" si="7"/>
        <v>0.18840000000000134</v>
      </c>
      <c r="X72" s="29">
        <f>IFERROR(_xlfn.XLOOKUP($A72,Input_Raw!$A:$A,Input_Raw!$DP:$DP),"")</f>
        <v>615552.70000000007</v>
      </c>
      <c r="Y72" s="29">
        <f>IFERROR(_xlfn.XLOOKUP($A72,Input_Raw!$A:$A,Input_Raw!EW:EW),"")</f>
        <v>590112.00000000419</v>
      </c>
      <c r="Z72" s="29">
        <f>IFERROR(_xlfn.XLOOKUP($A72,Input_Raw!$A:$A,Input_Raw!EX:EX),"")</f>
        <v>2304.0000000000327</v>
      </c>
      <c r="AA72" s="29">
        <f>IFERROR(_xlfn.XLOOKUP($A72,Input_Raw!$A:$A,Input_Raw!FA:FA),"")</f>
        <v>587808.00000000419</v>
      </c>
      <c r="AB72" s="9">
        <f>IFERROR(_xlfn.XLOOKUP($A72,Input_Raw!$A:$A,Input_Raw!FD:FD),"")</f>
        <v>122.7</v>
      </c>
      <c r="AC72" s="185">
        <f>IFERROR(_xlfn.XLOOKUP($D72,'Modelling New'!$D:$D,'Modelling New'!P:P),"")</f>
        <v>4.97</v>
      </c>
      <c r="AD72" s="29">
        <f>IFERROR(_xlfn.XLOOKUP($D72,'Modelling New'!$D:$D,'Modelling New'!T:T)*1000,"")</f>
        <v>544049.67582548468</v>
      </c>
      <c r="AE72" s="233">
        <f>IFERROR(_xlfn.XLOOKUP($D72,'Modelling New'!$D:$D,'Modelling New'!O:O),"")</f>
        <v>0.84205181214283342</v>
      </c>
      <c r="AF72" s="233">
        <f>IFERROR(_xlfn.XLOOKUP($D72,'Modelling New'!$D:$D,'Modelling New'!W:W),"")</f>
        <v>0.17437489609791174</v>
      </c>
      <c r="AG72" s="233">
        <f>IFERROR(_xlfn.XLOOKUP($D72,'Modelling New'!$D:$D,'Modelling New'!AE:AE),"")</f>
        <v>0.995</v>
      </c>
      <c r="AH72" s="234">
        <f>IFERROR(_xlfn.XLOOKUP($D72,'Modelling New'!$D:$D,'Modelling New'!AF:AF),"")</f>
        <v>0.995</v>
      </c>
      <c r="AI72" s="9"/>
      <c r="AJ72" s="9"/>
      <c r="AK72" s="258"/>
      <c r="AL72" s="258"/>
      <c r="AM72" s="258"/>
      <c r="AN72" s="235"/>
      <c r="AO72" s="233"/>
      <c r="AP72" s="233"/>
      <c r="AQ72" s="233"/>
      <c r="AR72" s="236">
        <f>_xlfn.XLOOKUP(D72,'Modelling New'!$D:$D,'Modelling New'!$N:$N)</f>
        <v>130</v>
      </c>
      <c r="AS72" s="236">
        <f t="shared" si="8"/>
        <v>513499.19402913057</v>
      </c>
    </row>
    <row r="73" spans="1:45">
      <c r="A73" s="18">
        <f t="shared" si="9"/>
        <v>45816</v>
      </c>
      <c r="B73" s="29">
        <f>YEAR(Table13[[#This Row],[Date]])+IF(MONTH(Table13[[#This Row],[Date]])&gt;=4,1,0)</f>
        <v>2026</v>
      </c>
      <c r="C73" s="9">
        <f>YEAR(Table13[[#This Row],[Date]])</f>
        <v>2025</v>
      </c>
      <c r="D73" s="229">
        <f>Table13[[#This Row],[Date]]-DAY(Table13[[#This Row],[Date]])+1</f>
        <v>45809</v>
      </c>
      <c r="E73" s="9">
        <f t="shared" si="5"/>
        <v>30</v>
      </c>
      <c r="F73" s="199">
        <f>IFERROR(_xlfn.XLOOKUP($A73,Input_Raw!$A:$A,Input_Raw!$FC:$FC),"")</f>
        <v>12.616666666666667</v>
      </c>
      <c r="G73" s="185">
        <f>IFERROR(_xlfn.XLOOKUP($A73,Input_Raw!$A:$A,Input_Raw!$CY:$CY),"")</f>
        <v>6.609232816666669</v>
      </c>
      <c r="H73" s="185">
        <f>IFERROR(_xlfn.XLOOKUP($A73,Input_Raw!$A:$A,Input_Raw!$DA:$DA),"")</f>
        <v>1.0600962666666678</v>
      </c>
      <c r="I73" s="185">
        <f>IFERROR(_xlfn.XLOOKUP($A73,Input_Raw!$A:$A,Input_Raw!$CX:$CX),"")</f>
        <v>6.3258972916666742</v>
      </c>
      <c r="J73" s="185">
        <f>IFERROR(_xlfn.XLOOKUP($A73,Input_Raw!$A:$A,Input_Raw!$CZ:$CZ),"")</f>
        <v>0.85359059999999964</v>
      </c>
      <c r="K73" s="201">
        <f>IFERROR(_xlfn.XLOOKUP($A73,Input_Raw!$A:$A,Input_Raw!$DB:$DB),"")</f>
        <v>32.870781546991971</v>
      </c>
      <c r="L73" s="201">
        <f>IFERROR(_xlfn.XLOOKUP($A73,Input_Raw!$A:$A,Input_Raw!$DC:$DC),"")</f>
        <v>45.386171672191089</v>
      </c>
      <c r="M73" s="200">
        <f>IFERROR(_xlfn.XLOOKUP($A73,Input_Raw!$A:$A,Input_Raw!$DF:$DF),"")</f>
        <v>1.8950747023862462</v>
      </c>
      <c r="N73" s="200">
        <f>IFERROR(_xlfn.XLOOKUP($A73,Input_Raw!$A:$A,Input_Raw!$DG:$DG),"")</f>
        <v>3.4380000000000002</v>
      </c>
      <c r="O73" s="230">
        <f>IFERROR(1-(SUMIF(Plant_BD!$B:$B,$A73,Plant_BD!$AL:$AL)/($AA73+SUMIF(Plant_BD!$B:$B,$A73,Plant_BD!$AL:$AL))),"")</f>
        <v>1</v>
      </c>
      <c r="P73" s="230"/>
      <c r="Q73" s="231">
        <f>IFERROR(1-(SUMIF(Grid_BD!$B:$B,$A73,Grid_BD!$V:$V)/($AA73+SUMIF(Grid_BD!$B:$B,$A73,Grid_BD!$V:$V))),"")</f>
        <v>1</v>
      </c>
      <c r="R73" s="230">
        <f>IFERROR(1-(SUMIF(Grid_BD!$B:$B,$A73,Grid_BD!$V:$V)/($AA73+SUMIF(Grid_BD!$B:$B,$A73,Grid_BD!$V:$V))),"")</f>
        <v>1</v>
      </c>
      <c r="S73" s="9"/>
      <c r="T73" s="231"/>
      <c r="U73" s="232">
        <f t="shared" si="6"/>
        <v>0.79644663460456</v>
      </c>
      <c r="V73" s="232" t="str">
        <f>IFERROR(_xlfn.XLOOKUP($A73,Input_Raw!$A:$A,Input_Raw!$FG:$FG),"")</f>
        <v/>
      </c>
      <c r="W73" s="233">
        <f t="shared" si="7"/>
        <v>0.19813846153846418</v>
      </c>
      <c r="X73" s="29">
        <f>IFERROR(_xlfn.XLOOKUP($A73,Input_Raw!$A:$A,Input_Raw!$DP:$DP),"")</f>
        <v>633360.10000000009</v>
      </c>
      <c r="Y73" s="29">
        <f>IFERROR(_xlfn.XLOOKUP($A73,Input_Raw!$A:$A,Input_Raw!EW:EW),"")</f>
        <v>620784.00000000838</v>
      </c>
      <c r="Z73" s="29">
        <f>IFERROR(_xlfn.XLOOKUP($A73,Input_Raw!$A:$A,Input_Raw!EX:EX),"")</f>
        <v>2592.0000000000982</v>
      </c>
      <c r="AA73" s="29">
        <f>IFERROR(_xlfn.XLOOKUP($A73,Input_Raw!$A:$A,Input_Raw!FA:FA),"")</f>
        <v>618192.00000000827</v>
      </c>
      <c r="AB73" s="9">
        <f>IFERROR(_xlfn.XLOOKUP($A73,Input_Raw!$A:$A,Input_Raw!FD:FD),"")</f>
        <v>122.7</v>
      </c>
      <c r="AC73" s="185">
        <f>IFERROR(_xlfn.XLOOKUP($D73,'Modelling New'!$D:$D,'Modelling New'!P:P),"")</f>
        <v>4.97</v>
      </c>
      <c r="AD73" s="29">
        <f>IFERROR(_xlfn.XLOOKUP($D73,'Modelling New'!$D:$D,'Modelling New'!T:T)*1000,"")</f>
        <v>544049.67582548468</v>
      </c>
      <c r="AE73" s="233">
        <f>IFERROR(_xlfn.XLOOKUP($D73,'Modelling New'!$D:$D,'Modelling New'!O:O),"")</f>
        <v>0.84205181214283342</v>
      </c>
      <c r="AF73" s="233">
        <f>IFERROR(_xlfn.XLOOKUP($D73,'Modelling New'!$D:$D,'Modelling New'!W:W),"")</f>
        <v>0.17437489609791174</v>
      </c>
      <c r="AG73" s="233">
        <f>IFERROR(_xlfn.XLOOKUP($D73,'Modelling New'!$D:$D,'Modelling New'!AE:AE),"")</f>
        <v>0.995</v>
      </c>
      <c r="AH73" s="234">
        <f>IFERROR(_xlfn.XLOOKUP($D73,'Modelling New'!$D:$D,'Modelling New'!AF:AF),"")</f>
        <v>0.995</v>
      </c>
      <c r="AI73" s="9"/>
      <c r="AJ73" s="9"/>
      <c r="AK73" s="258"/>
      <c r="AL73" s="258"/>
      <c r="AM73" s="258"/>
      <c r="AN73" s="235"/>
      <c r="AO73" s="233"/>
      <c r="AP73" s="233"/>
      <c r="AQ73" s="233"/>
      <c r="AR73" s="236">
        <f>_xlfn.XLOOKUP(D73,'Modelling New'!$D:$D,'Modelling New'!$N:$N)</f>
        <v>130</v>
      </c>
      <c r="AS73" s="236">
        <f t="shared" si="8"/>
        <v>513499.19402913057</v>
      </c>
    </row>
    <row r="74" spans="1:45">
      <c r="A74" s="18">
        <f t="shared" si="9"/>
        <v>45817</v>
      </c>
      <c r="B74" s="29">
        <f>YEAR(Table13[[#This Row],[Date]])+IF(MONTH(Table13[[#This Row],[Date]])&gt;=4,1,0)</f>
        <v>2026</v>
      </c>
      <c r="C74" s="9">
        <f>YEAR(Table13[[#This Row],[Date]])</f>
        <v>2025</v>
      </c>
      <c r="D74" s="229">
        <f>Table13[[#This Row],[Date]]-DAY(Table13[[#This Row],[Date]])+1</f>
        <v>45809</v>
      </c>
      <c r="E74" s="9">
        <f t="shared" si="5"/>
        <v>30</v>
      </c>
      <c r="F74" s="199">
        <f>IFERROR(_xlfn.XLOOKUP($A74,Input_Raw!$A:$A,Input_Raw!$FC:$FC),"")</f>
        <v>12.75</v>
      </c>
      <c r="G74" s="200">
        <f>IFERROR(_xlfn.XLOOKUP($A74,Input_Raw!$A:$A,Input_Raw!$CY:$CY),"")</f>
        <v>6.8831551416666663</v>
      </c>
      <c r="H74" s="200">
        <f>IFERROR(_xlfn.XLOOKUP($A74,Input_Raw!$A:$A,Input_Raw!$DA:$DA),"")</f>
        <v>1.1205029000000006</v>
      </c>
      <c r="I74" s="200">
        <f>IFERROR(_xlfn.XLOOKUP($A74,Input_Raw!$A:$A,Input_Raw!$CX:$CX),"")</f>
        <v>6.8251041666666676</v>
      </c>
      <c r="J74" s="200">
        <f>IFERROR(_xlfn.XLOOKUP($A74,Input_Raw!$A:$A,Input_Raw!$CZ:$CZ),"")</f>
        <v>0.89520774166666661</v>
      </c>
      <c r="K74" s="201">
        <f>IFERROR(_xlfn.XLOOKUP($A74,Input_Raw!$A:$A,Input_Raw!$DB:$DB),"")</f>
        <v>33.125388386775526</v>
      </c>
      <c r="L74" s="201">
        <f>IFERROR(_xlfn.XLOOKUP($A74,Input_Raw!$A:$A,Input_Raw!$DC:$DC),"")</f>
        <v>45.170192668453325</v>
      </c>
      <c r="M74" s="200">
        <f>IFERROR(_xlfn.XLOOKUP($A74,Input_Raw!$A:$A,Input_Raw!$DF:$DF),"")</f>
        <v>2.3859634033343</v>
      </c>
      <c r="N74" s="200">
        <f>IFERROR(_xlfn.XLOOKUP($A74,Input_Raw!$A:$A,Input_Raw!$DG:$DG),"")</f>
        <v>4.2449999999999992</v>
      </c>
      <c r="O74" s="230">
        <f>IFERROR(1-(SUMIF(Plant_BD!$B:$B,$A74,Plant_BD!$AL:$AL)/($AA74+SUMIF(Plant_BD!$B:$B,$A74,Plant_BD!$AL:$AL))),"")</f>
        <v>1</v>
      </c>
      <c r="P74" s="230"/>
      <c r="Q74" s="231">
        <f>IFERROR(1-(SUMIF(Grid_BD!$B:$B,$A74,Grid_BD!$V:$V)/($AA74+SUMIF(Grid_BD!$B:$B,$A74,Grid_BD!$V:$V))),"")</f>
        <v>1</v>
      </c>
      <c r="R74" s="230">
        <f>IFERROR(1-(SUMIF(Grid_BD!$B:$B,$A74,Grid_BD!$V:$V)/($AA74+SUMIF(Grid_BD!$B:$B,$A74,Grid_BD!$V:$V))),"")</f>
        <v>1</v>
      </c>
      <c r="S74" s="9"/>
      <c r="T74" s="231"/>
      <c r="U74" s="232">
        <f t="shared" si="6"/>
        <v>0.76983161000770362</v>
      </c>
      <c r="V74" s="232" t="str">
        <f>IFERROR(_xlfn.XLOOKUP($A74,Input_Raw!$A:$A,Input_Raw!$FG:$FG),"")</f>
        <v/>
      </c>
      <c r="W74" s="233">
        <f t="shared" si="7"/>
        <v>0.20663076923076659</v>
      </c>
      <c r="X74" s="29">
        <f>IFERROR(_xlfn.XLOOKUP($A74,Input_Raw!$A:$A,Input_Raw!$DP:$DP),"")</f>
        <v>656717.69999999995</v>
      </c>
      <c r="Y74" s="29">
        <f>IFERROR(_xlfn.XLOOKUP($A74,Input_Raw!$A:$A,Input_Raw!EW:EW),"")</f>
        <v>647495.99999999162</v>
      </c>
      <c r="Z74" s="29">
        <f>IFERROR(_xlfn.XLOOKUP($A74,Input_Raw!$A:$A,Input_Raw!EX:EX),"")</f>
        <v>2807.9999999999018</v>
      </c>
      <c r="AA74" s="29">
        <f>IFERROR(_xlfn.XLOOKUP($A74,Input_Raw!$A:$A,Input_Raw!FA:FA),"")</f>
        <v>644687.99999999173</v>
      </c>
      <c r="AB74" s="9">
        <f>IFERROR(_xlfn.XLOOKUP($A74,Input_Raw!$A:$A,Input_Raw!FD:FD),"")</f>
        <v>122.7</v>
      </c>
      <c r="AC74" s="185">
        <f>IFERROR(_xlfn.XLOOKUP($D74,'Modelling New'!$D:$D,'Modelling New'!P:P),"")</f>
        <v>4.97</v>
      </c>
      <c r="AD74" s="29">
        <f>IFERROR(_xlfn.XLOOKUP($D74,'Modelling New'!$D:$D,'Modelling New'!T:T)*1000,"")</f>
        <v>544049.67582548468</v>
      </c>
      <c r="AE74" s="233">
        <f>IFERROR(_xlfn.XLOOKUP($D74,'Modelling New'!$D:$D,'Modelling New'!O:O),"")</f>
        <v>0.84205181214283342</v>
      </c>
      <c r="AF74" s="233">
        <f>IFERROR(_xlfn.XLOOKUP($D74,'Modelling New'!$D:$D,'Modelling New'!W:W),"")</f>
        <v>0.17437489609791174</v>
      </c>
      <c r="AG74" s="233">
        <f>IFERROR(_xlfn.XLOOKUP($D74,'Modelling New'!$D:$D,'Modelling New'!AE:AE),"")</f>
        <v>0.995</v>
      </c>
      <c r="AH74" s="234">
        <f>IFERROR(_xlfn.XLOOKUP($D74,'Modelling New'!$D:$D,'Modelling New'!AF:AF),"")</f>
        <v>0.995</v>
      </c>
      <c r="AI74" s="9"/>
      <c r="AJ74" s="9"/>
      <c r="AK74" s="258"/>
      <c r="AL74" s="258"/>
      <c r="AM74" s="258"/>
      <c r="AN74" s="235"/>
      <c r="AO74" s="233"/>
      <c r="AP74" s="233"/>
      <c r="AQ74" s="233"/>
      <c r="AR74" s="236">
        <f>_xlfn.XLOOKUP(D74,'Modelling New'!$D:$D,'Modelling New'!$N:$N)</f>
        <v>130</v>
      </c>
      <c r="AS74" s="236">
        <f t="shared" si="8"/>
        <v>513499.19402913057</v>
      </c>
    </row>
    <row r="75" spans="1:45">
      <c r="A75" s="18">
        <f t="shared" si="9"/>
        <v>45818</v>
      </c>
      <c r="B75" s="29">
        <f>YEAR(Table13[[#This Row],[Date]])+IF(MONTH(Table13[[#This Row],[Date]])&gt;=4,1,0)</f>
        <v>2026</v>
      </c>
      <c r="C75" s="9">
        <f>YEAR(Table13[[#This Row],[Date]])</f>
        <v>2025</v>
      </c>
      <c r="D75" s="229">
        <f>Table13[[#This Row],[Date]]-DAY(Table13[[#This Row],[Date]])+1</f>
        <v>45809</v>
      </c>
      <c r="E75" s="9">
        <f t="shared" si="5"/>
        <v>30</v>
      </c>
      <c r="F75" s="199">
        <f>IFERROR(_xlfn.XLOOKUP($A75,Input_Raw!$A:$A,Input_Raw!$FC:$FC),"")</f>
        <v>12.7</v>
      </c>
      <c r="G75" s="185">
        <f>IFERROR(_xlfn.XLOOKUP($A75,Input_Raw!$A:$A,Input_Raw!$CY:$CY),"")</f>
        <v>5.7528031666666699</v>
      </c>
      <c r="H75" s="185">
        <f>IFERROR(_xlfn.XLOOKUP($A75,Input_Raw!$A:$A,Input_Raw!$DA:$DA),"")</f>
        <v>0.99789378333333356</v>
      </c>
      <c r="I75" s="185">
        <f>IFERROR(_xlfn.XLOOKUP($A75,Input_Raw!$A:$A,Input_Raw!$CX:$CX),"")</f>
        <v>6.5441856999999999</v>
      </c>
      <c r="J75" s="185">
        <f>IFERROR(_xlfn.XLOOKUP($A75,Input_Raw!$A:$A,Input_Raw!$CZ:$CZ),"")</f>
        <v>0.79911924166666659</v>
      </c>
      <c r="K75" s="201">
        <f>IFERROR(_xlfn.XLOOKUP($A75,Input_Raw!$A:$A,Input_Raw!$DB:$DB),"")</f>
        <v>33.093377966251957</v>
      </c>
      <c r="L75" s="201">
        <f>IFERROR(_xlfn.XLOOKUP($A75,Input_Raw!$A:$A,Input_Raw!$DC:$DC),"")</f>
        <v>45.139695383367652</v>
      </c>
      <c r="M75" s="200">
        <f>IFERROR(_xlfn.XLOOKUP($A75,Input_Raw!$A:$A,Input_Raw!$DF:$DF),"")</f>
        <v>2.1301889319030325</v>
      </c>
      <c r="N75" s="200">
        <f>IFERROR(_xlfn.XLOOKUP($A75,Input_Raw!$A:$A,Input_Raw!$DG:$DG),"")</f>
        <v>3.8849999999999998</v>
      </c>
      <c r="O75" s="230">
        <f>IFERROR(1-(SUMIF(Plant_BD!$B:$B,$A75,Plant_BD!$AL:$AL)/($AA75+SUMIF(Plant_BD!$B:$B,$A75,Plant_BD!$AL:$AL))),"")</f>
        <v>0.99797865398210706</v>
      </c>
      <c r="P75" s="230"/>
      <c r="Q75" s="231">
        <f>IFERROR(1-(SUMIF(Grid_BD!$B:$B,$A75,Grid_BD!$V:$V)/($AA75+SUMIF(Grid_BD!$B:$B,$A75,Grid_BD!$V:$V))),"")</f>
        <v>1</v>
      </c>
      <c r="R75" s="230">
        <f>IFERROR(1-(SUMIF(Grid_BD!$B:$B,$A75,Grid_BD!$V:$V)/($AA75+SUMIF(Grid_BD!$B:$B,$A75,Grid_BD!$V:$V))),"")</f>
        <v>1</v>
      </c>
      <c r="S75" s="9"/>
      <c r="T75" s="231"/>
      <c r="U75" s="232">
        <f t="shared" si="6"/>
        <v>0.73204084764034638</v>
      </c>
      <c r="V75" s="232" t="str">
        <f>IFERROR(_xlfn.XLOOKUP($A75,Input_Raw!$A:$A,Input_Raw!$FG:$FG),"")</f>
        <v/>
      </c>
      <c r="W75" s="233">
        <f t="shared" si="7"/>
        <v>0.18840000000000268</v>
      </c>
      <c r="X75" s="29">
        <f>IFERROR(_xlfn.XLOOKUP($A75,Input_Raw!$A:$A,Input_Raw!$DP:$DP),"")</f>
        <v>601532.5</v>
      </c>
      <c r="Y75" s="29">
        <f>IFERROR(_xlfn.XLOOKUP($A75,Input_Raw!$A:$A,Input_Raw!EW:EW),"")</f>
        <v>590184.00000000838</v>
      </c>
      <c r="Z75" s="29">
        <f>IFERROR(_xlfn.XLOOKUP($A75,Input_Raw!$A:$A,Input_Raw!EX:EX),"")</f>
        <v>2375.9999999999673</v>
      </c>
      <c r="AA75" s="29">
        <f>IFERROR(_xlfn.XLOOKUP($A75,Input_Raw!$A:$A,Input_Raw!FA:FA),"")</f>
        <v>587808.00000000838</v>
      </c>
      <c r="AB75" s="9">
        <f>IFERROR(_xlfn.XLOOKUP($A75,Input_Raw!$A:$A,Input_Raw!FD:FD),"")</f>
        <v>122.7</v>
      </c>
      <c r="AC75" s="185">
        <f>IFERROR(_xlfn.XLOOKUP($D75,'Modelling New'!$D:$D,'Modelling New'!P:P),"")</f>
        <v>4.97</v>
      </c>
      <c r="AD75" s="29">
        <f>IFERROR(_xlfn.XLOOKUP($D75,'Modelling New'!$D:$D,'Modelling New'!T:T)*1000,"")</f>
        <v>544049.67582548468</v>
      </c>
      <c r="AE75" s="233">
        <f>IFERROR(_xlfn.XLOOKUP($D75,'Modelling New'!$D:$D,'Modelling New'!O:O),"")</f>
        <v>0.84205181214283342</v>
      </c>
      <c r="AF75" s="233">
        <f>IFERROR(_xlfn.XLOOKUP($D75,'Modelling New'!$D:$D,'Modelling New'!W:W),"")</f>
        <v>0.17437489609791174</v>
      </c>
      <c r="AG75" s="233">
        <f>IFERROR(_xlfn.XLOOKUP($D75,'Modelling New'!$D:$D,'Modelling New'!AE:AE),"")</f>
        <v>0.995</v>
      </c>
      <c r="AH75" s="234">
        <f>IFERROR(_xlfn.XLOOKUP($D75,'Modelling New'!$D:$D,'Modelling New'!AF:AF),"")</f>
        <v>0.995</v>
      </c>
      <c r="AI75" s="9"/>
      <c r="AJ75" s="9"/>
      <c r="AK75" s="258"/>
      <c r="AL75" s="258"/>
      <c r="AM75" s="258"/>
      <c r="AN75" s="235"/>
      <c r="AO75" s="233"/>
      <c r="AP75" s="233"/>
      <c r="AQ75" s="233"/>
      <c r="AR75" s="236">
        <f>_xlfn.XLOOKUP(D75,'Modelling New'!$D:$D,'Modelling New'!$N:$N)</f>
        <v>130</v>
      </c>
      <c r="AS75" s="236">
        <f t="shared" si="8"/>
        <v>513499.19402913057</v>
      </c>
    </row>
    <row r="76" spans="1:45">
      <c r="A76" s="18">
        <f t="shared" si="9"/>
        <v>45819</v>
      </c>
      <c r="B76" s="29">
        <f>YEAR(Table13[[#This Row],[Date]])+IF(MONTH(Table13[[#This Row],[Date]])&gt;=4,1,0)</f>
        <v>2026</v>
      </c>
      <c r="C76" s="9">
        <f>YEAR(Table13[[#This Row],[Date]])</f>
        <v>2025</v>
      </c>
      <c r="D76" s="229">
        <f>Table13[[#This Row],[Date]]-DAY(Table13[[#This Row],[Date]])+1</f>
        <v>45809</v>
      </c>
      <c r="E76" s="9">
        <f t="shared" si="5"/>
        <v>30</v>
      </c>
      <c r="F76" s="199">
        <f>IFERROR(_xlfn.XLOOKUP($A76,Input_Raw!$A:$A,Input_Raw!$FC:$FC),"")</f>
        <v>12.216666666666665</v>
      </c>
      <c r="G76" s="200">
        <f>IFERROR(_xlfn.XLOOKUP($A76,Input_Raw!$A:$A,Input_Raw!$CY:$CY),"")</f>
        <v>3.3668184583333325</v>
      </c>
      <c r="H76" s="200">
        <f>IFERROR(_xlfn.XLOOKUP($A76,Input_Raw!$A:$A,Input_Raw!$DA:$DA),"")</f>
        <v>0.59825905833333326</v>
      </c>
      <c r="I76" s="200">
        <f>IFERROR(_xlfn.XLOOKUP($A76,Input_Raw!$A:$A,Input_Raw!$CX:$CX),"")</f>
        <v>3.8328738083333382</v>
      </c>
      <c r="J76" s="200">
        <f>IFERROR(_xlfn.XLOOKUP($A76,Input_Raw!$A:$A,Input_Raw!$CZ:$CZ),"")</f>
        <v>0.47267730833333377</v>
      </c>
      <c r="K76" s="201">
        <f>IFERROR(_xlfn.XLOOKUP($A76,Input_Raw!$A:$A,Input_Raw!$DB:$DB),"")</f>
        <v>30.428994666714051</v>
      </c>
      <c r="L76" s="201">
        <f>IFERROR(_xlfn.XLOOKUP($A76,Input_Raw!$A:$A,Input_Raw!$DC:$DC),"")</f>
        <v>39.886981735785653</v>
      </c>
      <c r="M76" s="200">
        <f>IFERROR(_xlfn.XLOOKUP($A76,Input_Raw!$A:$A,Input_Raw!$DF:$DF),"")</f>
        <v>1.9157555158016211</v>
      </c>
      <c r="N76" s="200">
        <f>IFERROR(_xlfn.XLOOKUP($A76,Input_Raw!$A:$A,Input_Raw!$DG:$DG),"")</f>
        <v>3.5205000000000002</v>
      </c>
      <c r="O76" s="230">
        <f>IFERROR(1-(SUMIF(Plant_BD!$B:$B,$A76,Plant_BD!$AL:$AL)/($AA76+SUMIF(Plant_BD!$B:$B,$A76,Plant_BD!$AL:$AL))),"")</f>
        <v>1</v>
      </c>
      <c r="P76" s="230"/>
      <c r="Q76" s="231">
        <f>IFERROR(1-(SUMIF(Grid_BD!$B:$B,$A76,Grid_BD!$V:$V)/($AA76+SUMIF(Grid_BD!$B:$B,$A76,Grid_BD!$V:$V))),"")</f>
        <v>1</v>
      </c>
      <c r="R76" s="230">
        <f>IFERROR(1-(SUMIF(Grid_BD!$B:$B,$A76,Grid_BD!$V:$V)/($AA76+SUMIF(Grid_BD!$B:$B,$A76,Grid_BD!$V:$V))),"")</f>
        <v>1</v>
      </c>
      <c r="S76" s="9"/>
      <c r="T76" s="231"/>
      <c r="U76" s="232">
        <f t="shared" si="6"/>
        <v>0.76823496533061353</v>
      </c>
      <c r="V76" s="232" t="str">
        <f>IFERROR(_xlfn.XLOOKUP($A76,Input_Raw!$A:$A,Input_Raw!$FG:$FG),"")</f>
        <v/>
      </c>
      <c r="W76" s="233">
        <f t="shared" si="7"/>
        <v>0.11579999999999863</v>
      </c>
      <c r="X76" s="29">
        <f>IFERROR(_xlfn.XLOOKUP($A76,Input_Raw!$A:$A,Input_Raw!$DP:$DP),"")</f>
        <v>368807.7</v>
      </c>
      <c r="Y76" s="29">
        <f>IFERROR(_xlfn.XLOOKUP($A76,Input_Raw!$A:$A,Input_Raw!EW:EW),"")</f>
        <v>363887.99999999581</v>
      </c>
      <c r="Z76" s="29">
        <f>IFERROR(_xlfn.XLOOKUP($A76,Input_Raw!$A:$A,Input_Raw!EX:EX),"")</f>
        <v>2592.0000000000982</v>
      </c>
      <c r="AA76" s="29">
        <f>IFERROR(_xlfn.XLOOKUP($A76,Input_Raw!$A:$A,Input_Raw!FA:FA),"")</f>
        <v>361295.99999999569</v>
      </c>
      <c r="AB76" s="9">
        <f>IFERROR(_xlfn.XLOOKUP($A76,Input_Raw!$A:$A,Input_Raw!FD:FD),"")</f>
        <v>122.7</v>
      </c>
      <c r="AC76" s="185">
        <f>IFERROR(_xlfn.XLOOKUP($D76,'Modelling New'!$D:$D,'Modelling New'!P:P),"")</f>
        <v>4.97</v>
      </c>
      <c r="AD76" s="29">
        <f>IFERROR(_xlfn.XLOOKUP($D76,'Modelling New'!$D:$D,'Modelling New'!T:T)*1000,"")</f>
        <v>544049.67582548468</v>
      </c>
      <c r="AE76" s="233">
        <f>IFERROR(_xlfn.XLOOKUP($D76,'Modelling New'!$D:$D,'Modelling New'!O:O),"")</f>
        <v>0.84205181214283342</v>
      </c>
      <c r="AF76" s="233">
        <f>IFERROR(_xlfn.XLOOKUP($D76,'Modelling New'!$D:$D,'Modelling New'!W:W),"")</f>
        <v>0.17437489609791174</v>
      </c>
      <c r="AG76" s="233">
        <f>IFERROR(_xlfn.XLOOKUP($D76,'Modelling New'!$D:$D,'Modelling New'!AE:AE),"")</f>
        <v>0.995</v>
      </c>
      <c r="AH76" s="234">
        <f>IFERROR(_xlfn.XLOOKUP($D76,'Modelling New'!$D:$D,'Modelling New'!AF:AF),"")</f>
        <v>0.995</v>
      </c>
      <c r="AI76" s="9"/>
      <c r="AJ76" s="9"/>
      <c r="AK76" s="258"/>
      <c r="AL76" s="258"/>
      <c r="AM76" s="258"/>
      <c r="AN76" s="235"/>
      <c r="AO76" s="233"/>
      <c r="AP76" s="233"/>
      <c r="AQ76" s="233"/>
      <c r="AR76" s="236">
        <f>_xlfn.XLOOKUP(D76,'Modelling New'!$D:$D,'Modelling New'!$N:$N)</f>
        <v>130</v>
      </c>
      <c r="AS76" s="236">
        <f t="shared" si="8"/>
        <v>513499.19402913057</v>
      </c>
    </row>
    <row r="77" spans="1:45">
      <c r="A77" s="18">
        <f t="shared" si="9"/>
        <v>45820</v>
      </c>
      <c r="B77" s="29">
        <f>YEAR(Table13[[#This Row],[Date]])+IF(MONTH(Table13[[#This Row],[Date]])&gt;=4,1,0)</f>
        <v>2026</v>
      </c>
      <c r="C77" s="9">
        <f>YEAR(Table13[[#This Row],[Date]])</f>
        <v>2025</v>
      </c>
      <c r="D77" s="229">
        <f>Table13[[#This Row],[Date]]-DAY(Table13[[#This Row],[Date]])+1</f>
        <v>45809</v>
      </c>
      <c r="E77" s="9">
        <f t="shared" si="5"/>
        <v>30</v>
      </c>
      <c r="F77" s="199">
        <f>IFERROR(_xlfn.XLOOKUP($A77,Input_Raw!$A:$A,Input_Raw!$FC:$FC),"")</f>
        <v>11.9</v>
      </c>
      <c r="G77" s="185">
        <f>IFERROR(_xlfn.XLOOKUP($A77,Input_Raw!$A:$A,Input_Raw!$CY:$CY),"")</f>
        <v>5.2331541250000013</v>
      </c>
      <c r="H77" s="185">
        <f>IFERROR(_xlfn.XLOOKUP($A77,Input_Raw!$A:$A,Input_Raw!$DA:$DA),"")</f>
        <v>0.91360534999999943</v>
      </c>
      <c r="I77" s="185">
        <f>IFERROR(_xlfn.XLOOKUP($A77,Input_Raw!$A:$A,Input_Raw!$CX:$CX),"")</f>
        <v>5.9467351249999982</v>
      </c>
      <c r="J77" s="185">
        <f>IFERROR(_xlfn.XLOOKUP($A77,Input_Raw!$A:$A,Input_Raw!$CZ:$CZ),"")</f>
        <v>0.73510113333333349</v>
      </c>
      <c r="K77" s="201">
        <f>IFERROR(_xlfn.XLOOKUP($A77,Input_Raw!$A:$A,Input_Raw!$DB:$DB),"")</f>
        <v>29.115903808829682</v>
      </c>
      <c r="L77" s="201">
        <f>IFERROR(_xlfn.XLOOKUP($A77,Input_Raw!$A:$A,Input_Raw!$DC:$DC),"")</f>
        <v>40.736239301303151</v>
      </c>
      <c r="M77" s="200">
        <f>IFERROR(_xlfn.XLOOKUP($A77,Input_Raw!$A:$A,Input_Raw!$DF:$DF),"")</f>
        <v>1.3827881219312159</v>
      </c>
      <c r="N77" s="200">
        <f>IFERROR(_xlfn.XLOOKUP($A77,Input_Raw!$A:$A,Input_Raw!$DG:$DG),"")</f>
        <v>6.6585000000000001</v>
      </c>
      <c r="O77" s="230">
        <f>IFERROR(1-(SUMIF(Plant_BD!$B:$B,$A77,Plant_BD!$AL:$AL)/($AA77+SUMIF(Plant_BD!$B:$B,$A77,Plant_BD!$AL:$AL))),"")</f>
        <v>0.988124115530156</v>
      </c>
      <c r="P77" s="230"/>
      <c r="Q77" s="231">
        <f>IFERROR(1-(SUMIF(Grid_BD!$B:$B,$A77,Grid_BD!$V:$V)/($AA77+SUMIF(Grid_BD!$B:$B,$A77,Grid_BD!$V:$V))),"")</f>
        <v>1</v>
      </c>
      <c r="R77" s="230">
        <f>IFERROR(1-(SUMIF(Grid_BD!$B:$B,$A77,Grid_BD!$V:$V)/($AA77+SUMIF(Grid_BD!$B:$B,$A77,Grid_BD!$V:$V))),"")</f>
        <v>1</v>
      </c>
      <c r="S77" s="9"/>
      <c r="T77" s="231"/>
      <c r="U77" s="232">
        <f t="shared" si="6"/>
        <v>0.75032850735477885</v>
      </c>
      <c r="V77" s="232" t="str">
        <f>IFERROR(_xlfn.XLOOKUP($A77,Input_Raw!$A:$A,Input_Raw!$FG:$FG),"")</f>
        <v/>
      </c>
      <c r="W77" s="233">
        <f t="shared" si="7"/>
        <v>0.17547692307692042</v>
      </c>
      <c r="X77" s="29">
        <f>IFERROR(_xlfn.XLOOKUP($A77,Input_Raw!$A:$A,Input_Raw!$DP:$DP),"")</f>
        <v>562363.19999999995</v>
      </c>
      <c r="Y77" s="29">
        <f>IFERROR(_xlfn.XLOOKUP($A77,Input_Raw!$A:$A,Input_Raw!EW:EW),"")</f>
        <v>551015.99999999162</v>
      </c>
      <c r="Z77" s="29">
        <f>IFERROR(_xlfn.XLOOKUP($A77,Input_Raw!$A:$A,Input_Raw!EX:EX),"")</f>
        <v>3527.9999999999018</v>
      </c>
      <c r="AA77" s="29">
        <f>IFERROR(_xlfn.XLOOKUP($A77,Input_Raw!$A:$A,Input_Raw!FA:FA),"")</f>
        <v>547487.99999999173</v>
      </c>
      <c r="AB77" s="9">
        <f>IFERROR(_xlfn.XLOOKUP($A77,Input_Raw!$A:$A,Input_Raw!FD:FD),"")</f>
        <v>122.7</v>
      </c>
      <c r="AC77" s="185">
        <f>IFERROR(_xlfn.XLOOKUP($D77,'Modelling New'!$D:$D,'Modelling New'!P:P),"")</f>
        <v>4.97</v>
      </c>
      <c r="AD77" s="29">
        <f>IFERROR(_xlfn.XLOOKUP($D77,'Modelling New'!$D:$D,'Modelling New'!T:T)*1000,"")</f>
        <v>544049.67582548468</v>
      </c>
      <c r="AE77" s="233">
        <f>IFERROR(_xlfn.XLOOKUP($D77,'Modelling New'!$D:$D,'Modelling New'!O:O),"")</f>
        <v>0.84205181214283342</v>
      </c>
      <c r="AF77" s="233">
        <f>IFERROR(_xlfn.XLOOKUP($D77,'Modelling New'!$D:$D,'Modelling New'!W:W),"")</f>
        <v>0.17437489609791174</v>
      </c>
      <c r="AG77" s="233">
        <f>IFERROR(_xlfn.XLOOKUP($D77,'Modelling New'!$D:$D,'Modelling New'!AE:AE),"")</f>
        <v>0.995</v>
      </c>
      <c r="AH77" s="234">
        <f>IFERROR(_xlfn.XLOOKUP($D77,'Modelling New'!$D:$D,'Modelling New'!AF:AF),"")</f>
        <v>0.995</v>
      </c>
      <c r="AI77" s="9"/>
      <c r="AJ77" s="9"/>
      <c r="AK77" s="258"/>
      <c r="AL77" s="258"/>
      <c r="AM77" s="258"/>
      <c r="AN77" s="235"/>
      <c r="AO77" s="233"/>
      <c r="AP77" s="233"/>
      <c r="AQ77" s="233"/>
      <c r="AR77" s="236">
        <f>_xlfn.XLOOKUP(D77,'Modelling New'!$D:$D,'Modelling New'!$N:$N)</f>
        <v>130</v>
      </c>
      <c r="AS77" s="236">
        <f t="shared" si="8"/>
        <v>513499.19402913057</v>
      </c>
    </row>
    <row r="78" spans="1:45">
      <c r="A78" s="18">
        <f t="shared" si="9"/>
        <v>45821</v>
      </c>
      <c r="B78" s="29">
        <f>YEAR(Table13[[#This Row],[Date]])+IF(MONTH(Table13[[#This Row],[Date]])&gt;=4,1,0)</f>
        <v>2026</v>
      </c>
      <c r="C78" s="9">
        <f>YEAR(Table13[[#This Row],[Date]])</f>
        <v>2025</v>
      </c>
      <c r="D78" s="229">
        <f>Table13[[#This Row],[Date]]-DAY(Table13[[#This Row],[Date]])+1</f>
        <v>45809</v>
      </c>
      <c r="E78" s="9">
        <f t="shared" si="5"/>
        <v>30</v>
      </c>
      <c r="F78" s="199">
        <f>IFERROR(_xlfn.XLOOKUP($A78,Input_Raw!$A:$A,Input_Raw!$FC:$FC),"")</f>
        <v>12.616666666666667</v>
      </c>
      <c r="G78" s="200">
        <f>IFERROR(_xlfn.XLOOKUP($A78,Input_Raw!$A:$A,Input_Raw!$CY:$CY),"")</f>
        <v>4.5868154583333327</v>
      </c>
      <c r="H78" s="200">
        <f>IFERROR(_xlfn.XLOOKUP($A78,Input_Raw!$A:$A,Input_Raw!$DA:$DA),"")</f>
        <v>0.52536266666666753</v>
      </c>
      <c r="I78" s="200">
        <f>IFERROR(_xlfn.XLOOKUP($A78,Input_Raw!$A:$A,Input_Raw!$CX:$CX),"")</f>
        <v>5.9436416833333272</v>
      </c>
      <c r="J78" s="200">
        <f>IFERROR(_xlfn.XLOOKUP($A78,Input_Raw!$A:$A,Input_Raw!$CZ:$CZ),"")</f>
        <v>0.37296844166666709</v>
      </c>
      <c r="K78" s="201">
        <f>IFERROR(_xlfn.XLOOKUP($A78,Input_Raw!$A:$A,Input_Raw!$DB:$DB),"")</f>
        <v>17.902280230919565</v>
      </c>
      <c r="L78" s="201">
        <f>IFERROR(_xlfn.XLOOKUP($A78,Input_Raw!$A:$A,Input_Raw!$DC:$DC),"")</f>
        <v>25.849413659607535</v>
      </c>
      <c r="M78" s="200">
        <f>IFERROR(_xlfn.XLOOKUP($A78,Input_Raw!$A:$A,Input_Raw!$DF:$DF),"")</f>
        <v>0.51123436609355855</v>
      </c>
      <c r="N78" s="200">
        <f>IFERROR(_xlfn.XLOOKUP($A78,Input_Raw!$A:$A,Input_Raw!$DG:$DG),"")</f>
        <v>2.3205</v>
      </c>
      <c r="O78" s="230">
        <f>IFERROR(1-(SUMIF(Plant_BD!$B:$B,$A78,Plant_BD!$AL:$AL)/($AA78+SUMIF(Plant_BD!$B:$B,$A78,Plant_BD!$AL:$AL))),"")</f>
        <v>0.98919226277480243</v>
      </c>
      <c r="P78" s="230"/>
      <c r="Q78" s="231">
        <f>IFERROR(1-(SUMIF(Grid_BD!$B:$B,$A78,Grid_BD!$V:$V)/($AA78+SUMIF(Grid_BD!$B:$B,$A78,Grid_BD!$V:$V))),"")</f>
        <v>1</v>
      </c>
      <c r="R78" s="230">
        <f>IFERROR(1-(SUMIF(Grid_BD!$B:$B,$A78,Grid_BD!$V:$V)/($AA78+SUMIF(Grid_BD!$B:$B,$A78,Grid_BD!$V:$V))),"")</f>
        <v>1</v>
      </c>
      <c r="S78" s="9"/>
      <c r="T78" s="231"/>
      <c r="U78" s="232">
        <f t="shared" si="6"/>
        <v>0.83108268716179079</v>
      </c>
      <c r="V78" s="232" t="str">
        <f>IFERROR(_xlfn.XLOOKUP($A78,Input_Raw!$A:$A,Input_Raw!$FG:$FG),"")</f>
        <v/>
      </c>
      <c r="W78" s="233">
        <f t="shared" si="7"/>
        <v>0.19426153846153846</v>
      </c>
      <c r="X78" s="29">
        <f>IFERROR(_xlfn.XLOOKUP($A78,Input_Raw!$A:$A,Input_Raw!$DP:$DP),"")</f>
        <v>627054.4</v>
      </c>
      <c r="Y78" s="29">
        <f>IFERROR(_xlfn.XLOOKUP($A78,Input_Raw!$A:$A,Input_Raw!EW:EW),"")</f>
        <v>609840</v>
      </c>
      <c r="Z78" s="29">
        <f>IFERROR(_xlfn.XLOOKUP($A78,Input_Raw!$A:$A,Input_Raw!EX:EX),"")</f>
        <v>3744.0000000000327</v>
      </c>
      <c r="AA78" s="29">
        <f>IFERROR(_xlfn.XLOOKUP($A78,Input_Raw!$A:$A,Input_Raw!FA:FA),"")</f>
        <v>606096</v>
      </c>
      <c r="AB78" s="9">
        <f>IFERROR(_xlfn.XLOOKUP($A78,Input_Raw!$A:$A,Input_Raw!FD:FD),"")</f>
        <v>122.7</v>
      </c>
      <c r="AC78" s="185">
        <f>IFERROR(_xlfn.XLOOKUP($D78,'Modelling New'!$D:$D,'Modelling New'!P:P),"")</f>
        <v>4.97</v>
      </c>
      <c r="AD78" s="29">
        <f>IFERROR(_xlfn.XLOOKUP($D78,'Modelling New'!$D:$D,'Modelling New'!T:T)*1000,"")</f>
        <v>544049.67582548468</v>
      </c>
      <c r="AE78" s="233">
        <f>IFERROR(_xlfn.XLOOKUP($D78,'Modelling New'!$D:$D,'Modelling New'!O:O),"")</f>
        <v>0.84205181214283342</v>
      </c>
      <c r="AF78" s="233">
        <f>IFERROR(_xlfn.XLOOKUP($D78,'Modelling New'!$D:$D,'Modelling New'!W:W),"")</f>
        <v>0.17437489609791174</v>
      </c>
      <c r="AG78" s="233">
        <f>IFERROR(_xlfn.XLOOKUP($D78,'Modelling New'!$D:$D,'Modelling New'!AE:AE),"")</f>
        <v>0.995</v>
      </c>
      <c r="AH78" s="234">
        <f>IFERROR(_xlfn.XLOOKUP($D78,'Modelling New'!$D:$D,'Modelling New'!AF:AF),"")</f>
        <v>0.995</v>
      </c>
      <c r="AI78" s="9"/>
      <c r="AJ78" s="9"/>
      <c r="AK78" s="258"/>
      <c r="AL78" s="258"/>
      <c r="AM78" s="258"/>
      <c r="AN78" s="235"/>
      <c r="AO78" s="233"/>
      <c r="AP78" s="233"/>
      <c r="AQ78" s="233"/>
      <c r="AR78" s="236">
        <f>_xlfn.XLOOKUP(D78,'Modelling New'!$D:$D,'Modelling New'!$N:$N)</f>
        <v>130</v>
      </c>
      <c r="AS78" s="236">
        <f t="shared" si="8"/>
        <v>513499.19402913057</v>
      </c>
    </row>
    <row r="79" spans="1:45">
      <c r="A79" s="18">
        <f t="shared" si="9"/>
        <v>45822</v>
      </c>
      <c r="B79" s="29">
        <f>YEAR(Table13[[#This Row],[Date]])+IF(MONTH(Table13[[#This Row],[Date]])&gt;=4,1,0)</f>
        <v>2026</v>
      </c>
      <c r="C79" s="9">
        <f>YEAR(Table13[[#This Row],[Date]])</f>
        <v>2025</v>
      </c>
      <c r="D79" s="229">
        <f>Table13[[#This Row],[Date]]-DAY(Table13[[#This Row],[Date]])+1</f>
        <v>45809</v>
      </c>
      <c r="E79" s="9">
        <f t="shared" si="5"/>
        <v>30</v>
      </c>
      <c r="F79" s="199">
        <f>IFERROR(_xlfn.XLOOKUP($A79,Input_Raw!$A:$A,Input_Raw!$FC:$FC),"")</f>
        <v>12.600000000000001</v>
      </c>
      <c r="G79" s="185">
        <f>IFERROR(_xlfn.XLOOKUP($A79,Input_Raw!$A:$A,Input_Raw!$CY:$CY),"")</f>
        <v>5.2343621666666644</v>
      </c>
      <c r="H79" s="185">
        <f>IFERROR(_xlfn.XLOOKUP($A79,Input_Raw!$A:$A,Input_Raw!$DA:$DA),"")</f>
        <v>0.9810536999999997</v>
      </c>
      <c r="I79" s="185">
        <f>IFERROR(_xlfn.XLOOKUP($A79,Input_Raw!$A:$A,Input_Raw!$CX:$CX),"")</f>
        <v>6.871251516666673</v>
      </c>
      <c r="J79" s="185">
        <f>IFERROR(_xlfn.XLOOKUP($A79,Input_Raw!$A:$A,Input_Raw!$CZ:$CZ),"")</f>
        <v>0.71466563333333322</v>
      </c>
      <c r="K79" s="201">
        <f>IFERROR(_xlfn.XLOOKUP($A79,Input_Raw!$A:$A,Input_Raw!$DB:$DB),"")</f>
        <v>30.935410764872515</v>
      </c>
      <c r="L79" s="201">
        <f>IFERROR(_xlfn.XLOOKUP($A79,Input_Raw!$A:$A,Input_Raw!$DC:$DC),"")</f>
        <v>44.854223087818717</v>
      </c>
      <c r="M79" s="200">
        <f>IFERROR(_xlfn.XLOOKUP($A79,Input_Raw!$A:$A,Input_Raw!$DF:$DF),"")</f>
        <v>0.81648441926345705</v>
      </c>
      <c r="N79" s="200">
        <f>IFERROR(_xlfn.XLOOKUP($A79,Input_Raw!$A:$A,Input_Raw!$DG:$DG),"")</f>
        <v>4.2210000000000001</v>
      </c>
      <c r="O79" s="230">
        <f>IFERROR(1-(SUMIF(Plant_BD!$B:$B,$A79,Plant_BD!$AL:$AL)/($AA79+SUMIF(Plant_BD!$B:$B,$A79,Plant_BD!$AL:$AL))),"")</f>
        <v>1</v>
      </c>
      <c r="P79" s="230"/>
      <c r="Q79" s="231">
        <f>IFERROR(1-(SUMIF(Grid_BD!$B:$B,$A79,Grid_BD!$V:$V)/($AA79+SUMIF(Grid_BD!$B:$B,$A79,Grid_BD!$V:$V))),"")</f>
        <v>1</v>
      </c>
      <c r="R79" s="230">
        <f>IFERROR(1-(SUMIF(Grid_BD!$B:$B,$A79,Grid_BD!$V:$V)/($AA79+SUMIF(Grid_BD!$B:$B,$A79,Grid_BD!$V:$V))),"")</f>
        <v>1</v>
      </c>
      <c r="S79" s="9"/>
      <c r="T79" s="231"/>
      <c r="U79" s="232">
        <f t="shared" si="6"/>
        <v>0.68524047566604585</v>
      </c>
      <c r="V79" s="232" t="str">
        <f>IFERROR(_xlfn.XLOOKUP($A79,Input_Raw!$A:$A,Input_Raw!$FG:$FG),"")</f>
        <v/>
      </c>
      <c r="W79" s="233">
        <f t="shared" si="7"/>
        <v>0.18516923076923072</v>
      </c>
      <c r="X79" s="29">
        <f>IFERROR(_xlfn.XLOOKUP($A79,Input_Raw!$A:$A,Input_Raw!$DP:$DP),"")</f>
        <v>589602.39999999991</v>
      </c>
      <c r="Y79" s="29">
        <f>IFERROR(_xlfn.XLOOKUP($A79,Input_Raw!$A:$A,Input_Raw!EW:EW),"")</f>
        <v>582480</v>
      </c>
      <c r="Z79" s="29">
        <f>IFERROR(_xlfn.XLOOKUP($A79,Input_Raw!$A:$A,Input_Raw!EX:EX),"")</f>
        <v>4752.0000000000982</v>
      </c>
      <c r="AA79" s="29">
        <f>IFERROR(_xlfn.XLOOKUP($A79,Input_Raw!$A:$A,Input_Raw!FA:FA),"")</f>
        <v>577727.99999999988</v>
      </c>
      <c r="AB79" s="9">
        <f>IFERROR(_xlfn.XLOOKUP($A79,Input_Raw!$A:$A,Input_Raw!FD:FD),"")</f>
        <v>122.7</v>
      </c>
      <c r="AC79" s="185">
        <f>IFERROR(_xlfn.XLOOKUP($D79,'Modelling New'!$D:$D,'Modelling New'!P:P),"")</f>
        <v>4.97</v>
      </c>
      <c r="AD79" s="29">
        <f>IFERROR(_xlfn.XLOOKUP($D79,'Modelling New'!$D:$D,'Modelling New'!T:T)*1000,"")</f>
        <v>544049.67582548468</v>
      </c>
      <c r="AE79" s="233">
        <f>IFERROR(_xlfn.XLOOKUP($D79,'Modelling New'!$D:$D,'Modelling New'!O:O),"")</f>
        <v>0.84205181214283342</v>
      </c>
      <c r="AF79" s="233">
        <f>IFERROR(_xlfn.XLOOKUP($D79,'Modelling New'!$D:$D,'Modelling New'!W:W),"")</f>
        <v>0.17437489609791174</v>
      </c>
      <c r="AG79" s="233">
        <f>IFERROR(_xlfn.XLOOKUP($D79,'Modelling New'!$D:$D,'Modelling New'!AE:AE),"")</f>
        <v>0.995</v>
      </c>
      <c r="AH79" s="234">
        <f>IFERROR(_xlfn.XLOOKUP($D79,'Modelling New'!$D:$D,'Modelling New'!AF:AF),"")</f>
        <v>0.995</v>
      </c>
      <c r="AI79" s="9"/>
      <c r="AJ79" s="9"/>
      <c r="AK79" s="258"/>
      <c r="AL79" s="258"/>
      <c r="AM79" s="258"/>
      <c r="AN79" s="235"/>
      <c r="AO79" s="233"/>
      <c r="AP79" s="233"/>
      <c r="AQ79" s="233"/>
      <c r="AR79" s="236">
        <f>_xlfn.XLOOKUP(D79,'Modelling New'!$D:$D,'Modelling New'!$N:$N)</f>
        <v>130</v>
      </c>
      <c r="AS79" s="236">
        <f t="shared" si="8"/>
        <v>513499.19402913057</v>
      </c>
    </row>
    <row r="80" spans="1:45">
      <c r="A80" s="18">
        <f t="shared" si="9"/>
        <v>45823</v>
      </c>
      <c r="B80" s="29">
        <f>YEAR(Table13[[#This Row],[Date]])+IF(MONTH(Table13[[#This Row],[Date]])&gt;=4,1,0)</f>
        <v>2026</v>
      </c>
      <c r="C80" s="9">
        <f>YEAR(Table13[[#This Row],[Date]])</f>
        <v>2025</v>
      </c>
      <c r="D80" s="229">
        <f>Table13[[#This Row],[Date]]-DAY(Table13[[#This Row],[Date]])+1</f>
        <v>45809</v>
      </c>
      <c r="E80" s="9">
        <f t="shared" si="5"/>
        <v>30</v>
      </c>
      <c r="F80" s="199">
        <f>IFERROR(_xlfn.XLOOKUP($A80,Input_Raw!$A:$A,Input_Raw!$FC:$FC),"")</f>
        <v>12.1</v>
      </c>
      <c r="G80" s="200">
        <f>IFERROR(_xlfn.XLOOKUP($A80,Input_Raw!$A:$A,Input_Raw!$CY:$CY),"")</f>
        <v>5.2119190499999979</v>
      </c>
      <c r="H80" s="200">
        <f>IFERROR(_xlfn.XLOOKUP($A80,Input_Raw!$A:$A,Input_Raw!$DA:$DA),"")</f>
        <v>0.96393041666666623</v>
      </c>
      <c r="I80" s="200">
        <f>IFERROR(_xlfn.XLOOKUP($A80,Input_Raw!$A:$A,Input_Raw!$CX:$CX),"")</f>
        <v>6.834107899999994</v>
      </c>
      <c r="J80" s="200">
        <f>IFERROR(_xlfn.XLOOKUP($A80,Input_Raw!$A:$A,Input_Raw!$CZ:$CZ),"")</f>
        <v>0.68744010000000055</v>
      </c>
      <c r="K80" s="201">
        <f>IFERROR(_xlfn.XLOOKUP($A80,Input_Raw!$A:$A,Input_Raw!$DB:$DB),"")</f>
        <v>30.29257188498401</v>
      </c>
      <c r="L80" s="201">
        <f>IFERROR(_xlfn.XLOOKUP($A80,Input_Raw!$A:$A,Input_Raw!$DC:$DC),"")</f>
        <v>44.882682108626092</v>
      </c>
      <c r="M80" s="200">
        <f>IFERROR(_xlfn.XLOOKUP($A80,Input_Raw!$A:$A,Input_Raw!$DF:$DF),"")</f>
        <v>1.1507822014051516</v>
      </c>
      <c r="N80" s="200">
        <f>IFERROR(_xlfn.XLOOKUP($A80,Input_Raw!$A:$A,Input_Raw!$DG:$DG),"")</f>
        <v>3.3420000000000001</v>
      </c>
      <c r="O80" s="230">
        <f>IFERROR(1-(SUMIF(Plant_BD!$B:$B,$A80,Plant_BD!$AL:$AL)/($AA80+SUMIF(Plant_BD!$B:$B,$A80,Plant_BD!$AL:$AL))),"")</f>
        <v>1</v>
      </c>
      <c r="P80" s="230"/>
      <c r="Q80" s="231">
        <f>IFERROR(1-(SUMIF(Grid_BD!$B:$B,$A80,Grid_BD!$V:$V)/($AA80+SUMIF(Grid_BD!$B:$B,$A80,Grid_BD!$V:$V))),"")</f>
        <v>1</v>
      </c>
      <c r="R80" s="230">
        <f>IFERROR(1-(SUMIF(Grid_BD!$B:$B,$A80,Grid_BD!$V:$V)/($AA80+SUMIF(Grid_BD!$B:$B,$A80,Grid_BD!$V:$V))),"")</f>
        <v>1</v>
      </c>
      <c r="S80" s="9"/>
      <c r="T80" s="231"/>
      <c r="U80" s="232">
        <f t="shared" si="6"/>
        <v>0.62078955283777437</v>
      </c>
      <c r="V80" s="232" t="str">
        <f>IFERROR(_xlfn.XLOOKUP($A80,Input_Raw!$A:$A,Input_Raw!$FG:$FG),"")</f>
        <v/>
      </c>
      <c r="W80" s="233">
        <f t="shared" si="7"/>
        <v>0.1668461538461552</v>
      </c>
      <c r="X80" s="29">
        <f>IFERROR(_xlfn.XLOOKUP($A80,Input_Raw!$A:$A,Input_Raw!$DP:$DP),"")</f>
        <v>531218.1</v>
      </c>
      <c r="Y80" s="29">
        <f>IFERROR(_xlfn.XLOOKUP($A80,Input_Raw!$A:$A,Input_Raw!EW:EW),"")</f>
        <v>523152.00000000419</v>
      </c>
      <c r="Z80" s="29">
        <f>IFERROR(_xlfn.XLOOKUP($A80,Input_Raw!$A:$A,Input_Raw!EX:EX),"")</f>
        <v>2591.9999999999345</v>
      </c>
      <c r="AA80" s="29">
        <f>IFERROR(_xlfn.XLOOKUP($A80,Input_Raw!$A:$A,Input_Raw!FA:FA),"")</f>
        <v>520560.00000000425</v>
      </c>
      <c r="AB80" s="9">
        <f>IFERROR(_xlfn.XLOOKUP($A80,Input_Raw!$A:$A,Input_Raw!FD:FD),"")</f>
        <v>122.7</v>
      </c>
      <c r="AC80" s="185">
        <f>IFERROR(_xlfn.XLOOKUP($D80,'Modelling New'!$D:$D,'Modelling New'!P:P),"")</f>
        <v>4.97</v>
      </c>
      <c r="AD80" s="29">
        <f>IFERROR(_xlfn.XLOOKUP($D80,'Modelling New'!$D:$D,'Modelling New'!T:T)*1000,"")</f>
        <v>544049.67582548468</v>
      </c>
      <c r="AE80" s="233">
        <f>IFERROR(_xlfn.XLOOKUP($D80,'Modelling New'!$D:$D,'Modelling New'!O:O),"")</f>
        <v>0.84205181214283342</v>
      </c>
      <c r="AF80" s="233">
        <f>IFERROR(_xlfn.XLOOKUP($D80,'Modelling New'!$D:$D,'Modelling New'!W:W),"")</f>
        <v>0.17437489609791174</v>
      </c>
      <c r="AG80" s="233">
        <f>IFERROR(_xlfn.XLOOKUP($D80,'Modelling New'!$D:$D,'Modelling New'!AE:AE),"")</f>
        <v>0.995</v>
      </c>
      <c r="AH80" s="234">
        <f>IFERROR(_xlfn.XLOOKUP($D80,'Modelling New'!$D:$D,'Modelling New'!AF:AF),"")</f>
        <v>0.995</v>
      </c>
      <c r="AI80" s="9"/>
      <c r="AJ80" s="9"/>
      <c r="AK80" s="258"/>
      <c r="AL80" s="258"/>
      <c r="AM80" s="258"/>
      <c r="AN80" s="235"/>
      <c r="AO80" s="233"/>
      <c r="AP80" s="233"/>
      <c r="AQ80" s="233"/>
      <c r="AR80" s="236">
        <f>_xlfn.XLOOKUP(D80,'Modelling New'!$D:$D,'Modelling New'!$N:$N)</f>
        <v>130</v>
      </c>
      <c r="AS80" s="236">
        <f t="shared" si="8"/>
        <v>513499.19402913057</v>
      </c>
    </row>
    <row r="81" spans="1:45">
      <c r="A81" s="18">
        <f t="shared" si="9"/>
        <v>45824</v>
      </c>
      <c r="B81" s="29">
        <f>YEAR(Table13[[#This Row],[Date]])+IF(MONTH(Table13[[#This Row],[Date]])&gt;=4,1,0)</f>
        <v>2026</v>
      </c>
      <c r="C81" s="9">
        <f>YEAR(Table13[[#This Row],[Date]])</f>
        <v>2025</v>
      </c>
      <c r="D81" s="229">
        <f>Table13[[#This Row],[Date]]-DAY(Table13[[#This Row],[Date]])+1</f>
        <v>45809</v>
      </c>
      <c r="E81" s="9">
        <f t="shared" si="5"/>
        <v>30</v>
      </c>
      <c r="F81" s="199">
        <f>IFERROR(_xlfn.XLOOKUP($A81,Input_Raw!$A:$A,Input_Raw!$FC:$FC),"")</f>
        <v>12.899999999999999</v>
      </c>
      <c r="G81" s="185">
        <f>IFERROR(_xlfn.XLOOKUP($A81,Input_Raw!$A:$A,Input_Raw!$CY:$CY),"")</f>
        <v>4.8223196916666637</v>
      </c>
      <c r="H81" s="185">
        <f>IFERROR(_xlfn.XLOOKUP($A81,Input_Raw!$A:$A,Input_Raw!$DA:$DA),"")</f>
        <v>0.77234641666666604</v>
      </c>
      <c r="I81" s="185">
        <f>IFERROR(_xlfn.XLOOKUP($A81,Input_Raw!$A:$A,Input_Raw!$CX:$CX),"")</f>
        <v>5.4328894500000029</v>
      </c>
      <c r="J81" s="185">
        <f>IFERROR(_xlfn.XLOOKUP($A81,Input_Raw!$A:$A,Input_Raw!$CZ:$CZ),"")</f>
        <v>0.6235096916666667</v>
      </c>
      <c r="K81" s="201">
        <f>IFERROR(_xlfn.XLOOKUP($A81,Input_Raw!$A:$A,Input_Raw!$DB:$DB),"")</f>
        <v>28.985448295716004</v>
      </c>
      <c r="L81" s="201">
        <f>IFERROR(_xlfn.XLOOKUP($A81,Input_Raw!$A:$A,Input_Raw!$DC:$DC),"")</f>
        <v>41.108262758735897</v>
      </c>
      <c r="M81" s="200">
        <f>IFERROR(_xlfn.XLOOKUP($A81,Input_Raw!$A:$A,Input_Raw!$DF:$DF),"")</f>
        <v>1.0358129251612256</v>
      </c>
      <c r="N81" s="200">
        <f>IFERROR(_xlfn.XLOOKUP($A81,Input_Raw!$A:$A,Input_Raw!$DG:$DG),"")</f>
        <v>3.702</v>
      </c>
      <c r="O81" s="230">
        <f>IFERROR(1-(SUMIF(Plant_BD!$B:$B,$A81,Plant_BD!$AL:$AL)/($AA81+SUMIF(Plant_BD!$B:$B,$A81,Plant_BD!$AL:$AL))),"")</f>
        <v>1</v>
      </c>
      <c r="P81" s="230"/>
      <c r="Q81" s="231">
        <f>IFERROR(1-(SUMIF(Grid_BD!$B:$B,$A81,Grid_BD!$V:$V)/($AA81+SUMIF(Grid_BD!$B:$B,$A81,Grid_BD!$V:$V))),"")</f>
        <v>1</v>
      </c>
      <c r="R81" s="230">
        <f>IFERROR(1-(SUMIF(Grid_BD!$B:$B,$A81,Grid_BD!$V:$V)/($AA81+SUMIF(Grid_BD!$B:$B,$A81,Grid_BD!$V:$V))),"")</f>
        <v>1</v>
      </c>
      <c r="S81" s="9"/>
      <c r="T81" s="231"/>
      <c r="U81" s="232">
        <f t="shared" si="6"/>
        <v>0.72473558484766654</v>
      </c>
      <c r="V81" s="232" t="str">
        <f>IFERROR(_xlfn.XLOOKUP($A81,Input_Raw!$A:$A,Input_Raw!$FG:$FG),"")</f>
        <v/>
      </c>
      <c r="W81" s="233">
        <f t="shared" si="7"/>
        <v>0.15484615384615522</v>
      </c>
      <c r="X81" s="29">
        <f>IFERROR(_xlfn.XLOOKUP($A81,Input_Raw!$A:$A,Input_Raw!$DP:$DP),"")</f>
        <v>494068.39999999997</v>
      </c>
      <c r="Y81" s="29">
        <f>IFERROR(_xlfn.XLOOKUP($A81,Input_Raw!$A:$A,Input_Raw!EW:EW),"")</f>
        <v>486792.00000000419</v>
      </c>
      <c r="Z81" s="29">
        <f>IFERROR(_xlfn.XLOOKUP($A81,Input_Raw!$A:$A,Input_Raw!EX:EX),"")</f>
        <v>3671.9999999999345</v>
      </c>
      <c r="AA81" s="29">
        <f>IFERROR(_xlfn.XLOOKUP($A81,Input_Raw!$A:$A,Input_Raw!FA:FA),"")</f>
        <v>483120.00000000425</v>
      </c>
      <c r="AB81" s="9">
        <f>IFERROR(_xlfn.XLOOKUP($A81,Input_Raw!$A:$A,Input_Raw!FD:FD),"")</f>
        <v>122.7</v>
      </c>
      <c r="AC81" s="185">
        <f>IFERROR(_xlfn.XLOOKUP($D81,'Modelling New'!$D:$D,'Modelling New'!P:P),"")</f>
        <v>4.97</v>
      </c>
      <c r="AD81" s="29">
        <f>IFERROR(_xlfn.XLOOKUP($D81,'Modelling New'!$D:$D,'Modelling New'!T:T)*1000,"")</f>
        <v>544049.67582548468</v>
      </c>
      <c r="AE81" s="233">
        <f>IFERROR(_xlfn.XLOOKUP($D81,'Modelling New'!$D:$D,'Modelling New'!O:O),"")</f>
        <v>0.84205181214283342</v>
      </c>
      <c r="AF81" s="233">
        <f>IFERROR(_xlfn.XLOOKUP($D81,'Modelling New'!$D:$D,'Modelling New'!W:W),"")</f>
        <v>0.17437489609791174</v>
      </c>
      <c r="AG81" s="233">
        <f>IFERROR(_xlfn.XLOOKUP($D81,'Modelling New'!$D:$D,'Modelling New'!AE:AE),"")</f>
        <v>0.995</v>
      </c>
      <c r="AH81" s="234">
        <f>IFERROR(_xlfn.XLOOKUP($D81,'Modelling New'!$D:$D,'Modelling New'!AF:AF),"")</f>
        <v>0.995</v>
      </c>
      <c r="AI81" s="9"/>
      <c r="AJ81" s="9"/>
      <c r="AK81" s="258"/>
      <c r="AL81" s="258"/>
      <c r="AM81" s="258"/>
      <c r="AN81" s="235"/>
      <c r="AO81" s="233"/>
      <c r="AP81" s="233"/>
      <c r="AQ81" s="233"/>
      <c r="AR81" s="236">
        <f>_xlfn.XLOOKUP(D81,'Modelling New'!$D:$D,'Modelling New'!$N:$N)</f>
        <v>130</v>
      </c>
      <c r="AS81" s="236">
        <f t="shared" si="8"/>
        <v>513499.19402913057</v>
      </c>
    </row>
    <row r="82" spans="1:45">
      <c r="A82" s="18">
        <f t="shared" si="9"/>
        <v>45825</v>
      </c>
      <c r="B82" s="29">
        <f>YEAR(Table13[[#This Row],[Date]])+IF(MONTH(Table13[[#This Row],[Date]])&gt;=4,1,0)</f>
        <v>2026</v>
      </c>
      <c r="C82" s="9">
        <f>YEAR(Table13[[#This Row],[Date]])</f>
        <v>2025</v>
      </c>
      <c r="D82" s="229">
        <f>Table13[[#This Row],[Date]]-DAY(Table13[[#This Row],[Date]])+1</f>
        <v>45809</v>
      </c>
      <c r="E82" s="9">
        <f t="shared" si="5"/>
        <v>30</v>
      </c>
      <c r="F82" s="199">
        <f>IFERROR(_xlfn.XLOOKUP($A82,Input_Raw!$A:$A,Input_Raw!$FC:$FC),"")</f>
        <v>12.633333333333333</v>
      </c>
      <c r="G82" s="200">
        <f>IFERROR(_xlfn.XLOOKUP($A82,Input_Raw!$A:$A,Input_Raw!$CY:$CY),"")</f>
        <v>5.7465822250000018</v>
      </c>
      <c r="H82" s="200">
        <f>IFERROR(_xlfn.XLOOKUP($A82,Input_Raw!$A:$A,Input_Raw!$DA:$DA),"")</f>
        <v>0.97705907499999944</v>
      </c>
      <c r="I82" s="200">
        <f>IFERROR(_xlfn.XLOOKUP($A82,Input_Raw!$A:$A,Input_Raw!$CX:$CX),"")</f>
        <v>6.3338956416666674</v>
      </c>
      <c r="J82" s="200">
        <f>IFERROR(_xlfn.XLOOKUP($A82,Input_Raw!$A:$A,Input_Raw!$CZ:$CZ),"")</f>
        <v>0.76303882499999987</v>
      </c>
      <c r="K82" s="201">
        <f>IFERROR(_xlfn.XLOOKUP($A82,Input_Raw!$A:$A,Input_Raw!$DB:$DB),"")</f>
        <v>30.323383532335061</v>
      </c>
      <c r="L82" s="201">
        <f>IFERROR(_xlfn.XLOOKUP($A82,Input_Raw!$A:$A,Input_Raw!$DC:$DC),"")</f>
        <v>43.021700330446187</v>
      </c>
      <c r="M82" s="200">
        <f>IFERROR(_xlfn.XLOOKUP($A82,Input_Raw!$A:$A,Input_Raw!$DF:$DF),"")</f>
        <v>1.6040188643852149</v>
      </c>
      <c r="N82" s="200">
        <f>IFERROR(_xlfn.XLOOKUP($A82,Input_Raw!$A:$A,Input_Raw!$DG:$DG),"")</f>
        <v>4.3784999999999998</v>
      </c>
      <c r="O82" s="230">
        <f>IFERROR(1-(SUMIF(Plant_BD!$B:$B,$A82,Plant_BD!$AL:$AL)/($AA82+SUMIF(Plant_BD!$B:$B,$A82,Plant_BD!$AL:$AL))),"")</f>
        <v>1</v>
      </c>
      <c r="P82" s="230"/>
      <c r="Q82" s="231">
        <f>IFERROR(1-(SUMIF(Grid_BD!$B:$B,$A82,Grid_BD!$V:$V)/($AA82+SUMIF(Grid_BD!$B:$B,$A82,Grid_BD!$V:$V))),"")</f>
        <v>1</v>
      </c>
      <c r="R82" s="230">
        <f>IFERROR(1-(SUMIF(Grid_BD!$B:$B,$A82,Grid_BD!$V:$V)/($AA82+SUMIF(Grid_BD!$B:$B,$A82,Grid_BD!$V:$V))),"")</f>
        <v>1</v>
      </c>
      <c r="S82" s="9"/>
      <c r="T82" s="231"/>
      <c r="U82" s="232">
        <f t="shared" si="6"/>
        <v>0.75189824038873199</v>
      </c>
      <c r="V82" s="232" t="str">
        <f>IFERROR(_xlfn.XLOOKUP($A82,Input_Raw!$A:$A,Input_Raw!$FG:$FG),"")</f>
        <v/>
      </c>
      <c r="W82" s="233">
        <f t="shared" si="7"/>
        <v>0.18729230769230631</v>
      </c>
      <c r="X82" s="29">
        <f>IFERROR(_xlfn.XLOOKUP($A82,Input_Raw!$A:$A,Input_Raw!$DP:$DP),"")</f>
        <v>597921.69999999995</v>
      </c>
      <c r="Y82" s="29">
        <f>IFERROR(_xlfn.XLOOKUP($A82,Input_Raw!$A:$A,Input_Raw!EW:EW),"")</f>
        <v>588167.99999999581</v>
      </c>
      <c r="Z82" s="29">
        <f>IFERROR(_xlfn.XLOOKUP($A82,Input_Raw!$A:$A,Input_Raw!EX:EX),"")</f>
        <v>3816.000000000131</v>
      </c>
      <c r="AA82" s="29">
        <f>IFERROR(_xlfn.XLOOKUP($A82,Input_Raw!$A:$A,Input_Raw!FA:FA),"")</f>
        <v>584351.99999999569</v>
      </c>
      <c r="AB82" s="9">
        <f>IFERROR(_xlfn.XLOOKUP($A82,Input_Raw!$A:$A,Input_Raw!FD:FD),"")</f>
        <v>122.7</v>
      </c>
      <c r="AC82" s="185">
        <f>IFERROR(_xlfn.XLOOKUP($D82,'Modelling New'!$D:$D,'Modelling New'!P:P),"")</f>
        <v>4.97</v>
      </c>
      <c r="AD82" s="29">
        <f>IFERROR(_xlfn.XLOOKUP($D82,'Modelling New'!$D:$D,'Modelling New'!T:T)*1000,"")</f>
        <v>544049.67582548468</v>
      </c>
      <c r="AE82" s="233">
        <f>IFERROR(_xlfn.XLOOKUP($D82,'Modelling New'!$D:$D,'Modelling New'!O:O),"")</f>
        <v>0.84205181214283342</v>
      </c>
      <c r="AF82" s="233">
        <f>IFERROR(_xlfn.XLOOKUP($D82,'Modelling New'!$D:$D,'Modelling New'!W:W),"")</f>
        <v>0.17437489609791174</v>
      </c>
      <c r="AG82" s="233">
        <f>IFERROR(_xlfn.XLOOKUP($D82,'Modelling New'!$D:$D,'Modelling New'!AE:AE),"")</f>
        <v>0.995</v>
      </c>
      <c r="AH82" s="234">
        <f>IFERROR(_xlfn.XLOOKUP($D82,'Modelling New'!$D:$D,'Modelling New'!AF:AF),"")</f>
        <v>0.995</v>
      </c>
      <c r="AI82" s="9"/>
      <c r="AJ82" s="9"/>
      <c r="AK82" s="258"/>
      <c r="AL82" s="258"/>
      <c r="AM82" s="258"/>
      <c r="AN82" s="235"/>
      <c r="AO82" s="233"/>
      <c r="AP82" s="233"/>
      <c r="AQ82" s="233"/>
      <c r="AR82" s="236">
        <f>_xlfn.XLOOKUP(D82,'Modelling New'!$D:$D,'Modelling New'!$N:$N)</f>
        <v>130</v>
      </c>
      <c r="AS82" s="236">
        <f t="shared" si="8"/>
        <v>513499.19402913057</v>
      </c>
    </row>
    <row r="83" spans="1:45">
      <c r="A83" s="18">
        <f t="shared" si="9"/>
        <v>45826</v>
      </c>
      <c r="B83" s="29">
        <f>YEAR(Table13[[#This Row],[Date]])+IF(MONTH(Table13[[#This Row],[Date]])&gt;=4,1,0)</f>
        <v>2026</v>
      </c>
      <c r="C83" s="9">
        <f>YEAR(Table13[[#This Row],[Date]])</f>
        <v>2025</v>
      </c>
      <c r="D83" s="229">
        <f>Table13[[#This Row],[Date]]-DAY(Table13[[#This Row],[Date]])+1</f>
        <v>45809</v>
      </c>
      <c r="E83" s="9">
        <f t="shared" si="5"/>
        <v>30</v>
      </c>
      <c r="F83" s="199">
        <f>IFERROR(_xlfn.XLOOKUP($A83,Input_Raw!$A:$A,Input_Raw!$FC:$FC),"")</f>
        <v>12.483333333333334</v>
      </c>
      <c r="G83" s="185">
        <f>IFERROR(_xlfn.XLOOKUP($A83,Input_Raw!$A:$A,Input_Raw!$CY:$CY),"")</f>
        <v>3.5445260666666658</v>
      </c>
      <c r="H83" s="185">
        <f>IFERROR(_xlfn.XLOOKUP($A83,Input_Raw!$A:$A,Input_Raw!$DA:$DA),"")</f>
        <v>0.60833843333333348</v>
      </c>
      <c r="I83" s="185">
        <f>IFERROR(_xlfn.XLOOKUP($A83,Input_Raw!$A:$A,Input_Raw!$CX:$CX),"")</f>
        <v>3.9411315916666636</v>
      </c>
      <c r="J83" s="185">
        <f>IFERROR(_xlfn.XLOOKUP($A83,Input_Raw!$A:$A,Input_Raw!$CZ:$CZ),"")</f>
        <v>0.48998669166666686</v>
      </c>
      <c r="K83" s="201">
        <f>IFERROR(_xlfn.XLOOKUP($A83,Input_Raw!$A:$A,Input_Raw!$DB:$DB),"")</f>
        <v>29.432803541315366</v>
      </c>
      <c r="L83" s="201">
        <f>IFERROR(_xlfn.XLOOKUP($A83,Input_Raw!$A:$A,Input_Raw!$DC:$DC),"")</f>
        <v>39.176878161888695</v>
      </c>
      <c r="M83" s="200">
        <f>IFERROR(_xlfn.XLOOKUP($A83,Input_Raw!$A:$A,Input_Raw!$DF:$DF),"")</f>
        <v>1.7927618043844864</v>
      </c>
      <c r="N83" s="200">
        <f>IFERROR(_xlfn.XLOOKUP($A83,Input_Raw!$A:$A,Input_Raw!$DG:$DG),"")</f>
        <v>4.0440000000000005</v>
      </c>
      <c r="O83" s="230">
        <f>IFERROR(1-(SUMIF(Plant_BD!$B:$B,$A83,Plant_BD!$AL:$AL)/($AA83+SUMIF(Plant_BD!$B:$B,$A83,Plant_BD!$AL:$AL))),"")</f>
        <v>0.99996462363690697</v>
      </c>
      <c r="P83" s="230"/>
      <c r="Q83" s="231">
        <f>IFERROR(1-(SUMIF(Grid_BD!$B:$B,$A83,Grid_BD!$V:$V)/($AA83+SUMIF(Grid_BD!$B:$B,$A83,Grid_BD!$V:$V))),"")</f>
        <v>1</v>
      </c>
      <c r="R83" s="230">
        <f>IFERROR(1-(SUMIF(Grid_BD!$B:$B,$A83,Grid_BD!$V:$V)/($AA83+SUMIF(Grid_BD!$B:$B,$A83,Grid_BD!$V:$V))),"")</f>
        <v>1</v>
      </c>
      <c r="S83" s="9"/>
      <c r="T83" s="231"/>
      <c r="U83" s="232">
        <f t="shared" si="6"/>
        <v>0.79343749176105316</v>
      </c>
      <c r="V83" s="232" t="str">
        <f>IFERROR(_xlfn.XLOOKUP($A83,Input_Raw!$A:$A,Input_Raw!$FG:$FG),"")</f>
        <v/>
      </c>
      <c r="W83" s="233">
        <f t="shared" si="7"/>
        <v>0.12297692307692579</v>
      </c>
      <c r="X83" s="29">
        <f>IFERROR(_xlfn.XLOOKUP($A83,Input_Raw!$A:$A,Input_Raw!$DP:$DP),"")</f>
        <v>390585.4</v>
      </c>
      <c r="Y83" s="29">
        <f>IFERROR(_xlfn.XLOOKUP($A83,Input_Raw!$A:$A,Input_Raw!EW:EW),"")</f>
        <v>387144.00000000838</v>
      </c>
      <c r="Z83" s="29">
        <f>IFERROR(_xlfn.XLOOKUP($A83,Input_Raw!$A:$A,Input_Raw!EX:EX),"")</f>
        <v>3455.9999999999673</v>
      </c>
      <c r="AA83" s="29">
        <f>IFERROR(_xlfn.XLOOKUP($A83,Input_Raw!$A:$A,Input_Raw!FA:FA),"")</f>
        <v>383688.00000000844</v>
      </c>
      <c r="AB83" s="9">
        <f>IFERROR(_xlfn.XLOOKUP($A83,Input_Raw!$A:$A,Input_Raw!FD:FD),"")</f>
        <v>122.7</v>
      </c>
      <c r="AC83" s="185">
        <f>IFERROR(_xlfn.XLOOKUP($D83,'Modelling New'!$D:$D,'Modelling New'!P:P),"")</f>
        <v>4.97</v>
      </c>
      <c r="AD83" s="29">
        <f>IFERROR(_xlfn.XLOOKUP($D83,'Modelling New'!$D:$D,'Modelling New'!T:T)*1000,"")</f>
        <v>544049.67582548468</v>
      </c>
      <c r="AE83" s="233">
        <f>IFERROR(_xlfn.XLOOKUP($D83,'Modelling New'!$D:$D,'Modelling New'!O:O),"")</f>
        <v>0.84205181214283342</v>
      </c>
      <c r="AF83" s="233">
        <f>IFERROR(_xlfn.XLOOKUP($D83,'Modelling New'!$D:$D,'Modelling New'!W:W),"")</f>
        <v>0.17437489609791174</v>
      </c>
      <c r="AG83" s="233">
        <f>IFERROR(_xlfn.XLOOKUP($D83,'Modelling New'!$D:$D,'Modelling New'!AE:AE),"")</f>
        <v>0.995</v>
      </c>
      <c r="AH83" s="234">
        <f>IFERROR(_xlfn.XLOOKUP($D83,'Modelling New'!$D:$D,'Modelling New'!AF:AF),"")</f>
        <v>0.995</v>
      </c>
      <c r="AI83" s="9"/>
      <c r="AJ83" s="9"/>
      <c r="AK83" s="258"/>
      <c r="AL83" s="258"/>
      <c r="AM83" s="258"/>
      <c r="AN83" s="235"/>
      <c r="AO83" s="233"/>
      <c r="AP83" s="233"/>
      <c r="AQ83" s="233"/>
      <c r="AR83" s="236">
        <f>_xlfn.XLOOKUP(D83,'Modelling New'!$D:$D,'Modelling New'!$N:$N)</f>
        <v>130</v>
      </c>
      <c r="AS83" s="236">
        <f t="shared" si="8"/>
        <v>513499.19402913057</v>
      </c>
    </row>
    <row r="84" spans="1:45">
      <c r="A84" s="18">
        <f t="shared" si="9"/>
        <v>45827</v>
      </c>
      <c r="B84" s="29">
        <f>YEAR(Table13[[#This Row],[Date]])+IF(MONTH(Table13[[#This Row],[Date]])&gt;=4,1,0)</f>
        <v>2026</v>
      </c>
      <c r="C84" s="9">
        <f>YEAR(Table13[[#This Row],[Date]])</f>
        <v>2025</v>
      </c>
      <c r="D84" s="229">
        <f>Table13[[#This Row],[Date]]-DAY(Table13[[#This Row],[Date]])+1</f>
        <v>45809</v>
      </c>
      <c r="E84" s="9">
        <f t="shared" si="5"/>
        <v>30</v>
      </c>
      <c r="F84" s="199">
        <f>IFERROR(_xlfn.XLOOKUP($A84,Input_Raw!$A:$A,Input_Raw!$FC:$FC),"")</f>
        <v>12.666666666666668</v>
      </c>
      <c r="G84" s="200">
        <f>IFERROR(_xlfn.XLOOKUP($A84,Input_Raw!$A:$A,Input_Raw!$CY:$CY),"")</f>
        <v>3.4232248749999949</v>
      </c>
      <c r="H84" s="200">
        <f>IFERROR(_xlfn.XLOOKUP($A84,Input_Raw!$A:$A,Input_Raw!$DA:$DA),"")</f>
        <v>0.58472015833333357</v>
      </c>
      <c r="I84" s="200">
        <f>IFERROR(_xlfn.XLOOKUP($A84,Input_Raw!$A:$A,Input_Raw!$CX:$CX),"")</f>
        <v>3.8326475416666637</v>
      </c>
      <c r="J84" s="200">
        <f>IFERROR(_xlfn.XLOOKUP($A84,Input_Raw!$A:$A,Input_Raw!$CZ:$CZ),"")</f>
        <v>0.47186016666666647</v>
      </c>
      <c r="K84" s="201">
        <f>IFERROR(_xlfn.XLOOKUP($A84,Input_Raw!$A:$A,Input_Raw!$DB:$DB),"")</f>
        <v>27.08454280300618</v>
      </c>
      <c r="L84" s="201">
        <f>IFERROR(_xlfn.XLOOKUP($A84,Input_Raw!$A:$A,Input_Raw!$DC:$DC),"")</f>
        <v>36.296210168242141</v>
      </c>
      <c r="M84" s="200">
        <f>IFERROR(_xlfn.XLOOKUP($A84,Input_Raw!$A:$A,Input_Raw!$DF:$DF),"")</f>
        <v>1.6485677133231131</v>
      </c>
      <c r="N84" s="200">
        <f>IFERROR(_xlfn.XLOOKUP($A84,Input_Raw!$A:$A,Input_Raw!$DG:$DG),"")</f>
        <v>4.8765000000000001</v>
      </c>
      <c r="O84" s="230">
        <f>IFERROR(1-(SUMIF(Plant_BD!$B:$B,$A84,Plant_BD!$AL:$AL)/($AA84+SUMIF(Plant_BD!$B:$B,$A84,Plant_BD!$AL:$AL))),"")</f>
        <v>1</v>
      </c>
      <c r="P84" s="230"/>
      <c r="Q84" s="231">
        <f>IFERROR(1-(SUMIF(Grid_BD!$B:$B,$A84,Grid_BD!$V:$V)/($AA84+SUMIF(Grid_BD!$B:$B,$A84,Grid_BD!$V:$V))),"")</f>
        <v>1</v>
      </c>
      <c r="R84" s="230">
        <f>IFERROR(1-(SUMIF(Grid_BD!$B:$B,$A84,Grid_BD!$V:$V)/($AA84+SUMIF(Grid_BD!$B:$B,$A84,Grid_BD!$V:$V))),"")</f>
        <v>1</v>
      </c>
      <c r="S84" s="9"/>
      <c r="T84" s="231"/>
      <c r="U84" s="232">
        <f t="shared" si="6"/>
        <v>0.80793448489471409</v>
      </c>
      <c r="V84" s="232" t="str">
        <f>IFERROR(_xlfn.XLOOKUP($A84,Input_Raw!$A:$A,Input_Raw!$FG:$FG),"")</f>
        <v/>
      </c>
      <c r="W84" s="233">
        <f t="shared" si="7"/>
        <v>0.12177692307692446</v>
      </c>
      <c r="X84" s="29">
        <f>IFERROR(_xlfn.XLOOKUP($A84,Input_Raw!$A:$A,Input_Raw!$DP:$DP),"")</f>
        <v>387344.2</v>
      </c>
      <c r="Y84" s="29">
        <f>IFERROR(_xlfn.XLOOKUP($A84,Input_Raw!$A:$A,Input_Raw!EW:EW),"")</f>
        <v>383832.00000000419</v>
      </c>
      <c r="Z84" s="29">
        <f>IFERROR(_xlfn.XLOOKUP($A84,Input_Raw!$A:$A,Input_Raw!EX:EX),"")</f>
        <v>3887.9999999999018</v>
      </c>
      <c r="AA84" s="29">
        <f>IFERROR(_xlfn.XLOOKUP($A84,Input_Raw!$A:$A,Input_Raw!FA:FA),"")</f>
        <v>379944.00000000431</v>
      </c>
      <c r="AB84" s="9">
        <f>IFERROR(_xlfn.XLOOKUP($A84,Input_Raw!$A:$A,Input_Raw!FD:FD),"")</f>
        <v>122.7</v>
      </c>
      <c r="AC84" s="185">
        <f>IFERROR(_xlfn.XLOOKUP($D84,'Modelling New'!$D:$D,'Modelling New'!P:P),"")</f>
        <v>4.97</v>
      </c>
      <c r="AD84" s="29">
        <f>IFERROR(_xlfn.XLOOKUP($D84,'Modelling New'!$D:$D,'Modelling New'!T:T)*1000,"")</f>
        <v>544049.67582548468</v>
      </c>
      <c r="AE84" s="233">
        <f>IFERROR(_xlfn.XLOOKUP($D84,'Modelling New'!$D:$D,'Modelling New'!O:O),"")</f>
        <v>0.84205181214283342</v>
      </c>
      <c r="AF84" s="233">
        <f>IFERROR(_xlfn.XLOOKUP($D84,'Modelling New'!$D:$D,'Modelling New'!W:W),"")</f>
        <v>0.17437489609791174</v>
      </c>
      <c r="AG84" s="233">
        <f>IFERROR(_xlfn.XLOOKUP($D84,'Modelling New'!$D:$D,'Modelling New'!AE:AE),"")</f>
        <v>0.995</v>
      </c>
      <c r="AH84" s="234">
        <f>IFERROR(_xlfn.XLOOKUP($D84,'Modelling New'!$D:$D,'Modelling New'!AF:AF),"")</f>
        <v>0.995</v>
      </c>
      <c r="AI84" s="9"/>
      <c r="AJ84" s="9"/>
      <c r="AK84" s="258"/>
      <c r="AL84" s="258"/>
      <c r="AM84" s="258"/>
      <c r="AN84" s="235"/>
      <c r="AO84" s="233"/>
      <c r="AP84" s="233"/>
      <c r="AQ84" s="233"/>
      <c r="AR84" s="236">
        <f>_xlfn.XLOOKUP(D84,'Modelling New'!$D:$D,'Modelling New'!$N:$N)</f>
        <v>130</v>
      </c>
      <c r="AS84" s="236">
        <f t="shared" si="8"/>
        <v>513499.19402913057</v>
      </c>
    </row>
    <row r="85" spans="1:45">
      <c r="A85" s="18">
        <f t="shared" si="9"/>
        <v>45828</v>
      </c>
      <c r="B85" s="29">
        <f>YEAR(Table13[[#This Row],[Date]])+IF(MONTH(Table13[[#This Row],[Date]])&gt;=4,1,0)</f>
        <v>2026</v>
      </c>
      <c r="C85" s="9">
        <f>YEAR(Table13[[#This Row],[Date]])</f>
        <v>2025</v>
      </c>
      <c r="D85" s="229">
        <f>Table13[[#This Row],[Date]]-DAY(Table13[[#This Row],[Date]])+1</f>
        <v>45809</v>
      </c>
      <c r="E85" s="9">
        <f t="shared" si="5"/>
        <v>30</v>
      </c>
      <c r="F85" s="199">
        <f>IFERROR(_xlfn.XLOOKUP($A85,Input_Raw!$A:$A,Input_Raw!$FC:$FC),"")</f>
        <v>12.666666666666668</v>
      </c>
      <c r="G85" s="185">
        <f>IFERROR(_xlfn.XLOOKUP($A85,Input_Raw!$A:$A,Input_Raw!$CY:$CY),"")</f>
        <v>6.091500899999998</v>
      </c>
      <c r="H85" s="185">
        <f>IFERROR(_xlfn.XLOOKUP($A85,Input_Raw!$A:$A,Input_Raw!$DA:$DA),"")</f>
        <v>1.0516083749999998</v>
      </c>
      <c r="I85" s="185">
        <f>IFERROR(_xlfn.XLOOKUP($A85,Input_Raw!$A:$A,Input_Raw!$CX:$CX),"")</f>
        <v>6.6175268083333307</v>
      </c>
      <c r="J85" s="185">
        <f>IFERROR(_xlfn.XLOOKUP($A85,Input_Raw!$A:$A,Input_Raw!$CZ:$CZ),"")</f>
        <v>0.84538910833333458</v>
      </c>
      <c r="K85" s="201">
        <f>IFERROR(_xlfn.XLOOKUP($A85,Input_Raw!$A:$A,Input_Raw!$DB:$DB),"")</f>
        <v>29.601305418719186</v>
      </c>
      <c r="L85" s="201">
        <f>IFERROR(_xlfn.XLOOKUP($A85,Input_Raw!$A:$A,Input_Raw!$DC:$DC),"")</f>
        <v>41.254690476190468</v>
      </c>
      <c r="M85" s="200">
        <f>IFERROR(_xlfn.XLOOKUP($A85,Input_Raw!$A:$A,Input_Raw!$DF:$DF),"")</f>
        <v>2.0490628078817741</v>
      </c>
      <c r="N85" s="200">
        <f>IFERROR(_xlfn.XLOOKUP($A85,Input_Raw!$A:$A,Input_Raw!$DG:$DG),"")</f>
        <v>4.6844999999999999</v>
      </c>
      <c r="O85" s="230">
        <f>IFERROR(1-(SUMIF(Plant_BD!$B:$B,$A85,Plant_BD!$AL:$AL)/($AA85+SUMIF(Plant_BD!$B:$B,$A85,Plant_BD!$AL:$AL))),"")</f>
        <v>1</v>
      </c>
      <c r="P85" s="230"/>
      <c r="Q85" s="231">
        <f>IFERROR(1-(SUMIF(Grid_BD!$B:$B,$A85,Grid_BD!$V:$V)/($AA85+SUMIF(Grid_BD!$B:$B,$A85,Grid_BD!$V:$V))),"")</f>
        <v>1</v>
      </c>
      <c r="R85" s="230">
        <f>IFERROR(1-(SUMIF(Grid_BD!$B:$B,$A85,Grid_BD!$V:$V)/($AA85+SUMIF(Grid_BD!$B:$B,$A85,Grid_BD!$V:$V))),"")</f>
        <v>1</v>
      </c>
      <c r="S85" s="9"/>
      <c r="T85" s="231"/>
      <c r="U85" s="232">
        <f t="shared" si="6"/>
        <v>0.76108180041846774</v>
      </c>
      <c r="V85" s="232" t="str">
        <f>IFERROR(_xlfn.XLOOKUP($A85,Input_Raw!$A:$A,Input_Raw!$FG:$FG),"")</f>
        <v/>
      </c>
      <c r="W85" s="233">
        <f t="shared" si="7"/>
        <v>0.1980692307692267</v>
      </c>
      <c r="X85" s="29">
        <f>IFERROR(_xlfn.XLOOKUP($A85,Input_Raw!$A:$A,Input_Raw!$DP:$DP),"")</f>
        <v>631571.80000000005</v>
      </c>
      <c r="Y85" s="29">
        <f>IFERROR(_xlfn.XLOOKUP($A85,Input_Raw!$A:$A,Input_Raw!EW:EW),"")</f>
        <v>621503.99999998743</v>
      </c>
      <c r="Z85" s="29">
        <f>IFERROR(_xlfn.XLOOKUP($A85,Input_Raw!$A:$A,Input_Raw!EX:EX),"")</f>
        <v>3528.0000000000655</v>
      </c>
      <c r="AA85" s="29">
        <f>IFERROR(_xlfn.XLOOKUP($A85,Input_Raw!$A:$A,Input_Raw!FA:FA),"")</f>
        <v>617975.99999998731</v>
      </c>
      <c r="AB85" s="9">
        <f>IFERROR(_xlfn.XLOOKUP($A85,Input_Raw!$A:$A,Input_Raw!FD:FD),"")</f>
        <v>122.7</v>
      </c>
      <c r="AC85" s="185">
        <f>IFERROR(_xlfn.XLOOKUP($D85,'Modelling New'!$D:$D,'Modelling New'!P:P),"")</f>
        <v>4.97</v>
      </c>
      <c r="AD85" s="29">
        <f>IFERROR(_xlfn.XLOOKUP($D85,'Modelling New'!$D:$D,'Modelling New'!T:T)*1000,"")</f>
        <v>544049.67582548468</v>
      </c>
      <c r="AE85" s="233">
        <f>IFERROR(_xlfn.XLOOKUP($D85,'Modelling New'!$D:$D,'Modelling New'!O:O),"")</f>
        <v>0.84205181214283342</v>
      </c>
      <c r="AF85" s="233">
        <f>IFERROR(_xlfn.XLOOKUP($D85,'Modelling New'!$D:$D,'Modelling New'!W:W),"")</f>
        <v>0.17437489609791174</v>
      </c>
      <c r="AG85" s="233">
        <f>IFERROR(_xlfn.XLOOKUP($D85,'Modelling New'!$D:$D,'Modelling New'!AE:AE),"")</f>
        <v>0.995</v>
      </c>
      <c r="AH85" s="234">
        <f>IFERROR(_xlfn.XLOOKUP($D85,'Modelling New'!$D:$D,'Modelling New'!AF:AF),"")</f>
        <v>0.995</v>
      </c>
      <c r="AI85" s="9"/>
      <c r="AJ85" s="9"/>
      <c r="AK85" s="258"/>
      <c r="AL85" s="258"/>
      <c r="AM85" s="258"/>
      <c r="AN85" s="235"/>
      <c r="AO85" s="233"/>
      <c r="AP85" s="233"/>
      <c r="AQ85" s="233"/>
      <c r="AR85" s="236">
        <f>_xlfn.XLOOKUP(D85,'Modelling New'!$D:$D,'Modelling New'!$N:$N)</f>
        <v>130</v>
      </c>
      <c r="AS85" s="236">
        <f t="shared" si="8"/>
        <v>513499.19402913057</v>
      </c>
    </row>
    <row r="86" spans="1:45">
      <c r="A86" s="18">
        <f t="shared" si="9"/>
        <v>45829</v>
      </c>
      <c r="B86" s="29">
        <f>YEAR(Table13[[#This Row],[Date]])+IF(MONTH(Table13[[#This Row],[Date]])&gt;=4,1,0)</f>
        <v>2026</v>
      </c>
      <c r="C86" s="9">
        <f>YEAR(Table13[[#This Row],[Date]])</f>
        <v>2025</v>
      </c>
      <c r="D86" s="229">
        <f>Table13[[#This Row],[Date]]-DAY(Table13[[#This Row],[Date]])+1</f>
        <v>45809</v>
      </c>
      <c r="E86" s="9">
        <f t="shared" si="5"/>
        <v>30</v>
      </c>
      <c r="F86" s="199">
        <f>IFERROR(_xlfn.XLOOKUP($A86,Input_Raw!$A:$A,Input_Raw!$FC:$FC),"")</f>
        <v>12.5</v>
      </c>
      <c r="G86" s="200">
        <f>IFERROR(_xlfn.XLOOKUP($A86,Input_Raw!$A:$A,Input_Raw!$CY:$CY),"")</f>
        <v>4.8533310416666682</v>
      </c>
      <c r="H86" s="200">
        <f>IFERROR(_xlfn.XLOOKUP($A86,Input_Raw!$A:$A,Input_Raw!$DA:$DA),"")</f>
        <v>0.84240290833333398</v>
      </c>
      <c r="I86" s="200">
        <f>IFERROR(_xlfn.XLOOKUP($A86,Input_Raw!$A:$A,Input_Raw!$CX:$CX),"")</f>
        <v>5.3592932416666681</v>
      </c>
      <c r="J86" s="200">
        <f>IFERROR(_xlfn.XLOOKUP($A86,Input_Raw!$A:$A,Input_Raw!$CZ:$CZ),"")</f>
        <v>0.68392808333333399</v>
      </c>
      <c r="K86" s="201">
        <f>IFERROR(_xlfn.XLOOKUP($A86,Input_Raw!$A:$A,Input_Raw!$DB:$DB),"")</f>
        <v>29.185792634107244</v>
      </c>
      <c r="L86" s="201">
        <f>IFERROR(_xlfn.XLOOKUP($A86,Input_Raw!$A:$A,Input_Raw!$DC:$DC),"")</f>
        <v>39.942155724579699</v>
      </c>
      <c r="M86" s="200">
        <f>IFERROR(_xlfn.XLOOKUP($A86,Input_Raw!$A:$A,Input_Raw!$DF:$DF),"")</f>
        <v>1.9041088871096852</v>
      </c>
      <c r="N86" s="200">
        <f>IFERROR(_xlfn.XLOOKUP($A86,Input_Raw!$A:$A,Input_Raw!$DG:$DG),"")</f>
        <v>4.5525000000000002</v>
      </c>
      <c r="O86" s="230">
        <f>IFERROR(1-(SUMIF(Plant_BD!$B:$B,$A86,Plant_BD!$AL:$AL)/($AA86+SUMIF(Plant_BD!$B:$B,$A86,Plant_BD!$AL:$AL))),"")</f>
        <v>1</v>
      </c>
      <c r="P86" s="230"/>
      <c r="Q86" s="231">
        <f>IFERROR(1-(SUMIF(Grid_BD!$B:$B,$A86,Grid_BD!$V:$V)/($AA86+SUMIF(Grid_BD!$B:$B,$A86,Grid_BD!$V:$V))),"")</f>
        <v>1</v>
      </c>
      <c r="R86" s="230">
        <f>IFERROR(1-(SUMIF(Grid_BD!$B:$B,$A86,Grid_BD!$V:$V)/($AA86+SUMIF(Grid_BD!$B:$B,$A86,Grid_BD!$V:$V))),"")</f>
        <v>1</v>
      </c>
      <c r="S86" s="9"/>
      <c r="T86" s="231"/>
      <c r="U86" s="232">
        <f t="shared" si="6"/>
        <v>0.78976220301905131</v>
      </c>
      <c r="V86" s="232" t="str">
        <f>IFERROR(_xlfn.XLOOKUP($A86,Input_Raw!$A:$A,Input_Raw!$FG:$FG),"")</f>
        <v/>
      </c>
      <c r="W86" s="233">
        <f t="shared" si="7"/>
        <v>0.16645384615384484</v>
      </c>
      <c r="X86" s="29">
        <f>IFERROR(_xlfn.XLOOKUP($A86,Input_Raw!$A:$A,Input_Raw!$DP:$DP),"")</f>
        <v>531074.20000000007</v>
      </c>
      <c r="Y86" s="29">
        <f>IFERROR(_xlfn.XLOOKUP($A86,Input_Raw!$A:$A,Input_Raw!EW:EW),"")</f>
        <v>523367.99999999581</v>
      </c>
      <c r="Z86" s="29">
        <f>IFERROR(_xlfn.XLOOKUP($A86,Input_Raw!$A:$A,Input_Raw!EX:EX),"")</f>
        <v>4031.9999999999345</v>
      </c>
      <c r="AA86" s="29">
        <f>IFERROR(_xlfn.XLOOKUP($A86,Input_Raw!$A:$A,Input_Raw!FA:FA),"")</f>
        <v>519335.99999999587</v>
      </c>
      <c r="AB86" s="9">
        <f>IFERROR(_xlfn.XLOOKUP($A86,Input_Raw!$A:$A,Input_Raw!FD:FD),"")</f>
        <v>122.7</v>
      </c>
      <c r="AC86" s="185">
        <f>IFERROR(_xlfn.XLOOKUP($D86,'Modelling New'!$D:$D,'Modelling New'!P:P),"")</f>
        <v>4.97</v>
      </c>
      <c r="AD86" s="29">
        <f>IFERROR(_xlfn.XLOOKUP($D86,'Modelling New'!$D:$D,'Modelling New'!T:T)*1000,"")</f>
        <v>544049.67582548468</v>
      </c>
      <c r="AE86" s="233">
        <f>IFERROR(_xlfn.XLOOKUP($D86,'Modelling New'!$D:$D,'Modelling New'!O:O),"")</f>
        <v>0.84205181214283342</v>
      </c>
      <c r="AF86" s="233">
        <f>IFERROR(_xlfn.XLOOKUP($D86,'Modelling New'!$D:$D,'Modelling New'!W:W),"")</f>
        <v>0.17437489609791174</v>
      </c>
      <c r="AG86" s="233">
        <f>IFERROR(_xlfn.XLOOKUP($D86,'Modelling New'!$D:$D,'Modelling New'!AE:AE),"")</f>
        <v>0.995</v>
      </c>
      <c r="AH86" s="234">
        <f>IFERROR(_xlfn.XLOOKUP($D86,'Modelling New'!$D:$D,'Modelling New'!AF:AF),"")</f>
        <v>0.995</v>
      </c>
      <c r="AI86" s="9"/>
      <c r="AJ86" s="9"/>
      <c r="AK86" s="258"/>
      <c r="AL86" s="258"/>
      <c r="AM86" s="258"/>
      <c r="AN86" s="235"/>
      <c r="AO86" s="233"/>
      <c r="AP86" s="233"/>
      <c r="AQ86" s="233"/>
      <c r="AR86" s="236">
        <f>_xlfn.XLOOKUP(D86,'Modelling New'!$D:$D,'Modelling New'!$N:$N)</f>
        <v>130</v>
      </c>
      <c r="AS86" s="236">
        <f t="shared" si="8"/>
        <v>513499.19402913057</v>
      </c>
    </row>
    <row r="87" spans="1:45">
      <c r="A87" s="18">
        <f t="shared" si="9"/>
        <v>45830</v>
      </c>
      <c r="B87" s="29">
        <f>YEAR(Table13[[#This Row],[Date]])+IF(MONTH(Table13[[#This Row],[Date]])&gt;=4,1,0)</f>
        <v>2026</v>
      </c>
      <c r="C87" s="9">
        <f>YEAR(Table13[[#This Row],[Date]])</f>
        <v>2025</v>
      </c>
      <c r="D87" s="229">
        <f>Table13[[#This Row],[Date]]-DAY(Table13[[#This Row],[Date]])+1</f>
        <v>45809</v>
      </c>
      <c r="E87" s="9">
        <f t="shared" si="5"/>
        <v>30</v>
      </c>
      <c r="F87" s="199">
        <f>IFERROR(_xlfn.XLOOKUP($A87,Input_Raw!$A:$A,Input_Raw!$FC:$FC),"")</f>
        <v>12.400000000000002</v>
      </c>
      <c r="G87" s="185">
        <f>IFERROR(_xlfn.XLOOKUP($A87,Input_Raw!$A:$A,Input_Raw!$CY:$CY),"")</f>
        <v>2.7058742083333334</v>
      </c>
      <c r="H87" s="185">
        <f>IFERROR(_xlfn.XLOOKUP($A87,Input_Raw!$A:$A,Input_Raw!$DA:$DA),"")</f>
        <v>0.47660349999999946</v>
      </c>
      <c r="I87" s="185">
        <f>IFERROR(_xlfn.XLOOKUP($A87,Input_Raw!$A:$A,Input_Raw!$CX:$CX),"")</f>
        <v>3.0655115333333334</v>
      </c>
      <c r="J87" s="185">
        <f>IFERROR(_xlfn.XLOOKUP($A87,Input_Raw!$A:$A,Input_Raw!$CZ:$CZ),"")</f>
        <v>0.38400318333333361</v>
      </c>
      <c r="K87" s="201">
        <f>IFERROR(_xlfn.XLOOKUP($A87,Input_Raw!$A:$A,Input_Raw!$DB:$DB),"")</f>
        <v>28.700523605150245</v>
      </c>
      <c r="L87" s="201">
        <f>IFERROR(_xlfn.XLOOKUP($A87,Input_Raw!$A:$A,Input_Raw!$DC:$DC),"")</f>
        <v>37.405570386266092</v>
      </c>
      <c r="M87" s="200">
        <f>IFERROR(_xlfn.XLOOKUP($A87,Input_Raw!$A:$A,Input_Raw!$DF:$DF),"")</f>
        <v>1.8765553648068662</v>
      </c>
      <c r="N87" s="200">
        <f>IFERROR(_xlfn.XLOOKUP($A87,Input_Raw!$A:$A,Input_Raw!$DG:$DG),"")</f>
        <v>4.4789999999999992</v>
      </c>
      <c r="O87" s="230">
        <f>IFERROR(1-(SUMIF(Plant_BD!$B:$B,$A87,Plant_BD!$AL:$AL)/($AA87+SUMIF(Plant_BD!$B:$B,$A87,Plant_BD!$AL:$AL))),"")</f>
        <v>1</v>
      </c>
      <c r="P87" s="230"/>
      <c r="Q87" s="231">
        <f>IFERROR(1-(SUMIF(Grid_BD!$B:$B,$A87,Grid_BD!$V:$V)/($AA87+SUMIF(Grid_BD!$B:$B,$A87,Grid_BD!$V:$V))),"")</f>
        <v>1</v>
      </c>
      <c r="R87" s="230">
        <f>IFERROR(1-(SUMIF(Grid_BD!$B:$B,$A87,Grid_BD!$V:$V)/($AA87+SUMIF(Grid_BD!$B:$B,$A87,Grid_BD!$V:$V))),"")</f>
        <v>1</v>
      </c>
      <c r="S87" s="9"/>
      <c r="T87" s="231"/>
      <c r="U87" s="232">
        <f t="shared" si="6"/>
        <v>0.8657880098394084</v>
      </c>
      <c r="V87" s="232" t="str">
        <f>IFERROR(_xlfn.XLOOKUP($A87,Input_Raw!$A:$A,Input_Raw!$FG:$FG),"")</f>
        <v/>
      </c>
      <c r="W87" s="233">
        <f t="shared" si="7"/>
        <v>0.10437692307692574</v>
      </c>
      <c r="X87" s="29">
        <f>IFERROR(_xlfn.XLOOKUP($A87,Input_Raw!$A:$A,Input_Raw!$DP:$DP),"")</f>
        <v>331283.3</v>
      </c>
      <c r="Y87" s="29">
        <f>IFERROR(_xlfn.XLOOKUP($A87,Input_Raw!$A:$A,Input_Raw!EW:EW),"")</f>
        <v>328464.00000000838</v>
      </c>
      <c r="Z87" s="29">
        <f>IFERROR(_xlfn.XLOOKUP($A87,Input_Raw!$A:$A,Input_Raw!EX:EX),"")</f>
        <v>2808.0000000000655</v>
      </c>
      <c r="AA87" s="29">
        <f>IFERROR(_xlfn.XLOOKUP($A87,Input_Raw!$A:$A,Input_Raw!FA:FA),"")</f>
        <v>325656.00000000832</v>
      </c>
      <c r="AB87" s="9">
        <f>IFERROR(_xlfn.XLOOKUP($A87,Input_Raw!$A:$A,Input_Raw!FD:FD),"")</f>
        <v>122.7</v>
      </c>
      <c r="AC87" s="185">
        <f>IFERROR(_xlfn.XLOOKUP($D87,'Modelling New'!$D:$D,'Modelling New'!P:P),"")</f>
        <v>4.97</v>
      </c>
      <c r="AD87" s="29">
        <f>IFERROR(_xlfn.XLOOKUP($D87,'Modelling New'!$D:$D,'Modelling New'!T:T)*1000,"")</f>
        <v>544049.67582548468</v>
      </c>
      <c r="AE87" s="233">
        <f>IFERROR(_xlfn.XLOOKUP($D87,'Modelling New'!$D:$D,'Modelling New'!O:O),"")</f>
        <v>0.84205181214283342</v>
      </c>
      <c r="AF87" s="233">
        <f>IFERROR(_xlfn.XLOOKUP($D87,'Modelling New'!$D:$D,'Modelling New'!W:W),"")</f>
        <v>0.17437489609791174</v>
      </c>
      <c r="AG87" s="233">
        <f>IFERROR(_xlfn.XLOOKUP($D87,'Modelling New'!$D:$D,'Modelling New'!AE:AE),"")</f>
        <v>0.995</v>
      </c>
      <c r="AH87" s="234">
        <f>IFERROR(_xlfn.XLOOKUP($D87,'Modelling New'!$D:$D,'Modelling New'!AF:AF),"")</f>
        <v>0.995</v>
      </c>
      <c r="AI87" s="9"/>
      <c r="AJ87" s="9"/>
      <c r="AK87" s="258"/>
      <c r="AL87" s="258"/>
      <c r="AM87" s="258"/>
      <c r="AN87" s="235"/>
      <c r="AO87" s="233"/>
      <c r="AP87" s="233"/>
      <c r="AQ87" s="233"/>
      <c r="AR87" s="236">
        <f>_xlfn.XLOOKUP(D87,'Modelling New'!$D:$D,'Modelling New'!$N:$N)</f>
        <v>130</v>
      </c>
      <c r="AS87" s="236">
        <f t="shared" si="8"/>
        <v>513499.19402913057</v>
      </c>
    </row>
    <row r="88" spans="1:45">
      <c r="A88" s="18">
        <f t="shared" si="9"/>
        <v>45831</v>
      </c>
      <c r="B88" s="29">
        <f>YEAR(Table13[[#This Row],[Date]])+IF(MONTH(Table13[[#This Row],[Date]])&gt;=4,1,0)</f>
        <v>2026</v>
      </c>
      <c r="C88" s="9">
        <f>YEAR(Table13[[#This Row],[Date]])</f>
        <v>2025</v>
      </c>
      <c r="D88" s="229">
        <f>Table13[[#This Row],[Date]]-DAY(Table13[[#This Row],[Date]])+1</f>
        <v>45809</v>
      </c>
      <c r="E88" s="9">
        <f t="shared" si="5"/>
        <v>30</v>
      </c>
      <c r="F88" s="199">
        <f>IFERROR(_xlfn.XLOOKUP($A88,Input_Raw!$A:$A,Input_Raw!$FC:$FC),"")</f>
        <v>12.583333333333334</v>
      </c>
      <c r="G88" s="200">
        <f>IFERROR(_xlfn.XLOOKUP($A88,Input_Raw!$A:$A,Input_Raw!$CY:$CY),"")</f>
        <v>2.7140857333333317</v>
      </c>
      <c r="H88" s="200">
        <f>IFERROR(_xlfn.XLOOKUP($A88,Input_Raw!$A:$A,Input_Raw!$DA:$DA),"")</f>
        <v>0.47810650000000032</v>
      </c>
      <c r="I88" s="200">
        <f>IFERROR(_xlfn.XLOOKUP($A88,Input_Raw!$A:$A,Input_Raw!$CX:$CX),"")</f>
        <v>3.0970984583333321</v>
      </c>
      <c r="J88" s="200">
        <f>IFERROR(_xlfn.XLOOKUP($A88,Input_Raw!$A:$A,Input_Raw!$CZ:$CZ),"")</f>
        <v>0.38046089166666675</v>
      </c>
      <c r="K88" s="201">
        <f>IFERROR(_xlfn.XLOOKUP($A88,Input_Raw!$A:$A,Input_Raw!$DB:$DB),"")</f>
        <v>27.911115451388891</v>
      </c>
      <c r="L88" s="201">
        <f>IFERROR(_xlfn.XLOOKUP($A88,Input_Raw!$A:$A,Input_Raw!$DC:$DC),"")</f>
        <v>36.74749045138887</v>
      </c>
      <c r="M88" s="200">
        <f>IFERROR(_xlfn.XLOOKUP($A88,Input_Raw!$A:$A,Input_Raw!$DF:$DF),"")</f>
        <v>1.8272382812500019</v>
      </c>
      <c r="N88" s="200">
        <f>IFERROR(_xlfn.XLOOKUP($A88,Input_Raw!$A:$A,Input_Raw!$DG:$DG),"")</f>
        <v>4.6604999999999999</v>
      </c>
      <c r="O88" s="230">
        <f>IFERROR(1-(SUMIF(Plant_BD!$B:$B,$A88,Plant_BD!$AL:$AL)/($AA88+SUMIF(Plant_BD!$B:$B,$A88,Plant_BD!$AL:$AL))),"")</f>
        <v>1</v>
      </c>
      <c r="P88" s="230"/>
      <c r="Q88" s="231">
        <f>IFERROR(1-(SUMIF(Grid_BD!$B:$B,$A88,Grid_BD!$V:$V)/($AA88+SUMIF(Grid_BD!$B:$B,$A88,Grid_BD!$V:$V))),"")</f>
        <v>1</v>
      </c>
      <c r="R88" s="230">
        <f>IFERROR(1-(SUMIF(Grid_BD!$B:$B,$A88,Grid_BD!$V:$V)/($AA88+SUMIF(Grid_BD!$B:$B,$A88,Grid_BD!$V:$V))),"")</f>
        <v>1</v>
      </c>
      <c r="S88" s="9"/>
      <c r="T88" s="231"/>
      <c r="U88" s="232">
        <f t="shared" si="6"/>
        <v>0.86264194616615364</v>
      </c>
      <c r="V88" s="232" t="str">
        <f>IFERROR(_xlfn.XLOOKUP($A88,Input_Raw!$A:$A,Input_Raw!$FG:$FG),"")</f>
        <v/>
      </c>
      <c r="W88" s="233">
        <f t="shared" si="7"/>
        <v>0.10506923076923344</v>
      </c>
      <c r="X88" s="29">
        <f>IFERROR(_xlfn.XLOOKUP($A88,Input_Raw!$A:$A,Input_Raw!$DP:$DP),"")</f>
        <v>333237.3</v>
      </c>
      <c r="Y88" s="29">
        <f>IFERROR(_xlfn.XLOOKUP($A88,Input_Raw!$A:$A,Input_Raw!EW:EW),"")</f>
        <v>330984.00000000838</v>
      </c>
      <c r="Z88" s="29">
        <f>IFERROR(_xlfn.XLOOKUP($A88,Input_Raw!$A:$A,Input_Raw!EX:EX),"")</f>
        <v>3168.0000000000655</v>
      </c>
      <c r="AA88" s="29">
        <f>IFERROR(_xlfn.XLOOKUP($A88,Input_Raw!$A:$A,Input_Raw!FA:FA),"")</f>
        <v>327816.00000000832</v>
      </c>
      <c r="AB88" s="9">
        <f>IFERROR(_xlfn.XLOOKUP($A88,Input_Raw!$A:$A,Input_Raw!FD:FD),"")</f>
        <v>122.7</v>
      </c>
      <c r="AC88" s="185">
        <f>IFERROR(_xlfn.XLOOKUP($D88,'Modelling New'!$D:$D,'Modelling New'!P:P),"")</f>
        <v>4.97</v>
      </c>
      <c r="AD88" s="29">
        <f>IFERROR(_xlfn.XLOOKUP($D88,'Modelling New'!$D:$D,'Modelling New'!T:T)*1000,"")</f>
        <v>544049.67582548468</v>
      </c>
      <c r="AE88" s="233">
        <f>IFERROR(_xlfn.XLOOKUP($D88,'Modelling New'!$D:$D,'Modelling New'!O:O),"")</f>
        <v>0.84205181214283342</v>
      </c>
      <c r="AF88" s="233">
        <f>IFERROR(_xlfn.XLOOKUP($D88,'Modelling New'!$D:$D,'Modelling New'!W:W),"")</f>
        <v>0.17437489609791174</v>
      </c>
      <c r="AG88" s="233">
        <f>IFERROR(_xlfn.XLOOKUP($D88,'Modelling New'!$D:$D,'Modelling New'!AE:AE),"")</f>
        <v>0.995</v>
      </c>
      <c r="AH88" s="234">
        <f>IFERROR(_xlfn.XLOOKUP($D88,'Modelling New'!$D:$D,'Modelling New'!AF:AF),"")</f>
        <v>0.995</v>
      </c>
      <c r="AI88" s="9"/>
      <c r="AJ88" s="9"/>
      <c r="AK88" s="258"/>
      <c r="AL88" s="258"/>
      <c r="AM88" s="258"/>
      <c r="AN88" s="235"/>
      <c r="AO88" s="233"/>
      <c r="AP88" s="233"/>
      <c r="AQ88" s="233"/>
      <c r="AR88" s="236">
        <f>_xlfn.XLOOKUP(D88,'Modelling New'!$D:$D,'Modelling New'!$N:$N)</f>
        <v>130</v>
      </c>
      <c r="AS88" s="236">
        <f t="shared" si="8"/>
        <v>513499.19402913057</v>
      </c>
    </row>
    <row r="89" spans="1:45">
      <c r="A89" s="18">
        <f t="shared" si="9"/>
        <v>45832</v>
      </c>
      <c r="B89" s="29">
        <f>YEAR(Table13[[#This Row],[Date]])+IF(MONTH(Table13[[#This Row],[Date]])&gt;=4,1,0)</f>
        <v>2026</v>
      </c>
      <c r="C89" s="9">
        <f>YEAR(Table13[[#This Row],[Date]])</f>
        <v>2025</v>
      </c>
      <c r="D89" s="229">
        <f>Table13[[#This Row],[Date]]-DAY(Table13[[#This Row],[Date]])+1</f>
        <v>45809</v>
      </c>
      <c r="E89" s="9">
        <f t="shared" si="5"/>
        <v>30</v>
      </c>
      <c r="F89" s="199">
        <f>IFERROR(_xlfn.XLOOKUP($A89,Input_Raw!$A:$A,Input_Raw!$FC:$FC),"")</f>
        <v>11.866666666666665</v>
      </c>
      <c r="G89" s="185">
        <f>IFERROR(_xlfn.XLOOKUP($A89,Input_Raw!$A:$A,Input_Raw!$CY:$CY),"")</f>
        <v>1.4411967166666673</v>
      </c>
      <c r="H89" s="185">
        <f>IFERROR(_xlfn.XLOOKUP($A89,Input_Raw!$A:$A,Input_Raw!$DA:$DA),"")</f>
        <v>0.24973651666666646</v>
      </c>
      <c r="I89" s="185">
        <f>IFERROR(_xlfn.XLOOKUP($A89,Input_Raw!$A:$A,Input_Raw!$CX:$CX),"")</f>
        <v>1.648576358333333</v>
      </c>
      <c r="J89" s="185">
        <f>IFERROR(_xlfn.XLOOKUP($A89,Input_Raw!$A:$A,Input_Raw!$CZ:$CZ),"")</f>
        <v>0.20362975833333302</v>
      </c>
      <c r="K89" s="201">
        <f>IFERROR(_xlfn.XLOOKUP($A89,Input_Raw!$A:$A,Input_Raw!$DB:$DB),"")</f>
        <v>26.246959854014591</v>
      </c>
      <c r="L89" s="201">
        <f>IFERROR(_xlfn.XLOOKUP($A89,Input_Raw!$A:$A,Input_Raw!$DC:$DC),"")</f>
        <v>32.732820072992688</v>
      </c>
      <c r="M89" s="200">
        <f>IFERROR(_xlfn.XLOOKUP($A89,Input_Raw!$A:$A,Input_Raw!$DF:$DF),"")</f>
        <v>1.0584021897810221</v>
      </c>
      <c r="N89" s="200">
        <f>IFERROR(_xlfn.XLOOKUP($A89,Input_Raw!$A:$A,Input_Raw!$DG:$DG),"")</f>
        <v>3.48</v>
      </c>
      <c r="O89" s="230">
        <f>IFERROR(1-(SUMIF(Plant_BD!$B:$B,$A89,Plant_BD!$AL:$AL)/($AA89+SUMIF(Plant_BD!$B:$B,$A89,Plant_BD!$AL:$AL))),"")</f>
        <v>1</v>
      </c>
      <c r="P89" s="230"/>
      <c r="Q89" s="231">
        <f>IFERROR(1-(SUMIF(Grid_BD!$B:$B,$A89,Grid_BD!$V:$V)/($AA89+SUMIF(Grid_BD!$B:$B,$A89,Grid_BD!$V:$V))),"")</f>
        <v>0.39448303822173258</v>
      </c>
      <c r="R89" s="230">
        <f>IFERROR(1-(SUMIF(Grid_BD!$B:$B,$A89,Grid_BD!$V:$V)/($AA89+SUMIF(Grid_BD!$B:$B,$A89,Grid_BD!$V:$V))),"")</f>
        <v>0.39448303822173258</v>
      </c>
      <c r="S89" s="9"/>
      <c r="T89" s="231"/>
      <c r="U89" s="232">
        <f t="shared" si="6"/>
        <v>0.33941571030446255</v>
      </c>
      <c r="V89" s="232" t="str">
        <f>IFERROR(_xlfn.XLOOKUP($A89,Input_Raw!$A:$A,Input_Raw!$FG:$FG),"")</f>
        <v/>
      </c>
      <c r="W89" s="233">
        <f t="shared" si="7"/>
        <v>2.2453846153842157E-2</v>
      </c>
      <c r="X89" s="29">
        <f>IFERROR(_xlfn.XLOOKUP($A89,Input_Raw!$A:$A,Input_Raw!$DP:$DP),"")</f>
        <v>74503.199999999997</v>
      </c>
      <c r="Y89" s="29">
        <f>IFERROR(_xlfn.XLOOKUP($A89,Input_Raw!$A:$A,Input_Raw!EW:EW),"")</f>
        <v>74663.999999987427</v>
      </c>
      <c r="Z89" s="29">
        <f>IFERROR(_xlfn.XLOOKUP($A89,Input_Raw!$A:$A,Input_Raw!EX:EX),"")</f>
        <v>4607.9999999999018</v>
      </c>
      <c r="AA89" s="29">
        <f>IFERROR(_xlfn.XLOOKUP($A89,Input_Raw!$A:$A,Input_Raw!FA:FA),"")</f>
        <v>70055.999999987529</v>
      </c>
      <c r="AB89" s="9">
        <f>IFERROR(_xlfn.XLOOKUP($A89,Input_Raw!$A:$A,Input_Raw!FD:FD),"")</f>
        <v>125.2</v>
      </c>
      <c r="AC89" s="185">
        <f>IFERROR(_xlfn.XLOOKUP($D89,'Modelling New'!$D:$D,'Modelling New'!P:P),"")</f>
        <v>4.97</v>
      </c>
      <c r="AD89" s="29">
        <f>IFERROR(_xlfn.XLOOKUP($D89,'Modelling New'!$D:$D,'Modelling New'!T:T)*1000,"")</f>
        <v>544049.67582548468</v>
      </c>
      <c r="AE89" s="233">
        <f>IFERROR(_xlfn.XLOOKUP($D89,'Modelling New'!$D:$D,'Modelling New'!O:O),"")</f>
        <v>0.84205181214283342</v>
      </c>
      <c r="AF89" s="233">
        <f>IFERROR(_xlfn.XLOOKUP($D89,'Modelling New'!$D:$D,'Modelling New'!W:W),"")</f>
        <v>0.17437489609791174</v>
      </c>
      <c r="AG89" s="233">
        <f>IFERROR(_xlfn.XLOOKUP($D89,'Modelling New'!$D:$D,'Modelling New'!AE:AE),"")</f>
        <v>0.995</v>
      </c>
      <c r="AH89" s="234">
        <f>IFERROR(_xlfn.XLOOKUP($D89,'Modelling New'!$D:$D,'Modelling New'!AF:AF),"")</f>
        <v>0.995</v>
      </c>
      <c r="AI89" s="9"/>
      <c r="AJ89" s="9"/>
      <c r="AK89" s="258"/>
      <c r="AL89" s="258"/>
      <c r="AM89" s="258"/>
      <c r="AN89" s="235"/>
      <c r="AO89" s="233"/>
      <c r="AP89" s="233"/>
      <c r="AQ89" s="233"/>
      <c r="AR89" s="236">
        <f>_xlfn.XLOOKUP(D89,'Modelling New'!$D:$D,'Modelling New'!$N:$N)</f>
        <v>130</v>
      </c>
      <c r="AS89" s="236">
        <f t="shared" si="8"/>
        <v>523961.68779500527</v>
      </c>
    </row>
    <row r="90" spans="1:45">
      <c r="A90" s="18">
        <f t="shared" si="9"/>
        <v>45833</v>
      </c>
      <c r="B90" s="29">
        <f>YEAR(Table13[[#This Row],[Date]])+IF(MONTH(Table13[[#This Row],[Date]])&gt;=4,1,0)</f>
        <v>2026</v>
      </c>
      <c r="C90" s="9">
        <f>YEAR(Table13[[#This Row],[Date]])</f>
        <v>2025</v>
      </c>
      <c r="D90" s="229">
        <f>Table13[[#This Row],[Date]]-DAY(Table13[[#This Row],[Date]])+1</f>
        <v>45809</v>
      </c>
      <c r="E90" s="9">
        <f t="shared" si="5"/>
        <v>30</v>
      </c>
      <c r="F90" s="199">
        <f>IFERROR(_xlfn.XLOOKUP($A90,Input_Raw!$A:$A,Input_Raw!$FC:$FC),"")</f>
        <v>12.233333333333333</v>
      </c>
      <c r="G90" s="200">
        <f>IFERROR(_xlfn.XLOOKUP($A90,Input_Raw!$A:$A,Input_Raw!$CY:$CY),"")</f>
        <v>2.7174229166666666</v>
      </c>
      <c r="H90" s="200">
        <f>IFERROR(_xlfn.XLOOKUP($A90,Input_Raw!$A:$A,Input_Raw!$DA:$DA),"")</f>
        <v>0.46287743333333359</v>
      </c>
      <c r="I90" s="200">
        <f>IFERROR(_xlfn.XLOOKUP($A90,Input_Raw!$A:$A,Input_Raw!$CX:$CX),"")</f>
        <v>3.0750884750000003</v>
      </c>
      <c r="J90" s="200">
        <f>IFERROR(_xlfn.XLOOKUP($A90,Input_Raw!$A:$A,Input_Raw!$CZ:$CZ),"")</f>
        <v>0.37643532500000032</v>
      </c>
      <c r="K90" s="201">
        <f>IFERROR(_xlfn.XLOOKUP($A90,Input_Raw!$A:$A,Input_Raw!$DB:$DB),"")</f>
        <v>27.207190146266385</v>
      </c>
      <c r="L90" s="201">
        <f>IFERROR(_xlfn.XLOOKUP($A90,Input_Raw!$A:$A,Input_Raw!$DC:$DC),"")</f>
        <v>35.735386451116192</v>
      </c>
      <c r="M90" s="200">
        <f>IFERROR(_xlfn.XLOOKUP($A90,Input_Raw!$A:$A,Input_Raw!$DF:$DF),"")</f>
        <v>1.0114318706697463</v>
      </c>
      <c r="N90" s="200">
        <f>IFERROR(_xlfn.XLOOKUP($A90,Input_Raw!$A:$A,Input_Raw!$DG:$DG),"")</f>
        <v>3.1095000000000002</v>
      </c>
      <c r="O90" s="230">
        <f>IFERROR(1-(SUMIF(Plant_BD!$B:$B,$A90,Plant_BD!$AL:$AL)/($AA90+SUMIF(Plant_BD!$B:$B,$A90,Plant_BD!$AL:$AL))),"")</f>
        <v>1</v>
      </c>
      <c r="P90" s="230"/>
      <c r="Q90" s="231">
        <f>IFERROR(1-(SUMIF(Grid_BD!$B:$B,$A90,Grid_BD!$V:$V)/($AA90+SUMIF(Grid_BD!$B:$B,$A90,Grid_BD!$V:$V))),"")</f>
        <v>1</v>
      </c>
      <c r="R90" s="230">
        <f>IFERROR(1-(SUMIF(Grid_BD!$B:$B,$A90,Grid_BD!$V:$V)/($AA90+SUMIF(Grid_BD!$B:$B,$A90,Grid_BD!$V:$V))),"")</f>
        <v>1</v>
      </c>
      <c r="S90" s="9"/>
      <c r="T90" s="231"/>
      <c r="U90" s="232">
        <f t="shared" si="6"/>
        <v>0.82347436590958856</v>
      </c>
      <c r="V90" s="232" t="str">
        <f>IFERROR(_xlfn.XLOOKUP($A90,Input_Raw!$A:$A,Input_Raw!$FG:$FG),"")</f>
        <v/>
      </c>
      <c r="W90" s="233">
        <f t="shared" si="7"/>
        <v>0.10250769230769233</v>
      </c>
      <c r="X90" s="29">
        <f>IFERROR(_xlfn.XLOOKUP($A90,Input_Raw!$A:$A,Input_Raw!$DP:$DP),"")</f>
        <v>324816.7</v>
      </c>
      <c r="Y90" s="29">
        <f>IFERROR(_xlfn.XLOOKUP($A90,Input_Raw!$A:$A,Input_Raw!EW:EW),"")</f>
        <v>322560</v>
      </c>
      <c r="Z90" s="29">
        <f>IFERROR(_xlfn.XLOOKUP($A90,Input_Raw!$A:$A,Input_Raw!EX:EX),"")</f>
        <v>2735.9999999999673</v>
      </c>
      <c r="AA90" s="29">
        <f>IFERROR(_xlfn.XLOOKUP($A90,Input_Raw!$A:$A,Input_Raw!FA:FA),"")</f>
        <v>319824.00000000006</v>
      </c>
      <c r="AB90" s="9">
        <f>IFERROR(_xlfn.XLOOKUP($A90,Input_Raw!$A:$A,Input_Raw!FD:FD),"")</f>
        <v>126.3</v>
      </c>
      <c r="AC90" s="185">
        <f>IFERROR(_xlfn.XLOOKUP($D90,'Modelling New'!$D:$D,'Modelling New'!P:P),"")</f>
        <v>4.97</v>
      </c>
      <c r="AD90" s="29">
        <f>IFERROR(_xlfn.XLOOKUP($D90,'Modelling New'!$D:$D,'Modelling New'!T:T)*1000,"")</f>
        <v>544049.67582548468</v>
      </c>
      <c r="AE90" s="233">
        <f>IFERROR(_xlfn.XLOOKUP($D90,'Modelling New'!$D:$D,'Modelling New'!O:O),"")</f>
        <v>0.84205181214283342</v>
      </c>
      <c r="AF90" s="233">
        <f>IFERROR(_xlfn.XLOOKUP($D90,'Modelling New'!$D:$D,'Modelling New'!W:W),"")</f>
        <v>0.17437489609791174</v>
      </c>
      <c r="AG90" s="233">
        <f>IFERROR(_xlfn.XLOOKUP($D90,'Modelling New'!$D:$D,'Modelling New'!AE:AE),"")</f>
        <v>0.995</v>
      </c>
      <c r="AH90" s="234">
        <f>IFERROR(_xlfn.XLOOKUP($D90,'Modelling New'!$D:$D,'Modelling New'!AF:AF),"")</f>
        <v>0.995</v>
      </c>
      <c r="AI90" s="9"/>
      <c r="AJ90" s="9"/>
      <c r="AK90" s="258"/>
      <c r="AL90" s="258"/>
      <c r="AM90" s="258"/>
      <c r="AN90" s="235"/>
      <c r="AO90" s="233"/>
      <c r="AP90" s="233"/>
      <c r="AQ90" s="233"/>
      <c r="AR90" s="236">
        <f>_xlfn.XLOOKUP(D90,'Modelling New'!$D:$D,'Modelling New'!$N:$N)</f>
        <v>130</v>
      </c>
      <c r="AS90" s="236">
        <f t="shared" si="8"/>
        <v>528565.18505199009</v>
      </c>
    </row>
    <row r="91" spans="1:45">
      <c r="A91" s="18">
        <f t="shared" si="9"/>
        <v>45834</v>
      </c>
      <c r="B91" s="29">
        <f>YEAR(Table13[[#This Row],[Date]])+IF(MONTH(Table13[[#This Row],[Date]])&gt;=4,1,0)</f>
        <v>2026</v>
      </c>
      <c r="C91" s="9">
        <f>YEAR(Table13[[#This Row],[Date]])</f>
        <v>2025</v>
      </c>
      <c r="D91" s="229">
        <f>Table13[[#This Row],[Date]]-DAY(Table13[[#This Row],[Date]])+1</f>
        <v>45809</v>
      </c>
      <c r="E91" s="9">
        <f t="shared" si="5"/>
        <v>30</v>
      </c>
      <c r="F91" s="199">
        <f>IFERROR(_xlfn.XLOOKUP($A91,Input_Raw!$A:$A,Input_Raw!$FC:$FC),"")</f>
        <v>12.016666666666669</v>
      </c>
      <c r="G91" s="185">
        <f>IFERROR(_xlfn.XLOOKUP($A91,Input_Raw!$A:$A,Input_Raw!$CY:$CY),"")</f>
        <v>1.3215909416666682</v>
      </c>
      <c r="H91" s="185">
        <f>IFERROR(_xlfn.XLOOKUP($A91,Input_Raw!$A:$A,Input_Raw!$DA:$DA),"")</f>
        <v>0.20202194166666657</v>
      </c>
      <c r="I91" s="185">
        <f>IFERROR(_xlfn.XLOOKUP($A91,Input_Raw!$A:$A,Input_Raw!$CX:$CX),"")</f>
        <v>1.523932058333334</v>
      </c>
      <c r="J91" s="185">
        <f>IFERROR(_xlfn.XLOOKUP($A91,Input_Raw!$A:$A,Input_Raw!$CZ:$CZ),"")</f>
        <v>0.21145041666666675</v>
      </c>
      <c r="K91" s="201">
        <f>IFERROR(_xlfn.XLOOKUP($A91,Input_Raw!$A:$A,Input_Raw!$DB:$DB),"")</f>
        <v>25.633494176372743</v>
      </c>
      <c r="L91" s="201">
        <f>IFERROR(_xlfn.XLOOKUP($A91,Input_Raw!$A:$A,Input_Raw!$DC:$DC),"")</f>
        <v>31.268658485856918</v>
      </c>
      <c r="M91" s="200">
        <f>IFERROR(_xlfn.XLOOKUP($A91,Input_Raw!$A:$A,Input_Raw!$DF:$DF),"")</f>
        <v>1.0770923460898514</v>
      </c>
      <c r="N91" s="200">
        <f>IFERROR(_xlfn.XLOOKUP($A91,Input_Raw!$A:$A,Input_Raw!$DG:$DG),"")</f>
        <v>3.0179999999999998</v>
      </c>
      <c r="O91" s="230">
        <f>IFERROR(1-(SUMIF(Plant_BD!$B:$B,$A91,Plant_BD!$AL:$AL)/($AA91+SUMIF(Plant_BD!$B:$B,$A91,Plant_BD!$AL:$AL))),"")</f>
        <v>1</v>
      </c>
      <c r="P91" s="230"/>
      <c r="Q91" s="231">
        <f>IFERROR(1-(SUMIF(Grid_BD!$B:$B,$A91,Grid_BD!$V:$V)/($AA91+SUMIF(Grid_BD!$B:$B,$A91,Grid_BD!$V:$V))),"")</f>
        <v>1</v>
      </c>
      <c r="R91" s="230">
        <f>IFERROR(1-(SUMIF(Grid_BD!$B:$B,$A91,Grid_BD!$V:$V)/($AA91+SUMIF(Grid_BD!$B:$B,$A91,Grid_BD!$V:$V))),"")</f>
        <v>1</v>
      </c>
      <c r="S91" s="9"/>
      <c r="T91" s="231"/>
      <c r="U91" s="232">
        <f t="shared" si="6"/>
        <v>0.78968115472915401</v>
      </c>
      <c r="V91" s="232" t="str">
        <f>IFERROR(_xlfn.XLOOKUP($A91,Input_Raw!$A:$A,Input_Raw!$FG:$FG),"")</f>
        <v/>
      </c>
      <c r="W91" s="233">
        <f t="shared" si="7"/>
        <v>4.8715384615384598E-2</v>
      </c>
      <c r="X91" s="29">
        <f>IFERROR(_xlfn.XLOOKUP($A91,Input_Raw!$A:$A,Input_Raw!$DP:$DP),"")</f>
        <v>155419.9</v>
      </c>
      <c r="Y91" s="29">
        <f>IFERROR(_xlfn.XLOOKUP($A91,Input_Raw!$A:$A,Input_Raw!EW:EW),"")</f>
        <v>156240</v>
      </c>
      <c r="Z91" s="29">
        <f>IFERROR(_xlfn.XLOOKUP($A91,Input_Raw!$A:$A,Input_Raw!EX:EX),"")</f>
        <v>4248.0000000000655</v>
      </c>
      <c r="AA91" s="29">
        <f>IFERROR(_xlfn.XLOOKUP($A91,Input_Raw!$A:$A,Input_Raw!FA:FA),"")</f>
        <v>151991.99999999994</v>
      </c>
      <c r="AB91" s="9">
        <f>IFERROR(_xlfn.XLOOKUP($A91,Input_Raw!$A:$A,Input_Raw!FD:FD),"")</f>
        <v>126.3</v>
      </c>
      <c r="AC91" s="185">
        <f>IFERROR(_xlfn.XLOOKUP($D91,'Modelling New'!$D:$D,'Modelling New'!P:P),"")</f>
        <v>4.97</v>
      </c>
      <c r="AD91" s="29">
        <f>IFERROR(_xlfn.XLOOKUP($D91,'Modelling New'!$D:$D,'Modelling New'!T:T)*1000,"")</f>
        <v>544049.67582548468</v>
      </c>
      <c r="AE91" s="233">
        <f>IFERROR(_xlfn.XLOOKUP($D91,'Modelling New'!$D:$D,'Modelling New'!O:O),"")</f>
        <v>0.84205181214283342</v>
      </c>
      <c r="AF91" s="233">
        <f>IFERROR(_xlfn.XLOOKUP($D91,'Modelling New'!$D:$D,'Modelling New'!W:W),"")</f>
        <v>0.17437489609791174</v>
      </c>
      <c r="AG91" s="233">
        <f>IFERROR(_xlfn.XLOOKUP($D91,'Modelling New'!$D:$D,'Modelling New'!AE:AE),"")</f>
        <v>0.995</v>
      </c>
      <c r="AH91" s="234">
        <f>IFERROR(_xlfn.XLOOKUP($D91,'Modelling New'!$D:$D,'Modelling New'!AF:AF),"")</f>
        <v>0.995</v>
      </c>
      <c r="AI91" s="9"/>
      <c r="AJ91" s="9"/>
      <c r="AK91" s="258"/>
      <c r="AL91" s="258"/>
      <c r="AM91" s="258"/>
      <c r="AN91" s="235"/>
      <c r="AO91" s="233"/>
      <c r="AP91" s="233"/>
      <c r="AQ91" s="233"/>
      <c r="AR91" s="236">
        <f>_xlfn.XLOOKUP(D91,'Modelling New'!$D:$D,'Modelling New'!$N:$N)</f>
        <v>130</v>
      </c>
      <c r="AS91" s="236">
        <f t="shared" si="8"/>
        <v>528565.18505199009</v>
      </c>
    </row>
    <row r="92" spans="1:45">
      <c r="A92" s="18">
        <f t="shared" si="9"/>
        <v>45835</v>
      </c>
      <c r="B92" s="29">
        <f>YEAR(Table13[[#This Row],[Date]])+IF(MONTH(Table13[[#This Row],[Date]])&gt;=4,1,0)</f>
        <v>2026</v>
      </c>
      <c r="C92" s="9">
        <f>YEAR(Table13[[#This Row],[Date]])</f>
        <v>2025</v>
      </c>
      <c r="D92" s="229">
        <f>Table13[[#This Row],[Date]]-DAY(Table13[[#This Row],[Date]])+1</f>
        <v>45809</v>
      </c>
      <c r="E92" s="9">
        <f t="shared" si="5"/>
        <v>30</v>
      </c>
      <c r="F92" s="199">
        <f>IFERROR(_xlfn.XLOOKUP($A92,Input_Raw!$A:$A,Input_Raw!$FC:$FC),"")</f>
        <v>12.250000000000002</v>
      </c>
      <c r="G92" s="200">
        <f>IFERROR(_xlfn.XLOOKUP($A92,Input_Raw!$A:$A,Input_Raw!$CY:$CY),"")</f>
        <v>4.4129311916666634</v>
      </c>
      <c r="H92" s="200">
        <f>IFERROR(_xlfn.XLOOKUP($A92,Input_Raw!$A:$A,Input_Raw!$DA:$DA),"")</f>
        <v>0.69915386666666701</v>
      </c>
      <c r="I92" s="200">
        <f>IFERROR(_xlfn.XLOOKUP($A92,Input_Raw!$A:$A,Input_Raw!$CX:$CX),"")</f>
        <v>4.8449696416666681</v>
      </c>
      <c r="J92" s="200">
        <f>IFERROR(_xlfn.XLOOKUP($A92,Input_Raw!$A:$A,Input_Raw!$CZ:$CZ),"")</f>
        <v>0.56129007500000028</v>
      </c>
      <c r="K92" s="201">
        <f>IFERROR(_xlfn.XLOOKUP($A92,Input_Raw!$A:$A,Input_Raw!$DB:$DB),"")</f>
        <v>27.773941908713745</v>
      </c>
      <c r="L92" s="201">
        <f>IFERROR(_xlfn.XLOOKUP($A92,Input_Raw!$A:$A,Input_Raw!$DC:$DC),"")</f>
        <v>39.212102074688787</v>
      </c>
      <c r="M92" s="200">
        <f>IFERROR(_xlfn.XLOOKUP($A92,Input_Raw!$A:$A,Input_Raw!$DF:$DF),"")</f>
        <v>1.2008576763485475</v>
      </c>
      <c r="N92" s="200">
        <f>IFERROR(_xlfn.XLOOKUP($A92,Input_Raw!$A:$A,Input_Raw!$DG:$DG),"")</f>
        <v>3.2265000000000001</v>
      </c>
      <c r="O92" s="230">
        <f>IFERROR(1-(SUMIF(Plant_BD!$B:$B,$A92,Plant_BD!$AL:$AL)/($AA92+SUMIF(Plant_BD!$B:$B,$A92,Plant_BD!$AL:$AL))),"")</f>
        <v>0.98459811846331968</v>
      </c>
      <c r="P92" s="230"/>
      <c r="Q92" s="231">
        <f>IFERROR(1-(SUMIF(Grid_BD!$B:$B,$A92,Grid_BD!$V:$V)/($AA92+SUMIF(Grid_BD!$B:$B,$A92,Grid_BD!$V:$V))),"")</f>
        <v>1</v>
      </c>
      <c r="R92" s="230">
        <f>IFERROR(1-(SUMIF(Grid_BD!$B:$B,$A92,Grid_BD!$V:$V)/($AA92+SUMIF(Grid_BD!$B:$B,$A92,Grid_BD!$V:$V))),"")</f>
        <v>1</v>
      </c>
      <c r="S92" s="9"/>
      <c r="T92" s="231"/>
      <c r="U92" s="232">
        <f t="shared" si="6"/>
        <v>0.79128033810201204</v>
      </c>
      <c r="V92" s="232" t="str">
        <f>IFERROR(_xlfn.XLOOKUP($A92,Input_Raw!$A:$A,Input_Raw!$FG:$FG),"")</f>
        <v/>
      </c>
      <c r="W92" s="233">
        <f t="shared" si="7"/>
        <v>0.15519230769230632</v>
      </c>
      <c r="X92" s="29">
        <f>IFERROR(_xlfn.XLOOKUP($A92,Input_Raw!$A:$A,Input_Raw!$DP:$DP),"")</f>
        <v>495286.6</v>
      </c>
      <c r="Y92" s="29">
        <f>IFERROR(_xlfn.XLOOKUP($A92,Input_Raw!$A:$A,Input_Raw!EW:EW),"")</f>
        <v>487727.99999999581</v>
      </c>
      <c r="Z92" s="29">
        <f>IFERROR(_xlfn.XLOOKUP($A92,Input_Raw!$A:$A,Input_Raw!EX:EX),"")</f>
        <v>3528.0000000000655</v>
      </c>
      <c r="AA92" s="29">
        <f>IFERROR(_xlfn.XLOOKUP($A92,Input_Raw!$A:$A,Input_Raw!FA:FA),"")</f>
        <v>484199.99999999575</v>
      </c>
      <c r="AB92" s="9">
        <f>IFERROR(_xlfn.XLOOKUP($A92,Input_Raw!$A:$A,Input_Raw!FD:FD),"")</f>
        <v>126.3</v>
      </c>
      <c r="AC92" s="185">
        <f>IFERROR(_xlfn.XLOOKUP($D92,'Modelling New'!$D:$D,'Modelling New'!P:P),"")</f>
        <v>4.97</v>
      </c>
      <c r="AD92" s="29">
        <f>IFERROR(_xlfn.XLOOKUP($D92,'Modelling New'!$D:$D,'Modelling New'!T:T)*1000,"")</f>
        <v>544049.67582548468</v>
      </c>
      <c r="AE92" s="233">
        <f>IFERROR(_xlfn.XLOOKUP($D92,'Modelling New'!$D:$D,'Modelling New'!O:O),"")</f>
        <v>0.84205181214283342</v>
      </c>
      <c r="AF92" s="233">
        <f>IFERROR(_xlfn.XLOOKUP($D92,'Modelling New'!$D:$D,'Modelling New'!W:W),"")</f>
        <v>0.17437489609791174</v>
      </c>
      <c r="AG92" s="233">
        <f>IFERROR(_xlfn.XLOOKUP($D92,'Modelling New'!$D:$D,'Modelling New'!AE:AE),"")</f>
        <v>0.995</v>
      </c>
      <c r="AH92" s="234">
        <f>IFERROR(_xlfn.XLOOKUP($D92,'Modelling New'!$D:$D,'Modelling New'!AF:AF),"")</f>
        <v>0.995</v>
      </c>
      <c r="AI92" s="9"/>
      <c r="AJ92" s="9"/>
      <c r="AK92" s="258"/>
      <c r="AL92" s="258"/>
      <c r="AM92" s="258"/>
      <c r="AN92" s="235"/>
      <c r="AO92" s="233"/>
      <c r="AP92" s="233"/>
      <c r="AQ92" s="233"/>
      <c r="AR92" s="236">
        <f>_xlfn.XLOOKUP(D92,'Modelling New'!$D:$D,'Modelling New'!$N:$N)</f>
        <v>130</v>
      </c>
      <c r="AS92" s="236">
        <f t="shared" si="8"/>
        <v>528565.18505199009</v>
      </c>
    </row>
    <row r="93" spans="1:45">
      <c r="A93" s="18">
        <f t="shared" si="9"/>
        <v>45836</v>
      </c>
      <c r="B93" s="29">
        <f>YEAR(Table13[[#This Row],[Date]])+IF(MONTH(Table13[[#This Row],[Date]])&gt;=4,1,0)</f>
        <v>2026</v>
      </c>
      <c r="C93" s="9">
        <f>YEAR(Table13[[#This Row],[Date]])</f>
        <v>2025</v>
      </c>
      <c r="D93" s="229">
        <f>Table13[[#This Row],[Date]]-DAY(Table13[[#This Row],[Date]])+1</f>
        <v>45809</v>
      </c>
      <c r="E93" s="9">
        <f t="shared" si="5"/>
        <v>30</v>
      </c>
      <c r="F93" s="199">
        <f>IFERROR(_xlfn.XLOOKUP($A93,Input_Raw!$A:$A,Input_Raw!$FC:$FC),"")</f>
        <v>11.816666666666666</v>
      </c>
      <c r="G93" s="185">
        <f>IFERROR(_xlfn.XLOOKUP($A93,Input_Raw!$A:$A,Input_Raw!$CY:$CY),"")</f>
        <v>4.0970428583333351</v>
      </c>
      <c r="H93" s="185">
        <f>IFERROR(_xlfn.XLOOKUP($A93,Input_Raw!$A:$A,Input_Raw!$DA:$DA),"")</f>
        <v>0.65818322499999993</v>
      </c>
      <c r="I93" s="185">
        <f>IFERROR(_xlfn.XLOOKUP($A93,Input_Raw!$A:$A,Input_Raw!$CX:$CX),"")</f>
        <v>4.474961733333334</v>
      </c>
      <c r="J93" s="185">
        <f>IFERROR(_xlfn.XLOOKUP($A93,Input_Raw!$A:$A,Input_Raw!$CZ:$CZ),"")</f>
        <v>0.53022984166666687</v>
      </c>
      <c r="K93" s="201">
        <f>IFERROR(_xlfn.XLOOKUP($A93,Input_Raw!$A:$A,Input_Raw!$DB:$DB),"")</f>
        <v>27.736017887563875</v>
      </c>
      <c r="L93" s="201">
        <f>IFERROR(_xlfn.XLOOKUP($A93,Input_Raw!$A:$A,Input_Raw!$DC:$DC),"")</f>
        <v>37.930468483815993</v>
      </c>
      <c r="M93" s="200">
        <f>IFERROR(_xlfn.XLOOKUP($A93,Input_Raw!$A:$A,Input_Raw!$DF:$DF),"")</f>
        <v>1.3514936115843277</v>
      </c>
      <c r="N93" s="200">
        <f>IFERROR(_xlfn.XLOOKUP($A93,Input_Raw!$A:$A,Input_Raw!$DG:$DG),"")</f>
        <v>3.4140000000000001</v>
      </c>
      <c r="O93" s="230">
        <f>IFERROR(1-(SUMIF(Plant_BD!$B:$B,$A93,Plant_BD!$AL:$AL)/($AA93+SUMIF(Plant_BD!$B:$B,$A93,Plant_BD!$AL:$AL))),"")</f>
        <v>1</v>
      </c>
      <c r="P93" s="230"/>
      <c r="Q93" s="231">
        <f>IFERROR(1-(SUMIF(Grid_BD!$B:$B,$A93,Grid_BD!$V:$V)/($AA93+SUMIF(Grid_BD!$B:$B,$A93,Grid_BD!$V:$V))),"")</f>
        <v>1</v>
      </c>
      <c r="R93" s="230">
        <f>IFERROR(1-(SUMIF(Grid_BD!$B:$B,$A93,Grid_BD!$V:$V)/($AA93+SUMIF(Grid_BD!$B:$B,$A93,Grid_BD!$V:$V))),"")</f>
        <v>1</v>
      </c>
      <c r="S93" s="9"/>
      <c r="T93" s="231"/>
      <c r="U93" s="232">
        <f t="shared" si="6"/>
        <v>0.79887093513653484</v>
      </c>
      <c r="V93" s="232" t="str">
        <f>IFERROR(_xlfn.XLOOKUP($A93,Input_Raw!$A:$A,Input_Raw!$FG:$FG),"")</f>
        <v/>
      </c>
      <c r="W93" s="233">
        <f t="shared" si="7"/>
        <v>0.14471538461539002</v>
      </c>
      <c r="X93" s="29">
        <f>IFERROR(_xlfn.XLOOKUP($A93,Input_Raw!$A:$A,Input_Raw!$DP:$DP),"")</f>
        <v>461152.80000000005</v>
      </c>
      <c r="Y93" s="29">
        <f>IFERROR(_xlfn.XLOOKUP($A93,Input_Raw!$A:$A,Input_Raw!EW:EW),"")</f>
        <v>454968.00000001676</v>
      </c>
      <c r="Z93" s="29">
        <f>IFERROR(_xlfn.XLOOKUP($A93,Input_Raw!$A:$A,Input_Raw!EX:EX),"")</f>
        <v>3455.9999999999673</v>
      </c>
      <c r="AA93" s="29">
        <f>IFERROR(_xlfn.XLOOKUP($A93,Input_Raw!$A:$A,Input_Raw!FA:FA),"")</f>
        <v>451512.00000001682</v>
      </c>
      <c r="AB93" s="9">
        <f>IFERROR(_xlfn.XLOOKUP($A93,Input_Raw!$A:$A,Input_Raw!FD:FD),"")</f>
        <v>126.3</v>
      </c>
      <c r="AC93" s="185">
        <f>IFERROR(_xlfn.XLOOKUP($D93,'Modelling New'!$D:$D,'Modelling New'!P:P),"")</f>
        <v>4.97</v>
      </c>
      <c r="AD93" s="29">
        <f>IFERROR(_xlfn.XLOOKUP($D93,'Modelling New'!$D:$D,'Modelling New'!T:T)*1000,"")</f>
        <v>544049.67582548468</v>
      </c>
      <c r="AE93" s="233">
        <f>IFERROR(_xlfn.XLOOKUP($D93,'Modelling New'!$D:$D,'Modelling New'!O:O),"")</f>
        <v>0.84205181214283342</v>
      </c>
      <c r="AF93" s="233">
        <f>IFERROR(_xlfn.XLOOKUP($D93,'Modelling New'!$D:$D,'Modelling New'!W:W),"")</f>
        <v>0.17437489609791174</v>
      </c>
      <c r="AG93" s="233">
        <f>IFERROR(_xlfn.XLOOKUP($D93,'Modelling New'!$D:$D,'Modelling New'!AE:AE),"")</f>
        <v>0.995</v>
      </c>
      <c r="AH93" s="234">
        <f>IFERROR(_xlfn.XLOOKUP($D93,'Modelling New'!$D:$D,'Modelling New'!AF:AF),"")</f>
        <v>0.995</v>
      </c>
      <c r="AI93" s="9"/>
      <c r="AJ93" s="9"/>
      <c r="AK93" s="258"/>
      <c r="AL93" s="258"/>
      <c r="AM93" s="258"/>
      <c r="AN93" s="235"/>
      <c r="AO93" s="233"/>
      <c r="AP93" s="233"/>
      <c r="AQ93" s="233"/>
      <c r="AR93" s="236">
        <f>_xlfn.XLOOKUP(D93,'Modelling New'!$D:$D,'Modelling New'!$N:$N)</f>
        <v>130</v>
      </c>
      <c r="AS93" s="236">
        <f t="shared" si="8"/>
        <v>528565.18505199009</v>
      </c>
    </row>
    <row r="94" spans="1:45">
      <c r="A94" s="18">
        <f t="shared" si="9"/>
        <v>45837</v>
      </c>
      <c r="B94" s="29">
        <f>YEAR(Table13[[#This Row],[Date]])+IF(MONTH(Table13[[#This Row],[Date]])&gt;=4,1,0)</f>
        <v>2026</v>
      </c>
      <c r="C94" s="9">
        <f>YEAR(Table13[[#This Row],[Date]])</f>
        <v>2025</v>
      </c>
      <c r="D94" s="229">
        <f>Table13[[#This Row],[Date]]-DAY(Table13[[#This Row],[Date]])+1</f>
        <v>45809</v>
      </c>
      <c r="E94" s="9">
        <f t="shared" si="5"/>
        <v>30</v>
      </c>
      <c r="F94" s="199">
        <f>IFERROR(_xlfn.XLOOKUP($A94,Input_Raw!$A:$A,Input_Raw!$FC:$FC),"")</f>
        <v>11.966666666666665</v>
      </c>
      <c r="G94" s="200">
        <f>IFERROR(_xlfn.XLOOKUP($A94,Input_Raw!$A:$A,Input_Raw!$CY:$CY),"")</f>
        <v>2.4143487249999982</v>
      </c>
      <c r="H94" s="200">
        <f>IFERROR(_xlfn.XLOOKUP($A94,Input_Raw!$A:$A,Input_Raw!$DA:$DA),"")</f>
        <v>0.39063078333333362</v>
      </c>
      <c r="I94" s="200">
        <f>IFERROR(_xlfn.XLOOKUP($A94,Input_Raw!$A:$A,Input_Raw!$CX:$CX),"")</f>
        <v>2.6656535333333329</v>
      </c>
      <c r="J94" s="200">
        <f>IFERROR(_xlfn.XLOOKUP($A94,Input_Raw!$A:$A,Input_Raw!$CZ:$CZ),"")</f>
        <v>0.32432796666666686</v>
      </c>
      <c r="K94" s="201">
        <f>IFERROR(_xlfn.XLOOKUP($A94,Input_Raw!$A:$A,Input_Raw!$DB:$DB),"")</f>
        <v>26.209474548440113</v>
      </c>
      <c r="L94" s="201">
        <f>IFERROR(_xlfn.XLOOKUP($A94,Input_Raw!$A:$A,Input_Raw!$DC:$DC),"")</f>
        <v>33.751943349753681</v>
      </c>
      <c r="M94" s="200">
        <f>IFERROR(_xlfn.XLOOKUP($A94,Input_Raw!$A:$A,Input_Raw!$DF:$DF),"")</f>
        <v>1.6407216748768469</v>
      </c>
      <c r="N94" s="200">
        <f>IFERROR(_xlfn.XLOOKUP($A94,Input_Raw!$A:$A,Input_Raw!$DG:$DG),"")</f>
        <v>4.9094999999999995</v>
      </c>
      <c r="O94" s="230">
        <f>IFERROR(1-(SUMIF(Plant_BD!$B:$B,$A94,Plant_BD!$AL:$AL)/($AA94+SUMIF(Plant_BD!$B:$B,$A94,Plant_BD!$AL:$AL))),"")</f>
        <v>0.99896765305749324</v>
      </c>
      <c r="P94" s="230"/>
      <c r="Q94" s="231">
        <f>IFERROR(1-(SUMIF(Grid_BD!$B:$B,$A94,Grid_BD!$V:$V)/($AA94+SUMIF(Grid_BD!$B:$B,$A94,Grid_BD!$V:$V))),"")</f>
        <v>1</v>
      </c>
      <c r="R94" s="230">
        <f>IFERROR(1-(SUMIF(Grid_BD!$B:$B,$A94,Grid_BD!$V:$V)/($AA94+SUMIF(Grid_BD!$B:$B,$A94,Grid_BD!$V:$V))),"")</f>
        <v>1</v>
      </c>
      <c r="S94" s="9"/>
      <c r="T94" s="231"/>
      <c r="U94" s="232">
        <f t="shared" si="6"/>
        <v>0.82741649397867134</v>
      </c>
      <c r="V94" s="232" t="str">
        <f>IFERROR(_xlfn.XLOOKUP($A94,Input_Raw!$A:$A,Input_Raw!$FG:$FG),"")</f>
        <v/>
      </c>
      <c r="W94" s="233">
        <f t="shared" si="7"/>
        <v>8.9284615384612742E-2</v>
      </c>
      <c r="X94" s="29">
        <f>IFERROR(_xlfn.XLOOKUP($A94,Input_Raw!$A:$A,Input_Raw!$DP:$DP),"")</f>
        <v>283345.40000000002</v>
      </c>
      <c r="Y94" s="29">
        <f>IFERROR(_xlfn.XLOOKUP($A94,Input_Raw!$A:$A,Input_Raw!EW:EW),"")</f>
        <v>282095.99999999162</v>
      </c>
      <c r="Z94" s="29">
        <f>IFERROR(_xlfn.XLOOKUP($A94,Input_Raw!$A:$A,Input_Raw!EX:EX),"")</f>
        <v>3527.9999999999018</v>
      </c>
      <c r="AA94" s="29">
        <f>IFERROR(_xlfn.XLOOKUP($A94,Input_Raw!$A:$A,Input_Raw!FA:FA),"")</f>
        <v>278567.99999999173</v>
      </c>
      <c r="AB94" s="9">
        <f>IFERROR(_xlfn.XLOOKUP($A94,Input_Raw!$A:$A,Input_Raw!FD:FD),"")</f>
        <v>126.3</v>
      </c>
      <c r="AC94" s="185">
        <f>IFERROR(_xlfn.XLOOKUP($D94,'Modelling New'!$D:$D,'Modelling New'!P:P),"")</f>
        <v>4.97</v>
      </c>
      <c r="AD94" s="29">
        <f>IFERROR(_xlfn.XLOOKUP($D94,'Modelling New'!$D:$D,'Modelling New'!T:T)*1000,"")</f>
        <v>544049.67582548468</v>
      </c>
      <c r="AE94" s="233">
        <f>IFERROR(_xlfn.XLOOKUP($D94,'Modelling New'!$D:$D,'Modelling New'!O:O),"")</f>
        <v>0.84205181214283342</v>
      </c>
      <c r="AF94" s="233">
        <f>IFERROR(_xlfn.XLOOKUP($D94,'Modelling New'!$D:$D,'Modelling New'!W:W),"")</f>
        <v>0.17437489609791174</v>
      </c>
      <c r="AG94" s="233">
        <f>IFERROR(_xlfn.XLOOKUP($D94,'Modelling New'!$D:$D,'Modelling New'!AE:AE),"")</f>
        <v>0.995</v>
      </c>
      <c r="AH94" s="234">
        <f>IFERROR(_xlfn.XLOOKUP($D94,'Modelling New'!$D:$D,'Modelling New'!AF:AF),"")</f>
        <v>0.995</v>
      </c>
      <c r="AI94" s="9"/>
      <c r="AJ94" s="9"/>
      <c r="AK94" s="258"/>
      <c r="AL94" s="258"/>
      <c r="AM94" s="258"/>
      <c r="AN94" s="235"/>
      <c r="AO94" s="233"/>
      <c r="AP94" s="233"/>
      <c r="AQ94" s="233"/>
      <c r="AR94" s="236">
        <f>_xlfn.XLOOKUP(D94,'Modelling New'!$D:$D,'Modelling New'!$N:$N)</f>
        <v>130</v>
      </c>
      <c r="AS94" s="236">
        <f t="shared" si="8"/>
        <v>528565.18505199009</v>
      </c>
    </row>
    <row r="95" spans="1:45">
      <c r="A95" s="18">
        <f t="shared" si="9"/>
        <v>45838</v>
      </c>
      <c r="B95" s="29">
        <f>YEAR(Table13[[#This Row],[Date]])+IF(MONTH(Table13[[#This Row],[Date]])&gt;=4,1,0)</f>
        <v>2026</v>
      </c>
      <c r="C95" s="9">
        <f>YEAR(Table13[[#This Row],[Date]])</f>
        <v>2025</v>
      </c>
      <c r="D95" s="229">
        <f>Table13[[#This Row],[Date]]-DAY(Table13[[#This Row],[Date]])+1</f>
        <v>45809</v>
      </c>
      <c r="E95" s="9">
        <f t="shared" si="5"/>
        <v>30</v>
      </c>
      <c r="F95" s="199">
        <f>IFERROR(_xlfn.XLOOKUP($A95,Input_Raw!$A:$A,Input_Raw!$FC:$FC),"")</f>
        <v>12.316666666666668</v>
      </c>
      <c r="G95" s="185">
        <f>IFERROR(_xlfn.XLOOKUP($A95,Input_Raw!$A:$A,Input_Raw!$CY:$CY),"")</f>
        <v>2.6150213999999998</v>
      </c>
      <c r="H95" s="185">
        <f>IFERROR(_xlfn.XLOOKUP($A95,Input_Raw!$A:$A,Input_Raw!$DA:$DA),"")</f>
        <v>0.4316866749999998</v>
      </c>
      <c r="I95" s="185">
        <f>IFERROR(_xlfn.XLOOKUP($A95,Input_Raw!$A:$A,Input_Raw!$CX:$CX),"")</f>
        <v>2.9607828000000005</v>
      </c>
      <c r="J95" s="185">
        <f>IFERROR(_xlfn.XLOOKUP($A95,Input_Raw!$A:$A,Input_Raw!$CZ:$CZ),"")</f>
        <v>0.34034194999999989</v>
      </c>
      <c r="K95" s="201">
        <f>IFERROR(_xlfn.XLOOKUP($A95,Input_Raw!$A:$A,Input_Raw!$DB:$DB),"")</f>
        <v>27.048284789643983</v>
      </c>
      <c r="L95" s="201">
        <f>IFERROR(_xlfn.XLOOKUP($A95,Input_Raw!$A:$A,Input_Raw!$DC:$DC),"")</f>
        <v>35.160705097087373</v>
      </c>
      <c r="M95" s="200">
        <f>IFERROR(_xlfn.XLOOKUP($A95,Input_Raw!$A:$A,Input_Raw!$DF:$DF),"")</f>
        <v>1.2229235436893213</v>
      </c>
      <c r="N95" s="200">
        <f>IFERROR(_xlfn.XLOOKUP($A95,Input_Raw!$A:$A,Input_Raw!$DG:$DG),"")</f>
        <v>3.3585000000000003</v>
      </c>
      <c r="O95" s="230">
        <f>IFERROR(1-(SUMIF(Plant_BD!$B:$B,$A95,Plant_BD!$AL:$AL)/($AA95+SUMIF(Plant_BD!$B:$B,$A95,Plant_BD!$AL:$AL))),"")</f>
        <v>0.99881864941027798</v>
      </c>
      <c r="P95" s="230"/>
      <c r="Q95" s="231">
        <f>IFERROR(1-(SUMIF(Grid_BD!$B:$B,$A95,Grid_BD!$V:$V)/($AA95+SUMIF(Grid_BD!$B:$B,$A95,Grid_BD!$V:$V))),"")</f>
        <v>1</v>
      </c>
      <c r="R95" s="230">
        <f>IFERROR(1-(SUMIF(Grid_BD!$B:$B,$A95,Grid_BD!$V:$V)/($AA95+SUMIF(Grid_BD!$B:$B,$A95,Grid_BD!$V:$V))),"")</f>
        <v>1</v>
      </c>
      <c r="S95" s="9"/>
      <c r="T95" s="231"/>
      <c r="U95" s="232">
        <f t="shared" si="6"/>
        <v>0.84318991117269126</v>
      </c>
      <c r="V95" s="232" t="str">
        <f>IFERROR(_xlfn.XLOOKUP($A95,Input_Raw!$A:$A,Input_Raw!$FG:$FG),"")</f>
        <v/>
      </c>
      <c r="W95" s="233">
        <f t="shared" si="7"/>
        <v>0.10248461538461401</v>
      </c>
      <c r="X95" s="29">
        <f>IFERROR(_xlfn.XLOOKUP($A95,Input_Raw!$A:$A,Input_Raw!$DP:$DP),"")</f>
        <v>326124.79999999993</v>
      </c>
      <c r="Y95" s="29">
        <f>IFERROR(_xlfn.XLOOKUP($A95,Input_Raw!$A:$A,Input_Raw!EW:EW),"")</f>
        <v>323567.99999999581</v>
      </c>
      <c r="Z95" s="29">
        <f>IFERROR(_xlfn.XLOOKUP($A95,Input_Raw!$A:$A,Input_Raw!EX:EX),"")</f>
        <v>3816.000000000131</v>
      </c>
      <c r="AA95" s="29">
        <f>IFERROR(_xlfn.XLOOKUP($A95,Input_Raw!$A:$A,Input_Raw!FA:FA),"")</f>
        <v>319751.99999999569</v>
      </c>
      <c r="AB95" s="9">
        <f>IFERROR(_xlfn.XLOOKUP($A95,Input_Raw!$A:$A,Input_Raw!FD:FD),"")</f>
        <v>128.08000000000001</v>
      </c>
      <c r="AC95" s="185">
        <f>IFERROR(_xlfn.XLOOKUP($D95,'Modelling New'!$D:$D,'Modelling New'!P:P),"")</f>
        <v>4.97</v>
      </c>
      <c r="AD95" s="29">
        <f>IFERROR(_xlfn.XLOOKUP($D95,'Modelling New'!$D:$D,'Modelling New'!T:T)*1000,"")</f>
        <v>544049.67582548468</v>
      </c>
      <c r="AE95" s="233">
        <f>IFERROR(_xlfn.XLOOKUP($D95,'Modelling New'!$D:$D,'Modelling New'!O:O),"")</f>
        <v>0.84205181214283342</v>
      </c>
      <c r="AF95" s="233">
        <f>IFERROR(_xlfn.XLOOKUP($D95,'Modelling New'!$D:$D,'Modelling New'!W:W),"")</f>
        <v>0.17437489609791174</v>
      </c>
      <c r="AG95" s="233">
        <f>IFERROR(_xlfn.XLOOKUP($D95,'Modelling New'!$D:$D,'Modelling New'!AE:AE),"")</f>
        <v>0.995</v>
      </c>
      <c r="AH95" s="234">
        <f>IFERROR(_xlfn.XLOOKUP($D95,'Modelling New'!$D:$D,'Modelling New'!AF:AF),"")</f>
        <v>0.995</v>
      </c>
      <c r="AI95" s="9"/>
      <c r="AJ95" s="9"/>
      <c r="AK95" s="258"/>
      <c r="AL95" s="258"/>
      <c r="AM95" s="258"/>
      <c r="AN95" s="235"/>
      <c r="AO95" s="233"/>
      <c r="AP95" s="233"/>
      <c r="AQ95" s="233"/>
      <c r="AR95" s="236">
        <f>_xlfn.XLOOKUP(D95,'Modelling New'!$D:$D,'Modelling New'!$N:$N)</f>
        <v>130</v>
      </c>
      <c r="AS95" s="236">
        <f t="shared" si="8"/>
        <v>536014.48061329301</v>
      </c>
    </row>
    <row r="96" spans="1:45">
      <c r="A96" s="18">
        <f t="shared" si="9"/>
        <v>45839</v>
      </c>
      <c r="B96" s="29">
        <f>YEAR(Table13[[#This Row],[Date]])+IF(MONTH(Table13[[#This Row],[Date]])&gt;=4,1,0)</f>
        <v>2026</v>
      </c>
      <c r="C96" s="9">
        <f>YEAR(Table13[[#This Row],[Date]])</f>
        <v>2025</v>
      </c>
      <c r="D96" s="229">
        <f>Table13[[#This Row],[Date]]-DAY(Table13[[#This Row],[Date]])+1</f>
        <v>45839</v>
      </c>
      <c r="E96" s="9">
        <f t="shared" si="5"/>
        <v>31</v>
      </c>
      <c r="F96" s="199">
        <f>IFERROR(_xlfn.XLOOKUP($A96,Input_Raw!$A:$A,Input_Raw!$FC:$FC),"")</f>
        <v>12.283333333333335</v>
      </c>
      <c r="G96" s="200">
        <f>IFERROR(_xlfn.XLOOKUP($A96,Input_Raw!$A:$A,Input_Raw!$CY:$CY),"")</f>
        <v>3.1193243583333343</v>
      </c>
      <c r="H96" s="200">
        <f>IFERROR(_xlfn.XLOOKUP($A96,Input_Raw!$A:$A,Input_Raw!$DA:$DA),"")</f>
        <v>0.52606198333333332</v>
      </c>
      <c r="I96" s="200">
        <f>IFERROR(_xlfn.XLOOKUP($A96,Input_Raw!$A:$A,Input_Raw!$CX:$CX),"")</f>
        <v>3.5154207000000017</v>
      </c>
      <c r="J96" s="200">
        <f>IFERROR(_xlfn.XLOOKUP($A96,Input_Raw!$A:$A,Input_Raw!$CZ:$CZ),"")</f>
        <v>0.43490849166666712</v>
      </c>
      <c r="K96" s="201">
        <f>IFERROR(_xlfn.XLOOKUP($A96,Input_Raw!$A:$A,Input_Raw!$DB:$DB),"")</f>
        <v>27.060658119658076</v>
      </c>
      <c r="L96" s="201">
        <f>IFERROR(_xlfn.XLOOKUP($A96,Input_Raw!$A:$A,Input_Raw!$DC:$DC),"")</f>
        <v>36.056305555555568</v>
      </c>
      <c r="M96" s="200">
        <f>IFERROR(_xlfn.XLOOKUP($A96,Input_Raw!$A:$A,Input_Raw!$DF:$DF),"")</f>
        <v>1.7951961538461534</v>
      </c>
      <c r="N96" s="200">
        <f>IFERROR(_xlfn.XLOOKUP($A96,Input_Raw!$A:$A,Input_Raw!$DG:$DG),"")</f>
        <v>4.5914999999999999</v>
      </c>
      <c r="O96" s="230">
        <f>IFERROR(1-(SUMIF(Plant_BD!$B:$B,$A96,Plant_BD!$AL:$AL)/($AA96+SUMIF(Plant_BD!$B:$B,$A96,Plant_BD!$AL:$AL))),"")</f>
        <v>0.99916427084524562</v>
      </c>
      <c r="P96" s="230"/>
      <c r="Q96" s="231">
        <f>IFERROR(1-(SUMIF(Grid_BD!$B:$B,$A96,Grid_BD!$V:$V)/($AA96+SUMIF(Grid_BD!$B:$B,$A96,Grid_BD!$V:$V))),"")</f>
        <v>1</v>
      </c>
      <c r="R96" s="230">
        <f>IFERROR(1-(SUMIF(Grid_BD!$B:$B,$A96,Grid_BD!$V:$V)/($AA96+SUMIF(Grid_BD!$B:$B,$A96,Grid_BD!$V:$V))),"")</f>
        <v>1</v>
      </c>
      <c r="S96" s="9"/>
      <c r="T96" s="231"/>
      <c r="U96" s="232">
        <f t="shared" si="6"/>
        <v>0.82161426657268111</v>
      </c>
      <c r="V96" s="232" t="str">
        <f>IFERROR(_xlfn.XLOOKUP($A96,Input_Raw!$A:$A,Input_Raw!$FG:$FG),"")</f>
        <v/>
      </c>
      <c r="W96" s="233">
        <f t="shared" si="7"/>
        <v>0.1185692307692308</v>
      </c>
      <c r="X96" s="29">
        <f>IFERROR(_xlfn.XLOOKUP($A96,Input_Raw!$A:$A,Input_Raw!$DP:$DP),"")</f>
        <v>377115.99999999994</v>
      </c>
      <c r="Y96" s="29">
        <f>IFERROR(_xlfn.XLOOKUP($A96,Input_Raw!$A:$A,Input_Raw!EW:EW),"")</f>
        <v>373680</v>
      </c>
      <c r="Z96" s="29">
        <f>IFERROR(_xlfn.XLOOKUP($A96,Input_Raw!$A:$A,Input_Raw!EX:EX),"")</f>
        <v>3743.999999999869</v>
      </c>
      <c r="AA96" s="29">
        <f>IFERROR(_xlfn.XLOOKUP($A96,Input_Raw!$A:$A,Input_Raw!FA:FA),"")</f>
        <v>369936.00000000012</v>
      </c>
      <c r="AB96" s="9">
        <f>IFERROR(_xlfn.XLOOKUP($A96,Input_Raw!$A:$A,Input_Raw!FD:FD),"")</f>
        <v>128.08000000000001</v>
      </c>
      <c r="AC96" s="185">
        <f>IFERROR(_xlfn.XLOOKUP($D96,'Modelling New'!$D:$D,'Modelling New'!P:P),"")</f>
        <v>3.7967741935483872</v>
      </c>
      <c r="AD96" s="29">
        <f>IFERROR(_xlfn.XLOOKUP($D96,'Modelling New'!$D:$D,'Modelling New'!T:T)*1000,"")</f>
        <v>421061.81874810642</v>
      </c>
      <c r="AE96" s="233">
        <f>IFERROR(_xlfn.XLOOKUP($D96,'Modelling New'!$D:$D,'Modelling New'!O:O),"")</f>
        <v>0.85307603301688106</v>
      </c>
      <c r="AF96" s="233">
        <f>IFERROR(_xlfn.XLOOKUP($D96,'Modelling New'!$D:$D,'Modelling New'!W:W),"")</f>
        <v>0.13495571113721361</v>
      </c>
      <c r="AG96" s="233">
        <f>IFERROR(_xlfn.XLOOKUP($D96,'Modelling New'!$D:$D,'Modelling New'!AE:AE),"")</f>
        <v>0.995</v>
      </c>
      <c r="AH96" s="234">
        <f>IFERROR(_xlfn.XLOOKUP($D96,'Modelling New'!$D:$D,'Modelling New'!AF:AF),"")</f>
        <v>0.995</v>
      </c>
      <c r="AI96" s="9"/>
      <c r="AJ96" s="9"/>
      <c r="AK96" s="258"/>
      <c r="AL96" s="258"/>
      <c r="AM96" s="258"/>
      <c r="AN96" s="235"/>
      <c r="AO96" s="233"/>
      <c r="AP96" s="233"/>
      <c r="AQ96" s="233"/>
      <c r="AR96" s="236">
        <f>_xlfn.XLOOKUP(D96,'Modelling New'!$D:$D,'Modelling New'!$N:$N)</f>
        <v>130</v>
      </c>
      <c r="AS96" s="236">
        <f t="shared" si="8"/>
        <v>414843.05957890366</v>
      </c>
    </row>
    <row r="97" spans="1:45">
      <c r="A97" s="18">
        <f t="shared" si="9"/>
        <v>45840</v>
      </c>
      <c r="B97" s="29">
        <f>YEAR(Table13[[#This Row],[Date]])+IF(MONTH(Table13[[#This Row],[Date]])&gt;=4,1,0)</f>
        <v>2026</v>
      </c>
      <c r="C97" s="9">
        <f>YEAR(Table13[[#This Row],[Date]])</f>
        <v>2025</v>
      </c>
      <c r="D97" s="229">
        <f>Table13[[#This Row],[Date]]-DAY(Table13[[#This Row],[Date]])+1</f>
        <v>45839</v>
      </c>
      <c r="E97" s="9">
        <f t="shared" si="5"/>
        <v>31</v>
      </c>
      <c r="F97" s="199">
        <f>IFERROR(_xlfn.XLOOKUP($A97,Input_Raw!$A:$A,Input_Raw!$FC:$FC),"")</f>
        <v>12.783333333333333</v>
      </c>
      <c r="G97" s="185">
        <f>IFERROR(_xlfn.XLOOKUP($A97,Input_Raw!$A:$A,Input_Raw!$CY:$CY),"")</f>
        <v>3.7960181000000031</v>
      </c>
      <c r="H97" s="185">
        <f>IFERROR(_xlfn.XLOOKUP($A97,Input_Raw!$A:$A,Input_Raw!$DA:$DA),"")</f>
        <v>0.6431384499999997</v>
      </c>
      <c r="I97" s="185">
        <f>IFERROR(_xlfn.XLOOKUP($A97,Input_Raw!$A:$A,Input_Raw!$CX:$CX),"")</f>
        <v>4.2059945499999989</v>
      </c>
      <c r="J97" s="185">
        <f>IFERROR(_xlfn.XLOOKUP($A97,Input_Raw!$A:$A,Input_Raw!$CZ:$CZ),"")</f>
        <v>0.54071272500000034</v>
      </c>
      <c r="K97" s="201">
        <f>IFERROR(_xlfn.XLOOKUP($A97,Input_Raw!$A:$A,Input_Raw!$DB:$DB),"")</f>
        <v>26.990165289256254</v>
      </c>
      <c r="L97" s="201">
        <f>IFERROR(_xlfn.XLOOKUP($A97,Input_Raw!$A:$A,Input_Raw!$DC:$DC),"")</f>
        <v>36.25646735537191</v>
      </c>
      <c r="M97" s="200">
        <f>IFERROR(_xlfn.XLOOKUP($A97,Input_Raw!$A:$A,Input_Raw!$DF:$DF),"")</f>
        <v>1.6883119834710767</v>
      </c>
      <c r="N97" s="200">
        <f>IFERROR(_xlfn.XLOOKUP($A97,Input_Raw!$A:$A,Input_Raw!$DG:$DG),"")</f>
        <v>3.8325</v>
      </c>
      <c r="O97" s="230">
        <f>IFERROR(1-(SUMIF(Plant_BD!$B:$B,$A97,Plant_BD!$AL:$AL)/($AA97+SUMIF(Plant_BD!$B:$B,$A97,Plant_BD!$AL:$AL))),"")</f>
        <v>0.97950306743184534</v>
      </c>
      <c r="P97" s="230"/>
      <c r="Q97" s="231">
        <f>IFERROR(1-(SUMIF(Grid_BD!$B:$B,$A97,Grid_BD!$V:$V)/($AA97+SUMIF(Grid_BD!$B:$B,$A97,Grid_BD!$V:$V))),"")</f>
        <v>1</v>
      </c>
      <c r="R97" s="230">
        <f>IFERROR(1-(SUMIF(Grid_BD!$B:$B,$A97,Grid_BD!$V:$V)/($AA97+SUMIF(Grid_BD!$B:$B,$A97,Grid_BD!$V:$V))),"")</f>
        <v>1</v>
      </c>
      <c r="S97" s="9"/>
      <c r="T97" s="231"/>
      <c r="U97" s="232">
        <f t="shared" si="6"/>
        <v>0.80807303489304849</v>
      </c>
      <c r="V97" s="232" t="str">
        <f>IFERROR(_xlfn.XLOOKUP($A97,Input_Raw!$A:$A,Input_Raw!$FG:$FG),"")</f>
        <v/>
      </c>
      <c r="W97" s="233">
        <f t="shared" si="7"/>
        <v>0.13952307692308094</v>
      </c>
      <c r="X97" s="29">
        <f>IFERROR(_xlfn.XLOOKUP($A97,Input_Raw!$A:$A,Input_Raw!$DP:$DP),"")</f>
        <v>443864.6</v>
      </c>
      <c r="Y97" s="29">
        <f>IFERROR(_xlfn.XLOOKUP($A97,Input_Raw!$A:$A,Input_Raw!EW:EW),"")</f>
        <v>438696.00000001257</v>
      </c>
      <c r="Z97" s="29">
        <f>IFERROR(_xlfn.XLOOKUP($A97,Input_Raw!$A:$A,Input_Raw!EX:EX),"")</f>
        <v>3384.0000000000327</v>
      </c>
      <c r="AA97" s="29">
        <f>IFERROR(_xlfn.XLOOKUP($A97,Input_Raw!$A:$A,Input_Raw!FA:FA),"")</f>
        <v>435312.00000001251</v>
      </c>
      <c r="AB97" s="9">
        <f>IFERROR(_xlfn.XLOOKUP($A97,Input_Raw!$A:$A,Input_Raw!FD:FD),"")</f>
        <v>128.08000000000001</v>
      </c>
      <c r="AC97" s="185">
        <f>IFERROR(_xlfn.XLOOKUP($D97,'Modelling New'!$D:$D,'Modelling New'!P:P),"")</f>
        <v>3.7967741935483872</v>
      </c>
      <c r="AD97" s="29">
        <f>IFERROR(_xlfn.XLOOKUP($D97,'Modelling New'!$D:$D,'Modelling New'!T:T)*1000,"")</f>
        <v>421061.81874810642</v>
      </c>
      <c r="AE97" s="233">
        <f>IFERROR(_xlfn.XLOOKUP($D97,'Modelling New'!$D:$D,'Modelling New'!O:O),"")</f>
        <v>0.85307603301688106</v>
      </c>
      <c r="AF97" s="233">
        <f>IFERROR(_xlfn.XLOOKUP($D97,'Modelling New'!$D:$D,'Modelling New'!W:W),"")</f>
        <v>0.13495571113721361</v>
      </c>
      <c r="AG97" s="233">
        <f>IFERROR(_xlfn.XLOOKUP($D97,'Modelling New'!$D:$D,'Modelling New'!AE:AE),"")</f>
        <v>0.995</v>
      </c>
      <c r="AH97" s="234">
        <f>IFERROR(_xlfn.XLOOKUP($D97,'Modelling New'!$D:$D,'Modelling New'!AF:AF),"")</f>
        <v>0.995</v>
      </c>
      <c r="AI97" s="9"/>
      <c r="AJ97" s="9"/>
      <c r="AK97" s="258"/>
      <c r="AL97" s="258"/>
      <c r="AM97" s="258"/>
      <c r="AN97" s="235"/>
      <c r="AO97" s="233"/>
      <c r="AP97" s="233"/>
      <c r="AQ97" s="233"/>
      <c r="AR97" s="236">
        <f>_xlfn.XLOOKUP(D97,'Modelling New'!$D:$D,'Modelling New'!$N:$N)</f>
        <v>130</v>
      </c>
      <c r="AS97" s="236">
        <f t="shared" si="8"/>
        <v>414843.05957890366</v>
      </c>
    </row>
    <row r="98" spans="1:45">
      <c r="A98" s="18">
        <f t="shared" si="9"/>
        <v>45841</v>
      </c>
      <c r="B98" s="29">
        <f>YEAR(Table13[[#This Row],[Date]])+IF(MONTH(Table13[[#This Row],[Date]])&gt;=4,1,0)</f>
        <v>2026</v>
      </c>
      <c r="C98" s="9">
        <f>YEAR(Table13[[#This Row],[Date]])</f>
        <v>2025</v>
      </c>
      <c r="D98" s="229">
        <f>Table13[[#This Row],[Date]]-DAY(Table13[[#This Row],[Date]])+1</f>
        <v>45839</v>
      </c>
      <c r="E98" s="9">
        <f t="shared" si="5"/>
        <v>31</v>
      </c>
      <c r="F98" s="199">
        <f>IFERROR(_xlfn.XLOOKUP($A98,Input_Raw!$A:$A,Input_Raw!$FC:$FC),"")</f>
        <v>12.583333333333334</v>
      </c>
      <c r="G98" s="200">
        <f>IFERROR(_xlfn.XLOOKUP($A98,Input_Raw!$A:$A,Input_Raw!$CY:$CY),"")</f>
        <v>3.7906119833333296</v>
      </c>
      <c r="H98" s="200">
        <f>IFERROR(_xlfn.XLOOKUP($A98,Input_Raw!$A:$A,Input_Raw!$DA:$DA),"")</f>
        <v>0.63615229999999923</v>
      </c>
      <c r="I98" s="200">
        <f>IFERROR(_xlfn.XLOOKUP($A98,Input_Raw!$A:$A,Input_Raw!$CX:$CX),"")</f>
        <v>4.2447765666666673</v>
      </c>
      <c r="J98" s="200">
        <f>IFERROR(_xlfn.XLOOKUP($A98,Input_Raw!$A:$A,Input_Raw!$CZ:$CZ),"")</f>
        <v>0.51341474999999992</v>
      </c>
      <c r="K98" s="201">
        <f>IFERROR(_xlfn.XLOOKUP($A98,Input_Raw!$A:$A,Input_Raw!$DB:$DB),"")</f>
        <v>26.974564102564116</v>
      </c>
      <c r="L98" s="201">
        <f>IFERROR(_xlfn.XLOOKUP($A98,Input_Raw!$A:$A,Input_Raw!$DC:$DC),"")</f>
        <v>36.803923504273513</v>
      </c>
      <c r="M98" s="200">
        <f>IFERROR(_xlfn.XLOOKUP($A98,Input_Raw!$A:$A,Input_Raw!$DF:$DF),"")</f>
        <v>1.0505525641025635</v>
      </c>
      <c r="N98" s="200">
        <f>IFERROR(_xlfn.XLOOKUP($A98,Input_Raw!$A:$A,Input_Raw!$DG:$DG),"")</f>
        <v>3.3194999999999997</v>
      </c>
      <c r="O98" s="230">
        <f>IFERROR(1-(SUMIF(Plant_BD!$B:$B,$A98,Plant_BD!$AL:$AL)/($AA98+SUMIF(Plant_BD!$B:$B,$A98,Plant_BD!$AL:$AL))),"")</f>
        <v>1</v>
      </c>
      <c r="P98" s="230"/>
      <c r="Q98" s="231">
        <f>IFERROR(1-(SUMIF(Grid_BD!$B:$B,$A98,Grid_BD!$V:$V)/($AA98+SUMIF(Grid_BD!$B:$B,$A98,Grid_BD!$V:$V))),"")</f>
        <v>1</v>
      </c>
      <c r="R98" s="230">
        <f>IFERROR(1-(SUMIF(Grid_BD!$B:$B,$A98,Grid_BD!$V:$V)/($AA98+SUMIF(Grid_BD!$B:$B,$A98,Grid_BD!$V:$V))),"")</f>
        <v>1</v>
      </c>
      <c r="S98" s="9"/>
      <c r="T98" s="231"/>
      <c r="U98" s="232">
        <f t="shared" si="6"/>
        <v>0.83009028326847567</v>
      </c>
      <c r="V98" s="232" t="str">
        <f>IFERROR(_xlfn.XLOOKUP($A98,Input_Raw!$A:$A,Input_Raw!$FG:$FG),"")</f>
        <v/>
      </c>
      <c r="W98" s="233">
        <f t="shared" si="7"/>
        <v>0.14464615384614848</v>
      </c>
      <c r="X98" s="29">
        <f>IFERROR(_xlfn.XLOOKUP($A98,Input_Raw!$A:$A,Input_Raw!$DP:$DP),"")</f>
        <v>460516.79999999993</v>
      </c>
      <c r="Y98" s="29">
        <f>IFERROR(_xlfn.XLOOKUP($A98,Input_Raw!$A:$A,Input_Raw!EW:EW),"")</f>
        <v>454751.99999998324</v>
      </c>
      <c r="Z98" s="29">
        <f>IFERROR(_xlfn.XLOOKUP($A98,Input_Raw!$A:$A,Input_Raw!EX:EX),"")</f>
        <v>3455.9999999999673</v>
      </c>
      <c r="AA98" s="29">
        <f>IFERROR(_xlfn.XLOOKUP($A98,Input_Raw!$A:$A,Input_Raw!FA:FA),"")</f>
        <v>451295.99999998329</v>
      </c>
      <c r="AB98" s="9">
        <f>IFERROR(_xlfn.XLOOKUP($A98,Input_Raw!$A:$A,Input_Raw!FD:FD),"")</f>
        <v>128.08000000000001</v>
      </c>
      <c r="AC98" s="185">
        <f>IFERROR(_xlfn.XLOOKUP($D98,'Modelling New'!$D:$D,'Modelling New'!P:P),"")</f>
        <v>3.7967741935483872</v>
      </c>
      <c r="AD98" s="29">
        <f>IFERROR(_xlfn.XLOOKUP($D98,'Modelling New'!$D:$D,'Modelling New'!T:T)*1000,"")</f>
        <v>421061.81874810642</v>
      </c>
      <c r="AE98" s="233">
        <f>IFERROR(_xlfn.XLOOKUP($D98,'Modelling New'!$D:$D,'Modelling New'!O:O),"")</f>
        <v>0.85307603301688106</v>
      </c>
      <c r="AF98" s="233">
        <f>IFERROR(_xlfn.XLOOKUP($D98,'Modelling New'!$D:$D,'Modelling New'!W:W),"")</f>
        <v>0.13495571113721361</v>
      </c>
      <c r="AG98" s="233">
        <f>IFERROR(_xlfn.XLOOKUP($D98,'Modelling New'!$D:$D,'Modelling New'!AE:AE),"")</f>
        <v>0.995</v>
      </c>
      <c r="AH98" s="234">
        <f>IFERROR(_xlfn.XLOOKUP($D98,'Modelling New'!$D:$D,'Modelling New'!AF:AF),"")</f>
        <v>0.995</v>
      </c>
      <c r="AI98" s="9"/>
      <c r="AJ98" s="9"/>
      <c r="AK98" s="258"/>
      <c r="AL98" s="258"/>
      <c r="AM98" s="258"/>
      <c r="AN98" s="235"/>
      <c r="AO98" s="233"/>
      <c r="AP98" s="233"/>
      <c r="AQ98" s="233"/>
      <c r="AR98" s="236">
        <f>_xlfn.XLOOKUP(D98,'Modelling New'!$D:$D,'Modelling New'!$N:$N)</f>
        <v>130</v>
      </c>
      <c r="AS98" s="236">
        <f t="shared" si="8"/>
        <v>414843.05957890366</v>
      </c>
    </row>
    <row r="99" spans="1:45">
      <c r="A99" s="18">
        <f t="shared" si="9"/>
        <v>45842</v>
      </c>
      <c r="B99" s="29">
        <f>YEAR(Table13[[#This Row],[Date]])+IF(MONTH(Table13[[#This Row],[Date]])&gt;=4,1,0)</f>
        <v>2026</v>
      </c>
      <c r="C99" s="9">
        <f>YEAR(Table13[[#This Row],[Date]])</f>
        <v>2025</v>
      </c>
      <c r="D99" s="229">
        <f>Table13[[#This Row],[Date]]-DAY(Table13[[#This Row],[Date]])+1</f>
        <v>45839</v>
      </c>
      <c r="E99" s="9">
        <f t="shared" si="5"/>
        <v>31</v>
      </c>
      <c r="F99" s="199">
        <f>IFERROR(_xlfn.XLOOKUP($A99,Input_Raw!$A:$A,Input_Raw!$FC:$FC),"")</f>
        <v>12.366666666666667</v>
      </c>
      <c r="G99" s="185">
        <f>IFERROR(_xlfn.XLOOKUP($A99,Input_Raw!$A:$A,Input_Raw!$CY:$CY),"")</f>
        <v>2.9781919333333313</v>
      </c>
      <c r="H99" s="185">
        <f>IFERROR(_xlfn.XLOOKUP($A99,Input_Raw!$A:$A,Input_Raw!$DA:$DA),"")</f>
        <v>0.5063380916666671</v>
      </c>
      <c r="I99" s="185">
        <f>IFERROR(_xlfn.XLOOKUP($A99,Input_Raw!$A:$A,Input_Raw!$CX:$CX),"")</f>
        <v>3.3849986916666701</v>
      </c>
      <c r="J99" s="185">
        <f>IFERROR(_xlfn.XLOOKUP($A99,Input_Raw!$A:$A,Input_Raw!$CZ:$CZ),"")</f>
        <v>0.41029169166666679</v>
      </c>
      <c r="K99" s="201">
        <f>IFERROR(_xlfn.XLOOKUP($A99,Input_Raw!$A:$A,Input_Raw!$DB:$DB),"")</f>
        <v>27.022203315881331</v>
      </c>
      <c r="L99" s="201">
        <f>IFERROR(_xlfn.XLOOKUP($A99,Input_Raw!$A:$A,Input_Raw!$DC:$DC),"")</f>
        <v>36.257983856893546</v>
      </c>
      <c r="M99" s="200">
        <f>IFERROR(_xlfn.XLOOKUP($A99,Input_Raw!$A:$A,Input_Raw!$DF:$DF),"")</f>
        <v>1.2928298429319356</v>
      </c>
      <c r="N99" s="200">
        <f>IFERROR(_xlfn.XLOOKUP($A99,Input_Raw!$A:$A,Input_Raw!$DG:$DG),"")</f>
        <v>3.2309999999999999</v>
      </c>
      <c r="O99" s="230">
        <f>IFERROR(1-(SUMIF(Plant_BD!$B:$B,$A99,Plant_BD!$AL:$AL)/($AA99+SUMIF(Plant_BD!$B:$B,$A99,Plant_BD!$AL:$AL))),"")</f>
        <v>0.99562614513733205</v>
      </c>
      <c r="P99" s="230"/>
      <c r="Q99" s="231">
        <f>IFERROR(1-(SUMIF(Grid_BD!$B:$B,$A99,Grid_BD!$V:$V)/($AA99+SUMIF(Grid_BD!$B:$B,$A99,Grid_BD!$V:$V))),"")</f>
        <v>1</v>
      </c>
      <c r="R99" s="230">
        <f>IFERROR(1-(SUMIF(Grid_BD!$B:$B,$A99,Grid_BD!$V:$V)/($AA99+SUMIF(Grid_BD!$B:$B,$A99,Grid_BD!$V:$V))),"")</f>
        <v>1</v>
      </c>
      <c r="S99" s="9"/>
      <c r="T99" s="231"/>
      <c r="U99" s="232">
        <f t="shared" si="6"/>
        <v>0.83035284248889074</v>
      </c>
      <c r="V99" s="232" t="str">
        <f>IFERROR(_xlfn.XLOOKUP($A99,Input_Raw!$A:$A,Input_Raw!$FG:$FG),"")</f>
        <v/>
      </c>
      <c r="W99" s="233">
        <f t="shared" si="7"/>
        <v>0.11538461538461539</v>
      </c>
      <c r="X99" s="29">
        <f>IFERROR(_xlfn.XLOOKUP($A99,Input_Raw!$A:$A,Input_Raw!$DP:$DP),"")</f>
        <v>366784.30000000005</v>
      </c>
      <c r="Y99" s="29">
        <f>IFERROR(_xlfn.XLOOKUP($A99,Input_Raw!$A:$A,Input_Raw!EW:EW),"")</f>
        <v>363600</v>
      </c>
      <c r="Z99" s="29">
        <f>IFERROR(_xlfn.XLOOKUP($A99,Input_Raw!$A:$A,Input_Raw!EX:EX),"")</f>
        <v>3600</v>
      </c>
      <c r="AA99" s="29">
        <f>IFERROR(_xlfn.XLOOKUP($A99,Input_Raw!$A:$A,Input_Raw!FA:FA),"")</f>
        <v>360000</v>
      </c>
      <c r="AB99" s="9">
        <f>IFERROR(_xlfn.XLOOKUP($A99,Input_Raw!$A:$A,Input_Raw!FD:FD),"")</f>
        <v>128.08000000000001</v>
      </c>
      <c r="AC99" s="185">
        <f>IFERROR(_xlfn.XLOOKUP($D99,'Modelling New'!$D:$D,'Modelling New'!P:P),"")</f>
        <v>3.7967741935483872</v>
      </c>
      <c r="AD99" s="29">
        <f>IFERROR(_xlfn.XLOOKUP($D99,'Modelling New'!$D:$D,'Modelling New'!T:T)*1000,"")</f>
        <v>421061.81874810642</v>
      </c>
      <c r="AE99" s="233">
        <f>IFERROR(_xlfn.XLOOKUP($D99,'Modelling New'!$D:$D,'Modelling New'!O:O),"")</f>
        <v>0.85307603301688106</v>
      </c>
      <c r="AF99" s="233">
        <f>IFERROR(_xlfn.XLOOKUP($D99,'Modelling New'!$D:$D,'Modelling New'!W:W),"")</f>
        <v>0.13495571113721361</v>
      </c>
      <c r="AG99" s="233">
        <f>IFERROR(_xlfn.XLOOKUP($D99,'Modelling New'!$D:$D,'Modelling New'!AE:AE),"")</f>
        <v>0.995</v>
      </c>
      <c r="AH99" s="234">
        <f>IFERROR(_xlfn.XLOOKUP($D99,'Modelling New'!$D:$D,'Modelling New'!AF:AF),"")</f>
        <v>0.995</v>
      </c>
      <c r="AI99" s="9"/>
      <c r="AJ99" s="9"/>
      <c r="AK99" s="258"/>
      <c r="AL99" s="258"/>
      <c r="AM99" s="258"/>
      <c r="AN99" s="235"/>
      <c r="AO99" s="233"/>
      <c r="AP99" s="233"/>
      <c r="AQ99" s="233"/>
      <c r="AR99" s="236">
        <f>_xlfn.XLOOKUP(D99,'Modelling New'!$D:$D,'Modelling New'!$N:$N)</f>
        <v>130</v>
      </c>
      <c r="AS99" s="236">
        <f t="shared" si="8"/>
        <v>414843.05957890366</v>
      </c>
    </row>
    <row r="100" spans="1:45">
      <c r="A100" s="18">
        <f t="shared" si="9"/>
        <v>45843</v>
      </c>
      <c r="B100" s="29">
        <f>YEAR(Table13[[#This Row],[Date]])+IF(MONTH(Table13[[#This Row],[Date]])&gt;=4,1,0)</f>
        <v>2026</v>
      </c>
      <c r="C100" s="9">
        <f>YEAR(Table13[[#This Row],[Date]])</f>
        <v>2025</v>
      </c>
      <c r="D100" s="229">
        <f>Table13[[#This Row],[Date]]-DAY(Table13[[#This Row],[Date]])+1</f>
        <v>45839</v>
      </c>
      <c r="E100" s="9">
        <f t="shared" si="5"/>
        <v>31</v>
      </c>
      <c r="F100" s="199">
        <f>IFERROR(_xlfn.XLOOKUP($A100,Input_Raw!$A:$A,Input_Raw!$FC:$FC),"")</f>
        <v>12.450000000000001</v>
      </c>
      <c r="G100" s="200">
        <f>IFERROR(_xlfn.XLOOKUP($A100,Input_Raw!$A:$A,Input_Raw!$CY:$CY),"")</f>
        <v>2.7210574749999985</v>
      </c>
      <c r="H100" s="200">
        <f>IFERROR(_xlfn.XLOOKUP($A100,Input_Raw!$A:$A,Input_Raw!$DA:$DA),"")</f>
        <v>0.45756855833333349</v>
      </c>
      <c r="I100" s="200">
        <f>IFERROR(_xlfn.XLOOKUP($A100,Input_Raw!$A:$A,Input_Raw!$CX:$CX),"")</f>
        <v>3.0825917833333332</v>
      </c>
      <c r="J100" s="200">
        <f>IFERROR(_xlfn.XLOOKUP($A100,Input_Raw!$A:$A,Input_Raw!$CZ:$CZ),"")</f>
        <v>0.37990769166666627</v>
      </c>
      <c r="K100" s="201">
        <f>IFERROR(_xlfn.XLOOKUP($A100,Input_Raw!$A:$A,Input_Raw!$DB:$DB),"")</f>
        <v>26.4171909167368</v>
      </c>
      <c r="L100" s="201">
        <f>IFERROR(_xlfn.XLOOKUP($A100,Input_Raw!$A:$A,Input_Raw!$DC:$DC),"")</f>
        <v>34.854059714045398</v>
      </c>
      <c r="M100" s="200">
        <f>IFERROR(_xlfn.XLOOKUP($A100,Input_Raw!$A:$A,Input_Raw!$DF:$DF),"")</f>
        <v>0.98163204373423008</v>
      </c>
      <c r="N100" s="200">
        <f>IFERROR(_xlfn.XLOOKUP($A100,Input_Raw!$A:$A,Input_Raw!$DG:$DG),"")</f>
        <v>4.3305000000000007</v>
      </c>
      <c r="O100" s="230">
        <f>IFERROR(1-(SUMIF(Plant_BD!$B:$B,$A100,Plant_BD!$AL:$AL)/($AA100+SUMIF(Plant_BD!$B:$B,$A100,Plant_BD!$AL:$AL))),"")</f>
        <v>0.97357920037752665</v>
      </c>
      <c r="P100" s="230"/>
      <c r="Q100" s="231">
        <f>IFERROR(1-(SUMIF(Grid_BD!$B:$B,$A100,Grid_BD!$V:$V)/($AA100+SUMIF(Grid_BD!$B:$B,$A100,Grid_BD!$V:$V))),"")</f>
        <v>1</v>
      </c>
      <c r="R100" s="230">
        <f>IFERROR(1-(SUMIF(Grid_BD!$B:$B,$A100,Grid_BD!$V:$V)/($AA100+SUMIF(Grid_BD!$B:$B,$A100,Grid_BD!$V:$V))),"")</f>
        <v>1</v>
      </c>
      <c r="S100" s="9"/>
      <c r="T100" s="231"/>
      <c r="U100" s="232">
        <f t="shared" si="6"/>
        <v>0.78142263554050218</v>
      </c>
      <c r="V100" s="232" t="str">
        <f>IFERROR(_xlfn.XLOOKUP($A100,Input_Raw!$A:$A,Input_Raw!$FG:$FG),"")</f>
        <v/>
      </c>
      <c r="W100" s="233">
        <f t="shared" si="7"/>
        <v>9.8884615384619373E-2</v>
      </c>
      <c r="X100" s="29">
        <f>IFERROR(_xlfn.XLOOKUP($A100,Input_Raw!$A:$A,Input_Raw!$DP:$DP),"")</f>
        <v>315070.39999999997</v>
      </c>
      <c r="Y100" s="29">
        <f>IFERROR(_xlfn.XLOOKUP($A100,Input_Raw!$A:$A,Input_Raw!EW:EW),"")</f>
        <v>311976.00000001257</v>
      </c>
      <c r="Z100" s="29">
        <f>IFERROR(_xlfn.XLOOKUP($A100,Input_Raw!$A:$A,Input_Raw!EX:EX),"")</f>
        <v>3456.000000000131</v>
      </c>
      <c r="AA100" s="29">
        <f>IFERROR(_xlfn.XLOOKUP($A100,Input_Raw!$A:$A,Input_Raw!FA:FA),"")</f>
        <v>308520.00000001246</v>
      </c>
      <c r="AB100" s="9">
        <f>IFERROR(_xlfn.XLOOKUP($A100,Input_Raw!$A:$A,Input_Raw!FD:FD),"")</f>
        <v>128.08000000000001</v>
      </c>
      <c r="AC100" s="185">
        <f>IFERROR(_xlfn.XLOOKUP($D100,'Modelling New'!$D:$D,'Modelling New'!P:P),"")</f>
        <v>3.7967741935483872</v>
      </c>
      <c r="AD100" s="29">
        <f>IFERROR(_xlfn.XLOOKUP($D100,'Modelling New'!$D:$D,'Modelling New'!T:T)*1000,"")</f>
        <v>421061.81874810642</v>
      </c>
      <c r="AE100" s="233">
        <f>IFERROR(_xlfn.XLOOKUP($D100,'Modelling New'!$D:$D,'Modelling New'!O:O),"")</f>
        <v>0.85307603301688106</v>
      </c>
      <c r="AF100" s="233">
        <f>IFERROR(_xlfn.XLOOKUP($D100,'Modelling New'!$D:$D,'Modelling New'!W:W),"")</f>
        <v>0.13495571113721361</v>
      </c>
      <c r="AG100" s="233">
        <f>IFERROR(_xlfn.XLOOKUP($D100,'Modelling New'!$D:$D,'Modelling New'!AE:AE),"")</f>
        <v>0.995</v>
      </c>
      <c r="AH100" s="234">
        <f>IFERROR(_xlfn.XLOOKUP($D100,'Modelling New'!$D:$D,'Modelling New'!AF:AF),"")</f>
        <v>0.995</v>
      </c>
      <c r="AI100" s="9"/>
      <c r="AJ100" s="9"/>
      <c r="AK100" s="258"/>
      <c r="AL100" s="258"/>
      <c r="AM100" s="258"/>
      <c r="AN100" s="235"/>
      <c r="AO100" s="233"/>
      <c r="AP100" s="233"/>
      <c r="AQ100" s="233"/>
      <c r="AR100" s="236">
        <f>_xlfn.XLOOKUP(D100,'Modelling New'!$D:$D,'Modelling New'!$N:$N)</f>
        <v>130</v>
      </c>
      <c r="AS100" s="236">
        <f t="shared" si="8"/>
        <v>414843.05957890366</v>
      </c>
    </row>
    <row r="101" spans="1:45">
      <c r="A101" s="18">
        <f t="shared" si="9"/>
        <v>45844</v>
      </c>
      <c r="B101" s="29">
        <f>YEAR(Table13[[#This Row],[Date]])+IF(MONTH(Table13[[#This Row],[Date]])&gt;=4,1,0)</f>
        <v>2026</v>
      </c>
      <c r="C101" s="9">
        <f>YEAR(Table13[[#This Row],[Date]])</f>
        <v>2025</v>
      </c>
      <c r="D101" s="229">
        <f>Table13[[#This Row],[Date]]-DAY(Table13[[#This Row],[Date]])+1</f>
        <v>45839</v>
      </c>
      <c r="E101" s="9">
        <f t="shared" si="5"/>
        <v>31</v>
      </c>
      <c r="F101" s="199">
        <f>IFERROR(_xlfn.XLOOKUP($A101,Input_Raw!$A:$A,Input_Raw!$FC:$FC),"")</f>
        <v>12.616666666666667</v>
      </c>
      <c r="G101" s="185">
        <f>IFERROR(_xlfn.XLOOKUP($A101,Input_Raw!$A:$A,Input_Raw!$CY:$CY),"")</f>
        <v>2.5538611499999972</v>
      </c>
      <c r="H101" s="185">
        <f>IFERROR(_xlfn.XLOOKUP($A101,Input_Raw!$A:$A,Input_Raw!$DA:$DA),"")</f>
        <v>0.41116478333333384</v>
      </c>
      <c r="I101" s="185">
        <f>IFERROR(_xlfn.XLOOKUP($A101,Input_Raw!$A:$A,Input_Raw!$CX:$CX),"")</f>
        <v>2.8791523249999988</v>
      </c>
      <c r="J101" s="185">
        <f>IFERROR(_xlfn.XLOOKUP($A101,Input_Raw!$A:$A,Input_Raw!$CZ:$CZ),"")</f>
        <v>0.36956713333333302</v>
      </c>
      <c r="K101" s="201">
        <f>IFERROR(_xlfn.XLOOKUP($A101,Input_Raw!$A:$A,Input_Raw!$DB:$DB),"")</f>
        <v>25.924474348191694</v>
      </c>
      <c r="L101" s="201">
        <f>IFERROR(_xlfn.XLOOKUP($A101,Input_Raw!$A:$A,Input_Raw!$DC:$DC),"")</f>
        <v>33.726339781328825</v>
      </c>
      <c r="M101" s="200">
        <f>IFERROR(_xlfn.XLOOKUP($A101,Input_Raw!$A:$A,Input_Raw!$DF:$DF),"")</f>
        <v>1.2283259041211099</v>
      </c>
      <c r="N101" s="200">
        <f>IFERROR(_xlfn.XLOOKUP($A101,Input_Raw!$A:$A,Input_Raw!$DG:$DG),"")</f>
        <v>3.609</v>
      </c>
      <c r="O101" s="230">
        <f>IFERROR(1-(SUMIF(Plant_BD!$B:$B,$A101,Plant_BD!$AL:$AL)/($AA101+SUMIF(Plant_BD!$B:$B,$A101,Plant_BD!$AL:$AL))),"")</f>
        <v>0.95505414291871316</v>
      </c>
      <c r="P101" s="230"/>
      <c r="Q101" s="231">
        <f>IFERROR(1-(SUMIF(Grid_BD!$B:$B,$A101,Grid_BD!$V:$V)/($AA101+SUMIF(Grid_BD!$B:$B,$A101,Grid_BD!$V:$V))),"")</f>
        <v>1</v>
      </c>
      <c r="R101" s="230">
        <f>IFERROR(1-(SUMIF(Grid_BD!$B:$B,$A101,Grid_BD!$V:$V)/($AA101+SUMIF(Grid_BD!$B:$B,$A101,Grid_BD!$V:$V))),"")</f>
        <v>1</v>
      </c>
      <c r="S101" s="9"/>
      <c r="T101" s="231"/>
      <c r="U101" s="232">
        <f t="shared" si="6"/>
        <v>0.79544024437187577</v>
      </c>
      <c r="V101" s="232" t="str">
        <f>IFERROR(_xlfn.XLOOKUP($A101,Input_Raw!$A:$A,Input_Raw!$FG:$FG),"")</f>
        <v/>
      </c>
      <c r="W101" s="233">
        <f t="shared" si="7"/>
        <v>9.4015384615383266E-2</v>
      </c>
      <c r="X101" s="29">
        <f>IFERROR(_xlfn.XLOOKUP($A101,Input_Raw!$A:$A,Input_Raw!$DP:$DP),"")</f>
        <v>299305.3</v>
      </c>
      <c r="Y101" s="29">
        <f>IFERROR(_xlfn.XLOOKUP($A101,Input_Raw!$A:$A,Input_Raw!EW:EW),"")</f>
        <v>296927.99999999581</v>
      </c>
      <c r="Z101" s="29">
        <f>IFERROR(_xlfn.XLOOKUP($A101,Input_Raw!$A:$A,Input_Raw!EX:EX),"")</f>
        <v>3600</v>
      </c>
      <c r="AA101" s="29">
        <f>IFERROR(_xlfn.XLOOKUP($A101,Input_Raw!$A:$A,Input_Raw!FA:FA),"")</f>
        <v>293327.99999999581</v>
      </c>
      <c r="AB101" s="9">
        <f>IFERROR(_xlfn.XLOOKUP($A101,Input_Raw!$A:$A,Input_Raw!FD:FD),"")</f>
        <v>128.08000000000001</v>
      </c>
      <c r="AC101" s="185">
        <f>IFERROR(_xlfn.XLOOKUP($D101,'Modelling New'!$D:$D,'Modelling New'!P:P),"")</f>
        <v>3.7967741935483872</v>
      </c>
      <c r="AD101" s="29">
        <f>IFERROR(_xlfn.XLOOKUP($D101,'Modelling New'!$D:$D,'Modelling New'!T:T)*1000,"")</f>
        <v>421061.81874810642</v>
      </c>
      <c r="AE101" s="233">
        <f>IFERROR(_xlfn.XLOOKUP($D101,'Modelling New'!$D:$D,'Modelling New'!O:O),"")</f>
        <v>0.85307603301688106</v>
      </c>
      <c r="AF101" s="233">
        <f>IFERROR(_xlfn.XLOOKUP($D101,'Modelling New'!$D:$D,'Modelling New'!W:W),"")</f>
        <v>0.13495571113721361</v>
      </c>
      <c r="AG101" s="233">
        <f>IFERROR(_xlfn.XLOOKUP($D101,'Modelling New'!$D:$D,'Modelling New'!AE:AE),"")</f>
        <v>0.995</v>
      </c>
      <c r="AH101" s="234">
        <f>IFERROR(_xlfn.XLOOKUP($D101,'Modelling New'!$D:$D,'Modelling New'!AF:AF),"")</f>
        <v>0.995</v>
      </c>
      <c r="AI101" s="9"/>
      <c r="AJ101" s="9"/>
      <c r="AK101" s="258"/>
      <c r="AL101" s="258"/>
      <c r="AM101" s="258"/>
      <c r="AN101" s="235"/>
      <c r="AO101" s="233"/>
      <c r="AP101" s="233"/>
      <c r="AQ101" s="233"/>
      <c r="AR101" s="236">
        <f>_xlfn.XLOOKUP(D101,'Modelling New'!$D:$D,'Modelling New'!$N:$N)</f>
        <v>130</v>
      </c>
      <c r="AS101" s="236">
        <f t="shared" si="8"/>
        <v>414843.05957890366</v>
      </c>
    </row>
    <row r="102" spans="1:45">
      <c r="A102" s="18">
        <f t="shared" si="9"/>
        <v>45845</v>
      </c>
      <c r="B102" s="29">
        <f>YEAR(Table13[[#This Row],[Date]])+IF(MONTH(Table13[[#This Row],[Date]])&gt;=4,1,0)</f>
        <v>2026</v>
      </c>
      <c r="C102" s="9">
        <f>YEAR(Table13[[#This Row],[Date]])</f>
        <v>2025</v>
      </c>
      <c r="D102" s="229">
        <f>Table13[[#This Row],[Date]]-DAY(Table13[[#This Row],[Date]])+1</f>
        <v>45839</v>
      </c>
      <c r="E102" s="9">
        <f t="shared" si="5"/>
        <v>31</v>
      </c>
      <c r="F102" s="199">
        <f>IFERROR(_xlfn.XLOOKUP($A102,Input_Raw!$A:$A,Input_Raw!$FC:$FC),"")</f>
        <v>12.133333333333333</v>
      </c>
      <c r="G102" s="200">
        <f>IFERROR(_xlfn.XLOOKUP($A102,Input_Raw!$A:$A,Input_Raw!$CY:$CY),"")</f>
        <v>1.564564541666668</v>
      </c>
      <c r="H102" s="200">
        <f>IFERROR(_xlfn.XLOOKUP($A102,Input_Raw!$A:$A,Input_Raw!$DA:$DA),"")</f>
        <v>0.2490479583333334</v>
      </c>
      <c r="I102" s="200">
        <f>IFERROR(_xlfn.XLOOKUP($A102,Input_Raw!$A:$A,Input_Raw!$CX:$CX),"")</f>
        <v>1.7786749416666672</v>
      </c>
      <c r="J102" s="200">
        <f>IFERROR(_xlfn.XLOOKUP($A102,Input_Raw!$A:$A,Input_Raw!$CZ:$CZ),"")</f>
        <v>0.21729651666666655</v>
      </c>
      <c r="K102" s="201">
        <f>IFERROR(_xlfn.XLOOKUP($A102,Input_Raw!$A:$A,Input_Raw!$DB:$DB),"")</f>
        <v>25.094625531914829</v>
      </c>
      <c r="L102" s="201">
        <f>IFERROR(_xlfn.XLOOKUP($A102,Input_Raw!$A:$A,Input_Raw!$DC:$DC),"")</f>
        <v>31.198186808510648</v>
      </c>
      <c r="M102" s="200">
        <f>IFERROR(_xlfn.XLOOKUP($A102,Input_Raw!$A:$A,Input_Raw!$DF:$DF),"")</f>
        <v>1.2582434042553192</v>
      </c>
      <c r="N102" s="200">
        <f>IFERROR(_xlfn.XLOOKUP($A102,Input_Raw!$A:$A,Input_Raw!$DG:$DG),"")</f>
        <v>3.2069999999999999</v>
      </c>
      <c r="O102" s="230">
        <f>IFERROR(1-(SUMIF(Plant_BD!$B:$B,$A102,Plant_BD!$AL:$AL)/($AA102+SUMIF(Plant_BD!$B:$B,$A102,Plant_BD!$AL:$AL))),"")</f>
        <v>0.99871431158525681</v>
      </c>
      <c r="P102" s="230"/>
      <c r="Q102" s="231">
        <f>IFERROR(1-(SUMIF(Grid_BD!$B:$B,$A102,Grid_BD!$V:$V)/($AA102+SUMIF(Grid_BD!$B:$B,$A102,Grid_BD!$V:$V))),"")</f>
        <v>1</v>
      </c>
      <c r="R102" s="230">
        <f>IFERROR(1-(SUMIF(Grid_BD!$B:$B,$A102,Grid_BD!$V:$V)/($AA102+SUMIF(Grid_BD!$B:$B,$A102,Grid_BD!$V:$V))),"")</f>
        <v>1</v>
      </c>
      <c r="S102" s="9"/>
      <c r="T102" s="231"/>
      <c r="U102" s="232">
        <f t="shared" si="6"/>
        <v>0.85175238902061234</v>
      </c>
      <c r="V102" s="232" t="str">
        <f>IFERROR(_xlfn.XLOOKUP($A102,Input_Raw!$A:$A,Input_Raw!$FG:$FG),"")</f>
        <v/>
      </c>
      <c r="W102" s="233">
        <f t="shared" si="7"/>
        <v>6.2192307692306333E-2</v>
      </c>
      <c r="X102" s="29">
        <f>IFERROR(_xlfn.XLOOKUP($A102,Input_Raw!$A:$A,Input_Raw!$DP:$DP),"")</f>
        <v>197441.90000000002</v>
      </c>
      <c r="Y102" s="29">
        <f>IFERROR(_xlfn.XLOOKUP($A102,Input_Raw!$A:$A,Input_Raw!EW:EW),"")</f>
        <v>197567.99999999581</v>
      </c>
      <c r="Z102" s="29">
        <f>IFERROR(_xlfn.XLOOKUP($A102,Input_Raw!$A:$A,Input_Raw!EX:EX),"")</f>
        <v>3528.0000000000655</v>
      </c>
      <c r="AA102" s="29">
        <f>IFERROR(_xlfn.XLOOKUP($A102,Input_Raw!$A:$A,Input_Raw!FA:FA),"")</f>
        <v>194039.99999999575</v>
      </c>
      <c r="AB102" s="9">
        <f>IFERROR(_xlfn.XLOOKUP($A102,Input_Raw!$A:$A,Input_Raw!FD:FD),"")</f>
        <v>128.08000000000001</v>
      </c>
      <c r="AC102" s="185">
        <f>IFERROR(_xlfn.XLOOKUP($D102,'Modelling New'!$D:$D,'Modelling New'!P:P),"")</f>
        <v>3.7967741935483872</v>
      </c>
      <c r="AD102" s="29">
        <f>IFERROR(_xlfn.XLOOKUP($D102,'Modelling New'!$D:$D,'Modelling New'!T:T)*1000,"")</f>
        <v>421061.81874810642</v>
      </c>
      <c r="AE102" s="233">
        <f>IFERROR(_xlfn.XLOOKUP($D102,'Modelling New'!$D:$D,'Modelling New'!O:O),"")</f>
        <v>0.85307603301688106</v>
      </c>
      <c r="AF102" s="233">
        <f>IFERROR(_xlfn.XLOOKUP($D102,'Modelling New'!$D:$D,'Modelling New'!W:W),"")</f>
        <v>0.13495571113721361</v>
      </c>
      <c r="AG102" s="233">
        <f>IFERROR(_xlfn.XLOOKUP($D102,'Modelling New'!$D:$D,'Modelling New'!AE:AE),"")</f>
        <v>0.995</v>
      </c>
      <c r="AH102" s="234">
        <f>IFERROR(_xlfn.XLOOKUP($D102,'Modelling New'!$D:$D,'Modelling New'!AF:AF),"")</f>
        <v>0.995</v>
      </c>
      <c r="AI102" s="9"/>
      <c r="AJ102" s="9"/>
      <c r="AK102" s="258"/>
      <c r="AL102" s="258"/>
      <c r="AM102" s="258"/>
      <c r="AN102" s="235"/>
      <c r="AO102" s="233"/>
      <c r="AP102" s="233"/>
      <c r="AQ102" s="233"/>
      <c r="AR102" s="236">
        <f>_xlfn.XLOOKUP(D102,'Modelling New'!$D:$D,'Modelling New'!$N:$N)</f>
        <v>130</v>
      </c>
      <c r="AS102" s="236">
        <f t="shared" si="8"/>
        <v>414843.05957890366</v>
      </c>
    </row>
    <row r="103" spans="1:45">
      <c r="A103" s="18">
        <f t="shared" si="9"/>
        <v>45846</v>
      </c>
      <c r="B103" s="29">
        <f>YEAR(Table13[[#This Row],[Date]])+IF(MONTH(Table13[[#This Row],[Date]])&gt;=4,1,0)</f>
        <v>2026</v>
      </c>
      <c r="C103" s="9">
        <f>YEAR(Table13[[#This Row],[Date]])</f>
        <v>2025</v>
      </c>
      <c r="D103" s="229">
        <f>Table13[[#This Row],[Date]]-DAY(Table13[[#This Row],[Date]])+1</f>
        <v>45839</v>
      </c>
      <c r="E103" s="9">
        <f t="shared" si="5"/>
        <v>31</v>
      </c>
      <c r="F103" s="199">
        <f>IFERROR(_xlfn.XLOOKUP($A103,Input_Raw!$A:$A,Input_Raw!$FC:$FC),"")</f>
        <v>12.050000000000002</v>
      </c>
      <c r="G103" s="185">
        <f>IFERROR(_xlfn.XLOOKUP($A103,Input_Raw!$A:$A,Input_Raw!$CY:$CY),"")</f>
        <v>1.6903568333333348</v>
      </c>
      <c r="H103" s="185">
        <f>IFERROR(_xlfn.XLOOKUP($A103,Input_Raw!$A:$A,Input_Raw!$DA:$DA),"")</f>
        <v>0.25764008333333338</v>
      </c>
      <c r="I103" s="185">
        <f>IFERROR(_xlfn.XLOOKUP($A103,Input_Raw!$A:$A,Input_Raw!$CX:$CX),"")</f>
        <v>1.932517016666665</v>
      </c>
      <c r="J103" s="185">
        <f>IFERROR(_xlfn.XLOOKUP($A103,Input_Raw!$A:$A,Input_Raw!$CZ:$CZ),"")</f>
        <v>0.2330984916666666</v>
      </c>
      <c r="K103" s="201">
        <f>IFERROR(_xlfn.XLOOKUP($A103,Input_Raw!$A:$A,Input_Raw!$DB:$DB),"")</f>
        <v>25.159582828920627</v>
      </c>
      <c r="L103" s="201">
        <f>IFERROR(_xlfn.XLOOKUP($A103,Input_Raw!$A:$A,Input_Raw!$DC:$DC),"")</f>
        <v>31.224780847030146</v>
      </c>
      <c r="M103" s="200">
        <f>IFERROR(_xlfn.XLOOKUP($A103,Input_Raw!$A:$A,Input_Raw!$DF:$DF),"")</f>
        <v>0.93158284660426804</v>
      </c>
      <c r="N103" s="200">
        <f>IFERROR(_xlfn.XLOOKUP($A103,Input_Raw!$A:$A,Input_Raw!$DG:$DG),"")</f>
        <v>1.98</v>
      </c>
      <c r="O103" s="230">
        <f>IFERROR(1-(SUMIF(Plant_BD!$B:$B,$A103,Plant_BD!$AL:$AL)/($AA103+SUMIF(Plant_BD!$B:$B,$A103,Plant_BD!$AL:$AL))),"")</f>
        <v>0.99783931425532457</v>
      </c>
      <c r="P103" s="230"/>
      <c r="Q103" s="231">
        <f>IFERROR(1-(SUMIF(Grid_BD!$B:$B,$A103,Grid_BD!$V:$V)/($AA103+SUMIF(Grid_BD!$B:$B,$A103,Grid_BD!$V:$V))),"")</f>
        <v>1</v>
      </c>
      <c r="R103" s="230">
        <f>IFERROR(1-(SUMIF(Grid_BD!$B:$B,$A103,Grid_BD!$V:$V)/($AA103+SUMIF(Grid_BD!$B:$B,$A103,Grid_BD!$V:$V))),"")</f>
        <v>1</v>
      </c>
      <c r="S103" s="9"/>
      <c r="T103" s="231"/>
      <c r="U103" s="232">
        <f t="shared" si="6"/>
        <v>0.89710281643668943</v>
      </c>
      <c r="V103" s="232" t="str">
        <f>IFERROR(_xlfn.XLOOKUP($A103,Input_Raw!$A:$A,Input_Raw!$FG:$FG),"")</f>
        <v/>
      </c>
      <c r="W103" s="233">
        <f t="shared" si="7"/>
        <v>7.116923076923215E-2</v>
      </c>
      <c r="X103" s="29">
        <f>IFERROR(_xlfn.XLOOKUP($A103,Input_Raw!$A:$A,Input_Raw!$DP:$DP),"")</f>
        <v>226127</v>
      </c>
      <c r="Y103" s="29">
        <f>IFERROR(_xlfn.XLOOKUP($A103,Input_Raw!$A:$A,Input_Raw!EW:EW),"")</f>
        <v>225792.00000000419</v>
      </c>
      <c r="Z103" s="29">
        <f>IFERROR(_xlfn.XLOOKUP($A103,Input_Raw!$A:$A,Input_Raw!EX:EX),"")</f>
        <v>3743.999999999869</v>
      </c>
      <c r="AA103" s="29">
        <f>IFERROR(_xlfn.XLOOKUP($A103,Input_Raw!$A:$A,Input_Raw!FA:FA),"")</f>
        <v>222048.00000000431</v>
      </c>
      <c r="AB103" s="9">
        <f>IFERROR(_xlfn.XLOOKUP($A103,Input_Raw!$A:$A,Input_Raw!FD:FD),"")</f>
        <v>128.08000000000001</v>
      </c>
      <c r="AC103" s="185">
        <f>IFERROR(_xlfn.XLOOKUP($D103,'Modelling New'!$D:$D,'Modelling New'!P:P),"")</f>
        <v>3.7967741935483872</v>
      </c>
      <c r="AD103" s="29">
        <f>IFERROR(_xlfn.XLOOKUP($D103,'Modelling New'!$D:$D,'Modelling New'!T:T)*1000,"")</f>
        <v>421061.81874810642</v>
      </c>
      <c r="AE103" s="233">
        <f>IFERROR(_xlfn.XLOOKUP($D103,'Modelling New'!$D:$D,'Modelling New'!O:O),"")</f>
        <v>0.85307603301688106</v>
      </c>
      <c r="AF103" s="233">
        <f>IFERROR(_xlfn.XLOOKUP($D103,'Modelling New'!$D:$D,'Modelling New'!W:W),"")</f>
        <v>0.13495571113721361</v>
      </c>
      <c r="AG103" s="233">
        <f>IFERROR(_xlfn.XLOOKUP($D103,'Modelling New'!$D:$D,'Modelling New'!AE:AE),"")</f>
        <v>0.995</v>
      </c>
      <c r="AH103" s="234">
        <f>IFERROR(_xlfn.XLOOKUP($D103,'Modelling New'!$D:$D,'Modelling New'!AF:AF),"")</f>
        <v>0.995</v>
      </c>
      <c r="AI103" s="9"/>
      <c r="AJ103" s="9"/>
      <c r="AK103" s="258"/>
      <c r="AL103" s="258"/>
      <c r="AM103" s="258"/>
      <c r="AN103" s="235"/>
      <c r="AO103" s="233"/>
      <c r="AP103" s="233"/>
      <c r="AQ103" s="233"/>
      <c r="AR103" s="236">
        <f>_xlfn.XLOOKUP(D103,'Modelling New'!$D:$D,'Modelling New'!$N:$N)</f>
        <v>130</v>
      </c>
      <c r="AS103" s="236">
        <f t="shared" si="8"/>
        <v>414843.05957890366</v>
      </c>
    </row>
    <row r="104" spans="1:45">
      <c r="A104" s="18">
        <f t="shared" si="9"/>
        <v>45847</v>
      </c>
      <c r="B104" s="29">
        <f>YEAR(Table13[[#This Row],[Date]])+IF(MONTH(Table13[[#This Row],[Date]])&gt;=4,1,0)</f>
        <v>2026</v>
      </c>
      <c r="C104" s="9">
        <f>YEAR(Table13[[#This Row],[Date]])</f>
        <v>2025</v>
      </c>
      <c r="D104" s="229">
        <f>Table13[[#This Row],[Date]]-DAY(Table13[[#This Row],[Date]])+1</f>
        <v>45839</v>
      </c>
      <c r="E104" s="9">
        <f t="shared" ref="E104:E167" si="10">DAY(EOMONTH(A104,0))</f>
        <v>31</v>
      </c>
      <c r="F104" s="199">
        <f>IFERROR(_xlfn.XLOOKUP($A104,Input_Raw!$A:$A,Input_Raw!$FC:$FC),"")</f>
        <v>11.75</v>
      </c>
      <c r="G104" s="200">
        <f>IFERROR(_xlfn.XLOOKUP($A104,Input_Raw!$A:$A,Input_Raw!$CY:$CY),"")</f>
        <v>1.8881984250000006</v>
      </c>
      <c r="H104" s="200">
        <f>IFERROR(_xlfn.XLOOKUP($A104,Input_Raw!$A:$A,Input_Raw!$DA:$DA),"")</f>
        <v>0.28549512499999974</v>
      </c>
      <c r="I104" s="200">
        <f>IFERROR(_xlfn.XLOOKUP($A104,Input_Raw!$A:$A,Input_Raw!$CX:$CX),"")</f>
        <v>2.1368318833333335</v>
      </c>
      <c r="J104" s="200">
        <f>IFERROR(_xlfn.XLOOKUP($A104,Input_Raw!$A:$A,Input_Raw!$CZ:$CZ),"")</f>
        <v>0.26785047500000003</v>
      </c>
      <c r="K104" s="201">
        <f>IFERROR(_xlfn.XLOOKUP($A104,Input_Raw!$A:$A,Input_Raw!$DB:$DB),"")</f>
        <v>25.170344076655034</v>
      </c>
      <c r="L104" s="201">
        <f>IFERROR(_xlfn.XLOOKUP($A104,Input_Raw!$A:$A,Input_Raw!$DC:$DC),"")</f>
        <v>31.423631533101037</v>
      </c>
      <c r="M104" s="200">
        <f>IFERROR(_xlfn.XLOOKUP($A104,Input_Raw!$A:$A,Input_Raw!$DF:$DF),"")</f>
        <v>0.91580749128919814</v>
      </c>
      <c r="N104" s="200">
        <f>IFERROR(_xlfn.XLOOKUP($A104,Input_Raw!$A:$A,Input_Raw!$DG:$DG),"")</f>
        <v>2.3369999999999997</v>
      </c>
      <c r="O104" s="230">
        <f>IFERROR(1-(SUMIF(Plant_BD!$B:$B,$A104,Plant_BD!$AL:$AL)/($AA104+SUMIF(Plant_BD!$B:$B,$A104,Plant_BD!$AL:$AL))),"")</f>
        <v>1</v>
      </c>
      <c r="P104" s="230"/>
      <c r="Q104" s="231">
        <f>IFERROR(1-(SUMIF(Grid_BD!$B:$B,$A104,Grid_BD!$V:$V)/($AA104+SUMIF(Grid_BD!$B:$B,$A104,Grid_BD!$V:$V))),"")</f>
        <v>1</v>
      </c>
      <c r="R104" s="230">
        <f>IFERROR(1-(SUMIF(Grid_BD!$B:$B,$A104,Grid_BD!$V:$V)/($AA104+SUMIF(Grid_BD!$B:$B,$A104,Grid_BD!$V:$V))),"")</f>
        <v>1</v>
      </c>
      <c r="S104" s="9"/>
      <c r="T104" s="231"/>
      <c r="U104" s="232">
        <f t="shared" ref="U104:U167" si="11">IFERROR(AA104/I104/AB104/1000,"")</f>
        <v>0.887880666923057</v>
      </c>
      <c r="V104" s="232" t="str">
        <f>IFERROR(_xlfn.XLOOKUP($A104,Input_Raw!$A:$A,Input_Raw!$FG:$FG),"")</f>
        <v/>
      </c>
      <c r="W104" s="233">
        <f t="shared" ref="W104:W167" si="12">IFERROR(AA104/(24*AR104*1000),"")</f>
        <v>7.7884615384615385E-2</v>
      </c>
      <c r="X104" s="29">
        <f>IFERROR(_xlfn.XLOOKUP($A104,Input_Raw!$A:$A,Input_Raw!$DP:$DP),"")</f>
        <v>247307.50000000003</v>
      </c>
      <c r="Y104" s="29">
        <f>IFERROR(_xlfn.XLOOKUP($A104,Input_Raw!$A:$A,Input_Raw!EW:EW),"")</f>
        <v>246600</v>
      </c>
      <c r="Z104" s="29">
        <f>IFERROR(_xlfn.XLOOKUP($A104,Input_Raw!$A:$A,Input_Raw!EX:EX),"")</f>
        <v>3600</v>
      </c>
      <c r="AA104" s="29">
        <f>IFERROR(_xlfn.XLOOKUP($A104,Input_Raw!$A:$A,Input_Raw!FA:FA),"")</f>
        <v>243000</v>
      </c>
      <c r="AB104" s="9">
        <f>IFERROR(_xlfn.XLOOKUP($A104,Input_Raw!$A:$A,Input_Raw!FD:FD),"")</f>
        <v>128.08000000000001</v>
      </c>
      <c r="AC104" s="185">
        <f>IFERROR(_xlfn.XLOOKUP($D104,'Modelling New'!$D:$D,'Modelling New'!P:P),"")</f>
        <v>3.7967741935483872</v>
      </c>
      <c r="AD104" s="29">
        <f>IFERROR(_xlfn.XLOOKUP($D104,'Modelling New'!$D:$D,'Modelling New'!T:T)*1000,"")</f>
        <v>421061.81874810642</v>
      </c>
      <c r="AE104" s="233">
        <f>IFERROR(_xlfn.XLOOKUP($D104,'Modelling New'!$D:$D,'Modelling New'!O:O),"")</f>
        <v>0.85307603301688106</v>
      </c>
      <c r="AF104" s="233">
        <f>IFERROR(_xlfn.XLOOKUP($D104,'Modelling New'!$D:$D,'Modelling New'!W:W),"")</f>
        <v>0.13495571113721361</v>
      </c>
      <c r="AG104" s="233">
        <f>IFERROR(_xlfn.XLOOKUP($D104,'Modelling New'!$D:$D,'Modelling New'!AE:AE),"")</f>
        <v>0.995</v>
      </c>
      <c r="AH104" s="234">
        <f>IFERROR(_xlfn.XLOOKUP($D104,'Modelling New'!$D:$D,'Modelling New'!AF:AF),"")</f>
        <v>0.995</v>
      </c>
      <c r="AI104" s="9"/>
      <c r="AJ104" s="9"/>
      <c r="AK104" s="258"/>
      <c r="AL104" s="258"/>
      <c r="AM104" s="258"/>
      <c r="AN104" s="235"/>
      <c r="AO104" s="233"/>
      <c r="AP104" s="233"/>
      <c r="AQ104" s="233"/>
      <c r="AR104" s="236">
        <f>_xlfn.XLOOKUP(D104,'Modelling New'!$D:$D,'Modelling New'!$N:$N)</f>
        <v>130</v>
      </c>
      <c r="AS104" s="236">
        <f t="shared" ref="AS104:AS167" si="13">IFERROR((AD104/AR104)*AB104,"")</f>
        <v>414843.05957890366</v>
      </c>
    </row>
    <row r="105" spans="1:45">
      <c r="A105" s="18">
        <f t="shared" si="9"/>
        <v>45848</v>
      </c>
      <c r="B105" s="29">
        <f>YEAR(Table13[[#This Row],[Date]])+IF(MONTH(Table13[[#This Row],[Date]])&gt;=4,1,0)</f>
        <v>2026</v>
      </c>
      <c r="C105" s="9">
        <f>YEAR(Table13[[#This Row],[Date]])</f>
        <v>2025</v>
      </c>
      <c r="D105" s="229">
        <f>Table13[[#This Row],[Date]]-DAY(Table13[[#This Row],[Date]])+1</f>
        <v>45839</v>
      </c>
      <c r="E105" s="9">
        <f t="shared" si="10"/>
        <v>31</v>
      </c>
      <c r="F105" s="199">
        <f>IFERROR(_xlfn.XLOOKUP($A105,Input_Raw!$A:$A,Input_Raw!$FC:$FC),"")</f>
        <v>11.833333333333334</v>
      </c>
      <c r="G105" s="185">
        <f>IFERROR(_xlfn.XLOOKUP($A105,Input_Raw!$A:$A,Input_Raw!$CY:$CY),"")</f>
        <v>2.2320600749999984</v>
      </c>
      <c r="H105" s="185">
        <f>IFERROR(_xlfn.XLOOKUP($A105,Input_Raw!$A:$A,Input_Raw!$DA:$DA),"")</f>
        <v>0.35532525000000043</v>
      </c>
      <c r="I105" s="185">
        <f>IFERROR(_xlfn.XLOOKUP($A105,Input_Raw!$A:$A,Input_Raw!$CX:$CX),"")</f>
        <v>2.5244967083333325</v>
      </c>
      <c r="J105" s="185">
        <f>IFERROR(_xlfn.XLOOKUP($A105,Input_Raw!$A:$A,Input_Raw!$CZ:$CZ),"")</f>
        <v>0.29586127499999998</v>
      </c>
      <c r="K105" s="201">
        <f>IFERROR(_xlfn.XLOOKUP($A105,Input_Raw!$A:$A,Input_Raw!$DB:$DB),"")</f>
        <v>26.178919123204818</v>
      </c>
      <c r="L105" s="201">
        <f>IFERROR(_xlfn.XLOOKUP($A105,Input_Raw!$A:$A,Input_Raw!$DC:$DC),"")</f>
        <v>34.267191609977331</v>
      </c>
      <c r="M105" s="200">
        <f>IFERROR(_xlfn.XLOOKUP($A105,Input_Raw!$A:$A,Input_Raw!$DF:$DF),"")</f>
        <v>0.7607664399092966</v>
      </c>
      <c r="N105" s="200">
        <f>IFERROR(_xlfn.XLOOKUP($A105,Input_Raw!$A:$A,Input_Raw!$DG:$DG),"")</f>
        <v>1.7549999999999999</v>
      </c>
      <c r="O105" s="230">
        <f>IFERROR(1-(SUMIF(Plant_BD!$B:$B,$A105,Plant_BD!$AL:$AL)/($AA105+SUMIF(Plant_BD!$B:$B,$A105,Plant_BD!$AL:$AL))),"")</f>
        <v>1</v>
      </c>
      <c r="P105" s="230"/>
      <c r="Q105" s="231">
        <f>IFERROR(1-(SUMIF(Grid_BD!$B:$B,$A105,Grid_BD!$V:$V)/($AA105+SUMIF(Grid_BD!$B:$B,$A105,Grid_BD!$V:$V))),"")</f>
        <v>1</v>
      </c>
      <c r="R105" s="230">
        <f>IFERROR(1-(SUMIF(Grid_BD!$B:$B,$A105,Grid_BD!$V:$V)/($AA105+SUMIF(Grid_BD!$B:$B,$A105,Grid_BD!$V:$V))),"")</f>
        <v>1</v>
      </c>
      <c r="S105" s="9"/>
      <c r="T105" s="231"/>
      <c r="U105" s="232">
        <f t="shared" si="11"/>
        <v>0.86287537592361196</v>
      </c>
      <c r="V105" s="232" t="str">
        <f>IFERROR(_xlfn.XLOOKUP($A105,Input_Raw!$A:$A,Input_Raw!$FG:$FG),"")</f>
        <v/>
      </c>
      <c r="W105" s="233">
        <f t="shared" si="12"/>
        <v>8.9423076923074205E-2</v>
      </c>
      <c r="X105" s="29">
        <f>IFERROR(_xlfn.XLOOKUP($A105,Input_Raw!$A:$A,Input_Raw!$DP:$DP),"")</f>
        <v>284479.2</v>
      </c>
      <c r="Y105" s="29">
        <f>IFERROR(_xlfn.XLOOKUP($A105,Input_Raw!$A:$A,Input_Raw!EW:EW),"")</f>
        <v>283175.99999999162</v>
      </c>
      <c r="Z105" s="29">
        <f>IFERROR(_xlfn.XLOOKUP($A105,Input_Raw!$A:$A,Input_Raw!EX:EX),"")</f>
        <v>4176.000000000131</v>
      </c>
      <c r="AA105" s="29">
        <f>IFERROR(_xlfn.XLOOKUP($A105,Input_Raw!$A:$A,Input_Raw!FA:FA),"")</f>
        <v>278999.9999999915</v>
      </c>
      <c r="AB105" s="9">
        <f>IFERROR(_xlfn.XLOOKUP($A105,Input_Raw!$A:$A,Input_Raw!FD:FD),"")</f>
        <v>128.08000000000001</v>
      </c>
      <c r="AC105" s="185">
        <f>IFERROR(_xlfn.XLOOKUP($D105,'Modelling New'!$D:$D,'Modelling New'!P:P),"")</f>
        <v>3.7967741935483872</v>
      </c>
      <c r="AD105" s="29">
        <f>IFERROR(_xlfn.XLOOKUP($D105,'Modelling New'!$D:$D,'Modelling New'!T:T)*1000,"")</f>
        <v>421061.81874810642</v>
      </c>
      <c r="AE105" s="233">
        <f>IFERROR(_xlfn.XLOOKUP($D105,'Modelling New'!$D:$D,'Modelling New'!O:O),"")</f>
        <v>0.85307603301688106</v>
      </c>
      <c r="AF105" s="233">
        <f>IFERROR(_xlfn.XLOOKUP($D105,'Modelling New'!$D:$D,'Modelling New'!W:W),"")</f>
        <v>0.13495571113721361</v>
      </c>
      <c r="AG105" s="233">
        <f>IFERROR(_xlfn.XLOOKUP($D105,'Modelling New'!$D:$D,'Modelling New'!AE:AE),"")</f>
        <v>0.995</v>
      </c>
      <c r="AH105" s="234">
        <f>IFERROR(_xlfn.XLOOKUP($D105,'Modelling New'!$D:$D,'Modelling New'!AF:AF),"")</f>
        <v>0.995</v>
      </c>
      <c r="AI105" s="9"/>
      <c r="AJ105" s="9"/>
      <c r="AK105" s="258"/>
      <c r="AL105" s="258"/>
      <c r="AM105" s="258"/>
      <c r="AN105" s="235"/>
      <c r="AO105" s="233"/>
      <c r="AP105" s="233"/>
      <c r="AQ105" s="233"/>
      <c r="AR105" s="236">
        <f>_xlfn.XLOOKUP(D105,'Modelling New'!$D:$D,'Modelling New'!$N:$N)</f>
        <v>130</v>
      </c>
      <c r="AS105" s="236">
        <f t="shared" si="13"/>
        <v>414843.05957890366</v>
      </c>
    </row>
    <row r="106" spans="1:45">
      <c r="A106" s="18">
        <f t="shared" ref="A106:A169" si="14">A105+1</f>
        <v>45849</v>
      </c>
      <c r="B106" s="29">
        <f>YEAR(Table13[[#This Row],[Date]])+IF(MONTH(Table13[[#This Row],[Date]])&gt;=4,1,0)</f>
        <v>2026</v>
      </c>
      <c r="C106" s="9">
        <f>YEAR(Table13[[#This Row],[Date]])</f>
        <v>2025</v>
      </c>
      <c r="D106" s="229">
        <f>Table13[[#This Row],[Date]]-DAY(Table13[[#This Row],[Date]])+1</f>
        <v>45839</v>
      </c>
      <c r="E106" s="9">
        <f t="shared" si="10"/>
        <v>31</v>
      </c>
      <c r="F106" s="199">
        <f>IFERROR(_xlfn.XLOOKUP($A106,Input_Raw!$A:$A,Input_Raw!$FC:$FC),"")</f>
        <v>12.733333333333334</v>
      </c>
      <c r="G106" s="200">
        <f>IFERROR(_xlfn.XLOOKUP($A106,Input_Raw!$A:$A,Input_Raw!$CY:$CY),"")</f>
        <v>5.6987451833333376</v>
      </c>
      <c r="H106" s="200">
        <f>IFERROR(_xlfn.XLOOKUP($A106,Input_Raw!$A:$A,Input_Raw!$DA:$DA),"")</f>
        <v>0.94671802499999991</v>
      </c>
      <c r="I106" s="200">
        <f>IFERROR(_xlfn.XLOOKUP($A106,Input_Raw!$A:$A,Input_Raw!$CX:$CX),"")</f>
        <v>6.3179680583333271</v>
      </c>
      <c r="J106" s="200">
        <f>IFERROR(_xlfn.XLOOKUP($A106,Input_Raw!$A:$A,Input_Raw!$CZ:$CZ),"")</f>
        <v>0.76291427500000064</v>
      </c>
      <c r="K106" s="201">
        <f>IFERROR(_xlfn.XLOOKUP($A106,Input_Raw!$A:$A,Input_Raw!$DB:$DB),"")</f>
        <v>27.847669172932342</v>
      </c>
      <c r="L106" s="201">
        <f>IFERROR(_xlfn.XLOOKUP($A106,Input_Raw!$A:$A,Input_Raw!$DC:$DC),"")</f>
        <v>40.495396407685902</v>
      </c>
      <c r="M106" s="200">
        <f>IFERROR(_xlfn.XLOOKUP($A106,Input_Raw!$A:$A,Input_Raw!$DF:$DF),"")</f>
        <v>1.1097631578947365</v>
      </c>
      <c r="N106" s="200">
        <f>IFERROR(_xlfn.XLOOKUP($A106,Input_Raw!$A:$A,Input_Raw!$DG:$DG),"")</f>
        <v>3.0285000000000002</v>
      </c>
      <c r="O106" s="230">
        <f>IFERROR(1-(SUMIF(Plant_BD!$B:$B,$A106,Plant_BD!$AL:$AL)/($AA106+SUMIF(Plant_BD!$B:$B,$A106,Plant_BD!$AL:$AL))),"")</f>
        <v>0.99775979521922198</v>
      </c>
      <c r="P106" s="230"/>
      <c r="Q106" s="231">
        <f>IFERROR(1-(SUMIF(Grid_BD!$B:$B,$A106,Grid_BD!$V:$V)/($AA106+SUMIF(Grid_BD!$B:$B,$A106,Grid_BD!$V:$V))),"")</f>
        <v>1</v>
      </c>
      <c r="R106" s="230">
        <f>IFERROR(1-(SUMIF(Grid_BD!$B:$B,$A106,Grid_BD!$V:$V)/($AA106+SUMIF(Grid_BD!$B:$B,$A106,Grid_BD!$V:$V))),"")</f>
        <v>1</v>
      </c>
      <c r="S106" s="9"/>
      <c r="T106" s="231"/>
      <c r="U106" s="232">
        <f t="shared" si="11"/>
        <v>0.74588730884196863</v>
      </c>
      <c r="V106" s="232" t="str">
        <f>IFERROR(_xlfn.XLOOKUP($A106,Input_Raw!$A:$A,Input_Raw!$FG:$FG),"")</f>
        <v/>
      </c>
      <c r="W106" s="233">
        <f t="shared" si="12"/>
        <v>0.1934538461538462</v>
      </c>
      <c r="X106" s="29">
        <f>IFERROR(_xlfn.XLOOKUP($A106,Input_Raw!$A:$A,Input_Raw!$DP:$DP),"")</f>
        <v>617373.6</v>
      </c>
      <c r="Y106" s="29">
        <f>IFERROR(_xlfn.XLOOKUP($A106,Input_Raw!$A:$A,Input_Raw!EW:EW),"")</f>
        <v>606600</v>
      </c>
      <c r="Z106" s="29">
        <f>IFERROR(_xlfn.XLOOKUP($A106,Input_Raw!$A:$A,Input_Raw!EX:EX),"")</f>
        <v>3023.999999999869</v>
      </c>
      <c r="AA106" s="29">
        <f>IFERROR(_xlfn.XLOOKUP($A106,Input_Raw!$A:$A,Input_Raw!FA:FA),"")</f>
        <v>603576.00000000012</v>
      </c>
      <c r="AB106" s="9">
        <f>IFERROR(_xlfn.XLOOKUP($A106,Input_Raw!$A:$A,Input_Raw!FD:FD),"")</f>
        <v>128.08000000000001</v>
      </c>
      <c r="AC106" s="185">
        <f>IFERROR(_xlfn.XLOOKUP($D106,'Modelling New'!$D:$D,'Modelling New'!P:P),"")</f>
        <v>3.7967741935483872</v>
      </c>
      <c r="AD106" s="29">
        <f>IFERROR(_xlfn.XLOOKUP($D106,'Modelling New'!$D:$D,'Modelling New'!T:T)*1000,"")</f>
        <v>421061.81874810642</v>
      </c>
      <c r="AE106" s="233">
        <f>IFERROR(_xlfn.XLOOKUP($D106,'Modelling New'!$D:$D,'Modelling New'!O:O),"")</f>
        <v>0.85307603301688106</v>
      </c>
      <c r="AF106" s="233">
        <f>IFERROR(_xlfn.XLOOKUP($D106,'Modelling New'!$D:$D,'Modelling New'!W:W),"")</f>
        <v>0.13495571113721361</v>
      </c>
      <c r="AG106" s="233">
        <f>IFERROR(_xlfn.XLOOKUP($D106,'Modelling New'!$D:$D,'Modelling New'!AE:AE),"")</f>
        <v>0.995</v>
      </c>
      <c r="AH106" s="234">
        <f>IFERROR(_xlfn.XLOOKUP($D106,'Modelling New'!$D:$D,'Modelling New'!AF:AF),"")</f>
        <v>0.995</v>
      </c>
      <c r="AI106" s="9"/>
      <c r="AJ106" s="9"/>
      <c r="AK106" s="258"/>
      <c r="AL106" s="258"/>
      <c r="AM106" s="258"/>
      <c r="AN106" s="235"/>
      <c r="AO106" s="233"/>
      <c r="AP106" s="233"/>
      <c r="AQ106" s="233"/>
      <c r="AR106" s="236">
        <f>_xlfn.XLOOKUP(D106,'Modelling New'!$D:$D,'Modelling New'!$N:$N)</f>
        <v>130</v>
      </c>
      <c r="AS106" s="236">
        <f t="shared" si="13"/>
        <v>414843.05957890366</v>
      </c>
    </row>
    <row r="107" spans="1:45">
      <c r="A107" s="18">
        <f t="shared" si="14"/>
        <v>45850</v>
      </c>
      <c r="B107" s="29">
        <f>YEAR(Table13[[#This Row],[Date]])+IF(MONTH(Table13[[#This Row],[Date]])&gt;=4,1,0)</f>
        <v>2026</v>
      </c>
      <c r="C107" s="9">
        <f>YEAR(Table13[[#This Row],[Date]])</f>
        <v>2025</v>
      </c>
      <c r="D107" s="229">
        <f>Table13[[#This Row],[Date]]-DAY(Table13[[#This Row],[Date]])+1</f>
        <v>45839</v>
      </c>
      <c r="E107" s="9">
        <f t="shared" si="10"/>
        <v>31</v>
      </c>
      <c r="F107" s="199">
        <f>IFERROR(_xlfn.XLOOKUP($A107,Input_Raw!$A:$A,Input_Raw!$FC:$FC),"")</f>
        <v>12.683333333333334</v>
      </c>
      <c r="G107" s="185">
        <f>IFERROR(_xlfn.XLOOKUP($A107,Input_Raw!$A:$A,Input_Raw!$CY:$CY),"")</f>
        <v>4.1836896166666691</v>
      </c>
      <c r="H107" s="185">
        <f>IFERROR(_xlfn.XLOOKUP($A107,Input_Raw!$A:$A,Input_Raw!$DA:$DA),"")</f>
        <v>0.71307090000000017</v>
      </c>
      <c r="I107" s="185">
        <f>IFERROR(_xlfn.XLOOKUP($A107,Input_Raw!$A:$A,Input_Raw!$CX:$CX),"")</f>
        <v>4.6439528416666729</v>
      </c>
      <c r="J107" s="185">
        <f>IFERROR(_xlfn.XLOOKUP($A107,Input_Raw!$A:$A,Input_Raw!$CZ:$CZ),"")</f>
        <v>0.58508589999999971</v>
      </c>
      <c r="K107" s="201">
        <f>IFERROR(_xlfn.XLOOKUP($A107,Input_Raw!$A:$A,Input_Raw!$DB:$DB),"")</f>
        <v>27.784015088013462</v>
      </c>
      <c r="L107" s="201">
        <f>IFERROR(_xlfn.XLOOKUP($A107,Input_Raw!$A:$A,Input_Raw!$DC:$DC),"")</f>
        <v>38.310692791282527</v>
      </c>
      <c r="M107" s="200">
        <f>IFERROR(_xlfn.XLOOKUP($A107,Input_Raw!$A:$A,Input_Raw!$DF:$DF),"")</f>
        <v>1.476199916177702</v>
      </c>
      <c r="N107" s="200">
        <f>IFERROR(_xlfn.XLOOKUP($A107,Input_Raw!$A:$A,Input_Raw!$DG:$DG),"")</f>
        <v>2.976</v>
      </c>
      <c r="O107" s="230">
        <f>IFERROR(1-(SUMIF(Plant_BD!$B:$B,$A107,Plant_BD!$AL:$AL)/($AA107+SUMIF(Plant_BD!$B:$B,$A107,Plant_BD!$AL:$AL))),"")</f>
        <v>1</v>
      </c>
      <c r="P107" s="230"/>
      <c r="Q107" s="231">
        <f>IFERROR(1-(SUMIF(Grid_BD!$B:$B,$A107,Grid_BD!$V:$V)/($AA107+SUMIF(Grid_BD!$B:$B,$A107,Grid_BD!$V:$V))),"")</f>
        <v>1</v>
      </c>
      <c r="R107" s="230">
        <f>IFERROR(1-(SUMIF(Grid_BD!$B:$B,$A107,Grid_BD!$V:$V)/($AA107+SUMIF(Grid_BD!$B:$B,$A107,Grid_BD!$V:$V))),"")</f>
        <v>1</v>
      </c>
      <c r="S107" s="9"/>
      <c r="T107" s="231"/>
      <c r="U107" s="232">
        <f t="shared" si="11"/>
        <v>0.81781113133191996</v>
      </c>
      <c r="V107" s="232" t="str">
        <f>IFERROR(_xlfn.XLOOKUP($A107,Input_Raw!$A:$A,Input_Raw!$FG:$FG),"")</f>
        <v/>
      </c>
      <c r="W107" s="233">
        <f t="shared" si="12"/>
        <v>0.15590769230769502</v>
      </c>
      <c r="X107" s="29">
        <f>IFERROR(_xlfn.XLOOKUP($A107,Input_Raw!$A:$A,Input_Raw!$DP:$DP),"")</f>
        <v>496370.60000000003</v>
      </c>
      <c r="Y107" s="29">
        <f>IFERROR(_xlfn.XLOOKUP($A107,Input_Raw!$A:$A,Input_Raw!EW:EW),"")</f>
        <v>489384.00000000838</v>
      </c>
      <c r="Z107" s="29">
        <f>IFERROR(_xlfn.XLOOKUP($A107,Input_Raw!$A:$A,Input_Raw!EX:EX),"")</f>
        <v>2951.9999999999345</v>
      </c>
      <c r="AA107" s="29">
        <f>IFERROR(_xlfn.XLOOKUP($A107,Input_Raw!$A:$A,Input_Raw!FA:FA),"")</f>
        <v>486432.00000000844</v>
      </c>
      <c r="AB107" s="9">
        <f>IFERROR(_xlfn.XLOOKUP($A107,Input_Raw!$A:$A,Input_Raw!FD:FD),"")</f>
        <v>128.08000000000001</v>
      </c>
      <c r="AC107" s="185">
        <f>IFERROR(_xlfn.XLOOKUP($D107,'Modelling New'!$D:$D,'Modelling New'!P:P),"")</f>
        <v>3.7967741935483872</v>
      </c>
      <c r="AD107" s="29">
        <f>IFERROR(_xlfn.XLOOKUP($D107,'Modelling New'!$D:$D,'Modelling New'!T:T)*1000,"")</f>
        <v>421061.81874810642</v>
      </c>
      <c r="AE107" s="233">
        <f>IFERROR(_xlfn.XLOOKUP($D107,'Modelling New'!$D:$D,'Modelling New'!O:O),"")</f>
        <v>0.85307603301688106</v>
      </c>
      <c r="AF107" s="233">
        <f>IFERROR(_xlfn.XLOOKUP($D107,'Modelling New'!$D:$D,'Modelling New'!W:W),"")</f>
        <v>0.13495571113721361</v>
      </c>
      <c r="AG107" s="233">
        <f>IFERROR(_xlfn.XLOOKUP($D107,'Modelling New'!$D:$D,'Modelling New'!AE:AE),"")</f>
        <v>0.995</v>
      </c>
      <c r="AH107" s="234">
        <f>IFERROR(_xlfn.XLOOKUP($D107,'Modelling New'!$D:$D,'Modelling New'!AF:AF),"")</f>
        <v>0.995</v>
      </c>
      <c r="AI107" s="9"/>
      <c r="AJ107" s="9"/>
      <c r="AK107" s="258"/>
      <c r="AL107" s="258"/>
      <c r="AM107" s="258"/>
      <c r="AN107" s="235"/>
      <c r="AO107" s="233"/>
      <c r="AP107" s="233"/>
      <c r="AQ107" s="233"/>
      <c r="AR107" s="236">
        <f>_xlfn.XLOOKUP(D107,'Modelling New'!$D:$D,'Modelling New'!$N:$N)</f>
        <v>130</v>
      </c>
      <c r="AS107" s="236">
        <f t="shared" si="13"/>
        <v>414843.05957890366</v>
      </c>
    </row>
    <row r="108" spans="1:45">
      <c r="A108" s="18">
        <f t="shared" si="14"/>
        <v>45851</v>
      </c>
      <c r="B108" s="29">
        <f>YEAR(Table13[[#This Row],[Date]])+IF(MONTH(Table13[[#This Row],[Date]])&gt;=4,1,0)</f>
        <v>2026</v>
      </c>
      <c r="C108" s="9">
        <f>YEAR(Table13[[#This Row],[Date]])</f>
        <v>2025</v>
      </c>
      <c r="D108" s="229">
        <f>Table13[[#This Row],[Date]]-DAY(Table13[[#This Row],[Date]])+1</f>
        <v>45839</v>
      </c>
      <c r="E108" s="9">
        <f t="shared" si="10"/>
        <v>31</v>
      </c>
      <c r="F108" s="199">
        <f>IFERROR(_xlfn.XLOOKUP($A108,Input_Raw!$A:$A,Input_Raw!$FC:$FC),"")</f>
        <v>12.516666666666667</v>
      </c>
      <c r="G108" s="200">
        <f>IFERROR(_xlfn.XLOOKUP($A108,Input_Raw!$A:$A,Input_Raw!$CY:$CY),"")</f>
        <v>3.4609894166666644</v>
      </c>
      <c r="H108" s="200">
        <f>IFERROR(_xlfn.XLOOKUP($A108,Input_Raw!$A:$A,Input_Raw!$DA:$DA),"")</f>
        <v>0.60712797500000015</v>
      </c>
      <c r="I108" s="200">
        <f>IFERROR(_xlfn.XLOOKUP($A108,Input_Raw!$A:$A,Input_Raw!$CX:$CX),"")</f>
        <v>3.9207901416666688</v>
      </c>
      <c r="J108" s="200">
        <f>IFERROR(_xlfn.XLOOKUP($A108,Input_Raw!$A:$A,Input_Raw!$CZ:$CZ),"")</f>
        <v>0.49890708333333345</v>
      </c>
      <c r="K108" s="201">
        <f>IFERROR(_xlfn.XLOOKUP($A108,Input_Raw!$A:$A,Input_Raw!$DB:$DB),"")</f>
        <v>27.467051282051251</v>
      </c>
      <c r="L108" s="201">
        <f>IFERROR(_xlfn.XLOOKUP($A108,Input_Raw!$A:$A,Input_Raw!$DC:$DC),"")</f>
        <v>37.10352350427349</v>
      </c>
      <c r="M108" s="200">
        <f>IFERROR(_xlfn.XLOOKUP($A108,Input_Raw!$A:$A,Input_Raw!$DF:$DF),"")</f>
        <v>1.5938820512820504</v>
      </c>
      <c r="N108" s="200">
        <f>IFERROR(_xlfn.XLOOKUP($A108,Input_Raw!$A:$A,Input_Raw!$DG:$DG),"")</f>
        <v>3.3014999999999999</v>
      </c>
      <c r="O108" s="230">
        <f>IFERROR(1-(SUMIF(Plant_BD!$B:$B,$A108,Plant_BD!$AL:$AL)/($AA108+SUMIF(Plant_BD!$B:$B,$A108,Plant_BD!$AL:$AL))),"")</f>
        <v>1</v>
      </c>
      <c r="P108" s="230"/>
      <c r="Q108" s="231">
        <f>IFERROR(1-(SUMIF(Grid_BD!$B:$B,$A108,Grid_BD!$V:$V)/($AA108+SUMIF(Grid_BD!$B:$B,$A108,Grid_BD!$V:$V))),"")</f>
        <v>1</v>
      </c>
      <c r="R108" s="230">
        <f>IFERROR(1-(SUMIF(Grid_BD!$B:$B,$A108,Grid_BD!$V:$V)/($AA108+SUMIF(Grid_BD!$B:$B,$A108,Grid_BD!$V:$V))),"")</f>
        <v>1</v>
      </c>
      <c r="S108" s="9"/>
      <c r="T108" s="231"/>
      <c r="U108" s="232">
        <f t="shared" si="11"/>
        <v>0.83301670828539809</v>
      </c>
      <c r="V108" s="232" t="str">
        <f>IFERROR(_xlfn.XLOOKUP($A108,Input_Raw!$A:$A,Input_Raw!$FG:$FG),"")</f>
        <v/>
      </c>
      <c r="W108" s="233">
        <f t="shared" si="12"/>
        <v>0.1340769230769257</v>
      </c>
      <c r="X108" s="29">
        <f>IFERROR(_xlfn.XLOOKUP($A108,Input_Raw!$A:$A,Input_Raw!$DP:$DP),"")</f>
        <v>425575.19999999995</v>
      </c>
      <c r="Y108" s="29">
        <f>IFERROR(_xlfn.XLOOKUP($A108,Input_Raw!$A:$A,Input_Raw!EW:EW),"")</f>
        <v>420984.00000000838</v>
      </c>
      <c r="Z108" s="29">
        <f>IFERROR(_xlfn.XLOOKUP($A108,Input_Raw!$A:$A,Input_Raw!EX:EX),"")</f>
        <v>2664.0000000001965</v>
      </c>
      <c r="AA108" s="29">
        <f>IFERROR(_xlfn.XLOOKUP($A108,Input_Raw!$A:$A,Input_Raw!FA:FA),"")</f>
        <v>418320.00000000821</v>
      </c>
      <c r="AB108" s="9">
        <f>IFERROR(_xlfn.XLOOKUP($A108,Input_Raw!$A:$A,Input_Raw!FD:FD),"")</f>
        <v>128.08000000000001</v>
      </c>
      <c r="AC108" s="185">
        <f>IFERROR(_xlfn.XLOOKUP($D108,'Modelling New'!$D:$D,'Modelling New'!P:P),"")</f>
        <v>3.7967741935483872</v>
      </c>
      <c r="AD108" s="29">
        <f>IFERROR(_xlfn.XLOOKUP($D108,'Modelling New'!$D:$D,'Modelling New'!T:T)*1000,"")</f>
        <v>421061.81874810642</v>
      </c>
      <c r="AE108" s="233">
        <f>IFERROR(_xlfn.XLOOKUP($D108,'Modelling New'!$D:$D,'Modelling New'!O:O),"")</f>
        <v>0.85307603301688106</v>
      </c>
      <c r="AF108" s="233">
        <f>IFERROR(_xlfn.XLOOKUP($D108,'Modelling New'!$D:$D,'Modelling New'!W:W),"")</f>
        <v>0.13495571113721361</v>
      </c>
      <c r="AG108" s="233">
        <f>IFERROR(_xlfn.XLOOKUP($D108,'Modelling New'!$D:$D,'Modelling New'!AE:AE),"")</f>
        <v>0.995</v>
      </c>
      <c r="AH108" s="234">
        <f>IFERROR(_xlfn.XLOOKUP($D108,'Modelling New'!$D:$D,'Modelling New'!AF:AF),"")</f>
        <v>0.995</v>
      </c>
      <c r="AI108" s="9"/>
      <c r="AJ108" s="9"/>
      <c r="AK108" s="258"/>
      <c r="AL108" s="258"/>
      <c r="AM108" s="258"/>
      <c r="AN108" s="235"/>
      <c r="AO108" s="233"/>
      <c r="AP108" s="233"/>
      <c r="AQ108" s="233"/>
      <c r="AR108" s="236">
        <f>_xlfn.XLOOKUP(D108,'Modelling New'!$D:$D,'Modelling New'!$N:$N)</f>
        <v>130</v>
      </c>
      <c r="AS108" s="236">
        <f t="shared" si="13"/>
        <v>414843.05957890366</v>
      </c>
    </row>
    <row r="109" spans="1:45">
      <c r="A109" s="18">
        <f t="shared" si="14"/>
        <v>45852</v>
      </c>
      <c r="B109" s="29">
        <f>YEAR(Table13[[#This Row],[Date]])+IF(MONTH(Table13[[#This Row],[Date]])&gt;=4,1,0)</f>
        <v>2026</v>
      </c>
      <c r="C109" s="9">
        <f>YEAR(Table13[[#This Row],[Date]])</f>
        <v>2025</v>
      </c>
      <c r="D109" s="229">
        <f>Table13[[#This Row],[Date]]-DAY(Table13[[#This Row],[Date]])+1</f>
        <v>45839</v>
      </c>
      <c r="E109" s="9">
        <f t="shared" si="10"/>
        <v>31</v>
      </c>
      <c r="F109" s="199">
        <f>IFERROR(_xlfn.XLOOKUP($A109,Input_Raw!$A:$A,Input_Raw!$FC:$FC),"")</f>
        <v>12.450000000000001</v>
      </c>
      <c r="G109" s="185">
        <f>IFERROR(_xlfn.XLOOKUP($A109,Input_Raw!$A:$A,Input_Raw!$CY:$CY),"")</f>
        <v>5.1454962249999951</v>
      </c>
      <c r="H109" s="185">
        <f>IFERROR(_xlfn.XLOOKUP($A109,Input_Raw!$A:$A,Input_Raw!$DA:$DA),"")</f>
        <v>0.88511324999999974</v>
      </c>
      <c r="I109" s="185">
        <f>IFERROR(_xlfn.XLOOKUP($A109,Input_Raw!$A:$A,Input_Raw!$CX:$CX),"")</f>
        <v>5.6787414249999948</v>
      </c>
      <c r="J109" s="185">
        <f>IFERROR(_xlfn.XLOOKUP($A109,Input_Raw!$A:$A,Input_Raw!$CZ:$CZ),"")</f>
        <v>0.73202464999999994</v>
      </c>
      <c r="K109" s="201">
        <f>IFERROR(_xlfn.XLOOKUP($A109,Input_Raw!$A:$A,Input_Raw!$DB:$DB),"")</f>
        <v>27.895973154362398</v>
      </c>
      <c r="L109" s="201">
        <f>IFERROR(_xlfn.XLOOKUP($A109,Input_Raw!$A:$A,Input_Raw!$DC:$DC),"")</f>
        <v>40.008338926174552</v>
      </c>
      <c r="M109" s="200">
        <f>IFERROR(_xlfn.XLOOKUP($A109,Input_Raw!$A:$A,Input_Raw!$DF:$DF),"")</f>
        <v>1.4151845637583889</v>
      </c>
      <c r="N109" s="200">
        <f>IFERROR(_xlfn.XLOOKUP($A109,Input_Raw!$A:$A,Input_Raw!$DG:$DG),"")</f>
        <v>3.1124999999999998</v>
      </c>
      <c r="O109" s="230">
        <f>IFERROR(1-(SUMIF(Plant_BD!$B:$B,$A109,Plant_BD!$AL:$AL)/($AA109+SUMIF(Plant_BD!$B:$B,$A109,Plant_BD!$AL:$AL))),"")</f>
        <v>1</v>
      </c>
      <c r="P109" s="230"/>
      <c r="Q109" s="231">
        <f>IFERROR(1-(SUMIF(Grid_BD!$B:$B,$A109,Grid_BD!$V:$V)/($AA109+SUMIF(Grid_BD!$B:$B,$A109,Grid_BD!$V:$V))),"")</f>
        <v>1</v>
      </c>
      <c r="R109" s="230">
        <f>IFERROR(1-(SUMIF(Grid_BD!$B:$B,$A109,Grid_BD!$V:$V)/($AA109+SUMIF(Grid_BD!$B:$B,$A109,Grid_BD!$V:$V))),"")</f>
        <v>1</v>
      </c>
      <c r="S109" s="9"/>
      <c r="T109" s="231"/>
      <c r="U109" s="232">
        <f t="shared" si="11"/>
        <v>0.75867291455913566</v>
      </c>
      <c r="V109" s="232" t="str">
        <f>IFERROR(_xlfn.XLOOKUP($A109,Input_Raw!$A:$A,Input_Raw!$FG:$FG),"")</f>
        <v/>
      </c>
      <c r="W109" s="233">
        <f t="shared" si="12"/>
        <v>0.17686153846153452</v>
      </c>
      <c r="X109" s="29">
        <f>IFERROR(_xlfn.XLOOKUP($A109,Input_Raw!$A:$A,Input_Raw!$DP:$DP),"")</f>
        <v>563638.10000000009</v>
      </c>
      <c r="Y109" s="29">
        <f>IFERROR(_xlfn.XLOOKUP($A109,Input_Raw!$A:$A,Input_Raw!EW:EW),"")</f>
        <v>554903.99999998743</v>
      </c>
      <c r="Z109" s="29">
        <f>IFERROR(_xlfn.XLOOKUP($A109,Input_Raw!$A:$A,Input_Raw!EX:EX),"")</f>
        <v>3095.9999999998035</v>
      </c>
      <c r="AA109" s="29">
        <f>IFERROR(_xlfn.XLOOKUP($A109,Input_Raw!$A:$A,Input_Raw!FA:FA),"")</f>
        <v>551807.99999998766</v>
      </c>
      <c r="AB109" s="9">
        <f>IFERROR(_xlfn.XLOOKUP($A109,Input_Raw!$A:$A,Input_Raw!FD:FD),"")</f>
        <v>128.08000000000001</v>
      </c>
      <c r="AC109" s="185">
        <f>IFERROR(_xlfn.XLOOKUP($D109,'Modelling New'!$D:$D,'Modelling New'!P:P),"")</f>
        <v>3.7967741935483872</v>
      </c>
      <c r="AD109" s="29">
        <f>IFERROR(_xlfn.XLOOKUP($D109,'Modelling New'!$D:$D,'Modelling New'!T:T)*1000,"")</f>
        <v>421061.81874810642</v>
      </c>
      <c r="AE109" s="233">
        <f>IFERROR(_xlfn.XLOOKUP($D109,'Modelling New'!$D:$D,'Modelling New'!O:O),"")</f>
        <v>0.85307603301688106</v>
      </c>
      <c r="AF109" s="233">
        <f>IFERROR(_xlfn.XLOOKUP($D109,'Modelling New'!$D:$D,'Modelling New'!W:W),"")</f>
        <v>0.13495571113721361</v>
      </c>
      <c r="AG109" s="233">
        <f>IFERROR(_xlfn.XLOOKUP($D109,'Modelling New'!$D:$D,'Modelling New'!AE:AE),"")</f>
        <v>0.995</v>
      </c>
      <c r="AH109" s="234">
        <f>IFERROR(_xlfn.XLOOKUP($D109,'Modelling New'!$D:$D,'Modelling New'!AF:AF),"")</f>
        <v>0.995</v>
      </c>
      <c r="AI109" s="9"/>
      <c r="AJ109" s="9"/>
      <c r="AK109" s="258"/>
      <c r="AL109" s="258"/>
      <c r="AM109" s="258"/>
      <c r="AN109" s="235"/>
      <c r="AO109" s="233"/>
      <c r="AP109" s="233"/>
      <c r="AQ109" s="233"/>
      <c r="AR109" s="236">
        <f>_xlfn.XLOOKUP(D109,'Modelling New'!$D:$D,'Modelling New'!$N:$N)</f>
        <v>130</v>
      </c>
      <c r="AS109" s="236">
        <f t="shared" si="13"/>
        <v>414843.05957890366</v>
      </c>
    </row>
    <row r="110" spans="1:45">
      <c r="A110" s="18">
        <f t="shared" si="14"/>
        <v>45853</v>
      </c>
      <c r="B110" s="29">
        <f>YEAR(Table13[[#This Row],[Date]])+IF(MONTH(Table13[[#This Row],[Date]])&gt;=4,1,0)</f>
        <v>2026</v>
      </c>
      <c r="C110" s="9">
        <f>YEAR(Table13[[#This Row],[Date]])</f>
        <v>2025</v>
      </c>
      <c r="D110" s="229">
        <f>Table13[[#This Row],[Date]]-DAY(Table13[[#This Row],[Date]])+1</f>
        <v>45839</v>
      </c>
      <c r="E110" s="9">
        <f t="shared" si="10"/>
        <v>31</v>
      </c>
      <c r="F110" s="199">
        <f>IFERROR(_xlfn.XLOOKUP($A110,Input_Raw!$A:$A,Input_Raw!$FC:$FC),"")</f>
        <v>12.816666666666666</v>
      </c>
      <c r="G110" s="200">
        <f>IFERROR(_xlfn.XLOOKUP($A110,Input_Raw!$A:$A,Input_Raw!$CY:$CY),"")</f>
        <v>5.5642944250000017</v>
      </c>
      <c r="H110" s="200">
        <f>IFERROR(_xlfn.XLOOKUP($A110,Input_Raw!$A:$A,Input_Raw!$DA:$DA),"")</f>
        <v>0.94995153333333326</v>
      </c>
      <c r="I110" s="200">
        <f>IFERROR(_xlfn.XLOOKUP($A110,Input_Raw!$A:$A,Input_Raw!$CX:$CX),"")</f>
        <v>5.493701066666663</v>
      </c>
      <c r="J110" s="200">
        <f>IFERROR(_xlfn.XLOOKUP($A110,Input_Raw!$A:$A,Input_Raw!$CZ:$CZ),"")</f>
        <v>0.78964312500000022</v>
      </c>
      <c r="K110" s="201">
        <f>IFERROR(_xlfn.XLOOKUP($A110,Input_Raw!$A:$A,Input_Raw!$DB:$DB),"")</f>
        <v>28.473585304054069</v>
      </c>
      <c r="L110" s="201">
        <f>IFERROR(_xlfn.XLOOKUP($A110,Input_Raw!$A:$A,Input_Raw!$DC:$DC),"")</f>
        <v>41.32022804054052</v>
      </c>
      <c r="M110" s="200">
        <f>IFERROR(_xlfn.XLOOKUP($A110,Input_Raw!$A:$A,Input_Raw!$DF:$DF),"")</f>
        <v>1.1897141047297306</v>
      </c>
      <c r="N110" s="200">
        <f>IFERROR(_xlfn.XLOOKUP($A110,Input_Raw!$A:$A,Input_Raw!$DG:$DG),"")</f>
        <v>2.9295</v>
      </c>
      <c r="O110" s="230">
        <f>IFERROR(1-(SUMIF(Plant_BD!$B:$B,$A110,Plant_BD!$AL:$AL)/($AA110+SUMIF(Plant_BD!$B:$B,$A110,Plant_BD!$AL:$AL))),"")</f>
        <v>1</v>
      </c>
      <c r="P110" s="230"/>
      <c r="Q110" s="231">
        <f>IFERROR(1-(SUMIF(Grid_BD!$B:$B,$A110,Grid_BD!$V:$V)/($AA110+SUMIF(Grid_BD!$B:$B,$A110,Grid_BD!$V:$V))),"")</f>
        <v>1</v>
      </c>
      <c r="R110" s="230">
        <f>IFERROR(1-(SUMIF(Grid_BD!$B:$B,$A110,Grid_BD!$V:$V)/($AA110+SUMIF(Grid_BD!$B:$B,$A110,Grid_BD!$V:$V))),"")</f>
        <v>1</v>
      </c>
      <c r="S110" s="9"/>
      <c r="T110" s="231"/>
      <c r="U110" s="232">
        <f t="shared" si="11"/>
        <v>0.84531538936329231</v>
      </c>
      <c r="V110" s="232" t="str">
        <f>IFERROR(_xlfn.XLOOKUP($A110,Input_Raw!$A:$A,Input_Raw!$FG:$FG),"")</f>
        <v/>
      </c>
      <c r="W110" s="233">
        <f t="shared" si="12"/>
        <v>0.19063846153846151</v>
      </c>
      <c r="X110" s="29">
        <f>IFERROR(_xlfn.XLOOKUP($A110,Input_Raw!$A:$A,Input_Raw!$DP:$DP),"")</f>
        <v>607794.1</v>
      </c>
      <c r="Y110" s="29">
        <f>IFERROR(_xlfn.XLOOKUP($A110,Input_Raw!$A:$A,Input_Raw!EW:EW),"")</f>
        <v>597960</v>
      </c>
      <c r="Z110" s="29">
        <f>IFERROR(_xlfn.XLOOKUP($A110,Input_Raw!$A:$A,Input_Raw!EX:EX),"")</f>
        <v>3168.0000000000655</v>
      </c>
      <c r="AA110" s="29">
        <f>IFERROR(_xlfn.XLOOKUP($A110,Input_Raw!$A:$A,Input_Raw!FA:FA),"")</f>
        <v>594791.99999999988</v>
      </c>
      <c r="AB110" s="9">
        <f>IFERROR(_xlfn.XLOOKUP($A110,Input_Raw!$A:$A,Input_Raw!FD:FD),"")</f>
        <v>128.08000000000001</v>
      </c>
      <c r="AC110" s="185">
        <f>IFERROR(_xlfn.XLOOKUP($D110,'Modelling New'!$D:$D,'Modelling New'!P:P),"")</f>
        <v>3.7967741935483872</v>
      </c>
      <c r="AD110" s="29">
        <f>IFERROR(_xlfn.XLOOKUP($D110,'Modelling New'!$D:$D,'Modelling New'!T:T)*1000,"")</f>
        <v>421061.81874810642</v>
      </c>
      <c r="AE110" s="233">
        <f>IFERROR(_xlfn.XLOOKUP($D110,'Modelling New'!$D:$D,'Modelling New'!O:O),"")</f>
        <v>0.85307603301688106</v>
      </c>
      <c r="AF110" s="233">
        <f>IFERROR(_xlfn.XLOOKUP($D110,'Modelling New'!$D:$D,'Modelling New'!W:W),"")</f>
        <v>0.13495571113721361</v>
      </c>
      <c r="AG110" s="233">
        <f>IFERROR(_xlfn.XLOOKUP($D110,'Modelling New'!$D:$D,'Modelling New'!AE:AE),"")</f>
        <v>0.995</v>
      </c>
      <c r="AH110" s="234">
        <f>IFERROR(_xlfn.XLOOKUP($D110,'Modelling New'!$D:$D,'Modelling New'!AF:AF),"")</f>
        <v>0.995</v>
      </c>
      <c r="AI110" s="9"/>
      <c r="AJ110" s="9"/>
      <c r="AK110" s="258"/>
      <c r="AL110" s="258"/>
      <c r="AM110" s="258"/>
      <c r="AN110" s="235"/>
      <c r="AO110" s="233"/>
      <c r="AP110" s="233"/>
      <c r="AQ110" s="233"/>
      <c r="AR110" s="236">
        <f>_xlfn.XLOOKUP(D110,'Modelling New'!$D:$D,'Modelling New'!$N:$N)</f>
        <v>130</v>
      </c>
      <c r="AS110" s="236">
        <f t="shared" si="13"/>
        <v>414843.05957890366</v>
      </c>
    </row>
    <row r="111" spans="1:45">
      <c r="A111" s="18">
        <f t="shared" si="14"/>
        <v>45854</v>
      </c>
      <c r="B111" s="29">
        <f>YEAR(Table13[[#This Row],[Date]])+IF(MONTH(Table13[[#This Row],[Date]])&gt;=4,1,0)</f>
        <v>2026</v>
      </c>
      <c r="C111" s="9">
        <f>YEAR(Table13[[#This Row],[Date]])</f>
        <v>2025</v>
      </c>
      <c r="D111" s="229">
        <f>Table13[[#This Row],[Date]]-DAY(Table13[[#This Row],[Date]])+1</f>
        <v>45839</v>
      </c>
      <c r="E111" s="9">
        <f t="shared" si="10"/>
        <v>31</v>
      </c>
      <c r="F111" s="199">
        <f>IFERROR(_xlfn.XLOOKUP($A111,Input_Raw!$A:$A,Input_Raw!$FC:$FC),"")</f>
        <v>0</v>
      </c>
      <c r="G111" s="185" t="str">
        <f>IFERROR(_xlfn.XLOOKUP($A111,Input_Raw!$A:$A,Input_Raw!$CY:$CY),"")</f>
        <v/>
      </c>
      <c r="H111" s="185" t="str">
        <f>IFERROR(_xlfn.XLOOKUP($A111,Input_Raw!$A:$A,Input_Raw!$DA:$DA),"")</f>
        <v/>
      </c>
      <c r="I111" s="185" t="str">
        <f>IFERROR(_xlfn.XLOOKUP($A111,Input_Raw!$A:$A,Input_Raw!$CX:$CX),"")</f>
        <v/>
      </c>
      <c r="J111" s="185" t="str">
        <f>IFERROR(_xlfn.XLOOKUP($A111,Input_Raw!$A:$A,Input_Raw!$CZ:$CZ),"")</f>
        <v/>
      </c>
      <c r="K111" s="201" t="str">
        <f>IFERROR(_xlfn.XLOOKUP($A111,Input_Raw!$A:$A,Input_Raw!$DB:$DB),"")</f>
        <v/>
      </c>
      <c r="L111" s="201" t="str">
        <f>IFERROR(_xlfn.XLOOKUP($A111,Input_Raw!$A:$A,Input_Raw!$DC:$DC),"")</f>
        <v/>
      </c>
      <c r="M111" s="200" t="str">
        <f>IFERROR(_xlfn.XLOOKUP($A111,Input_Raw!$A:$A,Input_Raw!$DF:$DF),"")</f>
        <v/>
      </c>
      <c r="N111" s="200" t="str">
        <f>IFERROR(_xlfn.XLOOKUP($A111,Input_Raw!$A:$A,Input_Raw!$DG:$DG),"")</f>
        <v/>
      </c>
      <c r="O111" s="230" t="str">
        <f>IFERROR(1-(SUMIF(Plant_BD!$B:$B,$A111,Plant_BD!$AL:$AL)/($AA111+SUMIF(Plant_BD!$B:$B,$A111,Plant_BD!$AL:$AL))),"")</f>
        <v/>
      </c>
      <c r="P111" s="230"/>
      <c r="Q111" s="231" t="str">
        <f>IFERROR(1-(SUMIF(Grid_BD!$B:$B,$A111,Grid_BD!$V:$V)/($AA111+SUMIF(Grid_BD!$B:$B,$A111,Grid_BD!$V:$V))),"")</f>
        <v/>
      </c>
      <c r="R111" s="230" t="str">
        <f>IFERROR(1-(SUMIF(Grid_BD!$B:$B,$A111,Grid_BD!$V:$V)/($AA111+SUMIF(Grid_BD!$B:$B,$A111,Grid_BD!$V:$V))),"")</f>
        <v/>
      </c>
      <c r="S111" s="9"/>
      <c r="T111" s="231"/>
      <c r="U111" s="232" t="str">
        <f t="shared" si="11"/>
        <v/>
      </c>
      <c r="V111" s="232" t="str">
        <f>IFERROR(_xlfn.XLOOKUP($A111,Input_Raw!$A:$A,Input_Raw!$FG:$FG),"")</f>
        <v/>
      </c>
      <c r="W111" s="233">
        <f t="shared" si="12"/>
        <v>0</v>
      </c>
      <c r="X111" s="29">
        <f>IFERROR(_xlfn.XLOOKUP($A111,Input_Raw!$A:$A,Input_Raw!$DP:$DP),"")</f>
        <v>0</v>
      </c>
      <c r="Y111" s="29">
        <f>IFERROR(_xlfn.XLOOKUP($A111,Input_Raw!$A:$A,Input_Raw!EW:EW),"")</f>
        <v>0</v>
      </c>
      <c r="Z111" s="29">
        <f>IFERROR(_xlfn.XLOOKUP($A111,Input_Raw!$A:$A,Input_Raw!EX:EX),"")</f>
        <v>0</v>
      </c>
      <c r="AA111" s="29">
        <f>IFERROR(_xlfn.XLOOKUP($A111,Input_Raw!$A:$A,Input_Raw!FA:FA),"")</f>
        <v>0</v>
      </c>
      <c r="AB111" s="9">
        <f>IFERROR(_xlfn.XLOOKUP($A111,Input_Raw!$A:$A,Input_Raw!FD:FD),"")</f>
        <v>0</v>
      </c>
      <c r="AC111" s="185">
        <f>IFERROR(_xlfn.XLOOKUP($D111,'Modelling New'!$D:$D,'Modelling New'!P:P),"")</f>
        <v>3.7967741935483872</v>
      </c>
      <c r="AD111" s="29">
        <f>IFERROR(_xlfn.XLOOKUP($D111,'Modelling New'!$D:$D,'Modelling New'!T:T)*1000,"")</f>
        <v>421061.81874810642</v>
      </c>
      <c r="AE111" s="233">
        <f>IFERROR(_xlfn.XLOOKUP($D111,'Modelling New'!$D:$D,'Modelling New'!O:O),"")</f>
        <v>0.85307603301688106</v>
      </c>
      <c r="AF111" s="233">
        <f>IFERROR(_xlfn.XLOOKUP($D111,'Modelling New'!$D:$D,'Modelling New'!W:W),"")</f>
        <v>0.13495571113721361</v>
      </c>
      <c r="AG111" s="233">
        <f>IFERROR(_xlfn.XLOOKUP($D111,'Modelling New'!$D:$D,'Modelling New'!AE:AE),"")</f>
        <v>0.995</v>
      </c>
      <c r="AH111" s="234">
        <f>IFERROR(_xlfn.XLOOKUP($D111,'Modelling New'!$D:$D,'Modelling New'!AF:AF),"")</f>
        <v>0.995</v>
      </c>
      <c r="AI111" s="9"/>
      <c r="AJ111" s="9"/>
      <c r="AK111" s="258"/>
      <c r="AL111" s="258"/>
      <c r="AM111" s="258"/>
      <c r="AN111" s="235"/>
      <c r="AO111" s="233"/>
      <c r="AP111" s="233"/>
      <c r="AQ111" s="233"/>
      <c r="AR111" s="236">
        <f>_xlfn.XLOOKUP(D111,'Modelling New'!$D:$D,'Modelling New'!$N:$N)</f>
        <v>130</v>
      </c>
      <c r="AS111" s="236">
        <f t="shared" si="13"/>
        <v>0</v>
      </c>
    </row>
    <row r="112" spans="1:45">
      <c r="A112" s="18">
        <f t="shared" si="14"/>
        <v>45855</v>
      </c>
      <c r="B112" s="29">
        <f>YEAR(Table13[[#This Row],[Date]])+IF(MONTH(Table13[[#This Row],[Date]])&gt;=4,1,0)</f>
        <v>2026</v>
      </c>
      <c r="C112" s="9">
        <f>YEAR(Table13[[#This Row],[Date]])</f>
        <v>2025</v>
      </c>
      <c r="D112" s="229">
        <f>Table13[[#This Row],[Date]]-DAY(Table13[[#This Row],[Date]])+1</f>
        <v>45839</v>
      </c>
      <c r="E112" s="9">
        <f t="shared" si="10"/>
        <v>31</v>
      </c>
      <c r="F112" s="199">
        <f>IFERROR(_xlfn.XLOOKUP($A112,Input_Raw!$A:$A,Input_Raw!$FC:$FC),"")</f>
        <v>0</v>
      </c>
      <c r="G112" s="200" t="str">
        <f>IFERROR(_xlfn.XLOOKUP($A112,Input_Raw!$A:$A,Input_Raw!$CY:$CY),"")</f>
        <v/>
      </c>
      <c r="H112" s="200" t="str">
        <f>IFERROR(_xlfn.XLOOKUP($A112,Input_Raw!$A:$A,Input_Raw!$DA:$DA),"")</f>
        <v/>
      </c>
      <c r="I112" s="200" t="str">
        <f>IFERROR(_xlfn.XLOOKUP($A112,Input_Raw!$A:$A,Input_Raw!$CX:$CX),"")</f>
        <v/>
      </c>
      <c r="J112" s="200" t="str">
        <f>IFERROR(_xlfn.XLOOKUP($A112,Input_Raw!$A:$A,Input_Raw!$CZ:$CZ),"")</f>
        <v/>
      </c>
      <c r="K112" s="201" t="str">
        <f>IFERROR(_xlfn.XLOOKUP($A112,Input_Raw!$A:$A,Input_Raw!$DB:$DB),"")</f>
        <v/>
      </c>
      <c r="L112" s="201" t="str">
        <f>IFERROR(_xlfn.XLOOKUP($A112,Input_Raw!$A:$A,Input_Raw!$DC:$DC),"")</f>
        <v/>
      </c>
      <c r="M112" s="200" t="str">
        <f>IFERROR(_xlfn.XLOOKUP($A112,Input_Raw!$A:$A,Input_Raw!$DF:$DF),"")</f>
        <v/>
      </c>
      <c r="N112" s="200" t="str">
        <f>IFERROR(_xlfn.XLOOKUP($A112,Input_Raw!$A:$A,Input_Raw!$DG:$DG),"")</f>
        <v/>
      </c>
      <c r="O112" s="230" t="str">
        <f>IFERROR(1-(SUMIF(Plant_BD!$B:$B,$A112,Plant_BD!$AL:$AL)/($AA112+SUMIF(Plant_BD!$B:$B,$A112,Plant_BD!$AL:$AL))),"")</f>
        <v/>
      </c>
      <c r="P112" s="230"/>
      <c r="Q112" s="231" t="str">
        <f>IFERROR(1-(SUMIF(Grid_BD!$B:$B,$A112,Grid_BD!$V:$V)/($AA112+SUMIF(Grid_BD!$B:$B,$A112,Grid_BD!$V:$V))),"")</f>
        <v/>
      </c>
      <c r="R112" s="230" t="str">
        <f>IFERROR(1-(SUMIF(Grid_BD!$B:$B,$A112,Grid_BD!$V:$V)/($AA112+SUMIF(Grid_BD!$B:$B,$A112,Grid_BD!$V:$V))),"")</f>
        <v/>
      </c>
      <c r="S112" s="9"/>
      <c r="T112" s="231"/>
      <c r="U112" s="232" t="str">
        <f t="shared" si="11"/>
        <v/>
      </c>
      <c r="V112" s="232" t="str">
        <f>IFERROR(_xlfn.XLOOKUP($A112,Input_Raw!$A:$A,Input_Raw!$FG:$FG),"")</f>
        <v/>
      </c>
      <c r="W112" s="233">
        <f t="shared" si="12"/>
        <v>0</v>
      </c>
      <c r="X112" s="29">
        <f>IFERROR(_xlfn.XLOOKUP($A112,Input_Raw!$A:$A,Input_Raw!$DP:$DP),"")</f>
        <v>0</v>
      </c>
      <c r="Y112" s="29">
        <f>IFERROR(_xlfn.XLOOKUP($A112,Input_Raw!$A:$A,Input_Raw!EW:EW),"")</f>
        <v>0</v>
      </c>
      <c r="Z112" s="29">
        <f>IFERROR(_xlfn.XLOOKUP($A112,Input_Raw!$A:$A,Input_Raw!EX:EX),"")</f>
        <v>0</v>
      </c>
      <c r="AA112" s="29">
        <f>IFERROR(_xlfn.XLOOKUP($A112,Input_Raw!$A:$A,Input_Raw!FA:FA),"")</f>
        <v>0</v>
      </c>
      <c r="AB112" s="9">
        <f>IFERROR(_xlfn.XLOOKUP($A112,Input_Raw!$A:$A,Input_Raw!FD:FD),"")</f>
        <v>0</v>
      </c>
      <c r="AC112" s="185">
        <f>IFERROR(_xlfn.XLOOKUP($D112,'Modelling New'!$D:$D,'Modelling New'!P:P),"")</f>
        <v>3.7967741935483872</v>
      </c>
      <c r="AD112" s="29">
        <f>IFERROR(_xlfn.XLOOKUP($D112,'Modelling New'!$D:$D,'Modelling New'!T:T)*1000,"")</f>
        <v>421061.81874810642</v>
      </c>
      <c r="AE112" s="233">
        <f>IFERROR(_xlfn.XLOOKUP($D112,'Modelling New'!$D:$D,'Modelling New'!O:O),"")</f>
        <v>0.85307603301688106</v>
      </c>
      <c r="AF112" s="233">
        <f>IFERROR(_xlfn.XLOOKUP($D112,'Modelling New'!$D:$D,'Modelling New'!W:W),"")</f>
        <v>0.13495571113721361</v>
      </c>
      <c r="AG112" s="233">
        <f>IFERROR(_xlfn.XLOOKUP($D112,'Modelling New'!$D:$D,'Modelling New'!AE:AE),"")</f>
        <v>0.995</v>
      </c>
      <c r="AH112" s="234">
        <f>IFERROR(_xlfn.XLOOKUP($D112,'Modelling New'!$D:$D,'Modelling New'!AF:AF),"")</f>
        <v>0.995</v>
      </c>
      <c r="AI112" s="9"/>
      <c r="AJ112" s="9"/>
      <c r="AK112" s="258"/>
      <c r="AL112" s="258"/>
      <c r="AM112" s="258"/>
      <c r="AN112" s="235"/>
      <c r="AO112" s="233"/>
      <c r="AP112" s="233"/>
      <c r="AQ112" s="233"/>
      <c r="AR112" s="236">
        <f>_xlfn.XLOOKUP(D112,'Modelling New'!$D:$D,'Modelling New'!$N:$N)</f>
        <v>130</v>
      </c>
      <c r="AS112" s="236">
        <f t="shared" si="13"/>
        <v>0</v>
      </c>
    </row>
    <row r="113" spans="1:45">
      <c r="A113" s="18">
        <f t="shared" si="14"/>
        <v>45856</v>
      </c>
      <c r="B113" s="29">
        <f>YEAR(Table13[[#This Row],[Date]])+IF(MONTH(Table13[[#This Row],[Date]])&gt;=4,1,0)</f>
        <v>2026</v>
      </c>
      <c r="C113" s="9">
        <f>YEAR(Table13[[#This Row],[Date]])</f>
        <v>2025</v>
      </c>
      <c r="D113" s="229">
        <f>Table13[[#This Row],[Date]]-DAY(Table13[[#This Row],[Date]])+1</f>
        <v>45839</v>
      </c>
      <c r="E113" s="9">
        <f t="shared" si="10"/>
        <v>31</v>
      </c>
      <c r="F113" s="199">
        <f>IFERROR(_xlfn.XLOOKUP($A113,Input_Raw!$A:$A,Input_Raw!$FC:$FC),"")</f>
        <v>0</v>
      </c>
      <c r="G113" s="185" t="str">
        <f>IFERROR(_xlfn.XLOOKUP($A113,Input_Raw!$A:$A,Input_Raw!$CY:$CY),"")</f>
        <v/>
      </c>
      <c r="H113" s="185" t="str">
        <f>IFERROR(_xlfn.XLOOKUP($A113,Input_Raw!$A:$A,Input_Raw!$DA:$DA),"")</f>
        <v/>
      </c>
      <c r="I113" s="185" t="str">
        <f>IFERROR(_xlfn.XLOOKUP($A113,Input_Raw!$A:$A,Input_Raw!$CX:$CX),"")</f>
        <v/>
      </c>
      <c r="J113" s="185" t="str">
        <f>IFERROR(_xlfn.XLOOKUP($A113,Input_Raw!$A:$A,Input_Raw!$CZ:$CZ),"")</f>
        <v/>
      </c>
      <c r="K113" s="201" t="str">
        <f>IFERROR(_xlfn.XLOOKUP($A113,Input_Raw!$A:$A,Input_Raw!$DB:$DB),"")</f>
        <v/>
      </c>
      <c r="L113" s="201" t="str">
        <f>IFERROR(_xlfn.XLOOKUP($A113,Input_Raw!$A:$A,Input_Raw!$DC:$DC),"")</f>
        <v/>
      </c>
      <c r="M113" s="200" t="str">
        <f>IFERROR(_xlfn.XLOOKUP($A113,Input_Raw!$A:$A,Input_Raw!$DF:$DF),"")</f>
        <v/>
      </c>
      <c r="N113" s="200" t="str">
        <f>IFERROR(_xlfn.XLOOKUP($A113,Input_Raw!$A:$A,Input_Raw!$DG:$DG),"")</f>
        <v/>
      </c>
      <c r="O113" s="230" t="str">
        <f>IFERROR(1-(SUMIF(Plant_BD!$B:$B,$A113,Plant_BD!$AL:$AL)/($AA113+SUMIF(Plant_BD!$B:$B,$A113,Plant_BD!$AL:$AL))),"")</f>
        <v/>
      </c>
      <c r="P113" s="230"/>
      <c r="Q113" s="231" t="str">
        <f>IFERROR(1-(SUMIF(Grid_BD!$B:$B,$A113,Grid_BD!$V:$V)/($AA113+SUMIF(Grid_BD!$B:$B,$A113,Grid_BD!$V:$V))),"")</f>
        <v/>
      </c>
      <c r="R113" s="230" t="str">
        <f>IFERROR(1-(SUMIF(Grid_BD!$B:$B,$A113,Grid_BD!$V:$V)/($AA113+SUMIF(Grid_BD!$B:$B,$A113,Grid_BD!$V:$V))),"")</f>
        <v/>
      </c>
      <c r="S113" s="9"/>
      <c r="T113" s="231"/>
      <c r="U113" s="232" t="str">
        <f t="shared" si="11"/>
        <v/>
      </c>
      <c r="V113" s="232" t="str">
        <f>IFERROR(_xlfn.XLOOKUP($A113,Input_Raw!$A:$A,Input_Raw!$FG:$FG),"")</f>
        <v/>
      </c>
      <c r="W113" s="233">
        <f t="shared" si="12"/>
        <v>0</v>
      </c>
      <c r="X113" s="29">
        <f>IFERROR(_xlfn.XLOOKUP($A113,Input_Raw!$A:$A,Input_Raw!$DP:$DP),"")</f>
        <v>0</v>
      </c>
      <c r="Y113" s="29">
        <f>IFERROR(_xlfn.XLOOKUP($A113,Input_Raw!$A:$A,Input_Raw!EW:EW),"")</f>
        <v>0</v>
      </c>
      <c r="Z113" s="29">
        <f>IFERROR(_xlfn.XLOOKUP($A113,Input_Raw!$A:$A,Input_Raw!EX:EX),"")</f>
        <v>0</v>
      </c>
      <c r="AA113" s="29">
        <f>IFERROR(_xlfn.XLOOKUP($A113,Input_Raw!$A:$A,Input_Raw!FA:FA),"")</f>
        <v>0</v>
      </c>
      <c r="AB113" s="9">
        <f>IFERROR(_xlfn.XLOOKUP($A113,Input_Raw!$A:$A,Input_Raw!FD:FD),"")</f>
        <v>0</v>
      </c>
      <c r="AC113" s="185">
        <f>IFERROR(_xlfn.XLOOKUP($D113,'Modelling New'!$D:$D,'Modelling New'!P:P),"")</f>
        <v>3.7967741935483872</v>
      </c>
      <c r="AD113" s="29">
        <f>IFERROR(_xlfn.XLOOKUP($D113,'Modelling New'!$D:$D,'Modelling New'!T:T)*1000,"")</f>
        <v>421061.81874810642</v>
      </c>
      <c r="AE113" s="233">
        <f>IFERROR(_xlfn.XLOOKUP($D113,'Modelling New'!$D:$D,'Modelling New'!O:O),"")</f>
        <v>0.85307603301688106</v>
      </c>
      <c r="AF113" s="233">
        <f>IFERROR(_xlfn.XLOOKUP($D113,'Modelling New'!$D:$D,'Modelling New'!W:W),"")</f>
        <v>0.13495571113721361</v>
      </c>
      <c r="AG113" s="233">
        <f>IFERROR(_xlfn.XLOOKUP($D113,'Modelling New'!$D:$D,'Modelling New'!AE:AE),"")</f>
        <v>0.995</v>
      </c>
      <c r="AH113" s="234">
        <f>IFERROR(_xlfn.XLOOKUP($D113,'Modelling New'!$D:$D,'Modelling New'!AF:AF),"")</f>
        <v>0.995</v>
      </c>
      <c r="AI113" s="9"/>
      <c r="AJ113" s="9"/>
      <c r="AK113" s="258"/>
      <c r="AL113" s="258"/>
      <c r="AM113" s="258"/>
      <c r="AN113" s="235"/>
      <c r="AO113" s="233"/>
      <c r="AP113" s="233"/>
      <c r="AQ113" s="233"/>
      <c r="AR113" s="236">
        <f>_xlfn.XLOOKUP(D113,'Modelling New'!$D:$D,'Modelling New'!$N:$N)</f>
        <v>130</v>
      </c>
      <c r="AS113" s="236">
        <f t="shared" si="13"/>
        <v>0</v>
      </c>
    </row>
    <row r="114" spans="1:45">
      <c r="A114" s="18">
        <f t="shared" si="14"/>
        <v>45857</v>
      </c>
      <c r="B114" s="29">
        <f>YEAR(Table13[[#This Row],[Date]])+IF(MONTH(Table13[[#This Row],[Date]])&gt;=4,1,0)</f>
        <v>2026</v>
      </c>
      <c r="C114" s="9">
        <f>YEAR(Table13[[#This Row],[Date]])</f>
        <v>2025</v>
      </c>
      <c r="D114" s="229">
        <f>Table13[[#This Row],[Date]]-DAY(Table13[[#This Row],[Date]])+1</f>
        <v>45839</v>
      </c>
      <c r="E114" s="9">
        <f t="shared" si="10"/>
        <v>31</v>
      </c>
      <c r="F114" s="199">
        <f>IFERROR(_xlfn.XLOOKUP($A114,Input_Raw!$A:$A,Input_Raw!$FC:$FC),"")</f>
        <v>0</v>
      </c>
      <c r="G114" s="200" t="str">
        <f>IFERROR(_xlfn.XLOOKUP($A114,Input_Raw!$A:$A,Input_Raw!$CY:$CY),"")</f>
        <v/>
      </c>
      <c r="H114" s="200" t="str">
        <f>IFERROR(_xlfn.XLOOKUP($A114,Input_Raw!$A:$A,Input_Raw!$DA:$DA),"")</f>
        <v/>
      </c>
      <c r="I114" s="200" t="str">
        <f>IFERROR(_xlfn.XLOOKUP($A114,Input_Raw!$A:$A,Input_Raw!$CX:$CX),"")</f>
        <v/>
      </c>
      <c r="J114" s="200" t="str">
        <f>IFERROR(_xlfn.XLOOKUP($A114,Input_Raw!$A:$A,Input_Raw!$CZ:$CZ),"")</f>
        <v/>
      </c>
      <c r="K114" s="201" t="str">
        <f>IFERROR(_xlfn.XLOOKUP($A114,Input_Raw!$A:$A,Input_Raw!$DB:$DB),"")</f>
        <v/>
      </c>
      <c r="L114" s="201" t="str">
        <f>IFERROR(_xlfn.XLOOKUP($A114,Input_Raw!$A:$A,Input_Raw!$DC:$DC),"")</f>
        <v/>
      </c>
      <c r="M114" s="200" t="str">
        <f>IFERROR(_xlfn.XLOOKUP($A114,Input_Raw!$A:$A,Input_Raw!$DF:$DF),"")</f>
        <v/>
      </c>
      <c r="N114" s="200" t="str">
        <f>IFERROR(_xlfn.XLOOKUP($A114,Input_Raw!$A:$A,Input_Raw!$DG:$DG),"")</f>
        <v/>
      </c>
      <c r="O114" s="230" t="str">
        <f>IFERROR(1-(SUMIF(Plant_BD!$B:$B,$A114,Plant_BD!$AL:$AL)/($AA114+SUMIF(Plant_BD!$B:$B,$A114,Plant_BD!$AL:$AL))),"")</f>
        <v/>
      </c>
      <c r="P114" s="230"/>
      <c r="Q114" s="231" t="str">
        <f>IFERROR(1-(SUMIF(Grid_BD!$B:$B,$A114,Grid_BD!$V:$V)/($AA114+SUMIF(Grid_BD!$B:$B,$A114,Grid_BD!$V:$V))),"")</f>
        <v/>
      </c>
      <c r="R114" s="230" t="str">
        <f>IFERROR(1-(SUMIF(Grid_BD!$B:$B,$A114,Grid_BD!$V:$V)/($AA114+SUMIF(Grid_BD!$B:$B,$A114,Grid_BD!$V:$V))),"")</f>
        <v/>
      </c>
      <c r="S114" s="9"/>
      <c r="T114" s="231"/>
      <c r="U114" s="232" t="str">
        <f t="shared" si="11"/>
        <v/>
      </c>
      <c r="V114" s="232" t="str">
        <f>IFERROR(_xlfn.XLOOKUP($A114,Input_Raw!$A:$A,Input_Raw!$FG:$FG),"")</f>
        <v/>
      </c>
      <c r="W114" s="233">
        <f t="shared" si="12"/>
        <v>0</v>
      </c>
      <c r="X114" s="29">
        <f>IFERROR(_xlfn.XLOOKUP($A114,Input_Raw!$A:$A,Input_Raw!$DP:$DP),"")</f>
        <v>0</v>
      </c>
      <c r="Y114" s="29">
        <f>IFERROR(_xlfn.XLOOKUP($A114,Input_Raw!$A:$A,Input_Raw!EW:EW),"")</f>
        <v>0</v>
      </c>
      <c r="Z114" s="29">
        <f>IFERROR(_xlfn.XLOOKUP($A114,Input_Raw!$A:$A,Input_Raw!EX:EX),"")</f>
        <v>0</v>
      </c>
      <c r="AA114" s="29">
        <f>IFERROR(_xlfn.XLOOKUP($A114,Input_Raw!$A:$A,Input_Raw!FA:FA),"")</f>
        <v>0</v>
      </c>
      <c r="AB114" s="9">
        <f>IFERROR(_xlfn.XLOOKUP($A114,Input_Raw!$A:$A,Input_Raw!FD:FD),"")</f>
        <v>0</v>
      </c>
      <c r="AC114" s="185">
        <f>IFERROR(_xlfn.XLOOKUP($D114,'Modelling New'!$D:$D,'Modelling New'!P:P),"")</f>
        <v>3.7967741935483872</v>
      </c>
      <c r="AD114" s="29">
        <f>IFERROR(_xlfn.XLOOKUP($D114,'Modelling New'!$D:$D,'Modelling New'!T:T)*1000,"")</f>
        <v>421061.81874810642</v>
      </c>
      <c r="AE114" s="233">
        <f>IFERROR(_xlfn.XLOOKUP($D114,'Modelling New'!$D:$D,'Modelling New'!O:O),"")</f>
        <v>0.85307603301688106</v>
      </c>
      <c r="AF114" s="233">
        <f>IFERROR(_xlfn.XLOOKUP($D114,'Modelling New'!$D:$D,'Modelling New'!W:W),"")</f>
        <v>0.13495571113721361</v>
      </c>
      <c r="AG114" s="233">
        <f>IFERROR(_xlfn.XLOOKUP($D114,'Modelling New'!$D:$D,'Modelling New'!AE:AE),"")</f>
        <v>0.995</v>
      </c>
      <c r="AH114" s="234">
        <f>IFERROR(_xlfn.XLOOKUP($D114,'Modelling New'!$D:$D,'Modelling New'!AF:AF),"")</f>
        <v>0.995</v>
      </c>
      <c r="AI114" s="9"/>
      <c r="AJ114" s="9"/>
      <c r="AK114" s="258"/>
      <c r="AL114" s="258"/>
      <c r="AM114" s="258"/>
      <c r="AN114" s="235"/>
      <c r="AO114" s="233"/>
      <c r="AP114" s="233"/>
      <c r="AQ114" s="233"/>
      <c r="AR114" s="236">
        <f>_xlfn.XLOOKUP(D114,'Modelling New'!$D:$D,'Modelling New'!$N:$N)</f>
        <v>130</v>
      </c>
      <c r="AS114" s="236">
        <f t="shared" si="13"/>
        <v>0</v>
      </c>
    </row>
    <row r="115" spans="1:45">
      <c r="A115" s="18">
        <f t="shared" si="14"/>
        <v>45858</v>
      </c>
      <c r="B115" s="29">
        <f>YEAR(Table13[[#This Row],[Date]])+IF(MONTH(Table13[[#This Row],[Date]])&gt;=4,1,0)</f>
        <v>2026</v>
      </c>
      <c r="C115" s="9">
        <f>YEAR(Table13[[#This Row],[Date]])</f>
        <v>2025</v>
      </c>
      <c r="D115" s="229">
        <f>Table13[[#This Row],[Date]]-DAY(Table13[[#This Row],[Date]])+1</f>
        <v>45839</v>
      </c>
      <c r="E115" s="9">
        <f t="shared" si="10"/>
        <v>31</v>
      </c>
      <c r="F115" s="199">
        <f>IFERROR(_xlfn.XLOOKUP($A115,Input_Raw!$A:$A,Input_Raw!$FC:$FC),"")</f>
        <v>0</v>
      </c>
      <c r="G115" s="185" t="str">
        <f>IFERROR(_xlfn.XLOOKUP($A115,Input_Raw!$A:$A,Input_Raw!$CY:$CY),"")</f>
        <v/>
      </c>
      <c r="H115" s="185" t="str">
        <f>IFERROR(_xlfn.XLOOKUP($A115,Input_Raw!$A:$A,Input_Raw!$DA:$DA),"")</f>
        <v/>
      </c>
      <c r="I115" s="185" t="str">
        <f>IFERROR(_xlfn.XLOOKUP($A115,Input_Raw!$A:$A,Input_Raw!$CX:$CX),"")</f>
        <v/>
      </c>
      <c r="J115" s="185" t="str">
        <f>IFERROR(_xlfn.XLOOKUP($A115,Input_Raw!$A:$A,Input_Raw!$CZ:$CZ),"")</f>
        <v/>
      </c>
      <c r="K115" s="201" t="str">
        <f>IFERROR(_xlfn.XLOOKUP($A115,Input_Raw!$A:$A,Input_Raw!$DB:$DB),"")</f>
        <v/>
      </c>
      <c r="L115" s="201" t="str">
        <f>IFERROR(_xlfn.XLOOKUP($A115,Input_Raw!$A:$A,Input_Raw!$DC:$DC),"")</f>
        <v/>
      </c>
      <c r="M115" s="200" t="str">
        <f>IFERROR(_xlfn.XLOOKUP($A115,Input_Raw!$A:$A,Input_Raw!$DF:$DF),"")</f>
        <v/>
      </c>
      <c r="N115" s="200" t="str">
        <f>IFERROR(_xlfn.XLOOKUP($A115,Input_Raw!$A:$A,Input_Raw!$DG:$DG),"")</f>
        <v/>
      </c>
      <c r="O115" s="230" t="str">
        <f>IFERROR(1-(SUMIF(Plant_BD!$B:$B,$A115,Plant_BD!$AL:$AL)/($AA115+SUMIF(Plant_BD!$B:$B,$A115,Plant_BD!$AL:$AL))),"")</f>
        <v/>
      </c>
      <c r="P115" s="230"/>
      <c r="Q115" s="231" t="str">
        <f>IFERROR(1-(SUMIF(Grid_BD!$B:$B,$A115,Grid_BD!$V:$V)/($AA115+SUMIF(Grid_BD!$B:$B,$A115,Grid_BD!$V:$V))),"")</f>
        <v/>
      </c>
      <c r="R115" s="230" t="str">
        <f>IFERROR(1-(SUMIF(Grid_BD!$B:$B,$A115,Grid_BD!$V:$V)/($AA115+SUMIF(Grid_BD!$B:$B,$A115,Grid_BD!$V:$V))),"")</f>
        <v/>
      </c>
      <c r="S115" s="9"/>
      <c r="T115" s="231"/>
      <c r="U115" s="232" t="str">
        <f t="shared" si="11"/>
        <v/>
      </c>
      <c r="V115" s="232" t="str">
        <f>IFERROR(_xlfn.XLOOKUP($A115,Input_Raw!$A:$A,Input_Raw!$FG:$FG),"")</f>
        <v/>
      </c>
      <c r="W115" s="233">
        <f t="shared" si="12"/>
        <v>0</v>
      </c>
      <c r="X115" s="29">
        <f>IFERROR(_xlfn.XLOOKUP($A115,Input_Raw!$A:$A,Input_Raw!$DP:$DP),"")</f>
        <v>0</v>
      </c>
      <c r="Y115" s="29">
        <f>IFERROR(_xlfn.XLOOKUP($A115,Input_Raw!$A:$A,Input_Raw!EW:EW),"")</f>
        <v>0</v>
      </c>
      <c r="Z115" s="29">
        <f>IFERROR(_xlfn.XLOOKUP($A115,Input_Raw!$A:$A,Input_Raw!EX:EX),"")</f>
        <v>0</v>
      </c>
      <c r="AA115" s="29">
        <f>IFERROR(_xlfn.XLOOKUP($A115,Input_Raw!$A:$A,Input_Raw!FA:FA),"")</f>
        <v>0</v>
      </c>
      <c r="AB115" s="9">
        <f>IFERROR(_xlfn.XLOOKUP($A115,Input_Raw!$A:$A,Input_Raw!FD:FD),"")</f>
        <v>0</v>
      </c>
      <c r="AC115" s="185">
        <f>IFERROR(_xlfn.XLOOKUP($D115,'Modelling New'!$D:$D,'Modelling New'!P:P),"")</f>
        <v>3.7967741935483872</v>
      </c>
      <c r="AD115" s="29">
        <f>IFERROR(_xlfn.XLOOKUP($D115,'Modelling New'!$D:$D,'Modelling New'!T:T)*1000,"")</f>
        <v>421061.81874810642</v>
      </c>
      <c r="AE115" s="233">
        <f>IFERROR(_xlfn.XLOOKUP($D115,'Modelling New'!$D:$D,'Modelling New'!O:O),"")</f>
        <v>0.85307603301688106</v>
      </c>
      <c r="AF115" s="233">
        <f>IFERROR(_xlfn.XLOOKUP($D115,'Modelling New'!$D:$D,'Modelling New'!W:W),"")</f>
        <v>0.13495571113721361</v>
      </c>
      <c r="AG115" s="233">
        <f>IFERROR(_xlfn.XLOOKUP($D115,'Modelling New'!$D:$D,'Modelling New'!AE:AE),"")</f>
        <v>0.995</v>
      </c>
      <c r="AH115" s="234">
        <f>IFERROR(_xlfn.XLOOKUP($D115,'Modelling New'!$D:$D,'Modelling New'!AF:AF),"")</f>
        <v>0.995</v>
      </c>
      <c r="AI115" s="9"/>
      <c r="AJ115" s="9"/>
      <c r="AK115" s="258"/>
      <c r="AL115" s="258"/>
      <c r="AM115" s="258"/>
      <c r="AN115" s="235"/>
      <c r="AO115" s="233"/>
      <c r="AP115" s="233"/>
      <c r="AQ115" s="233"/>
      <c r="AR115" s="236">
        <f>_xlfn.XLOOKUP(D115,'Modelling New'!$D:$D,'Modelling New'!$N:$N)</f>
        <v>130</v>
      </c>
      <c r="AS115" s="236">
        <f t="shared" si="13"/>
        <v>0</v>
      </c>
    </row>
    <row r="116" spans="1:45">
      <c r="A116" s="18">
        <f t="shared" si="14"/>
        <v>45859</v>
      </c>
      <c r="B116" s="29">
        <f>YEAR(Table13[[#This Row],[Date]])+IF(MONTH(Table13[[#This Row],[Date]])&gt;=4,1,0)</f>
        <v>2026</v>
      </c>
      <c r="C116" s="9">
        <f>YEAR(Table13[[#This Row],[Date]])</f>
        <v>2025</v>
      </c>
      <c r="D116" s="229">
        <f>Table13[[#This Row],[Date]]-DAY(Table13[[#This Row],[Date]])+1</f>
        <v>45839</v>
      </c>
      <c r="E116" s="9">
        <f t="shared" si="10"/>
        <v>31</v>
      </c>
      <c r="F116" s="199">
        <f>IFERROR(_xlfn.XLOOKUP($A116,Input_Raw!$A:$A,Input_Raw!$FC:$FC),"")</f>
        <v>0</v>
      </c>
      <c r="G116" s="200" t="str">
        <f>IFERROR(_xlfn.XLOOKUP($A116,Input_Raw!$A:$A,Input_Raw!$CY:$CY),"")</f>
        <v/>
      </c>
      <c r="H116" s="200" t="str">
        <f>IFERROR(_xlfn.XLOOKUP($A116,Input_Raw!$A:$A,Input_Raw!$DA:$DA),"")</f>
        <v/>
      </c>
      <c r="I116" s="200" t="str">
        <f>IFERROR(_xlfn.XLOOKUP($A116,Input_Raw!$A:$A,Input_Raw!$CX:$CX),"")</f>
        <v/>
      </c>
      <c r="J116" s="200" t="str">
        <f>IFERROR(_xlfn.XLOOKUP($A116,Input_Raw!$A:$A,Input_Raw!$CZ:$CZ),"")</f>
        <v/>
      </c>
      <c r="K116" s="201" t="str">
        <f>IFERROR(_xlfn.XLOOKUP($A116,Input_Raw!$A:$A,Input_Raw!$DB:$DB),"")</f>
        <v/>
      </c>
      <c r="L116" s="201" t="str">
        <f>IFERROR(_xlfn.XLOOKUP($A116,Input_Raw!$A:$A,Input_Raw!$DC:$DC),"")</f>
        <v/>
      </c>
      <c r="M116" s="200" t="str">
        <f>IFERROR(_xlfn.XLOOKUP($A116,Input_Raw!$A:$A,Input_Raw!$DF:$DF),"")</f>
        <v/>
      </c>
      <c r="N116" s="200" t="str">
        <f>IFERROR(_xlfn.XLOOKUP($A116,Input_Raw!$A:$A,Input_Raw!$DG:$DG),"")</f>
        <v/>
      </c>
      <c r="O116" s="230" t="str">
        <f>IFERROR(1-(SUMIF(Plant_BD!$B:$B,$A116,Plant_BD!$AL:$AL)/($AA116+SUMIF(Plant_BD!$B:$B,$A116,Plant_BD!$AL:$AL))),"")</f>
        <v/>
      </c>
      <c r="P116" s="230"/>
      <c r="Q116" s="231" t="str">
        <f>IFERROR(1-(SUMIF(Grid_BD!$B:$B,$A116,Grid_BD!$V:$V)/($AA116+SUMIF(Grid_BD!$B:$B,$A116,Grid_BD!$V:$V))),"")</f>
        <v/>
      </c>
      <c r="R116" s="230" t="str">
        <f>IFERROR(1-(SUMIF(Grid_BD!$B:$B,$A116,Grid_BD!$V:$V)/($AA116+SUMIF(Grid_BD!$B:$B,$A116,Grid_BD!$V:$V))),"")</f>
        <v/>
      </c>
      <c r="S116" s="9"/>
      <c r="T116" s="231"/>
      <c r="U116" s="232" t="str">
        <f t="shared" si="11"/>
        <v/>
      </c>
      <c r="V116" s="232" t="str">
        <f>IFERROR(_xlfn.XLOOKUP($A116,Input_Raw!$A:$A,Input_Raw!$FG:$FG),"")</f>
        <v/>
      </c>
      <c r="W116" s="233">
        <f t="shared" si="12"/>
        <v>0</v>
      </c>
      <c r="X116" s="29">
        <f>IFERROR(_xlfn.XLOOKUP($A116,Input_Raw!$A:$A,Input_Raw!$DP:$DP),"")</f>
        <v>0</v>
      </c>
      <c r="Y116" s="29">
        <f>IFERROR(_xlfn.XLOOKUP($A116,Input_Raw!$A:$A,Input_Raw!EW:EW),"")</f>
        <v>0</v>
      </c>
      <c r="Z116" s="29">
        <f>IFERROR(_xlfn.XLOOKUP($A116,Input_Raw!$A:$A,Input_Raw!EX:EX),"")</f>
        <v>0</v>
      </c>
      <c r="AA116" s="29">
        <f>IFERROR(_xlfn.XLOOKUP($A116,Input_Raw!$A:$A,Input_Raw!FA:FA),"")</f>
        <v>0</v>
      </c>
      <c r="AB116" s="9">
        <f>IFERROR(_xlfn.XLOOKUP($A116,Input_Raw!$A:$A,Input_Raw!FD:FD),"")</f>
        <v>0</v>
      </c>
      <c r="AC116" s="185">
        <f>IFERROR(_xlfn.XLOOKUP($D116,'Modelling New'!$D:$D,'Modelling New'!P:P),"")</f>
        <v>3.7967741935483872</v>
      </c>
      <c r="AD116" s="29">
        <f>IFERROR(_xlfn.XLOOKUP($D116,'Modelling New'!$D:$D,'Modelling New'!T:T)*1000,"")</f>
        <v>421061.81874810642</v>
      </c>
      <c r="AE116" s="233">
        <f>IFERROR(_xlfn.XLOOKUP($D116,'Modelling New'!$D:$D,'Modelling New'!O:O),"")</f>
        <v>0.85307603301688106</v>
      </c>
      <c r="AF116" s="233">
        <f>IFERROR(_xlfn.XLOOKUP($D116,'Modelling New'!$D:$D,'Modelling New'!W:W),"")</f>
        <v>0.13495571113721361</v>
      </c>
      <c r="AG116" s="233">
        <f>IFERROR(_xlfn.XLOOKUP($D116,'Modelling New'!$D:$D,'Modelling New'!AE:AE),"")</f>
        <v>0.995</v>
      </c>
      <c r="AH116" s="234">
        <f>IFERROR(_xlfn.XLOOKUP($D116,'Modelling New'!$D:$D,'Modelling New'!AF:AF),"")</f>
        <v>0.995</v>
      </c>
      <c r="AI116" s="9"/>
      <c r="AJ116" s="9"/>
      <c r="AK116" s="258"/>
      <c r="AL116" s="258"/>
      <c r="AM116" s="258"/>
      <c r="AN116" s="235"/>
      <c r="AO116" s="233"/>
      <c r="AP116" s="233"/>
      <c r="AQ116" s="233"/>
      <c r="AR116" s="236">
        <f>_xlfn.XLOOKUP(D116,'Modelling New'!$D:$D,'Modelling New'!$N:$N)</f>
        <v>130</v>
      </c>
      <c r="AS116" s="236">
        <f t="shared" si="13"/>
        <v>0</v>
      </c>
    </row>
    <row r="117" spans="1:45">
      <c r="A117" s="18">
        <f t="shared" si="14"/>
        <v>45860</v>
      </c>
      <c r="B117" s="29">
        <f>YEAR(Table13[[#This Row],[Date]])+IF(MONTH(Table13[[#This Row],[Date]])&gt;=4,1,0)</f>
        <v>2026</v>
      </c>
      <c r="C117" s="9">
        <f>YEAR(Table13[[#This Row],[Date]])</f>
        <v>2025</v>
      </c>
      <c r="D117" s="229">
        <f>Table13[[#This Row],[Date]]-DAY(Table13[[#This Row],[Date]])+1</f>
        <v>45839</v>
      </c>
      <c r="E117" s="9">
        <f t="shared" si="10"/>
        <v>31</v>
      </c>
      <c r="F117" s="199">
        <f>IFERROR(_xlfn.XLOOKUP($A117,Input_Raw!$A:$A,Input_Raw!$FC:$FC),"")</f>
        <v>0</v>
      </c>
      <c r="G117" s="185" t="str">
        <f>IFERROR(_xlfn.XLOOKUP($A117,Input_Raw!$A:$A,Input_Raw!$CY:$CY),"")</f>
        <v/>
      </c>
      <c r="H117" s="185" t="str">
        <f>IFERROR(_xlfn.XLOOKUP($A117,Input_Raw!$A:$A,Input_Raw!$DA:$DA),"")</f>
        <v/>
      </c>
      <c r="I117" s="185" t="str">
        <f>IFERROR(_xlfn.XLOOKUP($A117,Input_Raw!$A:$A,Input_Raw!$CX:$CX),"")</f>
        <v/>
      </c>
      <c r="J117" s="185" t="str">
        <f>IFERROR(_xlfn.XLOOKUP($A117,Input_Raw!$A:$A,Input_Raw!$CZ:$CZ),"")</f>
        <v/>
      </c>
      <c r="K117" s="201" t="str">
        <f>IFERROR(_xlfn.XLOOKUP($A117,Input_Raw!$A:$A,Input_Raw!$DB:$DB),"")</f>
        <v/>
      </c>
      <c r="L117" s="201" t="str">
        <f>IFERROR(_xlfn.XLOOKUP($A117,Input_Raw!$A:$A,Input_Raw!$DC:$DC),"")</f>
        <v/>
      </c>
      <c r="M117" s="200" t="str">
        <f>IFERROR(_xlfn.XLOOKUP($A117,Input_Raw!$A:$A,Input_Raw!$DF:$DF),"")</f>
        <v/>
      </c>
      <c r="N117" s="200" t="str">
        <f>IFERROR(_xlfn.XLOOKUP($A117,Input_Raw!$A:$A,Input_Raw!$DG:$DG),"")</f>
        <v/>
      </c>
      <c r="O117" s="230" t="str">
        <f>IFERROR(1-(SUMIF(Plant_BD!$B:$B,$A117,Plant_BD!$AL:$AL)/($AA117+SUMIF(Plant_BD!$B:$B,$A117,Plant_BD!$AL:$AL))),"")</f>
        <v/>
      </c>
      <c r="P117" s="230"/>
      <c r="Q117" s="231" t="str">
        <f>IFERROR(1-(SUMIF(Grid_BD!$B:$B,$A117,Grid_BD!$V:$V)/($AA117+SUMIF(Grid_BD!$B:$B,$A117,Grid_BD!$V:$V))),"")</f>
        <v/>
      </c>
      <c r="R117" s="230" t="str">
        <f>IFERROR(1-(SUMIF(Grid_BD!$B:$B,$A117,Grid_BD!$V:$V)/($AA117+SUMIF(Grid_BD!$B:$B,$A117,Grid_BD!$V:$V))),"")</f>
        <v/>
      </c>
      <c r="S117" s="9"/>
      <c r="T117" s="231"/>
      <c r="U117" s="232" t="str">
        <f t="shared" si="11"/>
        <v/>
      </c>
      <c r="V117" s="232" t="str">
        <f>IFERROR(_xlfn.XLOOKUP($A117,Input_Raw!$A:$A,Input_Raw!$FG:$FG),"")</f>
        <v/>
      </c>
      <c r="W117" s="233">
        <f t="shared" si="12"/>
        <v>0</v>
      </c>
      <c r="X117" s="29">
        <f>IFERROR(_xlfn.XLOOKUP($A117,Input_Raw!$A:$A,Input_Raw!$DP:$DP),"")</f>
        <v>0</v>
      </c>
      <c r="Y117" s="29">
        <f>IFERROR(_xlfn.XLOOKUP($A117,Input_Raw!$A:$A,Input_Raw!EW:EW),"")</f>
        <v>0</v>
      </c>
      <c r="Z117" s="29">
        <f>IFERROR(_xlfn.XLOOKUP($A117,Input_Raw!$A:$A,Input_Raw!EX:EX),"")</f>
        <v>0</v>
      </c>
      <c r="AA117" s="29">
        <f>IFERROR(_xlfn.XLOOKUP($A117,Input_Raw!$A:$A,Input_Raw!FA:FA),"")</f>
        <v>0</v>
      </c>
      <c r="AB117" s="9">
        <f>IFERROR(_xlfn.XLOOKUP($A117,Input_Raw!$A:$A,Input_Raw!FD:FD),"")</f>
        <v>0</v>
      </c>
      <c r="AC117" s="185">
        <f>IFERROR(_xlfn.XLOOKUP($D117,'Modelling New'!$D:$D,'Modelling New'!P:P),"")</f>
        <v>3.7967741935483872</v>
      </c>
      <c r="AD117" s="29">
        <f>IFERROR(_xlfn.XLOOKUP($D117,'Modelling New'!$D:$D,'Modelling New'!T:T)*1000,"")</f>
        <v>421061.81874810642</v>
      </c>
      <c r="AE117" s="233">
        <f>IFERROR(_xlfn.XLOOKUP($D117,'Modelling New'!$D:$D,'Modelling New'!O:O),"")</f>
        <v>0.85307603301688106</v>
      </c>
      <c r="AF117" s="233">
        <f>IFERROR(_xlfn.XLOOKUP($D117,'Modelling New'!$D:$D,'Modelling New'!W:W),"")</f>
        <v>0.13495571113721361</v>
      </c>
      <c r="AG117" s="233">
        <f>IFERROR(_xlfn.XLOOKUP($D117,'Modelling New'!$D:$D,'Modelling New'!AE:AE),"")</f>
        <v>0.995</v>
      </c>
      <c r="AH117" s="234">
        <f>IFERROR(_xlfn.XLOOKUP($D117,'Modelling New'!$D:$D,'Modelling New'!AF:AF),"")</f>
        <v>0.995</v>
      </c>
      <c r="AI117" s="9"/>
      <c r="AJ117" s="9"/>
      <c r="AK117" s="258"/>
      <c r="AL117" s="258"/>
      <c r="AM117" s="258"/>
      <c r="AN117" s="235"/>
      <c r="AO117" s="233"/>
      <c r="AP117" s="233"/>
      <c r="AQ117" s="233"/>
      <c r="AR117" s="236">
        <f>_xlfn.XLOOKUP(D117,'Modelling New'!$D:$D,'Modelling New'!$N:$N)</f>
        <v>130</v>
      </c>
      <c r="AS117" s="236">
        <f t="shared" si="13"/>
        <v>0</v>
      </c>
    </row>
    <row r="118" spans="1:45">
      <c r="A118" s="18">
        <f t="shared" si="14"/>
        <v>45861</v>
      </c>
      <c r="B118" s="29">
        <f>YEAR(Table13[[#This Row],[Date]])+IF(MONTH(Table13[[#This Row],[Date]])&gt;=4,1,0)</f>
        <v>2026</v>
      </c>
      <c r="C118" s="9">
        <f>YEAR(Table13[[#This Row],[Date]])</f>
        <v>2025</v>
      </c>
      <c r="D118" s="229">
        <f>Table13[[#This Row],[Date]]-DAY(Table13[[#This Row],[Date]])+1</f>
        <v>45839</v>
      </c>
      <c r="E118" s="9">
        <f t="shared" si="10"/>
        <v>31</v>
      </c>
      <c r="F118" s="199">
        <f>IFERROR(_xlfn.XLOOKUP($A118,Input_Raw!$A:$A,Input_Raw!$FC:$FC),"")</f>
        <v>0</v>
      </c>
      <c r="G118" s="200" t="str">
        <f>IFERROR(_xlfn.XLOOKUP($A118,Input_Raw!$A:$A,Input_Raw!$CY:$CY),"")</f>
        <v/>
      </c>
      <c r="H118" s="200" t="str">
        <f>IFERROR(_xlfn.XLOOKUP($A118,Input_Raw!$A:$A,Input_Raw!$DA:$DA),"")</f>
        <v/>
      </c>
      <c r="I118" s="200" t="str">
        <f>IFERROR(_xlfn.XLOOKUP($A118,Input_Raw!$A:$A,Input_Raw!$CX:$CX),"")</f>
        <v/>
      </c>
      <c r="J118" s="200" t="str">
        <f>IFERROR(_xlfn.XLOOKUP($A118,Input_Raw!$A:$A,Input_Raw!$CZ:$CZ),"")</f>
        <v/>
      </c>
      <c r="K118" s="201" t="str">
        <f>IFERROR(_xlfn.XLOOKUP($A118,Input_Raw!$A:$A,Input_Raw!$DB:$DB),"")</f>
        <v/>
      </c>
      <c r="L118" s="201" t="str">
        <f>IFERROR(_xlfn.XLOOKUP($A118,Input_Raw!$A:$A,Input_Raw!$DC:$DC),"")</f>
        <v/>
      </c>
      <c r="M118" s="200" t="str">
        <f>IFERROR(_xlfn.XLOOKUP($A118,Input_Raw!$A:$A,Input_Raw!$DF:$DF),"")</f>
        <v/>
      </c>
      <c r="N118" s="200" t="str">
        <f>IFERROR(_xlfn.XLOOKUP($A118,Input_Raw!$A:$A,Input_Raw!$DG:$DG),"")</f>
        <v/>
      </c>
      <c r="O118" s="230" t="str">
        <f>IFERROR(1-(SUMIF(Plant_BD!$B:$B,$A118,Plant_BD!$AL:$AL)/($AA118+SUMIF(Plant_BD!$B:$B,$A118,Plant_BD!$AL:$AL))),"")</f>
        <v/>
      </c>
      <c r="P118" s="230"/>
      <c r="Q118" s="231" t="str">
        <f>IFERROR(1-(SUMIF(Grid_BD!$B:$B,$A118,Grid_BD!$V:$V)/($AA118+SUMIF(Grid_BD!$B:$B,$A118,Grid_BD!$V:$V))),"")</f>
        <v/>
      </c>
      <c r="R118" s="230" t="str">
        <f>IFERROR(1-(SUMIF(Grid_BD!$B:$B,$A118,Grid_BD!$V:$V)/($AA118+SUMIF(Grid_BD!$B:$B,$A118,Grid_BD!$V:$V))),"")</f>
        <v/>
      </c>
      <c r="S118" s="9"/>
      <c r="T118" s="231"/>
      <c r="U118" s="232" t="str">
        <f t="shared" si="11"/>
        <v/>
      </c>
      <c r="V118" s="232" t="str">
        <f>IFERROR(_xlfn.XLOOKUP($A118,Input_Raw!$A:$A,Input_Raw!$FG:$FG),"")</f>
        <v/>
      </c>
      <c r="W118" s="233">
        <f t="shared" si="12"/>
        <v>0</v>
      </c>
      <c r="X118" s="29">
        <f>IFERROR(_xlfn.XLOOKUP($A118,Input_Raw!$A:$A,Input_Raw!$DP:$DP),"")</f>
        <v>0</v>
      </c>
      <c r="Y118" s="29">
        <f>IFERROR(_xlfn.XLOOKUP($A118,Input_Raw!$A:$A,Input_Raw!EW:EW),"")</f>
        <v>0</v>
      </c>
      <c r="Z118" s="29">
        <f>IFERROR(_xlfn.XLOOKUP($A118,Input_Raw!$A:$A,Input_Raw!EX:EX),"")</f>
        <v>0</v>
      </c>
      <c r="AA118" s="29">
        <f>IFERROR(_xlfn.XLOOKUP($A118,Input_Raw!$A:$A,Input_Raw!FA:FA),"")</f>
        <v>0</v>
      </c>
      <c r="AB118" s="9">
        <f>IFERROR(_xlfn.XLOOKUP($A118,Input_Raw!$A:$A,Input_Raw!FD:FD),"")</f>
        <v>0</v>
      </c>
      <c r="AC118" s="185">
        <f>IFERROR(_xlfn.XLOOKUP($D118,'Modelling New'!$D:$D,'Modelling New'!P:P),"")</f>
        <v>3.7967741935483872</v>
      </c>
      <c r="AD118" s="29">
        <f>IFERROR(_xlfn.XLOOKUP($D118,'Modelling New'!$D:$D,'Modelling New'!T:T)*1000,"")</f>
        <v>421061.81874810642</v>
      </c>
      <c r="AE118" s="233">
        <f>IFERROR(_xlfn.XLOOKUP($D118,'Modelling New'!$D:$D,'Modelling New'!O:O),"")</f>
        <v>0.85307603301688106</v>
      </c>
      <c r="AF118" s="233">
        <f>IFERROR(_xlfn.XLOOKUP($D118,'Modelling New'!$D:$D,'Modelling New'!W:W),"")</f>
        <v>0.13495571113721361</v>
      </c>
      <c r="AG118" s="233">
        <f>IFERROR(_xlfn.XLOOKUP($D118,'Modelling New'!$D:$D,'Modelling New'!AE:AE),"")</f>
        <v>0.995</v>
      </c>
      <c r="AH118" s="234">
        <f>IFERROR(_xlfn.XLOOKUP($D118,'Modelling New'!$D:$D,'Modelling New'!AF:AF),"")</f>
        <v>0.995</v>
      </c>
      <c r="AI118" s="9"/>
      <c r="AJ118" s="9"/>
      <c r="AK118" s="258"/>
      <c r="AL118" s="258"/>
      <c r="AM118" s="258"/>
      <c r="AN118" s="235"/>
      <c r="AO118" s="233"/>
      <c r="AP118" s="233"/>
      <c r="AQ118" s="233"/>
      <c r="AR118" s="236">
        <f>_xlfn.XLOOKUP(D118,'Modelling New'!$D:$D,'Modelling New'!$N:$N)</f>
        <v>130</v>
      </c>
      <c r="AS118" s="236">
        <f t="shared" si="13"/>
        <v>0</v>
      </c>
    </row>
    <row r="119" spans="1:45">
      <c r="A119" s="18">
        <f t="shared" si="14"/>
        <v>45862</v>
      </c>
      <c r="B119" s="29">
        <f>YEAR(Table13[[#This Row],[Date]])+IF(MONTH(Table13[[#This Row],[Date]])&gt;=4,1,0)</f>
        <v>2026</v>
      </c>
      <c r="C119" s="9">
        <f>YEAR(Table13[[#This Row],[Date]])</f>
        <v>2025</v>
      </c>
      <c r="D119" s="229">
        <f>Table13[[#This Row],[Date]]-DAY(Table13[[#This Row],[Date]])+1</f>
        <v>45839</v>
      </c>
      <c r="E119" s="9">
        <f t="shared" si="10"/>
        <v>31</v>
      </c>
      <c r="F119" s="199">
        <f>IFERROR(_xlfn.XLOOKUP($A119,Input_Raw!$A:$A,Input_Raw!$FC:$FC),"")</f>
        <v>0</v>
      </c>
      <c r="G119" s="185" t="str">
        <f>IFERROR(_xlfn.XLOOKUP($A119,Input_Raw!$A:$A,Input_Raw!$CY:$CY),"")</f>
        <v/>
      </c>
      <c r="H119" s="185" t="str">
        <f>IFERROR(_xlfn.XLOOKUP($A119,Input_Raw!$A:$A,Input_Raw!$DA:$DA),"")</f>
        <v/>
      </c>
      <c r="I119" s="185" t="str">
        <f>IFERROR(_xlfn.XLOOKUP($A119,Input_Raw!$A:$A,Input_Raw!$CX:$CX),"")</f>
        <v/>
      </c>
      <c r="J119" s="185" t="str">
        <f>IFERROR(_xlfn.XLOOKUP($A119,Input_Raw!$A:$A,Input_Raw!$CZ:$CZ),"")</f>
        <v/>
      </c>
      <c r="K119" s="201" t="str">
        <f>IFERROR(_xlfn.XLOOKUP($A119,Input_Raw!$A:$A,Input_Raw!$DB:$DB),"")</f>
        <v/>
      </c>
      <c r="L119" s="201" t="str">
        <f>IFERROR(_xlfn.XLOOKUP($A119,Input_Raw!$A:$A,Input_Raw!$DC:$DC),"")</f>
        <v/>
      </c>
      <c r="M119" s="200" t="str">
        <f>IFERROR(_xlfn.XLOOKUP($A119,Input_Raw!$A:$A,Input_Raw!$DF:$DF),"")</f>
        <v/>
      </c>
      <c r="N119" s="200" t="str">
        <f>IFERROR(_xlfn.XLOOKUP($A119,Input_Raw!$A:$A,Input_Raw!$DG:$DG),"")</f>
        <v/>
      </c>
      <c r="O119" s="230" t="str">
        <f>IFERROR(1-(SUMIF(Plant_BD!$B:$B,$A119,Plant_BD!$AL:$AL)/($AA119+SUMIF(Plant_BD!$B:$B,$A119,Plant_BD!$AL:$AL))),"")</f>
        <v/>
      </c>
      <c r="P119" s="230"/>
      <c r="Q119" s="231" t="str">
        <f>IFERROR(1-(SUMIF(Grid_BD!$B:$B,$A119,Grid_BD!$V:$V)/($AA119+SUMIF(Grid_BD!$B:$B,$A119,Grid_BD!$V:$V))),"")</f>
        <v/>
      </c>
      <c r="R119" s="230" t="str">
        <f>IFERROR(1-(SUMIF(Grid_BD!$B:$B,$A119,Grid_BD!$V:$V)/($AA119+SUMIF(Grid_BD!$B:$B,$A119,Grid_BD!$V:$V))),"")</f>
        <v/>
      </c>
      <c r="S119" s="9"/>
      <c r="T119" s="231"/>
      <c r="U119" s="232" t="str">
        <f t="shared" si="11"/>
        <v/>
      </c>
      <c r="V119" s="232" t="str">
        <f>IFERROR(_xlfn.XLOOKUP($A119,Input_Raw!$A:$A,Input_Raw!$FG:$FG),"")</f>
        <v/>
      </c>
      <c r="W119" s="233">
        <f t="shared" si="12"/>
        <v>0</v>
      </c>
      <c r="X119" s="29">
        <f>IFERROR(_xlfn.XLOOKUP($A119,Input_Raw!$A:$A,Input_Raw!$DP:$DP),"")</f>
        <v>0</v>
      </c>
      <c r="Y119" s="29">
        <f>IFERROR(_xlfn.XLOOKUP($A119,Input_Raw!$A:$A,Input_Raw!EW:EW),"")</f>
        <v>0</v>
      </c>
      <c r="Z119" s="29">
        <f>IFERROR(_xlfn.XLOOKUP($A119,Input_Raw!$A:$A,Input_Raw!EX:EX),"")</f>
        <v>0</v>
      </c>
      <c r="AA119" s="29">
        <f>IFERROR(_xlfn.XLOOKUP($A119,Input_Raw!$A:$A,Input_Raw!FA:FA),"")</f>
        <v>0</v>
      </c>
      <c r="AB119" s="9">
        <f>IFERROR(_xlfn.XLOOKUP($A119,Input_Raw!$A:$A,Input_Raw!FD:FD),"")</f>
        <v>0</v>
      </c>
      <c r="AC119" s="185">
        <f>IFERROR(_xlfn.XLOOKUP($D119,'Modelling New'!$D:$D,'Modelling New'!P:P),"")</f>
        <v>3.7967741935483872</v>
      </c>
      <c r="AD119" s="29">
        <f>IFERROR(_xlfn.XLOOKUP($D119,'Modelling New'!$D:$D,'Modelling New'!T:T)*1000,"")</f>
        <v>421061.81874810642</v>
      </c>
      <c r="AE119" s="233">
        <f>IFERROR(_xlfn.XLOOKUP($D119,'Modelling New'!$D:$D,'Modelling New'!O:O),"")</f>
        <v>0.85307603301688106</v>
      </c>
      <c r="AF119" s="233">
        <f>IFERROR(_xlfn.XLOOKUP($D119,'Modelling New'!$D:$D,'Modelling New'!W:W),"")</f>
        <v>0.13495571113721361</v>
      </c>
      <c r="AG119" s="233">
        <f>IFERROR(_xlfn.XLOOKUP($D119,'Modelling New'!$D:$D,'Modelling New'!AE:AE),"")</f>
        <v>0.995</v>
      </c>
      <c r="AH119" s="234">
        <f>IFERROR(_xlfn.XLOOKUP($D119,'Modelling New'!$D:$D,'Modelling New'!AF:AF),"")</f>
        <v>0.995</v>
      </c>
      <c r="AI119" s="9"/>
      <c r="AJ119" s="9"/>
      <c r="AK119" s="258"/>
      <c r="AL119" s="258"/>
      <c r="AM119" s="258"/>
      <c r="AN119" s="235"/>
      <c r="AO119" s="233"/>
      <c r="AP119" s="233"/>
      <c r="AQ119" s="233"/>
      <c r="AR119" s="236">
        <f>_xlfn.XLOOKUP(D119,'Modelling New'!$D:$D,'Modelling New'!$N:$N)</f>
        <v>130</v>
      </c>
      <c r="AS119" s="236">
        <f t="shared" si="13"/>
        <v>0</v>
      </c>
    </row>
    <row r="120" spans="1:45">
      <c r="A120" s="18">
        <f t="shared" si="14"/>
        <v>45863</v>
      </c>
      <c r="B120" s="29">
        <f>YEAR(Table13[[#This Row],[Date]])+IF(MONTH(Table13[[#This Row],[Date]])&gt;=4,1,0)</f>
        <v>2026</v>
      </c>
      <c r="C120" s="9">
        <f>YEAR(Table13[[#This Row],[Date]])</f>
        <v>2025</v>
      </c>
      <c r="D120" s="229">
        <f>Table13[[#This Row],[Date]]-DAY(Table13[[#This Row],[Date]])+1</f>
        <v>45839</v>
      </c>
      <c r="E120" s="9">
        <f t="shared" si="10"/>
        <v>31</v>
      </c>
      <c r="F120" s="199">
        <f>IFERROR(_xlfn.XLOOKUP($A120,Input_Raw!$A:$A,Input_Raw!$FC:$FC),"")</f>
        <v>0</v>
      </c>
      <c r="G120" s="200" t="str">
        <f>IFERROR(_xlfn.XLOOKUP($A120,Input_Raw!$A:$A,Input_Raw!$CY:$CY),"")</f>
        <v/>
      </c>
      <c r="H120" s="200" t="str">
        <f>IFERROR(_xlfn.XLOOKUP($A120,Input_Raw!$A:$A,Input_Raw!$DA:$DA),"")</f>
        <v/>
      </c>
      <c r="I120" s="200" t="str">
        <f>IFERROR(_xlfn.XLOOKUP($A120,Input_Raw!$A:$A,Input_Raw!$CX:$CX),"")</f>
        <v/>
      </c>
      <c r="J120" s="200" t="str">
        <f>IFERROR(_xlfn.XLOOKUP($A120,Input_Raw!$A:$A,Input_Raw!$CZ:$CZ),"")</f>
        <v/>
      </c>
      <c r="K120" s="201" t="str">
        <f>IFERROR(_xlfn.XLOOKUP($A120,Input_Raw!$A:$A,Input_Raw!$DB:$DB),"")</f>
        <v/>
      </c>
      <c r="L120" s="201" t="str">
        <f>IFERROR(_xlfn.XLOOKUP($A120,Input_Raw!$A:$A,Input_Raw!$DC:$DC),"")</f>
        <v/>
      </c>
      <c r="M120" s="200" t="str">
        <f>IFERROR(_xlfn.XLOOKUP($A120,Input_Raw!$A:$A,Input_Raw!$DF:$DF),"")</f>
        <v/>
      </c>
      <c r="N120" s="200" t="str">
        <f>IFERROR(_xlfn.XLOOKUP($A120,Input_Raw!$A:$A,Input_Raw!$DG:$DG),"")</f>
        <v/>
      </c>
      <c r="O120" s="230" t="str">
        <f>IFERROR(1-(SUMIF(Plant_BD!$B:$B,$A120,Plant_BD!$AL:$AL)/($AA120+SUMIF(Plant_BD!$B:$B,$A120,Plant_BD!$AL:$AL))),"")</f>
        <v/>
      </c>
      <c r="P120" s="230"/>
      <c r="Q120" s="231" t="str">
        <f>IFERROR(1-(SUMIF(Grid_BD!$B:$B,$A120,Grid_BD!$V:$V)/($AA120+SUMIF(Grid_BD!$B:$B,$A120,Grid_BD!$V:$V))),"")</f>
        <v/>
      </c>
      <c r="R120" s="230" t="str">
        <f>IFERROR(1-(SUMIF(Grid_BD!$B:$B,$A120,Grid_BD!$V:$V)/($AA120+SUMIF(Grid_BD!$B:$B,$A120,Grid_BD!$V:$V))),"")</f>
        <v/>
      </c>
      <c r="S120" s="9"/>
      <c r="T120" s="231"/>
      <c r="U120" s="232" t="str">
        <f t="shared" si="11"/>
        <v/>
      </c>
      <c r="V120" s="232" t="str">
        <f>IFERROR(_xlfn.XLOOKUP($A120,Input_Raw!$A:$A,Input_Raw!$FG:$FG),"")</f>
        <v/>
      </c>
      <c r="W120" s="233">
        <f t="shared" si="12"/>
        <v>0</v>
      </c>
      <c r="X120" s="29">
        <f>IFERROR(_xlfn.XLOOKUP($A120,Input_Raw!$A:$A,Input_Raw!$DP:$DP),"")</f>
        <v>0</v>
      </c>
      <c r="Y120" s="29">
        <f>IFERROR(_xlfn.XLOOKUP($A120,Input_Raw!$A:$A,Input_Raw!EW:EW),"")</f>
        <v>0</v>
      </c>
      <c r="Z120" s="29">
        <f>IFERROR(_xlfn.XLOOKUP($A120,Input_Raw!$A:$A,Input_Raw!EX:EX),"")</f>
        <v>0</v>
      </c>
      <c r="AA120" s="29">
        <f>IFERROR(_xlfn.XLOOKUP($A120,Input_Raw!$A:$A,Input_Raw!FA:FA),"")</f>
        <v>0</v>
      </c>
      <c r="AB120" s="9">
        <f>IFERROR(_xlfn.XLOOKUP($A120,Input_Raw!$A:$A,Input_Raw!FD:FD),"")</f>
        <v>0</v>
      </c>
      <c r="AC120" s="185">
        <f>IFERROR(_xlfn.XLOOKUP($D120,'Modelling New'!$D:$D,'Modelling New'!P:P),"")</f>
        <v>3.7967741935483872</v>
      </c>
      <c r="AD120" s="29">
        <f>IFERROR(_xlfn.XLOOKUP($D120,'Modelling New'!$D:$D,'Modelling New'!T:T)*1000,"")</f>
        <v>421061.81874810642</v>
      </c>
      <c r="AE120" s="233">
        <f>IFERROR(_xlfn.XLOOKUP($D120,'Modelling New'!$D:$D,'Modelling New'!O:O),"")</f>
        <v>0.85307603301688106</v>
      </c>
      <c r="AF120" s="233">
        <f>IFERROR(_xlfn.XLOOKUP($D120,'Modelling New'!$D:$D,'Modelling New'!W:W),"")</f>
        <v>0.13495571113721361</v>
      </c>
      <c r="AG120" s="233">
        <f>IFERROR(_xlfn.XLOOKUP($D120,'Modelling New'!$D:$D,'Modelling New'!AE:AE),"")</f>
        <v>0.995</v>
      </c>
      <c r="AH120" s="234">
        <f>IFERROR(_xlfn.XLOOKUP($D120,'Modelling New'!$D:$D,'Modelling New'!AF:AF),"")</f>
        <v>0.995</v>
      </c>
      <c r="AI120" s="9"/>
      <c r="AJ120" s="9"/>
      <c r="AK120" s="258"/>
      <c r="AL120" s="258"/>
      <c r="AM120" s="258"/>
      <c r="AN120" s="235"/>
      <c r="AO120" s="233"/>
      <c r="AP120" s="233"/>
      <c r="AQ120" s="233"/>
      <c r="AR120" s="236">
        <f>_xlfn.XLOOKUP(D120,'Modelling New'!$D:$D,'Modelling New'!$N:$N)</f>
        <v>130</v>
      </c>
      <c r="AS120" s="236">
        <f t="shared" si="13"/>
        <v>0</v>
      </c>
    </row>
    <row r="121" spans="1:45">
      <c r="A121" s="18">
        <f t="shared" si="14"/>
        <v>45864</v>
      </c>
      <c r="B121" s="29">
        <f>YEAR(Table13[[#This Row],[Date]])+IF(MONTH(Table13[[#This Row],[Date]])&gt;=4,1,0)</f>
        <v>2026</v>
      </c>
      <c r="C121" s="9">
        <f>YEAR(Table13[[#This Row],[Date]])</f>
        <v>2025</v>
      </c>
      <c r="D121" s="229">
        <f>Table13[[#This Row],[Date]]-DAY(Table13[[#This Row],[Date]])+1</f>
        <v>45839</v>
      </c>
      <c r="E121" s="9">
        <f t="shared" si="10"/>
        <v>31</v>
      </c>
      <c r="F121" s="199">
        <f>IFERROR(_xlfn.XLOOKUP($A121,Input_Raw!$A:$A,Input_Raw!$FC:$FC),"")</f>
        <v>0</v>
      </c>
      <c r="G121" s="185" t="str">
        <f>IFERROR(_xlfn.XLOOKUP($A121,Input_Raw!$A:$A,Input_Raw!$CY:$CY),"")</f>
        <v/>
      </c>
      <c r="H121" s="185" t="str">
        <f>IFERROR(_xlfn.XLOOKUP($A121,Input_Raw!$A:$A,Input_Raw!$DA:$DA),"")</f>
        <v/>
      </c>
      <c r="I121" s="185" t="str">
        <f>IFERROR(_xlfn.XLOOKUP($A121,Input_Raw!$A:$A,Input_Raw!$CX:$CX),"")</f>
        <v/>
      </c>
      <c r="J121" s="185" t="str">
        <f>IFERROR(_xlfn.XLOOKUP($A121,Input_Raw!$A:$A,Input_Raw!$CZ:$CZ),"")</f>
        <v/>
      </c>
      <c r="K121" s="201" t="str">
        <f>IFERROR(_xlfn.XLOOKUP($A121,Input_Raw!$A:$A,Input_Raw!$DB:$DB),"")</f>
        <v/>
      </c>
      <c r="L121" s="201" t="str">
        <f>IFERROR(_xlfn.XLOOKUP($A121,Input_Raw!$A:$A,Input_Raw!$DC:$DC),"")</f>
        <v/>
      </c>
      <c r="M121" s="200" t="str">
        <f>IFERROR(_xlfn.XLOOKUP($A121,Input_Raw!$A:$A,Input_Raw!$DF:$DF),"")</f>
        <v/>
      </c>
      <c r="N121" s="200" t="str">
        <f>IFERROR(_xlfn.XLOOKUP($A121,Input_Raw!$A:$A,Input_Raw!$DG:$DG),"")</f>
        <v/>
      </c>
      <c r="O121" s="230" t="str">
        <f>IFERROR(1-(SUMIF(Plant_BD!$B:$B,$A121,Plant_BD!$AL:$AL)/($AA121+SUMIF(Plant_BD!$B:$B,$A121,Plant_BD!$AL:$AL))),"")</f>
        <v/>
      </c>
      <c r="P121" s="230"/>
      <c r="Q121" s="231" t="str">
        <f>IFERROR(1-(SUMIF(Grid_BD!$B:$B,$A121,Grid_BD!$V:$V)/($AA121+SUMIF(Grid_BD!$B:$B,$A121,Grid_BD!$V:$V))),"")</f>
        <v/>
      </c>
      <c r="R121" s="230" t="str">
        <f>IFERROR(1-(SUMIF(Grid_BD!$B:$B,$A121,Grid_BD!$V:$V)/($AA121+SUMIF(Grid_BD!$B:$B,$A121,Grid_BD!$V:$V))),"")</f>
        <v/>
      </c>
      <c r="S121" s="9"/>
      <c r="T121" s="231"/>
      <c r="U121" s="232" t="str">
        <f t="shared" si="11"/>
        <v/>
      </c>
      <c r="V121" s="232" t="str">
        <f>IFERROR(_xlfn.XLOOKUP($A121,Input_Raw!$A:$A,Input_Raw!$FG:$FG),"")</f>
        <v/>
      </c>
      <c r="W121" s="233">
        <f t="shared" si="12"/>
        <v>0</v>
      </c>
      <c r="X121" s="29">
        <f>IFERROR(_xlfn.XLOOKUP($A121,Input_Raw!$A:$A,Input_Raw!$DP:$DP),"")</f>
        <v>0</v>
      </c>
      <c r="Y121" s="29">
        <f>IFERROR(_xlfn.XLOOKUP($A121,Input_Raw!$A:$A,Input_Raw!EW:EW),"")</f>
        <v>0</v>
      </c>
      <c r="Z121" s="29">
        <f>IFERROR(_xlfn.XLOOKUP($A121,Input_Raw!$A:$A,Input_Raw!EX:EX),"")</f>
        <v>0</v>
      </c>
      <c r="AA121" s="29">
        <f>IFERROR(_xlfn.XLOOKUP($A121,Input_Raw!$A:$A,Input_Raw!FA:FA),"")</f>
        <v>0</v>
      </c>
      <c r="AB121" s="9">
        <f>IFERROR(_xlfn.XLOOKUP($A121,Input_Raw!$A:$A,Input_Raw!FD:FD),"")</f>
        <v>0</v>
      </c>
      <c r="AC121" s="185">
        <f>IFERROR(_xlfn.XLOOKUP($D121,'Modelling New'!$D:$D,'Modelling New'!P:P),"")</f>
        <v>3.7967741935483872</v>
      </c>
      <c r="AD121" s="29">
        <f>IFERROR(_xlfn.XLOOKUP($D121,'Modelling New'!$D:$D,'Modelling New'!T:T)*1000,"")</f>
        <v>421061.81874810642</v>
      </c>
      <c r="AE121" s="233">
        <f>IFERROR(_xlfn.XLOOKUP($D121,'Modelling New'!$D:$D,'Modelling New'!O:O),"")</f>
        <v>0.85307603301688106</v>
      </c>
      <c r="AF121" s="233">
        <f>IFERROR(_xlfn.XLOOKUP($D121,'Modelling New'!$D:$D,'Modelling New'!W:W),"")</f>
        <v>0.13495571113721361</v>
      </c>
      <c r="AG121" s="233">
        <f>IFERROR(_xlfn.XLOOKUP($D121,'Modelling New'!$D:$D,'Modelling New'!AE:AE),"")</f>
        <v>0.995</v>
      </c>
      <c r="AH121" s="234">
        <f>IFERROR(_xlfn.XLOOKUP($D121,'Modelling New'!$D:$D,'Modelling New'!AF:AF),"")</f>
        <v>0.995</v>
      </c>
      <c r="AI121" s="9"/>
      <c r="AJ121" s="9"/>
      <c r="AK121" s="258"/>
      <c r="AL121" s="258"/>
      <c r="AM121" s="258"/>
      <c r="AN121" s="235"/>
      <c r="AO121" s="233"/>
      <c r="AP121" s="233"/>
      <c r="AQ121" s="233"/>
      <c r="AR121" s="236">
        <f>_xlfn.XLOOKUP(D121,'Modelling New'!$D:$D,'Modelling New'!$N:$N)</f>
        <v>130</v>
      </c>
      <c r="AS121" s="236">
        <f t="shared" si="13"/>
        <v>0</v>
      </c>
    </row>
    <row r="122" spans="1:45">
      <c r="A122" s="18">
        <f t="shared" si="14"/>
        <v>45865</v>
      </c>
      <c r="B122" s="29">
        <f>YEAR(Table13[[#This Row],[Date]])+IF(MONTH(Table13[[#This Row],[Date]])&gt;=4,1,0)</f>
        <v>2026</v>
      </c>
      <c r="C122" s="9">
        <f>YEAR(Table13[[#This Row],[Date]])</f>
        <v>2025</v>
      </c>
      <c r="D122" s="229">
        <f>Table13[[#This Row],[Date]]-DAY(Table13[[#This Row],[Date]])+1</f>
        <v>45839</v>
      </c>
      <c r="E122" s="9">
        <f t="shared" si="10"/>
        <v>31</v>
      </c>
      <c r="F122" s="199">
        <f>IFERROR(_xlfn.XLOOKUP($A122,Input_Raw!$A:$A,Input_Raw!$FC:$FC),"")</f>
        <v>0</v>
      </c>
      <c r="G122" s="200" t="str">
        <f>IFERROR(_xlfn.XLOOKUP($A122,Input_Raw!$A:$A,Input_Raw!$CY:$CY),"")</f>
        <v/>
      </c>
      <c r="H122" s="200" t="str">
        <f>IFERROR(_xlfn.XLOOKUP($A122,Input_Raw!$A:$A,Input_Raw!$DA:$DA),"")</f>
        <v/>
      </c>
      <c r="I122" s="200" t="str">
        <f>IFERROR(_xlfn.XLOOKUP($A122,Input_Raw!$A:$A,Input_Raw!$CX:$CX),"")</f>
        <v/>
      </c>
      <c r="J122" s="200" t="str">
        <f>IFERROR(_xlfn.XLOOKUP($A122,Input_Raw!$A:$A,Input_Raw!$CZ:$CZ),"")</f>
        <v/>
      </c>
      <c r="K122" s="201" t="str">
        <f>IFERROR(_xlfn.XLOOKUP($A122,Input_Raw!$A:$A,Input_Raw!$DB:$DB),"")</f>
        <v/>
      </c>
      <c r="L122" s="201" t="str">
        <f>IFERROR(_xlfn.XLOOKUP($A122,Input_Raw!$A:$A,Input_Raw!$DC:$DC),"")</f>
        <v/>
      </c>
      <c r="M122" s="200" t="str">
        <f>IFERROR(_xlfn.XLOOKUP($A122,Input_Raw!$A:$A,Input_Raw!$DF:$DF),"")</f>
        <v/>
      </c>
      <c r="N122" s="200" t="str">
        <f>IFERROR(_xlfn.XLOOKUP($A122,Input_Raw!$A:$A,Input_Raw!$DG:$DG),"")</f>
        <v/>
      </c>
      <c r="O122" s="230" t="str">
        <f>IFERROR(1-(SUMIF(Plant_BD!$B:$B,$A122,Plant_BD!$AL:$AL)/($AA122+SUMIF(Plant_BD!$B:$B,$A122,Plant_BD!$AL:$AL))),"")</f>
        <v/>
      </c>
      <c r="P122" s="230"/>
      <c r="Q122" s="231" t="str">
        <f>IFERROR(1-(SUMIF(Grid_BD!$B:$B,$A122,Grid_BD!$V:$V)/($AA122+SUMIF(Grid_BD!$B:$B,$A122,Grid_BD!$V:$V))),"")</f>
        <v/>
      </c>
      <c r="R122" s="230" t="str">
        <f>IFERROR(1-(SUMIF(Grid_BD!$B:$B,$A122,Grid_BD!$V:$V)/($AA122+SUMIF(Grid_BD!$B:$B,$A122,Grid_BD!$V:$V))),"")</f>
        <v/>
      </c>
      <c r="S122" s="9"/>
      <c r="T122" s="231"/>
      <c r="U122" s="232" t="str">
        <f t="shared" si="11"/>
        <v/>
      </c>
      <c r="V122" s="232" t="str">
        <f>IFERROR(_xlfn.XLOOKUP($A122,Input_Raw!$A:$A,Input_Raw!$FG:$FG),"")</f>
        <v/>
      </c>
      <c r="W122" s="233">
        <f t="shared" si="12"/>
        <v>0</v>
      </c>
      <c r="X122" s="29">
        <f>IFERROR(_xlfn.XLOOKUP($A122,Input_Raw!$A:$A,Input_Raw!$DP:$DP),"")</f>
        <v>0</v>
      </c>
      <c r="Y122" s="29">
        <f>IFERROR(_xlfn.XLOOKUP($A122,Input_Raw!$A:$A,Input_Raw!EW:EW),"")</f>
        <v>0</v>
      </c>
      <c r="Z122" s="29">
        <f>IFERROR(_xlfn.XLOOKUP($A122,Input_Raw!$A:$A,Input_Raw!EX:EX),"")</f>
        <v>0</v>
      </c>
      <c r="AA122" s="29">
        <f>IFERROR(_xlfn.XLOOKUP($A122,Input_Raw!$A:$A,Input_Raw!FA:FA),"")</f>
        <v>0</v>
      </c>
      <c r="AB122" s="9">
        <f>IFERROR(_xlfn.XLOOKUP($A122,Input_Raw!$A:$A,Input_Raw!FD:FD),"")</f>
        <v>0</v>
      </c>
      <c r="AC122" s="185">
        <f>IFERROR(_xlfn.XLOOKUP($D122,'Modelling New'!$D:$D,'Modelling New'!P:P),"")</f>
        <v>3.7967741935483872</v>
      </c>
      <c r="AD122" s="29">
        <f>IFERROR(_xlfn.XLOOKUP($D122,'Modelling New'!$D:$D,'Modelling New'!T:T)*1000,"")</f>
        <v>421061.81874810642</v>
      </c>
      <c r="AE122" s="233">
        <f>IFERROR(_xlfn.XLOOKUP($D122,'Modelling New'!$D:$D,'Modelling New'!O:O),"")</f>
        <v>0.85307603301688106</v>
      </c>
      <c r="AF122" s="233">
        <f>IFERROR(_xlfn.XLOOKUP($D122,'Modelling New'!$D:$D,'Modelling New'!W:W),"")</f>
        <v>0.13495571113721361</v>
      </c>
      <c r="AG122" s="233">
        <f>IFERROR(_xlfn.XLOOKUP($D122,'Modelling New'!$D:$D,'Modelling New'!AE:AE),"")</f>
        <v>0.995</v>
      </c>
      <c r="AH122" s="234">
        <f>IFERROR(_xlfn.XLOOKUP($D122,'Modelling New'!$D:$D,'Modelling New'!AF:AF),"")</f>
        <v>0.995</v>
      </c>
      <c r="AI122" s="9"/>
      <c r="AJ122" s="9"/>
      <c r="AK122" s="258"/>
      <c r="AL122" s="258"/>
      <c r="AM122" s="258"/>
      <c r="AN122" s="235"/>
      <c r="AO122" s="233"/>
      <c r="AP122" s="233"/>
      <c r="AQ122" s="233"/>
      <c r="AR122" s="236">
        <f>_xlfn.XLOOKUP(D122,'Modelling New'!$D:$D,'Modelling New'!$N:$N)</f>
        <v>130</v>
      </c>
      <c r="AS122" s="236">
        <f t="shared" si="13"/>
        <v>0</v>
      </c>
    </row>
    <row r="123" spans="1:45">
      <c r="A123" s="18">
        <f t="shared" si="14"/>
        <v>45866</v>
      </c>
      <c r="B123" s="29">
        <f>YEAR(Table13[[#This Row],[Date]])+IF(MONTH(Table13[[#This Row],[Date]])&gt;=4,1,0)</f>
        <v>2026</v>
      </c>
      <c r="C123" s="9">
        <f>YEAR(Table13[[#This Row],[Date]])</f>
        <v>2025</v>
      </c>
      <c r="D123" s="229">
        <f>Table13[[#This Row],[Date]]-DAY(Table13[[#This Row],[Date]])+1</f>
        <v>45839</v>
      </c>
      <c r="E123" s="9">
        <f t="shared" si="10"/>
        <v>31</v>
      </c>
      <c r="F123" s="199">
        <f>IFERROR(_xlfn.XLOOKUP($A123,Input_Raw!$A:$A,Input_Raw!$FC:$FC),"")</f>
        <v>0</v>
      </c>
      <c r="G123" s="185" t="str">
        <f>IFERROR(_xlfn.XLOOKUP($A123,Input_Raw!$A:$A,Input_Raw!$CY:$CY),"")</f>
        <v/>
      </c>
      <c r="H123" s="185" t="str">
        <f>IFERROR(_xlfn.XLOOKUP($A123,Input_Raw!$A:$A,Input_Raw!$DA:$DA),"")</f>
        <v/>
      </c>
      <c r="I123" s="185" t="str">
        <f>IFERROR(_xlfn.XLOOKUP($A123,Input_Raw!$A:$A,Input_Raw!$CX:$CX),"")</f>
        <v/>
      </c>
      <c r="J123" s="185" t="str">
        <f>IFERROR(_xlfn.XLOOKUP($A123,Input_Raw!$A:$A,Input_Raw!$CZ:$CZ),"")</f>
        <v/>
      </c>
      <c r="K123" s="201" t="str">
        <f>IFERROR(_xlfn.XLOOKUP($A123,Input_Raw!$A:$A,Input_Raw!$DB:$DB),"")</f>
        <v/>
      </c>
      <c r="L123" s="201" t="str">
        <f>IFERROR(_xlfn.XLOOKUP($A123,Input_Raw!$A:$A,Input_Raw!$DC:$DC),"")</f>
        <v/>
      </c>
      <c r="M123" s="200" t="str">
        <f>IFERROR(_xlfn.XLOOKUP($A123,Input_Raw!$A:$A,Input_Raw!$DF:$DF),"")</f>
        <v/>
      </c>
      <c r="N123" s="200" t="str">
        <f>IFERROR(_xlfn.XLOOKUP($A123,Input_Raw!$A:$A,Input_Raw!$DG:$DG),"")</f>
        <v/>
      </c>
      <c r="O123" s="230" t="str">
        <f>IFERROR(1-(SUMIF(Plant_BD!$B:$B,$A123,Plant_BD!$AL:$AL)/($AA123+SUMIF(Plant_BD!$B:$B,$A123,Plant_BD!$AL:$AL))),"")</f>
        <v/>
      </c>
      <c r="P123" s="230"/>
      <c r="Q123" s="231" t="str">
        <f>IFERROR(1-(SUMIF(Grid_BD!$B:$B,$A123,Grid_BD!$V:$V)/($AA123+SUMIF(Grid_BD!$B:$B,$A123,Grid_BD!$V:$V))),"")</f>
        <v/>
      </c>
      <c r="R123" s="230" t="str">
        <f>IFERROR(1-(SUMIF(Grid_BD!$B:$B,$A123,Grid_BD!$V:$V)/($AA123+SUMIF(Grid_BD!$B:$B,$A123,Grid_BD!$V:$V))),"")</f>
        <v/>
      </c>
      <c r="S123" s="9"/>
      <c r="T123" s="231"/>
      <c r="U123" s="232" t="str">
        <f t="shared" si="11"/>
        <v/>
      </c>
      <c r="V123" s="232" t="str">
        <f>IFERROR(_xlfn.XLOOKUP($A123,Input_Raw!$A:$A,Input_Raw!$FG:$FG),"")</f>
        <v/>
      </c>
      <c r="W123" s="233">
        <f t="shared" si="12"/>
        <v>0</v>
      </c>
      <c r="X123" s="29">
        <f>IFERROR(_xlfn.XLOOKUP($A123,Input_Raw!$A:$A,Input_Raw!$DP:$DP),"")</f>
        <v>0</v>
      </c>
      <c r="Y123" s="29">
        <f>IFERROR(_xlfn.XLOOKUP($A123,Input_Raw!$A:$A,Input_Raw!EW:EW),"")</f>
        <v>0</v>
      </c>
      <c r="Z123" s="29">
        <f>IFERROR(_xlfn.XLOOKUP($A123,Input_Raw!$A:$A,Input_Raw!EX:EX),"")</f>
        <v>0</v>
      </c>
      <c r="AA123" s="29">
        <f>IFERROR(_xlfn.XLOOKUP($A123,Input_Raw!$A:$A,Input_Raw!FA:FA),"")</f>
        <v>0</v>
      </c>
      <c r="AB123" s="9">
        <f>IFERROR(_xlfn.XLOOKUP($A123,Input_Raw!$A:$A,Input_Raw!FD:FD),"")</f>
        <v>0</v>
      </c>
      <c r="AC123" s="185">
        <f>IFERROR(_xlfn.XLOOKUP($D123,'Modelling New'!$D:$D,'Modelling New'!P:P),"")</f>
        <v>3.7967741935483872</v>
      </c>
      <c r="AD123" s="29">
        <f>IFERROR(_xlfn.XLOOKUP($D123,'Modelling New'!$D:$D,'Modelling New'!T:T)*1000,"")</f>
        <v>421061.81874810642</v>
      </c>
      <c r="AE123" s="233">
        <f>IFERROR(_xlfn.XLOOKUP($D123,'Modelling New'!$D:$D,'Modelling New'!O:O),"")</f>
        <v>0.85307603301688106</v>
      </c>
      <c r="AF123" s="233">
        <f>IFERROR(_xlfn.XLOOKUP($D123,'Modelling New'!$D:$D,'Modelling New'!W:W),"")</f>
        <v>0.13495571113721361</v>
      </c>
      <c r="AG123" s="233">
        <f>IFERROR(_xlfn.XLOOKUP($D123,'Modelling New'!$D:$D,'Modelling New'!AE:AE),"")</f>
        <v>0.995</v>
      </c>
      <c r="AH123" s="234">
        <f>IFERROR(_xlfn.XLOOKUP($D123,'Modelling New'!$D:$D,'Modelling New'!AF:AF),"")</f>
        <v>0.995</v>
      </c>
      <c r="AI123" s="9"/>
      <c r="AJ123" s="9"/>
      <c r="AK123" s="258"/>
      <c r="AL123" s="258"/>
      <c r="AM123" s="258"/>
      <c r="AN123" s="235"/>
      <c r="AO123" s="233"/>
      <c r="AP123" s="233"/>
      <c r="AQ123" s="233"/>
      <c r="AR123" s="236">
        <f>_xlfn.XLOOKUP(D123,'Modelling New'!$D:$D,'Modelling New'!$N:$N)</f>
        <v>130</v>
      </c>
      <c r="AS123" s="236">
        <f t="shared" si="13"/>
        <v>0</v>
      </c>
    </row>
    <row r="124" spans="1:45">
      <c r="A124" s="18">
        <f t="shared" si="14"/>
        <v>45867</v>
      </c>
      <c r="B124" s="29">
        <f>YEAR(Table13[[#This Row],[Date]])+IF(MONTH(Table13[[#This Row],[Date]])&gt;=4,1,0)</f>
        <v>2026</v>
      </c>
      <c r="C124" s="9">
        <f>YEAR(Table13[[#This Row],[Date]])</f>
        <v>2025</v>
      </c>
      <c r="D124" s="229">
        <f>Table13[[#This Row],[Date]]-DAY(Table13[[#This Row],[Date]])+1</f>
        <v>45839</v>
      </c>
      <c r="E124" s="9">
        <f t="shared" si="10"/>
        <v>31</v>
      </c>
      <c r="F124" s="199">
        <f>IFERROR(_xlfn.XLOOKUP($A124,Input_Raw!$A:$A,Input_Raw!$FC:$FC),"")</f>
        <v>0</v>
      </c>
      <c r="G124" s="200" t="str">
        <f>IFERROR(_xlfn.XLOOKUP($A124,Input_Raw!$A:$A,Input_Raw!$CY:$CY),"")</f>
        <v/>
      </c>
      <c r="H124" s="200" t="str">
        <f>IFERROR(_xlfn.XLOOKUP($A124,Input_Raw!$A:$A,Input_Raw!$DA:$DA),"")</f>
        <v/>
      </c>
      <c r="I124" s="200" t="str">
        <f>IFERROR(_xlfn.XLOOKUP($A124,Input_Raw!$A:$A,Input_Raw!$CX:$CX),"")</f>
        <v/>
      </c>
      <c r="J124" s="200" t="str">
        <f>IFERROR(_xlfn.XLOOKUP($A124,Input_Raw!$A:$A,Input_Raw!$CZ:$CZ),"")</f>
        <v/>
      </c>
      <c r="K124" s="201" t="str">
        <f>IFERROR(_xlfn.XLOOKUP($A124,Input_Raw!$A:$A,Input_Raw!$DB:$DB),"")</f>
        <v/>
      </c>
      <c r="L124" s="201" t="str">
        <f>IFERROR(_xlfn.XLOOKUP($A124,Input_Raw!$A:$A,Input_Raw!$DC:$DC),"")</f>
        <v/>
      </c>
      <c r="M124" s="200" t="str">
        <f>IFERROR(_xlfn.XLOOKUP($A124,Input_Raw!$A:$A,Input_Raw!$DF:$DF),"")</f>
        <v/>
      </c>
      <c r="N124" s="200" t="str">
        <f>IFERROR(_xlfn.XLOOKUP($A124,Input_Raw!$A:$A,Input_Raw!$DG:$DG),"")</f>
        <v/>
      </c>
      <c r="O124" s="230" t="str">
        <f>IFERROR(1-(SUMIF(Plant_BD!$B:$B,$A124,Plant_BD!$AL:$AL)/($AA124+SUMIF(Plant_BD!$B:$B,$A124,Plant_BD!$AL:$AL))),"")</f>
        <v/>
      </c>
      <c r="P124" s="230"/>
      <c r="Q124" s="231" t="str">
        <f>IFERROR(1-(SUMIF(Grid_BD!$B:$B,$A124,Grid_BD!$V:$V)/($AA124+SUMIF(Grid_BD!$B:$B,$A124,Grid_BD!$V:$V))),"")</f>
        <v/>
      </c>
      <c r="R124" s="230" t="str">
        <f>IFERROR(1-(SUMIF(Grid_BD!$B:$B,$A124,Grid_BD!$V:$V)/($AA124+SUMIF(Grid_BD!$B:$B,$A124,Grid_BD!$V:$V))),"")</f>
        <v/>
      </c>
      <c r="S124" s="9"/>
      <c r="T124" s="231"/>
      <c r="U124" s="232" t="str">
        <f t="shared" si="11"/>
        <v/>
      </c>
      <c r="V124" s="232" t="str">
        <f>IFERROR(_xlfn.XLOOKUP($A124,Input_Raw!$A:$A,Input_Raw!$FG:$FG),"")</f>
        <v/>
      </c>
      <c r="W124" s="233" t="str">
        <f t="shared" si="12"/>
        <v/>
      </c>
      <c r="X124" s="29">
        <f>IFERROR(_xlfn.XLOOKUP($A124,Input_Raw!$A:$A,Input_Raw!$DP:$DP),"")</f>
        <v>0</v>
      </c>
      <c r="Y124" s="29">
        <f>IFERROR(_xlfn.XLOOKUP($A124,Input_Raw!$A:$A,Input_Raw!EW:EW),"")</f>
        <v>0</v>
      </c>
      <c r="Z124" s="29" t="str">
        <f>IFERROR(_xlfn.XLOOKUP($A124,Input_Raw!$A:$A,Input_Raw!EX:EX),"")</f>
        <v/>
      </c>
      <c r="AA124" s="29" t="str">
        <f>IFERROR(_xlfn.XLOOKUP($A124,Input_Raw!$A:$A,Input_Raw!FA:FA),"")</f>
        <v/>
      </c>
      <c r="AB124" s="9">
        <f>IFERROR(_xlfn.XLOOKUP($A124,Input_Raw!$A:$A,Input_Raw!FD:FD),"")</f>
        <v>0</v>
      </c>
      <c r="AC124" s="185">
        <f>IFERROR(_xlfn.XLOOKUP($D124,'Modelling New'!$D:$D,'Modelling New'!P:P),"")</f>
        <v>3.7967741935483872</v>
      </c>
      <c r="AD124" s="29">
        <f>IFERROR(_xlfn.XLOOKUP($D124,'Modelling New'!$D:$D,'Modelling New'!T:T)*1000,"")</f>
        <v>421061.81874810642</v>
      </c>
      <c r="AE124" s="233">
        <f>IFERROR(_xlfn.XLOOKUP($D124,'Modelling New'!$D:$D,'Modelling New'!O:O),"")</f>
        <v>0.85307603301688106</v>
      </c>
      <c r="AF124" s="233">
        <f>IFERROR(_xlfn.XLOOKUP($D124,'Modelling New'!$D:$D,'Modelling New'!W:W),"")</f>
        <v>0.13495571113721361</v>
      </c>
      <c r="AG124" s="233">
        <f>IFERROR(_xlfn.XLOOKUP($D124,'Modelling New'!$D:$D,'Modelling New'!AE:AE),"")</f>
        <v>0.995</v>
      </c>
      <c r="AH124" s="234">
        <f>IFERROR(_xlfn.XLOOKUP($D124,'Modelling New'!$D:$D,'Modelling New'!AF:AF),"")</f>
        <v>0.995</v>
      </c>
      <c r="AI124" s="9"/>
      <c r="AJ124" s="9"/>
      <c r="AK124" s="258"/>
      <c r="AL124" s="258"/>
      <c r="AM124" s="258"/>
      <c r="AN124" s="235"/>
      <c r="AO124" s="233"/>
      <c r="AP124" s="233"/>
      <c r="AQ124" s="233"/>
      <c r="AR124" s="236">
        <f>_xlfn.XLOOKUP(D124,'Modelling New'!$D:$D,'Modelling New'!$N:$N)</f>
        <v>130</v>
      </c>
      <c r="AS124" s="236">
        <f t="shared" si="13"/>
        <v>0</v>
      </c>
    </row>
    <row r="125" spans="1:45">
      <c r="A125" s="18">
        <f t="shared" si="14"/>
        <v>45868</v>
      </c>
      <c r="B125" s="29">
        <f>YEAR(Table13[[#This Row],[Date]])+IF(MONTH(Table13[[#This Row],[Date]])&gt;=4,1,0)</f>
        <v>2026</v>
      </c>
      <c r="C125" s="9">
        <f>YEAR(Table13[[#This Row],[Date]])</f>
        <v>2025</v>
      </c>
      <c r="D125" s="229">
        <f>Table13[[#This Row],[Date]]-DAY(Table13[[#This Row],[Date]])+1</f>
        <v>45839</v>
      </c>
      <c r="E125" s="9">
        <f t="shared" si="10"/>
        <v>31</v>
      </c>
      <c r="F125" s="199">
        <f>IFERROR(_xlfn.XLOOKUP($A125,Input_Raw!$A:$A,Input_Raw!$FC:$FC),"")</f>
        <v>0</v>
      </c>
      <c r="G125" s="185" t="str">
        <f>IFERROR(_xlfn.XLOOKUP($A125,Input_Raw!$A:$A,Input_Raw!$CY:$CY),"")</f>
        <v/>
      </c>
      <c r="H125" s="185" t="str">
        <f>IFERROR(_xlfn.XLOOKUP($A125,Input_Raw!$A:$A,Input_Raw!$DA:$DA),"")</f>
        <v/>
      </c>
      <c r="I125" s="185" t="str">
        <f>IFERROR(_xlfn.XLOOKUP($A125,Input_Raw!$A:$A,Input_Raw!$CX:$CX),"")</f>
        <v/>
      </c>
      <c r="J125" s="185" t="str">
        <f>IFERROR(_xlfn.XLOOKUP($A125,Input_Raw!$A:$A,Input_Raw!$CZ:$CZ),"")</f>
        <v/>
      </c>
      <c r="K125" s="201" t="str">
        <f>IFERROR(_xlfn.XLOOKUP($A125,Input_Raw!$A:$A,Input_Raw!$DB:$DB),"")</f>
        <v/>
      </c>
      <c r="L125" s="201" t="str">
        <f>IFERROR(_xlfn.XLOOKUP($A125,Input_Raw!$A:$A,Input_Raw!$DC:$DC),"")</f>
        <v/>
      </c>
      <c r="M125" s="200" t="str">
        <f>IFERROR(_xlfn.XLOOKUP($A125,Input_Raw!$A:$A,Input_Raw!$DF:$DF),"")</f>
        <v/>
      </c>
      <c r="N125" s="200" t="str">
        <f>IFERROR(_xlfn.XLOOKUP($A125,Input_Raw!$A:$A,Input_Raw!$DG:$DG),"")</f>
        <v/>
      </c>
      <c r="O125" s="230" t="str">
        <f>IFERROR(1-(SUMIF(Plant_BD!$B:$B,$A125,Plant_BD!$AL:$AL)/($AA125+SUMIF(Plant_BD!$B:$B,$A125,Plant_BD!$AL:$AL))),"")</f>
        <v/>
      </c>
      <c r="P125" s="230"/>
      <c r="Q125" s="231" t="str">
        <f>IFERROR(1-(SUMIF(Grid_BD!$B:$B,$A125,Grid_BD!$V:$V)/($AA125+SUMIF(Grid_BD!$B:$B,$A125,Grid_BD!$V:$V))),"")</f>
        <v/>
      </c>
      <c r="R125" s="230" t="str">
        <f>IFERROR(1-(SUMIF(Grid_BD!$B:$B,$A125,Grid_BD!$V:$V)/($AA125+SUMIF(Grid_BD!$B:$B,$A125,Grid_BD!$V:$V))),"")</f>
        <v/>
      </c>
      <c r="S125" s="9"/>
      <c r="T125" s="231"/>
      <c r="U125" s="232" t="str">
        <f t="shared" si="11"/>
        <v/>
      </c>
      <c r="V125" s="232" t="str">
        <f>IFERROR(_xlfn.XLOOKUP($A125,Input_Raw!$A:$A,Input_Raw!$FG:$FG),"")</f>
        <v/>
      </c>
      <c r="W125" s="233" t="str">
        <f t="shared" si="12"/>
        <v/>
      </c>
      <c r="X125" s="29">
        <f>IFERROR(_xlfn.XLOOKUP($A125,Input_Raw!$A:$A,Input_Raw!$DP:$DP),"")</f>
        <v>0</v>
      </c>
      <c r="Y125" s="29">
        <f>IFERROR(_xlfn.XLOOKUP($A125,Input_Raw!$A:$A,Input_Raw!EW:EW),"")</f>
        <v>0</v>
      </c>
      <c r="Z125" s="29" t="str">
        <f>IFERROR(_xlfn.XLOOKUP($A125,Input_Raw!$A:$A,Input_Raw!EX:EX),"")</f>
        <v/>
      </c>
      <c r="AA125" s="29" t="str">
        <f>IFERROR(_xlfn.XLOOKUP($A125,Input_Raw!$A:$A,Input_Raw!FA:FA),"")</f>
        <v/>
      </c>
      <c r="AB125" s="9">
        <f>IFERROR(_xlfn.XLOOKUP($A125,Input_Raw!$A:$A,Input_Raw!FD:FD),"")</f>
        <v>0</v>
      </c>
      <c r="AC125" s="185">
        <f>IFERROR(_xlfn.XLOOKUP($D125,'Modelling New'!$D:$D,'Modelling New'!P:P),"")</f>
        <v>3.7967741935483872</v>
      </c>
      <c r="AD125" s="29">
        <f>IFERROR(_xlfn.XLOOKUP($D125,'Modelling New'!$D:$D,'Modelling New'!T:T)*1000,"")</f>
        <v>421061.81874810642</v>
      </c>
      <c r="AE125" s="233">
        <f>IFERROR(_xlfn.XLOOKUP($D125,'Modelling New'!$D:$D,'Modelling New'!O:O),"")</f>
        <v>0.85307603301688106</v>
      </c>
      <c r="AF125" s="233">
        <f>IFERROR(_xlfn.XLOOKUP($D125,'Modelling New'!$D:$D,'Modelling New'!W:W),"")</f>
        <v>0.13495571113721361</v>
      </c>
      <c r="AG125" s="233">
        <f>IFERROR(_xlfn.XLOOKUP($D125,'Modelling New'!$D:$D,'Modelling New'!AE:AE),"")</f>
        <v>0.995</v>
      </c>
      <c r="AH125" s="234">
        <f>IFERROR(_xlfn.XLOOKUP($D125,'Modelling New'!$D:$D,'Modelling New'!AF:AF),"")</f>
        <v>0.995</v>
      </c>
      <c r="AI125" s="9"/>
      <c r="AJ125" s="9"/>
      <c r="AK125" s="258"/>
      <c r="AL125" s="258"/>
      <c r="AM125" s="258"/>
      <c r="AN125" s="235"/>
      <c r="AO125" s="233"/>
      <c r="AP125" s="233"/>
      <c r="AQ125" s="233"/>
      <c r="AR125" s="236">
        <f>_xlfn.XLOOKUP(D125,'Modelling New'!$D:$D,'Modelling New'!$N:$N)</f>
        <v>130</v>
      </c>
      <c r="AS125" s="236">
        <f t="shared" si="13"/>
        <v>0</v>
      </c>
    </row>
    <row r="126" spans="1:45">
      <c r="A126" s="18">
        <f t="shared" si="14"/>
        <v>45869</v>
      </c>
      <c r="B126" s="29">
        <f>YEAR(Table13[[#This Row],[Date]])+IF(MONTH(Table13[[#This Row],[Date]])&gt;=4,1,0)</f>
        <v>2026</v>
      </c>
      <c r="C126" s="9">
        <f>YEAR(Table13[[#This Row],[Date]])</f>
        <v>2025</v>
      </c>
      <c r="D126" s="229">
        <f>Table13[[#This Row],[Date]]-DAY(Table13[[#This Row],[Date]])+1</f>
        <v>45839</v>
      </c>
      <c r="E126" s="9">
        <f t="shared" si="10"/>
        <v>31</v>
      </c>
      <c r="F126" s="199">
        <f>IFERROR(_xlfn.XLOOKUP($A126,Input_Raw!$A:$A,Input_Raw!$FC:$FC),"")</f>
        <v>0</v>
      </c>
      <c r="G126" s="200" t="str">
        <f>IFERROR(_xlfn.XLOOKUP($A126,Input_Raw!$A:$A,Input_Raw!$CY:$CY),"")</f>
        <v/>
      </c>
      <c r="H126" s="200" t="str">
        <f>IFERROR(_xlfn.XLOOKUP($A126,Input_Raw!$A:$A,Input_Raw!$DA:$DA),"")</f>
        <v/>
      </c>
      <c r="I126" s="200" t="str">
        <f>IFERROR(_xlfn.XLOOKUP($A126,Input_Raw!$A:$A,Input_Raw!$CX:$CX),"")</f>
        <v/>
      </c>
      <c r="J126" s="200" t="str">
        <f>IFERROR(_xlfn.XLOOKUP($A126,Input_Raw!$A:$A,Input_Raw!$CZ:$CZ),"")</f>
        <v/>
      </c>
      <c r="K126" s="201" t="str">
        <f>IFERROR(_xlfn.XLOOKUP($A126,Input_Raw!$A:$A,Input_Raw!$DB:$DB),"")</f>
        <v/>
      </c>
      <c r="L126" s="201" t="str">
        <f>IFERROR(_xlfn.XLOOKUP($A126,Input_Raw!$A:$A,Input_Raw!$DC:$DC),"")</f>
        <v/>
      </c>
      <c r="M126" s="200" t="str">
        <f>IFERROR(_xlfn.XLOOKUP($A126,Input_Raw!$A:$A,Input_Raw!$DF:$DF),"")</f>
        <v/>
      </c>
      <c r="N126" s="200" t="str">
        <f>IFERROR(_xlfn.XLOOKUP($A126,Input_Raw!$A:$A,Input_Raw!$DG:$DG),"")</f>
        <v/>
      </c>
      <c r="O126" s="230" t="str">
        <f>IFERROR(1-(SUMIF(Plant_BD!$B:$B,$A126,Plant_BD!$AL:$AL)/($AA126+SUMIF(Plant_BD!$B:$B,$A126,Plant_BD!$AL:$AL))),"")</f>
        <v/>
      </c>
      <c r="P126" s="230"/>
      <c r="Q126" s="231" t="str">
        <f>IFERROR(1-(SUMIF(Grid_BD!$B:$B,$A126,Grid_BD!$V:$V)/($AA126+SUMIF(Grid_BD!$B:$B,$A126,Grid_BD!$V:$V))),"")</f>
        <v/>
      </c>
      <c r="R126" s="230" t="str">
        <f>IFERROR(1-(SUMIF(Grid_BD!$B:$B,$A126,Grid_BD!$V:$V)/($AA126+SUMIF(Grid_BD!$B:$B,$A126,Grid_BD!$V:$V))),"")</f>
        <v/>
      </c>
      <c r="S126" s="9"/>
      <c r="T126" s="231"/>
      <c r="U126" s="232" t="str">
        <f t="shared" si="11"/>
        <v/>
      </c>
      <c r="V126" s="232" t="str">
        <f>IFERROR(_xlfn.XLOOKUP($A126,Input_Raw!$A:$A,Input_Raw!$FG:$FG),"")</f>
        <v/>
      </c>
      <c r="W126" s="233" t="str">
        <f t="shared" si="12"/>
        <v/>
      </c>
      <c r="X126" s="29">
        <f>IFERROR(_xlfn.XLOOKUP($A126,Input_Raw!$A:$A,Input_Raw!$DP:$DP),"")</f>
        <v>0</v>
      </c>
      <c r="Y126" s="29">
        <f>IFERROR(_xlfn.XLOOKUP($A126,Input_Raw!$A:$A,Input_Raw!EW:EW),"")</f>
        <v>0</v>
      </c>
      <c r="Z126" s="29" t="str">
        <f>IFERROR(_xlfn.XLOOKUP($A126,Input_Raw!$A:$A,Input_Raw!EX:EX),"")</f>
        <v/>
      </c>
      <c r="AA126" s="29" t="str">
        <f>IFERROR(_xlfn.XLOOKUP($A126,Input_Raw!$A:$A,Input_Raw!FA:FA),"")</f>
        <v/>
      </c>
      <c r="AB126" s="9">
        <f>IFERROR(_xlfn.XLOOKUP($A126,Input_Raw!$A:$A,Input_Raw!FD:FD),"")</f>
        <v>0</v>
      </c>
      <c r="AC126" s="185">
        <f>IFERROR(_xlfn.XLOOKUP($D126,'Modelling New'!$D:$D,'Modelling New'!P:P),"")</f>
        <v>3.7967741935483872</v>
      </c>
      <c r="AD126" s="29">
        <f>IFERROR(_xlfn.XLOOKUP($D126,'Modelling New'!$D:$D,'Modelling New'!T:T)*1000,"")</f>
        <v>421061.81874810642</v>
      </c>
      <c r="AE126" s="233">
        <f>IFERROR(_xlfn.XLOOKUP($D126,'Modelling New'!$D:$D,'Modelling New'!O:O),"")</f>
        <v>0.85307603301688106</v>
      </c>
      <c r="AF126" s="233">
        <f>IFERROR(_xlfn.XLOOKUP($D126,'Modelling New'!$D:$D,'Modelling New'!W:W),"")</f>
        <v>0.13495571113721361</v>
      </c>
      <c r="AG126" s="233">
        <f>IFERROR(_xlfn.XLOOKUP($D126,'Modelling New'!$D:$D,'Modelling New'!AE:AE),"")</f>
        <v>0.995</v>
      </c>
      <c r="AH126" s="234">
        <f>IFERROR(_xlfn.XLOOKUP($D126,'Modelling New'!$D:$D,'Modelling New'!AF:AF),"")</f>
        <v>0.995</v>
      </c>
      <c r="AI126" s="9"/>
      <c r="AJ126" s="9"/>
      <c r="AK126" s="258"/>
      <c r="AL126" s="258"/>
      <c r="AM126" s="258"/>
      <c r="AN126" s="235"/>
      <c r="AO126" s="233"/>
      <c r="AP126" s="233"/>
      <c r="AQ126" s="233"/>
      <c r="AR126" s="236">
        <f>_xlfn.XLOOKUP(D126,'Modelling New'!$D:$D,'Modelling New'!$N:$N)</f>
        <v>130</v>
      </c>
      <c r="AS126" s="236">
        <f t="shared" si="13"/>
        <v>0</v>
      </c>
    </row>
    <row r="127" spans="1:45">
      <c r="A127" s="18">
        <f t="shared" si="14"/>
        <v>45870</v>
      </c>
      <c r="B127" s="29">
        <f>YEAR(Table13[[#This Row],[Date]])+IF(MONTH(Table13[[#This Row],[Date]])&gt;=4,1,0)</f>
        <v>2026</v>
      </c>
      <c r="C127" s="9">
        <f>YEAR(Table13[[#This Row],[Date]])</f>
        <v>2025</v>
      </c>
      <c r="D127" s="229">
        <f>Table13[[#This Row],[Date]]-DAY(Table13[[#This Row],[Date]])+1</f>
        <v>45870</v>
      </c>
      <c r="E127" s="9">
        <f t="shared" si="10"/>
        <v>31</v>
      </c>
      <c r="F127" s="199">
        <f>IFERROR(_xlfn.XLOOKUP($A127,Input_Raw!$A:$A,Input_Raw!$FC:$FC),"")</f>
        <v>0</v>
      </c>
      <c r="G127" s="185" t="str">
        <f>IFERROR(_xlfn.XLOOKUP($A127,Input_Raw!$A:$A,Input_Raw!$CY:$CY),"")</f>
        <v/>
      </c>
      <c r="H127" s="185" t="str">
        <f>IFERROR(_xlfn.XLOOKUP($A127,Input_Raw!$A:$A,Input_Raw!$DA:$DA),"")</f>
        <v/>
      </c>
      <c r="I127" s="185" t="str">
        <f>IFERROR(_xlfn.XLOOKUP($A127,Input_Raw!$A:$A,Input_Raw!$CX:$CX),"")</f>
        <v/>
      </c>
      <c r="J127" s="185" t="str">
        <f>IFERROR(_xlfn.XLOOKUP($A127,Input_Raw!$A:$A,Input_Raw!$CZ:$CZ),"")</f>
        <v/>
      </c>
      <c r="K127" s="201" t="str">
        <f>IFERROR(_xlfn.XLOOKUP($A127,Input_Raw!$A:$A,Input_Raw!$DB:$DB),"")</f>
        <v/>
      </c>
      <c r="L127" s="201" t="str">
        <f>IFERROR(_xlfn.XLOOKUP($A127,Input_Raw!$A:$A,Input_Raw!$DC:$DC),"")</f>
        <v/>
      </c>
      <c r="M127" s="200" t="str">
        <f>IFERROR(_xlfn.XLOOKUP($A127,Input_Raw!$A:$A,Input_Raw!$DF:$DF),"")</f>
        <v/>
      </c>
      <c r="N127" s="200" t="str">
        <f>IFERROR(_xlfn.XLOOKUP($A127,Input_Raw!$A:$A,Input_Raw!$DG:$DG),"")</f>
        <v/>
      </c>
      <c r="O127" s="230" t="str">
        <f>IFERROR(1-(SUMIF(Plant_BD!$B:$B,$A127,Plant_BD!$AL:$AL)/($AA127+SUMIF(Plant_BD!$B:$B,$A127,Plant_BD!$AL:$AL))),"")</f>
        <v/>
      </c>
      <c r="P127" s="230"/>
      <c r="Q127" s="231" t="str">
        <f>IFERROR(1-(SUMIF(Grid_BD!$B:$B,$A127,Grid_BD!$V:$V)/($AA127+SUMIF(Grid_BD!$B:$B,$A127,Grid_BD!$V:$V))),"")</f>
        <v/>
      </c>
      <c r="R127" s="230" t="str">
        <f>IFERROR(1-(SUMIF(Grid_BD!$B:$B,$A127,Grid_BD!$V:$V)/($AA127+SUMIF(Grid_BD!$B:$B,$A127,Grid_BD!$V:$V))),"")</f>
        <v/>
      </c>
      <c r="S127" s="9"/>
      <c r="T127" s="231"/>
      <c r="U127" s="232" t="str">
        <f t="shared" si="11"/>
        <v/>
      </c>
      <c r="V127" s="232" t="str">
        <f>IFERROR(_xlfn.XLOOKUP($A127,Input_Raw!$A:$A,Input_Raw!$FG:$FG),"")</f>
        <v/>
      </c>
      <c r="W127" s="233" t="str">
        <f t="shared" si="12"/>
        <v/>
      </c>
      <c r="X127" s="29">
        <f>IFERROR(_xlfn.XLOOKUP($A127,Input_Raw!$A:$A,Input_Raw!$DP:$DP),"")</f>
        <v>0</v>
      </c>
      <c r="Y127" s="29">
        <f>IFERROR(_xlfn.XLOOKUP($A127,Input_Raw!$A:$A,Input_Raw!EW:EW),"")</f>
        <v>0</v>
      </c>
      <c r="Z127" s="29" t="str">
        <f>IFERROR(_xlfn.XLOOKUP($A127,Input_Raw!$A:$A,Input_Raw!EX:EX),"")</f>
        <v/>
      </c>
      <c r="AA127" s="29" t="str">
        <f>IFERROR(_xlfn.XLOOKUP($A127,Input_Raw!$A:$A,Input_Raw!FA:FA),"")</f>
        <v/>
      </c>
      <c r="AB127" s="9">
        <f>IFERROR(_xlfn.XLOOKUP($A127,Input_Raw!$A:$A,Input_Raw!FD:FD),"")</f>
        <v>0</v>
      </c>
      <c r="AC127" s="185">
        <f>IFERROR(_xlfn.XLOOKUP($D127,'Modelling New'!$D:$D,'Modelling New'!P:P),"")</f>
        <v>3.9838709677419355</v>
      </c>
      <c r="AD127" s="29">
        <f>IFERROR(_xlfn.XLOOKUP($D127,'Modelling New'!$D:$D,'Modelling New'!T:T)*1000,"")</f>
        <v>442502.15737022652</v>
      </c>
      <c r="AE127" s="233">
        <f>IFERROR(_xlfn.XLOOKUP($D127,'Modelling New'!$D:$D,'Modelling New'!O:O),"")</f>
        <v>0.85441089246197577</v>
      </c>
      <c r="AF127" s="233">
        <f>IFERROR(_xlfn.XLOOKUP($D127,'Modelling New'!$D:$D,'Modelling New'!W:W),"")</f>
        <v>0.14182761454173928</v>
      </c>
      <c r="AG127" s="233">
        <f>IFERROR(_xlfn.XLOOKUP($D127,'Modelling New'!$D:$D,'Modelling New'!AE:AE),"")</f>
        <v>0.995</v>
      </c>
      <c r="AH127" s="234">
        <f>IFERROR(_xlfn.XLOOKUP($D127,'Modelling New'!$D:$D,'Modelling New'!AF:AF),"")</f>
        <v>0.995</v>
      </c>
      <c r="AI127" s="9"/>
      <c r="AJ127" s="9"/>
      <c r="AK127" s="258"/>
      <c r="AL127" s="258"/>
      <c r="AM127" s="258"/>
      <c r="AN127" s="235"/>
      <c r="AO127" s="233"/>
      <c r="AP127" s="233"/>
      <c r="AQ127" s="233"/>
      <c r="AR127" s="236">
        <f>_xlfn.XLOOKUP(D127,'Modelling New'!$D:$D,'Modelling New'!$N:$N)</f>
        <v>130</v>
      </c>
      <c r="AS127" s="236">
        <f t="shared" si="13"/>
        <v>0</v>
      </c>
    </row>
    <row r="128" spans="1:45">
      <c r="A128" s="18">
        <f t="shared" si="14"/>
        <v>45871</v>
      </c>
      <c r="B128" s="29">
        <f>YEAR(Table13[[#This Row],[Date]])+IF(MONTH(Table13[[#This Row],[Date]])&gt;=4,1,0)</f>
        <v>2026</v>
      </c>
      <c r="C128" s="9">
        <f>YEAR(Table13[[#This Row],[Date]])</f>
        <v>2025</v>
      </c>
      <c r="D128" s="229">
        <f>Table13[[#This Row],[Date]]-DAY(Table13[[#This Row],[Date]])+1</f>
        <v>45870</v>
      </c>
      <c r="E128" s="9">
        <f t="shared" si="10"/>
        <v>31</v>
      </c>
      <c r="F128" s="199">
        <f>IFERROR(_xlfn.XLOOKUP($A128,Input_Raw!$A:$A,Input_Raw!$FC:$FC),"")</f>
        <v>0</v>
      </c>
      <c r="G128" s="200" t="str">
        <f>IFERROR(_xlfn.XLOOKUP($A128,Input_Raw!$A:$A,Input_Raw!$CY:$CY),"")</f>
        <v/>
      </c>
      <c r="H128" s="200" t="str">
        <f>IFERROR(_xlfn.XLOOKUP($A128,Input_Raw!$A:$A,Input_Raw!$DA:$DA),"")</f>
        <v/>
      </c>
      <c r="I128" s="200" t="str">
        <f>IFERROR(_xlfn.XLOOKUP($A128,Input_Raw!$A:$A,Input_Raw!$CX:$CX),"")</f>
        <v/>
      </c>
      <c r="J128" s="200" t="str">
        <f>IFERROR(_xlfn.XLOOKUP($A128,Input_Raw!$A:$A,Input_Raw!$CZ:$CZ),"")</f>
        <v/>
      </c>
      <c r="K128" s="201" t="str">
        <f>IFERROR(_xlfn.XLOOKUP($A128,Input_Raw!$A:$A,Input_Raw!$DB:$DB),"")</f>
        <v/>
      </c>
      <c r="L128" s="201" t="str">
        <f>IFERROR(_xlfn.XLOOKUP($A128,Input_Raw!$A:$A,Input_Raw!$DC:$DC),"")</f>
        <v/>
      </c>
      <c r="M128" s="200" t="str">
        <f>IFERROR(_xlfn.XLOOKUP($A128,Input_Raw!$A:$A,Input_Raw!$DF:$DF),"")</f>
        <v/>
      </c>
      <c r="N128" s="200" t="str">
        <f>IFERROR(_xlfn.XLOOKUP($A128,Input_Raw!$A:$A,Input_Raw!$DG:$DG),"")</f>
        <v/>
      </c>
      <c r="O128" s="230" t="str">
        <f>IFERROR(1-(SUMIF(Plant_BD!$B:$B,$A128,Plant_BD!$AL:$AL)/($AA128+SUMIF(Plant_BD!$B:$B,$A128,Plant_BD!$AL:$AL))),"")</f>
        <v/>
      </c>
      <c r="P128" s="230"/>
      <c r="Q128" s="231" t="str">
        <f>IFERROR(1-(SUMIF(Grid_BD!$B:$B,$A128,Grid_BD!$V:$V)/($AA128+SUMIF(Grid_BD!$B:$B,$A128,Grid_BD!$V:$V))),"")</f>
        <v/>
      </c>
      <c r="R128" s="230" t="str">
        <f>IFERROR(1-(SUMIF(Grid_BD!$B:$B,$A128,Grid_BD!$V:$V)/($AA128+SUMIF(Grid_BD!$B:$B,$A128,Grid_BD!$V:$V))),"")</f>
        <v/>
      </c>
      <c r="S128" s="9"/>
      <c r="T128" s="231"/>
      <c r="U128" s="232" t="str">
        <f t="shared" si="11"/>
        <v/>
      </c>
      <c r="V128" s="232" t="str">
        <f>IFERROR(_xlfn.XLOOKUP($A128,Input_Raw!$A:$A,Input_Raw!$FG:$FG),"")</f>
        <v/>
      </c>
      <c r="W128" s="233" t="str">
        <f t="shared" si="12"/>
        <v/>
      </c>
      <c r="X128" s="29">
        <f>IFERROR(_xlfn.XLOOKUP($A128,Input_Raw!$A:$A,Input_Raw!$DP:$DP),"")</f>
        <v>0</v>
      </c>
      <c r="Y128" s="29">
        <f>IFERROR(_xlfn.XLOOKUP($A128,Input_Raw!$A:$A,Input_Raw!EW:EW),"")</f>
        <v>0</v>
      </c>
      <c r="Z128" s="29" t="str">
        <f>IFERROR(_xlfn.XLOOKUP($A128,Input_Raw!$A:$A,Input_Raw!EX:EX),"")</f>
        <v/>
      </c>
      <c r="AA128" s="29" t="str">
        <f>IFERROR(_xlfn.XLOOKUP($A128,Input_Raw!$A:$A,Input_Raw!FA:FA),"")</f>
        <v/>
      </c>
      <c r="AB128" s="9">
        <f>IFERROR(_xlfn.XLOOKUP($A128,Input_Raw!$A:$A,Input_Raw!FD:FD),"")</f>
        <v>0</v>
      </c>
      <c r="AC128" s="185">
        <f>IFERROR(_xlfn.XLOOKUP($D128,'Modelling New'!$D:$D,'Modelling New'!P:P),"")</f>
        <v>3.9838709677419355</v>
      </c>
      <c r="AD128" s="29">
        <f>IFERROR(_xlfn.XLOOKUP($D128,'Modelling New'!$D:$D,'Modelling New'!T:T)*1000,"")</f>
        <v>442502.15737022652</v>
      </c>
      <c r="AE128" s="233">
        <f>IFERROR(_xlfn.XLOOKUP($D128,'Modelling New'!$D:$D,'Modelling New'!O:O),"")</f>
        <v>0.85441089246197577</v>
      </c>
      <c r="AF128" s="233">
        <f>IFERROR(_xlfn.XLOOKUP($D128,'Modelling New'!$D:$D,'Modelling New'!W:W),"")</f>
        <v>0.14182761454173928</v>
      </c>
      <c r="AG128" s="233">
        <f>IFERROR(_xlfn.XLOOKUP($D128,'Modelling New'!$D:$D,'Modelling New'!AE:AE),"")</f>
        <v>0.995</v>
      </c>
      <c r="AH128" s="234">
        <f>IFERROR(_xlfn.XLOOKUP($D128,'Modelling New'!$D:$D,'Modelling New'!AF:AF),"")</f>
        <v>0.995</v>
      </c>
      <c r="AI128" s="9"/>
      <c r="AJ128" s="9"/>
      <c r="AK128" s="258"/>
      <c r="AL128" s="258"/>
      <c r="AM128" s="258"/>
      <c r="AN128" s="235"/>
      <c r="AO128" s="233"/>
      <c r="AP128" s="233"/>
      <c r="AQ128" s="233"/>
      <c r="AR128" s="236">
        <f>_xlfn.XLOOKUP(D128,'Modelling New'!$D:$D,'Modelling New'!$N:$N)</f>
        <v>130</v>
      </c>
      <c r="AS128" s="236">
        <f t="shared" si="13"/>
        <v>0</v>
      </c>
    </row>
    <row r="129" spans="1:45">
      <c r="A129" s="18">
        <f t="shared" si="14"/>
        <v>45872</v>
      </c>
      <c r="B129" s="29">
        <f>YEAR(Table13[[#This Row],[Date]])+IF(MONTH(Table13[[#This Row],[Date]])&gt;=4,1,0)</f>
        <v>2026</v>
      </c>
      <c r="C129" s="9">
        <f>YEAR(Table13[[#This Row],[Date]])</f>
        <v>2025</v>
      </c>
      <c r="D129" s="229">
        <f>Table13[[#This Row],[Date]]-DAY(Table13[[#This Row],[Date]])+1</f>
        <v>45870</v>
      </c>
      <c r="E129" s="9">
        <f t="shared" si="10"/>
        <v>31</v>
      </c>
      <c r="F129" s="199">
        <f>IFERROR(_xlfn.XLOOKUP($A129,Input_Raw!$A:$A,Input_Raw!$FC:$FC),"")</f>
        <v>0</v>
      </c>
      <c r="G129" s="185" t="str">
        <f>IFERROR(_xlfn.XLOOKUP($A129,Input_Raw!$A:$A,Input_Raw!$CY:$CY),"")</f>
        <v/>
      </c>
      <c r="H129" s="185" t="str">
        <f>IFERROR(_xlfn.XLOOKUP($A129,Input_Raw!$A:$A,Input_Raw!$DA:$DA),"")</f>
        <v/>
      </c>
      <c r="I129" s="185" t="str">
        <f>IFERROR(_xlfn.XLOOKUP($A129,Input_Raw!$A:$A,Input_Raw!$CX:$CX),"")</f>
        <v/>
      </c>
      <c r="J129" s="185" t="str">
        <f>IFERROR(_xlfn.XLOOKUP($A129,Input_Raw!$A:$A,Input_Raw!$CZ:$CZ),"")</f>
        <v/>
      </c>
      <c r="K129" s="201" t="str">
        <f>IFERROR(_xlfn.XLOOKUP($A129,Input_Raw!$A:$A,Input_Raw!$DB:$DB),"")</f>
        <v/>
      </c>
      <c r="L129" s="201" t="str">
        <f>IFERROR(_xlfn.XLOOKUP($A129,Input_Raw!$A:$A,Input_Raw!$DC:$DC),"")</f>
        <v/>
      </c>
      <c r="M129" s="200" t="str">
        <f>IFERROR(_xlfn.XLOOKUP($A129,Input_Raw!$A:$A,Input_Raw!$DF:$DF),"")</f>
        <v/>
      </c>
      <c r="N129" s="200" t="str">
        <f>IFERROR(_xlfn.XLOOKUP($A129,Input_Raw!$A:$A,Input_Raw!$DG:$DG),"")</f>
        <v/>
      </c>
      <c r="O129" s="230" t="str">
        <f>IFERROR(1-(SUMIF(Plant_BD!$B:$B,$A129,Plant_BD!$AL:$AL)/($AA129+SUMIF(Plant_BD!$B:$B,$A129,Plant_BD!$AL:$AL))),"")</f>
        <v/>
      </c>
      <c r="P129" s="230"/>
      <c r="Q129" s="231" t="str">
        <f>IFERROR(1-(SUMIF(Grid_BD!$B:$B,$A129,Grid_BD!$V:$V)/($AA129+SUMIF(Grid_BD!$B:$B,$A129,Grid_BD!$V:$V))),"")</f>
        <v/>
      </c>
      <c r="R129" s="230" t="str">
        <f>IFERROR(1-(SUMIF(Grid_BD!$B:$B,$A129,Grid_BD!$V:$V)/($AA129+SUMIF(Grid_BD!$B:$B,$A129,Grid_BD!$V:$V))),"")</f>
        <v/>
      </c>
      <c r="S129" s="9"/>
      <c r="T129" s="231"/>
      <c r="U129" s="232" t="str">
        <f t="shared" si="11"/>
        <v/>
      </c>
      <c r="V129" s="232" t="str">
        <f>IFERROR(_xlfn.XLOOKUP($A129,Input_Raw!$A:$A,Input_Raw!$FG:$FG),"")</f>
        <v/>
      </c>
      <c r="W129" s="233" t="str">
        <f t="shared" si="12"/>
        <v/>
      </c>
      <c r="X129" s="29">
        <f>IFERROR(_xlfn.XLOOKUP($A129,Input_Raw!$A:$A,Input_Raw!$DP:$DP),"")</f>
        <v>0</v>
      </c>
      <c r="Y129" s="29">
        <f>IFERROR(_xlfn.XLOOKUP($A129,Input_Raw!$A:$A,Input_Raw!EW:EW),"")</f>
        <v>0</v>
      </c>
      <c r="Z129" s="29" t="str">
        <f>IFERROR(_xlfn.XLOOKUP($A129,Input_Raw!$A:$A,Input_Raw!EX:EX),"")</f>
        <v/>
      </c>
      <c r="AA129" s="29" t="str">
        <f>IFERROR(_xlfn.XLOOKUP($A129,Input_Raw!$A:$A,Input_Raw!FA:FA),"")</f>
        <v/>
      </c>
      <c r="AB129" s="9">
        <f>IFERROR(_xlfn.XLOOKUP($A129,Input_Raw!$A:$A,Input_Raw!FD:FD),"")</f>
        <v>0</v>
      </c>
      <c r="AC129" s="185">
        <f>IFERROR(_xlfn.XLOOKUP($D129,'Modelling New'!$D:$D,'Modelling New'!P:P),"")</f>
        <v>3.9838709677419355</v>
      </c>
      <c r="AD129" s="29">
        <f>IFERROR(_xlfn.XLOOKUP($D129,'Modelling New'!$D:$D,'Modelling New'!T:T)*1000,"")</f>
        <v>442502.15737022652</v>
      </c>
      <c r="AE129" s="233">
        <f>IFERROR(_xlfn.XLOOKUP($D129,'Modelling New'!$D:$D,'Modelling New'!O:O),"")</f>
        <v>0.85441089246197577</v>
      </c>
      <c r="AF129" s="233">
        <f>IFERROR(_xlfn.XLOOKUP($D129,'Modelling New'!$D:$D,'Modelling New'!W:W),"")</f>
        <v>0.14182761454173928</v>
      </c>
      <c r="AG129" s="233">
        <f>IFERROR(_xlfn.XLOOKUP($D129,'Modelling New'!$D:$D,'Modelling New'!AE:AE),"")</f>
        <v>0.995</v>
      </c>
      <c r="AH129" s="234">
        <f>IFERROR(_xlfn.XLOOKUP($D129,'Modelling New'!$D:$D,'Modelling New'!AF:AF),"")</f>
        <v>0.995</v>
      </c>
      <c r="AI129" s="9"/>
      <c r="AJ129" s="9"/>
      <c r="AK129" s="258"/>
      <c r="AL129" s="258"/>
      <c r="AM129" s="258"/>
      <c r="AN129" s="235"/>
      <c r="AO129" s="233"/>
      <c r="AP129" s="233"/>
      <c r="AQ129" s="233"/>
      <c r="AR129" s="236">
        <f>_xlfn.XLOOKUP(D129,'Modelling New'!$D:$D,'Modelling New'!$N:$N)</f>
        <v>130</v>
      </c>
      <c r="AS129" s="236">
        <f t="shared" si="13"/>
        <v>0</v>
      </c>
    </row>
    <row r="130" spans="1:45">
      <c r="A130" s="18">
        <f t="shared" si="14"/>
        <v>45873</v>
      </c>
      <c r="B130" s="29">
        <f>YEAR(Table13[[#This Row],[Date]])+IF(MONTH(Table13[[#This Row],[Date]])&gt;=4,1,0)</f>
        <v>2026</v>
      </c>
      <c r="C130" s="9">
        <f>YEAR(Table13[[#This Row],[Date]])</f>
        <v>2025</v>
      </c>
      <c r="D130" s="229">
        <f>Table13[[#This Row],[Date]]-DAY(Table13[[#This Row],[Date]])+1</f>
        <v>45870</v>
      </c>
      <c r="E130" s="9">
        <f t="shared" si="10"/>
        <v>31</v>
      </c>
      <c r="F130" s="199">
        <f>IFERROR(_xlfn.XLOOKUP($A130,Input_Raw!$A:$A,Input_Raw!$FC:$FC),"")</f>
        <v>0</v>
      </c>
      <c r="G130" s="200" t="str">
        <f>IFERROR(_xlfn.XLOOKUP($A130,Input_Raw!$A:$A,Input_Raw!$CY:$CY),"")</f>
        <v/>
      </c>
      <c r="H130" s="200" t="str">
        <f>IFERROR(_xlfn.XLOOKUP($A130,Input_Raw!$A:$A,Input_Raw!$DA:$DA),"")</f>
        <v/>
      </c>
      <c r="I130" s="200" t="str">
        <f>IFERROR(_xlfn.XLOOKUP($A130,Input_Raw!$A:$A,Input_Raw!$CX:$CX),"")</f>
        <v/>
      </c>
      <c r="J130" s="200" t="str">
        <f>IFERROR(_xlfn.XLOOKUP($A130,Input_Raw!$A:$A,Input_Raw!$CZ:$CZ),"")</f>
        <v/>
      </c>
      <c r="K130" s="201" t="str">
        <f>IFERROR(_xlfn.XLOOKUP($A130,Input_Raw!$A:$A,Input_Raw!$DB:$DB),"")</f>
        <v/>
      </c>
      <c r="L130" s="201" t="str">
        <f>IFERROR(_xlfn.XLOOKUP($A130,Input_Raw!$A:$A,Input_Raw!$DC:$DC),"")</f>
        <v/>
      </c>
      <c r="M130" s="200" t="str">
        <f>IFERROR(_xlfn.XLOOKUP($A130,Input_Raw!$A:$A,Input_Raw!$DF:$DF),"")</f>
        <v/>
      </c>
      <c r="N130" s="200" t="str">
        <f>IFERROR(_xlfn.XLOOKUP($A130,Input_Raw!$A:$A,Input_Raw!$DG:$DG),"")</f>
        <v/>
      </c>
      <c r="O130" s="230" t="str">
        <f>IFERROR(1-(SUMIF(Plant_BD!$B:$B,$A130,Plant_BD!$AL:$AL)/($AA130+SUMIF(Plant_BD!$B:$B,$A130,Plant_BD!$AL:$AL))),"")</f>
        <v/>
      </c>
      <c r="P130" s="230"/>
      <c r="Q130" s="231" t="str">
        <f>IFERROR(1-(SUMIF(Grid_BD!$B:$B,$A130,Grid_BD!$V:$V)/($AA130+SUMIF(Grid_BD!$B:$B,$A130,Grid_BD!$V:$V))),"")</f>
        <v/>
      </c>
      <c r="R130" s="230" t="str">
        <f>IFERROR(1-(SUMIF(Grid_BD!$B:$B,$A130,Grid_BD!$V:$V)/($AA130+SUMIF(Grid_BD!$B:$B,$A130,Grid_BD!$V:$V))),"")</f>
        <v/>
      </c>
      <c r="S130" s="9"/>
      <c r="T130" s="231"/>
      <c r="U130" s="232" t="str">
        <f t="shared" si="11"/>
        <v/>
      </c>
      <c r="V130" s="232" t="str">
        <f>IFERROR(_xlfn.XLOOKUP($A130,Input_Raw!$A:$A,Input_Raw!$FG:$FG),"")</f>
        <v/>
      </c>
      <c r="W130" s="233" t="str">
        <f t="shared" si="12"/>
        <v/>
      </c>
      <c r="X130" s="29">
        <f>IFERROR(_xlfn.XLOOKUP($A130,Input_Raw!$A:$A,Input_Raw!$DP:$DP),"")</f>
        <v>0</v>
      </c>
      <c r="Y130" s="29">
        <f>IFERROR(_xlfn.XLOOKUP($A130,Input_Raw!$A:$A,Input_Raw!EW:EW),"")</f>
        <v>0</v>
      </c>
      <c r="Z130" s="29" t="str">
        <f>IFERROR(_xlfn.XLOOKUP($A130,Input_Raw!$A:$A,Input_Raw!EX:EX),"")</f>
        <v/>
      </c>
      <c r="AA130" s="29" t="str">
        <f>IFERROR(_xlfn.XLOOKUP($A130,Input_Raw!$A:$A,Input_Raw!FA:FA),"")</f>
        <v/>
      </c>
      <c r="AB130" s="9">
        <f>IFERROR(_xlfn.XLOOKUP($A130,Input_Raw!$A:$A,Input_Raw!FD:FD),"")</f>
        <v>0</v>
      </c>
      <c r="AC130" s="185">
        <f>IFERROR(_xlfn.XLOOKUP($D130,'Modelling New'!$D:$D,'Modelling New'!P:P),"")</f>
        <v>3.9838709677419355</v>
      </c>
      <c r="AD130" s="29">
        <f>IFERROR(_xlfn.XLOOKUP($D130,'Modelling New'!$D:$D,'Modelling New'!T:T)*1000,"")</f>
        <v>442502.15737022652</v>
      </c>
      <c r="AE130" s="233">
        <f>IFERROR(_xlfn.XLOOKUP($D130,'Modelling New'!$D:$D,'Modelling New'!O:O),"")</f>
        <v>0.85441089246197577</v>
      </c>
      <c r="AF130" s="233">
        <f>IFERROR(_xlfn.XLOOKUP($D130,'Modelling New'!$D:$D,'Modelling New'!W:W),"")</f>
        <v>0.14182761454173928</v>
      </c>
      <c r="AG130" s="233">
        <f>IFERROR(_xlfn.XLOOKUP($D130,'Modelling New'!$D:$D,'Modelling New'!AE:AE),"")</f>
        <v>0.995</v>
      </c>
      <c r="AH130" s="234">
        <f>IFERROR(_xlfn.XLOOKUP($D130,'Modelling New'!$D:$D,'Modelling New'!AF:AF),"")</f>
        <v>0.995</v>
      </c>
      <c r="AI130" s="9"/>
      <c r="AJ130" s="9"/>
      <c r="AK130" s="258"/>
      <c r="AL130" s="258"/>
      <c r="AM130" s="258"/>
      <c r="AN130" s="235"/>
      <c r="AO130" s="233"/>
      <c r="AP130" s="233"/>
      <c r="AQ130" s="233"/>
      <c r="AR130" s="236">
        <f>_xlfn.XLOOKUP(D130,'Modelling New'!$D:$D,'Modelling New'!$N:$N)</f>
        <v>130</v>
      </c>
      <c r="AS130" s="236">
        <f t="shared" si="13"/>
        <v>0</v>
      </c>
    </row>
    <row r="131" spans="1:45">
      <c r="A131" s="18">
        <f t="shared" si="14"/>
        <v>45874</v>
      </c>
      <c r="B131" s="29">
        <f>YEAR(Table13[[#This Row],[Date]])+IF(MONTH(Table13[[#This Row],[Date]])&gt;=4,1,0)</f>
        <v>2026</v>
      </c>
      <c r="C131" s="9">
        <f>YEAR(Table13[[#This Row],[Date]])</f>
        <v>2025</v>
      </c>
      <c r="D131" s="229">
        <f>Table13[[#This Row],[Date]]-DAY(Table13[[#This Row],[Date]])+1</f>
        <v>45870</v>
      </c>
      <c r="E131" s="9">
        <f t="shared" si="10"/>
        <v>31</v>
      </c>
      <c r="F131" s="199">
        <f>IFERROR(_xlfn.XLOOKUP($A131,Input_Raw!$A:$A,Input_Raw!$FC:$FC),"")</f>
        <v>0</v>
      </c>
      <c r="G131" s="185" t="str">
        <f>IFERROR(_xlfn.XLOOKUP($A131,Input_Raw!$A:$A,Input_Raw!$CY:$CY),"")</f>
        <v/>
      </c>
      <c r="H131" s="185" t="str">
        <f>IFERROR(_xlfn.XLOOKUP($A131,Input_Raw!$A:$A,Input_Raw!$DA:$DA),"")</f>
        <v/>
      </c>
      <c r="I131" s="185" t="str">
        <f>IFERROR(_xlfn.XLOOKUP($A131,Input_Raw!$A:$A,Input_Raw!$CX:$CX),"")</f>
        <v/>
      </c>
      <c r="J131" s="185" t="str">
        <f>IFERROR(_xlfn.XLOOKUP($A131,Input_Raw!$A:$A,Input_Raw!$CZ:$CZ),"")</f>
        <v/>
      </c>
      <c r="K131" s="201" t="str">
        <f>IFERROR(_xlfn.XLOOKUP($A131,Input_Raw!$A:$A,Input_Raw!$DB:$DB),"")</f>
        <v/>
      </c>
      <c r="L131" s="201" t="str">
        <f>IFERROR(_xlfn.XLOOKUP($A131,Input_Raw!$A:$A,Input_Raw!$DC:$DC),"")</f>
        <v/>
      </c>
      <c r="M131" s="200" t="str">
        <f>IFERROR(_xlfn.XLOOKUP($A131,Input_Raw!$A:$A,Input_Raw!$DF:$DF),"")</f>
        <v/>
      </c>
      <c r="N131" s="200" t="str">
        <f>IFERROR(_xlfn.XLOOKUP($A131,Input_Raw!$A:$A,Input_Raw!$DG:$DG),"")</f>
        <v/>
      </c>
      <c r="O131" s="230" t="str">
        <f>IFERROR(1-(SUMIF(Plant_BD!$B:$B,$A131,Plant_BD!$AL:$AL)/($AA131+SUMIF(Plant_BD!$B:$B,$A131,Plant_BD!$AL:$AL))),"")</f>
        <v/>
      </c>
      <c r="P131" s="230"/>
      <c r="Q131" s="231" t="str">
        <f>IFERROR(1-(SUMIF(Grid_BD!$B:$B,$A131,Grid_BD!$V:$V)/($AA131+SUMIF(Grid_BD!$B:$B,$A131,Grid_BD!$V:$V))),"")</f>
        <v/>
      </c>
      <c r="R131" s="230" t="str">
        <f>IFERROR(1-(SUMIF(Grid_BD!$B:$B,$A131,Grid_BD!$V:$V)/($AA131+SUMIF(Grid_BD!$B:$B,$A131,Grid_BD!$V:$V))),"")</f>
        <v/>
      </c>
      <c r="S131" s="9"/>
      <c r="T131" s="231"/>
      <c r="U131" s="232" t="str">
        <f t="shared" si="11"/>
        <v/>
      </c>
      <c r="V131" s="232" t="str">
        <f>IFERROR(_xlfn.XLOOKUP($A131,Input_Raw!$A:$A,Input_Raw!$FG:$FG),"")</f>
        <v/>
      </c>
      <c r="W131" s="233" t="str">
        <f t="shared" si="12"/>
        <v/>
      </c>
      <c r="X131" s="29">
        <f>IFERROR(_xlfn.XLOOKUP($A131,Input_Raw!$A:$A,Input_Raw!$DP:$DP),"")</f>
        <v>0</v>
      </c>
      <c r="Y131" s="29">
        <f>IFERROR(_xlfn.XLOOKUP($A131,Input_Raw!$A:$A,Input_Raw!EW:EW),"")</f>
        <v>0</v>
      </c>
      <c r="Z131" s="29" t="str">
        <f>IFERROR(_xlfn.XLOOKUP($A131,Input_Raw!$A:$A,Input_Raw!EX:EX),"")</f>
        <v/>
      </c>
      <c r="AA131" s="29" t="str">
        <f>IFERROR(_xlfn.XLOOKUP($A131,Input_Raw!$A:$A,Input_Raw!FA:FA),"")</f>
        <v/>
      </c>
      <c r="AB131" s="9">
        <f>IFERROR(_xlfn.XLOOKUP($A131,Input_Raw!$A:$A,Input_Raw!FD:FD),"")</f>
        <v>0</v>
      </c>
      <c r="AC131" s="185">
        <f>IFERROR(_xlfn.XLOOKUP($D131,'Modelling New'!$D:$D,'Modelling New'!P:P),"")</f>
        <v>3.9838709677419355</v>
      </c>
      <c r="AD131" s="29">
        <f>IFERROR(_xlfn.XLOOKUP($D131,'Modelling New'!$D:$D,'Modelling New'!T:T)*1000,"")</f>
        <v>442502.15737022652</v>
      </c>
      <c r="AE131" s="233">
        <f>IFERROR(_xlfn.XLOOKUP($D131,'Modelling New'!$D:$D,'Modelling New'!O:O),"")</f>
        <v>0.85441089246197577</v>
      </c>
      <c r="AF131" s="233">
        <f>IFERROR(_xlfn.XLOOKUP($D131,'Modelling New'!$D:$D,'Modelling New'!W:W),"")</f>
        <v>0.14182761454173928</v>
      </c>
      <c r="AG131" s="233">
        <f>IFERROR(_xlfn.XLOOKUP($D131,'Modelling New'!$D:$D,'Modelling New'!AE:AE),"")</f>
        <v>0.995</v>
      </c>
      <c r="AH131" s="234">
        <f>IFERROR(_xlfn.XLOOKUP($D131,'Modelling New'!$D:$D,'Modelling New'!AF:AF),"")</f>
        <v>0.995</v>
      </c>
      <c r="AI131" s="9"/>
      <c r="AJ131" s="9"/>
      <c r="AK131" s="258"/>
      <c r="AL131" s="258"/>
      <c r="AM131" s="258"/>
      <c r="AN131" s="235"/>
      <c r="AO131" s="233"/>
      <c r="AP131" s="233"/>
      <c r="AQ131" s="233"/>
      <c r="AR131" s="236">
        <f>_xlfn.XLOOKUP(D131,'Modelling New'!$D:$D,'Modelling New'!$N:$N)</f>
        <v>130</v>
      </c>
      <c r="AS131" s="236">
        <f t="shared" si="13"/>
        <v>0</v>
      </c>
    </row>
    <row r="132" spans="1:45">
      <c r="A132" s="18">
        <f t="shared" si="14"/>
        <v>45875</v>
      </c>
      <c r="B132" s="29">
        <f>YEAR(Table13[[#This Row],[Date]])+IF(MONTH(Table13[[#This Row],[Date]])&gt;=4,1,0)</f>
        <v>2026</v>
      </c>
      <c r="C132" s="9">
        <f>YEAR(Table13[[#This Row],[Date]])</f>
        <v>2025</v>
      </c>
      <c r="D132" s="229">
        <f>Table13[[#This Row],[Date]]-DAY(Table13[[#This Row],[Date]])+1</f>
        <v>45870</v>
      </c>
      <c r="E132" s="9">
        <f t="shared" si="10"/>
        <v>31</v>
      </c>
      <c r="F132" s="199">
        <f>IFERROR(_xlfn.XLOOKUP($A132,Input_Raw!$A:$A,Input_Raw!$FC:$FC),"")</f>
        <v>0</v>
      </c>
      <c r="G132" s="200" t="str">
        <f>IFERROR(_xlfn.XLOOKUP($A132,Input_Raw!$A:$A,Input_Raw!$CY:$CY),"")</f>
        <v/>
      </c>
      <c r="H132" s="200" t="str">
        <f>IFERROR(_xlfn.XLOOKUP($A132,Input_Raw!$A:$A,Input_Raw!$DA:$DA),"")</f>
        <v/>
      </c>
      <c r="I132" s="200" t="str">
        <f>IFERROR(_xlfn.XLOOKUP($A132,Input_Raw!$A:$A,Input_Raw!$CX:$CX),"")</f>
        <v/>
      </c>
      <c r="J132" s="200" t="str">
        <f>IFERROR(_xlfn.XLOOKUP($A132,Input_Raw!$A:$A,Input_Raw!$CZ:$CZ),"")</f>
        <v/>
      </c>
      <c r="K132" s="201" t="str">
        <f>IFERROR(_xlfn.XLOOKUP($A132,Input_Raw!$A:$A,Input_Raw!$DB:$DB),"")</f>
        <v/>
      </c>
      <c r="L132" s="201" t="str">
        <f>IFERROR(_xlfn.XLOOKUP($A132,Input_Raw!$A:$A,Input_Raw!$DC:$DC),"")</f>
        <v/>
      </c>
      <c r="M132" s="200" t="str">
        <f>IFERROR(_xlfn.XLOOKUP($A132,Input_Raw!$A:$A,Input_Raw!$DF:$DF),"")</f>
        <v/>
      </c>
      <c r="N132" s="200" t="str">
        <f>IFERROR(_xlfn.XLOOKUP($A132,Input_Raw!$A:$A,Input_Raw!$DG:$DG),"")</f>
        <v/>
      </c>
      <c r="O132" s="230" t="str">
        <f>IFERROR(1-(SUMIF(Plant_BD!$B:$B,$A132,Plant_BD!$AL:$AL)/($AA132+SUMIF(Plant_BD!$B:$B,$A132,Plant_BD!$AL:$AL))),"")</f>
        <v/>
      </c>
      <c r="P132" s="230"/>
      <c r="Q132" s="231" t="str">
        <f>IFERROR(1-(SUMIF(Grid_BD!$B:$B,$A132,Grid_BD!$V:$V)/($AA132+SUMIF(Grid_BD!$B:$B,$A132,Grid_BD!$V:$V))),"")</f>
        <v/>
      </c>
      <c r="R132" s="230" t="str">
        <f>IFERROR(1-(SUMIF(Grid_BD!$B:$B,$A132,Grid_BD!$V:$V)/($AA132+SUMIF(Grid_BD!$B:$B,$A132,Grid_BD!$V:$V))),"")</f>
        <v/>
      </c>
      <c r="S132" s="9"/>
      <c r="T132" s="231"/>
      <c r="U132" s="232" t="str">
        <f t="shared" si="11"/>
        <v/>
      </c>
      <c r="V132" s="232" t="str">
        <f>IFERROR(_xlfn.XLOOKUP($A132,Input_Raw!$A:$A,Input_Raw!$FG:$FG),"")</f>
        <v/>
      </c>
      <c r="W132" s="233" t="str">
        <f t="shared" si="12"/>
        <v/>
      </c>
      <c r="X132" s="29">
        <f>IFERROR(_xlfn.XLOOKUP($A132,Input_Raw!$A:$A,Input_Raw!$DP:$DP),"")</f>
        <v>0</v>
      </c>
      <c r="Y132" s="29">
        <f>IFERROR(_xlfn.XLOOKUP($A132,Input_Raw!$A:$A,Input_Raw!EW:EW),"")</f>
        <v>0</v>
      </c>
      <c r="Z132" s="29" t="str">
        <f>IFERROR(_xlfn.XLOOKUP($A132,Input_Raw!$A:$A,Input_Raw!EX:EX),"")</f>
        <v/>
      </c>
      <c r="AA132" s="29" t="str">
        <f>IFERROR(_xlfn.XLOOKUP($A132,Input_Raw!$A:$A,Input_Raw!FA:FA),"")</f>
        <v/>
      </c>
      <c r="AB132" s="9">
        <f>IFERROR(_xlfn.XLOOKUP($A132,Input_Raw!$A:$A,Input_Raw!FD:FD),"")</f>
        <v>0</v>
      </c>
      <c r="AC132" s="185">
        <f>IFERROR(_xlfn.XLOOKUP($D132,'Modelling New'!$D:$D,'Modelling New'!P:P),"")</f>
        <v>3.9838709677419355</v>
      </c>
      <c r="AD132" s="29">
        <f>IFERROR(_xlfn.XLOOKUP($D132,'Modelling New'!$D:$D,'Modelling New'!T:T)*1000,"")</f>
        <v>442502.15737022652</v>
      </c>
      <c r="AE132" s="233">
        <f>IFERROR(_xlfn.XLOOKUP($D132,'Modelling New'!$D:$D,'Modelling New'!O:O),"")</f>
        <v>0.85441089246197577</v>
      </c>
      <c r="AF132" s="233">
        <f>IFERROR(_xlfn.XLOOKUP($D132,'Modelling New'!$D:$D,'Modelling New'!W:W),"")</f>
        <v>0.14182761454173928</v>
      </c>
      <c r="AG132" s="233">
        <f>IFERROR(_xlfn.XLOOKUP($D132,'Modelling New'!$D:$D,'Modelling New'!AE:AE),"")</f>
        <v>0.995</v>
      </c>
      <c r="AH132" s="234">
        <f>IFERROR(_xlfn.XLOOKUP($D132,'Modelling New'!$D:$D,'Modelling New'!AF:AF),"")</f>
        <v>0.995</v>
      </c>
      <c r="AI132" s="9"/>
      <c r="AJ132" s="9"/>
      <c r="AK132" s="258"/>
      <c r="AL132" s="258"/>
      <c r="AM132" s="258"/>
      <c r="AN132" s="235"/>
      <c r="AO132" s="233"/>
      <c r="AP132" s="233"/>
      <c r="AQ132" s="233"/>
      <c r="AR132" s="236">
        <f>_xlfn.XLOOKUP(D132,'Modelling New'!$D:$D,'Modelling New'!$N:$N)</f>
        <v>130</v>
      </c>
      <c r="AS132" s="236">
        <f t="shared" si="13"/>
        <v>0</v>
      </c>
    </row>
    <row r="133" spans="1:45">
      <c r="A133" s="18">
        <f t="shared" si="14"/>
        <v>45876</v>
      </c>
      <c r="B133" s="29">
        <f>YEAR(Table13[[#This Row],[Date]])+IF(MONTH(Table13[[#This Row],[Date]])&gt;=4,1,0)</f>
        <v>2026</v>
      </c>
      <c r="C133" s="9">
        <f>YEAR(Table13[[#This Row],[Date]])</f>
        <v>2025</v>
      </c>
      <c r="D133" s="229">
        <f>Table13[[#This Row],[Date]]-DAY(Table13[[#This Row],[Date]])+1</f>
        <v>45870</v>
      </c>
      <c r="E133" s="9">
        <f t="shared" si="10"/>
        <v>31</v>
      </c>
      <c r="F133" s="199">
        <f>IFERROR(_xlfn.XLOOKUP($A133,Input_Raw!$A:$A,Input_Raw!$FC:$FC),"")</f>
        <v>0</v>
      </c>
      <c r="G133" s="185" t="str">
        <f>IFERROR(_xlfn.XLOOKUP($A133,Input_Raw!$A:$A,Input_Raw!$CY:$CY),"")</f>
        <v/>
      </c>
      <c r="H133" s="185" t="str">
        <f>IFERROR(_xlfn.XLOOKUP($A133,Input_Raw!$A:$A,Input_Raw!$DA:$DA),"")</f>
        <v/>
      </c>
      <c r="I133" s="185" t="str">
        <f>IFERROR(_xlfn.XLOOKUP($A133,Input_Raw!$A:$A,Input_Raw!$CX:$CX),"")</f>
        <v/>
      </c>
      <c r="J133" s="185" t="str">
        <f>IFERROR(_xlfn.XLOOKUP($A133,Input_Raw!$A:$A,Input_Raw!$CZ:$CZ),"")</f>
        <v/>
      </c>
      <c r="K133" s="201" t="str">
        <f>IFERROR(_xlfn.XLOOKUP($A133,Input_Raw!$A:$A,Input_Raw!$DB:$DB),"")</f>
        <v/>
      </c>
      <c r="L133" s="201" t="str">
        <f>IFERROR(_xlfn.XLOOKUP($A133,Input_Raw!$A:$A,Input_Raw!$DC:$DC),"")</f>
        <v/>
      </c>
      <c r="M133" s="200" t="str">
        <f>IFERROR(_xlfn.XLOOKUP($A133,Input_Raw!$A:$A,Input_Raw!$DF:$DF),"")</f>
        <v/>
      </c>
      <c r="N133" s="200" t="str">
        <f>IFERROR(_xlfn.XLOOKUP($A133,Input_Raw!$A:$A,Input_Raw!$DG:$DG),"")</f>
        <v/>
      </c>
      <c r="O133" s="230" t="str">
        <f>IFERROR(1-(SUMIF(Plant_BD!$B:$B,$A133,Plant_BD!$AL:$AL)/($AA133+SUMIF(Plant_BD!$B:$B,$A133,Plant_BD!$AL:$AL))),"")</f>
        <v/>
      </c>
      <c r="P133" s="230"/>
      <c r="Q133" s="231" t="str">
        <f>IFERROR(1-(SUMIF(Grid_BD!$B:$B,$A133,Grid_BD!$V:$V)/($AA133+SUMIF(Grid_BD!$B:$B,$A133,Grid_BD!$V:$V))),"")</f>
        <v/>
      </c>
      <c r="R133" s="230" t="str">
        <f>IFERROR(1-(SUMIF(Grid_BD!$B:$B,$A133,Grid_BD!$V:$V)/($AA133+SUMIF(Grid_BD!$B:$B,$A133,Grid_BD!$V:$V))),"")</f>
        <v/>
      </c>
      <c r="S133" s="9"/>
      <c r="T133" s="231"/>
      <c r="U133" s="232" t="str">
        <f t="shared" si="11"/>
        <v/>
      </c>
      <c r="V133" s="232" t="str">
        <f>IFERROR(_xlfn.XLOOKUP($A133,Input_Raw!$A:$A,Input_Raw!$FG:$FG),"")</f>
        <v/>
      </c>
      <c r="W133" s="233" t="str">
        <f t="shared" si="12"/>
        <v/>
      </c>
      <c r="X133" s="29">
        <f>IFERROR(_xlfn.XLOOKUP($A133,Input_Raw!$A:$A,Input_Raw!$DP:$DP),"")</f>
        <v>0</v>
      </c>
      <c r="Y133" s="29">
        <f>IFERROR(_xlfn.XLOOKUP($A133,Input_Raw!$A:$A,Input_Raw!EW:EW),"")</f>
        <v>0</v>
      </c>
      <c r="Z133" s="29" t="str">
        <f>IFERROR(_xlfn.XLOOKUP($A133,Input_Raw!$A:$A,Input_Raw!EX:EX),"")</f>
        <v/>
      </c>
      <c r="AA133" s="29" t="str">
        <f>IFERROR(_xlfn.XLOOKUP($A133,Input_Raw!$A:$A,Input_Raw!FA:FA),"")</f>
        <v/>
      </c>
      <c r="AB133" s="9">
        <f>IFERROR(_xlfn.XLOOKUP($A133,Input_Raw!$A:$A,Input_Raw!FD:FD),"")</f>
        <v>0</v>
      </c>
      <c r="AC133" s="185">
        <f>IFERROR(_xlfn.XLOOKUP($D133,'Modelling New'!$D:$D,'Modelling New'!P:P),"")</f>
        <v>3.9838709677419355</v>
      </c>
      <c r="AD133" s="29">
        <f>IFERROR(_xlfn.XLOOKUP($D133,'Modelling New'!$D:$D,'Modelling New'!T:T)*1000,"")</f>
        <v>442502.15737022652</v>
      </c>
      <c r="AE133" s="233">
        <f>IFERROR(_xlfn.XLOOKUP($D133,'Modelling New'!$D:$D,'Modelling New'!O:O),"")</f>
        <v>0.85441089246197577</v>
      </c>
      <c r="AF133" s="233">
        <f>IFERROR(_xlfn.XLOOKUP($D133,'Modelling New'!$D:$D,'Modelling New'!W:W),"")</f>
        <v>0.14182761454173928</v>
      </c>
      <c r="AG133" s="233">
        <f>IFERROR(_xlfn.XLOOKUP($D133,'Modelling New'!$D:$D,'Modelling New'!AE:AE),"")</f>
        <v>0.995</v>
      </c>
      <c r="AH133" s="234">
        <f>IFERROR(_xlfn.XLOOKUP($D133,'Modelling New'!$D:$D,'Modelling New'!AF:AF),"")</f>
        <v>0.995</v>
      </c>
      <c r="AI133" s="9"/>
      <c r="AJ133" s="9"/>
      <c r="AK133" s="258"/>
      <c r="AL133" s="258"/>
      <c r="AM133" s="258"/>
      <c r="AN133" s="235"/>
      <c r="AO133" s="233"/>
      <c r="AP133" s="233"/>
      <c r="AQ133" s="233"/>
      <c r="AR133" s="236">
        <f>_xlfn.XLOOKUP(D133,'Modelling New'!$D:$D,'Modelling New'!$N:$N)</f>
        <v>130</v>
      </c>
      <c r="AS133" s="236">
        <f t="shared" si="13"/>
        <v>0</v>
      </c>
    </row>
    <row r="134" spans="1:45">
      <c r="A134" s="18">
        <f t="shared" si="14"/>
        <v>45877</v>
      </c>
      <c r="B134" s="29">
        <f>YEAR(Table13[[#This Row],[Date]])+IF(MONTH(Table13[[#This Row],[Date]])&gt;=4,1,0)</f>
        <v>2026</v>
      </c>
      <c r="C134" s="9">
        <f>YEAR(Table13[[#This Row],[Date]])</f>
        <v>2025</v>
      </c>
      <c r="D134" s="229">
        <f>Table13[[#This Row],[Date]]-DAY(Table13[[#This Row],[Date]])+1</f>
        <v>45870</v>
      </c>
      <c r="E134" s="9">
        <f t="shared" si="10"/>
        <v>31</v>
      </c>
      <c r="F134" s="199" t="str">
        <f>IFERROR(_xlfn.XLOOKUP($A134,Input_Raw!$A:$A,Input_Raw!$FC:$FC),"")</f>
        <v/>
      </c>
      <c r="G134" s="200" t="str">
        <f>IFERROR(_xlfn.XLOOKUP($A134,Input_Raw!$A:$A,Input_Raw!$CY:$CY),"")</f>
        <v/>
      </c>
      <c r="H134" s="200" t="str">
        <f>IFERROR(_xlfn.XLOOKUP($A134,Input_Raw!$A:$A,Input_Raw!$DA:$DA),"")</f>
        <v/>
      </c>
      <c r="I134" s="200" t="str">
        <f>IFERROR(_xlfn.XLOOKUP($A134,Input_Raw!$A:$A,Input_Raw!$CX:$CX),"")</f>
        <v/>
      </c>
      <c r="J134" s="200" t="str">
        <f>IFERROR(_xlfn.XLOOKUP($A134,Input_Raw!$A:$A,Input_Raw!$CZ:$CZ),"")</f>
        <v/>
      </c>
      <c r="K134" s="201" t="str">
        <f>IFERROR(_xlfn.XLOOKUP($A134,Input_Raw!$A:$A,Input_Raw!$DB:$DB),"")</f>
        <v/>
      </c>
      <c r="L134" s="201" t="str">
        <f>IFERROR(_xlfn.XLOOKUP($A134,Input_Raw!$A:$A,Input_Raw!$DC:$DC),"")</f>
        <v/>
      </c>
      <c r="M134" s="200" t="str">
        <f>IFERROR(_xlfn.XLOOKUP($A134,Input_Raw!$A:$A,Input_Raw!$DF:$DF),"")</f>
        <v/>
      </c>
      <c r="N134" s="200" t="str">
        <f>IFERROR(_xlfn.XLOOKUP($A134,Input_Raw!$A:$A,Input_Raw!$DG:$DG),"")</f>
        <v/>
      </c>
      <c r="O134" s="230" t="str">
        <f>IFERROR(1-(SUMIF(Plant_BD!$B:$B,$A134,Plant_BD!$AL:$AL)/($AA134+SUMIF(Plant_BD!$B:$B,$A134,Plant_BD!$AL:$AL))),"")</f>
        <v/>
      </c>
      <c r="P134" s="230"/>
      <c r="Q134" s="231" t="str">
        <f>IFERROR(1-(SUMIF(Grid_BD!$B:$B,$A134,Grid_BD!$V:$V)/($AA134+SUMIF(Grid_BD!$B:$B,$A134,Grid_BD!$V:$V))),"")</f>
        <v/>
      </c>
      <c r="R134" s="230" t="str">
        <f>IFERROR(1-(SUMIF(Grid_BD!$B:$B,$A134,Grid_BD!$V:$V)/($AA134+SUMIF(Grid_BD!$B:$B,$A134,Grid_BD!$V:$V))),"")</f>
        <v/>
      </c>
      <c r="S134" s="9"/>
      <c r="T134" s="231"/>
      <c r="U134" s="232" t="str">
        <f t="shared" si="11"/>
        <v/>
      </c>
      <c r="V134" s="232" t="str">
        <f>IFERROR(_xlfn.XLOOKUP($A134,Input_Raw!$A:$A,Input_Raw!$FG:$FG),"")</f>
        <v/>
      </c>
      <c r="W134" s="233" t="str">
        <f t="shared" si="12"/>
        <v/>
      </c>
      <c r="X134" s="29" t="str">
        <f>IFERROR(_xlfn.XLOOKUP($A134,Input_Raw!$A:$A,Input_Raw!$DP:$DP),"")</f>
        <v/>
      </c>
      <c r="Y134" s="29" t="str">
        <f>IFERROR(_xlfn.XLOOKUP($A134,Input_Raw!$A:$A,Input_Raw!EW:EW),"")</f>
        <v/>
      </c>
      <c r="Z134" s="29" t="str">
        <f>IFERROR(_xlfn.XLOOKUP($A134,Input_Raw!$A:$A,Input_Raw!EX:EX),"")</f>
        <v/>
      </c>
      <c r="AA134" s="29" t="str">
        <f>IFERROR(_xlfn.XLOOKUP($A134,Input_Raw!$A:$A,Input_Raw!FA:FA),"")</f>
        <v/>
      </c>
      <c r="AB134" s="9" t="str">
        <f>IFERROR(_xlfn.XLOOKUP($A134,Input_Raw!$A:$A,Input_Raw!FD:FD),"")</f>
        <v/>
      </c>
      <c r="AC134" s="185">
        <f>IFERROR(_xlfn.XLOOKUP($D134,'Modelling New'!$D:$D,'Modelling New'!P:P),"")</f>
        <v>3.9838709677419355</v>
      </c>
      <c r="AD134" s="29">
        <f>IFERROR(_xlfn.XLOOKUP($D134,'Modelling New'!$D:$D,'Modelling New'!T:T)*1000,"")</f>
        <v>442502.15737022652</v>
      </c>
      <c r="AE134" s="233">
        <f>IFERROR(_xlfn.XLOOKUP($D134,'Modelling New'!$D:$D,'Modelling New'!O:O),"")</f>
        <v>0.85441089246197577</v>
      </c>
      <c r="AF134" s="233">
        <f>IFERROR(_xlfn.XLOOKUP($D134,'Modelling New'!$D:$D,'Modelling New'!W:W),"")</f>
        <v>0.14182761454173928</v>
      </c>
      <c r="AG134" s="233">
        <f>IFERROR(_xlfn.XLOOKUP($D134,'Modelling New'!$D:$D,'Modelling New'!AE:AE),"")</f>
        <v>0.995</v>
      </c>
      <c r="AH134" s="234">
        <f>IFERROR(_xlfn.XLOOKUP($D134,'Modelling New'!$D:$D,'Modelling New'!AF:AF),"")</f>
        <v>0.995</v>
      </c>
      <c r="AI134" s="9"/>
      <c r="AJ134" s="9"/>
      <c r="AK134" s="258"/>
      <c r="AL134" s="258"/>
      <c r="AM134" s="258"/>
      <c r="AN134" s="235"/>
      <c r="AO134" s="233"/>
      <c r="AP134" s="233"/>
      <c r="AQ134" s="233"/>
      <c r="AR134" s="236">
        <f>_xlfn.XLOOKUP(D134,'Modelling New'!$D:$D,'Modelling New'!$N:$N)</f>
        <v>130</v>
      </c>
      <c r="AS134" s="236" t="str">
        <f t="shared" si="13"/>
        <v/>
      </c>
    </row>
    <row r="135" spans="1:45">
      <c r="A135" s="18">
        <f t="shared" si="14"/>
        <v>45878</v>
      </c>
      <c r="B135" s="29">
        <f>YEAR(Table13[[#This Row],[Date]])+IF(MONTH(Table13[[#This Row],[Date]])&gt;=4,1,0)</f>
        <v>2026</v>
      </c>
      <c r="C135" s="9">
        <f>YEAR(Table13[[#This Row],[Date]])</f>
        <v>2025</v>
      </c>
      <c r="D135" s="229">
        <f>Table13[[#This Row],[Date]]-DAY(Table13[[#This Row],[Date]])+1</f>
        <v>45870</v>
      </c>
      <c r="E135" s="9">
        <f t="shared" si="10"/>
        <v>31</v>
      </c>
      <c r="F135" s="199" t="str">
        <f>IFERROR(_xlfn.XLOOKUP($A135,Input_Raw!$A:$A,Input_Raw!$FC:$FC),"")</f>
        <v/>
      </c>
      <c r="G135" s="185" t="str">
        <f>IFERROR(_xlfn.XLOOKUP($A135,Input_Raw!$A:$A,Input_Raw!$CY:$CY),"")</f>
        <v/>
      </c>
      <c r="H135" s="185" t="str">
        <f>IFERROR(_xlfn.XLOOKUP($A135,Input_Raw!$A:$A,Input_Raw!$DA:$DA),"")</f>
        <v/>
      </c>
      <c r="I135" s="185" t="str">
        <f>IFERROR(_xlfn.XLOOKUP($A135,Input_Raw!$A:$A,Input_Raw!$CX:$CX),"")</f>
        <v/>
      </c>
      <c r="J135" s="185" t="str">
        <f>IFERROR(_xlfn.XLOOKUP($A135,Input_Raw!$A:$A,Input_Raw!$CZ:$CZ),"")</f>
        <v/>
      </c>
      <c r="K135" s="201" t="str">
        <f>IFERROR(_xlfn.XLOOKUP($A135,Input_Raw!$A:$A,Input_Raw!$DB:$DB),"")</f>
        <v/>
      </c>
      <c r="L135" s="201" t="str">
        <f>IFERROR(_xlfn.XLOOKUP($A135,Input_Raw!$A:$A,Input_Raw!$DC:$DC),"")</f>
        <v/>
      </c>
      <c r="M135" s="200" t="str">
        <f>IFERROR(_xlfn.XLOOKUP($A135,Input_Raw!$A:$A,Input_Raw!$DF:$DF),"")</f>
        <v/>
      </c>
      <c r="N135" s="200" t="str">
        <f>IFERROR(_xlfn.XLOOKUP($A135,Input_Raw!$A:$A,Input_Raw!$DG:$DG),"")</f>
        <v/>
      </c>
      <c r="O135" s="230" t="str">
        <f>IFERROR(1-(SUMIF(Plant_BD!$B:$B,$A135,Plant_BD!$AL:$AL)/($AA135+SUMIF(Plant_BD!$B:$B,$A135,Plant_BD!$AL:$AL))),"")</f>
        <v/>
      </c>
      <c r="P135" s="230"/>
      <c r="Q135" s="231" t="str">
        <f>IFERROR(1-(SUMIF(Grid_BD!$B:$B,$A135,Grid_BD!$V:$V)/($AA135+SUMIF(Grid_BD!$B:$B,$A135,Grid_BD!$V:$V))),"")</f>
        <v/>
      </c>
      <c r="R135" s="230" t="str">
        <f>IFERROR(1-(SUMIF(Grid_BD!$B:$B,$A135,Grid_BD!$V:$V)/($AA135+SUMIF(Grid_BD!$B:$B,$A135,Grid_BD!$V:$V))),"")</f>
        <v/>
      </c>
      <c r="S135" s="9"/>
      <c r="T135" s="231"/>
      <c r="U135" s="232" t="str">
        <f t="shared" si="11"/>
        <v/>
      </c>
      <c r="V135" s="232" t="str">
        <f>IFERROR(_xlfn.XLOOKUP($A135,Input_Raw!$A:$A,Input_Raw!$FG:$FG),"")</f>
        <v/>
      </c>
      <c r="W135" s="233" t="str">
        <f t="shared" si="12"/>
        <v/>
      </c>
      <c r="X135" s="29" t="str">
        <f>IFERROR(_xlfn.XLOOKUP($A135,Input_Raw!$A:$A,Input_Raw!$DP:$DP),"")</f>
        <v/>
      </c>
      <c r="Y135" s="29" t="str">
        <f>IFERROR(_xlfn.XLOOKUP($A135,Input_Raw!$A:$A,Input_Raw!EW:EW),"")</f>
        <v/>
      </c>
      <c r="Z135" s="29" t="str">
        <f>IFERROR(_xlfn.XLOOKUP($A135,Input_Raw!$A:$A,Input_Raw!EX:EX),"")</f>
        <v/>
      </c>
      <c r="AA135" s="29" t="str">
        <f>IFERROR(_xlfn.XLOOKUP($A135,Input_Raw!$A:$A,Input_Raw!FA:FA),"")</f>
        <v/>
      </c>
      <c r="AB135" s="9" t="str">
        <f>IFERROR(_xlfn.XLOOKUP($A135,Input_Raw!$A:$A,Input_Raw!FD:FD),"")</f>
        <v/>
      </c>
      <c r="AC135" s="185">
        <f>IFERROR(_xlfn.XLOOKUP($D135,'Modelling New'!$D:$D,'Modelling New'!P:P),"")</f>
        <v>3.9838709677419355</v>
      </c>
      <c r="AD135" s="29">
        <f>IFERROR(_xlfn.XLOOKUP($D135,'Modelling New'!$D:$D,'Modelling New'!T:T)*1000,"")</f>
        <v>442502.15737022652</v>
      </c>
      <c r="AE135" s="233">
        <f>IFERROR(_xlfn.XLOOKUP($D135,'Modelling New'!$D:$D,'Modelling New'!O:O),"")</f>
        <v>0.85441089246197577</v>
      </c>
      <c r="AF135" s="233">
        <f>IFERROR(_xlfn.XLOOKUP($D135,'Modelling New'!$D:$D,'Modelling New'!W:W),"")</f>
        <v>0.14182761454173928</v>
      </c>
      <c r="AG135" s="233">
        <f>IFERROR(_xlfn.XLOOKUP($D135,'Modelling New'!$D:$D,'Modelling New'!AE:AE),"")</f>
        <v>0.995</v>
      </c>
      <c r="AH135" s="234">
        <f>IFERROR(_xlfn.XLOOKUP($D135,'Modelling New'!$D:$D,'Modelling New'!AF:AF),"")</f>
        <v>0.995</v>
      </c>
      <c r="AI135" s="9"/>
      <c r="AJ135" s="9"/>
      <c r="AK135" s="258"/>
      <c r="AL135" s="258"/>
      <c r="AM135" s="258"/>
      <c r="AN135" s="235"/>
      <c r="AO135" s="233"/>
      <c r="AP135" s="233"/>
      <c r="AQ135" s="233"/>
      <c r="AR135" s="236">
        <f>_xlfn.XLOOKUP(D135,'Modelling New'!$D:$D,'Modelling New'!$N:$N)</f>
        <v>130</v>
      </c>
      <c r="AS135" s="236" t="str">
        <f t="shared" si="13"/>
        <v/>
      </c>
    </row>
    <row r="136" spans="1:45">
      <c r="A136" s="18">
        <f t="shared" si="14"/>
        <v>45879</v>
      </c>
      <c r="B136" s="29">
        <f>YEAR(Table13[[#This Row],[Date]])+IF(MONTH(Table13[[#This Row],[Date]])&gt;=4,1,0)</f>
        <v>2026</v>
      </c>
      <c r="C136" s="9">
        <f>YEAR(Table13[[#This Row],[Date]])</f>
        <v>2025</v>
      </c>
      <c r="D136" s="229">
        <f>Table13[[#This Row],[Date]]-DAY(Table13[[#This Row],[Date]])+1</f>
        <v>45870</v>
      </c>
      <c r="E136" s="9">
        <f t="shared" si="10"/>
        <v>31</v>
      </c>
      <c r="F136" s="199" t="str">
        <f>IFERROR(_xlfn.XLOOKUP($A136,Input_Raw!$A:$A,Input_Raw!$FC:$FC),"")</f>
        <v/>
      </c>
      <c r="G136" s="200" t="str">
        <f>IFERROR(_xlfn.XLOOKUP($A136,Input_Raw!$A:$A,Input_Raw!$CY:$CY),"")</f>
        <v/>
      </c>
      <c r="H136" s="200" t="str">
        <f>IFERROR(_xlfn.XLOOKUP($A136,Input_Raw!$A:$A,Input_Raw!$DA:$DA),"")</f>
        <v/>
      </c>
      <c r="I136" s="200" t="str">
        <f>IFERROR(_xlfn.XLOOKUP($A136,Input_Raw!$A:$A,Input_Raw!$CX:$CX),"")</f>
        <v/>
      </c>
      <c r="J136" s="200" t="str">
        <f>IFERROR(_xlfn.XLOOKUP($A136,Input_Raw!$A:$A,Input_Raw!$CZ:$CZ),"")</f>
        <v/>
      </c>
      <c r="K136" s="201" t="str">
        <f>IFERROR(_xlfn.XLOOKUP($A136,Input_Raw!$A:$A,Input_Raw!$DB:$DB),"")</f>
        <v/>
      </c>
      <c r="L136" s="201" t="str">
        <f>IFERROR(_xlfn.XLOOKUP($A136,Input_Raw!$A:$A,Input_Raw!$DC:$DC),"")</f>
        <v/>
      </c>
      <c r="M136" s="200" t="str">
        <f>IFERROR(_xlfn.XLOOKUP($A136,Input_Raw!$A:$A,Input_Raw!$DF:$DF),"")</f>
        <v/>
      </c>
      <c r="N136" s="200" t="str">
        <f>IFERROR(_xlfn.XLOOKUP($A136,Input_Raw!$A:$A,Input_Raw!$DG:$DG),"")</f>
        <v/>
      </c>
      <c r="O136" s="230" t="str">
        <f>IFERROR(1-(SUMIF(Plant_BD!$B:$B,$A136,Plant_BD!$AL:$AL)/($AA136+SUMIF(Plant_BD!$B:$B,$A136,Plant_BD!$AL:$AL))),"")</f>
        <v/>
      </c>
      <c r="P136" s="230"/>
      <c r="Q136" s="231" t="str">
        <f>IFERROR(1-(SUMIF(Grid_BD!$B:$B,$A136,Grid_BD!$V:$V)/($AA136+SUMIF(Grid_BD!$B:$B,$A136,Grid_BD!$V:$V))),"")</f>
        <v/>
      </c>
      <c r="R136" s="230" t="str">
        <f>IFERROR(1-(SUMIF(Grid_BD!$B:$B,$A136,Grid_BD!$V:$V)/($AA136+SUMIF(Grid_BD!$B:$B,$A136,Grid_BD!$V:$V))),"")</f>
        <v/>
      </c>
      <c r="S136" s="9"/>
      <c r="T136" s="231"/>
      <c r="U136" s="232" t="str">
        <f t="shared" si="11"/>
        <v/>
      </c>
      <c r="V136" s="232" t="str">
        <f>IFERROR(_xlfn.XLOOKUP($A136,Input_Raw!$A:$A,Input_Raw!$FG:$FG),"")</f>
        <v/>
      </c>
      <c r="W136" s="233" t="str">
        <f t="shared" si="12"/>
        <v/>
      </c>
      <c r="X136" s="29" t="str">
        <f>IFERROR(_xlfn.XLOOKUP($A136,Input_Raw!$A:$A,Input_Raw!$DP:$DP),"")</f>
        <v/>
      </c>
      <c r="Y136" s="29" t="str">
        <f>IFERROR(_xlfn.XLOOKUP($A136,Input_Raw!$A:$A,Input_Raw!EW:EW),"")</f>
        <v/>
      </c>
      <c r="Z136" s="29" t="str">
        <f>IFERROR(_xlfn.XLOOKUP($A136,Input_Raw!$A:$A,Input_Raw!EX:EX),"")</f>
        <v/>
      </c>
      <c r="AA136" s="29" t="str">
        <f>IFERROR(_xlfn.XLOOKUP($A136,Input_Raw!$A:$A,Input_Raw!FA:FA),"")</f>
        <v/>
      </c>
      <c r="AB136" s="9" t="str">
        <f>IFERROR(_xlfn.XLOOKUP($A136,Input_Raw!$A:$A,Input_Raw!FD:FD),"")</f>
        <v/>
      </c>
      <c r="AC136" s="185">
        <f>IFERROR(_xlfn.XLOOKUP($D136,'Modelling New'!$D:$D,'Modelling New'!P:P),"")</f>
        <v>3.9838709677419355</v>
      </c>
      <c r="AD136" s="29">
        <f>IFERROR(_xlfn.XLOOKUP($D136,'Modelling New'!$D:$D,'Modelling New'!T:T)*1000,"")</f>
        <v>442502.15737022652</v>
      </c>
      <c r="AE136" s="233">
        <f>IFERROR(_xlfn.XLOOKUP($D136,'Modelling New'!$D:$D,'Modelling New'!O:O),"")</f>
        <v>0.85441089246197577</v>
      </c>
      <c r="AF136" s="233">
        <f>IFERROR(_xlfn.XLOOKUP($D136,'Modelling New'!$D:$D,'Modelling New'!W:W),"")</f>
        <v>0.14182761454173928</v>
      </c>
      <c r="AG136" s="233">
        <f>IFERROR(_xlfn.XLOOKUP($D136,'Modelling New'!$D:$D,'Modelling New'!AE:AE),"")</f>
        <v>0.995</v>
      </c>
      <c r="AH136" s="234">
        <f>IFERROR(_xlfn.XLOOKUP($D136,'Modelling New'!$D:$D,'Modelling New'!AF:AF),"")</f>
        <v>0.995</v>
      </c>
      <c r="AI136" s="9"/>
      <c r="AJ136" s="9"/>
      <c r="AK136" s="258"/>
      <c r="AL136" s="258"/>
      <c r="AM136" s="258"/>
      <c r="AN136" s="235"/>
      <c r="AO136" s="233"/>
      <c r="AP136" s="233"/>
      <c r="AQ136" s="233"/>
      <c r="AR136" s="236">
        <f>_xlfn.XLOOKUP(D136,'Modelling New'!$D:$D,'Modelling New'!$N:$N)</f>
        <v>130</v>
      </c>
      <c r="AS136" s="236" t="str">
        <f t="shared" si="13"/>
        <v/>
      </c>
    </row>
    <row r="137" spans="1:45">
      <c r="A137" s="18">
        <f t="shared" si="14"/>
        <v>45880</v>
      </c>
      <c r="B137" s="29">
        <f>YEAR(Table13[[#This Row],[Date]])+IF(MONTH(Table13[[#This Row],[Date]])&gt;=4,1,0)</f>
        <v>2026</v>
      </c>
      <c r="C137" s="9">
        <f>YEAR(Table13[[#This Row],[Date]])</f>
        <v>2025</v>
      </c>
      <c r="D137" s="229">
        <f>Table13[[#This Row],[Date]]-DAY(Table13[[#This Row],[Date]])+1</f>
        <v>45870</v>
      </c>
      <c r="E137" s="9">
        <f t="shared" si="10"/>
        <v>31</v>
      </c>
      <c r="F137" s="199" t="str">
        <f>IFERROR(_xlfn.XLOOKUP($A137,Input_Raw!$A:$A,Input_Raw!$FC:$FC),"")</f>
        <v/>
      </c>
      <c r="G137" s="185" t="str">
        <f>IFERROR(_xlfn.XLOOKUP($A137,Input_Raw!$A:$A,Input_Raw!$CY:$CY),"")</f>
        <v/>
      </c>
      <c r="H137" s="185" t="str">
        <f>IFERROR(_xlfn.XLOOKUP($A137,Input_Raw!$A:$A,Input_Raw!$DA:$DA),"")</f>
        <v/>
      </c>
      <c r="I137" s="185" t="str">
        <f>IFERROR(_xlfn.XLOOKUP($A137,Input_Raw!$A:$A,Input_Raw!$CX:$CX),"")</f>
        <v/>
      </c>
      <c r="J137" s="185" t="str">
        <f>IFERROR(_xlfn.XLOOKUP($A137,Input_Raw!$A:$A,Input_Raw!$CZ:$CZ),"")</f>
        <v/>
      </c>
      <c r="K137" s="201" t="str">
        <f>IFERROR(_xlfn.XLOOKUP($A137,Input_Raw!$A:$A,Input_Raw!$DB:$DB),"")</f>
        <v/>
      </c>
      <c r="L137" s="201" t="str">
        <f>IFERROR(_xlfn.XLOOKUP($A137,Input_Raw!$A:$A,Input_Raw!$DC:$DC),"")</f>
        <v/>
      </c>
      <c r="M137" s="200" t="str">
        <f>IFERROR(_xlfn.XLOOKUP($A137,Input_Raw!$A:$A,Input_Raw!$DF:$DF),"")</f>
        <v/>
      </c>
      <c r="N137" s="200" t="str">
        <f>IFERROR(_xlfn.XLOOKUP($A137,Input_Raw!$A:$A,Input_Raw!$DG:$DG),"")</f>
        <v/>
      </c>
      <c r="O137" s="230" t="str">
        <f>IFERROR(1-(SUMIF(Plant_BD!$B:$B,$A137,Plant_BD!$AL:$AL)/($AA137+SUMIF(Plant_BD!$B:$B,$A137,Plant_BD!$AL:$AL))),"")</f>
        <v/>
      </c>
      <c r="P137" s="230"/>
      <c r="Q137" s="231" t="str">
        <f>IFERROR(1-(SUMIF(Grid_BD!$B:$B,$A137,Grid_BD!$V:$V)/($AA137+SUMIF(Grid_BD!$B:$B,$A137,Grid_BD!$V:$V))),"")</f>
        <v/>
      </c>
      <c r="R137" s="230" t="str">
        <f>IFERROR(1-(SUMIF(Grid_BD!$B:$B,$A137,Grid_BD!$V:$V)/($AA137+SUMIF(Grid_BD!$B:$B,$A137,Grid_BD!$V:$V))),"")</f>
        <v/>
      </c>
      <c r="S137" s="9"/>
      <c r="T137" s="231"/>
      <c r="U137" s="232" t="str">
        <f t="shared" si="11"/>
        <v/>
      </c>
      <c r="V137" s="232" t="str">
        <f>IFERROR(_xlfn.XLOOKUP($A137,Input_Raw!$A:$A,Input_Raw!$FG:$FG),"")</f>
        <v/>
      </c>
      <c r="W137" s="233" t="str">
        <f t="shared" si="12"/>
        <v/>
      </c>
      <c r="X137" s="29" t="str">
        <f>IFERROR(_xlfn.XLOOKUP($A137,Input_Raw!$A:$A,Input_Raw!$DP:$DP),"")</f>
        <v/>
      </c>
      <c r="Y137" s="29" t="str">
        <f>IFERROR(_xlfn.XLOOKUP($A137,Input_Raw!$A:$A,Input_Raw!EW:EW),"")</f>
        <v/>
      </c>
      <c r="Z137" s="29" t="str">
        <f>IFERROR(_xlfn.XLOOKUP($A137,Input_Raw!$A:$A,Input_Raw!EX:EX),"")</f>
        <v/>
      </c>
      <c r="AA137" s="29" t="str">
        <f>IFERROR(_xlfn.XLOOKUP($A137,Input_Raw!$A:$A,Input_Raw!FA:FA),"")</f>
        <v/>
      </c>
      <c r="AB137" s="9" t="str">
        <f>IFERROR(_xlfn.XLOOKUP($A137,Input_Raw!$A:$A,Input_Raw!FD:FD),"")</f>
        <v/>
      </c>
      <c r="AC137" s="185">
        <f>IFERROR(_xlfn.XLOOKUP($D137,'Modelling New'!$D:$D,'Modelling New'!P:P),"")</f>
        <v>3.9838709677419355</v>
      </c>
      <c r="AD137" s="29">
        <f>IFERROR(_xlfn.XLOOKUP($D137,'Modelling New'!$D:$D,'Modelling New'!T:T)*1000,"")</f>
        <v>442502.15737022652</v>
      </c>
      <c r="AE137" s="233">
        <f>IFERROR(_xlfn.XLOOKUP($D137,'Modelling New'!$D:$D,'Modelling New'!O:O),"")</f>
        <v>0.85441089246197577</v>
      </c>
      <c r="AF137" s="233">
        <f>IFERROR(_xlfn.XLOOKUP($D137,'Modelling New'!$D:$D,'Modelling New'!W:W),"")</f>
        <v>0.14182761454173928</v>
      </c>
      <c r="AG137" s="233">
        <f>IFERROR(_xlfn.XLOOKUP($D137,'Modelling New'!$D:$D,'Modelling New'!AE:AE),"")</f>
        <v>0.995</v>
      </c>
      <c r="AH137" s="234">
        <f>IFERROR(_xlfn.XLOOKUP($D137,'Modelling New'!$D:$D,'Modelling New'!AF:AF),"")</f>
        <v>0.995</v>
      </c>
      <c r="AI137" s="9"/>
      <c r="AJ137" s="9"/>
      <c r="AK137" s="258"/>
      <c r="AL137" s="258"/>
      <c r="AM137" s="258"/>
      <c r="AN137" s="235"/>
      <c r="AO137" s="233"/>
      <c r="AP137" s="233"/>
      <c r="AQ137" s="233"/>
      <c r="AR137" s="236">
        <f>_xlfn.XLOOKUP(D137,'Modelling New'!$D:$D,'Modelling New'!$N:$N)</f>
        <v>130</v>
      </c>
      <c r="AS137" s="236" t="str">
        <f t="shared" si="13"/>
        <v/>
      </c>
    </row>
    <row r="138" spans="1:45">
      <c r="A138" s="18">
        <f t="shared" si="14"/>
        <v>45881</v>
      </c>
      <c r="B138" s="29">
        <f>YEAR(Table13[[#This Row],[Date]])+IF(MONTH(Table13[[#This Row],[Date]])&gt;=4,1,0)</f>
        <v>2026</v>
      </c>
      <c r="C138" s="9">
        <f>YEAR(Table13[[#This Row],[Date]])</f>
        <v>2025</v>
      </c>
      <c r="D138" s="229">
        <f>Table13[[#This Row],[Date]]-DAY(Table13[[#This Row],[Date]])+1</f>
        <v>45870</v>
      </c>
      <c r="E138" s="9">
        <f t="shared" si="10"/>
        <v>31</v>
      </c>
      <c r="F138" s="199" t="str">
        <f>IFERROR(_xlfn.XLOOKUP($A138,Input_Raw!$A:$A,Input_Raw!$FC:$FC),"")</f>
        <v/>
      </c>
      <c r="G138" s="200" t="str">
        <f>IFERROR(_xlfn.XLOOKUP($A138,Input_Raw!$A:$A,Input_Raw!$CY:$CY),"")</f>
        <v/>
      </c>
      <c r="H138" s="200" t="str">
        <f>IFERROR(_xlfn.XLOOKUP($A138,Input_Raw!$A:$A,Input_Raw!$DA:$DA),"")</f>
        <v/>
      </c>
      <c r="I138" s="200" t="str">
        <f>IFERROR(_xlfn.XLOOKUP($A138,Input_Raw!$A:$A,Input_Raw!$CX:$CX),"")</f>
        <v/>
      </c>
      <c r="J138" s="200" t="str">
        <f>IFERROR(_xlfn.XLOOKUP($A138,Input_Raw!$A:$A,Input_Raw!$CZ:$CZ),"")</f>
        <v/>
      </c>
      <c r="K138" s="201" t="str">
        <f>IFERROR(_xlfn.XLOOKUP($A138,Input_Raw!$A:$A,Input_Raw!$DB:$DB),"")</f>
        <v/>
      </c>
      <c r="L138" s="201" t="str">
        <f>IFERROR(_xlfn.XLOOKUP($A138,Input_Raw!$A:$A,Input_Raw!$DC:$DC),"")</f>
        <v/>
      </c>
      <c r="M138" s="200" t="str">
        <f>IFERROR(_xlfn.XLOOKUP($A138,Input_Raw!$A:$A,Input_Raw!$DF:$DF),"")</f>
        <v/>
      </c>
      <c r="N138" s="200" t="str">
        <f>IFERROR(_xlfn.XLOOKUP($A138,Input_Raw!$A:$A,Input_Raw!$DG:$DG),"")</f>
        <v/>
      </c>
      <c r="O138" s="230" t="str">
        <f>IFERROR(1-(SUMIF(Plant_BD!$B:$B,$A138,Plant_BD!$AL:$AL)/($AA138+SUMIF(Plant_BD!$B:$B,$A138,Plant_BD!$AL:$AL))),"")</f>
        <v/>
      </c>
      <c r="P138" s="230"/>
      <c r="Q138" s="231" t="str">
        <f>IFERROR(1-(SUMIF(Grid_BD!$B:$B,$A138,Grid_BD!$V:$V)/($AA138+SUMIF(Grid_BD!$B:$B,$A138,Grid_BD!$V:$V))),"")</f>
        <v/>
      </c>
      <c r="R138" s="230" t="str">
        <f>IFERROR(1-(SUMIF(Grid_BD!$B:$B,$A138,Grid_BD!$V:$V)/($AA138+SUMIF(Grid_BD!$B:$B,$A138,Grid_BD!$V:$V))),"")</f>
        <v/>
      </c>
      <c r="S138" s="9"/>
      <c r="T138" s="231"/>
      <c r="U138" s="232" t="str">
        <f t="shared" si="11"/>
        <v/>
      </c>
      <c r="V138" s="232" t="str">
        <f>IFERROR(_xlfn.XLOOKUP($A138,Input_Raw!$A:$A,Input_Raw!$FG:$FG),"")</f>
        <v/>
      </c>
      <c r="W138" s="233" t="str">
        <f t="shared" si="12"/>
        <v/>
      </c>
      <c r="X138" s="29" t="str">
        <f>IFERROR(_xlfn.XLOOKUP($A138,Input_Raw!$A:$A,Input_Raw!$DP:$DP),"")</f>
        <v/>
      </c>
      <c r="Y138" s="29" t="str">
        <f>IFERROR(_xlfn.XLOOKUP($A138,Input_Raw!$A:$A,Input_Raw!EW:EW),"")</f>
        <v/>
      </c>
      <c r="Z138" s="29" t="str">
        <f>IFERROR(_xlfn.XLOOKUP($A138,Input_Raw!$A:$A,Input_Raw!EX:EX),"")</f>
        <v/>
      </c>
      <c r="AA138" s="29" t="str">
        <f>IFERROR(_xlfn.XLOOKUP($A138,Input_Raw!$A:$A,Input_Raw!FA:FA),"")</f>
        <v/>
      </c>
      <c r="AB138" s="9" t="str">
        <f>IFERROR(_xlfn.XLOOKUP($A138,Input_Raw!$A:$A,Input_Raw!FD:FD),"")</f>
        <v/>
      </c>
      <c r="AC138" s="185">
        <f>IFERROR(_xlfn.XLOOKUP($D138,'Modelling New'!$D:$D,'Modelling New'!P:P),"")</f>
        <v>3.9838709677419355</v>
      </c>
      <c r="AD138" s="29">
        <f>IFERROR(_xlfn.XLOOKUP($D138,'Modelling New'!$D:$D,'Modelling New'!T:T)*1000,"")</f>
        <v>442502.15737022652</v>
      </c>
      <c r="AE138" s="233">
        <f>IFERROR(_xlfn.XLOOKUP($D138,'Modelling New'!$D:$D,'Modelling New'!O:O),"")</f>
        <v>0.85441089246197577</v>
      </c>
      <c r="AF138" s="233">
        <f>IFERROR(_xlfn.XLOOKUP($D138,'Modelling New'!$D:$D,'Modelling New'!W:W),"")</f>
        <v>0.14182761454173928</v>
      </c>
      <c r="AG138" s="233">
        <f>IFERROR(_xlfn.XLOOKUP($D138,'Modelling New'!$D:$D,'Modelling New'!AE:AE),"")</f>
        <v>0.995</v>
      </c>
      <c r="AH138" s="234">
        <f>IFERROR(_xlfn.XLOOKUP($D138,'Modelling New'!$D:$D,'Modelling New'!AF:AF),"")</f>
        <v>0.995</v>
      </c>
      <c r="AI138" s="9"/>
      <c r="AJ138" s="9"/>
      <c r="AK138" s="258"/>
      <c r="AL138" s="258"/>
      <c r="AM138" s="258"/>
      <c r="AN138" s="235"/>
      <c r="AO138" s="233"/>
      <c r="AP138" s="233"/>
      <c r="AQ138" s="233"/>
      <c r="AR138" s="236">
        <f>_xlfn.XLOOKUP(D138,'Modelling New'!$D:$D,'Modelling New'!$N:$N)</f>
        <v>130</v>
      </c>
      <c r="AS138" s="236" t="str">
        <f t="shared" si="13"/>
        <v/>
      </c>
    </row>
    <row r="139" spans="1:45">
      <c r="A139" s="18">
        <f t="shared" si="14"/>
        <v>45882</v>
      </c>
      <c r="B139" s="29">
        <f>YEAR(Table13[[#This Row],[Date]])+IF(MONTH(Table13[[#This Row],[Date]])&gt;=4,1,0)</f>
        <v>2026</v>
      </c>
      <c r="C139" s="9">
        <f>YEAR(Table13[[#This Row],[Date]])</f>
        <v>2025</v>
      </c>
      <c r="D139" s="229">
        <f>Table13[[#This Row],[Date]]-DAY(Table13[[#This Row],[Date]])+1</f>
        <v>45870</v>
      </c>
      <c r="E139" s="9">
        <f t="shared" si="10"/>
        <v>31</v>
      </c>
      <c r="F139" s="199" t="str">
        <f>IFERROR(_xlfn.XLOOKUP($A139,Input_Raw!$A:$A,Input_Raw!$FC:$FC),"")</f>
        <v/>
      </c>
      <c r="G139" s="185" t="str">
        <f>IFERROR(_xlfn.XLOOKUP($A139,Input_Raw!$A:$A,Input_Raw!$CY:$CY),"")</f>
        <v/>
      </c>
      <c r="H139" s="185" t="str">
        <f>IFERROR(_xlfn.XLOOKUP($A139,Input_Raw!$A:$A,Input_Raw!$DA:$DA),"")</f>
        <v/>
      </c>
      <c r="I139" s="185" t="str">
        <f>IFERROR(_xlfn.XLOOKUP($A139,Input_Raw!$A:$A,Input_Raw!$CX:$CX),"")</f>
        <v/>
      </c>
      <c r="J139" s="185" t="str">
        <f>IFERROR(_xlfn.XLOOKUP($A139,Input_Raw!$A:$A,Input_Raw!$CZ:$CZ),"")</f>
        <v/>
      </c>
      <c r="K139" s="201" t="str">
        <f>IFERROR(_xlfn.XLOOKUP($A139,Input_Raw!$A:$A,Input_Raw!$DB:$DB),"")</f>
        <v/>
      </c>
      <c r="L139" s="201" t="str">
        <f>IFERROR(_xlfn.XLOOKUP($A139,Input_Raw!$A:$A,Input_Raw!$DC:$DC),"")</f>
        <v/>
      </c>
      <c r="M139" s="200" t="str">
        <f>IFERROR(_xlfn.XLOOKUP($A139,Input_Raw!$A:$A,Input_Raw!$DF:$DF),"")</f>
        <v/>
      </c>
      <c r="N139" s="200" t="str">
        <f>IFERROR(_xlfn.XLOOKUP($A139,Input_Raw!$A:$A,Input_Raw!$DG:$DG),"")</f>
        <v/>
      </c>
      <c r="O139" s="230" t="str">
        <f>IFERROR(1-(SUMIF(Plant_BD!$B:$B,$A139,Plant_BD!$AL:$AL)/($AA139+SUMIF(Plant_BD!$B:$B,$A139,Plant_BD!$AL:$AL))),"")</f>
        <v/>
      </c>
      <c r="P139" s="230"/>
      <c r="Q139" s="231" t="str">
        <f>IFERROR(1-(SUMIF(Grid_BD!$B:$B,$A139,Grid_BD!$V:$V)/($AA139+SUMIF(Grid_BD!$B:$B,$A139,Grid_BD!$V:$V))),"")</f>
        <v/>
      </c>
      <c r="R139" s="230" t="str">
        <f>IFERROR(1-(SUMIF(Grid_BD!$B:$B,$A139,Grid_BD!$V:$V)/($AA139+SUMIF(Grid_BD!$B:$B,$A139,Grid_BD!$V:$V))),"")</f>
        <v/>
      </c>
      <c r="S139" s="9"/>
      <c r="T139" s="231"/>
      <c r="U139" s="232" t="str">
        <f t="shared" si="11"/>
        <v/>
      </c>
      <c r="V139" s="232" t="str">
        <f>IFERROR(_xlfn.XLOOKUP($A139,Input_Raw!$A:$A,Input_Raw!$FG:$FG),"")</f>
        <v/>
      </c>
      <c r="W139" s="233" t="str">
        <f t="shared" si="12"/>
        <v/>
      </c>
      <c r="X139" s="29" t="str">
        <f>IFERROR(_xlfn.XLOOKUP($A139,Input_Raw!$A:$A,Input_Raw!$DP:$DP),"")</f>
        <v/>
      </c>
      <c r="Y139" s="29" t="str">
        <f>IFERROR(_xlfn.XLOOKUP($A139,Input_Raw!$A:$A,Input_Raw!EW:EW),"")</f>
        <v/>
      </c>
      <c r="Z139" s="29" t="str">
        <f>IFERROR(_xlfn.XLOOKUP($A139,Input_Raw!$A:$A,Input_Raw!EX:EX),"")</f>
        <v/>
      </c>
      <c r="AA139" s="29" t="str">
        <f>IFERROR(_xlfn.XLOOKUP($A139,Input_Raw!$A:$A,Input_Raw!FA:FA),"")</f>
        <v/>
      </c>
      <c r="AB139" s="9" t="str">
        <f>IFERROR(_xlfn.XLOOKUP($A139,Input_Raw!$A:$A,Input_Raw!FD:FD),"")</f>
        <v/>
      </c>
      <c r="AC139" s="185">
        <f>IFERROR(_xlfn.XLOOKUP($D139,'Modelling New'!$D:$D,'Modelling New'!P:P),"")</f>
        <v>3.9838709677419355</v>
      </c>
      <c r="AD139" s="29">
        <f>IFERROR(_xlfn.XLOOKUP($D139,'Modelling New'!$D:$D,'Modelling New'!T:T)*1000,"")</f>
        <v>442502.15737022652</v>
      </c>
      <c r="AE139" s="233">
        <f>IFERROR(_xlfn.XLOOKUP($D139,'Modelling New'!$D:$D,'Modelling New'!O:O),"")</f>
        <v>0.85441089246197577</v>
      </c>
      <c r="AF139" s="233">
        <f>IFERROR(_xlfn.XLOOKUP($D139,'Modelling New'!$D:$D,'Modelling New'!W:W),"")</f>
        <v>0.14182761454173928</v>
      </c>
      <c r="AG139" s="233">
        <f>IFERROR(_xlfn.XLOOKUP($D139,'Modelling New'!$D:$D,'Modelling New'!AE:AE),"")</f>
        <v>0.995</v>
      </c>
      <c r="AH139" s="234">
        <f>IFERROR(_xlfn.XLOOKUP($D139,'Modelling New'!$D:$D,'Modelling New'!AF:AF),"")</f>
        <v>0.995</v>
      </c>
      <c r="AI139" s="9"/>
      <c r="AJ139" s="9"/>
      <c r="AK139" s="258"/>
      <c r="AL139" s="258"/>
      <c r="AM139" s="258"/>
      <c r="AN139" s="235"/>
      <c r="AO139" s="233"/>
      <c r="AP139" s="233"/>
      <c r="AQ139" s="233"/>
      <c r="AR139" s="236">
        <f>_xlfn.XLOOKUP(D139,'Modelling New'!$D:$D,'Modelling New'!$N:$N)</f>
        <v>130</v>
      </c>
      <c r="AS139" s="236" t="str">
        <f t="shared" si="13"/>
        <v/>
      </c>
    </row>
    <row r="140" spans="1:45">
      <c r="A140" s="18">
        <f t="shared" si="14"/>
        <v>45883</v>
      </c>
      <c r="B140" s="29">
        <f>YEAR(Table13[[#This Row],[Date]])+IF(MONTH(Table13[[#This Row],[Date]])&gt;=4,1,0)</f>
        <v>2026</v>
      </c>
      <c r="C140" s="9">
        <f>YEAR(Table13[[#This Row],[Date]])</f>
        <v>2025</v>
      </c>
      <c r="D140" s="229">
        <f>Table13[[#This Row],[Date]]-DAY(Table13[[#This Row],[Date]])+1</f>
        <v>45870</v>
      </c>
      <c r="E140" s="9">
        <f t="shared" si="10"/>
        <v>31</v>
      </c>
      <c r="F140" s="199" t="str">
        <f>IFERROR(_xlfn.XLOOKUP($A140,Input_Raw!$A:$A,Input_Raw!$FC:$FC),"")</f>
        <v/>
      </c>
      <c r="G140" s="200" t="str">
        <f>IFERROR(_xlfn.XLOOKUP($A140,Input_Raw!$A:$A,Input_Raw!$CY:$CY),"")</f>
        <v/>
      </c>
      <c r="H140" s="200" t="str">
        <f>IFERROR(_xlfn.XLOOKUP($A140,Input_Raw!$A:$A,Input_Raw!$DA:$DA),"")</f>
        <v/>
      </c>
      <c r="I140" s="200" t="str">
        <f>IFERROR(_xlfn.XLOOKUP($A140,Input_Raw!$A:$A,Input_Raw!$CX:$CX),"")</f>
        <v/>
      </c>
      <c r="J140" s="200" t="str">
        <f>IFERROR(_xlfn.XLOOKUP($A140,Input_Raw!$A:$A,Input_Raw!$CZ:$CZ),"")</f>
        <v/>
      </c>
      <c r="K140" s="201" t="str">
        <f>IFERROR(_xlfn.XLOOKUP($A140,Input_Raw!$A:$A,Input_Raw!$DB:$DB),"")</f>
        <v/>
      </c>
      <c r="L140" s="201" t="str">
        <f>IFERROR(_xlfn.XLOOKUP($A140,Input_Raw!$A:$A,Input_Raw!$DC:$DC),"")</f>
        <v/>
      </c>
      <c r="M140" s="200" t="str">
        <f>IFERROR(_xlfn.XLOOKUP($A140,Input_Raw!$A:$A,Input_Raw!$DF:$DF),"")</f>
        <v/>
      </c>
      <c r="N140" s="200" t="str">
        <f>IFERROR(_xlfn.XLOOKUP($A140,Input_Raw!$A:$A,Input_Raw!$DG:$DG),"")</f>
        <v/>
      </c>
      <c r="O140" s="230" t="str">
        <f>IFERROR(1-(SUMIF(Plant_BD!$B:$B,$A140,Plant_BD!$AL:$AL)/($AA140+SUMIF(Plant_BD!$B:$B,$A140,Plant_BD!$AL:$AL))),"")</f>
        <v/>
      </c>
      <c r="P140" s="230"/>
      <c r="Q140" s="231" t="str">
        <f>IFERROR(1-(SUMIF(Grid_BD!$B:$B,$A140,Grid_BD!$V:$V)/($AA140+SUMIF(Grid_BD!$B:$B,$A140,Grid_BD!$V:$V))),"")</f>
        <v/>
      </c>
      <c r="R140" s="230" t="str">
        <f>IFERROR(1-(SUMIF(Grid_BD!$B:$B,$A140,Grid_BD!$V:$V)/($AA140+SUMIF(Grid_BD!$B:$B,$A140,Grid_BD!$V:$V))),"")</f>
        <v/>
      </c>
      <c r="S140" s="9"/>
      <c r="T140" s="231"/>
      <c r="U140" s="232" t="str">
        <f t="shared" si="11"/>
        <v/>
      </c>
      <c r="V140" s="232" t="str">
        <f>IFERROR(_xlfn.XLOOKUP($A140,Input_Raw!$A:$A,Input_Raw!$FG:$FG),"")</f>
        <v/>
      </c>
      <c r="W140" s="233" t="str">
        <f t="shared" si="12"/>
        <v/>
      </c>
      <c r="X140" s="29" t="str">
        <f>IFERROR(_xlfn.XLOOKUP($A140,Input_Raw!$A:$A,Input_Raw!$DP:$DP),"")</f>
        <v/>
      </c>
      <c r="Y140" s="29" t="str">
        <f>IFERROR(_xlfn.XLOOKUP($A140,Input_Raw!$A:$A,Input_Raw!EW:EW),"")</f>
        <v/>
      </c>
      <c r="Z140" s="29" t="str">
        <f>IFERROR(_xlfn.XLOOKUP($A140,Input_Raw!$A:$A,Input_Raw!EX:EX),"")</f>
        <v/>
      </c>
      <c r="AA140" s="29" t="str">
        <f>IFERROR(_xlfn.XLOOKUP($A140,Input_Raw!$A:$A,Input_Raw!FA:FA),"")</f>
        <v/>
      </c>
      <c r="AB140" s="9" t="str">
        <f>IFERROR(_xlfn.XLOOKUP($A140,Input_Raw!$A:$A,Input_Raw!FD:FD),"")</f>
        <v/>
      </c>
      <c r="AC140" s="185">
        <f>IFERROR(_xlfn.XLOOKUP($D140,'Modelling New'!$D:$D,'Modelling New'!P:P),"")</f>
        <v>3.9838709677419355</v>
      </c>
      <c r="AD140" s="29">
        <f>IFERROR(_xlfn.XLOOKUP($D140,'Modelling New'!$D:$D,'Modelling New'!T:T)*1000,"")</f>
        <v>442502.15737022652</v>
      </c>
      <c r="AE140" s="233">
        <f>IFERROR(_xlfn.XLOOKUP($D140,'Modelling New'!$D:$D,'Modelling New'!O:O),"")</f>
        <v>0.85441089246197577</v>
      </c>
      <c r="AF140" s="233">
        <f>IFERROR(_xlfn.XLOOKUP($D140,'Modelling New'!$D:$D,'Modelling New'!W:W),"")</f>
        <v>0.14182761454173928</v>
      </c>
      <c r="AG140" s="233">
        <f>IFERROR(_xlfn.XLOOKUP($D140,'Modelling New'!$D:$D,'Modelling New'!AE:AE),"")</f>
        <v>0.995</v>
      </c>
      <c r="AH140" s="234">
        <f>IFERROR(_xlfn.XLOOKUP($D140,'Modelling New'!$D:$D,'Modelling New'!AF:AF),"")</f>
        <v>0.995</v>
      </c>
      <c r="AI140" s="9"/>
      <c r="AJ140" s="9"/>
      <c r="AK140" s="258"/>
      <c r="AL140" s="258"/>
      <c r="AM140" s="258"/>
      <c r="AN140" s="235"/>
      <c r="AO140" s="233"/>
      <c r="AP140" s="233"/>
      <c r="AQ140" s="233"/>
      <c r="AR140" s="236">
        <f>_xlfn.XLOOKUP(D140,'Modelling New'!$D:$D,'Modelling New'!$N:$N)</f>
        <v>130</v>
      </c>
      <c r="AS140" s="236" t="str">
        <f t="shared" si="13"/>
        <v/>
      </c>
    </row>
    <row r="141" spans="1:45">
      <c r="A141" s="18">
        <f t="shared" si="14"/>
        <v>45884</v>
      </c>
      <c r="B141" s="29">
        <f>YEAR(Table13[[#This Row],[Date]])+IF(MONTH(Table13[[#This Row],[Date]])&gt;=4,1,0)</f>
        <v>2026</v>
      </c>
      <c r="C141" s="9">
        <f>YEAR(Table13[[#This Row],[Date]])</f>
        <v>2025</v>
      </c>
      <c r="D141" s="229">
        <f>Table13[[#This Row],[Date]]-DAY(Table13[[#This Row],[Date]])+1</f>
        <v>45870</v>
      </c>
      <c r="E141" s="9">
        <f t="shared" si="10"/>
        <v>31</v>
      </c>
      <c r="F141" s="199" t="str">
        <f>IFERROR(_xlfn.XLOOKUP($A141,Input_Raw!$A:$A,Input_Raw!$FC:$FC),"")</f>
        <v/>
      </c>
      <c r="G141" s="185" t="str">
        <f>IFERROR(_xlfn.XLOOKUP($A141,Input_Raw!$A:$A,Input_Raw!$CY:$CY),"")</f>
        <v/>
      </c>
      <c r="H141" s="185" t="str">
        <f>IFERROR(_xlfn.XLOOKUP($A141,Input_Raw!$A:$A,Input_Raw!$DA:$DA),"")</f>
        <v/>
      </c>
      <c r="I141" s="185" t="str">
        <f>IFERROR(_xlfn.XLOOKUP($A141,Input_Raw!$A:$A,Input_Raw!$CX:$CX),"")</f>
        <v/>
      </c>
      <c r="J141" s="185" t="str">
        <f>IFERROR(_xlfn.XLOOKUP($A141,Input_Raw!$A:$A,Input_Raw!$CZ:$CZ),"")</f>
        <v/>
      </c>
      <c r="K141" s="201" t="str">
        <f>IFERROR(_xlfn.XLOOKUP($A141,Input_Raw!$A:$A,Input_Raw!$DB:$DB),"")</f>
        <v/>
      </c>
      <c r="L141" s="201" t="str">
        <f>IFERROR(_xlfn.XLOOKUP($A141,Input_Raw!$A:$A,Input_Raw!$DC:$DC),"")</f>
        <v/>
      </c>
      <c r="M141" s="200" t="str">
        <f>IFERROR(_xlfn.XLOOKUP($A141,Input_Raw!$A:$A,Input_Raw!$DF:$DF),"")</f>
        <v/>
      </c>
      <c r="N141" s="200" t="str">
        <f>IFERROR(_xlfn.XLOOKUP($A141,Input_Raw!$A:$A,Input_Raw!$DG:$DG),"")</f>
        <v/>
      </c>
      <c r="O141" s="230" t="str">
        <f>IFERROR(1-(SUMIF(Plant_BD!$B:$B,$A141,Plant_BD!$AL:$AL)/($AA141+SUMIF(Plant_BD!$B:$B,$A141,Plant_BD!$AL:$AL))),"")</f>
        <v/>
      </c>
      <c r="P141" s="230"/>
      <c r="Q141" s="231" t="str">
        <f>IFERROR(1-(SUMIF(Grid_BD!$B:$B,$A141,Grid_BD!$V:$V)/($AA141+SUMIF(Grid_BD!$B:$B,$A141,Grid_BD!$V:$V))),"")</f>
        <v/>
      </c>
      <c r="R141" s="230" t="str">
        <f>IFERROR(1-(SUMIF(Grid_BD!$B:$B,$A141,Grid_BD!$V:$V)/($AA141+SUMIF(Grid_BD!$B:$B,$A141,Grid_BD!$V:$V))),"")</f>
        <v/>
      </c>
      <c r="S141" s="9"/>
      <c r="T141" s="231"/>
      <c r="U141" s="232" t="str">
        <f t="shared" si="11"/>
        <v/>
      </c>
      <c r="V141" s="232" t="str">
        <f>IFERROR(_xlfn.XLOOKUP($A141,Input_Raw!$A:$A,Input_Raw!$FG:$FG),"")</f>
        <v/>
      </c>
      <c r="W141" s="233" t="str">
        <f t="shared" si="12"/>
        <v/>
      </c>
      <c r="X141" s="29" t="str">
        <f>IFERROR(_xlfn.XLOOKUP($A141,Input_Raw!$A:$A,Input_Raw!$DP:$DP),"")</f>
        <v/>
      </c>
      <c r="Y141" s="29" t="str">
        <f>IFERROR(_xlfn.XLOOKUP($A141,Input_Raw!$A:$A,Input_Raw!EW:EW),"")</f>
        <v/>
      </c>
      <c r="Z141" s="29" t="str">
        <f>IFERROR(_xlfn.XLOOKUP($A141,Input_Raw!$A:$A,Input_Raw!EX:EX),"")</f>
        <v/>
      </c>
      <c r="AA141" s="29" t="str">
        <f>IFERROR(_xlfn.XLOOKUP($A141,Input_Raw!$A:$A,Input_Raw!FA:FA),"")</f>
        <v/>
      </c>
      <c r="AB141" s="9" t="str">
        <f>IFERROR(_xlfn.XLOOKUP($A141,Input_Raw!$A:$A,Input_Raw!FD:FD),"")</f>
        <v/>
      </c>
      <c r="AC141" s="185">
        <f>IFERROR(_xlfn.XLOOKUP($D141,'Modelling New'!$D:$D,'Modelling New'!P:P),"")</f>
        <v>3.9838709677419355</v>
      </c>
      <c r="AD141" s="29">
        <f>IFERROR(_xlfn.XLOOKUP($D141,'Modelling New'!$D:$D,'Modelling New'!T:T)*1000,"")</f>
        <v>442502.15737022652</v>
      </c>
      <c r="AE141" s="233">
        <f>IFERROR(_xlfn.XLOOKUP($D141,'Modelling New'!$D:$D,'Modelling New'!O:O),"")</f>
        <v>0.85441089246197577</v>
      </c>
      <c r="AF141" s="233">
        <f>IFERROR(_xlfn.XLOOKUP($D141,'Modelling New'!$D:$D,'Modelling New'!W:W),"")</f>
        <v>0.14182761454173928</v>
      </c>
      <c r="AG141" s="233">
        <f>IFERROR(_xlfn.XLOOKUP($D141,'Modelling New'!$D:$D,'Modelling New'!AE:AE),"")</f>
        <v>0.995</v>
      </c>
      <c r="AH141" s="234">
        <f>IFERROR(_xlfn.XLOOKUP($D141,'Modelling New'!$D:$D,'Modelling New'!AF:AF),"")</f>
        <v>0.995</v>
      </c>
      <c r="AI141" s="9"/>
      <c r="AJ141" s="9"/>
      <c r="AK141" s="258"/>
      <c r="AL141" s="258"/>
      <c r="AM141" s="258"/>
      <c r="AN141" s="235"/>
      <c r="AO141" s="233"/>
      <c r="AP141" s="233"/>
      <c r="AQ141" s="233"/>
      <c r="AR141" s="236">
        <f>_xlfn.XLOOKUP(D141,'Modelling New'!$D:$D,'Modelling New'!$N:$N)</f>
        <v>130</v>
      </c>
      <c r="AS141" s="236" t="str">
        <f t="shared" si="13"/>
        <v/>
      </c>
    </row>
    <row r="142" spans="1:45">
      <c r="A142" s="18">
        <f t="shared" si="14"/>
        <v>45885</v>
      </c>
      <c r="B142" s="29">
        <f>YEAR(Table13[[#This Row],[Date]])+IF(MONTH(Table13[[#This Row],[Date]])&gt;=4,1,0)</f>
        <v>2026</v>
      </c>
      <c r="C142" s="9">
        <f>YEAR(Table13[[#This Row],[Date]])</f>
        <v>2025</v>
      </c>
      <c r="D142" s="229">
        <f>Table13[[#This Row],[Date]]-DAY(Table13[[#This Row],[Date]])+1</f>
        <v>45870</v>
      </c>
      <c r="E142" s="9">
        <f t="shared" si="10"/>
        <v>31</v>
      </c>
      <c r="F142" s="199" t="str">
        <f>IFERROR(_xlfn.XLOOKUP($A142,Input_Raw!$A:$A,Input_Raw!$FC:$FC),"")</f>
        <v/>
      </c>
      <c r="G142" s="200" t="str">
        <f>IFERROR(_xlfn.XLOOKUP($A142,Input_Raw!$A:$A,Input_Raw!$CY:$CY),"")</f>
        <v/>
      </c>
      <c r="H142" s="200" t="str">
        <f>IFERROR(_xlfn.XLOOKUP($A142,Input_Raw!$A:$A,Input_Raw!$DA:$DA),"")</f>
        <v/>
      </c>
      <c r="I142" s="200" t="str">
        <f>IFERROR(_xlfn.XLOOKUP($A142,Input_Raw!$A:$A,Input_Raw!$CX:$CX),"")</f>
        <v/>
      </c>
      <c r="J142" s="200" t="str">
        <f>IFERROR(_xlfn.XLOOKUP($A142,Input_Raw!$A:$A,Input_Raw!$CZ:$CZ),"")</f>
        <v/>
      </c>
      <c r="K142" s="201" t="str">
        <f>IFERROR(_xlfn.XLOOKUP($A142,Input_Raw!$A:$A,Input_Raw!$DB:$DB),"")</f>
        <v/>
      </c>
      <c r="L142" s="201" t="str">
        <f>IFERROR(_xlfn.XLOOKUP($A142,Input_Raw!$A:$A,Input_Raw!$DC:$DC),"")</f>
        <v/>
      </c>
      <c r="M142" s="200" t="str">
        <f>IFERROR(_xlfn.XLOOKUP($A142,Input_Raw!$A:$A,Input_Raw!$DF:$DF),"")</f>
        <v/>
      </c>
      <c r="N142" s="200" t="str">
        <f>IFERROR(_xlfn.XLOOKUP($A142,Input_Raw!$A:$A,Input_Raw!$DG:$DG),"")</f>
        <v/>
      </c>
      <c r="O142" s="230" t="str">
        <f>IFERROR(1-(SUMIF(Plant_BD!$B:$B,$A142,Plant_BD!$AL:$AL)/($AA142+SUMIF(Plant_BD!$B:$B,$A142,Plant_BD!$AL:$AL))),"")</f>
        <v/>
      </c>
      <c r="P142" s="230"/>
      <c r="Q142" s="231" t="str">
        <f>IFERROR(1-(SUMIF(Grid_BD!$B:$B,$A142,Grid_BD!$V:$V)/($AA142+SUMIF(Grid_BD!$B:$B,$A142,Grid_BD!$V:$V))),"")</f>
        <v/>
      </c>
      <c r="R142" s="230" t="str">
        <f>IFERROR(1-(SUMIF(Grid_BD!$B:$B,$A142,Grid_BD!$V:$V)/($AA142+SUMIF(Grid_BD!$B:$B,$A142,Grid_BD!$V:$V))),"")</f>
        <v/>
      </c>
      <c r="S142" s="9"/>
      <c r="T142" s="231"/>
      <c r="U142" s="232" t="str">
        <f t="shared" si="11"/>
        <v/>
      </c>
      <c r="V142" s="232" t="str">
        <f>IFERROR(_xlfn.XLOOKUP($A142,Input_Raw!$A:$A,Input_Raw!$FG:$FG),"")</f>
        <v/>
      </c>
      <c r="W142" s="233" t="str">
        <f t="shared" si="12"/>
        <v/>
      </c>
      <c r="X142" s="29" t="str">
        <f>IFERROR(_xlfn.XLOOKUP($A142,Input_Raw!$A:$A,Input_Raw!$DP:$DP),"")</f>
        <v/>
      </c>
      <c r="Y142" s="29" t="str">
        <f>IFERROR(_xlfn.XLOOKUP($A142,Input_Raw!$A:$A,Input_Raw!EW:EW),"")</f>
        <v/>
      </c>
      <c r="Z142" s="29" t="str">
        <f>IFERROR(_xlfn.XLOOKUP($A142,Input_Raw!$A:$A,Input_Raw!EX:EX),"")</f>
        <v/>
      </c>
      <c r="AA142" s="29" t="str">
        <f>IFERROR(_xlfn.XLOOKUP($A142,Input_Raw!$A:$A,Input_Raw!FA:FA),"")</f>
        <v/>
      </c>
      <c r="AB142" s="9" t="str">
        <f>IFERROR(_xlfn.XLOOKUP($A142,Input_Raw!$A:$A,Input_Raw!FD:FD),"")</f>
        <v/>
      </c>
      <c r="AC142" s="185">
        <f>IFERROR(_xlfn.XLOOKUP($D142,'Modelling New'!$D:$D,'Modelling New'!P:P),"")</f>
        <v>3.9838709677419355</v>
      </c>
      <c r="AD142" s="29">
        <f>IFERROR(_xlfn.XLOOKUP($D142,'Modelling New'!$D:$D,'Modelling New'!T:T)*1000,"")</f>
        <v>442502.15737022652</v>
      </c>
      <c r="AE142" s="233">
        <f>IFERROR(_xlfn.XLOOKUP($D142,'Modelling New'!$D:$D,'Modelling New'!O:O),"")</f>
        <v>0.85441089246197577</v>
      </c>
      <c r="AF142" s="233">
        <f>IFERROR(_xlfn.XLOOKUP($D142,'Modelling New'!$D:$D,'Modelling New'!W:W),"")</f>
        <v>0.14182761454173928</v>
      </c>
      <c r="AG142" s="233">
        <f>IFERROR(_xlfn.XLOOKUP($D142,'Modelling New'!$D:$D,'Modelling New'!AE:AE),"")</f>
        <v>0.995</v>
      </c>
      <c r="AH142" s="234">
        <f>IFERROR(_xlfn.XLOOKUP($D142,'Modelling New'!$D:$D,'Modelling New'!AF:AF),"")</f>
        <v>0.995</v>
      </c>
      <c r="AI142" s="9"/>
      <c r="AJ142" s="9"/>
      <c r="AK142" s="258"/>
      <c r="AL142" s="258"/>
      <c r="AM142" s="258"/>
      <c r="AN142" s="235"/>
      <c r="AO142" s="233"/>
      <c r="AP142" s="233"/>
      <c r="AQ142" s="233"/>
      <c r="AR142" s="236">
        <f>_xlfn.XLOOKUP(D142,'Modelling New'!$D:$D,'Modelling New'!$N:$N)</f>
        <v>130</v>
      </c>
      <c r="AS142" s="236" t="str">
        <f t="shared" si="13"/>
        <v/>
      </c>
    </row>
    <row r="143" spans="1:45">
      <c r="A143" s="18">
        <f t="shared" si="14"/>
        <v>45886</v>
      </c>
      <c r="B143" s="29">
        <f>YEAR(Table13[[#This Row],[Date]])+IF(MONTH(Table13[[#This Row],[Date]])&gt;=4,1,0)</f>
        <v>2026</v>
      </c>
      <c r="C143" s="9">
        <f>YEAR(Table13[[#This Row],[Date]])</f>
        <v>2025</v>
      </c>
      <c r="D143" s="229">
        <f>Table13[[#This Row],[Date]]-DAY(Table13[[#This Row],[Date]])+1</f>
        <v>45870</v>
      </c>
      <c r="E143" s="9">
        <f t="shared" si="10"/>
        <v>31</v>
      </c>
      <c r="F143" s="199" t="str">
        <f>IFERROR(_xlfn.XLOOKUP($A143,Input_Raw!$A:$A,Input_Raw!$FC:$FC),"")</f>
        <v/>
      </c>
      <c r="G143" s="185" t="str">
        <f>IFERROR(_xlfn.XLOOKUP($A143,Input_Raw!$A:$A,Input_Raw!$CY:$CY),"")</f>
        <v/>
      </c>
      <c r="H143" s="185" t="str">
        <f>IFERROR(_xlfn.XLOOKUP($A143,Input_Raw!$A:$A,Input_Raw!$DA:$DA),"")</f>
        <v/>
      </c>
      <c r="I143" s="185" t="str">
        <f>IFERROR(_xlfn.XLOOKUP($A143,Input_Raw!$A:$A,Input_Raw!$CX:$CX),"")</f>
        <v/>
      </c>
      <c r="J143" s="185" t="str">
        <f>IFERROR(_xlfn.XLOOKUP($A143,Input_Raw!$A:$A,Input_Raw!$CZ:$CZ),"")</f>
        <v/>
      </c>
      <c r="K143" s="201" t="str">
        <f>IFERROR(_xlfn.XLOOKUP($A143,Input_Raw!$A:$A,Input_Raw!$DB:$DB),"")</f>
        <v/>
      </c>
      <c r="L143" s="201" t="str">
        <f>IFERROR(_xlfn.XLOOKUP($A143,Input_Raw!$A:$A,Input_Raw!$DC:$DC),"")</f>
        <v/>
      </c>
      <c r="M143" s="200" t="str">
        <f>IFERROR(_xlfn.XLOOKUP($A143,Input_Raw!$A:$A,Input_Raw!$DF:$DF),"")</f>
        <v/>
      </c>
      <c r="N143" s="200" t="str">
        <f>IFERROR(_xlfn.XLOOKUP($A143,Input_Raw!$A:$A,Input_Raw!$DG:$DG),"")</f>
        <v/>
      </c>
      <c r="O143" s="230" t="str">
        <f>IFERROR(1-(SUMIF(Plant_BD!$B:$B,$A143,Plant_BD!$AL:$AL)/($AA143+SUMIF(Plant_BD!$B:$B,$A143,Plant_BD!$AL:$AL))),"")</f>
        <v/>
      </c>
      <c r="P143" s="230"/>
      <c r="Q143" s="231" t="str">
        <f>IFERROR(1-(SUMIF(Grid_BD!$B:$B,$A143,Grid_BD!$V:$V)/($AA143+SUMIF(Grid_BD!$B:$B,$A143,Grid_BD!$V:$V))),"")</f>
        <v/>
      </c>
      <c r="R143" s="230" t="str">
        <f>IFERROR(1-(SUMIF(Grid_BD!$B:$B,$A143,Grid_BD!$V:$V)/($AA143+SUMIF(Grid_BD!$B:$B,$A143,Grid_BD!$V:$V))),"")</f>
        <v/>
      </c>
      <c r="S143" s="9"/>
      <c r="T143" s="231"/>
      <c r="U143" s="232" t="str">
        <f t="shared" si="11"/>
        <v/>
      </c>
      <c r="V143" s="232" t="str">
        <f>IFERROR(_xlfn.XLOOKUP($A143,Input_Raw!$A:$A,Input_Raw!$FG:$FG),"")</f>
        <v/>
      </c>
      <c r="W143" s="233" t="str">
        <f t="shared" si="12"/>
        <v/>
      </c>
      <c r="X143" s="29" t="str">
        <f>IFERROR(_xlfn.XLOOKUP($A143,Input_Raw!$A:$A,Input_Raw!$DP:$DP),"")</f>
        <v/>
      </c>
      <c r="Y143" s="29" t="str">
        <f>IFERROR(_xlfn.XLOOKUP($A143,Input_Raw!$A:$A,Input_Raw!EW:EW),"")</f>
        <v/>
      </c>
      <c r="Z143" s="29" t="str">
        <f>IFERROR(_xlfn.XLOOKUP($A143,Input_Raw!$A:$A,Input_Raw!EX:EX),"")</f>
        <v/>
      </c>
      <c r="AA143" s="29" t="str">
        <f>IFERROR(_xlfn.XLOOKUP($A143,Input_Raw!$A:$A,Input_Raw!FA:FA),"")</f>
        <v/>
      </c>
      <c r="AB143" s="9" t="str">
        <f>IFERROR(_xlfn.XLOOKUP($A143,Input_Raw!$A:$A,Input_Raw!FD:FD),"")</f>
        <v/>
      </c>
      <c r="AC143" s="185">
        <f>IFERROR(_xlfn.XLOOKUP($D143,'Modelling New'!$D:$D,'Modelling New'!P:P),"")</f>
        <v>3.9838709677419355</v>
      </c>
      <c r="AD143" s="29">
        <f>IFERROR(_xlfn.XLOOKUP($D143,'Modelling New'!$D:$D,'Modelling New'!T:T)*1000,"")</f>
        <v>442502.15737022652</v>
      </c>
      <c r="AE143" s="233">
        <f>IFERROR(_xlfn.XLOOKUP($D143,'Modelling New'!$D:$D,'Modelling New'!O:O),"")</f>
        <v>0.85441089246197577</v>
      </c>
      <c r="AF143" s="233">
        <f>IFERROR(_xlfn.XLOOKUP($D143,'Modelling New'!$D:$D,'Modelling New'!W:W),"")</f>
        <v>0.14182761454173928</v>
      </c>
      <c r="AG143" s="233">
        <f>IFERROR(_xlfn.XLOOKUP($D143,'Modelling New'!$D:$D,'Modelling New'!AE:AE),"")</f>
        <v>0.995</v>
      </c>
      <c r="AH143" s="234">
        <f>IFERROR(_xlfn.XLOOKUP($D143,'Modelling New'!$D:$D,'Modelling New'!AF:AF),"")</f>
        <v>0.995</v>
      </c>
      <c r="AI143" s="9"/>
      <c r="AJ143" s="9"/>
      <c r="AK143" s="258"/>
      <c r="AL143" s="258"/>
      <c r="AM143" s="258"/>
      <c r="AN143" s="235"/>
      <c r="AO143" s="233"/>
      <c r="AP143" s="233"/>
      <c r="AQ143" s="233"/>
      <c r="AR143" s="236">
        <f>_xlfn.XLOOKUP(D143,'Modelling New'!$D:$D,'Modelling New'!$N:$N)</f>
        <v>130</v>
      </c>
      <c r="AS143" s="236" t="str">
        <f t="shared" si="13"/>
        <v/>
      </c>
    </row>
    <row r="144" spans="1:45">
      <c r="A144" s="18">
        <f t="shared" si="14"/>
        <v>45887</v>
      </c>
      <c r="B144" s="29">
        <f>YEAR(Table13[[#This Row],[Date]])+IF(MONTH(Table13[[#This Row],[Date]])&gt;=4,1,0)</f>
        <v>2026</v>
      </c>
      <c r="C144" s="9">
        <f>YEAR(Table13[[#This Row],[Date]])</f>
        <v>2025</v>
      </c>
      <c r="D144" s="229">
        <f>Table13[[#This Row],[Date]]-DAY(Table13[[#This Row],[Date]])+1</f>
        <v>45870</v>
      </c>
      <c r="E144" s="9">
        <f t="shared" si="10"/>
        <v>31</v>
      </c>
      <c r="F144" s="199" t="str">
        <f>IFERROR(_xlfn.XLOOKUP($A144,Input_Raw!$A:$A,Input_Raw!$FC:$FC),"")</f>
        <v/>
      </c>
      <c r="G144" s="200" t="str">
        <f>IFERROR(_xlfn.XLOOKUP($A144,Input_Raw!$A:$A,Input_Raw!$CY:$CY),"")</f>
        <v/>
      </c>
      <c r="H144" s="200" t="str">
        <f>IFERROR(_xlfn.XLOOKUP($A144,Input_Raw!$A:$A,Input_Raw!$DA:$DA),"")</f>
        <v/>
      </c>
      <c r="I144" s="200" t="str">
        <f>IFERROR(_xlfn.XLOOKUP($A144,Input_Raw!$A:$A,Input_Raw!$CX:$CX),"")</f>
        <v/>
      </c>
      <c r="J144" s="200" t="str">
        <f>IFERROR(_xlfn.XLOOKUP($A144,Input_Raw!$A:$A,Input_Raw!$CZ:$CZ),"")</f>
        <v/>
      </c>
      <c r="K144" s="201" t="str">
        <f>IFERROR(_xlfn.XLOOKUP($A144,Input_Raw!$A:$A,Input_Raw!$DB:$DB),"")</f>
        <v/>
      </c>
      <c r="L144" s="201" t="str">
        <f>IFERROR(_xlfn.XLOOKUP($A144,Input_Raw!$A:$A,Input_Raw!$DC:$DC),"")</f>
        <v/>
      </c>
      <c r="M144" s="200" t="str">
        <f>IFERROR(_xlfn.XLOOKUP($A144,Input_Raw!$A:$A,Input_Raw!$DF:$DF),"")</f>
        <v/>
      </c>
      <c r="N144" s="200" t="str">
        <f>IFERROR(_xlfn.XLOOKUP($A144,Input_Raw!$A:$A,Input_Raw!$DG:$DG),"")</f>
        <v/>
      </c>
      <c r="O144" s="230" t="str">
        <f>IFERROR(1-(SUMIF(Plant_BD!$B:$B,$A144,Plant_BD!$AL:$AL)/($AA144+SUMIF(Plant_BD!$B:$B,$A144,Plant_BD!$AL:$AL))),"")</f>
        <v/>
      </c>
      <c r="P144" s="230"/>
      <c r="Q144" s="231" t="str">
        <f>IFERROR(1-(SUMIF(Grid_BD!$B:$B,$A144,Grid_BD!$V:$V)/($AA144+SUMIF(Grid_BD!$B:$B,$A144,Grid_BD!$V:$V))),"")</f>
        <v/>
      </c>
      <c r="R144" s="230" t="str">
        <f>IFERROR(1-(SUMIF(Grid_BD!$B:$B,$A144,Grid_BD!$V:$V)/($AA144+SUMIF(Grid_BD!$B:$B,$A144,Grid_BD!$V:$V))),"")</f>
        <v/>
      </c>
      <c r="S144" s="9"/>
      <c r="T144" s="231"/>
      <c r="U144" s="232" t="str">
        <f t="shared" si="11"/>
        <v/>
      </c>
      <c r="V144" s="232" t="str">
        <f>IFERROR(_xlfn.XLOOKUP($A144,Input_Raw!$A:$A,Input_Raw!$FG:$FG),"")</f>
        <v/>
      </c>
      <c r="W144" s="233" t="str">
        <f t="shared" si="12"/>
        <v/>
      </c>
      <c r="X144" s="29" t="str">
        <f>IFERROR(_xlfn.XLOOKUP($A144,Input_Raw!$A:$A,Input_Raw!$DP:$DP),"")</f>
        <v/>
      </c>
      <c r="Y144" s="29" t="str">
        <f>IFERROR(_xlfn.XLOOKUP($A144,Input_Raw!$A:$A,Input_Raw!EW:EW),"")</f>
        <v/>
      </c>
      <c r="Z144" s="29" t="str">
        <f>IFERROR(_xlfn.XLOOKUP($A144,Input_Raw!$A:$A,Input_Raw!EX:EX),"")</f>
        <v/>
      </c>
      <c r="AA144" s="29" t="str">
        <f>IFERROR(_xlfn.XLOOKUP($A144,Input_Raw!$A:$A,Input_Raw!FA:FA),"")</f>
        <v/>
      </c>
      <c r="AB144" s="9" t="str">
        <f>IFERROR(_xlfn.XLOOKUP($A144,Input_Raw!$A:$A,Input_Raw!FD:FD),"")</f>
        <v/>
      </c>
      <c r="AC144" s="185">
        <f>IFERROR(_xlfn.XLOOKUP($D144,'Modelling New'!$D:$D,'Modelling New'!P:P),"")</f>
        <v>3.9838709677419355</v>
      </c>
      <c r="AD144" s="29">
        <f>IFERROR(_xlfn.XLOOKUP($D144,'Modelling New'!$D:$D,'Modelling New'!T:T)*1000,"")</f>
        <v>442502.15737022652</v>
      </c>
      <c r="AE144" s="233">
        <f>IFERROR(_xlfn.XLOOKUP($D144,'Modelling New'!$D:$D,'Modelling New'!O:O),"")</f>
        <v>0.85441089246197577</v>
      </c>
      <c r="AF144" s="233">
        <f>IFERROR(_xlfn.XLOOKUP($D144,'Modelling New'!$D:$D,'Modelling New'!W:W),"")</f>
        <v>0.14182761454173928</v>
      </c>
      <c r="AG144" s="233">
        <f>IFERROR(_xlfn.XLOOKUP($D144,'Modelling New'!$D:$D,'Modelling New'!AE:AE),"")</f>
        <v>0.995</v>
      </c>
      <c r="AH144" s="234">
        <f>IFERROR(_xlfn.XLOOKUP($D144,'Modelling New'!$D:$D,'Modelling New'!AF:AF),"")</f>
        <v>0.995</v>
      </c>
      <c r="AI144" s="9"/>
      <c r="AJ144" s="9"/>
      <c r="AK144" s="258"/>
      <c r="AL144" s="258"/>
      <c r="AM144" s="258"/>
      <c r="AN144" s="235"/>
      <c r="AO144" s="233"/>
      <c r="AP144" s="233"/>
      <c r="AQ144" s="233"/>
      <c r="AR144" s="236">
        <f>_xlfn.XLOOKUP(D144,'Modelling New'!$D:$D,'Modelling New'!$N:$N)</f>
        <v>130</v>
      </c>
      <c r="AS144" s="236" t="str">
        <f t="shared" si="13"/>
        <v/>
      </c>
    </row>
    <row r="145" spans="1:45">
      <c r="A145" s="18">
        <f t="shared" si="14"/>
        <v>45888</v>
      </c>
      <c r="B145" s="29">
        <f>YEAR(Table13[[#This Row],[Date]])+IF(MONTH(Table13[[#This Row],[Date]])&gt;=4,1,0)</f>
        <v>2026</v>
      </c>
      <c r="C145" s="9">
        <f>YEAR(Table13[[#This Row],[Date]])</f>
        <v>2025</v>
      </c>
      <c r="D145" s="229">
        <f>Table13[[#This Row],[Date]]-DAY(Table13[[#This Row],[Date]])+1</f>
        <v>45870</v>
      </c>
      <c r="E145" s="9">
        <f t="shared" si="10"/>
        <v>31</v>
      </c>
      <c r="F145" s="199" t="str">
        <f>IFERROR(_xlfn.XLOOKUP($A145,Input_Raw!$A:$A,Input_Raw!$FC:$FC),"")</f>
        <v/>
      </c>
      <c r="G145" s="185" t="str">
        <f>IFERROR(_xlfn.XLOOKUP($A145,Input_Raw!$A:$A,Input_Raw!$CY:$CY),"")</f>
        <v/>
      </c>
      <c r="H145" s="185" t="str">
        <f>IFERROR(_xlfn.XLOOKUP($A145,Input_Raw!$A:$A,Input_Raw!$DA:$DA),"")</f>
        <v/>
      </c>
      <c r="I145" s="185" t="str">
        <f>IFERROR(_xlfn.XLOOKUP($A145,Input_Raw!$A:$A,Input_Raw!$CX:$CX),"")</f>
        <v/>
      </c>
      <c r="J145" s="185" t="str">
        <f>IFERROR(_xlfn.XLOOKUP($A145,Input_Raw!$A:$A,Input_Raw!$CZ:$CZ),"")</f>
        <v/>
      </c>
      <c r="K145" s="201" t="str">
        <f>IFERROR(_xlfn.XLOOKUP($A145,Input_Raw!$A:$A,Input_Raw!$DB:$DB),"")</f>
        <v/>
      </c>
      <c r="L145" s="201" t="str">
        <f>IFERROR(_xlfn.XLOOKUP($A145,Input_Raw!$A:$A,Input_Raw!$DC:$DC),"")</f>
        <v/>
      </c>
      <c r="M145" s="200" t="str">
        <f>IFERROR(_xlfn.XLOOKUP($A145,Input_Raw!$A:$A,Input_Raw!$DF:$DF),"")</f>
        <v/>
      </c>
      <c r="N145" s="200" t="str">
        <f>IFERROR(_xlfn.XLOOKUP($A145,Input_Raw!$A:$A,Input_Raw!$DG:$DG),"")</f>
        <v/>
      </c>
      <c r="O145" s="230" t="str">
        <f>IFERROR(1-(SUMIF(Plant_BD!$B:$B,$A145,Plant_BD!$AL:$AL)/($AA145+SUMIF(Plant_BD!$B:$B,$A145,Plant_BD!$AL:$AL))),"")</f>
        <v/>
      </c>
      <c r="P145" s="230"/>
      <c r="Q145" s="231" t="str">
        <f>IFERROR(1-(SUMIF(Grid_BD!$B:$B,$A145,Grid_BD!$V:$V)/($AA145+SUMIF(Grid_BD!$B:$B,$A145,Grid_BD!$V:$V))),"")</f>
        <v/>
      </c>
      <c r="R145" s="230" t="str">
        <f>IFERROR(1-(SUMIF(Grid_BD!$B:$B,$A145,Grid_BD!$V:$V)/($AA145+SUMIF(Grid_BD!$B:$B,$A145,Grid_BD!$V:$V))),"")</f>
        <v/>
      </c>
      <c r="S145" s="9"/>
      <c r="T145" s="231"/>
      <c r="U145" s="232" t="str">
        <f t="shared" si="11"/>
        <v/>
      </c>
      <c r="V145" s="232" t="str">
        <f>IFERROR(_xlfn.XLOOKUP($A145,Input_Raw!$A:$A,Input_Raw!$FG:$FG),"")</f>
        <v/>
      </c>
      <c r="W145" s="233" t="str">
        <f t="shared" si="12"/>
        <v/>
      </c>
      <c r="X145" s="29" t="str">
        <f>IFERROR(_xlfn.XLOOKUP($A145,Input_Raw!$A:$A,Input_Raw!$DP:$DP),"")</f>
        <v/>
      </c>
      <c r="Y145" s="29" t="str">
        <f>IFERROR(_xlfn.XLOOKUP($A145,Input_Raw!$A:$A,Input_Raw!EW:EW),"")</f>
        <v/>
      </c>
      <c r="Z145" s="29" t="str">
        <f>IFERROR(_xlfn.XLOOKUP($A145,Input_Raw!$A:$A,Input_Raw!EX:EX),"")</f>
        <v/>
      </c>
      <c r="AA145" s="29" t="str">
        <f>IFERROR(_xlfn.XLOOKUP($A145,Input_Raw!$A:$A,Input_Raw!FA:FA),"")</f>
        <v/>
      </c>
      <c r="AB145" s="9" t="str">
        <f>IFERROR(_xlfn.XLOOKUP($A145,Input_Raw!$A:$A,Input_Raw!FD:FD),"")</f>
        <v/>
      </c>
      <c r="AC145" s="185">
        <f>IFERROR(_xlfn.XLOOKUP($D145,'Modelling New'!$D:$D,'Modelling New'!P:P),"")</f>
        <v>3.9838709677419355</v>
      </c>
      <c r="AD145" s="29">
        <f>IFERROR(_xlfn.XLOOKUP($D145,'Modelling New'!$D:$D,'Modelling New'!T:T)*1000,"")</f>
        <v>442502.15737022652</v>
      </c>
      <c r="AE145" s="233">
        <f>IFERROR(_xlfn.XLOOKUP($D145,'Modelling New'!$D:$D,'Modelling New'!O:O),"")</f>
        <v>0.85441089246197577</v>
      </c>
      <c r="AF145" s="233">
        <f>IFERROR(_xlfn.XLOOKUP($D145,'Modelling New'!$D:$D,'Modelling New'!W:W),"")</f>
        <v>0.14182761454173928</v>
      </c>
      <c r="AG145" s="233">
        <f>IFERROR(_xlfn.XLOOKUP($D145,'Modelling New'!$D:$D,'Modelling New'!AE:AE),"")</f>
        <v>0.995</v>
      </c>
      <c r="AH145" s="234">
        <f>IFERROR(_xlfn.XLOOKUP($D145,'Modelling New'!$D:$D,'Modelling New'!AF:AF),"")</f>
        <v>0.995</v>
      </c>
      <c r="AI145" s="9"/>
      <c r="AJ145" s="9"/>
      <c r="AK145" s="258"/>
      <c r="AL145" s="258"/>
      <c r="AM145" s="258"/>
      <c r="AN145" s="235"/>
      <c r="AO145" s="233"/>
      <c r="AP145" s="233"/>
      <c r="AQ145" s="233"/>
      <c r="AR145" s="236">
        <f>_xlfn.XLOOKUP(D145,'Modelling New'!$D:$D,'Modelling New'!$N:$N)</f>
        <v>130</v>
      </c>
      <c r="AS145" s="236" t="str">
        <f t="shared" si="13"/>
        <v/>
      </c>
    </row>
    <row r="146" spans="1:45">
      <c r="A146" s="18">
        <f t="shared" si="14"/>
        <v>45889</v>
      </c>
      <c r="B146" s="29">
        <f>YEAR(Table13[[#This Row],[Date]])+IF(MONTH(Table13[[#This Row],[Date]])&gt;=4,1,0)</f>
        <v>2026</v>
      </c>
      <c r="C146" s="9">
        <f>YEAR(Table13[[#This Row],[Date]])</f>
        <v>2025</v>
      </c>
      <c r="D146" s="229">
        <f>Table13[[#This Row],[Date]]-DAY(Table13[[#This Row],[Date]])+1</f>
        <v>45870</v>
      </c>
      <c r="E146" s="9">
        <f t="shared" si="10"/>
        <v>31</v>
      </c>
      <c r="F146" s="199" t="str">
        <f>IFERROR(_xlfn.XLOOKUP($A146,Input_Raw!$A:$A,Input_Raw!$FC:$FC),"")</f>
        <v/>
      </c>
      <c r="G146" s="200" t="str">
        <f>IFERROR(_xlfn.XLOOKUP($A146,Input_Raw!$A:$A,Input_Raw!$CY:$CY),"")</f>
        <v/>
      </c>
      <c r="H146" s="200" t="str">
        <f>IFERROR(_xlfn.XLOOKUP($A146,Input_Raw!$A:$A,Input_Raw!$DA:$DA),"")</f>
        <v/>
      </c>
      <c r="I146" s="200" t="str">
        <f>IFERROR(_xlfn.XLOOKUP($A146,Input_Raw!$A:$A,Input_Raw!$CX:$CX),"")</f>
        <v/>
      </c>
      <c r="J146" s="200" t="str">
        <f>IFERROR(_xlfn.XLOOKUP($A146,Input_Raw!$A:$A,Input_Raw!$CZ:$CZ),"")</f>
        <v/>
      </c>
      <c r="K146" s="201" t="str">
        <f>IFERROR(_xlfn.XLOOKUP($A146,Input_Raw!$A:$A,Input_Raw!$DB:$DB),"")</f>
        <v/>
      </c>
      <c r="L146" s="201" t="str">
        <f>IFERROR(_xlfn.XLOOKUP($A146,Input_Raw!$A:$A,Input_Raw!$DC:$DC),"")</f>
        <v/>
      </c>
      <c r="M146" s="200" t="str">
        <f>IFERROR(_xlfn.XLOOKUP($A146,Input_Raw!$A:$A,Input_Raw!$DF:$DF),"")</f>
        <v/>
      </c>
      <c r="N146" s="200" t="str">
        <f>IFERROR(_xlfn.XLOOKUP($A146,Input_Raw!$A:$A,Input_Raw!$DG:$DG),"")</f>
        <v/>
      </c>
      <c r="O146" s="230" t="str">
        <f>IFERROR(1-(SUMIF(Plant_BD!$B:$B,$A146,Plant_BD!$AL:$AL)/($AA146+SUMIF(Plant_BD!$B:$B,$A146,Plant_BD!$AL:$AL))),"")</f>
        <v/>
      </c>
      <c r="P146" s="230"/>
      <c r="Q146" s="231" t="str">
        <f>IFERROR(1-(SUMIF(Grid_BD!$B:$B,$A146,Grid_BD!$V:$V)/($AA146+SUMIF(Grid_BD!$B:$B,$A146,Grid_BD!$V:$V))),"")</f>
        <v/>
      </c>
      <c r="R146" s="230" t="str">
        <f>IFERROR(1-(SUMIF(Grid_BD!$B:$B,$A146,Grid_BD!$V:$V)/($AA146+SUMIF(Grid_BD!$B:$B,$A146,Grid_BD!$V:$V))),"")</f>
        <v/>
      </c>
      <c r="S146" s="9"/>
      <c r="T146" s="231"/>
      <c r="U146" s="232" t="str">
        <f t="shared" si="11"/>
        <v/>
      </c>
      <c r="V146" s="232" t="str">
        <f>IFERROR(_xlfn.XLOOKUP($A146,Input_Raw!$A:$A,Input_Raw!$FG:$FG),"")</f>
        <v/>
      </c>
      <c r="W146" s="233" t="str">
        <f t="shared" si="12"/>
        <v/>
      </c>
      <c r="X146" s="29" t="str">
        <f>IFERROR(_xlfn.XLOOKUP($A146,Input_Raw!$A:$A,Input_Raw!$DP:$DP),"")</f>
        <v/>
      </c>
      <c r="Y146" s="29" t="str">
        <f>IFERROR(_xlfn.XLOOKUP($A146,Input_Raw!$A:$A,Input_Raw!EW:EW),"")</f>
        <v/>
      </c>
      <c r="Z146" s="29" t="str">
        <f>IFERROR(_xlfn.XLOOKUP($A146,Input_Raw!$A:$A,Input_Raw!EX:EX),"")</f>
        <v/>
      </c>
      <c r="AA146" s="29" t="str">
        <f>IFERROR(_xlfn.XLOOKUP($A146,Input_Raw!$A:$A,Input_Raw!FA:FA),"")</f>
        <v/>
      </c>
      <c r="AB146" s="9" t="str">
        <f>IFERROR(_xlfn.XLOOKUP($A146,Input_Raw!$A:$A,Input_Raw!FD:FD),"")</f>
        <v/>
      </c>
      <c r="AC146" s="185">
        <f>IFERROR(_xlfn.XLOOKUP($D146,'Modelling New'!$D:$D,'Modelling New'!P:P),"")</f>
        <v>3.9838709677419355</v>
      </c>
      <c r="AD146" s="29">
        <f>IFERROR(_xlfn.XLOOKUP($D146,'Modelling New'!$D:$D,'Modelling New'!T:T)*1000,"")</f>
        <v>442502.15737022652</v>
      </c>
      <c r="AE146" s="233">
        <f>IFERROR(_xlfn.XLOOKUP($D146,'Modelling New'!$D:$D,'Modelling New'!O:O),"")</f>
        <v>0.85441089246197577</v>
      </c>
      <c r="AF146" s="233">
        <f>IFERROR(_xlfn.XLOOKUP($D146,'Modelling New'!$D:$D,'Modelling New'!W:W),"")</f>
        <v>0.14182761454173928</v>
      </c>
      <c r="AG146" s="233">
        <f>IFERROR(_xlfn.XLOOKUP($D146,'Modelling New'!$D:$D,'Modelling New'!AE:AE),"")</f>
        <v>0.995</v>
      </c>
      <c r="AH146" s="234">
        <f>IFERROR(_xlfn.XLOOKUP($D146,'Modelling New'!$D:$D,'Modelling New'!AF:AF),"")</f>
        <v>0.995</v>
      </c>
      <c r="AI146" s="9"/>
      <c r="AJ146" s="9"/>
      <c r="AK146" s="258"/>
      <c r="AL146" s="258"/>
      <c r="AM146" s="258"/>
      <c r="AN146" s="235"/>
      <c r="AO146" s="233"/>
      <c r="AP146" s="233"/>
      <c r="AQ146" s="233"/>
      <c r="AR146" s="236">
        <f>_xlfn.XLOOKUP(D146,'Modelling New'!$D:$D,'Modelling New'!$N:$N)</f>
        <v>130</v>
      </c>
      <c r="AS146" s="236" t="str">
        <f t="shared" si="13"/>
        <v/>
      </c>
    </row>
    <row r="147" spans="1:45">
      <c r="A147" s="18">
        <f t="shared" si="14"/>
        <v>45890</v>
      </c>
      <c r="B147" s="29">
        <f>YEAR(Table13[[#This Row],[Date]])+IF(MONTH(Table13[[#This Row],[Date]])&gt;=4,1,0)</f>
        <v>2026</v>
      </c>
      <c r="C147" s="9">
        <f>YEAR(Table13[[#This Row],[Date]])</f>
        <v>2025</v>
      </c>
      <c r="D147" s="229">
        <f>Table13[[#This Row],[Date]]-DAY(Table13[[#This Row],[Date]])+1</f>
        <v>45870</v>
      </c>
      <c r="E147" s="9">
        <f t="shared" si="10"/>
        <v>31</v>
      </c>
      <c r="F147" s="199" t="str">
        <f>IFERROR(_xlfn.XLOOKUP($A147,Input_Raw!$A:$A,Input_Raw!$FC:$FC),"")</f>
        <v/>
      </c>
      <c r="G147" s="185" t="str">
        <f>IFERROR(_xlfn.XLOOKUP($A147,Input_Raw!$A:$A,Input_Raw!$CY:$CY),"")</f>
        <v/>
      </c>
      <c r="H147" s="185" t="str">
        <f>IFERROR(_xlfn.XLOOKUP($A147,Input_Raw!$A:$A,Input_Raw!$DA:$DA),"")</f>
        <v/>
      </c>
      <c r="I147" s="185" t="str">
        <f>IFERROR(_xlfn.XLOOKUP($A147,Input_Raw!$A:$A,Input_Raw!$CX:$CX),"")</f>
        <v/>
      </c>
      <c r="J147" s="185" t="str">
        <f>IFERROR(_xlfn.XLOOKUP($A147,Input_Raw!$A:$A,Input_Raw!$CZ:$CZ),"")</f>
        <v/>
      </c>
      <c r="K147" s="201" t="str">
        <f>IFERROR(_xlfn.XLOOKUP($A147,Input_Raw!$A:$A,Input_Raw!$DB:$DB),"")</f>
        <v/>
      </c>
      <c r="L147" s="201" t="str">
        <f>IFERROR(_xlfn.XLOOKUP($A147,Input_Raw!$A:$A,Input_Raw!$DC:$DC),"")</f>
        <v/>
      </c>
      <c r="M147" s="200" t="str">
        <f>IFERROR(_xlfn.XLOOKUP($A147,Input_Raw!$A:$A,Input_Raw!$DF:$DF),"")</f>
        <v/>
      </c>
      <c r="N147" s="200" t="str">
        <f>IFERROR(_xlfn.XLOOKUP($A147,Input_Raw!$A:$A,Input_Raw!$DG:$DG),"")</f>
        <v/>
      </c>
      <c r="O147" s="230" t="str">
        <f>IFERROR(1-(SUMIF(Plant_BD!$B:$B,$A147,Plant_BD!$AL:$AL)/($AA147+SUMIF(Plant_BD!$B:$B,$A147,Plant_BD!$AL:$AL))),"")</f>
        <v/>
      </c>
      <c r="P147" s="230"/>
      <c r="Q147" s="231" t="str">
        <f>IFERROR(1-(SUMIF(Grid_BD!$B:$B,$A147,Grid_BD!$V:$V)/($AA147+SUMIF(Grid_BD!$B:$B,$A147,Grid_BD!$V:$V))),"")</f>
        <v/>
      </c>
      <c r="R147" s="230" t="str">
        <f>IFERROR(1-(SUMIF(Grid_BD!$B:$B,$A147,Grid_BD!$V:$V)/($AA147+SUMIF(Grid_BD!$B:$B,$A147,Grid_BD!$V:$V))),"")</f>
        <v/>
      </c>
      <c r="S147" s="9"/>
      <c r="T147" s="231"/>
      <c r="U147" s="232" t="str">
        <f t="shared" si="11"/>
        <v/>
      </c>
      <c r="V147" s="232" t="str">
        <f>IFERROR(_xlfn.XLOOKUP($A147,Input_Raw!$A:$A,Input_Raw!$FG:$FG),"")</f>
        <v/>
      </c>
      <c r="W147" s="233" t="str">
        <f t="shared" si="12"/>
        <v/>
      </c>
      <c r="X147" s="29" t="str">
        <f>IFERROR(_xlfn.XLOOKUP($A147,Input_Raw!$A:$A,Input_Raw!$DP:$DP),"")</f>
        <v/>
      </c>
      <c r="Y147" s="29" t="str">
        <f>IFERROR(_xlfn.XLOOKUP($A147,Input_Raw!$A:$A,Input_Raw!EW:EW),"")</f>
        <v/>
      </c>
      <c r="Z147" s="29" t="str">
        <f>IFERROR(_xlfn.XLOOKUP($A147,Input_Raw!$A:$A,Input_Raw!EX:EX),"")</f>
        <v/>
      </c>
      <c r="AA147" s="29" t="str">
        <f>IFERROR(_xlfn.XLOOKUP($A147,Input_Raw!$A:$A,Input_Raw!FA:FA),"")</f>
        <v/>
      </c>
      <c r="AB147" s="9" t="str">
        <f>IFERROR(_xlfn.XLOOKUP($A147,Input_Raw!$A:$A,Input_Raw!FD:FD),"")</f>
        <v/>
      </c>
      <c r="AC147" s="185">
        <f>IFERROR(_xlfn.XLOOKUP($D147,'Modelling New'!$D:$D,'Modelling New'!P:P),"")</f>
        <v>3.9838709677419355</v>
      </c>
      <c r="AD147" s="29">
        <f>IFERROR(_xlfn.XLOOKUP($D147,'Modelling New'!$D:$D,'Modelling New'!T:T)*1000,"")</f>
        <v>442502.15737022652</v>
      </c>
      <c r="AE147" s="233">
        <f>IFERROR(_xlfn.XLOOKUP($D147,'Modelling New'!$D:$D,'Modelling New'!O:O),"")</f>
        <v>0.85441089246197577</v>
      </c>
      <c r="AF147" s="233">
        <f>IFERROR(_xlfn.XLOOKUP($D147,'Modelling New'!$D:$D,'Modelling New'!W:W),"")</f>
        <v>0.14182761454173928</v>
      </c>
      <c r="AG147" s="233">
        <f>IFERROR(_xlfn.XLOOKUP($D147,'Modelling New'!$D:$D,'Modelling New'!AE:AE),"")</f>
        <v>0.995</v>
      </c>
      <c r="AH147" s="234">
        <f>IFERROR(_xlfn.XLOOKUP($D147,'Modelling New'!$D:$D,'Modelling New'!AF:AF),"")</f>
        <v>0.995</v>
      </c>
      <c r="AI147" s="9"/>
      <c r="AJ147" s="9"/>
      <c r="AK147" s="258"/>
      <c r="AL147" s="258"/>
      <c r="AM147" s="258"/>
      <c r="AN147" s="235"/>
      <c r="AO147" s="233"/>
      <c r="AP147" s="233"/>
      <c r="AQ147" s="233"/>
      <c r="AR147" s="236">
        <f>_xlfn.XLOOKUP(D147,'Modelling New'!$D:$D,'Modelling New'!$N:$N)</f>
        <v>130</v>
      </c>
      <c r="AS147" s="236" t="str">
        <f t="shared" si="13"/>
        <v/>
      </c>
    </row>
    <row r="148" spans="1:45">
      <c r="A148" s="18">
        <f t="shared" si="14"/>
        <v>45891</v>
      </c>
      <c r="B148" s="29">
        <f>YEAR(Table13[[#This Row],[Date]])+IF(MONTH(Table13[[#This Row],[Date]])&gt;=4,1,0)</f>
        <v>2026</v>
      </c>
      <c r="C148" s="9">
        <f>YEAR(Table13[[#This Row],[Date]])</f>
        <v>2025</v>
      </c>
      <c r="D148" s="229">
        <f>Table13[[#This Row],[Date]]-DAY(Table13[[#This Row],[Date]])+1</f>
        <v>45870</v>
      </c>
      <c r="E148" s="9">
        <f t="shared" si="10"/>
        <v>31</v>
      </c>
      <c r="F148" s="199" t="str">
        <f>IFERROR(_xlfn.XLOOKUP($A148,Input_Raw!$A:$A,Input_Raw!$FC:$FC),"")</f>
        <v/>
      </c>
      <c r="G148" s="200" t="str">
        <f>IFERROR(_xlfn.XLOOKUP($A148,Input_Raw!$A:$A,Input_Raw!$CY:$CY),"")</f>
        <v/>
      </c>
      <c r="H148" s="200" t="str">
        <f>IFERROR(_xlfn.XLOOKUP($A148,Input_Raw!$A:$A,Input_Raw!$DA:$DA),"")</f>
        <v/>
      </c>
      <c r="I148" s="200" t="str">
        <f>IFERROR(_xlfn.XLOOKUP($A148,Input_Raw!$A:$A,Input_Raw!$CX:$CX),"")</f>
        <v/>
      </c>
      <c r="J148" s="200" t="str">
        <f>IFERROR(_xlfn.XLOOKUP($A148,Input_Raw!$A:$A,Input_Raw!$CZ:$CZ),"")</f>
        <v/>
      </c>
      <c r="K148" s="201" t="str">
        <f>IFERROR(_xlfn.XLOOKUP($A148,Input_Raw!$A:$A,Input_Raw!$DB:$DB),"")</f>
        <v/>
      </c>
      <c r="L148" s="201" t="str">
        <f>IFERROR(_xlfn.XLOOKUP($A148,Input_Raw!$A:$A,Input_Raw!$DC:$DC),"")</f>
        <v/>
      </c>
      <c r="M148" s="200" t="str">
        <f>IFERROR(_xlfn.XLOOKUP($A148,Input_Raw!$A:$A,Input_Raw!$DF:$DF),"")</f>
        <v/>
      </c>
      <c r="N148" s="200" t="str">
        <f>IFERROR(_xlfn.XLOOKUP($A148,Input_Raw!$A:$A,Input_Raw!$DG:$DG),"")</f>
        <v/>
      </c>
      <c r="O148" s="230" t="str">
        <f>IFERROR(1-(SUMIF(Plant_BD!$B:$B,$A148,Plant_BD!$AL:$AL)/($AA148+SUMIF(Plant_BD!$B:$B,$A148,Plant_BD!$AL:$AL))),"")</f>
        <v/>
      </c>
      <c r="P148" s="230"/>
      <c r="Q148" s="231" t="str">
        <f>IFERROR(1-(SUMIF(Grid_BD!$B:$B,$A148,Grid_BD!$V:$V)/($AA148+SUMIF(Grid_BD!$B:$B,$A148,Grid_BD!$V:$V))),"")</f>
        <v/>
      </c>
      <c r="R148" s="230" t="str">
        <f>IFERROR(1-(SUMIF(Grid_BD!$B:$B,$A148,Grid_BD!$V:$V)/($AA148+SUMIF(Grid_BD!$B:$B,$A148,Grid_BD!$V:$V))),"")</f>
        <v/>
      </c>
      <c r="S148" s="9"/>
      <c r="T148" s="231"/>
      <c r="U148" s="232" t="str">
        <f t="shared" si="11"/>
        <v/>
      </c>
      <c r="V148" s="232" t="str">
        <f>IFERROR(_xlfn.XLOOKUP($A148,Input_Raw!$A:$A,Input_Raw!$FG:$FG),"")</f>
        <v/>
      </c>
      <c r="W148" s="233" t="str">
        <f t="shared" si="12"/>
        <v/>
      </c>
      <c r="X148" s="29" t="str">
        <f>IFERROR(_xlfn.XLOOKUP($A148,Input_Raw!$A:$A,Input_Raw!$DP:$DP),"")</f>
        <v/>
      </c>
      <c r="Y148" s="29" t="str">
        <f>IFERROR(_xlfn.XLOOKUP($A148,Input_Raw!$A:$A,Input_Raw!EW:EW),"")</f>
        <v/>
      </c>
      <c r="Z148" s="29" t="str">
        <f>IFERROR(_xlfn.XLOOKUP($A148,Input_Raw!$A:$A,Input_Raw!EX:EX),"")</f>
        <v/>
      </c>
      <c r="AA148" s="29" t="str">
        <f>IFERROR(_xlfn.XLOOKUP($A148,Input_Raw!$A:$A,Input_Raw!FA:FA),"")</f>
        <v/>
      </c>
      <c r="AB148" s="9" t="str">
        <f>IFERROR(_xlfn.XLOOKUP($A148,Input_Raw!$A:$A,Input_Raw!FD:FD),"")</f>
        <v/>
      </c>
      <c r="AC148" s="185">
        <f>IFERROR(_xlfn.XLOOKUP($D148,'Modelling New'!$D:$D,'Modelling New'!P:P),"")</f>
        <v>3.9838709677419355</v>
      </c>
      <c r="AD148" s="29">
        <f>IFERROR(_xlfn.XLOOKUP($D148,'Modelling New'!$D:$D,'Modelling New'!T:T)*1000,"")</f>
        <v>442502.15737022652</v>
      </c>
      <c r="AE148" s="233">
        <f>IFERROR(_xlfn.XLOOKUP($D148,'Modelling New'!$D:$D,'Modelling New'!O:O),"")</f>
        <v>0.85441089246197577</v>
      </c>
      <c r="AF148" s="233">
        <f>IFERROR(_xlfn.XLOOKUP($D148,'Modelling New'!$D:$D,'Modelling New'!W:W),"")</f>
        <v>0.14182761454173928</v>
      </c>
      <c r="AG148" s="233">
        <f>IFERROR(_xlfn.XLOOKUP($D148,'Modelling New'!$D:$D,'Modelling New'!AE:AE),"")</f>
        <v>0.995</v>
      </c>
      <c r="AH148" s="234">
        <f>IFERROR(_xlfn.XLOOKUP($D148,'Modelling New'!$D:$D,'Modelling New'!AF:AF),"")</f>
        <v>0.995</v>
      </c>
      <c r="AI148" s="9"/>
      <c r="AJ148" s="9"/>
      <c r="AK148" s="258"/>
      <c r="AL148" s="258"/>
      <c r="AM148" s="258"/>
      <c r="AN148" s="235"/>
      <c r="AO148" s="233"/>
      <c r="AP148" s="233"/>
      <c r="AQ148" s="233"/>
      <c r="AR148" s="236">
        <f>_xlfn.XLOOKUP(D148,'Modelling New'!$D:$D,'Modelling New'!$N:$N)</f>
        <v>130</v>
      </c>
      <c r="AS148" s="236" t="str">
        <f t="shared" si="13"/>
        <v/>
      </c>
    </row>
    <row r="149" spans="1:45">
      <c r="A149" s="18">
        <f t="shared" si="14"/>
        <v>45892</v>
      </c>
      <c r="B149" s="29">
        <f>YEAR(Table13[[#This Row],[Date]])+IF(MONTH(Table13[[#This Row],[Date]])&gt;=4,1,0)</f>
        <v>2026</v>
      </c>
      <c r="C149" s="9">
        <f>YEAR(Table13[[#This Row],[Date]])</f>
        <v>2025</v>
      </c>
      <c r="D149" s="229">
        <f>Table13[[#This Row],[Date]]-DAY(Table13[[#This Row],[Date]])+1</f>
        <v>45870</v>
      </c>
      <c r="E149" s="9">
        <f t="shared" si="10"/>
        <v>31</v>
      </c>
      <c r="F149" s="199" t="str">
        <f>IFERROR(_xlfn.XLOOKUP($A149,Input_Raw!$A:$A,Input_Raw!$FC:$FC),"")</f>
        <v/>
      </c>
      <c r="G149" s="185" t="str">
        <f>IFERROR(_xlfn.XLOOKUP($A149,Input_Raw!$A:$A,Input_Raw!$CY:$CY),"")</f>
        <v/>
      </c>
      <c r="H149" s="185" t="str">
        <f>IFERROR(_xlfn.XLOOKUP($A149,Input_Raw!$A:$A,Input_Raw!$DA:$DA),"")</f>
        <v/>
      </c>
      <c r="I149" s="185" t="str">
        <f>IFERROR(_xlfn.XLOOKUP($A149,Input_Raw!$A:$A,Input_Raw!$CX:$CX),"")</f>
        <v/>
      </c>
      <c r="J149" s="185" t="str">
        <f>IFERROR(_xlfn.XLOOKUP($A149,Input_Raw!$A:$A,Input_Raw!$CZ:$CZ),"")</f>
        <v/>
      </c>
      <c r="K149" s="201" t="str">
        <f>IFERROR(_xlfn.XLOOKUP($A149,Input_Raw!$A:$A,Input_Raw!$DB:$DB),"")</f>
        <v/>
      </c>
      <c r="L149" s="201" t="str">
        <f>IFERROR(_xlfn.XLOOKUP($A149,Input_Raw!$A:$A,Input_Raw!$DC:$DC),"")</f>
        <v/>
      </c>
      <c r="M149" s="200" t="str">
        <f>IFERROR(_xlfn.XLOOKUP($A149,Input_Raw!$A:$A,Input_Raw!$DF:$DF),"")</f>
        <v/>
      </c>
      <c r="N149" s="200" t="str">
        <f>IFERROR(_xlfn.XLOOKUP($A149,Input_Raw!$A:$A,Input_Raw!$DG:$DG),"")</f>
        <v/>
      </c>
      <c r="O149" s="230" t="str">
        <f>IFERROR(1-(SUMIF(Plant_BD!$B:$B,$A149,Plant_BD!$AL:$AL)/($AA149+SUMIF(Plant_BD!$B:$B,$A149,Plant_BD!$AL:$AL))),"")</f>
        <v/>
      </c>
      <c r="P149" s="230"/>
      <c r="Q149" s="231" t="str">
        <f>IFERROR(1-(SUMIF(Grid_BD!$B:$B,$A149,Grid_BD!$V:$V)/($AA149+SUMIF(Grid_BD!$B:$B,$A149,Grid_BD!$V:$V))),"")</f>
        <v/>
      </c>
      <c r="R149" s="230" t="str">
        <f>IFERROR(1-(SUMIF(Grid_BD!$B:$B,$A149,Grid_BD!$V:$V)/($AA149+SUMIF(Grid_BD!$B:$B,$A149,Grid_BD!$V:$V))),"")</f>
        <v/>
      </c>
      <c r="S149" s="9"/>
      <c r="T149" s="231"/>
      <c r="U149" s="232" t="str">
        <f t="shared" si="11"/>
        <v/>
      </c>
      <c r="V149" s="232" t="str">
        <f>IFERROR(_xlfn.XLOOKUP($A149,Input_Raw!$A:$A,Input_Raw!$FG:$FG),"")</f>
        <v/>
      </c>
      <c r="W149" s="233" t="str">
        <f t="shared" si="12"/>
        <v/>
      </c>
      <c r="X149" s="29" t="str">
        <f>IFERROR(_xlfn.XLOOKUP($A149,Input_Raw!$A:$A,Input_Raw!$DP:$DP),"")</f>
        <v/>
      </c>
      <c r="Y149" s="29" t="str">
        <f>IFERROR(_xlfn.XLOOKUP($A149,Input_Raw!$A:$A,Input_Raw!EW:EW),"")</f>
        <v/>
      </c>
      <c r="Z149" s="29" t="str">
        <f>IFERROR(_xlfn.XLOOKUP($A149,Input_Raw!$A:$A,Input_Raw!EX:EX),"")</f>
        <v/>
      </c>
      <c r="AA149" s="29" t="str">
        <f>IFERROR(_xlfn.XLOOKUP($A149,Input_Raw!$A:$A,Input_Raw!FA:FA),"")</f>
        <v/>
      </c>
      <c r="AB149" s="9" t="str">
        <f>IFERROR(_xlfn.XLOOKUP($A149,Input_Raw!$A:$A,Input_Raw!FD:FD),"")</f>
        <v/>
      </c>
      <c r="AC149" s="185">
        <f>IFERROR(_xlfn.XLOOKUP($D149,'Modelling New'!$D:$D,'Modelling New'!P:P),"")</f>
        <v>3.9838709677419355</v>
      </c>
      <c r="AD149" s="29">
        <f>IFERROR(_xlfn.XLOOKUP($D149,'Modelling New'!$D:$D,'Modelling New'!T:T)*1000,"")</f>
        <v>442502.15737022652</v>
      </c>
      <c r="AE149" s="233">
        <f>IFERROR(_xlfn.XLOOKUP($D149,'Modelling New'!$D:$D,'Modelling New'!O:O),"")</f>
        <v>0.85441089246197577</v>
      </c>
      <c r="AF149" s="233">
        <f>IFERROR(_xlfn.XLOOKUP($D149,'Modelling New'!$D:$D,'Modelling New'!W:W),"")</f>
        <v>0.14182761454173928</v>
      </c>
      <c r="AG149" s="233">
        <f>IFERROR(_xlfn.XLOOKUP($D149,'Modelling New'!$D:$D,'Modelling New'!AE:AE),"")</f>
        <v>0.995</v>
      </c>
      <c r="AH149" s="234">
        <f>IFERROR(_xlfn.XLOOKUP($D149,'Modelling New'!$D:$D,'Modelling New'!AF:AF),"")</f>
        <v>0.995</v>
      </c>
      <c r="AI149" s="9"/>
      <c r="AJ149" s="9"/>
      <c r="AK149" s="258"/>
      <c r="AL149" s="258"/>
      <c r="AM149" s="258"/>
      <c r="AN149" s="235"/>
      <c r="AO149" s="233"/>
      <c r="AP149" s="233"/>
      <c r="AQ149" s="233"/>
      <c r="AR149" s="236">
        <f>_xlfn.XLOOKUP(D149,'Modelling New'!$D:$D,'Modelling New'!$N:$N)</f>
        <v>130</v>
      </c>
      <c r="AS149" s="236" t="str">
        <f t="shared" si="13"/>
        <v/>
      </c>
    </row>
    <row r="150" spans="1:45">
      <c r="A150" s="18">
        <f t="shared" si="14"/>
        <v>45893</v>
      </c>
      <c r="B150" s="29">
        <f>YEAR(Table13[[#This Row],[Date]])+IF(MONTH(Table13[[#This Row],[Date]])&gt;=4,1,0)</f>
        <v>2026</v>
      </c>
      <c r="C150" s="9">
        <f>YEAR(Table13[[#This Row],[Date]])</f>
        <v>2025</v>
      </c>
      <c r="D150" s="229">
        <f>Table13[[#This Row],[Date]]-DAY(Table13[[#This Row],[Date]])+1</f>
        <v>45870</v>
      </c>
      <c r="E150" s="9">
        <f t="shared" si="10"/>
        <v>31</v>
      </c>
      <c r="F150" s="199" t="str">
        <f>IFERROR(_xlfn.XLOOKUP($A150,Input_Raw!$A:$A,Input_Raw!$FC:$FC),"")</f>
        <v/>
      </c>
      <c r="G150" s="200" t="str">
        <f>IFERROR(_xlfn.XLOOKUP($A150,Input_Raw!$A:$A,Input_Raw!$CY:$CY),"")</f>
        <v/>
      </c>
      <c r="H150" s="200" t="str">
        <f>IFERROR(_xlfn.XLOOKUP($A150,Input_Raw!$A:$A,Input_Raw!$DA:$DA),"")</f>
        <v/>
      </c>
      <c r="I150" s="200" t="str">
        <f>IFERROR(_xlfn.XLOOKUP($A150,Input_Raw!$A:$A,Input_Raw!$CX:$CX),"")</f>
        <v/>
      </c>
      <c r="J150" s="200" t="str">
        <f>IFERROR(_xlfn.XLOOKUP($A150,Input_Raw!$A:$A,Input_Raw!$CZ:$CZ),"")</f>
        <v/>
      </c>
      <c r="K150" s="201" t="str">
        <f>IFERROR(_xlfn.XLOOKUP($A150,Input_Raw!$A:$A,Input_Raw!$DB:$DB),"")</f>
        <v/>
      </c>
      <c r="L150" s="201" t="str">
        <f>IFERROR(_xlfn.XLOOKUP($A150,Input_Raw!$A:$A,Input_Raw!$DC:$DC),"")</f>
        <v/>
      </c>
      <c r="M150" s="200" t="str">
        <f>IFERROR(_xlfn.XLOOKUP($A150,Input_Raw!$A:$A,Input_Raw!$DF:$DF),"")</f>
        <v/>
      </c>
      <c r="N150" s="200" t="str">
        <f>IFERROR(_xlfn.XLOOKUP($A150,Input_Raw!$A:$A,Input_Raw!$DG:$DG),"")</f>
        <v/>
      </c>
      <c r="O150" s="230" t="str">
        <f>IFERROR(1-(SUMIF(Plant_BD!$B:$B,$A150,Plant_BD!$AL:$AL)/($AA150+SUMIF(Plant_BD!$B:$B,$A150,Plant_BD!$AL:$AL))),"")</f>
        <v/>
      </c>
      <c r="P150" s="230"/>
      <c r="Q150" s="231" t="str">
        <f>IFERROR(1-(SUMIF(Grid_BD!$B:$B,$A150,Grid_BD!$V:$V)/($AA150+SUMIF(Grid_BD!$B:$B,$A150,Grid_BD!$V:$V))),"")</f>
        <v/>
      </c>
      <c r="R150" s="230" t="str">
        <f>IFERROR(1-(SUMIF(Grid_BD!$B:$B,$A150,Grid_BD!$V:$V)/($AA150+SUMIF(Grid_BD!$B:$B,$A150,Grid_BD!$V:$V))),"")</f>
        <v/>
      </c>
      <c r="S150" s="9"/>
      <c r="T150" s="231"/>
      <c r="U150" s="232" t="str">
        <f t="shared" si="11"/>
        <v/>
      </c>
      <c r="V150" s="232" t="str">
        <f>IFERROR(_xlfn.XLOOKUP($A150,Input_Raw!$A:$A,Input_Raw!$FG:$FG),"")</f>
        <v/>
      </c>
      <c r="W150" s="233" t="str">
        <f t="shared" si="12"/>
        <v/>
      </c>
      <c r="X150" s="29" t="str">
        <f>IFERROR(_xlfn.XLOOKUP($A150,Input_Raw!$A:$A,Input_Raw!$DP:$DP),"")</f>
        <v/>
      </c>
      <c r="Y150" s="29" t="str">
        <f>IFERROR(_xlfn.XLOOKUP($A150,Input_Raw!$A:$A,Input_Raw!EW:EW),"")</f>
        <v/>
      </c>
      <c r="Z150" s="29" t="str">
        <f>IFERROR(_xlfn.XLOOKUP($A150,Input_Raw!$A:$A,Input_Raw!EX:EX),"")</f>
        <v/>
      </c>
      <c r="AA150" s="29" t="str">
        <f>IFERROR(_xlfn.XLOOKUP($A150,Input_Raw!$A:$A,Input_Raw!FA:FA),"")</f>
        <v/>
      </c>
      <c r="AB150" s="9" t="str">
        <f>IFERROR(_xlfn.XLOOKUP($A150,Input_Raw!$A:$A,Input_Raw!FD:FD),"")</f>
        <v/>
      </c>
      <c r="AC150" s="185">
        <f>IFERROR(_xlfn.XLOOKUP($D150,'Modelling New'!$D:$D,'Modelling New'!P:P),"")</f>
        <v>3.9838709677419355</v>
      </c>
      <c r="AD150" s="29">
        <f>IFERROR(_xlfn.XLOOKUP($D150,'Modelling New'!$D:$D,'Modelling New'!T:T)*1000,"")</f>
        <v>442502.15737022652</v>
      </c>
      <c r="AE150" s="233">
        <f>IFERROR(_xlfn.XLOOKUP($D150,'Modelling New'!$D:$D,'Modelling New'!O:O),"")</f>
        <v>0.85441089246197577</v>
      </c>
      <c r="AF150" s="233">
        <f>IFERROR(_xlfn.XLOOKUP($D150,'Modelling New'!$D:$D,'Modelling New'!W:W),"")</f>
        <v>0.14182761454173928</v>
      </c>
      <c r="AG150" s="233">
        <f>IFERROR(_xlfn.XLOOKUP($D150,'Modelling New'!$D:$D,'Modelling New'!AE:AE),"")</f>
        <v>0.995</v>
      </c>
      <c r="AH150" s="234">
        <f>IFERROR(_xlfn.XLOOKUP($D150,'Modelling New'!$D:$D,'Modelling New'!AF:AF),"")</f>
        <v>0.995</v>
      </c>
      <c r="AI150" s="9"/>
      <c r="AJ150" s="9"/>
      <c r="AK150" s="258"/>
      <c r="AL150" s="258"/>
      <c r="AM150" s="258"/>
      <c r="AN150" s="235"/>
      <c r="AO150" s="233"/>
      <c r="AP150" s="233"/>
      <c r="AQ150" s="233"/>
      <c r="AR150" s="236">
        <f>_xlfn.XLOOKUP(D150,'Modelling New'!$D:$D,'Modelling New'!$N:$N)</f>
        <v>130</v>
      </c>
      <c r="AS150" s="236" t="str">
        <f t="shared" si="13"/>
        <v/>
      </c>
    </row>
    <row r="151" spans="1:45">
      <c r="A151" s="18">
        <f t="shared" si="14"/>
        <v>45894</v>
      </c>
      <c r="B151" s="29">
        <f>YEAR(Table13[[#This Row],[Date]])+IF(MONTH(Table13[[#This Row],[Date]])&gt;=4,1,0)</f>
        <v>2026</v>
      </c>
      <c r="C151" s="9">
        <f>YEAR(Table13[[#This Row],[Date]])</f>
        <v>2025</v>
      </c>
      <c r="D151" s="229">
        <f>Table13[[#This Row],[Date]]-DAY(Table13[[#This Row],[Date]])+1</f>
        <v>45870</v>
      </c>
      <c r="E151" s="9">
        <f t="shared" si="10"/>
        <v>31</v>
      </c>
      <c r="F151" s="199" t="str">
        <f>IFERROR(_xlfn.XLOOKUP($A151,Input_Raw!$A:$A,Input_Raw!$FC:$FC),"")</f>
        <v/>
      </c>
      <c r="G151" s="185" t="str">
        <f>IFERROR(_xlfn.XLOOKUP($A151,Input_Raw!$A:$A,Input_Raw!$CY:$CY),"")</f>
        <v/>
      </c>
      <c r="H151" s="185" t="str">
        <f>IFERROR(_xlfn.XLOOKUP($A151,Input_Raw!$A:$A,Input_Raw!$DA:$DA),"")</f>
        <v/>
      </c>
      <c r="I151" s="185" t="str">
        <f>IFERROR(_xlfn.XLOOKUP($A151,Input_Raw!$A:$A,Input_Raw!$CX:$CX),"")</f>
        <v/>
      </c>
      <c r="J151" s="185" t="str">
        <f>IFERROR(_xlfn.XLOOKUP($A151,Input_Raw!$A:$A,Input_Raw!$CZ:$CZ),"")</f>
        <v/>
      </c>
      <c r="K151" s="201" t="str">
        <f>IFERROR(_xlfn.XLOOKUP($A151,Input_Raw!$A:$A,Input_Raw!$DB:$DB),"")</f>
        <v/>
      </c>
      <c r="L151" s="201" t="str">
        <f>IFERROR(_xlfn.XLOOKUP($A151,Input_Raw!$A:$A,Input_Raw!$DC:$DC),"")</f>
        <v/>
      </c>
      <c r="M151" s="200" t="str">
        <f>IFERROR(_xlfn.XLOOKUP($A151,Input_Raw!$A:$A,Input_Raw!$DF:$DF),"")</f>
        <v/>
      </c>
      <c r="N151" s="200" t="str">
        <f>IFERROR(_xlfn.XLOOKUP($A151,Input_Raw!$A:$A,Input_Raw!$DG:$DG),"")</f>
        <v/>
      </c>
      <c r="O151" s="230" t="str">
        <f>IFERROR(1-(SUMIF(Plant_BD!$B:$B,$A151,Plant_BD!$AL:$AL)/($AA151+SUMIF(Plant_BD!$B:$B,$A151,Plant_BD!$AL:$AL))),"")</f>
        <v/>
      </c>
      <c r="P151" s="230"/>
      <c r="Q151" s="231" t="str">
        <f>IFERROR(1-(SUMIF(Grid_BD!$B:$B,$A151,Grid_BD!$V:$V)/($AA151+SUMIF(Grid_BD!$B:$B,$A151,Grid_BD!$V:$V))),"")</f>
        <v/>
      </c>
      <c r="R151" s="230" t="str">
        <f>IFERROR(1-(SUMIF(Grid_BD!$B:$B,$A151,Grid_BD!$V:$V)/($AA151+SUMIF(Grid_BD!$B:$B,$A151,Grid_BD!$V:$V))),"")</f>
        <v/>
      </c>
      <c r="S151" s="9"/>
      <c r="T151" s="231"/>
      <c r="U151" s="232" t="str">
        <f t="shared" si="11"/>
        <v/>
      </c>
      <c r="V151" s="232" t="str">
        <f>IFERROR(_xlfn.XLOOKUP($A151,Input_Raw!$A:$A,Input_Raw!$FG:$FG),"")</f>
        <v/>
      </c>
      <c r="W151" s="233" t="str">
        <f t="shared" si="12"/>
        <v/>
      </c>
      <c r="X151" s="29" t="str">
        <f>IFERROR(_xlfn.XLOOKUP($A151,Input_Raw!$A:$A,Input_Raw!$DP:$DP),"")</f>
        <v/>
      </c>
      <c r="Y151" s="29" t="str">
        <f>IFERROR(_xlfn.XLOOKUP($A151,Input_Raw!$A:$A,Input_Raw!EW:EW),"")</f>
        <v/>
      </c>
      <c r="Z151" s="29" t="str">
        <f>IFERROR(_xlfn.XLOOKUP($A151,Input_Raw!$A:$A,Input_Raw!EX:EX),"")</f>
        <v/>
      </c>
      <c r="AA151" s="29" t="str">
        <f>IFERROR(_xlfn.XLOOKUP($A151,Input_Raw!$A:$A,Input_Raw!FA:FA),"")</f>
        <v/>
      </c>
      <c r="AB151" s="9" t="str">
        <f>IFERROR(_xlfn.XLOOKUP($A151,Input_Raw!$A:$A,Input_Raw!FD:FD),"")</f>
        <v/>
      </c>
      <c r="AC151" s="185">
        <f>IFERROR(_xlfn.XLOOKUP($D151,'Modelling New'!$D:$D,'Modelling New'!P:P),"")</f>
        <v>3.9838709677419355</v>
      </c>
      <c r="AD151" s="29">
        <f>IFERROR(_xlfn.XLOOKUP($D151,'Modelling New'!$D:$D,'Modelling New'!T:T)*1000,"")</f>
        <v>442502.15737022652</v>
      </c>
      <c r="AE151" s="233">
        <f>IFERROR(_xlfn.XLOOKUP($D151,'Modelling New'!$D:$D,'Modelling New'!O:O),"")</f>
        <v>0.85441089246197577</v>
      </c>
      <c r="AF151" s="233">
        <f>IFERROR(_xlfn.XLOOKUP($D151,'Modelling New'!$D:$D,'Modelling New'!W:W),"")</f>
        <v>0.14182761454173928</v>
      </c>
      <c r="AG151" s="233">
        <f>IFERROR(_xlfn.XLOOKUP($D151,'Modelling New'!$D:$D,'Modelling New'!AE:AE),"")</f>
        <v>0.995</v>
      </c>
      <c r="AH151" s="234">
        <f>IFERROR(_xlfn.XLOOKUP($D151,'Modelling New'!$D:$D,'Modelling New'!AF:AF),"")</f>
        <v>0.995</v>
      </c>
      <c r="AI151" s="9"/>
      <c r="AJ151" s="9"/>
      <c r="AK151" s="258"/>
      <c r="AL151" s="258"/>
      <c r="AM151" s="258"/>
      <c r="AN151" s="235"/>
      <c r="AO151" s="233"/>
      <c r="AP151" s="233"/>
      <c r="AQ151" s="233"/>
      <c r="AR151" s="236">
        <f>_xlfn.XLOOKUP(D151,'Modelling New'!$D:$D,'Modelling New'!$N:$N)</f>
        <v>130</v>
      </c>
      <c r="AS151" s="236" t="str">
        <f t="shared" si="13"/>
        <v/>
      </c>
    </row>
    <row r="152" spans="1:45">
      <c r="A152" s="18">
        <f t="shared" si="14"/>
        <v>45895</v>
      </c>
      <c r="B152" s="29">
        <f>YEAR(Table13[[#This Row],[Date]])+IF(MONTH(Table13[[#This Row],[Date]])&gt;=4,1,0)</f>
        <v>2026</v>
      </c>
      <c r="C152" s="9">
        <f>YEAR(Table13[[#This Row],[Date]])</f>
        <v>2025</v>
      </c>
      <c r="D152" s="229">
        <f>Table13[[#This Row],[Date]]-DAY(Table13[[#This Row],[Date]])+1</f>
        <v>45870</v>
      </c>
      <c r="E152" s="9">
        <f t="shared" si="10"/>
        <v>31</v>
      </c>
      <c r="F152" s="199" t="str">
        <f>IFERROR(_xlfn.XLOOKUP($A152,Input_Raw!$A:$A,Input_Raw!$FC:$FC),"")</f>
        <v/>
      </c>
      <c r="G152" s="200" t="str">
        <f>IFERROR(_xlfn.XLOOKUP($A152,Input_Raw!$A:$A,Input_Raw!$CY:$CY),"")</f>
        <v/>
      </c>
      <c r="H152" s="200" t="str">
        <f>IFERROR(_xlfn.XLOOKUP($A152,Input_Raw!$A:$A,Input_Raw!$DA:$DA),"")</f>
        <v/>
      </c>
      <c r="I152" s="200" t="str">
        <f>IFERROR(_xlfn.XLOOKUP($A152,Input_Raw!$A:$A,Input_Raw!$CX:$CX),"")</f>
        <v/>
      </c>
      <c r="J152" s="200" t="str">
        <f>IFERROR(_xlfn.XLOOKUP($A152,Input_Raw!$A:$A,Input_Raw!$CZ:$CZ),"")</f>
        <v/>
      </c>
      <c r="K152" s="201" t="str">
        <f>IFERROR(_xlfn.XLOOKUP($A152,Input_Raw!$A:$A,Input_Raw!$DB:$DB),"")</f>
        <v/>
      </c>
      <c r="L152" s="201" t="str">
        <f>IFERROR(_xlfn.XLOOKUP($A152,Input_Raw!$A:$A,Input_Raw!$DC:$DC),"")</f>
        <v/>
      </c>
      <c r="M152" s="200" t="str">
        <f>IFERROR(_xlfn.XLOOKUP($A152,Input_Raw!$A:$A,Input_Raw!$DF:$DF),"")</f>
        <v/>
      </c>
      <c r="N152" s="200" t="str">
        <f>IFERROR(_xlfn.XLOOKUP($A152,Input_Raw!$A:$A,Input_Raw!$DG:$DG),"")</f>
        <v/>
      </c>
      <c r="O152" s="230" t="str">
        <f>IFERROR(1-(SUMIF(Plant_BD!$B:$B,$A152,Plant_BD!$AL:$AL)/($AA152+SUMIF(Plant_BD!$B:$B,$A152,Plant_BD!$AL:$AL))),"")</f>
        <v/>
      </c>
      <c r="P152" s="230"/>
      <c r="Q152" s="231" t="str">
        <f>IFERROR(1-(SUMIF(Grid_BD!$B:$B,$A152,Grid_BD!$V:$V)/($AA152+SUMIF(Grid_BD!$B:$B,$A152,Grid_BD!$V:$V))),"")</f>
        <v/>
      </c>
      <c r="R152" s="230" t="str">
        <f>IFERROR(1-(SUMIF(Grid_BD!$B:$B,$A152,Grid_BD!$V:$V)/($AA152+SUMIF(Grid_BD!$B:$B,$A152,Grid_BD!$V:$V))),"")</f>
        <v/>
      </c>
      <c r="S152" s="9"/>
      <c r="T152" s="231"/>
      <c r="U152" s="232" t="str">
        <f t="shared" si="11"/>
        <v/>
      </c>
      <c r="V152" s="232" t="str">
        <f>IFERROR(_xlfn.XLOOKUP($A152,Input_Raw!$A:$A,Input_Raw!$FG:$FG),"")</f>
        <v/>
      </c>
      <c r="W152" s="233" t="str">
        <f t="shared" si="12"/>
        <v/>
      </c>
      <c r="X152" s="29" t="str">
        <f>IFERROR(_xlfn.XLOOKUP($A152,Input_Raw!$A:$A,Input_Raw!$DP:$DP),"")</f>
        <v/>
      </c>
      <c r="Y152" s="29" t="str">
        <f>IFERROR(_xlfn.XLOOKUP($A152,Input_Raw!$A:$A,Input_Raw!EW:EW),"")</f>
        <v/>
      </c>
      <c r="Z152" s="29" t="str">
        <f>IFERROR(_xlfn.XLOOKUP($A152,Input_Raw!$A:$A,Input_Raw!EX:EX),"")</f>
        <v/>
      </c>
      <c r="AA152" s="29" t="str">
        <f>IFERROR(_xlfn.XLOOKUP($A152,Input_Raw!$A:$A,Input_Raw!FA:FA),"")</f>
        <v/>
      </c>
      <c r="AB152" s="9" t="str">
        <f>IFERROR(_xlfn.XLOOKUP($A152,Input_Raw!$A:$A,Input_Raw!FD:FD),"")</f>
        <v/>
      </c>
      <c r="AC152" s="185">
        <f>IFERROR(_xlfn.XLOOKUP($D152,'Modelling New'!$D:$D,'Modelling New'!P:P),"")</f>
        <v>3.9838709677419355</v>
      </c>
      <c r="AD152" s="29">
        <f>IFERROR(_xlfn.XLOOKUP($D152,'Modelling New'!$D:$D,'Modelling New'!T:T)*1000,"")</f>
        <v>442502.15737022652</v>
      </c>
      <c r="AE152" s="233">
        <f>IFERROR(_xlfn.XLOOKUP($D152,'Modelling New'!$D:$D,'Modelling New'!O:O),"")</f>
        <v>0.85441089246197577</v>
      </c>
      <c r="AF152" s="233">
        <f>IFERROR(_xlfn.XLOOKUP($D152,'Modelling New'!$D:$D,'Modelling New'!W:W),"")</f>
        <v>0.14182761454173928</v>
      </c>
      <c r="AG152" s="233">
        <f>IFERROR(_xlfn.XLOOKUP($D152,'Modelling New'!$D:$D,'Modelling New'!AE:AE),"")</f>
        <v>0.995</v>
      </c>
      <c r="AH152" s="234">
        <f>IFERROR(_xlfn.XLOOKUP($D152,'Modelling New'!$D:$D,'Modelling New'!AF:AF),"")</f>
        <v>0.995</v>
      </c>
      <c r="AI152" s="9"/>
      <c r="AJ152" s="9"/>
      <c r="AK152" s="258"/>
      <c r="AL152" s="258"/>
      <c r="AM152" s="258"/>
      <c r="AN152" s="235"/>
      <c r="AO152" s="233"/>
      <c r="AP152" s="233"/>
      <c r="AQ152" s="233"/>
      <c r="AR152" s="236">
        <f>_xlfn.XLOOKUP(D152,'Modelling New'!$D:$D,'Modelling New'!$N:$N)</f>
        <v>130</v>
      </c>
      <c r="AS152" s="236" t="str">
        <f t="shared" si="13"/>
        <v/>
      </c>
    </row>
    <row r="153" spans="1:45">
      <c r="A153" s="18">
        <f t="shared" si="14"/>
        <v>45896</v>
      </c>
      <c r="B153" s="29">
        <f>YEAR(Table13[[#This Row],[Date]])+IF(MONTH(Table13[[#This Row],[Date]])&gt;=4,1,0)</f>
        <v>2026</v>
      </c>
      <c r="C153" s="9">
        <f>YEAR(Table13[[#This Row],[Date]])</f>
        <v>2025</v>
      </c>
      <c r="D153" s="229">
        <f>Table13[[#This Row],[Date]]-DAY(Table13[[#This Row],[Date]])+1</f>
        <v>45870</v>
      </c>
      <c r="E153" s="9">
        <f t="shared" si="10"/>
        <v>31</v>
      </c>
      <c r="F153" s="199" t="str">
        <f>IFERROR(_xlfn.XLOOKUP($A153,Input_Raw!$A:$A,Input_Raw!$FC:$FC),"")</f>
        <v/>
      </c>
      <c r="G153" s="185" t="str">
        <f>IFERROR(_xlfn.XLOOKUP($A153,Input_Raw!$A:$A,Input_Raw!$CY:$CY),"")</f>
        <v/>
      </c>
      <c r="H153" s="185" t="str">
        <f>IFERROR(_xlfn.XLOOKUP($A153,Input_Raw!$A:$A,Input_Raw!$DA:$DA),"")</f>
        <v/>
      </c>
      <c r="I153" s="185" t="str">
        <f>IFERROR(_xlfn.XLOOKUP($A153,Input_Raw!$A:$A,Input_Raw!$CX:$CX),"")</f>
        <v/>
      </c>
      <c r="J153" s="185" t="str">
        <f>IFERROR(_xlfn.XLOOKUP($A153,Input_Raw!$A:$A,Input_Raw!$CZ:$CZ),"")</f>
        <v/>
      </c>
      <c r="K153" s="201" t="str">
        <f>IFERROR(_xlfn.XLOOKUP($A153,Input_Raw!$A:$A,Input_Raw!$DB:$DB),"")</f>
        <v/>
      </c>
      <c r="L153" s="201" t="str">
        <f>IFERROR(_xlfn.XLOOKUP($A153,Input_Raw!$A:$A,Input_Raw!$DC:$DC),"")</f>
        <v/>
      </c>
      <c r="M153" s="200" t="str">
        <f>IFERROR(_xlfn.XLOOKUP($A153,Input_Raw!$A:$A,Input_Raw!$DF:$DF),"")</f>
        <v/>
      </c>
      <c r="N153" s="200" t="str">
        <f>IFERROR(_xlfn.XLOOKUP($A153,Input_Raw!$A:$A,Input_Raw!$DG:$DG),"")</f>
        <v/>
      </c>
      <c r="O153" s="230" t="str">
        <f>IFERROR(1-(SUMIF(Plant_BD!$B:$B,$A153,Plant_BD!$AL:$AL)/($AA153+SUMIF(Plant_BD!$B:$B,$A153,Plant_BD!$AL:$AL))),"")</f>
        <v/>
      </c>
      <c r="P153" s="230"/>
      <c r="Q153" s="231" t="str">
        <f>IFERROR(1-(SUMIF(Grid_BD!$B:$B,$A153,Grid_BD!$V:$V)/($AA153+SUMIF(Grid_BD!$B:$B,$A153,Grid_BD!$V:$V))),"")</f>
        <v/>
      </c>
      <c r="R153" s="230" t="str">
        <f>IFERROR(1-(SUMIF(Grid_BD!$B:$B,$A153,Grid_BD!$V:$V)/($AA153+SUMIF(Grid_BD!$B:$B,$A153,Grid_BD!$V:$V))),"")</f>
        <v/>
      </c>
      <c r="S153" s="9"/>
      <c r="T153" s="231"/>
      <c r="U153" s="232" t="str">
        <f t="shared" si="11"/>
        <v/>
      </c>
      <c r="V153" s="232" t="str">
        <f>IFERROR(_xlfn.XLOOKUP($A153,Input_Raw!$A:$A,Input_Raw!$FG:$FG),"")</f>
        <v/>
      </c>
      <c r="W153" s="233" t="str">
        <f t="shared" si="12"/>
        <v/>
      </c>
      <c r="X153" s="29" t="str">
        <f>IFERROR(_xlfn.XLOOKUP($A153,Input_Raw!$A:$A,Input_Raw!$DP:$DP),"")</f>
        <v/>
      </c>
      <c r="Y153" s="29" t="str">
        <f>IFERROR(_xlfn.XLOOKUP($A153,Input_Raw!$A:$A,Input_Raw!EW:EW),"")</f>
        <v/>
      </c>
      <c r="Z153" s="29" t="str">
        <f>IFERROR(_xlfn.XLOOKUP($A153,Input_Raw!$A:$A,Input_Raw!EX:EX),"")</f>
        <v/>
      </c>
      <c r="AA153" s="29" t="str">
        <f>IFERROR(_xlfn.XLOOKUP($A153,Input_Raw!$A:$A,Input_Raw!FA:FA),"")</f>
        <v/>
      </c>
      <c r="AB153" s="9" t="str">
        <f>IFERROR(_xlfn.XLOOKUP($A153,Input_Raw!$A:$A,Input_Raw!FD:FD),"")</f>
        <v/>
      </c>
      <c r="AC153" s="185">
        <f>IFERROR(_xlfn.XLOOKUP($D153,'Modelling New'!$D:$D,'Modelling New'!P:P),"")</f>
        <v>3.9838709677419355</v>
      </c>
      <c r="AD153" s="29">
        <f>IFERROR(_xlfn.XLOOKUP($D153,'Modelling New'!$D:$D,'Modelling New'!T:T)*1000,"")</f>
        <v>442502.15737022652</v>
      </c>
      <c r="AE153" s="233">
        <f>IFERROR(_xlfn.XLOOKUP($D153,'Modelling New'!$D:$D,'Modelling New'!O:O),"")</f>
        <v>0.85441089246197577</v>
      </c>
      <c r="AF153" s="233">
        <f>IFERROR(_xlfn.XLOOKUP($D153,'Modelling New'!$D:$D,'Modelling New'!W:W),"")</f>
        <v>0.14182761454173928</v>
      </c>
      <c r="AG153" s="233">
        <f>IFERROR(_xlfn.XLOOKUP($D153,'Modelling New'!$D:$D,'Modelling New'!AE:AE),"")</f>
        <v>0.995</v>
      </c>
      <c r="AH153" s="234">
        <f>IFERROR(_xlfn.XLOOKUP($D153,'Modelling New'!$D:$D,'Modelling New'!AF:AF),"")</f>
        <v>0.995</v>
      </c>
      <c r="AI153" s="9"/>
      <c r="AJ153" s="9"/>
      <c r="AK153" s="258"/>
      <c r="AL153" s="258"/>
      <c r="AM153" s="258"/>
      <c r="AN153" s="235"/>
      <c r="AO153" s="233"/>
      <c r="AP153" s="233"/>
      <c r="AQ153" s="233"/>
      <c r="AR153" s="236">
        <f>_xlfn.XLOOKUP(D153,'Modelling New'!$D:$D,'Modelling New'!$N:$N)</f>
        <v>130</v>
      </c>
      <c r="AS153" s="236" t="str">
        <f t="shared" si="13"/>
        <v/>
      </c>
    </row>
    <row r="154" spans="1:45">
      <c r="A154" s="18">
        <f t="shared" si="14"/>
        <v>45897</v>
      </c>
      <c r="B154" s="29">
        <f>YEAR(Table13[[#This Row],[Date]])+IF(MONTH(Table13[[#This Row],[Date]])&gt;=4,1,0)</f>
        <v>2026</v>
      </c>
      <c r="C154" s="9">
        <f>YEAR(Table13[[#This Row],[Date]])</f>
        <v>2025</v>
      </c>
      <c r="D154" s="229">
        <f>Table13[[#This Row],[Date]]-DAY(Table13[[#This Row],[Date]])+1</f>
        <v>45870</v>
      </c>
      <c r="E154" s="9">
        <f t="shared" si="10"/>
        <v>31</v>
      </c>
      <c r="F154" s="199" t="str">
        <f>IFERROR(_xlfn.XLOOKUP($A154,Input_Raw!$A:$A,Input_Raw!$FC:$FC),"")</f>
        <v/>
      </c>
      <c r="G154" s="200" t="str">
        <f>IFERROR(_xlfn.XLOOKUP($A154,Input_Raw!$A:$A,Input_Raw!$CY:$CY),"")</f>
        <v/>
      </c>
      <c r="H154" s="200" t="str">
        <f>IFERROR(_xlfn.XLOOKUP($A154,Input_Raw!$A:$A,Input_Raw!$DA:$DA),"")</f>
        <v/>
      </c>
      <c r="I154" s="200" t="str">
        <f>IFERROR(_xlfn.XLOOKUP($A154,Input_Raw!$A:$A,Input_Raw!$CX:$CX),"")</f>
        <v/>
      </c>
      <c r="J154" s="200" t="str">
        <f>IFERROR(_xlfn.XLOOKUP($A154,Input_Raw!$A:$A,Input_Raw!$CZ:$CZ),"")</f>
        <v/>
      </c>
      <c r="K154" s="201" t="str">
        <f>IFERROR(_xlfn.XLOOKUP($A154,Input_Raw!$A:$A,Input_Raw!$DB:$DB),"")</f>
        <v/>
      </c>
      <c r="L154" s="201" t="str">
        <f>IFERROR(_xlfn.XLOOKUP($A154,Input_Raw!$A:$A,Input_Raw!$DC:$DC),"")</f>
        <v/>
      </c>
      <c r="M154" s="200" t="str">
        <f>IFERROR(_xlfn.XLOOKUP($A154,Input_Raw!$A:$A,Input_Raw!$DF:$DF),"")</f>
        <v/>
      </c>
      <c r="N154" s="200" t="str">
        <f>IFERROR(_xlfn.XLOOKUP($A154,Input_Raw!$A:$A,Input_Raw!$DG:$DG),"")</f>
        <v/>
      </c>
      <c r="O154" s="230" t="str">
        <f>IFERROR(1-(SUMIF(Plant_BD!$B:$B,$A154,Plant_BD!$AL:$AL)/($AA154+SUMIF(Plant_BD!$B:$B,$A154,Plant_BD!$AL:$AL))),"")</f>
        <v/>
      </c>
      <c r="P154" s="230"/>
      <c r="Q154" s="231" t="str">
        <f>IFERROR(1-(SUMIF(Grid_BD!$B:$B,$A154,Grid_BD!$V:$V)/($AA154+SUMIF(Grid_BD!$B:$B,$A154,Grid_BD!$V:$V))),"")</f>
        <v/>
      </c>
      <c r="R154" s="230" t="str">
        <f>IFERROR(1-(SUMIF(Grid_BD!$B:$B,$A154,Grid_BD!$V:$V)/($AA154+SUMIF(Grid_BD!$B:$B,$A154,Grid_BD!$V:$V))),"")</f>
        <v/>
      </c>
      <c r="S154" s="9"/>
      <c r="T154" s="231"/>
      <c r="U154" s="232" t="str">
        <f t="shared" si="11"/>
        <v/>
      </c>
      <c r="V154" s="232" t="str">
        <f>IFERROR(_xlfn.XLOOKUP($A154,Input_Raw!$A:$A,Input_Raw!$FG:$FG),"")</f>
        <v/>
      </c>
      <c r="W154" s="233" t="str">
        <f t="shared" si="12"/>
        <v/>
      </c>
      <c r="X154" s="29" t="str">
        <f>IFERROR(_xlfn.XLOOKUP($A154,Input_Raw!$A:$A,Input_Raw!$DP:$DP),"")</f>
        <v/>
      </c>
      <c r="Y154" s="29" t="str">
        <f>IFERROR(_xlfn.XLOOKUP($A154,Input_Raw!$A:$A,Input_Raw!EW:EW),"")</f>
        <v/>
      </c>
      <c r="Z154" s="29" t="str">
        <f>IFERROR(_xlfn.XLOOKUP($A154,Input_Raw!$A:$A,Input_Raw!EX:EX),"")</f>
        <v/>
      </c>
      <c r="AA154" s="29" t="str">
        <f>IFERROR(_xlfn.XLOOKUP($A154,Input_Raw!$A:$A,Input_Raw!FA:FA),"")</f>
        <v/>
      </c>
      <c r="AB154" s="9" t="str">
        <f>IFERROR(_xlfn.XLOOKUP($A154,Input_Raw!$A:$A,Input_Raw!FD:FD),"")</f>
        <v/>
      </c>
      <c r="AC154" s="185">
        <f>IFERROR(_xlfn.XLOOKUP($D154,'Modelling New'!$D:$D,'Modelling New'!P:P),"")</f>
        <v>3.9838709677419355</v>
      </c>
      <c r="AD154" s="29">
        <f>IFERROR(_xlfn.XLOOKUP($D154,'Modelling New'!$D:$D,'Modelling New'!T:T)*1000,"")</f>
        <v>442502.15737022652</v>
      </c>
      <c r="AE154" s="233">
        <f>IFERROR(_xlfn.XLOOKUP($D154,'Modelling New'!$D:$D,'Modelling New'!O:O),"")</f>
        <v>0.85441089246197577</v>
      </c>
      <c r="AF154" s="233">
        <f>IFERROR(_xlfn.XLOOKUP($D154,'Modelling New'!$D:$D,'Modelling New'!W:W),"")</f>
        <v>0.14182761454173928</v>
      </c>
      <c r="AG154" s="233">
        <f>IFERROR(_xlfn.XLOOKUP($D154,'Modelling New'!$D:$D,'Modelling New'!AE:AE),"")</f>
        <v>0.995</v>
      </c>
      <c r="AH154" s="234">
        <f>IFERROR(_xlfn.XLOOKUP($D154,'Modelling New'!$D:$D,'Modelling New'!AF:AF),"")</f>
        <v>0.995</v>
      </c>
      <c r="AI154" s="9"/>
      <c r="AJ154" s="9"/>
      <c r="AK154" s="258"/>
      <c r="AL154" s="258"/>
      <c r="AM154" s="258"/>
      <c r="AN154" s="235"/>
      <c r="AO154" s="233"/>
      <c r="AP154" s="233"/>
      <c r="AQ154" s="233"/>
      <c r="AR154" s="236">
        <f>_xlfn.XLOOKUP(D154,'Modelling New'!$D:$D,'Modelling New'!$N:$N)</f>
        <v>130</v>
      </c>
      <c r="AS154" s="236" t="str">
        <f t="shared" si="13"/>
        <v/>
      </c>
    </row>
    <row r="155" spans="1:45">
      <c r="A155" s="18">
        <f t="shared" si="14"/>
        <v>45898</v>
      </c>
      <c r="B155" s="29">
        <f>YEAR(Table13[[#This Row],[Date]])+IF(MONTH(Table13[[#This Row],[Date]])&gt;=4,1,0)</f>
        <v>2026</v>
      </c>
      <c r="C155" s="9">
        <f>YEAR(Table13[[#This Row],[Date]])</f>
        <v>2025</v>
      </c>
      <c r="D155" s="229">
        <f>Table13[[#This Row],[Date]]-DAY(Table13[[#This Row],[Date]])+1</f>
        <v>45870</v>
      </c>
      <c r="E155" s="9">
        <f t="shared" si="10"/>
        <v>31</v>
      </c>
      <c r="F155" s="199" t="str">
        <f>IFERROR(_xlfn.XLOOKUP($A155,Input_Raw!$A:$A,Input_Raw!$FC:$FC),"")</f>
        <v/>
      </c>
      <c r="G155" s="185" t="str">
        <f>IFERROR(_xlfn.XLOOKUP($A155,Input_Raw!$A:$A,Input_Raw!$CY:$CY),"")</f>
        <v/>
      </c>
      <c r="H155" s="185" t="str">
        <f>IFERROR(_xlfn.XLOOKUP($A155,Input_Raw!$A:$A,Input_Raw!$DA:$DA),"")</f>
        <v/>
      </c>
      <c r="I155" s="185" t="str">
        <f>IFERROR(_xlfn.XLOOKUP($A155,Input_Raw!$A:$A,Input_Raw!$CX:$CX),"")</f>
        <v/>
      </c>
      <c r="J155" s="185" t="str">
        <f>IFERROR(_xlfn.XLOOKUP($A155,Input_Raw!$A:$A,Input_Raw!$CZ:$CZ),"")</f>
        <v/>
      </c>
      <c r="K155" s="201" t="str">
        <f>IFERROR(_xlfn.XLOOKUP($A155,Input_Raw!$A:$A,Input_Raw!$DB:$DB),"")</f>
        <v/>
      </c>
      <c r="L155" s="201" t="str">
        <f>IFERROR(_xlfn.XLOOKUP($A155,Input_Raw!$A:$A,Input_Raw!$DC:$DC),"")</f>
        <v/>
      </c>
      <c r="M155" s="200" t="str">
        <f>IFERROR(_xlfn.XLOOKUP($A155,Input_Raw!$A:$A,Input_Raw!$DF:$DF),"")</f>
        <v/>
      </c>
      <c r="N155" s="200" t="str">
        <f>IFERROR(_xlfn.XLOOKUP($A155,Input_Raw!$A:$A,Input_Raw!$DG:$DG),"")</f>
        <v/>
      </c>
      <c r="O155" s="230" t="str">
        <f>IFERROR(1-(SUMIF(Plant_BD!$B:$B,$A155,Plant_BD!$AL:$AL)/($AA155+SUMIF(Plant_BD!$B:$B,$A155,Plant_BD!$AL:$AL))),"")</f>
        <v/>
      </c>
      <c r="P155" s="230"/>
      <c r="Q155" s="231" t="str">
        <f>IFERROR(1-(SUMIF(Grid_BD!$B:$B,$A155,Grid_BD!$V:$V)/($AA155+SUMIF(Grid_BD!$B:$B,$A155,Grid_BD!$V:$V))),"")</f>
        <v/>
      </c>
      <c r="R155" s="230" t="str">
        <f>IFERROR(1-(SUMIF(Grid_BD!$B:$B,$A155,Grid_BD!$V:$V)/($AA155+SUMIF(Grid_BD!$B:$B,$A155,Grid_BD!$V:$V))),"")</f>
        <v/>
      </c>
      <c r="S155" s="9"/>
      <c r="T155" s="231"/>
      <c r="U155" s="232" t="str">
        <f t="shared" si="11"/>
        <v/>
      </c>
      <c r="V155" s="232" t="str">
        <f>IFERROR(_xlfn.XLOOKUP($A155,Input_Raw!$A:$A,Input_Raw!$FG:$FG),"")</f>
        <v/>
      </c>
      <c r="W155" s="233" t="str">
        <f t="shared" si="12"/>
        <v/>
      </c>
      <c r="X155" s="29" t="str">
        <f>IFERROR(_xlfn.XLOOKUP($A155,Input_Raw!$A:$A,Input_Raw!$DP:$DP),"")</f>
        <v/>
      </c>
      <c r="Y155" s="29" t="str">
        <f>IFERROR(_xlfn.XLOOKUP($A155,Input_Raw!$A:$A,Input_Raw!EW:EW),"")</f>
        <v/>
      </c>
      <c r="Z155" s="29" t="str">
        <f>IFERROR(_xlfn.XLOOKUP($A155,Input_Raw!$A:$A,Input_Raw!EX:EX),"")</f>
        <v/>
      </c>
      <c r="AA155" s="29" t="str">
        <f>IFERROR(_xlfn.XLOOKUP($A155,Input_Raw!$A:$A,Input_Raw!FA:FA),"")</f>
        <v/>
      </c>
      <c r="AB155" s="9" t="str">
        <f>IFERROR(_xlfn.XLOOKUP($A155,Input_Raw!$A:$A,Input_Raw!FD:FD),"")</f>
        <v/>
      </c>
      <c r="AC155" s="185">
        <f>IFERROR(_xlfn.XLOOKUP($D155,'Modelling New'!$D:$D,'Modelling New'!P:P),"")</f>
        <v>3.9838709677419355</v>
      </c>
      <c r="AD155" s="29">
        <f>IFERROR(_xlfn.XLOOKUP($D155,'Modelling New'!$D:$D,'Modelling New'!T:T)*1000,"")</f>
        <v>442502.15737022652</v>
      </c>
      <c r="AE155" s="233">
        <f>IFERROR(_xlfn.XLOOKUP($D155,'Modelling New'!$D:$D,'Modelling New'!O:O),"")</f>
        <v>0.85441089246197577</v>
      </c>
      <c r="AF155" s="233">
        <f>IFERROR(_xlfn.XLOOKUP($D155,'Modelling New'!$D:$D,'Modelling New'!W:W),"")</f>
        <v>0.14182761454173928</v>
      </c>
      <c r="AG155" s="233">
        <f>IFERROR(_xlfn.XLOOKUP($D155,'Modelling New'!$D:$D,'Modelling New'!AE:AE),"")</f>
        <v>0.995</v>
      </c>
      <c r="AH155" s="234">
        <f>IFERROR(_xlfn.XLOOKUP($D155,'Modelling New'!$D:$D,'Modelling New'!AF:AF),"")</f>
        <v>0.995</v>
      </c>
      <c r="AI155" s="9"/>
      <c r="AJ155" s="9"/>
      <c r="AK155" s="258"/>
      <c r="AL155" s="258"/>
      <c r="AM155" s="258"/>
      <c r="AN155" s="235"/>
      <c r="AO155" s="233"/>
      <c r="AP155" s="233"/>
      <c r="AQ155" s="233"/>
      <c r="AR155" s="236">
        <f>_xlfn.XLOOKUP(D155,'Modelling New'!$D:$D,'Modelling New'!$N:$N)</f>
        <v>130</v>
      </c>
      <c r="AS155" s="236" t="str">
        <f t="shared" si="13"/>
        <v/>
      </c>
    </row>
    <row r="156" spans="1:45">
      <c r="A156" s="18">
        <f t="shared" si="14"/>
        <v>45899</v>
      </c>
      <c r="B156" s="29">
        <f>YEAR(Table13[[#This Row],[Date]])+IF(MONTH(Table13[[#This Row],[Date]])&gt;=4,1,0)</f>
        <v>2026</v>
      </c>
      <c r="C156" s="9">
        <f>YEAR(Table13[[#This Row],[Date]])</f>
        <v>2025</v>
      </c>
      <c r="D156" s="229">
        <f>Table13[[#This Row],[Date]]-DAY(Table13[[#This Row],[Date]])+1</f>
        <v>45870</v>
      </c>
      <c r="E156" s="9">
        <f t="shared" si="10"/>
        <v>31</v>
      </c>
      <c r="F156" s="199" t="str">
        <f>IFERROR(_xlfn.XLOOKUP($A156,Input_Raw!$A:$A,Input_Raw!$FC:$FC),"")</f>
        <v/>
      </c>
      <c r="G156" s="200" t="str">
        <f>IFERROR(_xlfn.XLOOKUP($A156,Input_Raw!$A:$A,Input_Raw!$CY:$CY),"")</f>
        <v/>
      </c>
      <c r="H156" s="200" t="str">
        <f>IFERROR(_xlfn.XLOOKUP($A156,Input_Raw!$A:$A,Input_Raw!$DA:$DA),"")</f>
        <v/>
      </c>
      <c r="I156" s="200" t="str">
        <f>IFERROR(_xlfn.XLOOKUP($A156,Input_Raw!$A:$A,Input_Raw!$CX:$CX),"")</f>
        <v/>
      </c>
      <c r="J156" s="200" t="str">
        <f>IFERROR(_xlfn.XLOOKUP($A156,Input_Raw!$A:$A,Input_Raw!$CZ:$CZ),"")</f>
        <v/>
      </c>
      <c r="K156" s="201" t="str">
        <f>IFERROR(_xlfn.XLOOKUP($A156,Input_Raw!$A:$A,Input_Raw!$DB:$DB),"")</f>
        <v/>
      </c>
      <c r="L156" s="201" t="str">
        <f>IFERROR(_xlfn.XLOOKUP($A156,Input_Raw!$A:$A,Input_Raw!$DC:$DC),"")</f>
        <v/>
      </c>
      <c r="M156" s="200" t="str">
        <f>IFERROR(_xlfn.XLOOKUP($A156,Input_Raw!$A:$A,Input_Raw!$DF:$DF),"")</f>
        <v/>
      </c>
      <c r="N156" s="200" t="str">
        <f>IFERROR(_xlfn.XLOOKUP($A156,Input_Raw!$A:$A,Input_Raw!$DG:$DG),"")</f>
        <v/>
      </c>
      <c r="O156" s="230" t="str">
        <f>IFERROR(1-(SUMIF(Plant_BD!$B:$B,$A156,Plant_BD!$AL:$AL)/($AA156+SUMIF(Plant_BD!$B:$B,$A156,Plant_BD!$AL:$AL))),"")</f>
        <v/>
      </c>
      <c r="P156" s="230"/>
      <c r="Q156" s="231" t="str">
        <f>IFERROR(1-(SUMIF(Grid_BD!$B:$B,$A156,Grid_BD!$V:$V)/($AA156+SUMIF(Grid_BD!$B:$B,$A156,Grid_BD!$V:$V))),"")</f>
        <v/>
      </c>
      <c r="R156" s="230" t="str">
        <f>IFERROR(1-(SUMIF(Grid_BD!$B:$B,$A156,Grid_BD!$V:$V)/($AA156+SUMIF(Grid_BD!$B:$B,$A156,Grid_BD!$V:$V))),"")</f>
        <v/>
      </c>
      <c r="S156" s="9"/>
      <c r="T156" s="231"/>
      <c r="U156" s="232" t="str">
        <f t="shared" si="11"/>
        <v/>
      </c>
      <c r="V156" s="232" t="str">
        <f>IFERROR(_xlfn.XLOOKUP($A156,Input_Raw!$A:$A,Input_Raw!$FG:$FG),"")</f>
        <v/>
      </c>
      <c r="W156" s="233" t="str">
        <f t="shared" si="12"/>
        <v/>
      </c>
      <c r="X156" s="29" t="str">
        <f>IFERROR(_xlfn.XLOOKUP($A156,Input_Raw!$A:$A,Input_Raw!$DP:$DP),"")</f>
        <v/>
      </c>
      <c r="Y156" s="29" t="str">
        <f>IFERROR(_xlfn.XLOOKUP($A156,Input_Raw!$A:$A,Input_Raw!EW:EW),"")</f>
        <v/>
      </c>
      <c r="Z156" s="29" t="str">
        <f>IFERROR(_xlfn.XLOOKUP($A156,Input_Raw!$A:$A,Input_Raw!EX:EX),"")</f>
        <v/>
      </c>
      <c r="AA156" s="29" t="str">
        <f>IFERROR(_xlfn.XLOOKUP($A156,Input_Raw!$A:$A,Input_Raw!FA:FA),"")</f>
        <v/>
      </c>
      <c r="AB156" s="9" t="str">
        <f>IFERROR(_xlfn.XLOOKUP($A156,Input_Raw!$A:$A,Input_Raw!FD:FD),"")</f>
        <v/>
      </c>
      <c r="AC156" s="185">
        <f>IFERROR(_xlfn.XLOOKUP($D156,'Modelling New'!$D:$D,'Modelling New'!P:P),"")</f>
        <v>3.9838709677419355</v>
      </c>
      <c r="AD156" s="29">
        <f>IFERROR(_xlfn.XLOOKUP($D156,'Modelling New'!$D:$D,'Modelling New'!T:T)*1000,"")</f>
        <v>442502.15737022652</v>
      </c>
      <c r="AE156" s="233">
        <f>IFERROR(_xlfn.XLOOKUP($D156,'Modelling New'!$D:$D,'Modelling New'!O:O),"")</f>
        <v>0.85441089246197577</v>
      </c>
      <c r="AF156" s="233">
        <f>IFERROR(_xlfn.XLOOKUP($D156,'Modelling New'!$D:$D,'Modelling New'!W:W),"")</f>
        <v>0.14182761454173928</v>
      </c>
      <c r="AG156" s="233">
        <f>IFERROR(_xlfn.XLOOKUP($D156,'Modelling New'!$D:$D,'Modelling New'!AE:AE),"")</f>
        <v>0.995</v>
      </c>
      <c r="AH156" s="234">
        <f>IFERROR(_xlfn.XLOOKUP($D156,'Modelling New'!$D:$D,'Modelling New'!AF:AF),"")</f>
        <v>0.995</v>
      </c>
      <c r="AI156" s="9"/>
      <c r="AJ156" s="9"/>
      <c r="AK156" s="258"/>
      <c r="AL156" s="258"/>
      <c r="AM156" s="258"/>
      <c r="AN156" s="235"/>
      <c r="AO156" s="233"/>
      <c r="AP156" s="233"/>
      <c r="AQ156" s="233"/>
      <c r="AR156" s="236">
        <f>_xlfn.XLOOKUP(D156,'Modelling New'!$D:$D,'Modelling New'!$N:$N)</f>
        <v>130</v>
      </c>
      <c r="AS156" s="236" t="str">
        <f t="shared" si="13"/>
        <v/>
      </c>
    </row>
    <row r="157" spans="1:45">
      <c r="A157" s="18">
        <f t="shared" si="14"/>
        <v>45900</v>
      </c>
      <c r="B157" s="29">
        <f>YEAR(Table13[[#This Row],[Date]])+IF(MONTH(Table13[[#This Row],[Date]])&gt;=4,1,0)</f>
        <v>2026</v>
      </c>
      <c r="C157" s="9">
        <f>YEAR(Table13[[#This Row],[Date]])</f>
        <v>2025</v>
      </c>
      <c r="D157" s="229">
        <f>Table13[[#This Row],[Date]]-DAY(Table13[[#This Row],[Date]])+1</f>
        <v>45870</v>
      </c>
      <c r="E157" s="9">
        <f t="shared" si="10"/>
        <v>31</v>
      </c>
      <c r="F157" s="199" t="str">
        <f>IFERROR(_xlfn.XLOOKUP($A157,Input_Raw!$A:$A,Input_Raw!$FC:$FC),"")</f>
        <v/>
      </c>
      <c r="G157" s="185" t="str">
        <f>IFERROR(_xlfn.XLOOKUP($A157,Input_Raw!$A:$A,Input_Raw!$CY:$CY),"")</f>
        <v/>
      </c>
      <c r="H157" s="185" t="str">
        <f>IFERROR(_xlfn.XLOOKUP($A157,Input_Raw!$A:$A,Input_Raw!$DA:$DA),"")</f>
        <v/>
      </c>
      <c r="I157" s="185" t="str">
        <f>IFERROR(_xlfn.XLOOKUP($A157,Input_Raw!$A:$A,Input_Raw!$CX:$CX),"")</f>
        <v/>
      </c>
      <c r="J157" s="185" t="str">
        <f>IFERROR(_xlfn.XLOOKUP($A157,Input_Raw!$A:$A,Input_Raw!$CZ:$CZ),"")</f>
        <v/>
      </c>
      <c r="K157" s="201" t="str">
        <f>IFERROR(_xlfn.XLOOKUP($A157,Input_Raw!$A:$A,Input_Raw!$DB:$DB),"")</f>
        <v/>
      </c>
      <c r="L157" s="201" t="str">
        <f>IFERROR(_xlfn.XLOOKUP($A157,Input_Raw!$A:$A,Input_Raw!$DC:$DC),"")</f>
        <v/>
      </c>
      <c r="M157" s="200" t="str">
        <f>IFERROR(_xlfn.XLOOKUP($A157,Input_Raw!$A:$A,Input_Raw!$DF:$DF),"")</f>
        <v/>
      </c>
      <c r="N157" s="200" t="str">
        <f>IFERROR(_xlfn.XLOOKUP($A157,Input_Raw!$A:$A,Input_Raw!$DG:$DG),"")</f>
        <v/>
      </c>
      <c r="O157" s="230" t="str">
        <f>IFERROR(1-(SUMIF(Plant_BD!$B:$B,$A157,Plant_BD!$AL:$AL)/($AA157+SUMIF(Plant_BD!$B:$B,$A157,Plant_BD!$AL:$AL))),"")</f>
        <v/>
      </c>
      <c r="P157" s="230"/>
      <c r="Q157" s="231" t="str">
        <f>IFERROR(1-(SUMIF(Grid_BD!$B:$B,$A157,Grid_BD!$V:$V)/($AA157+SUMIF(Grid_BD!$B:$B,$A157,Grid_BD!$V:$V))),"")</f>
        <v/>
      </c>
      <c r="R157" s="230" t="str">
        <f>IFERROR(1-(SUMIF(Grid_BD!$B:$B,$A157,Grid_BD!$V:$V)/($AA157+SUMIF(Grid_BD!$B:$B,$A157,Grid_BD!$V:$V))),"")</f>
        <v/>
      </c>
      <c r="S157" s="9"/>
      <c r="T157" s="231"/>
      <c r="U157" s="232" t="str">
        <f t="shared" si="11"/>
        <v/>
      </c>
      <c r="V157" s="232" t="str">
        <f>IFERROR(_xlfn.XLOOKUP($A157,Input_Raw!$A:$A,Input_Raw!$FG:$FG),"")</f>
        <v/>
      </c>
      <c r="W157" s="233" t="str">
        <f t="shared" si="12"/>
        <v/>
      </c>
      <c r="X157" s="29" t="str">
        <f>IFERROR(_xlfn.XLOOKUP($A157,Input_Raw!$A:$A,Input_Raw!$DP:$DP),"")</f>
        <v/>
      </c>
      <c r="Y157" s="29" t="str">
        <f>IFERROR(_xlfn.XLOOKUP($A157,Input_Raw!$A:$A,Input_Raw!EW:EW),"")</f>
        <v/>
      </c>
      <c r="Z157" s="29" t="str">
        <f>IFERROR(_xlfn.XLOOKUP($A157,Input_Raw!$A:$A,Input_Raw!EX:EX),"")</f>
        <v/>
      </c>
      <c r="AA157" s="29" t="str">
        <f>IFERROR(_xlfn.XLOOKUP($A157,Input_Raw!$A:$A,Input_Raw!FA:FA),"")</f>
        <v/>
      </c>
      <c r="AB157" s="9" t="str">
        <f>IFERROR(_xlfn.XLOOKUP($A157,Input_Raw!$A:$A,Input_Raw!FD:FD),"")</f>
        <v/>
      </c>
      <c r="AC157" s="185">
        <f>IFERROR(_xlfn.XLOOKUP($D157,'Modelling New'!$D:$D,'Modelling New'!P:P),"")</f>
        <v>3.9838709677419355</v>
      </c>
      <c r="AD157" s="29">
        <f>IFERROR(_xlfn.XLOOKUP($D157,'Modelling New'!$D:$D,'Modelling New'!T:T)*1000,"")</f>
        <v>442502.15737022652</v>
      </c>
      <c r="AE157" s="233">
        <f>IFERROR(_xlfn.XLOOKUP($D157,'Modelling New'!$D:$D,'Modelling New'!O:O),"")</f>
        <v>0.85441089246197577</v>
      </c>
      <c r="AF157" s="233">
        <f>IFERROR(_xlfn.XLOOKUP($D157,'Modelling New'!$D:$D,'Modelling New'!W:W),"")</f>
        <v>0.14182761454173928</v>
      </c>
      <c r="AG157" s="233">
        <f>IFERROR(_xlfn.XLOOKUP($D157,'Modelling New'!$D:$D,'Modelling New'!AE:AE),"")</f>
        <v>0.995</v>
      </c>
      <c r="AH157" s="234">
        <f>IFERROR(_xlfn.XLOOKUP($D157,'Modelling New'!$D:$D,'Modelling New'!AF:AF),"")</f>
        <v>0.995</v>
      </c>
      <c r="AI157" s="9"/>
      <c r="AJ157" s="9"/>
      <c r="AK157" s="258"/>
      <c r="AL157" s="258"/>
      <c r="AM157" s="258"/>
      <c r="AN157" s="235"/>
      <c r="AO157" s="233"/>
      <c r="AP157" s="233"/>
      <c r="AQ157" s="233"/>
      <c r="AR157" s="236">
        <f>_xlfn.XLOOKUP(D157,'Modelling New'!$D:$D,'Modelling New'!$N:$N)</f>
        <v>130</v>
      </c>
      <c r="AS157" s="236" t="str">
        <f t="shared" si="13"/>
        <v/>
      </c>
    </row>
    <row r="158" spans="1:45">
      <c r="A158" s="18">
        <f t="shared" si="14"/>
        <v>45901</v>
      </c>
      <c r="B158" s="29">
        <f>YEAR(Table13[[#This Row],[Date]])+IF(MONTH(Table13[[#This Row],[Date]])&gt;=4,1,0)</f>
        <v>2026</v>
      </c>
      <c r="C158" s="9">
        <f>YEAR(Table13[[#This Row],[Date]])</f>
        <v>2025</v>
      </c>
      <c r="D158" s="229">
        <f>Table13[[#This Row],[Date]]-DAY(Table13[[#This Row],[Date]])+1</f>
        <v>45901</v>
      </c>
      <c r="E158" s="9">
        <f t="shared" si="10"/>
        <v>30</v>
      </c>
      <c r="F158" s="199" t="str">
        <f>IFERROR(_xlfn.XLOOKUP($A158,Input_Raw!$A:$A,Input_Raw!$FC:$FC),"")</f>
        <v/>
      </c>
      <c r="G158" s="200" t="str">
        <f>IFERROR(_xlfn.XLOOKUP($A158,Input_Raw!$A:$A,Input_Raw!$CY:$CY),"")</f>
        <v/>
      </c>
      <c r="H158" s="200" t="str">
        <f>IFERROR(_xlfn.XLOOKUP($A158,Input_Raw!$A:$A,Input_Raw!$DA:$DA),"")</f>
        <v/>
      </c>
      <c r="I158" s="200" t="str">
        <f>IFERROR(_xlfn.XLOOKUP($A158,Input_Raw!$A:$A,Input_Raw!$CX:$CX),"")</f>
        <v/>
      </c>
      <c r="J158" s="200" t="str">
        <f>IFERROR(_xlfn.XLOOKUP($A158,Input_Raw!$A:$A,Input_Raw!$CZ:$CZ),"")</f>
        <v/>
      </c>
      <c r="K158" s="201" t="str">
        <f>IFERROR(_xlfn.XLOOKUP($A158,Input_Raw!$A:$A,Input_Raw!$DB:$DB),"")</f>
        <v/>
      </c>
      <c r="L158" s="201" t="str">
        <f>IFERROR(_xlfn.XLOOKUP($A158,Input_Raw!$A:$A,Input_Raw!$DC:$DC),"")</f>
        <v/>
      </c>
      <c r="M158" s="200" t="str">
        <f>IFERROR(_xlfn.XLOOKUP($A158,Input_Raw!$A:$A,Input_Raw!$DF:$DF),"")</f>
        <v/>
      </c>
      <c r="N158" s="200" t="str">
        <f>IFERROR(_xlfn.XLOOKUP($A158,Input_Raw!$A:$A,Input_Raw!$DG:$DG),"")</f>
        <v/>
      </c>
      <c r="O158" s="230" t="str">
        <f>IFERROR(1-(SUMIF(Plant_BD!$B:$B,$A158,Plant_BD!$AL:$AL)/($AA158+SUMIF(Plant_BD!$B:$B,$A158,Plant_BD!$AL:$AL))),"")</f>
        <v/>
      </c>
      <c r="P158" s="230"/>
      <c r="Q158" s="231" t="str">
        <f>IFERROR(1-(SUMIF(Grid_BD!$B:$B,$A158,Grid_BD!$V:$V)/($AA158+SUMIF(Grid_BD!$B:$B,$A158,Grid_BD!$V:$V))),"")</f>
        <v/>
      </c>
      <c r="R158" s="230" t="str">
        <f>IFERROR(1-(SUMIF(Grid_BD!$B:$B,$A158,Grid_BD!$V:$V)/($AA158+SUMIF(Grid_BD!$B:$B,$A158,Grid_BD!$V:$V))),"")</f>
        <v/>
      </c>
      <c r="S158" s="9"/>
      <c r="T158" s="231"/>
      <c r="U158" s="232" t="str">
        <f t="shared" si="11"/>
        <v/>
      </c>
      <c r="V158" s="232" t="str">
        <f>IFERROR(_xlfn.XLOOKUP($A158,Input_Raw!$A:$A,Input_Raw!$FG:$FG),"")</f>
        <v/>
      </c>
      <c r="W158" s="233" t="str">
        <f t="shared" si="12"/>
        <v/>
      </c>
      <c r="X158" s="29" t="str">
        <f>IFERROR(_xlfn.XLOOKUP($A158,Input_Raw!$A:$A,Input_Raw!$DP:$DP),"")</f>
        <v/>
      </c>
      <c r="Y158" s="29" t="str">
        <f>IFERROR(_xlfn.XLOOKUP($A158,Input_Raw!$A:$A,Input_Raw!EW:EW),"")</f>
        <v/>
      </c>
      <c r="Z158" s="29" t="str">
        <f>IFERROR(_xlfn.XLOOKUP($A158,Input_Raw!$A:$A,Input_Raw!EX:EX),"")</f>
        <v/>
      </c>
      <c r="AA158" s="29" t="str">
        <f>IFERROR(_xlfn.XLOOKUP($A158,Input_Raw!$A:$A,Input_Raw!FA:FA),"")</f>
        <v/>
      </c>
      <c r="AB158" s="9" t="str">
        <f>IFERROR(_xlfn.XLOOKUP($A158,Input_Raw!$A:$A,Input_Raw!FD:FD),"")</f>
        <v/>
      </c>
      <c r="AC158" s="185">
        <f>IFERROR(_xlfn.XLOOKUP($D158,'Modelling New'!$D:$D,'Modelling New'!P:P),"")</f>
        <v>5.0166666666666666</v>
      </c>
      <c r="AD158" s="29">
        <f>IFERROR(_xlfn.XLOOKUP($D158,'Modelling New'!$D:$D,'Modelling New'!T:T)*1000,"")</f>
        <v>549869.32441732171</v>
      </c>
      <c r="AE158" s="233">
        <f>IFERROR(_xlfn.XLOOKUP($D158,'Modelling New'!$D:$D,'Modelling New'!O:O),"")</f>
        <v>0.84314233235469738</v>
      </c>
      <c r="AF158" s="233">
        <f>IFERROR(_xlfn.XLOOKUP($D158,'Modelling New'!$D:$D,'Modelling New'!W:W),"")</f>
        <v>0.17624016808247492</v>
      </c>
      <c r="AG158" s="233">
        <f>IFERROR(_xlfn.XLOOKUP($D158,'Modelling New'!$D:$D,'Modelling New'!AE:AE),"")</f>
        <v>0.995</v>
      </c>
      <c r="AH158" s="234">
        <f>IFERROR(_xlfn.XLOOKUP($D158,'Modelling New'!$D:$D,'Modelling New'!AF:AF),"")</f>
        <v>0.995</v>
      </c>
      <c r="AI158" s="9"/>
      <c r="AJ158" s="9"/>
      <c r="AK158" s="258"/>
      <c r="AL158" s="258"/>
      <c r="AM158" s="258"/>
      <c r="AN158" s="235"/>
      <c r="AO158" s="233"/>
      <c r="AP158" s="233"/>
      <c r="AQ158" s="233"/>
      <c r="AR158" s="236">
        <f>_xlfn.XLOOKUP(D158,'Modelling New'!$D:$D,'Modelling New'!$N:$N)</f>
        <v>130</v>
      </c>
      <c r="AS158" s="236" t="str">
        <f t="shared" si="13"/>
        <v/>
      </c>
    </row>
    <row r="159" spans="1:45">
      <c r="A159" s="18">
        <f t="shared" si="14"/>
        <v>45902</v>
      </c>
      <c r="B159" s="29">
        <f>YEAR(Table13[[#This Row],[Date]])+IF(MONTH(Table13[[#This Row],[Date]])&gt;=4,1,0)</f>
        <v>2026</v>
      </c>
      <c r="C159" s="9">
        <f>YEAR(Table13[[#This Row],[Date]])</f>
        <v>2025</v>
      </c>
      <c r="D159" s="229">
        <f>Table13[[#This Row],[Date]]-DAY(Table13[[#This Row],[Date]])+1</f>
        <v>45901</v>
      </c>
      <c r="E159" s="9">
        <f t="shared" si="10"/>
        <v>30</v>
      </c>
      <c r="F159" s="199" t="str">
        <f>IFERROR(_xlfn.XLOOKUP($A159,Input_Raw!$A:$A,Input_Raw!$FC:$FC),"")</f>
        <v/>
      </c>
      <c r="G159" s="185" t="str">
        <f>IFERROR(_xlfn.XLOOKUP($A159,Input_Raw!$A:$A,Input_Raw!$CY:$CY),"")</f>
        <v/>
      </c>
      <c r="H159" s="185" t="str">
        <f>IFERROR(_xlfn.XLOOKUP($A159,Input_Raw!$A:$A,Input_Raw!$DA:$DA),"")</f>
        <v/>
      </c>
      <c r="I159" s="185" t="str">
        <f>IFERROR(_xlfn.XLOOKUP($A159,Input_Raw!$A:$A,Input_Raw!$CX:$CX),"")</f>
        <v/>
      </c>
      <c r="J159" s="185" t="str">
        <f>IFERROR(_xlfn.XLOOKUP($A159,Input_Raw!$A:$A,Input_Raw!$CZ:$CZ),"")</f>
        <v/>
      </c>
      <c r="K159" s="201" t="str">
        <f>IFERROR(_xlfn.XLOOKUP($A159,Input_Raw!$A:$A,Input_Raw!$DB:$DB),"")</f>
        <v/>
      </c>
      <c r="L159" s="201" t="str">
        <f>IFERROR(_xlfn.XLOOKUP($A159,Input_Raw!$A:$A,Input_Raw!$DC:$DC),"")</f>
        <v/>
      </c>
      <c r="M159" s="200" t="str">
        <f>IFERROR(_xlfn.XLOOKUP($A159,Input_Raw!$A:$A,Input_Raw!$DF:$DF),"")</f>
        <v/>
      </c>
      <c r="N159" s="200" t="str">
        <f>IFERROR(_xlfn.XLOOKUP($A159,Input_Raw!$A:$A,Input_Raw!$DG:$DG),"")</f>
        <v/>
      </c>
      <c r="O159" s="230" t="str">
        <f>IFERROR(1-(SUMIF(Plant_BD!$B:$B,$A159,Plant_BD!$AL:$AL)/($AA159+SUMIF(Plant_BD!$B:$B,$A159,Plant_BD!$AL:$AL))),"")</f>
        <v/>
      </c>
      <c r="P159" s="230"/>
      <c r="Q159" s="231" t="str">
        <f>IFERROR(1-(SUMIF(Grid_BD!$B:$B,$A159,Grid_BD!$V:$V)/($AA159+SUMIF(Grid_BD!$B:$B,$A159,Grid_BD!$V:$V))),"")</f>
        <v/>
      </c>
      <c r="R159" s="230" t="str">
        <f>IFERROR(1-(SUMIF(Grid_BD!$B:$B,$A159,Grid_BD!$V:$V)/($AA159+SUMIF(Grid_BD!$B:$B,$A159,Grid_BD!$V:$V))),"")</f>
        <v/>
      </c>
      <c r="S159" s="9"/>
      <c r="T159" s="231"/>
      <c r="U159" s="232" t="str">
        <f t="shared" si="11"/>
        <v/>
      </c>
      <c r="V159" s="232" t="str">
        <f>IFERROR(_xlfn.XLOOKUP($A159,Input_Raw!$A:$A,Input_Raw!$FG:$FG),"")</f>
        <v/>
      </c>
      <c r="W159" s="233" t="str">
        <f t="shared" si="12"/>
        <v/>
      </c>
      <c r="X159" s="29" t="str">
        <f>IFERROR(_xlfn.XLOOKUP($A159,Input_Raw!$A:$A,Input_Raw!$DP:$DP),"")</f>
        <v/>
      </c>
      <c r="Y159" s="29" t="str">
        <f>IFERROR(_xlfn.XLOOKUP($A159,Input_Raw!$A:$A,Input_Raw!EW:EW),"")</f>
        <v/>
      </c>
      <c r="Z159" s="29" t="str">
        <f>IFERROR(_xlfn.XLOOKUP($A159,Input_Raw!$A:$A,Input_Raw!EX:EX),"")</f>
        <v/>
      </c>
      <c r="AA159" s="29" t="str">
        <f>IFERROR(_xlfn.XLOOKUP($A159,Input_Raw!$A:$A,Input_Raw!FA:FA),"")</f>
        <v/>
      </c>
      <c r="AB159" s="9" t="str">
        <f>IFERROR(_xlfn.XLOOKUP($A159,Input_Raw!$A:$A,Input_Raw!FD:FD),"")</f>
        <v/>
      </c>
      <c r="AC159" s="185">
        <f>IFERROR(_xlfn.XLOOKUP($D159,'Modelling New'!$D:$D,'Modelling New'!P:P),"")</f>
        <v>5.0166666666666666</v>
      </c>
      <c r="AD159" s="29">
        <f>IFERROR(_xlfn.XLOOKUP($D159,'Modelling New'!$D:$D,'Modelling New'!T:T)*1000,"")</f>
        <v>549869.32441732171</v>
      </c>
      <c r="AE159" s="233">
        <f>IFERROR(_xlfn.XLOOKUP($D159,'Modelling New'!$D:$D,'Modelling New'!O:O),"")</f>
        <v>0.84314233235469738</v>
      </c>
      <c r="AF159" s="233">
        <f>IFERROR(_xlfn.XLOOKUP($D159,'Modelling New'!$D:$D,'Modelling New'!W:W),"")</f>
        <v>0.17624016808247492</v>
      </c>
      <c r="AG159" s="233">
        <f>IFERROR(_xlfn.XLOOKUP($D159,'Modelling New'!$D:$D,'Modelling New'!AE:AE),"")</f>
        <v>0.995</v>
      </c>
      <c r="AH159" s="234">
        <f>IFERROR(_xlfn.XLOOKUP($D159,'Modelling New'!$D:$D,'Modelling New'!AF:AF),"")</f>
        <v>0.995</v>
      </c>
      <c r="AI159" s="9"/>
      <c r="AJ159" s="9"/>
      <c r="AK159" s="258"/>
      <c r="AL159" s="258"/>
      <c r="AM159" s="258"/>
      <c r="AN159" s="235"/>
      <c r="AO159" s="233"/>
      <c r="AP159" s="233"/>
      <c r="AQ159" s="233"/>
      <c r="AR159" s="236">
        <f>_xlfn.XLOOKUP(D159,'Modelling New'!$D:$D,'Modelling New'!$N:$N)</f>
        <v>130</v>
      </c>
      <c r="AS159" s="236" t="str">
        <f t="shared" si="13"/>
        <v/>
      </c>
    </row>
    <row r="160" spans="1:45">
      <c r="A160" s="18">
        <f t="shared" si="14"/>
        <v>45903</v>
      </c>
      <c r="B160" s="29">
        <f>YEAR(Table13[[#This Row],[Date]])+IF(MONTH(Table13[[#This Row],[Date]])&gt;=4,1,0)</f>
        <v>2026</v>
      </c>
      <c r="C160" s="9">
        <f>YEAR(Table13[[#This Row],[Date]])</f>
        <v>2025</v>
      </c>
      <c r="D160" s="229">
        <f>Table13[[#This Row],[Date]]-DAY(Table13[[#This Row],[Date]])+1</f>
        <v>45901</v>
      </c>
      <c r="E160" s="9">
        <f t="shared" si="10"/>
        <v>30</v>
      </c>
      <c r="F160" s="199" t="str">
        <f>IFERROR(_xlfn.XLOOKUP($A160,Input_Raw!$A:$A,Input_Raw!$FC:$FC),"")</f>
        <v/>
      </c>
      <c r="G160" s="200" t="str">
        <f>IFERROR(_xlfn.XLOOKUP($A160,Input_Raw!$A:$A,Input_Raw!$CY:$CY),"")</f>
        <v/>
      </c>
      <c r="H160" s="200" t="str">
        <f>IFERROR(_xlfn.XLOOKUP($A160,Input_Raw!$A:$A,Input_Raw!$DA:$DA),"")</f>
        <v/>
      </c>
      <c r="I160" s="200" t="str">
        <f>IFERROR(_xlfn.XLOOKUP($A160,Input_Raw!$A:$A,Input_Raw!$CX:$CX),"")</f>
        <v/>
      </c>
      <c r="J160" s="200" t="str">
        <f>IFERROR(_xlfn.XLOOKUP($A160,Input_Raw!$A:$A,Input_Raw!$CZ:$CZ),"")</f>
        <v/>
      </c>
      <c r="K160" s="201" t="str">
        <f>IFERROR(_xlfn.XLOOKUP($A160,Input_Raw!$A:$A,Input_Raw!$DB:$DB),"")</f>
        <v/>
      </c>
      <c r="L160" s="201" t="str">
        <f>IFERROR(_xlfn.XLOOKUP($A160,Input_Raw!$A:$A,Input_Raw!$DC:$DC),"")</f>
        <v/>
      </c>
      <c r="M160" s="200" t="str">
        <f>IFERROR(_xlfn.XLOOKUP($A160,Input_Raw!$A:$A,Input_Raw!$DF:$DF),"")</f>
        <v/>
      </c>
      <c r="N160" s="200" t="str">
        <f>IFERROR(_xlfn.XLOOKUP($A160,Input_Raw!$A:$A,Input_Raw!$DG:$DG),"")</f>
        <v/>
      </c>
      <c r="O160" s="230" t="str">
        <f>IFERROR(1-(SUMIF(Plant_BD!$B:$B,$A160,Plant_BD!$AL:$AL)/($AA160+SUMIF(Plant_BD!$B:$B,$A160,Plant_BD!$AL:$AL))),"")</f>
        <v/>
      </c>
      <c r="P160" s="230"/>
      <c r="Q160" s="231" t="str">
        <f>IFERROR(1-(SUMIF(Grid_BD!$B:$B,$A160,Grid_BD!$V:$V)/($AA160+SUMIF(Grid_BD!$B:$B,$A160,Grid_BD!$V:$V))),"")</f>
        <v/>
      </c>
      <c r="R160" s="230" t="str">
        <f>IFERROR(1-(SUMIF(Grid_BD!$B:$B,$A160,Grid_BD!$V:$V)/($AA160+SUMIF(Grid_BD!$B:$B,$A160,Grid_BD!$V:$V))),"")</f>
        <v/>
      </c>
      <c r="S160" s="9"/>
      <c r="T160" s="231"/>
      <c r="U160" s="232" t="str">
        <f t="shared" si="11"/>
        <v/>
      </c>
      <c r="V160" s="232" t="str">
        <f>IFERROR(_xlfn.XLOOKUP($A160,Input_Raw!$A:$A,Input_Raw!$FG:$FG),"")</f>
        <v/>
      </c>
      <c r="W160" s="233" t="str">
        <f t="shared" si="12"/>
        <v/>
      </c>
      <c r="X160" s="29" t="str">
        <f>IFERROR(_xlfn.XLOOKUP($A160,Input_Raw!$A:$A,Input_Raw!$DP:$DP),"")</f>
        <v/>
      </c>
      <c r="Y160" s="29" t="str">
        <f>IFERROR(_xlfn.XLOOKUP($A160,Input_Raw!$A:$A,Input_Raw!EW:EW),"")</f>
        <v/>
      </c>
      <c r="Z160" s="29" t="str">
        <f>IFERROR(_xlfn.XLOOKUP($A160,Input_Raw!$A:$A,Input_Raw!EX:EX),"")</f>
        <v/>
      </c>
      <c r="AA160" s="29" t="str">
        <f>IFERROR(_xlfn.XLOOKUP($A160,Input_Raw!$A:$A,Input_Raw!FA:FA),"")</f>
        <v/>
      </c>
      <c r="AB160" s="9" t="str">
        <f>IFERROR(_xlfn.XLOOKUP($A160,Input_Raw!$A:$A,Input_Raw!FD:FD),"")</f>
        <v/>
      </c>
      <c r="AC160" s="185">
        <f>IFERROR(_xlfn.XLOOKUP($D160,'Modelling New'!$D:$D,'Modelling New'!P:P),"")</f>
        <v>5.0166666666666666</v>
      </c>
      <c r="AD160" s="29">
        <f>IFERROR(_xlfn.XLOOKUP($D160,'Modelling New'!$D:$D,'Modelling New'!T:T)*1000,"")</f>
        <v>549869.32441732171</v>
      </c>
      <c r="AE160" s="233">
        <f>IFERROR(_xlfn.XLOOKUP($D160,'Modelling New'!$D:$D,'Modelling New'!O:O),"")</f>
        <v>0.84314233235469738</v>
      </c>
      <c r="AF160" s="233">
        <f>IFERROR(_xlfn.XLOOKUP($D160,'Modelling New'!$D:$D,'Modelling New'!W:W),"")</f>
        <v>0.17624016808247492</v>
      </c>
      <c r="AG160" s="233">
        <f>IFERROR(_xlfn.XLOOKUP($D160,'Modelling New'!$D:$D,'Modelling New'!AE:AE),"")</f>
        <v>0.995</v>
      </c>
      <c r="AH160" s="234">
        <f>IFERROR(_xlfn.XLOOKUP($D160,'Modelling New'!$D:$D,'Modelling New'!AF:AF),"")</f>
        <v>0.995</v>
      </c>
      <c r="AI160" s="9"/>
      <c r="AJ160" s="9"/>
      <c r="AK160" s="258"/>
      <c r="AL160" s="258"/>
      <c r="AM160" s="258"/>
      <c r="AN160" s="235"/>
      <c r="AO160" s="233"/>
      <c r="AP160" s="233"/>
      <c r="AQ160" s="233"/>
      <c r="AR160" s="236">
        <f>_xlfn.XLOOKUP(D160,'Modelling New'!$D:$D,'Modelling New'!$N:$N)</f>
        <v>130</v>
      </c>
      <c r="AS160" s="236" t="str">
        <f t="shared" si="13"/>
        <v/>
      </c>
    </row>
    <row r="161" spans="1:45">
      <c r="A161" s="18">
        <f t="shared" si="14"/>
        <v>45904</v>
      </c>
      <c r="B161" s="29">
        <f>YEAR(Table13[[#This Row],[Date]])+IF(MONTH(Table13[[#This Row],[Date]])&gt;=4,1,0)</f>
        <v>2026</v>
      </c>
      <c r="C161" s="9">
        <f>YEAR(Table13[[#This Row],[Date]])</f>
        <v>2025</v>
      </c>
      <c r="D161" s="229">
        <f>Table13[[#This Row],[Date]]-DAY(Table13[[#This Row],[Date]])+1</f>
        <v>45901</v>
      </c>
      <c r="E161" s="9">
        <f t="shared" si="10"/>
        <v>30</v>
      </c>
      <c r="F161" s="199" t="str">
        <f>IFERROR(_xlfn.XLOOKUP($A161,Input_Raw!$A:$A,Input_Raw!$FC:$FC),"")</f>
        <v/>
      </c>
      <c r="G161" s="185" t="str">
        <f>IFERROR(_xlfn.XLOOKUP($A161,Input_Raw!$A:$A,Input_Raw!$CY:$CY),"")</f>
        <v/>
      </c>
      <c r="H161" s="185" t="str">
        <f>IFERROR(_xlfn.XLOOKUP($A161,Input_Raw!$A:$A,Input_Raw!$DA:$DA),"")</f>
        <v/>
      </c>
      <c r="I161" s="185" t="str">
        <f>IFERROR(_xlfn.XLOOKUP($A161,Input_Raw!$A:$A,Input_Raw!$CX:$CX),"")</f>
        <v/>
      </c>
      <c r="J161" s="185" t="str">
        <f>IFERROR(_xlfn.XLOOKUP($A161,Input_Raw!$A:$A,Input_Raw!$CZ:$CZ),"")</f>
        <v/>
      </c>
      <c r="K161" s="201" t="str">
        <f>IFERROR(_xlfn.XLOOKUP($A161,Input_Raw!$A:$A,Input_Raw!$DB:$DB),"")</f>
        <v/>
      </c>
      <c r="L161" s="201" t="str">
        <f>IFERROR(_xlfn.XLOOKUP($A161,Input_Raw!$A:$A,Input_Raw!$DC:$DC),"")</f>
        <v/>
      </c>
      <c r="M161" s="200" t="str">
        <f>IFERROR(_xlfn.XLOOKUP($A161,Input_Raw!$A:$A,Input_Raw!$DF:$DF),"")</f>
        <v/>
      </c>
      <c r="N161" s="200" t="str">
        <f>IFERROR(_xlfn.XLOOKUP($A161,Input_Raw!$A:$A,Input_Raw!$DG:$DG),"")</f>
        <v/>
      </c>
      <c r="O161" s="230" t="str">
        <f>IFERROR(1-(SUMIF(Plant_BD!$B:$B,$A161,Plant_BD!$AL:$AL)/($AA161+SUMIF(Plant_BD!$B:$B,$A161,Plant_BD!$AL:$AL))),"")</f>
        <v/>
      </c>
      <c r="P161" s="230"/>
      <c r="Q161" s="231" t="str">
        <f>IFERROR(1-(SUMIF(Grid_BD!$B:$B,$A161,Grid_BD!$V:$V)/($AA161+SUMIF(Grid_BD!$B:$B,$A161,Grid_BD!$V:$V))),"")</f>
        <v/>
      </c>
      <c r="R161" s="230" t="str">
        <f>IFERROR(1-(SUMIF(Grid_BD!$B:$B,$A161,Grid_BD!$V:$V)/($AA161+SUMIF(Grid_BD!$B:$B,$A161,Grid_BD!$V:$V))),"")</f>
        <v/>
      </c>
      <c r="S161" s="9"/>
      <c r="T161" s="231"/>
      <c r="U161" s="232" t="str">
        <f t="shared" si="11"/>
        <v/>
      </c>
      <c r="V161" s="232" t="str">
        <f>IFERROR(_xlfn.XLOOKUP($A161,Input_Raw!$A:$A,Input_Raw!$FG:$FG),"")</f>
        <v/>
      </c>
      <c r="W161" s="233" t="str">
        <f t="shared" si="12"/>
        <v/>
      </c>
      <c r="X161" s="29" t="str">
        <f>IFERROR(_xlfn.XLOOKUP($A161,Input_Raw!$A:$A,Input_Raw!$DP:$DP),"")</f>
        <v/>
      </c>
      <c r="Y161" s="29" t="str">
        <f>IFERROR(_xlfn.XLOOKUP($A161,Input_Raw!$A:$A,Input_Raw!EW:EW),"")</f>
        <v/>
      </c>
      <c r="Z161" s="29" t="str">
        <f>IFERROR(_xlfn.XLOOKUP($A161,Input_Raw!$A:$A,Input_Raw!EX:EX),"")</f>
        <v/>
      </c>
      <c r="AA161" s="29" t="str">
        <f>IFERROR(_xlfn.XLOOKUP($A161,Input_Raw!$A:$A,Input_Raw!FA:FA),"")</f>
        <v/>
      </c>
      <c r="AB161" s="9" t="str">
        <f>IFERROR(_xlfn.XLOOKUP($A161,Input_Raw!$A:$A,Input_Raw!FD:FD),"")</f>
        <v/>
      </c>
      <c r="AC161" s="185">
        <f>IFERROR(_xlfn.XLOOKUP($D161,'Modelling New'!$D:$D,'Modelling New'!P:P),"")</f>
        <v>5.0166666666666666</v>
      </c>
      <c r="AD161" s="29">
        <f>IFERROR(_xlfn.XLOOKUP($D161,'Modelling New'!$D:$D,'Modelling New'!T:T)*1000,"")</f>
        <v>549869.32441732171</v>
      </c>
      <c r="AE161" s="233">
        <f>IFERROR(_xlfn.XLOOKUP($D161,'Modelling New'!$D:$D,'Modelling New'!O:O),"")</f>
        <v>0.84314233235469738</v>
      </c>
      <c r="AF161" s="233">
        <f>IFERROR(_xlfn.XLOOKUP($D161,'Modelling New'!$D:$D,'Modelling New'!W:W),"")</f>
        <v>0.17624016808247492</v>
      </c>
      <c r="AG161" s="233">
        <f>IFERROR(_xlfn.XLOOKUP($D161,'Modelling New'!$D:$D,'Modelling New'!AE:AE),"")</f>
        <v>0.995</v>
      </c>
      <c r="AH161" s="234">
        <f>IFERROR(_xlfn.XLOOKUP($D161,'Modelling New'!$D:$D,'Modelling New'!AF:AF),"")</f>
        <v>0.995</v>
      </c>
      <c r="AI161" s="9"/>
      <c r="AJ161" s="9"/>
      <c r="AK161" s="258"/>
      <c r="AL161" s="258"/>
      <c r="AM161" s="258"/>
      <c r="AN161" s="235"/>
      <c r="AO161" s="233"/>
      <c r="AP161" s="233"/>
      <c r="AQ161" s="233"/>
      <c r="AR161" s="236">
        <f>_xlfn.XLOOKUP(D161,'Modelling New'!$D:$D,'Modelling New'!$N:$N)</f>
        <v>130</v>
      </c>
      <c r="AS161" s="236" t="str">
        <f t="shared" si="13"/>
        <v/>
      </c>
    </row>
    <row r="162" spans="1:45">
      <c r="A162" s="18">
        <f t="shared" si="14"/>
        <v>45905</v>
      </c>
      <c r="B162" s="29">
        <f>YEAR(Table13[[#This Row],[Date]])+IF(MONTH(Table13[[#This Row],[Date]])&gt;=4,1,0)</f>
        <v>2026</v>
      </c>
      <c r="C162" s="9">
        <f>YEAR(Table13[[#This Row],[Date]])</f>
        <v>2025</v>
      </c>
      <c r="D162" s="229">
        <f>Table13[[#This Row],[Date]]-DAY(Table13[[#This Row],[Date]])+1</f>
        <v>45901</v>
      </c>
      <c r="E162" s="9">
        <f t="shared" si="10"/>
        <v>30</v>
      </c>
      <c r="F162" s="199" t="str">
        <f>IFERROR(_xlfn.XLOOKUP($A162,Input_Raw!$A:$A,Input_Raw!$FC:$FC),"")</f>
        <v/>
      </c>
      <c r="G162" s="200" t="str">
        <f>IFERROR(_xlfn.XLOOKUP($A162,Input_Raw!$A:$A,Input_Raw!$CY:$CY),"")</f>
        <v/>
      </c>
      <c r="H162" s="200" t="str">
        <f>IFERROR(_xlfn.XLOOKUP($A162,Input_Raw!$A:$A,Input_Raw!$DA:$DA),"")</f>
        <v/>
      </c>
      <c r="I162" s="200" t="str">
        <f>IFERROR(_xlfn.XLOOKUP($A162,Input_Raw!$A:$A,Input_Raw!$CX:$CX),"")</f>
        <v/>
      </c>
      <c r="J162" s="200" t="str">
        <f>IFERROR(_xlfn.XLOOKUP($A162,Input_Raw!$A:$A,Input_Raw!$CZ:$CZ),"")</f>
        <v/>
      </c>
      <c r="K162" s="201" t="str">
        <f>IFERROR(_xlfn.XLOOKUP($A162,Input_Raw!$A:$A,Input_Raw!$DB:$DB),"")</f>
        <v/>
      </c>
      <c r="L162" s="201" t="str">
        <f>IFERROR(_xlfn.XLOOKUP($A162,Input_Raw!$A:$A,Input_Raw!$DC:$DC),"")</f>
        <v/>
      </c>
      <c r="M162" s="200" t="str">
        <f>IFERROR(_xlfn.XLOOKUP($A162,Input_Raw!$A:$A,Input_Raw!$DF:$DF),"")</f>
        <v/>
      </c>
      <c r="N162" s="200" t="str">
        <f>IFERROR(_xlfn.XLOOKUP($A162,Input_Raw!$A:$A,Input_Raw!$DG:$DG),"")</f>
        <v/>
      </c>
      <c r="O162" s="230" t="str">
        <f>IFERROR(1-(SUMIF(Plant_BD!$B:$B,$A162,Plant_BD!$AL:$AL)/($AA162+SUMIF(Plant_BD!$B:$B,$A162,Plant_BD!$AL:$AL))),"")</f>
        <v/>
      </c>
      <c r="P162" s="230"/>
      <c r="Q162" s="231" t="str">
        <f>IFERROR(1-(SUMIF(Grid_BD!$B:$B,$A162,Grid_BD!$V:$V)/($AA162+SUMIF(Grid_BD!$B:$B,$A162,Grid_BD!$V:$V))),"")</f>
        <v/>
      </c>
      <c r="R162" s="230" t="str">
        <f>IFERROR(1-(SUMIF(Grid_BD!$B:$B,$A162,Grid_BD!$V:$V)/($AA162+SUMIF(Grid_BD!$B:$B,$A162,Grid_BD!$V:$V))),"")</f>
        <v/>
      </c>
      <c r="S162" s="9"/>
      <c r="T162" s="231"/>
      <c r="U162" s="232" t="str">
        <f t="shared" si="11"/>
        <v/>
      </c>
      <c r="V162" s="232" t="str">
        <f>IFERROR(_xlfn.XLOOKUP($A162,Input_Raw!$A:$A,Input_Raw!$FG:$FG),"")</f>
        <v/>
      </c>
      <c r="W162" s="233" t="str">
        <f t="shared" si="12"/>
        <v/>
      </c>
      <c r="X162" s="29" t="str">
        <f>IFERROR(_xlfn.XLOOKUP($A162,Input_Raw!$A:$A,Input_Raw!$DP:$DP),"")</f>
        <v/>
      </c>
      <c r="Y162" s="29" t="str">
        <f>IFERROR(_xlfn.XLOOKUP($A162,Input_Raw!$A:$A,Input_Raw!EW:EW),"")</f>
        <v/>
      </c>
      <c r="Z162" s="29" t="str">
        <f>IFERROR(_xlfn.XLOOKUP($A162,Input_Raw!$A:$A,Input_Raw!EX:EX),"")</f>
        <v/>
      </c>
      <c r="AA162" s="29" t="str">
        <f>IFERROR(_xlfn.XLOOKUP($A162,Input_Raw!$A:$A,Input_Raw!FA:FA),"")</f>
        <v/>
      </c>
      <c r="AB162" s="9" t="str">
        <f>IFERROR(_xlfn.XLOOKUP($A162,Input_Raw!$A:$A,Input_Raw!FD:FD),"")</f>
        <v/>
      </c>
      <c r="AC162" s="185">
        <f>IFERROR(_xlfn.XLOOKUP($D162,'Modelling New'!$D:$D,'Modelling New'!P:P),"")</f>
        <v>5.0166666666666666</v>
      </c>
      <c r="AD162" s="29">
        <f>IFERROR(_xlfn.XLOOKUP($D162,'Modelling New'!$D:$D,'Modelling New'!T:T)*1000,"")</f>
        <v>549869.32441732171</v>
      </c>
      <c r="AE162" s="233">
        <f>IFERROR(_xlfn.XLOOKUP($D162,'Modelling New'!$D:$D,'Modelling New'!O:O),"")</f>
        <v>0.84314233235469738</v>
      </c>
      <c r="AF162" s="233">
        <f>IFERROR(_xlfn.XLOOKUP($D162,'Modelling New'!$D:$D,'Modelling New'!W:W),"")</f>
        <v>0.17624016808247492</v>
      </c>
      <c r="AG162" s="233">
        <f>IFERROR(_xlfn.XLOOKUP($D162,'Modelling New'!$D:$D,'Modelling New'!AE:AE),"")</f>
        <v>0.995</v>
      </c>
      <c r="AH162" s="234">
        <f>IFERROR(_xlfn.XLOOKUP($D162,'Modelling New'!$D:$D,'Modelling New'!AF:AF),"")</f>
        <v>0.995</v>
      </c>
      <c r="AI162" s="9"/>
      <c r="AJ162" s="9"/>
      <c r="AK162" s="258"/>
      <c r="AL162" s="258"/>
      <c r="AM162" s="258"/>
      <c r="AN162" s="235"/>
      <c r="AO162" s="233"/>
      <c r="AP162" s="233"/>
      <c r="AQ162" s="233"/>
      <c r="AR162" s="236">
        <f>_xlfn.XLOOKUP(D162,'Modelling New'!$D:$D,'Modelling New'!$N:$N)</f>
        <v>130</v>
      </c>
      <c r="AS162" s="236" t="str">
        <f t="shared" si="13"/>
        <v/>
      </c>
    </row>
    <row r="163" spans="1:45">
      <c r="A163" s="18">
        <f t="shared" si="14"/>
        <v>45906</v>
      </c>
      <c r="B163" s="29">
        <f>YEAR(Table13[[#This Row],[Date]])+IF(MONTH(Table13[[#This Row],[Date]])&gt;=4,1,0)</f>
        <v>2026</v>
      </c>
      <c r="C163" s="9">
        <f>YEAR(Table13[[#This Row],[Date]])</f>
        <v>2025</v>
      </c>
      <c r="D163" s="229">
        <f>Table13[[#This Row],[Date]]-DAY(Table13[[#This Row],[Date]])+1</f>
        <v>45901</v>
      </c>
      <c r="E163" s="9">
        <f t="shared" si="10"/>
        <v>30</v>
      </c>
      <c r="F163" s="199" t="str">
        <f>IFERROR(_xlfn.XLOOKUP($A163,Input_Raw!$A:$A,Input_Raw!$FC:$FC),"")</f>
        <v/>
      </c>
      <c r="G163" s="185" t="str">
        <f>IFERROR(_xlfn.XLOOKUP($A163,Input_Raw!$A:$A,Input_Raw!$CY:$CY),"")</f>
        <v/>
      </c>
      <c r="H163" s="185" t="str">
        <f>IFERROR(_xlfn.XLOOKUP($A163,Input_Raw!$A:$A,Input_Raw!$DA:$DA),"")</f>
        <v/>
      </c>
      <c r="I163" s="185" t="str">
        <f>IFERROR(_xlfn.XLOOKUP($A163,Input_Raw!$A:$A,Input_Raw!$CX:$CX),"")</f>
        <v/>
      </c>
      <c r="J163" s="185" t="str">
        <f>IFERROR(_xlfn.XLOOKUP($A163,Input_Raw!$A:$A,Input_Raw!$CZ:$CZ),"")</f>
        <v/>
      </c>
      <c r="K163" s="201" t="str">
        <f>IFERROR(_xlfn.XLOOKUP($A163,Input_Raw!$A:$A,Input_Raw!$DB:$DB),"")</f>
        <v/>
      </c>
      <c r="L163" s="201" t="str">
        <f>IFERROR(_xlfn.XLOOKUP($A163,Input_Raw!$A:$A,Input_Raw!$DC:$DC),"")</f>
        <v/>
      </c>
      <c r="M163" s="200" t="str">
        <f>IFERROR(_xlfn.XLOOKUP($A163,Input_Raw!$A:$A,Input_Raw!$DF:$DF),"")</f>
        <v/>
      </c>
      <c r="N163" s="200" t="str">
        <f>IFERROR(_xlfn.XLOOKUP($A163,Input_Raw!$A:$A,Input_Raw!$DG:$DG),"")</f>
        <v/>
      </c>
      <c r="O163" s="230" t="str">
        <f>IFERROR(1-(SUMIF(Plant_BD!$B:$B,$A163,Plant_BD!$AL:$AL)/($AA163+SUMIF(Plant_BD!$B:$B,$A163,Plant_BD!$AL:$AL))),"")</f>
        <v/>
      </c>
      <c r="P163" s="230"/>
      <c r="Q163" s="231" t="str">
        <f>IFERROR(1-(SUMIF(Grid_BD!$B:$B,$A163,Grid_BD!$V:$V)/($AA163+SUMIF(Grid_BD!$B:$B,$A163,Grid_BD!$V:$V))),"")</f>
        <v/>
      </c>
      <c r="R163" s="230" t="str">
        <f>IFERROR(1-(SUMIF(Grid_BD!$B:$B,$A163,Grid_BD!$V:$V)/($AA163+SUMIF(Grid_BD!$B:$B,$A163,Grid_BD!$V:$V))),"")</f>
        <v/>
      </c>
      <c r="S163" s="9"/>
      <c r="T163" s="231"/>
      <c r="U163" s="232" t="str">
        <f t="shared" si="11"/>
        <v/>
      </c>
      <c r="V163" s="232" t="str">
        <f>IFERROR(_xlfn.XLOOKUP($A163,Input_Raw!$A:$A,Input_Raw!$FG:$FG),"")</f>
        <v/>
      </c>
      <c r="W163" s="233" t="str">
        <f t="shared" si="12"/>
        <v/>
      </c>
      <c r="X163" s="29" t="str">
        <f>IFERROR(_xlfn.XLOOKUP($A163,Input_Raw!$A:$A,Input_Raw!$DP:$DP),"")</f>
        <v/>
      </c>
      <c r="Y163" s="29" t="str">
        <f>IFERROR(_xlfn.XLOOKUP($A163,Input_Raw!$A:$A,Input_Raw!EW:EW),"")</f>
        <v/>
      </c>
      <c r="Z163" s="29" t="str">
        <f>IFERROR(_xlfn.XLOOKUP($A163,Input_Raw!$A:$A,Input_Raw!EX:EX),"")</f>
        <v/>
      </c>
      <c r="AA163" s="29" t="str">
        <f>IFERROR(_xlfn.XLOOKUP($A163,Input_Raw!$A:$A,Input_Raw!FA:FA),"")</f>
        <v/>
      </c>
      <c r="AB163" s="9" t="str">
        <f>IFERROR(_xlfn.XLOOKUP($A163,Input_Raw!$A:$A,Input_Raw!FD:FD),"")</f>
        <v/>
      </c>
      <c r="AC163" s="185">
        <f>IFERROR(_xlfn.XLOOKUP($D163,'Modelling New'!$D:$D,'Modelling New'!P:P),"")</f>
        <v>5.0166666666666666</v>
      </c>
      <c r="AD163" s="29">
        <f>IFERROR(_xlfn.XLOOKUP($D163,'Modelling New'!$D:$D,'Modelling New'!T:T)*1000,"")</f>
        <v>549869.32441732171</v>
      </c>
      <c r="AE163" s="233">
        <f>IFERROR(_xlfn.XLOOKUP($D163,'Modelling New'!$D:$D,'Modelling New'!O:O),"")</f>
        <v>0.84314233235469738</v>
      </c>
      <c r="AF163" s="233">
        <f>IFERROR(_xlfn.XLOOKUP($D163,'Modelling New'!$D:$D,'Modelling New'!W:W),"")</f>
        <v>0.17624016808247492</v>
      </c>
      <c r="AG163" s="233">
        <f>IFERROR(_xlfn.XLOOKUP($D163,'Modelling New'!$D:$D,'Modelling New'!AE:AE),"")</f>
        <v>0.995</v>
      </c>
      <c r="AH163" s="234">
        <f>IFERROR(_xlfn.XLOOKUP($D163,'Modelling New'!$D:$D,'Modelling New'!AF:AF),"")</f>
        <v>0.995</v>
      </c>
      <c r="AI163" s="9"/>
      <c r="AJ163" s="9"/>
      <c r="AK163" s="258"/>
      <c r="AL163" s="258"/>
      <c r="AM163" s="258"/>
      <c r="AN163" s="235"/>
      <c r="AO163" s="233"/>
      <c r="AP163" s="233"/>
      <c r="AQ163" s="233"/>
      <c r="AR163" s="236">
        <f>_xlfn.XLOOKUP(D163,'Modelling New'!$D:$D,'Modelling New'!$N:$N)</f>
        <v>130</v>
      </c>
      <c r="AS163" s="236" t="str">
        <f t="shared" si="13"/>
        <v/>
      </c>
    </row>
    <row r="164" spans="1:45">
      <c r="A164" s="18">
        <f t="shared" si="14"/>
        <v>45907</v>
      </c>
      <c r="B164" s="29">
        <f>YEAR(Table13[[#This Row],[Date]])+IF(MONTH(Table13[[#This Row],[Date]])&gt;=4,1,0)</f>
        <v>2026</v>
      </c>
      <c r="C164" s="9">
        <f>YEAR(Table13[[#This Row],[Date]])</f>
        <v>2025</v>
      </c>
      <c r="D164" s="229">
        <f>Table13[[#This Row],[Date]]-DAY(Table13[[#This Row],[Date]])+1</f>
        <v>45901</v>
      </c>
      <c r="E164" s="9">
        <f t="shared" si="10"/>
        <v>30</v>
      </c>
      <c r="F164" s="199" t="str">
        <f>IFERROR(_xlfn.XLOOKUP($A164,Input_Raw!$A:$A,Input_Raw!$FC:$FC),"")</f>
        <v/>
      </c>
      <c r="G164" s="200" t="str">
        <f>IFERROR(_xlfn.XLOOKUP($A164,Input_Raw!$A:$A,Input_Raw!$CY:$CY),"")</f>
        <v/>
      </c>
      <c r="H164" s="200" t="str">
        <f>IFERROR(_xlfn.XLOOKUP($A164,Input_Raw!$A:$A,Input_Raw!$DA:$DA),"")</f>
        <v/>
      </c>
      <c r="I164" s="200" t="str">
        <f>IFERROR(_xlfn.XLOOKUP($A164,Input_Raw!$A:$A,Input_Raw!$CX:$CX),"")</f>
        <v/>
      </c>
      <c r="J164" s="200" t="str">
        <f>IFERROR(_xlfn.XLOOKUP($A164,Input_Raw!$A:$A,Input_Raw!$CZ:$CZ),"")</f>
        <v/>
      </c>
      <c r="K164" s="201" t="str">
        <f>IFERROR(_xlfn.XLOOKUP($A164,Input_Raw!$A:$A,Input_Raw!$DB:$DB),"")</f>
        <v/>
      </c>
      <c r="L164" s="201" t="str">
        <f>IFERROR(_xlfn.XLOOKUP($A164,Input_Raw!$A:$A,Input_Raw!$DC:$DC),"")</f>
        <v/>
      </c>
      <c r="M164" s="200" t="str">
        <f>IFERROR(_xlfn.XLOOKUP($A164,Input_Raw!$A:$A,Input_Raw!$DF:$DF),"")</f>
        <v/>
      </c>
      <c r="N164" s="200" t="str">
        <f>IFERROR(_xlfn.XLOOKUP($A164,Input_Raw!$A:$A,Input_Raw!$DG:$DG),"")</f>
        <v/>
      </c>
      <c r="O164" s="230" t="str">
        <f>IFERROR(1-(SUMIF(Plant_BD!$B:$B,$A164,Plant_BD!$AL:$AL)/($AA164+SUMIF(Plant_BD!$B:$B,$A164,Plant_BD!$AL:$AL))),"")</f>
        <v/>
      </c>
      <c r="P164" s="230"/>
      <c r="Q164" s="231" t="str">
        <f>IFERROR(1-(SUMIF(Grid_BD!$B:$B,$A164,Grid_BD!$V:$V)/($AA164+SUMIF(Grid_BD!$B:$B,$A164,Grid_BD!$V:$V))),"")</f>
        <v/>
      </c>
      <c r="R164" s="230" t="str">
        <f>IFERROR(1-(SUMIF(Grid_BD!$B:$B,$A164,Grid_BD!$V:$V)/($AA164+SUMIF(Grid_BD!$B:$B,$A164,Grid_BD!$V:$V))),"")</f>
        <v/>
      </c>
      <c r="S164" s="9"/>
      <c r="T164" s="231"/>
      <c r="U164" s="232" t="str">
        <f t="shared" si="11"/>
        <v/>
      </c>
      <c r="V164" s="232" t="str">
        <f>IFERROR(_xlfn.XLOOKUP($A164,Input_Raw!$A:$A,Input_Raw!$FG:$FG),"")</f>
        <v/>
      </c>
      <c r="W164" s="233" t="str">
        <f t="shared" si="12"/>
        <v/>
      </c>
      <c r="X164" s="29" t="str">
        <f>IFERROR(_xlfn.XLOOKUP($A164,Input_Raw!$A:$A,Input_Raw!$DP:$DP),"")</f>
        <v/>
      </c>
      <c r="Y164" s="29" t="str">
        <f>IFERROR(_xlfn.XLOOKUP($A164,Input_Raw!$A:$A,Input_Raw!EW:EW),"")</f>
        <v/>
      </c>
      <c r="Z164" s="29" t="str">
        <f>IFERROR(_xlfn.XLOOKUP($A164,Input_Raw!$A:$A,Input_Raw!EX:EX),"")</f>
        <v/>
      </c>
      <c r="AA164" s="29" t="str">
        <f>IFERROR(_xlfn.XLOOKUP($A164,Input_Raw!$A:$A,Input_Raw!FA:FA),"")</f>
        <v/>
      </c>
      <c r="AB164" s="9" t="str">
        <f>IFERROR(_xlfn.XLOOKUP($A164,Input_Raw!$A:$A,Input_Raw!FD:FD),"")</f>
        <v/>
      </c>
      <c r="AC164" s="185">
        <f>IFERROR(_xlfn.XLOOKUP($D164,'Modelling New'!$D:$D,'Modelling New'!P:P),"")</f>
        <v>5.0166666666666666</v>
      </c>
      <c r="AD164" s="29">
        <f>IFERROR(_xlfn.XLOOKUP($D164,'Modelling New'!$D:$D,'Modelling New'!T:T)*1000,"")</f>
        <v>549869.32441732171</v>
      </c>
      <c r="AE164" s="233">
        <f>IFERROR(_xlfn.XLOOKUP($D164,'Modelling New'!$D:$D,'Modelling New'!O:O),"")</f>
        <v>0.84314233235469738</v>
      </c>
      <c r="AF164" s="233">
        <f>IFERROR(_xlfn.XLOOKUP($D164,'Modelling New'!$D:$D,'Modelling New'!W:W),"")</f>
        <v>0.17624016808247492</v>
      </c>
      <c r="AG164" s="233">
        <f>IFERROR(_xlfn.XLOOKUP($D164,'Modelling New'!$D:$D,'Modelling New'!AE:AE),"")</f>
        <v>0.995</v>
      </c>
      <c r="AH164" s="234">
        <f>IFERROR(_xlfn.XLOOKUP($D164,'Modelling New'!$D:$D,'Modelling New'!AF:AF),"")</f>
        <v>0.995</v>
      </c>
      <c r="AI164" s="9"/>
      <c r="AJ164" s="9"/>
      <c r="AK164" s="258"/>
      <c r="AL164" s="258"/>
      <c r="AM164" s="258"/>
      <c r="AN164" s="235"/>
      <c r="AO164" s="233"/>
      <c r="AP164" s="233"/>
      <c r="AQ164" s="233"/>
      <c r="AR164" s="236">
        <f>_xlfn.XLOOKUP(D164,'Modelling New'!$D:$D,'Modelling New'!$N:$N)</f>
        <v>130</v>
      </c>
      <c r="AS164" s="236" t="str">
        <f t="shared" si="13"/>
        <v/>
      </c>
    </row>
    <row r="165" spans="1:45">
      <c r="A165" s="18">
        <f t="shared" si="14"/>
        <v>45908</v>
      </c>
      <c r="B165" s="29">
        <f>YEAR(Table13[[#This Row],[Date]])+IF(MONTH(Table13[[#This Row],[Date]])&gt;=4,1,0)</f>
        <v>2026</v>
      </c>
      <c r="C165" s="9">
        <f>YEAR(Table13[[#This Row],[Date]])</f>
        <v>2025</v>
      </c>
      <c r="D165" s="229">
        <f>Table13[[#This Row],[Date]]-DAY(Table13[[#This Row],[Date]])+1</f>
        <v>45901</v>
      </c>
      <c r="E165" s="9">
        <f t="shared" si="10"/>
        <v>30</v>
      </c>
      <c r="F165" s="199" t="str">
        <f>IFERROR(_xlfn.XLOOKUP($A165,Input_Raw!$A:$A,Input_Raw!$FC:$FC),"")</f>
        <v/>
      </c>
      <c r="G165" s="185" t="str">
        <f>IFERROR(_xlfn.XLOOKUP($A165,Input_Raw!$A:$A,Input_Raw!$CY:$CY),"")</f>
        <v/>
      </c>
      <c r="H165" s="185" t="str">
        <f>IFERROR(_xlfn.XLOOKUP($A165,Input_Raw!$A:$A,Input_Raw!$DA:$DA),"")</f>
        <v/>
      </c>
      <c r="I165" s="185" t="str">
        <f>IFERROR(_xlfn.XLOOKUP($A165,Input_Raw!$A:$A,Input_Raw!$CX:$CX),"")</f>
        <v/>
      </c>
      <c r="J165" s="185" t="str">
        <f>IFERROR(_xlfn.XLOOKUP($A165,Input_Raw!$A:$A,Input_Raw!$CZ:$CZ),"")</f>
        <v/>
      </c>
      <c r="K165" s="201" t="str">
        <f>IFERROR(_xlfn.XLOOKUP($A165,Input_Raw!$A:$A,Input_Raw!$DB:$DB),"")</f>
        <v/>
      </c>
      <c r="L165" s="201" t="str">
        <f>IFERROR(_xlfn.XLOOKUP($A165,Input_Raw!$A:$A,Input_Raw!$DC:$DC),"")</f>
        <v/>
      </c>
      <c r="M165" s="200" t="str">
        <f>IFERROR(_xlfn.XLOOKUP($A165,Input_Raw!$A:$A,Input_Raw!$DF:$DF),"")</f>
        <v/>
      </c>
      <c r="N165" s="200" t="str">
        <f>IFERROR(_xlfn.XLOOKUP($A165,Input_Raw!$A:$A,Input_Raw!$DG:$DG),"")</f>
        <v/>
      </c>
      <c r="O165" s="230" t="str">
        <f>IFERROR(1-(SUMIF(Plant_BD!$B:$B,$A165,Plant_BD!$AL:$AL)/($AA165+SUMIF(Plant_BD!$B:$B,$A165,Plant_BD!$AL:$AL))),"")</f>
        <v/>
      </c>
      <c r="P165" s="230"/>
      <c r="Q165" s="231" t="str">
        <f>IFERROR(1-(SUMIF(Grid_BD!$B:$B,$A165,Grid_BD!$V:$V)/($AA165+SUMIF(Grid_BD!$B:$B,$A165,Grid_BD!$V:$V))),"")</f>
        <v/>
      </c>
      <c r="R165" s="230" t="str">
        <f>IFERROR(1-(SUMIF(Grid_BD!$B:$B,$A165,Grid_BD!$V:$V)/($AA165+SUMIF(Grid_BD!$B:$B,$A165,Grid_BD!$V:$V))),"")</f>
        <v/>
      </c>
      <c r="S165" s="9"/>
      <c r="T165" s="231"/>
      <c r="U165" s="232" t="str">
        <f t="shared" si="11"/>
        <v/>
      </c>
      <c r="V165" s="232" t="str">
        <f>IFERROR(_xlfn.XLOOKUP($A165,Input_Raw!$A:$A,Input_Raw!$FG:$FG),"")</f>
        <v/>
      </c>
      <c r="W165" s="233" t="str">
        <f t="shared" si="12"/>
        <v/>
      </c>
      <c r="X165" s="29" t="str">
        <f>IFERROR(_xlfn.XLOOKUP($A165,Input_Raw!$A:$A,Input_Raw!$DP:$DP),"")</f>
        <v/>
      </c>
      <c r="Y165" s="29" t="str">
        <f>IFERROR(_xlfn.XLOOKUP($A165,Input_Raw!$A:$A,Input_Raw!EW:EW),"")</f>
        <v/>
      </c>
      <c r="Z165" s="29" t="str">
        <f>IFERROR(_xlfn.XLOOKUP($A165,Input_Raw!$A:$A,Input_Raw!EX:EX),"")</f>
        <v/>
      </c>
      <c r="AA165" s="29" t="str">
        <f>IFERROR(_xlfn.XLOOKUP($A165,Input_Raw!$A:$A,Input_Raw!FA:FA),"")</f>
        <v/>
      </c>
      <c r="AB165" s="9" t="str">
        <f>IFERROR(_xlfn.XLOOKUP($A165,Input_Raw!$A:$A,Input_Raw!FD:FD),"")</f>
        <v/>
      </c>
      <c r="AC165" s="185">
        <f>IFERROR(_xlfn.XLOOKUP($D165,'Modelling New'!$D:$D,'Modelling New'!P:P),"")</f>
        <v>5.0166666666666666</v>
      </c>
      <c r="AD165" s="29">
        <f>IFERROR(_xlfn.XLOOKUP($D165,'Modelling New'!$D:$D,'Modelling New'!T:T)*1000,"")</f>
        <v>549869.32441732171</v>
      </c>
      <c r="AE165" s="233">
        <f>IFERROR(_xlfn.XLOOKUP($D165,'Modelling New'!$D:$D,'Modelling New'!O:O),"")</f>
        <v>0.84314233235469738</v>
      </c>
      <c r="AF165" s="233">
        <f>IFERROR(_xlfn.XLOOKUP($D165,'Modelling New'!$D:$D,'Modelling New'!W:W),"")</f>
        <v>0.17624016808247492</v>
      </c>
      <c r="AG165" s="233">
        <f>IFERROR(_xlfn.XLOOKUP($D165,'Modelling New'!$D:$D,'Modelling New'!AE:AE),"")</f>
        <v>0.995</v>
      </c>
      <c r="AH165" s="234">
        <f>IFERROR(_xlfn.XLOOKUP($D165,'Modelling New'!$D:$D,'Modelling New'!AF:AF),"")</f>
        <v>0.995</v>
      </c>
      <c r="AI165" s="9"/>
      <c r="AJ165" s="9"/>
      <c r="AK165" s="258"/>
      <c r="AL165" s="258"/>
      <c r="AM165" s="258"/>
      <c r="AN165" s="235"/>
      <c r="AO165" s="233"/>
      <c r="AP165" s="233"/>
      <c r="AQ165" s="233"/>
      <c r="AR165" s="236">
        <f>_xlfn.XLOOKUP(D165,'Modelling New'!$D:$D,'Modelling New'!$N:$N)</f>
        <v>130</v>
      </c>
      <c r="AS165" s="236" t="str">
        <f t="shared" si="13"/>
        <v/>
      </c>
    </row>
    <row r="166" spans="1:45">
      <c r="A166" s="18">
        <f t="shared" si="14"/>
        <v>45909</v>
      </c>
      <c r="B166" s="29">
        <f>YEAR(Table13[[#This Row],[Date]])+IF(MONTH(Table13[[#This Row],[Date]])&gt;=4,1,0)</f>
        <v>2026</v>
      </c>
      <c r="C166" s="9">
        <f>YEAR(Table13[[#This Row],[Date]])</f>
        <v>2025</v>
      </c>
      <c r="D166" s="229">
        <f>Table13[[#This Row],[Date]]-DAY(Table13[[#This Row],[Date]])+1</f>
        <v>45901</v>
      </c>
      <c r="E166" s="9">
        <f t="shared" si="10"/>
        <v>30</v>
      </c>
      <c r="F166" s="199" t="str">
        <f>IFERROR(_xlfn.XLOOKUP($A166,Input_Raw!$A:$A,Input_Raw!$FC:$FC),"")</f>
        <v/>
      </c>
      <c r="G166" s="200" t="str">
        <f>IFERROR(_xlfn.XLOOKUP($A166,Input_Raw!$A:$A,Input_Raw!$CY:$CY),"")</f>
        <v/>
      </c>
      <c r="H166" s="200" t="str">
        <f>IFERROR(_xlfn.XLOOKUP($A166,Input_Raw!$A:$A,Input_Raw!$DA:$DA),"")</f>
        <v/>
      </c>
      <c r="I166" s="200" t="str">
        <f>IFERROR(_xlfn.XLOOKUP($A166,Input_Raw!$A:$A,Input_Raw!$CX:$CX),"")</f>
        <v/>
      </c>
      <c r="J166" s="200" t="str">
        <f>IFERROR(_xlfn.XLOOKUP($A166,Input_Raw!$A:$A,Input_Raw!$CZ:$CZ),"")</f>
        <v/>
      </c>
      <c r="K166" s="201" t="str">
        <f>IFERROR(_xlfn.XLOOKUP($A166,Input_Raw!$A:$A,Input_Raw!$DB:$DB),"")</f>
        <v/>
      </c>
      <c r="L166" s="201" t="str">
        <f>IFERROR(_xlfn.XLOOKUP($A166,Input_Raw!$A:$A,Input_Raw!$DC:$DC),"")</f>
        <v/>
      </c>
      <c r="M166" s="200" t="str">
        <f>IFERROR(_xlfn.XLOOKUP($A166,Input_Raw!$A:$A,Input_Raw!$DF:$DF),"")</f>
        <v/>
      </c>
      <c r="N166" s="200" t="str">
        <f>IFERROR(_xlfn.XLOOKUP($A166,Input_Raw!$A:$A,Input_Raw!$DG:$DG),"")</f>
        <v/>
      </c>
      <c r="O166" s="230" t="str">
        <f>IFERROR(1-(SUMIF(Plant_BD!$B:$B,$A166,Plant_BD!$AL:$AL)/($AA166+SUMIF(Plant_BD!$B:$B,$A166,Plant_BD!$AL:$AL))),"")</f>
        <v/>
      </c>
      <c r="P166" s="230"/>
      <c r="Q166" s="231" t="str">
        <f>IFERROR(1-(SUMIF(Grid_BD!$B:$B,$A166,Grid_BD!$V:$V)/($AA166+SUMIF(Grid_BD!$B:$B,$A166,Grid_BD!$V:$V))),"")</f>
        <v/>
      </c>
      <c r="R166" s="230" t="str">
        <f>IFERROR(1-(SUMIF(Grid_BD!$B:$B,$A166,Grid_BD!$V:$V)/($AA166+SUMIF(Grid_BD!$B:$B,$A166,Grid_BD!$V:$V))),"")</f>
        <v/>
      </c>
      <c r="S166" s="9"/>
      <c r="T166" s="231"/>
      <c r="U166" s="232" t="str">
        <f t="shared" si="11"/>
        <v/>
      </c>
      <c r="V166" s="232" t="str">
        <f>IFERROR(_xlfn.XLOOKUP($A166,Input_Raw!$A:$A,Input_Raw!$FG:$FG),"")</f>
        <v/>
      </c>
      <c r="W166" s="233" t="str">
        <f t="shared" si="12"/>
        <v/>
      </c>
      <c r="X166" s="29" t="str">
        <f>IFERROR(_xlfn.XLOOKUP($A166,Input_Raw!$A:$A,Input_Raw!$DP:$DP),"")</f>
        <v/>
      </c>
      <c r="Y166" s="29" t="str">
        <f>IFERROR(_xlfn.XLOOKUP($A166,Input_Raw!$A:$A,Input_Raw!EW:EW),"")</f>
        <v/>
      </c>
      <c r="Z166" s="29" t="str">
        <f>IFERROR(_xlfn.XLOOKUP($A166,Input_Raw!$A:$A,Input_Raw!EX:EX),"")</f>
        <v/>
      </c>
      <c r="AA166" s="29" t="str">
        <f>IFERROR(_xlfn.XLOOKUP($A166,Input_Raw!$A:$A,Input_Raw!FA:FA),"")</f>
        <v/>
      </c>
      <c r="AB166" s="9" t="str">
        <f>IFERROR(_xlfn.XLOOKUP($A166,Input_Raw!$A:$A,Input_Raw!FD:FD),"")</f>
        <v/>
      </c>
      <c r="AC166" s="185">
        <f>IFERROR(_xlfn.XLOOKUP($D166,'Modelling New'!$D:$D,'Modelling New'!P:P),"")</f>
        <v>5.0166666666666666</v>
      </c>
      <c r="AD166" s="29">
        <f>IFERROR(_xlfn.XLOOKUP($D166,'Modelling New'!$D:$D,'Modelling New'!T:T)*1000,"")</f>
        <v>549869.32441732171</v>
      </c>
      <c r="AE166" s="233">
        <f>IFERROR(_xlfn.XLOOKUP($D166,'Modelling New'!$D:$D,'Modelling New'!O:O),"")</f>
        <v>0.84314233235469738</v>
      </c>
      <c r="AF166" s="233">
        <f>IFERROR(_xlfn.XLOOKUP($D166,'Modelling New'!$D:$D,'Modelling New'!W:W),"")</f>
        <v>0.17624016808247492</v>
      </c>
      <c r="AG166" s="233">
        <f>IFERROR(_xlfn.XLOOKUP($D166,'Modelling New'!$D:$D,'Modelling New'!AE:AE),"")</f>
        <v>0.995</v>
      </c>
      <c r="AH166" s="234">
        <f>IFERROR(_xlfn.XLOOKUP($D166,'Modelling New'!$D:$D,'Modelling New'!AF:AF),"")</f>
        <v>0.995</v>
      </c>
      <c r="AI166" s="9"/>
      <c r="AJ166" s="9"/>
      <c r="AK166" s="258"/>
      <c r="AL166" s="258"/>
      <c r="AM166" s="258"/>
      <c r="AN166" s="235"/>
      <c r="AO166" s="233"/>
      <c r="AP166" s="233"/>
      <c r="AQ166" s="233"/>
      <c r="AR166" s="236">
        <f>_xlfn.XLOOKUP(D166,'Modelling New'!$D:$D,'Modelling New'!$N:$N)</f>
        <v>130</v>
      </c>
      <c r="AS166" s="236" t="str">
        <f t="shared" si="13"/>
        <v/>
      </c>
    </row>
    <row r="167" spans="1:45">
      <c r="A167" s="18">
        <f t="shared" si="14"/>
        <v>45910</v>
      </c>
      <c r="B167" s="29">
        <f>YEAR(Table13[[#This Row],[Date]])+IF(MONTH(Table13[[#This Row],[Date]])&gt;=4,1,0)</f>
        <v>2026</v>
      </c>
      <c r="C167" s="9">
        <f>YEAR(Table13[[#This Row],[Date]])</f>
        <v>2025</v>
      </c>
      <c r="D167" s="229">
        <f>Table13[[#This Row],[Date]]-DAY(Table13[[#This Row],[Date]])+1</f>
        <v>45901</v>
      </c>
      <c r="E167" s="9">
        <f t="shared" si="10"/>
        <v>30</v>
      </c>
      <c r="F167" s="199" t="str">
        <f>IFERROR(_xlfn.XLOOKUP($A167,Input_Raw!$A:$A,Input_Raw!$FC:$FC),"")</f>
        <v/>
      </c>
      <c r="G167" s="185" t="str">
        <f>IFERROR(_xlfn.XLOOKUP($A167,Input_Raw!$A:$A,Input_Raw!$CY:$CY),"")</f>
        <v/>
      </c>
      <c r="H167" s="185" t="str">
        <f>IFERROR(_xlfn.XLOOKUP($A167,Input_Raw!$A:$A,Input_Raw!$DA:$DA),"")</f>
        <v/>
      </c>
      <c r="I167" s="185" t="str">
        <f>IFERROR(_xlfn.XLOOKUP($A167,Input_Raw!$A:$A,Input_Raw!$CX:$CX),"")</f>
        <v/>
      </c>
      <c r="J167" s="185" t="str">
        <f>IFERROR(_xlfn.XLOOKUP($A167,Input_Raw!$A:$A,Input_Raw!$CZ:$CZ),"")</f>
        <v/>
      </c>
      <c r="K167" s="201" t="str">
        <f>IFERROR(_xlfn.XLOOKUP($A167,Input_Raw!$A:$A,Input_Raw!$DB:$DB),"")</f>
        <v/>
      </c>
      <c r="L167" s="201" t="str">
        <f>IFERROR(_xlfn.XLOOKUP($A167,Input_Raw!$A:$A,Input_Raw!$DC:$DC),"")</f>
        <v/>
      </c>
      <c r="M167" s="200" t="str">
        <f>IFERROR(_xlfn.XLOOKUP($A167,Input_Raw!$A:$A,Input_Raw!$DF:$DF),"")</f>
        <v/>
      </c>
      <c r="N167" s="200" t="str">
        <f>IFERROR(_xlfn.XLOOKUP($A167,Input_Raw!$A:$A,Input_Raw!$DG:$DG),"")</f>
        <v/>
      </c>
      <c r="O167" s="230" t="str">
        <f>IFERROR(1-(SUMIF(Plant_BD!$B:$B,$A167,Plant_BD!$AL:$AL)/($AA167+SUMIF(Plant_BD!$B:$B,$A167,Plant_BD!$AL:$AL))),"")</f>
        <v/>
      </c>
      <c r="P167" s="230"/>
      <c r="Q167" s="231" t="str">
        <f>IFERROR(1-(SUMIF(Grid_BD!$B:$B,$A167,Grid_BD!$V:$V)/($AA167+SUMIF(Grid_BD!$B:$B,$A167,Grid_BD!$V:$V))),"")</f>
        <v/>
      </c>
      <c r="R167" s="230" t="str">
        <f>IFERROR(1-(SUMIF(Grid_BD!$B:$B,$A167,Grid_BD!$V:$V)/($AA167+SUMIF(Grid_BD!$B:$B,$A167,Grid_BD!$V:$V))),"")</f>
        <v/>
      </c>
      <c r="S167" s="9"/>
      <c r="T167" s="231"/>
      <c r="U167" s="232" t="str">
        <f t="shared" si="11"/>
        <v/>
      </c>
      <c r="V167" s="232" t="str">
        <f>IFERROR(_xlfn.XLOOKUP($A167,Input_Raw!$A:$A,Input_Raw!$FG:$FG),"")</f>
        <v/>
      </c>
      <c r="W167" s="233" t="str">
        <f t="shared" si="12"/>
        <v/>
      </c>
      <c r="X167" s="29" t="str">
        <f>IFERROR(_xlfn.XLOOKUP($A167,Input_Raw!$A:$A,Input_Raw!$DP:$DP),"")</f>
        <v/>
      </c>
      <c r="Y167" s="29" t="str">
        <f>IFERROR(_xlfn.XLOOKUP($A167,Input_Raw!$A:$A,Input_Raw!EW:EW),"")</f>
        <v/>
      </c>
      <c r="Z167" s="29" t="str">
        <f>IFERROR(_xlfn.XLOOKUP($A167,Input_Raw!$A:$A,Input_Raw!EX:EX),"")</f>
        <v/>
      </c>
      <c r="AA167" s="29" t="str">
        <f>IFERROR(_xlfn.XLOOKUP($A167,Input_Raw!$A:$A,Input_Raw!FA:FA),"")</f>
        <v/>
      </c>
      <c r="AB167" s="9" t="str">
        <f>IFERROR(_xlfn.XLOOKUP($A167,Input_Raw!$A:$A,Input_Raw!FD:FD),"")</f>
        <v/>
      </c>
      <c r="AC167" s="185">
        <f>IFERROR(_xlfn.XLOOKUP($D167,'Modelling New'!$D:$D,'Modelling New'!P:P),"")</f>
        <v>5.0166666666666666</v>
      </c>
      <c r="AD167" s="29">
        <f>IFERROR(_xlfn.XLOOKUP($D167,'Modelling New'!$D:$D,'Modelling New'!T:T)*1000,"")</f>
        <v>549869.32441732171</v>
      </c>
      <c r="AE167" s="233">
        <f>IFERROR(_xlfn.XLOOKUP($D167,'Modelling New'!$D:$D,'Modelling New'!O:O),"")</f>
        <v>0.84314233235469738</v>
      </c>
      <c r="AF167" s="233">
        <f>IFERROR(_xlfn.XLOOKUP($D167,'Modelling New'!$D:$D,'Modelling New'!W:W),"")</f>
        <v>0.17624016808247492</v>
      </c>
      <c r="AG167" s="233">
        <f>IFERROR(_xlfn.XLOOKUP($D167,'Modelling New'!$D:$D,'Modelling New'!AE:AE),"")</f>
        <v>0.995</v>
      </c>
      <c r="AH167" s="234">
        <f>IFERROR(_xlfn.XLOOKUP($D167,'Modelling New'!$D:$D,'Modelling New'!AF:AF),"")</f>
        <v>0.995</v>
      </c>
      <c r="AI167" s="9"/>
      <c r="AJ167" s="9"/>
      <c r="AK167" s="258"/>
      <c r="AL167" s="258"/>
      <c r="AM167" s="258"/>
      <c r="AN167" s="235"/>
      <c r="AO167" s="233"/>
      <c r="AP167" s="233"/>
      <c r="AQ167" s="233"/>
      <c r="AR167" s="236">
        <f>_xlfn.XLOOKUP(D167,'Modelling New'!$D:$D,'Modelling New'!$N:$N)</f>
        <v>130</v>
      </c>
      <c r="AS167" s="236" t="str">
        <f t="shared" si="13"/>
        <v/>
      </c>
    </row>
    <row r="168" spans="1:45">
      <c r="A168" s="18">
        <f t="shared" si="14"/>
        <v>45911</v>
      </c>
      <c r="B168" s="29">
        <f>YEAR(Table13[[#This Row],[Date]])+IF(MONTH(Table13[[#This Row],[Date]])&gt;=4,1,0)</f>
        <v>2026</v>
      </c>
      <c r="C168" s="9">
        <f>YEAR(Table13[[#This Row],[Date]])</f>
        <v>2025</v>
      </c>
      <c r="D168" s="229">
        <f>Table13[[#This Row],[Date]]-DAY(Table13[[#This Row],[Date]])+1</f>
        <v>45901</v>
      </c>
      <c r="E168" s="9">
        <f t="shared" ref="E168:E231" si="15">DAY(EOMONTH(A168,0))</f>
        <v>30</v>
      </c>
      <c r="F168" s="199" t="str">
        <f>IFERROR(_xlfn.XLOOKUP($A168,Input_Raw!$A:$A,Input_Raw!$FC:$FC),"")</f>
        <v/>
      </c>
      <c r="G168" s="200" t="str">
        <f>IFERROR(_xlfn.XLOOKUP($A168,Input_Raw!$A:$A,Input_Raw!$CY:$CY),"")</f>
        <v/>
      </c>
      <c r="H168" s="200" t="str">
        <f>IFERROR(_xlfn.XLOOKUP($A168,Input_Raw!$A:$A,Input_Raw!$DA:$DA),"")</f>
        <v/>
      </c>
      <c r="I168" s="200" t="str">
        <f>IFERROR(_xlfn.XLOOKUP($A168,Input_Raw!$A:$A,Input_Raw!$CX:$CX),"")</f>
        <v/>
      </c>
      <c r="J168" s="200" t="str">
        <f>IFERROR(_xlfn.XLOOKUP($A168,Input_Raw!$A:$A,Input_Raw!$CZ:$CZ),"")</f>
        <v/>
      </c>
      <c r="K168" s="201" t="str">
        <f>IFERROR(_xlfn.XLOOKUP($A168,Input_Raw!$A:$A,Input_Raw!$DB:$DB),"")</f>
        <v/>
      </c>
      <c r="L168" s="201" t="str">
        <f>IFERROR(_xlfn.XLOOKUP($A168,Input_Raw!$A:$A,Input_Raw!$DC:$DC),"")</f>
        <v/>
      </c>
      <c r="M168" s="200" t="str">
        <f>IFERROR(_xlfn.XLOOKUP($A168,Input_Raw!$A:$A,Input_Raw!$DF:$DF),"")</f>
        <v/>
      </c>
      <c r="N168" s="200" t="str">
        <f>IFERROR(_xlfn.XLOOKUP($A168,Input_Raw!$A:$A,Input_Raw!$DG:$DG),"")</f>
        <v/>
      </c>
      <c r="O168" s="230" t="str">
        <f>IFERROR(1-(SUMIF(Plant_BD!$B:$B,$A168,Plant_BD!$AL:$AL)/($AA168+SUMIF(Plant_BD!$B:$B,$A168,Plant_BD!$AL:$AL))),"")</f>
        <v/>
      </c>
      <c r="P168" s="230"/>
      <c r="Q168" s="231" t="str">
        <f>IFERROR(1-(SUMIF(Grid_BD!$B:$B,$A168,Grid_BD!$V:$V)/($AA168+SUMIF(Grid_BD!$B:$B,$A168,Grid_BD!$V:$V))),"")</f>
        <v/>
      </c>
      <c r="R168" s="230" t="str">
        <f>IFERROR(1-(SUMIF(Grid_BD!$B:$B,$A168,Grid_BD!$V:$V)/($AA168+SUMIF(Grid_BD!$B:$B,$A168,Grid_BD!$V:$V))),"")</f>
        <v/>
      </c>
      <c r="S168" s="9"/>
      <c r="T168" s="231"/>
      <c r="U168" s="232" t="str">
        <f t="shared" ref="U168:U231" si="16">IFERROR(AA168/I168/AB168/1000,"")</f>
        <v/>
      </c>
      <c r="V168" s="232" t="str">
        <f>IFERROR(_xlfn.XLOOKUP($A168,Input_Raw!$A:$A,Input_Raw!$FG:$FG),"")</f>
        <v/>
      </c>
      <c r="W168" s="233" t="str">
        <f t="shared" ref="W168:W231" si="17">IFERROR(AA168/(24*AR168*1000),"")</f>
        <v/>
      </c>
      <c r="X168" s="29" t="str">
        <f>IFERROR(_xlfn.XLOOKUP($A168,Input_Raw!$A:$A,Input_Raw!$DP:$DP),"")</f>
        <v/>
      </c>
      <c r="Y168" s="29" t="str">
        <f>IFERROR(_xlfn.XLOOKUP($A168,Input_Raw!$A:$A,Input_Raw!EW:EW),"")</f>
        <v/>
      </c>
      <c r="Z168" s="29" t="str">
        <f>IFERROR(_xlfn.XLOOKUP($A168,Input_Raw!$A:$A,Input_Raw!EX:EX),"")</f>
        <v/>
      </c>
      <c r="AA168" s="29" t="str">
        <f>IFERROR(_xlfn.XLOOKUP($A168,Input_Raw!$A:$A,Input_Raw!FA:FA),"")</f>
        <v/>
      </c>
      <c r="AB168" s="9" t="str">
        <f>IFERROR(_xlfn.XLOOKUP($A168,Input_Raw!$A:$A,Input_Raw!FD:FD),"")</f>
        <v/>
      </c>
      <c r="AC168" s="185">
        <f>IFERROR(_xlfn.XLOOKUP($D168,'Modelling New'!$D:$D,'Modelling New'!P:P),"")</f>
        <v>5.0166666666666666</v>
      </c>
      <c r="AD168" s="29">
        <f>IFERROR(_xlfn.XLOOKUP($D168,'Modelling New'!$D:$D,'Modelling New'!T:T)*1000,"")</f>
        <v>549869.32441732171</v>
      </c>
      <c r="AE168" s="233">
        <f>IFERROR(_xlfn.XLOOKUP($D168,'Modelling New'!$D:$D,'Modelling New'!O:O),"")</f>
        <v>0.84314233235469738</v>
      </c>
      <c r="AF168" s="233">
        <f>IFERROR(_xlfn.XLOOKUP($D168,'Modelling New'!$D:$D,'Modelling New'!W:W),"")</f>
        <v>0.17624016808247492</v>
      </c>
      <c r="AG168" s="233">
        <f>IFERROR(_xlfn.XLOOKUP($D168,'Modelling New'!$D:$D,'Modelling New'!AE:AE),"")</f>
        <v>0.995</v>
      </c>
      <c r="AH168" s="234">
        <f>IFERROR(_xlfn.XLOOKUP($D168,'Modelling New'!$D:$D,'Modelling New'!AF:AF),"")</f>
        <v>0.995</v>
      </c>
      <c r="AI168" s="9"/>
      <c r="AJ168" s="9"/>
      <c r="AK168" s="258"/>
      <c r="AL168" s="258"/>
      <c r="AM168" s="258"/>
      <c r="AN168" s="235"/>
      <c r="AO168" s="233"/>
      <c r="AP168" s="233"/>
      <c r="AQ168" s="233"/>
      <c r="AR168" s="236">
        <f>_xlfn.XLOOKUP(D168,'Modelling New'!$D:$D,'Modelling New'!$N:$N)</f>
        <v>130</v>
      </c>
      <c r="AS168" s="236" t="str">
        <f t="shared" ref="AS168:AS231" si="18">IFERROR((AD168/AR168)*AB168,"")</f>
        <v/>
      </c>
    </row>
    <row r="169" spans="1:45">
      <c r="A169" s="18">
        <f t="shared" si="14"/>
        <v>45912</v>
      </c>
      <c r="B169" s="29">
        <f>YEAR(Table13[[#This Row],[Date]])+IF(MONTH(Table13[[#This Row],[Date]])&gt;=4,1,0)</f>
        <v>2026</v>
      </c>
      <c r="C169" s="9">
        <f>YEAR(Table13[[#This Row],[Date]])</f>
        <v>2025</v>
      </c>
      <c r="D169" s="229">
        <f>Table13[[#This Row],[Date]]-DAY(Table13[[#This Row],[Date]])+1</f>
        <v>45901</v>
      </c>
      <c r="E169" s="9">
        <f t="shared" si="15"/>
        <v>30</v>
      </c>
      <c r="F169" s="199" t="str">
        <f>IFERROR(_xlfn.XLOOKUP($A169,Input_Raw!$A:$A,Input_Raw!$FC:$FC),"")</f>
        <v/>
      </c>
      <c r="G169" s="185" t="str">
        <f>IFERROR(_xlfn.XLOOKUP($A169,Input_Raw!$A:$A,Input_Raw!$CY:$CY),"")</f>
        <v/>
      </c>
      <c r="H169" s="185" t="str">
        <f>IFERROR(_xlfn.XLOOKUP($A169,Input_Raw!$A:$A,Input_Raw!$DA:$DA),"")</f>
        <v/>
      </c>
      <c r="I169" s="185" t="str">
        <f>IFERROR(_xlfn.XLOOKUP($A169,Input_Raw!$A:$A,Input_Raw!$CX:$CX),"")</f>
        <v/>
      </c>
      <c r="J169" s="185" t="str">
        <f>IFERROR(_xlfn.XLOOKUP($A169,Input_Raw!$A:$A,Input_Raw!$CZ:$CZ),"")</f>
        <v/>
      </c>
      <c r="K169" s="201" t="str">
        <f>IFERROR(_xlfn.XLOOKUP($A169,Input_Raw!$A:$A,Input_Raw!$DB:$DB),"")</f>
        <v/>
      </c>
      <c r="L169" s="201" t="str">
        <f>IFERROR(_xlfn.XLOOKUP($A169,Input_Raw!$A:$A,Input_Raw!$DC:$DC),"")</f>
        <v/>
      </c>
      <c r="M169" s="200" t="str">
        <f>IFERROR(_xlfn.XLOOKUP($A169,Input_Raw!$A:$A,Input_Raw!$DF:$DF),"")</f>
        <v/>
      </c>
      <c r="N169" s="200" t="str">
        <f>IFERROR(_xlfn.XLOOKUP($A169,Input_Raw!$A:$A,Input_Raw!$DG:$DG),"")</f>
        <v/>
      </c>
      <c r="O169" s="230" t="str">
        <f>IFERROR(1-(SUMIF(Plant_BD!$B:$B,$A169,Plant_BD!$AL:$AL)/($AA169+SUMIF(Plant_BD!$B:$B,$A169,Plant_BD!$AL:$AL))),"")</f>
        <v/>
      </c>
      <c r="P169" s="230"/>
      <c r="Q169" s="231" t="str">
        <f>IFERROR(1-(SUMIF(Grid_BD!$B:$B,$A169,Grid_BD!$V:$V)/($AA169+SUMIF(Grid_BD!$B:$B,$A169,Grid_BD!$V:$V))),"")</f>
        <v/>
      </c>
      <c r="R169" s="230" t="str">
        <f>IFERROR(1-(SUMIF(Grid_BD!$B:$B,$A169,Grid_BD!$V:$V)/($AA169+SUMIF(Grid_BD!$B:$B,$A169,Grid_BD!$V:$V))),"")</f>
        <v/>
      </c>
      <c r="S169" s="9"/>
      <c r="T169" s="231"/>
      <c r="U169" s="232" t="str">
        <f t="shared" si="16"/>
        <v/>
      </c>
      <c r="V169" s="232" t="str">
        <f>IFERROR(_xlfn.XLOOKUP($A169,Input_Raw!$A:$A,Input_Raw!$FG:$FG),"")</f>
        <v/>
      </c>
      <c r="W169" s="233" t="str">
        <f t="shared" si="17"/>
        <v/>
      </c>
      <c r="X169" s="29" t="str">
        <f>IFERROR(_xlfn.XLOOKUP($A169,Input_Raw!$A:$A,Input_Raw!$DP:$DP),"")</f>
        <v/>
      </c>
      <c r="Y169" s="29" t="str">
        <f>IFERROR(_xlfn.XLOOKUP($A169,Input_Raw!$A:$A,Input_Raw!EW:EW),"")</f>
        <v/>
      </c>
      <c r="Z169" s="29" t="str">
        <f>IFERROR(_xlfn.XLOOKUP($A169,Input_Raw!$A:$A,Input_Raw!EX:EX),"")</f>
        <v/>
      </c>
      <c r="AA169" s="29" t="str">
        <f>IFERROR(_xlfn.XLOOKUP($A169,Input_Raw!$A:$A,Input_Raw!FA:FA),"")</f>
        <v/>
      </c>
      <c r="AB169" s="9" t="str">
        <f>IFERROR(_xlfn.XLOOKUP($A169,Input_Raw!$A:$A,Input_Raw!FD:FD),"")</f>
        <v/>
      </c>
      <c r="AC169" s="185">
        <f>IFERROR(_xlfn.XLOOKUP($D169,'Modelling New'!$D:$D,'Modelling New'!P:P),"")</f>
        <v>5.0166666666666666</v>
      </c>
      <c r="AD169" s="29">
        <f>IFERROR(_xlfn.XLOOKUP($D169,'Modelling New'!$D:$D,'Modelling New'!T:T)*1000,"")</f>
        <v>549869.32441732171</v>
      </c>
      <c r="AE169" s="233">
        <f>IFERROR(_xlfn.XLOOKUP($D169,'Modelling New'!$D:$D,'Modelling New'!O:O),"")</f>
        <v>0.84314233235469738</v>
      </c>
      <c r="AF169" s="233">
        <f>IFERROR(_xlfn.XLOOKUP($D169,'Modelling New'!$D:$D,'Modelling New'!W:W),"")</f>
        <v>0.17624016808247492</v>
      </c>
      <c r="AG169" s="233">
        <f>IFERROR(_xlfn.XLOOKUP($D169,'Modelling New'!$D:$D,'Modelling New'!AE:AE),"")</f>
        <v>0.995</v>
      </c>
      <c r="AH169" s="234">
        <f>IFERROR(_xlfn.XLOOKUP($D169,'Modelling New'!$D:$D,'Modelling New'!AF:AF),"")</f>
        <v>0.995</v>
      </c>
      <c r="AI169" s="9"/>
      <c r="AJ169" s="9"/>
      <c r="AK169" s="258"/>
      <c r="AL169" s="258"/>
      <c r="AM169" s="258"/>
      <c r="AN169" s="235"/>
      <c r="AO169" s="233"/>
      <c r="AP169" s="233"/>
      <c r="AQ169" s="233"/>
      <c r="AR169" s="236">
        <f>_xlfn.XLOOKUP(D169,'Modelling New'!$D:$D,'Modelling New'!$N:$N)</f>
        <v>130</v>
      </c>
      <c r="AS169" s="236" t="str">
        <f t="shared" si="18"/>
        <v/>
      </c>
    </row>
    <row r="170" spans="1:45">
      <c r="A170" s="18">
        <f t="shared" ref="A170:A233" si="19">A169+1</f>
        <v>45913</v>
      </c>
      <c r="B170" s="29">
        <f>YEAR(Table13[[#This Row],[Date]])+IF(MONTH(Table13[[#This Row],[Date]])&gt;=4,1,0)</f>
        <v>2026</v>
      </c>
      <c r="C170" s="9">
        <f>YEAR(Table13[[#This Row],[Date]])</f>
        <v>2025</v>
      </c>
      <c r="D170" s="229">
        <f>Table13[[#This Row],[Date]]-DAY(Table13[[#This Row],[Date]])+1</f>
        <v>45901</v>
      </c>
      <c r="E170" s="9">
        <f t="shared" si="15"/>
        <v>30</v>
      </c>
      <c r="F170" s="199" t="str">
        <f>IFERROR(_xlfn.XLOOKUP($A170,Input_Raw!$A:$A,Input_Raw!$FC:$FC),"")</f>
        <v/>
      </c>
      <c r="G170" s="200" t="str">
        <f>IFERROR(_xlfn.XLOOKUP($A170,Input_Raw!$A:$A,Input_Raw!$CY:$CY),"")</f>
        <v/>
      </c>
      <c r="H170" s="200" t="str">
        <f>IFERROR(_xlfn.XLOOKUP($A170,Input_Raw!$A:$A,Input_Raw!$DA:$DA),"")</f>
        <v/>
      </c>
      <c r="I170" s="200" t="str">
        <f>IFERROR(_xlfn.XLOOKUP($A170,Input_Raw!$A:$A,Input_Raw!$CX:$CX),"")</f>
        <v/>
      </c>
      <c r="J170" s="200" t="str">
        <f>IFERROR(_xlfn.XLOOKUP($A170,Input_Raw!$A:$A,Input_Raw!$CZ:$CZ),"")</f>
        <v/>
      </c>
      <c r="K170" s="201" t="str">
        <f>IFERROR(_xlfn.XLOOKUP($A170,Input_Raw!$A:$A,Input_Raw!$DB:$DB),"")</f>
        <v/>
      </c>
      <c r="L170" s="201" t="str">
        <f>IFERROR(_xlfn.XLOOKUP($A170,Input_Raw!$A:$A,Input_Raw!$DC:$DC),"")</f>
        <v/>
      </c>
      <c r="M170" s="200" t="str">
        <f>IFERROR(_xlfn.XLOOKUP($A170,Input_Raw!$A:$A,Input_Raw!$DF:$DF),"")</f>
        <v/>
      </c>
      <c r="N170" s="200" t="str">
        <f>IFERROR(_xlfn.XLOOKUP($A170,Input_Raw!$A:$A,Input_Raw!$DG:$DG),"")</f>
        <v/>
      </c>
      <c r="O170" s="230" t="str">
        <f>IFERROR(1-(SUMIF(Plant_BD!$B:$B,$A170,Plant_BD!$AL:$AL)/($AA170+SUMIF(Plant_BD!$B:$B,$A170,Plant_BD!$AL:$AL))),"")</f>
        <v/>
      </c>
      <c r="P170" s="230"/>
      <c r="Q170" s="231" t="str">
        <f>IFERROR(1-(SUMIF(Grid_BD!$B:$B,$A170,Grid_BD!$V:$V)/($AA170+SUMIF(Grid_BD!$B:$B,$A170,Grid_BD!$V:$V))),"")</f>
        <v/>
      </c>
      <c r="R170" s="230" t="str">
        <f>IFERROR(1-(SUMIF(Grid_BD!$B:$B,$A170,Grid_BD!$V:$V)/($AA170+SUMIF(Grid_BD!$B:$B,$A170,Grid_BD!$V:$V))),"")</f>
        <v/>
      </c>
      <c r="S170" s="9"/>
      <c r="T170" s="231"/>
      <c r="U170" s="232" t="str">
        <f t="shared" si="16"/>
        <v/>
      </c>
      <c r="V170" s="232" t="str">
        <f>IFERROR(_xlfn.XLOOKUP($A170,Input_Raw!$A:$A,Input_Raw!$FG:$FG),"")</f>
        <v/>
      </c>
      <c r="W170" s="233" t="str">
        <f t="shared" si="17"/>
        <v/>
      </c>
      <c r="X170" s="29" t="str">
        <f>IFERROR(_xlfn.XLOOKUP($A170,Input_Raw!$A:$A,Input_Raw!$DP:$DP),"")</f>
        <v/>
      </c>
      <c r="Y170" s="29" t="str">
        <f>IFERROR(_xlfn.XLOOKUP($A170,Input_Raw!$A:$A,Input_Raw!EW:EW),"")</f>
        <v/>
      </c>
      <c r="Z170" s="29" t="str">
        <f>IFERROR(_xlfn.XLOOKUP($A170,Input_Raw!$A:$A,Input_Raw!EX:EX),"")</f>
        <v/>
      </c>
      <c r="AA170" s="29" t="str">
        <f>IFERROR(_xlfn.XLOOKUP($A170,Input_Raw!$A:$A,Input_Raw!FA:FA),"")</f>
        <v/>
      </c>
      <c r="AB170" s="9" t="str">
        <f>IFERROR(_xlfn.XLOOKUP($A170,Input_Raw!$A:$A,Input_Raw!FD:FD),"")</f>
        <v/>
      </c>
      <c r="AC170" s="185">
        <f>IFERROR(_xlfn.XLOOKUP($D170,'Modelling New'!$D:$D,'Modelling New'!P:P),"")</f>
        <v>5.0166666666666666</v>
      </c>
      <c r="AD170" s="29">
        <f>IFERROR(_xlfn.XLOOKUP($D170,'Modelling New'!$D:$D,'Modelling New'!T:T)*1000,"")</f>
        <v>549869.32441732171</v>
      </c>
      <c r="AE170" s="233">
        <f>IFERROR(_xlfn.XLOOKUP($D170,'Modelling New'!$D:$D,'Modelling New'!O:O),"")</f>
        <v>0.84314233235469738</v>
      </c>
      <c r="AF170" s="233">
        <f>IFERROR(_xlfn.XLOOKUP($D170,'Modelling New'!$D:$D,'Modelling New'!W:W),"")</f>
        <v>0.17624016808247492</v>
      </c>
      <c r="AG170" s="233">
        <f>IFERROR(_xlfn.XLOOKUP($D170,'Modelling New'!$D:$D,'Modelling New'!AE:AE),"")</f>
        <v>0.995</v>
      </c>
      <c r="AH170" s="234">
        <f>IFERROR(_xlfn.XLOOKUP($D170,'Modelling New'!$D:$D,'Modelling New'!AF:AF),"")</f>
        <v>0.995</v>
      </c>
      <c r="AI170" s="9"/>
      <c r="AJ170" s="9"/>
      <c r="AK170" s="258"/>
      <c r="AL170" s="258"/>
      <c r="AM170" s="258"/>
      <c r="AN170" s="235"/>
      <c r="AO170" s="233"/>
      <c r="AP170" s="233"/>
      <c r="AQ170" s="233"/>
      <c r="AR170" s="236">
        <f>_xlfn.XLOOKUP(D170,'Modelling New'!$D:$D,'Modelling New'!$N:$N)</f>
        <v>130</v>
      </c>
      <c r="AS170" s="236" t="str">
        <f t="shared" si="18"/>
        <v/>
      </c>
    </row>
    <row r="171" spans="1:45">
      <c r="A171" s="18">
        <f t="shared" si="19"/>
        <v>45914</v>
      </c>
      <c r="B171" s="29">
        <f>YEAR(Table13[[#This Row],[Date]])+IF(MONTH(Table13[[#This Row],[Date]])&gt;=4,1,0)</f>
        <v>2026</v>
      </c>
      <c r="C171" s="9">
        <f>YEAR(Table13[[#This Row],[Date]])</f>
        <v>2025</v>
      </c>
      <c r="D171" s="229">
        <f>Table13[[#This Row],[Date]]-DAY(Table13[[#This Row],[Date]])+1</f>
        <v>45901</v>
      </c>
      <c r="E171" s="9">
        <f t="shared" si="15"/>
        <v>30</v>
      </c>
      <c r="F171" s="199" t="str">
        <f>IFERROR(_xlfn.XLOOKUP($A171,Input_Raw!$A:$A,Input_Raw!$FC:$FC),"")</f>
        <v/>
      </c>
      <c r="G171" s="185" t="str">
        <f>IFERROR(_xlfn.XLOOKUP($A171,Input_Raw!$A:$A,Input_Raw!$CY:$CY),"")</f>
        <v/>
      </c>
      <c r="H171" s="185" t="str">
        <f>IFERROR(_xlfn.XLOOKUP($A171,Input_Raw!$A:$A,Input_Raw!$DA:$DA),"")</f>
        <v/>
      </c>
      <c r="I171" s="185" t="str">
        <f>IFERROR(_xlfn.XLOOKUP($A171,Input_Raw!$A:$A,Input_Raw!$CX:$CX),"")</f>
        <v/>
      </c>
      <c r="J171" s="185" t="str">
        <f>IFERROR(_xlfn.XLOOKUP($A171,Input_Raw!$A:$A,Input_Raw!$CZ:$CZ),"")</f>
        <v/>
      </c>
      <c r="K171" s="201" t="str">
        <f>IFERROR(_xlfn.XLOOKUP($A171,Input_Raw!$A:$A,Input_Raw!$DB:$DB),"")</f>
        <v/>
      </c>
      <c r="L171" s="201" t="str">
        <f>IFERROR(_xlfn.XLOOKUP($A171,Input_Raw!$A:$A,Input_Raw!$DC:$DC),"")</f>
        <v/>
      </c>
      <c r="M171" s="200" t="str">
        <f>IFERROR(_xlfn.XLOOKUP($A171,Input_Raw!$A:$A,Input_Raw!$DF:$DF),"")</f>
        <v/>
      </c>
      <c r="N171" s="200" t="str">
        <f>IFERROR(_xlfn.XLOOKUP($A171,Input_Raw!$A:$A,Input_Raw!$DG:$DG),"")</f>
        <v/>
      </c>
      <c r="O171" s="230" t="str">
        <f>IFERROR(1-(SUMIF(Plant_BD!$B:$B,$A171,Plant_BD!$AL:$AL)/($AA171+SUMIF(Plant_BD!$B:$B,$A171,Plant_BD!$AL:$AL))),"")</f>
        <v/>
      </c>
      <c r="P171" s="230"/>
      <c r="Q171" s="231" t="str">
        <f>IFERROR(1-(SUMIF(Grid_BD!$B:$B,$A171,Grid_BD!$V:$V)/($AA171+SUMIF(Grid_BD!$B:$B,$A171,Grid_BD!$V:$V))),"")</f>
        <v/>
      </c>
      <c r="R171" s="230" t="str">
        <f>IFERROR(1-(SUMIF(Grid_BD!$B:$B,$A171,Grid_BD!$V:$V)/($AA171+SUMIF(Grid_BD!$B:$B,$A171,Grid_BD!$V:$V))),"")</f>
        <v/>
      </c>
      <c r="S171" s="9"/>
      <c r="T171" s="231"/>
      <c r="U171" s="232" t="str">
        <f t="shared" si="16"/>
        <v/>
      </c>
      <c r="V171" s="232" t="str">
        <f>IFERROR(_xlfn.XLOOKUP($A171,Input_Raw!$A:$A,Input_Raw!$FG:$FG),"")</f>
        <v/>
      </c>
      <c r="W171" s="233" t="str">
        <f t="shared" si="17"/>
        <v/>
      </c>
      <c r="X171" s="29" t="str">
        <f>IFERROR(_xlfn.XLOOKUP($A171,Input_Raw!$A:$A,Input_Raw!$DP:$DP),"")</f>
        <v/>
      </c>
      <c r="Y171" s="29" t="str">
        <f>IFERROR(_xlfn.XLOOKUP($A171,Input_Raw!$A:$A,Input_Raw!EW:EW),"")</f>
        <v/>
      </c>
      <c r="Z171" s="29" t="str">
        <f>IFERROR(_xlfn.XLOOKUP($A171,Input_Raw!$A:$A,Input_Raw!EX:EX),"")</f>
        <v/>
      </c>
      <c r="AA171" s="29" t="str">
        <f>IFERROR(_xlfn.XLOOKUP($A171,Input_Raw!$A:$A,Input_Raw!FA:FA),"")</f>
        <v/>
      </c>
      <c r="AB171" s="9" t="str">
        <f>IFERROR(_xlfn.XLOOKUP($A171,Input_Raw!$A:$A,Input_Raw!FD:FD),"")</f>
        <v/>
      </c>
      <c r="AC171" s="185">
        <f>IFERROR(_xlfn.XLOOKUP($D171,'Modelling New'!$D:$D,'Modelling New'!P:P),"")</f>
        <v>5.0166666666666666</v>
      </c>
      <c r="AD171" s="29">
        <f>IFERROR(_xlfn.XLOOKUP($D171,'Modelling New'!$D:$D,'Modelling New'!T:T)*1000,"")</f>
        <v>549869.32441732171</v>
      </c>
      <c r="AE171" s="233">
        <f>IFERROR(_xlfn.XLOOKUP($D171,'Modelling New'!$D:$D,'Modelling New'!O:O),"")</f>
        <v>0.84314233235469738</v>
      </c>
      <c r="AF171" s="233">
        <f>IFERROR(_xlfn.XLOOKUP($D171,'Modelling New'!$D:$D,'Modelling New'!W:W),"")</f>
        <v>0.17624016808247492</v>
      </c>
      <c r="AG171" s="233">
        <f>IFERROR(_xlfn.XLOOKUP($D171,'Modelling New'!$D:$D,'Modelling New'!AE:AE),"")</f>
        <v>0.995</v>
      </c>
      <c r="AH171" s="234">
        <f>IFERROR(_xlfn.XLOOKUP($D171,'Modelling New'!$D:$D,'Modelling New'!AF:AF),"")</f>
        <v>0.995</v>
      </c>
      <c r="AI171" s="9"/>
      <c r="AJ171" s="9"/>
      <c r="AK171" s="258"/>
      <c r="AL171" s="258"/>
      <c r="AM171" s="258"/>
      <c r="AN171" s="235"/>
      <c r="AO171" s="233"/>
      <c r="AP171" s="233"/>
      <c r="AQ171" s="233"/>
      <c r="AR171" s="236">
        <f>_xlfn.XLOOKUP(D171,'Modelling New'!$D:$D,'Modelling New'!$N:$N)</f>
        <v>130</v>
      </c>
      <c r="AS171" s="236" t="str">
        <f t="shared" si="18"/>
        <v/>
      </c>
    </row>
    <row r="172" spans="1:45">
      <c r="A172" s="18">
        <f t="shared" si="19"/>
        <v>45915</v>
      </c>
      <c r="B172" s="29">
        <f>YEAR(Table13[[#This Row],[Date]])+IF(MONTH(Table13[[#This Row],[Date]])&gt;=4,1,0)</f>
        <v>2026</v>
      </c>
      <c r="C172" s="9">
        <f>YEAR(Table13[[#This Row],[Date]])</f>
        <v>2025</v>
      </c>
      <c r="D172" s="229">
        <f>Table13[[#This Row],[Date]]-DAY(Table13[[#This Row],[Date]])+1</f>
        <v>45901</v>
      </c>
      <c r="E172" s="9">
        <f t="shared" si="15"/>
        <v>30</v>
      </c>
      <c r="F172" s="199" t="str">
        <f>IFERROR(_xlfn.XLOOKUP($A172,Input_Raw!$A:$A,Input_Raw!$FC:$FC),"")</f>
        <v/>
      </c>
      <c r="G172" s="200" t="str">
        <f>IFERROR(_xlfn.XLOOKUP($A172,Input_Raw!$A:$A,Input_Raw!$CY:$CY),"")</f>
        <v/>
      </c>
      <c r="H172" s="200" t="str">
        <f>IFERROR(_xlfn.XLOOKUP($A172,Input_Raw!$A:$A,Input_Raw!$DA:$DA),"")</f>
        <v/>
      </c>
      <c r="I172" s="200" t="str">
        <f>IFERROR(_xlfn.XLOOKUP($A172,Input_Raw!$A:$A,Input_Raw!$CX:$CX),"")</f>
        <v/>
      </c>
      <c r="J172" s="200" t="str">
        <f>IFERROR(_xlfn.XLOOKUP($A172,Input_Raw!$A:$A,Input_Raw!$CZ:$CZ),"")</f>
        <v/>
      </c>
      <c r="K172" s="201" t="str">
        <f>IFERROR(_xlfn.XLOOKUP($A172,Input_Raw!$A:$A,Input_Raw!$DB:$DB),"")</f>
        <v/>
      </c>
      <c r="L172" s="201" t="str">
        <f>IFERROR(_xlfn.XLOOKUP($A172,Input_Raw!$A:$A,Input_Raw!$DC:$DC),"")</f>
        <v/>
      </c>
      <c r="M172" s="200" t="str">
        <f>IFERROR(_xlfn.XLOOKUP($A172,Input_Raw!$A:$A,Input_Raw!$DF:$DF),"")</f>
        <v/>
      </c>
      <c r="N172" s="200" t="str">
        <f>IFERROR(_xlfn.XLOOKUP($A172,Input_Raw!$A:$A,Input_Raw!$DG:$DG),"")</f>
        <v/>
      </c>
      <c r="O172" s="230" t="str">
        <f>IFERROR(1-(SUMIF(Plant_BD!$B:$B,$A172,Plant_BD!$AL:$AL)/($AA172+SUMIF(Plant_BD!$B:$B,$A172,Plant_BD!$AL:$AL))),"")</f>
        <v/>
      </c>
      <c r="P172" s="230"/>
      <c r="Q172" s="231" t="str">
        <f>IFERROR(1-(SUMIF(Grid_BD!$B:$B,$A172,Grid_BD!$V:$V)/($AA172+SUMIF(Grid_BD!$B:$B,$A172,Grid_BD!$V:$V))),"")</f>
        <v/>
      </c>
      <c r="R172" s="230" t="str">
        <f>IFERROR(1-(SUMIF(Grid_BD!$B:$B,$A172,Grid_BD!$V:$V)/($AA172+SUMIF(Grid_BD!$B:$B,$A172,Grid_BD!$V:$V))),"")</f>
        <v/>
      </c>
      <c r="S172" s="9"/>
      <c r="T172" s="231"/>
      <c r="U172" s="232" t="str">
        <f t="shared" si="16"/>
        <v/>
      </c>
      <c r="V172" s="232" t="str">
        <f>IFERROR(_xlfn.XLOOKUP($A172,Input_Raw!$A:$A,Input_Raw!$FG:$FG),"")</f>
        <v/>
      </c>
      <c r="W172" s="233" t="str">
        <f t="shared" si="17"/>
        <v/>
      </c>
      <c r="X172" s="29" t="str">
        <f>IFERROR(_xlfn.XLOOKUP($A172,Input_Raw!$A:$A,Input_Raw!$DP:$DP),"")</f>
        <v/>
      </c>
      <c r="Y172" s="29" t="str">
        <f>IFERROR(_xlfn.XLOOKUP($A172,Input_Raw!$A:$A,Input_Raw!EW:EW),"")</f>
        <v/>
      </c>
      <c r="Z172" s="29" t="str">
        <f>IFERROR(_xlfn.XLOOKUP($A172,Input_Raw!$A:$A,Input_Raw!EX:EX),"")</f>
        <v/>
      </c>
      <c r="AA172" s="29" t="str">
        <f>IFERROR(_xlfn.XLOOKUP($A172,Input_Raw!$A:$A,Input_Raw!FA:FA),"")</f>
        <v/>
      </c>
      <c r="AB172" s="9" t="str">
        <f>IFERROR(_xlfn.XLOOKUP($A172,Input_Raw!$A:$A,Input_Raw!FD:FD),"")</f>
        <v/>
      </c>
      <c r="AC172" s="185">
        <f>IFERROR(_xlfn.XLOOKUP($D172,'Modelling New'!$D:$D,'Modelling New'!P:P),"")</f>
        <v>5.0166666666666666</v>
      </c>
      <c r="AD172" s="29">
        <f>IFERROR(_xlfn.XLOOKUP($D172,'Modelling New'!$D:$D,'Modelling New'!T:T)*1000,"")</f>
        <v>549869.32441732171</v>
      </c>
      <c r="AE172" s="233">
        <f>IFERROR(_xlfn.XLOOKUP($D172,'Modelling New'!$D:$D,'Modelling New'!O:O),"")</f>
        <v>0.84314233235469738</v>
      </c>
      <c r="AF172" s="233">
        <f>IFERROR(_xlfn.XLOOKUP($D172,'Modelling New'!$D:$D,'Modelling New'!W:W),"")</f>
        <v>0.17624016808247492</v>
      </c>
      <c r="AG172" s="233">
        <f>IFERROR(_xlfn.XLOOKUP($D172,'Modelling New'!$D:$D,'Modelling New'!AE:AE),"")</f>
        <v>0.995</v>
      </c>
      <c r="AH172" s="234">
        <f>IFERROR(_xlfn.XLOOKUP($D172,'Modelling New'!$D:$D,'Modelling New'!AF:AF),"")</f>
        <v>0.995</v>
      </c>
      <c r="AI172" s="9"/>
      <c r="AJ172" s="9"/>
      <c r="AK172" s="258"/>
      <c r="AL172" s="258"/>
      <c r="AM172" s="258"/>
      <c r="AN172" s="235"/>
      <c r="AO172" s="233"/>
      <c r="AP172" s="233"/>
      <c r="AQ172" s="233"/>
      <c r="AR172" s="236">
        <f>_xlfn.XLOOKUP(D172,'Modelling New'!$D:$D,'Modelling New'!$N:$N)</f>
        <v>130</v>
      </c>
      <c r="AS172" s="236" t="str">
        <f t="shared" si="18"/>
        <v/>
      </c>
    </row>
    <row r="173" spans="1:45">
      <c r="A173" s="18">
        <f t="shared" si="19"/>
        <v>45916</v>
      </c>
      <c r="B173" s="29">
        <f>YEAR(Table13[[#This Row],[Date]])+IF(MONTH(Table13[[#This Row],[Date]])&gt;=4,1,0)</f>
        <v>2026</v>
      </c>
      <c r="C173" s="9">
        <f>YEAR(Table13[[#This Row],[Date]])</f>
        <v>2025</v>
      </c>
      <c r="D173" s="229">
        <f>Table13[[#This Row],[Date]]-DAY(Table13[[#This Row],[Date]])+1</f>
        <v>45901</v>
      </c>
      <c r="E173" s="9">
        <f t="shared" si="15"/>
        <v>30</v>
      </c>
      <c r="F173" s="199" t="str">
        <f>IFERROR(_xlfn.XLOOKUP($A173,Input_Raw!$A:$A,Input_Raw!$FC:$FC),"")</f>
        <v/>
      </c>
      <c r="G173" s="185" t="str">
        <f>IFERROR(_xlfn.XLOOKUP($A173,Input_Raw!$A:$A,Input_Raw!$CY:$CY),"")</f>
        <v/>
      </c>
      <c r="H173" s="185" t="str">
        <f>IFERROR(_xlfn.XLOOKUP($A173,Input_Raw!$A:$A,Input_Raw!$DA:$DA),"")</f>
        <v/>
      </c>
      <c r="I173" s="185" t="str">
        <f>IFERROR(_xlfn.XLOOKUP($A173,Input_Raw!$A:$A,Input_Raw!$CX:$CX),"")</f>
        <v/>
      </c>
      <c r="J173" s="185" t="str">
        <f>IFERROR(_xlfn.XLOOKUP($A173,Input_Raw!$A:$A,Input_Raw!$CZ:$CZ),"")</f>
        <v/>
      </c>
      <c r="K173" s="201" t="str">
        <f>IFERROR(_xlfn.XLOOKUP($A173,Input_Raw!$A:$A,Input_Raw!$DB:$DB),"")</f>
        <v/>
      </c>
      <c r="L173" s="201" t="str">
        <f>IFERROR(_xlfn.XLOOKUP($A173,Input_Raw!$A:$A,Input_Raw!$DC:$DC),"")</f>
        <v/>
      </c>
      <c r="M173" s="200" t="str">
        <f>IFERROR(_xlfn.XLOOKUP($A173,Input_Raw!$A:$A,Input_Raw!$DF:$DF),"")</f>
        <v/>
      </c>
      <c r="N173" s="200" t="str">
        <f>IFERROR(_xlfn.XLOOKUP($A173,Input_Raw!$A:$A,Input_Raw!$DG:$DG),"")</f>
        <v/>
      </c>
      <c r="O173" s="230" t="str">
        <f>IFERROR(1-(SUMIF(Plant_BD!$B:$B,$A173,Plant_BD!$AL:$AL)/($AA173+SUMIF(Plant_BD!$B:$B,$A173,Plant_BD!$AL:$AL))),"")</f>
        <v/>
      </c>
      <c r="P173" s="230"/>
      <c r="Q173" s="231" t="str">
        <f>IFERROR(1-(SUMIF(Grid_BD!$B:$B,$A173,Grid_BD!$V:$V)/($AA173+SUMIF(Grid_BD!$B:$B,$A173,Grid_BD!$V:$V))),"")</f>
        <v/>
      </c>
      <c r="R173" s="230" t="str">
        <f>IFERROR(1-(SUMIF(Grid_BD!$B:$B,$A173,Grid_BD!$V:$V)/($AA173+SUMIF(Grid_BD!$B:$B,$A173,Grid_BD!$V:$V))),"")</f>
        <v/>
      </c>
      <c r="S173" s="9"/>
      <c r="T173" s="231"/>
      <c r="U173" s="232" t="str">
        <f t="shared" si="16"/>
        <v/>
      </c>
      <c r="V173" s="232" t="str">
        <f>IFERROR(_xlfn.XLOOKUP($A173,Input_Raw!$A:$A,Input_Raw!$FG:$FG),"")</f>
        <v/>
      </c>
      <c r="W173" s="233" t="str">
        <f t="shared" si="17"/>
        <v/>
      </c>
      <c r="X173" s="29" t="str">
        <f>IFERROR(_xlfn.XLOOKUP($A173,Input_Raw!$A:$A,Input_Raw!$DP:$DP),"")</f>
        <v/>
      </c>
      <c r="Y173" s="29" t="str">
        <f>IFERROR(_xlfn.XLOOKUP($A173,Input_Raw!$A:$A,Input_Raw!EW:EW),"")</f>
        <v/>
      </c>
      <c r="Z173" s="29" t="str">
        <f>IFERROR(_xlfn.XLOOKUP($A173,Input_Raw!$A:$A,Input_Raw!EX:EX),"")</f>
        <v/>
      </c>
      <c r="AA173" s="29" t="str">
        <f>IFERROR(_xlfn.XLOOKUP($A173,Input_Raw!$A:$A,Input_Raw!FA:FA),"")</f>
        <v/>
      </c>
      <c r="AB173" s="9" t="str">
        <f>IFERROR(_xlfn.XLOOKUP($A173,Input_Raw!$A:$A,Input_Raw!FD:FD),"")</f>
        <v/>
      </c>
      <c r="AC173" s="185">
        <f>IFERROR(_xlfn.XLOOKUP($D173,'Modelling New'!$D:$D,'Modelling New'!P:P),"")</f>
        <v>5.0166666666666666</v>
      </c>
      <c r="AD173" s="29">
        <f>IFERROR(_xlfn.XLOOKUP($D173,'Modelling New'!$D:$D,'Modelling New'!T:T)*1000,"")</f>
        <v>549869.32441732171</v>
      </c>
      <c r="AE173" s="233">
        <f>IFERROR(_xlfn.XLOOKUP($D173,'Modelling New'!$D:$D,'Modelling New'!O:O),"")</f>
        <v>0.84314233235469738</v>
      </c>
      <c r="AF173" s="233">
        <f>IFERROR(_xlfn.XLOOKUP($D173,'Modelling New'!$D:$D,'Modelling New'!W:W),"")</f>
        <v>0.17624016808247492</v>
      </c>
      <c r="AG173" s="233">
        <f>IFERROR(_xlfn.XLOOKUP($D173,'Modelling New'!$D:$D,'Modelling New'!AE:AE),"")</f>
        <v>0.995</v>
      </c>
      <c r="AH173" s="234">
        <f>IFERROR(_xlfn.XLOOKUP($D173,'Modelling New'!$D:$D,'Modelling New'!AF:AF),"")</f>
        <v>0.995</v>
      </c>
      <c r="AI173" s="9"/>
      <c r="AJ173" s="9"/>
      <c r="AK173" s="258"/>
      <c r="AL173" s="258"/>
      <c r="AM173" s="258"/>
      <c r="AN173" s="235"/>
      <c r="AO173" s="233"/>
      <c r="AP173" s="233"/>
      <c r="AQ173" s="233"/>
      <c r="AR173" s="236">
        <f>_xlfn.XLOOKUP(D173,'Modelling New'!$D:$D,'Modelling New'!$N:$N)</f>
        <v>130</v>
      </c>
      <c r="AS173" s="236" t="str">
        <f t="shared" si="18"/>
        <v/>
      </c>
    </row>
    <row r="174" spans="1:45">
      <c r="A174" s="18">
        <f t="shared" si="19"/>
        <v>45917</v>
      </c>
      <c r="B174" s="29">
        <f>YEAR(Table13[[#This Row],[Date]])+IF(MONTH(Table13[[#This Row],[Date]])&gt;=4,1,0)</f>
        <v>2026</v>
      </c>
      <c r="C174" s="9">
        <f>YEAR(Table13[[#This Row],[Date]])</f>
        <v>2025</v>
      </c>
      <c r="D174" s="229">
        <f>Table13[[#This Row],[Date]]-DAY(Table13[[#This Row],[Date]])+1</f>
        <v>45901</v>
      </c>
      <c r="E174" s="9">
        <f t="shared" si="15"/>
        <v>30</v>
      </c>
      <c r="F174" s="199" t="str">
        <f>IFERROR(_xlfn.XLOOKUP($A174,Input_Raw!$A:$A,Input_Raw!$FC:$FC),"")</f>
        <v/>
      </c>
      <c r="G174" s="200" t="str">
        <f>IFERROR(_xlfn.XLOOKUP($A174,Input_Raw!$A:$A,Input_Raw!$CY:$CY),"")</f>
        <v/>
      </c>
      <c r="H174" s="200" t="str">
        <f>IFERROR(_xlfn.XLOOKUP($A174,Input_Raw!$A:$A,Input_Raw!$DA:$DA),"")</f>
        <v/>
      </c>
      <c r="I174" s="200" t="str">
        <f>IFERROR(_xlfn.XLOOKUP($A174,Input_Raw!$A:$A,Input_Raw!$CX:$CX),"")</f>
        <v/>
      </c>
      <c r="J174" s="200" t="str">
        <f>IFERROR(_xlfn.XLOOKUP($A174,Input_Raw!$A:$A,Input_Raw!$CZ:$CZ),"")</f>
        <v/>
      </c>
      <c r="K174" s="201" t="str">
        <f>IFERROR(_xlfn.XLOOKUP($A174,Input_Raw!$A:$A,Input_Raw!$DB:$DB),"")</f>
        <v/>
      </c>
      <c r="L174" s="201" t="str">
        <f>IFERROR(_xlfn.XLOOKUP($A174,Input_Raw!$A:$A,Input_Raw!$DC:$DC),"")</f>
        <v/>
      </c>
      <c r="M174" s="200" t="str">
        <f>IFERROR(_xlfn.XLOOKUP($A174,Input_Raw!$A:$A,Input_Raw!$DF:$DF),"")</f>
        <v/>
      </c>
      <c r="N174" s="200" t="str">
        <f>IFERROR(_xlfn.XLOOKUP($A174,Input_Raw!$A:$A,Input_Raw!$DG:$DG),"")</f>
        <v/>
      </c>
      <c r="O174" s="230" t="str">
        <f>IFERROR(1-(SUMIF(Plant_BD!$B:$B,$A174,Plant_BD!$AL:$AL)/($AA174+SUMIF(Plant_BD!$B:$B,$A174,Plant_BD!$AL:$AL))),"")</f>
        <v/>
      </c>
      <c r="P174" s="230"/>
      <c r="Q174" s="231" t="str">
        <f>IFERROR(1-(SUMIF(Grid_BD!$B:$B,$A174,Grid_BD!$V:$V)/($AA174+SUMIF(Grid_BD!$B:$B,$A174,Grid_BD!$V:$V))),"")</f>
        <v/>
      </c>
      <c r="R174" s="230" t="str">
        <f>IFERROR(1-(SUMIF(Grid_BD!$B:$B,$A174,Grid_BD!$V:$V)/($AA174+SUMIF(Grid_BD!$B:$B,$A174,Grid_BD!$V:$V))),"")</f>
        <v/>
      </c>
      <c r="S174" s="9"/>
      <c r="T174" s="231"/>
      <c r="U174" s="232" t="str">
        <f t="shared" si="16"/>
        <v/>
      </c>
      <c r="V174" s="232" t="str">
        <f>IFERROR(_xlfn.XLOOKUP($A174,Input_Raw!$A:$A,Input_Raw!$FG:$FG),"")</f>
        <v/>
      </c>
      <c r="W174" s="233" t="str">
        <f t="shared" si="17"/>
        <v/>
      </c>
      <c r="X174" s="29" t="str">
        <f>IFERROR(_xlfn.XLOOKUP($A174,Input_Raw!$A:$A,Input_Raw!$DP:$DP),"")</f>
        <v/>
      </c>
      <c r="Y174" s="29" t="str">
        <f>IFERROR(_xlfn.XLOOKUP($A174,Input_Raw!$A:$A,Input_Raw!EW:EW),"")</f>
        <v/>
      </c>
      <c r="Z174" s="29" t="str">
        <f>IFERROR(_xlfn.XLOOKUP($A174,Input_Raw!$A:$A,Input_Raw!EX:EX),"")</f>
        <v/>
      </c>
      <c r="AA174" s="29" t="str">
        <f>IFERROR(_xlfn.XLOOKUP($A174,Input_Raw!$A:$A,Input_Raw!FA:FA),"")</f>
        <v/>
      </c>
      <c r="AB174" s="9" t="str">
        <f>IFERROR(_xlfn.XLOOKUP($A174,Input_Raw!$A:$A,Input_Raw!FD:FD),"")</f>
        <v/>
      </c>
      <c r="AC174" s="185">
        <f>IFERROR(_xlfn.XLOOKUP($D174,'Modelling New'!$D:$D,'Modelling New'!P:P),"")</f>
        <v>5.0166666666666666</v>
      </c>
      <c r="AD174" s="29">
        <f>IFERROR(_xlfn.XLOOKUP($D174,'Modelling New'!$D:$D,'Modelling New'!T:T)*1000,"")</f>
        <v>549869.32441732171</v>
      </c>
      <c r="AE174" s="233">
        <f>IFERROR(_xlfn.XLOOKUP($D174,'Modelling New'!$D:$D,'Modelling New'!O:O),"")</f>
        <v>0.84314233235469738</v>
      </c>
      <c r="AF174" s="233">
        <f>IFERROR(_xlfn.XLOOKUP($D174,'Modelling New'!$D:$D,'Modelling New'!W:W),"")</f>
        <v>0.17624016808247492</v>
      </c>
      <c r="AG174" s="233">
        <f>IFERROR(_xlfn.XLOOKUP($D174,'Modelling New'!$D:$D,'Modelling New'!AE:AE),"")</f>
        <v>0.995</v>
      </c>
      <c r="AH174" s="234">
        <f>IFERROR(_xlfn.XLOOKUP($D174,'Modelling New'!$D:$D,'Modelling New'!AF:AF),"")</f>
        <v>0.995</v>
      </c>
      <c r="AI174" s="9"/>
      <c r="AJ174" s="9"/>
      <c r="AK174" s="258"/>
      <c r="AL174" s="258"/>
      <c r="AM174" s="258"/>
      <c r="AN174" s="235"/>
      <c r="AO174" s="233"/>
      <c r="AP174" s="233"/>
      <c r="AQ174" s="233"/>
      <c r="AR174" s="236">
        <f>_xlfn.XLOOKUP(D174,'Modelling New'!$D:$D,'Modelling New'!$N:$N)</f>
        <v>130</v>
      </c>
      <c r="AS174" s="236" t="str">
        <f t="shared" si="18"/>
        <v/>
      </c>
    </row>
    <row r="175" spans="1:45">
      <c r="A175" s="18">
        <f t="shared" si="19"/>
        <v>45918</v>
      </c>
      <c r="B175" s="29">
        <f>YEAR(Table13[[#This Row],[Date]])+IF(MONTH(Table13[[#This Row],[Date]])&gt;=4,1,0)</f>
        <v>2026</v>
      </c>
      <c r="C175" s="9">
        <f>YEAR(Table13[[#This Row],[Date]])</f>
        <v>2025</v>
      </c>
      <c r="D175" s="229">
        <f>Table13[[#This Row],[Date]]-DAY(Table13[[#This Row],[Date]])+1</f>
        <v>45901</v>
      </c>
      <c r="E175" s="9">
        <f t="shared" si="15"/>
        <v>30</v>
      </c>
      <c r="F175" s="199" t="str">
        <f>IFERROR(_xlfn.XLOOKUP($A175,Input_Raw!$A:$A,Input_Raw!$FC:$FC),"")</f>
        <v/>
      </c>
      <c r="G175" s="185" t="str">
        <f>IFERROR(_xlfn.XLOOKUP($A175,Input_Raw!$A:$A,Input_Raw!$CY:$CY),"")</f>
        <v/>
      </c>
      <c r="H175" s="185" t="str">
        <f>IFERROR(_xlfn.XLOOKUP($A175,Input_Raw!$A:$A,Input_Raw!$DA:$DA),"")</f>
        <v/>
      </c>
      <c r="I175" s="185" t="str">
        <f>IFERROR(_xlfn.XLOOKUP($A175,Input_Raw!$A:$A,Input_Raw!$CX:$CX),"")</f>
        <v/>
      </c>
      <c r="J175" s="185" t="str">
        <f>IFERROR(_xlfn.XLOOKUP($A175,Input_Raw!$A:$A,Input_Raw!$CZ:$CZ),"")</f>
        <v/>
      </c>
      <c r="K175" s="201" t="str">
        <f>IFERROR(_xlfn.XLOOKUP($A175,Input_Raw!$A:$A,Input_Raw!$DB:$DB),"")</f>
        <v/>
      </c>
      <c r="L175" s="201" t="str">
        <f>IFERROR(_xlfn.XLOOKUP($A175,Input_Raw!$A:$A,Input_Raw!$DC:$DC),"")</f>
        <v/>
      </c>
      <c r="M175" s="200" t="str">
        <f>IFERROR(_xlfn.XLOOKUP($A175,Input_Raw!$A:$A,Input_Raw!$DF:$DF),"")</f>
        <v/>
      </c>
      <c r="N175" s="200" t="str">
        <f>IFERROR(_xlfn.XLOOKUP($A175,Input_Raw!$A:$A,Input_Raw!$DG:$DG),"")</f>
        <v/>
      </c>
      <c r="O175" s="230" t="str">
        <f>IFERROR(1-(SUMIF(Plant_BD!$B:$B,$A175,Plant_BD!$AL:$AL)/($AA175+SUMIF(Plant_BD!$B:$B,$A175,Plant_BD!$AL:$AL))),"")</f>
        <v/>
      </c>
      <c r="P175" s="230"/>
      <c r="Q175" s="231" t="str">
        <f>IFERROR(1-(SUMIF(Grid_BD!$B:$B,$A175,Grid_BD!$V:$V)/($AA175+SUMIF(Grid_BD!$B:$B,$A175,Grid_BD!$V:$V))),"")</f>
        <v/>
      </c>
      <c r="R175" s="230" t="str">
        <f>IFERROR(1-(SUMIF(Grid_BD!$B:$B,$A175,Grid_BD!$V:$V)/($AA175+SUMIF(Grid_BD!$B:$B,$A175,Grid_BD!$V:$V))),"")</f>
        <v/>
      </c>
      <c r="S175" s="9"/>
      <c r="T175" s="231"/>
      <c r="U175" s="232" t="str">
        <f t="shared" si="16"/>
        <v/>
      </c>
      <c r="V175" s="232" t="str">
        <f>IFERROR(_xlfn.XLOOKUP($A175,Input_Raw!$A:$A,Input_Raw!$FG:$FG),"")</f>
        <v/>
      </c>
      <c r="W175" s="233" t="str">
        <f t="shared" si="17"/>
        <v/>
      </c>
      <c r="X175" s="29" t="str">
        <f>IFERROR(_xlfn.XLOOKUP($A175,Input_Raw!$A:$A,Input_Raw!$DP:$DP),"")</f>
        <v/>
      </c>
      <c r="Y175" s="29" t="str">
        <f>IFERROR(_xlfn.XLOOKUP($A175,Input_Raw!$A:$A,Input_Raw!EW:EW),"")</f>
        <v/>
      </c>
      <c r="Z175" s="29" t="str">
        <f>IFERROR(_xlfn.XLOOKUP($A175,Input_Raw!$A:$A,Input_Raw!EX:EX),"")</f>
        <v/>
      </c>
      <c r="AA175" s="29" t="str">
        <f>IFERROR(_xlfn.XLOOKUP($A175,Input_Raw!$A:$A,Input_Raw!FA:FA),"")</f>
        <v/>
      </c>
      <c r="AB175" s="9" t="str">
        <f>IFERROR(_xlfn.XLOOKUP($A175,Input_Raw!$A:$A,Input_Raw!FD:FD),"")</f>
        <v/>
      </c>
      <c r="AC175" s="185">
        <f>IFERROR(_xlfn.XLOOKUP($D175,'Modelling New'!$D:$D,'Modelling New'!P:P),"")</f>
        <v>5.0166666666666666</v>
      </c>
      <c r="AD175" s="29">
        <f>IFERROR(_xlfn.XLOOKUP($D175,'Modelling New'!$D:$D,'Modelling New'!T:T)*1000,"")</f>
        <v>549869.32441732171</v>
      </c>
      <c r="AE175" s="233">
        <f>IFERROR(_xlfn.XLOOKUP($D175,'Modelling New'!$D:$D,'Modelling New'!O:O),"")</f>
        <v>0.84314233235469738</v>
      </c>
      <c r="AF175" s="233">
        <f>IFERROR(_xlfn.XLOOKUP($D175,'Modelling New'!$D:$D,'Modelling New'!W:W),"")</f>
        <v>0.17624016808247492</v>
      </c>
      <c r="AG175" s="233">
        <f>IFERROR(_xlfn.XLOOKUP($D175,'Modelling New'!$D:$D,'Modelling New'!AE:AE),"")</f>
        <v>0.995</v>
      </c>
      <c r="AH175" s="234">
        <f>IFERROR(_xlfn.XLOOKUP($D175,'Modelling New'!$D:$D,'Modelling New'!AF:AF),"")</f>
        <v>0.995</v>
      </c>
      <c r="AI175" s="9"/>
      <c r="AJ175" s="9"/>
      <c r="AK175" s="258"/>
      <c r="AL175" s="258"/>
      <c r="AM175" s="258"/>
      <c r="AN175" s="235"/>
      <c r="AO175" s="233"/>
      <c r="AP175" s="233"/>
      <c r="AQ175" s="233"/>
      <c r="AR175" s="236">
        <f>_xlfn.XLOOKUP(D175,'Modelling New'!$D:$D,'Modelling New'!$N:$N)</f>
        <v>130</v>
      </c>
      <c r="AS175" s="236" t="str">
        <f t="shared" si="18"/>
        <v/>
      </c>
    </row>
    <row r="176" spans="1:45">
      <c r="A176" s="18">
        <f t="shared" si="19"/>
        <v>45919</v>
      </c>
      <c r="B176" s="29">
        <f>YEAR(Table13[[#This Row],[Date]])+IF(MONTH(Table13[[#This Row],[Date]])&gt;=4,1,0)</f>
        <v>2026</v>
      </c>
      <c r="C176" s="9">
        <f>YEAR(Table13[[#This Row],[Date]])</f>
        <v>2025</v>
      </c>
      <c r="D176" s="229">
        <f>Table13[[#This Row],[Date]]-DAY(Table13[[#This Row],[Date]])+1</f>
        <v>45901</v>
      </c>
      <c r="E176" s="9">
        <f t="shared" si="15"/>
        <v>30</v>
      </c>
      <c r="F176" s="199" t="str">
        <f>IFERROR(_xlfn.XLOOKUP($A176,Input_Raw!$A:$A,Input_Raw!$FC:$FC),"")</f>
        <v/>
      </c>
      <c r="G176" s="200" t="str">
        <f>IFERROR(_xlfn.XLOOKUP($A176,Input_Raw!$A:$A,Input_Raw!$CY:$CY),"")</f>
        <v/>
      </c>
      <c r="H176" s="200" t="str">
        <f>IFERROR(_xlfn.XLOOKUP($A176,Input_Raw!$A:$A,Input_Raw!$DA:$DA),"")</f>
        <v/>
      </c>
      <c r="I176" s="200" t="str">
        <f>IFERROR(_xlfn.XLOOKUP($A176,Input_Raw!$A:$A,Input_Raw!$CX:$CX),"")</f>
        <v/>
      </c>
      <c r="J176" s="200" t="str">
        <f>IFERROR(_xlfn.XLOOKUP($A176,Input_Raw!$A:$A,Input_Raw!$CZ:$CZ),"")</f>
        <v/>
      </c>
      <c r="K176" s="201" t="str">
        <f>IFERROR(_xlfn.XLOOKUP($A176,Input_Raw!$A:$A,Input_Raw!$DB:$DB),"")</f>
        <v/>
      </c>
      <c r="L176" s="201" t="str">
        <f>IFERROR(_xlfn.XLOOKUP($A176,Input_Raw!$A:$A,Input_Raw!$DC:$DC),"")</f>
        <v/>
      </c>
      <c r="M176" s="200" t="str">
        <f>IFERROR(_xlfn.XLOOKUP($A176,Input_Raw!$A:$A,Input_Raw!$DF:$DF),"")</f>
        <v/>
      </c>
      <c r="N176" s="200" t="str">
        <f>IFERROR(_xlfn.XLOOKUP($A176,Input_Raw!$A:$A,Input_Raw!$DG:$DG),"")</f>
        <v/>
      </c>
      <c r="O176" s="230" t="str">
        <f>IFERROR(1-(SUMIF(Plant_BD!$B:$B,$A176,Plant_BD!$AL:$AL)/($AA176+SUMIF(Plant_BD!$B:$B,$A176,Plant_BD!$AL:$AL))),"")</f>
        <v/>
      </c>
      <c r="P176" s="230"/>
      <c r="Q176" s="231" t="str">
        <f>IFERROR(1-(SUMIF(Grid_BD!$B:$B,$A176,Grid_BD!$V:$V)/($AA176+SUMIF(Grid_BD!$B:$B,$A176,Grid_BD!$V:$V))),"")</f>
        <v/>
      </c>
      <c r="R176" s="230" t="str">
        <f>IFERROR(1-(SUMIF(Grid_BD!$B:$B,$A176,Grid_BD!$V:$V)/($AA176+SUMIF(Grid_BD!$B:$B,$A176,Grid_BD!$V:$V))),"")</f>
        <v/>
      </c>
      <c r="S176" s="9"/>
      <c r="T176" s="231"/>
      <c r="U176" s="232" t="str">
        <f t="shared" si="16"/>
        <v/>
      </c>
      <c r="V176" s="232" t="str">
        <f>IFERROR(_xlfn.XLOOKUP($A176,Input_Raw!$A:$A,Input_Raw!$FG:$FG),"")</f>
        <v/>
      </c>
      <c r="W176" s="233" t="str">
        <f t="shared" si="17"/>
        <v/>
      </c>
      <c r="X176" s="29" t="str">
        <f>IFERROR(_xlfn.XLOOKUP($A176,Input_Raw!$A:$A,Input_Raw!$DP:$DP),"")</f>
        <v/>
      </c>
      <c r="Y176" s="29" t="str">
        <f>IFERROR(_xlfn.XLOOKUP($A176,Input_Raw!$A:$A,Input_Raw!EW:EW),"")</f>
        <v/>
      </c>
      <c r="Z176" s="29" t="str">
        <f>IFERROR(_xlfn.XLOOKUP($A176,Input_Raw!$A:$A,Input_Raw!EX:EX),"")</f>
        <v/>
      </c>
      <c r="AA176" s="29" t="str">
        <f>IFERROR(_xlfn.XLOOKUP($A176,Input_Raw!$A:$A,Input_Raw!FA:FA),"")</f>
        <v/>
      </c>
      <c r="AB176" s="9" t="str">
        <f>IFERROR(_xlfn.XLOOKUP($A176,Input_Raw!$A:$A,Input_Raw!FD:FD),"")</f>
        <v/>
      </c>
      <c r="AC176" s="185">
        <f>IFERROR(_xlfn.XLOOKUP($D176,'Modelling New'!$D:$D,'Modelling New'!P:P),"")</f>
        <v>5.0166666666666666</v>
      </c>
      <c r="AD176" s="29">
        <f>IFERROR(_xlfn.XLOOKUP($D176,'Modelling New'!$D:$D,'Modelling New'!T:T)*1000,"")</f>
        <v>549869.32441732171</v>
      </c>
      <c r="AE176" s="233">
        <f>IFERROR(_xlfn.XLOOKUP($D176,'Modelling New'!$D:$D,'Modelling New'!O:O),"")</f>
        <v>0.84314233235469738</v>
      </c>
      <c r="AF176" s="233">
        <f>IFERROR(_xlfn.XLOOKUP($D176,'Modelling New'!$D:$D,'Modelling New'!W:W),"")</f>
        <v>0.17624016808247492</v>
      </c>
      <c r="AG176" s="233">
        <f>IFERROR(_xlfn.XLOOKUP($D176,'Modelling New'!$D:$D,'Modelling New'!AE:AE),"")</f>
        <v>0.995</v>
      </c>
      <c r="AH176" s="234">
        <f>IFERROR(_xlfn.XLOOKUP($D176,'Modelling New'!$D:$D,'Modelling New'!AF:AF),"")</f>
        <v>0.995</v>
      </c>
      <c r="AI176" s="9"/>
      <c r="AJ176" s="9"/>
      <c r="AK176" s="258"/>
      <c r="AL176" s="258"/>
      <c r="AM176" s="258"/>
      <c r="AN176" s="235"/>
      <c r="AO176" s="233"/>
      <c r="AP176" s="233"/>
      <c r="AQ176" s="233"/>
      <c r="AR176" s="236">
        <f>_xlfn.XLOOKUP(D176,'Modelling New'!$D:$D,'Modelling New'!$N:$N)</f>
        <v>130</v>
      </c>
      <c r="AS176" s="236" t="str">
        <f t="shared" si="18"/>
        <v/>
      </c>
    </row>
    <row r="177" spans="1:45">
      <c r="A177" s="18">
        <f t="shared" si="19"/>
        <v>45920</v>
      </c>
      <c r="B177" s="29">
        <f>YEAR(Table13[[#This Row],[Date]])+IF(MONTH(Table13[[#This Row],[Date]])&gt;=4,1,0)</f>
        <v>2026</v>
      </c>
      <c r="C177" s="9">
        <f>YEAR(Table13[[#This Row],[Date]])</f>
        <v>2025</v>
      </c>
      <c r="D177" s="229">
        <f>Table13[[#This Row],[Date]]-DAY(Table13[[#This Row],[Date]])+1</f>
        <v>45901</v>
      </c>
      <c r="E177" s="9">
        <f t="shared" si="15"/>
        <v>30</v>
      </c>
      <c r="F177" s="199" t="str">
        <f>IFERROR(_xlfn.XLOOKUP($A177,Input_Raw!$A:$A,Input_Raw!$FC:$FC),"")</f>
        <v/>
      </c>
      <c r="G177" s="185" t="str">
        <f>IFERROR(_xlfn.XLOOKUP($A177,Input_Raw!$A:$A,Input_Raw!$CY:$CY),"")</f>
        <v/>
      </c>
      <c r="H177" s="185" t="str">
        <f>IFERROR(_xlfn.XLOOKUP($A177,Input_Raw!$A:$A,Input_Raw!$DA:$DA),"")</f>
        <v/>
      </c>
      <c r="I177" s="185" t="str">
        <f>IFERROR(_xlfn.XLOOKUP($A177,Input_Raw!$A:$A,Input_Raw!$CX:$CX),"")</f>
        <v/>
      </c>
      <c r="J177" s="185" t="str">
        <f>IFERROR(_xlfn.XLOOKUP($A177,Input_Raw!$A:$A,Input_Raw!$CZ:$CZ),"")</f>
        <v/>
      </c>
      <c r="K177" s="201" t="str">
        <f>IFERROR(_xlfn.XLOOKUP($A177,Input_Raw!$A:$A,Input_Raw!$DB:$DB),"")</f>
        <v/>
      </c>
      <c r="L177" s="201" t="str">
        <f>IFERROR(_xlfn.XLOOKUP($A177,Input_Raw!$A:$A,Input_Raw!$DC:$DC),"")</f>
        <v/>
      </c>
      <c r="M177" s="200" t="str">
        <f>IFERROR(_xlfn.XLOOKUP($A177,Input_Raw!$A:$A,Input_Raw!$DF:$DF),"")</f>
        <v/>
      </c>
      <c r="N177" s="200" t="str">
        <f>IFERROR(_xlfn.XLOOKUP($A177,Input_Raw!$A:$A,Input_Raw!$DG:$DG),"")</f>
        <v/>
      </c>
      <c r="O177" s="230" t="str">
        <f>IFERROR(1-(SUMIF(Plant_BD!$B:$B,$A177,Plant_BD!$AL:$AL)/($AA177+SUMIF(Plant_BD!$B:$B,$A177,Plant_BD!$AL:$AL))),"")</f>
        <v/>
      </c>
      <c r="P177" s="230"/>
      <c r="Q177" s="231" t="str">
        <f>IFERROR(1-(SUMIF(Grid_BD!$B:$B,$A177,Grid_BD!$V:$V)/($AA177+SUMIF(Grid_BD!$B:$B,$A177,Grid_BD!$V:$V))),"")</f>
        <v/>
      </c>
      <c r="R177" s="230" t="str">
        <f>IFERROR(1-(SUMIF(Grid_BD!$B:$B,$A177,Grid_BD!$V:$V)/($AA177+SUMIF(Grid_BD!$B:$B,$A177,Grid_BD!$V:$V))),"")</f>
        <v/>
      </c>
      <c r="S177" s="9"/>
      <c r="T177" s="231"/>
      <c r="U177" s="232" t="str">
        <f t="shared" si="16"/>
        <v/>
      </c>
      <c r="V177" s="232" t="str">
        <f>IFERROR(_xlfn.XLOOKUP($A177,Input_Raw!$A:$A,Input_Raw!$FG:$FG),"")</f>
        <v/>
      </c>
      <c r="W177" s="233" t="str">
        <f t="shared" si="17"/>
        <v/>
      </c>
      <c r="X177" s="29" t="str">
        <f>IFERROR(_xlfn.XLOOKUP($A177,Input_Raw!$A:$A,Input_Raw!$DP:$DP),"")</f>
        <v/>
      </c>
      <c r="Y177" s="29" t="str">
        <f>IFERROR(_xlfn.XLOOKUP($A177,Input_Raw!$A:$A,Input_Raw!EW:EW),"")</f>
        <v/>
      </c>
      <c r="Z177" s="29" t="str">
        <f>IFERROR(_xlfn.XLOOKUP($A177,Input_Raw!$A:$A,Input_Raw!EX:EX),"")</f>
        <v/>
      </c>
      <c r="AA177" s="29" t="str">
        <f>IFERROR(_xlfn.XLOOKUP($A177,Input_Raw!$A:$A,Input_Raw!FA:FA),"")</f>
        <v/>
      </c>
      <c r="AB177" s="9" t="str">
        <f>IFERROR(_xlfn.XLOOKUP($A177,Input_Raw!$A:$A,Input_Raw!FD:FD),"")</f>
        <v/>
      </c>
      <c r="AC177" s="185">
        <f>IFERROR(_xlfn.XLOOKUP($D177,'Modelling New'!$D:$D,'Modelling New'!P:P),"")</f>
        <v>5.0166666666666666</v>
      </c>
      <c r="AD177" s="29">
        <f>IFERROR(_xlfn.XLOOKUP($D177,'Modelling New'!$D:$D,'Modelling New'!T:T)*1000,"")</f>
        <v>549869.32441732171</v>
      </c>
      <c r="AE177" s="233">
        <f>IFERROR(_xlfn.XLOOKUP($D177,'Modelling New'!$D:$D,'Modelling New'!O:O),"")</f>
        <v>0.84314233235469738</v>
      </c>
      <c r="AF177" s="233">
        <f>IFERROR(_xlfn.XLOOKUP($D177,'Modelling New'!$D:$D,'Modelling New'!W:W),"")</f>
        <v>0.17624016808247492</v>
      </c>
      <c r="AG177" s="233">
        <f>IFERROR(_xlfn.XLOOKUP($D177,'Modelling New'!$D:$D,'Modelling New'!AE:AE),"")</f>
        <v>0.995</v>
      </c>
      <c r="AH177" s="234">
        <f>IFERROR(_xlfn.XLOOKUP($D177,'Modelling New'!$D:$D,'Modelling New'!AF:AF),"")</f>
        <v>0.995</v>
      </c>
      <c r="AI177" s="9"/>
      <c r="AJ177" s="9"/>
      <c r="AK177" s="258"/>
      <c r="AL177" s="258"/>
      <c r="AM177" s="258"/>
      <c r="AN177" s="235"/>
      <c r="AO177" s="233"/>
      <c r="AP177" s="233"/>
      <c r="AQ177" s="233"/>
      <c r="AR177" s="236">
        <f>_xlfn.XLOOKUP(D177,'Modelling New'!$D:$D,'Modelling New'!$N:$N)</f>
        <v>130</v>
      </c>
      <c r="AS177" s="236" t="str">
        <f t="shared" si="18"/>
        <v/>
      </c>
    </row>
    <row r="178" spans="1:45">
      <c r="A178" s="18">
        <f t="shared" si="19"/>
        <v>45921</v>
      </c>
      <c r="B178" s="29">
        <f>YEAR(Table13[[#This Row],[Date]])+IF(MONTH(Table13[[#This Row],[Date]])&gt;=4,1,0)</f>
        <v>2026</v>
      </c>
      <c r="C178" s="9">
        <f>YEAR(Table13[[#This Row],[Date]])</f>
        <v>2025</v>
      </c>
      <c r="D178" s="229">
        <f>Table13[[#This Row],[Date]]-DAY(Table13[[#This Row],[Date]])+1</f>
        <v>45901</v>
      </c>
      <c r="E178" s="9">
        <f t="shared" si="15"/>
        <v>30</v>
      </c>
      <c r="F178" s="199" t="str">
        <f>IFERROR(_xlfn.XLOOKUP($A178,Input_Raw!$A:$A,Input_Raw!$FC:$FC),"")</f>
        <v/>
      </c>
      <c r="G178" s="200" t="str">
        <f>IFERROR(_xlfn.XLOOKUP($A178,Input_Raw!$A:$A,Input_Raw!$CY:$CY),"")</f>
        <v/>
      </c>
      <c r="H178" s="200" t="str">
        <f>IFERROR(_xlfn.XLOOKUP($A178,Input_Raw!$A:$A,Input_Raw!$DA:$DA),"")</f>
        <v/>
      </c>
      <c r="I178" s="200" t="str">
        <f>IFERROR(_xlfn.XLOOKUP($A178,Input_Raw!$A:$A,Input_Raw!$CX:$CX),"")</f>
        <v/>
      </c>
      <c r="J178" s="200" t="str">
        <f>IFERROR(_xlfn.XLOOKUP($A178,Input_Raw!$A:$A,Input_Raw!$CZ:$CZ),"")</f>
        <v/>
      </c>
      <c r="K178" s="201" t="str">
        <f>IFERROR(_xlfn.XLOOKUP($A178,Input_Raw!$A:$A,Input_Raw!$DB:$DB),"")</f>
        <v/>
      </c>
      <c r="L178" s="201" t="str">
        <f>IFERROR(_xlfn.XLOOKUP($A178,Input_Raw!$A:$A,Input_Raw!$DC:$DC),"")</f>
        <v/>
      </c>
      <c r="M178" s="200" t="str">
        <f>IFERROR(_xlfn.XLOOKUP($A178,Input_Raw!$A:$A,Input_Raw!$DF:$DF),"")</f>
        <v/>
      </c>
      <c r="N178" s="200" t="str">
        <f>IFERROR(_xlfn.XLOOKUP($A178,Input_Raw!$A:$A,Input_Raw!$DG:$DG),"")</f>
        <v/>
      </c>
      <c r="O178" s="230" t="str">
        <f>IFERROR(1-(SUMIF(Plant_BD!$B:$B,$A178,Plant_BD!$AL:$AL)/($AA178+SUMIF(Plant_BD!$B:$B,$A178,Plant_BD!$AL:$AL))),"")</f>
        <v/>
      </c>
      <c r="P178" s="230"/>
      <c r="Q178" s="231" t="str">
        <f>IFERROR(1-(SUMIF(Grid_BD!$B:$B,$A178,Grid_BD!$V:$V)/($AA178+SUMIF(Grid_BD!$B:$B,$A178,Grid_BD!$V:$V))),"")</f>
        <v/>
      </c>
      <c r="R178" s="230" t="str">
        <f>IFERROR(1-(SUMIF(Grid_BD!$B:$B,$A178,Grid_BD!$V:$V)/($AA178+SUMIF(Grid_BD!$B:$B,$A178,Grid_BD!$V:$V))),"")</f>
        <v/>
      </c>
      <c r="S178" s="9"/>
      <c r="T178" s="231"/>
      <c r="U178" s="232" t="str">
        <f t="shared" si="16"/>
        <v/>
      </c>
      <c r="V178" s="232" t="str">
        <f>IFERROR(_xlfn.XLOOKUP($A178,Input_Raw!$A:$A,Input_Raw!$FG:$FG),"")</f>
        <v/>
      </c>
      <c r="W178" s="233" t="str">
        <f t="shared" si="17"/>
        <v/>
      </c>
      <c r="X178" s="29" t="str">
        <f>IFERROR(_xlfn.XLOOKUP($A178,Input_Raw!$A:$A,Input_Raw!$DP:$DP),"")</f>
        <v/>
      </c>
      <c r="Y178" s="29" t="str">
        <f>IFERROR(_xlfn.XLOOKUP($A178,Input_Raw!$A:$A,Input_Raw!EW:EW),"")</f>
        <v/>
      </c>
      <c r="Z178" s="29" t="str">
        <f>IFERROR(_xlfn.XLOOKUP($A178,Input_Raw!$A:$A,Input_Raw!EX:EX),"")</f>
        <v/>
      </c>
      <c r="AA178" s="29" t="str">
        <f>IFERROR(_xlfn.XLOOKUP($A178,Input_Raw!$A:$A,Input_Raw!FA:FA),"")</f>
        <v/>
      </c>
      <c r="AB178" s="9" t="str">
        <f>IFERROR(_xlfn.XLOOKUP($A178,Input_Raw!$A:$A,Input_Raw!FD:FD),"")</f>
        <v/>
      </c>
      <c r="AC178" s="185">
        <f>IFERROR(_xlfn.XLOOKUP($D178,'Modelling New'!$D:$D,'Modelling New'!P:P),"")</f>
        <v>5.0166666666666666</v>
      </c>
      <c r="AD178" s="29">
        <f>IFERROR(_xlfn.XLOOKUP($D178,'Modelling New'!$D:$D,'Modelling New'!T:T)*1000,"")</f>
        <v>549869.32441732171</v>
      </c>
      <c r="AE178" s="233">
        <f>IFERROR(_xlfn.XLOOKUP($D178,'Modelling New'!$D:$D,'Modelling New'!O:O),"")</f>
        <v>0.84314233235469738</v>
      </c>
      <c r="AF178" s="233">
        <f>IFERROR(_xlfn.XLOOKUP($D178,'Modelling New'!$D:$D,'Modelling New'!W:W),"")</f>
        <v>0.17624016808247492</v>
      </c>
      <c r="AG178" s="233">
        <f>IFERROR(_xlfn.XLOOKUP($D178,'Modelling New'!$D:$D,'Modelling New'!AE:AE),"")</f>
        <v>0.995</v>
      </c>
      <c r="AH178" s="234">
        <f>IFERROR(_xlfn.XLOOKUP($D178,'Modelling New'!$D:$D,'Modelling New'!AF:AF),"")</f>
        <v>0.995</v>
      </c>
      <c r="AI178" s="9"/>
      <c r="AJ178" s="9"/>
      <c r="AK178" s="258"/>
      <c r="AL178" s="258"/>
      <c r="AM178" s="258"/>
      <c r="AN178" s="235"/>
      <c r="AO178" s="233"/>
      <c r="AP178" s="233"/>
      <c r="AQ178" s="233"/>
      <c r="AR178" s="236">
        <f>_xlfn.XLOOKUP(D178,'Modelling New'!$D:$D,'Modelling New'!$N:$N)</f>
        <v>130</v>
      </c>
      <c r="AS178" s="236" t="str">
        <f t="shared" si="18"/>
        <v/>
      </c>
    </row>
    <row r="179" spans="1:45">
      <c r="A179" s="18">
        <f t="shared" si="19"/>
        <v>45922</v>
      </c>
      <c r="B179" s="29">
        <f>YEAR(Table13[[#This Row],[Date]])+IF(MONTH(Table13[[#This Row],[Date]])&gt;=4,1,0)</f>
        <v>2026</v>
      </c>
      <c r="C179" s="9">
        <f>YEAR(Table13[[#This Row],[Date]])</f>
        <v>2025</v>
      </c>
      <c r="D179" s="229">
        <f>Table13[[#This Row],[Date]]-DAY(Table13[[#This Row],[Date]])+1</f>
        <v>45901</v>
      </c>
      <c r="E179" s="9">
        <f t="shared" si="15"/>
        <v>30</v>
      </c>
      <c r="F179" s="199" t="str">
        <f>IFERROR(_xlfn.XLOOKUP($A179,Input_Raw!$A:$A,Input_Raw!$FC:$FC),"")</f>
        <v/>
      </c>
      <c r="G179" s="185" t="str">
        <f>IFERROR(_xlfn.XLOOKUP($A179,Input_Raw!$A:$A,Input_Raw!$CY:$CY),"")</f>
        <v/>
      </c>
      <c r="H179" s="185" t="str">
        <f>IFERROR(_xlfn.XLOOKUP($A179,Input_Raw!$A:$A,Input_Raw!$DA:$DA),"")</f>
        <v/>
      </c>
      <c r="I179" s="185" t="str">
        <f>IFERROR(_xlfn.XLOOKUP($A179,Input_Raw!$A:$A,Input_Raw!$CX:$CX),"")</f>
        <v/>
      </c>
      <c r="J179" s="185" t="str">
        <f>IFERROR(_xlfn.XLOOKUP($A179,Input_Raw!$A:$A,Input_Raw!$CZ:$CZ),"")</f>
        <v/>
      </c>
      <c r="K179" s="201" t="str">
        <f>IFERROR(_xlfn.XLOOKUP($A179,Input_Raw!$A:$A,Input_Raw!$DB:$DB),"")</f>
        <v/>
      </c>
      <c r="L179" s="201" t="str">
        <f>IFERROR(_xlfn.XLOOKUP($A179,Input_Raw!$A:$A,Input_Raw!$DC:$DC),"")</f>
        <v/>
      </c>
      <c r="M179" s="200" t="str">
        <f>IFERROR(_xlfn.XLOOKUP($A179,Input_Raw!$A:$A,Input_Raw!$DF:$DF),"")</f>
        <v/>
      </c>
      <c r="N179" s="200" t="str">
        <f>IFERROR(_xlfn.XLOOKUP($A179,Input_Raw!$A:$A,Input_Raw!$DG:$DG),"")</f>
        <v/>
      </c>
      <c r="O179" s="230" t="str">
        <f>IFERROR(1-(SUMIF(Plant_BD!$B:$B,$A179,Plant_BD!$AL:$AL)/($AA179+SUMIF(Plant_BD!$B:$B,$A179,Plant_BD!$AL:$AL))),"")</f>
        <v/>
      </c>
      <c r="P179" s="230"/>
      <c r="Q179" s="231" t="str">
        <f>IFERROR(1-(SUMIF(Grid_BD!$B:$B,$A179,Grid_BD!$V:$V)/($AA179+SUMIF(Grid_BD!$B:$B,$A179,Grid_BD!$V:$V))),"")</f>
        <v/>
      </c>
      <c r="R179" s="230" t="str">
        <f>IFERROR(1-(SUMIF(Grid_BD!$B:$B,$A179,Grid_BD!$V:$V)/($AA179+SUMIF(Grid_BD!$B:$B,$A179,Grid_BD!$V:$V))),"")</f>
        <v/>
      </c>
      <c r="S179" s="9"/>
      <c r="T179" s="231"/>
      <c r="U179" s="232" t="str">
        <f t="shared" si="16"/>
        <v/>
      </c>
      <c r="V179" s="232" t="str">
        <f>IFERROR(_xlfn.XLOOKUP($A179,Input_Raw!$A:$A,Input_Raw!$FG:$FG),"")</f>
        <v/>
      </c>
      <c r="W179" s="233" t="str">
        <f t="shared" si="17"/>
        <v/>
      </c>
      <c r="X179" s="29" t="str">
        <f>IFERROR(_xlfn.XLOOKUP($A179,Input_Raw!$A:$A,Input_Raw!$DP:$DP),"")</f>
        <v/>
      </c>
      <c r="Y179" s="29" t="str">
        <f>IFERROR(_xlfn.XLOOKUP($A179,Input_Raw!$A:$A,Input_Raw!EW:EW),"")</f>
        <v/>
      </c>
      <c r="Z179" s="29" t="str">
        <f>IFERROR(_xlfn.XLOOKUP($A179,Input_Raw!$A:$A,Input_Raw!EX:EX),"")</f>
        <v/>
      </c>
      <c r="AA179" s="29" t="str">
        <f>IFERROR(_xlfn.XLOOKUP($A179,Input_Raw!$A:$A,Input_Raw!FA:FA),"")</f>
        <v/>
      </c>
      <c r="AB179" s="9" t="str">
        <f>IFERROR(_xlfn.XLOOKUP($A179,Input_Raw!$A:$A,Input_Raw!FD:FD),"")</f>
        <v/>
      </c>
      <c r="AC179" s="185">
        <f>IFERROR(_xlfn.XLOOKUP($D179,'Modelling New'!$D:$D,'Modelling New'!P:P),"")</f>
        <v>5.0166666666666666</v>
      </c>
      <c r="AD179" s="29">
        <f>IFERROR(_xlfn.XLOOKUP($D179,'Modelling New'!$D:$D,'Modelling New'!T:T)*1000,"")</f>
        <v>549869.32441732171</v>
      </c>
      <c r="AE179" s="233">
        <f>IFERROR(_xlfn.XLOOKUP($D179,'Modelling New'!$D:$D,'Modelling New'!O:O),"")</f>
        <v>0.84314233235469738</v>
      </c>
      <c r="AF179" s="233">
        <f>IFERROR(_xlfn.XLOOKUP($D179,'Modelling New'!$D:$D,'Modelling New'!W:W),"")</f>
        <v>0.17624016808247492</v>
      </c>
      <c r="AG179" s="233">
        <f>IFERROR(_xlfn.XLOOKUP($D179,'Modelling New'!$D:$D,'Modelling New'!AE:AE),"")</f>
        <v>0.995</v>
      </c>
      <c r="AH179" s="234">
        <f>IFERROR(_xlfn.XLOOKUP($D179,'Modelling New'!$D:$D,'Modelling New'!AF:AF),"")</f>
        <v>0.995</v>
      </c>
      <c r="AI179" s="9"/>
      <c r="AJ179" s="9"/>
      <c r="AK179" s="258"/>
      <c r="AL179" s="258"/>
      <c r="AM179" s="258"/>
      <c r="AN179" s="235"/>
      <c r="AO179" s="233"/>
      <c r="AP179" s="233"/>
      <c r="AQ179" s="233"/>
      <c r="AR179" s="236">
        <f>_xlfn.XLOOKUP(D179,'Modelling New'!$D:$D,'Modelling New'!$N:$N)</f>
        <v>130</v>
      </c>
      <c r="AS179" s="236" t="str">
        <f t="shared" si="18"/>
        <v/>
      </c>
    </row>
    <row r="180" spans="1:45">
      <c r="A180" s="18">
        <f t="shared" si="19"/>
        <v>45923</v>
      </c>
      <c r="B180" s="29">
        <f>YEAR(Table13[[#This Row],[Date]])+IF(MONTH(Table13[[#This Row],[Date]])&gt;=4,1,0)</f>
        <v>2026</v>
      </c>
      <c r="C180" s="9">
        <f>YEAR(Table13[[#This Row],[Date]])</f>
        <v>2025</v>
      </c>
      <c r="D180" s="229">
        <f>Table13[[#This Row],[Date]]-DAY(Table13[[#This Row],[Date]])+1</f>
        <v>45901</v>
      </c>
      <c r="E180" s="9">
        <f t="shared" si="15"/>
        <v>30</v>
      </c>
      <c r="F180" s="199" t="str">
        <f>IFERROR(_xlfn.XLOOKUP($A180,Input_Raw!$A:$A,Input_Raw!$FC:$FC),"")</f>
        <v/>
      </c>
      <c r="G180" s="200" t="str">
        <f>IFERROR(_xlfn.XLOOKUP($A180,Input_Raw!$A:$A,Input_Raw!$CY:$CY),"")</f>
        <v/>
      </c>
      <c r="H180" s="200" t="str">
        <f>IFERROR(_xlfn.XLOOKUP($A180,Input_Raw!$A:$A,Input_Raw!$DA:$DA),"")</f>
        <v/>
      </c>
      <c r="I180" s="200" t="str">
        <f>IFERROR(_xlfn.XLOOKUP($A180,Input_Raw!$A:$A,Input_Raw!$CX:$CX),"")</f>
        <v/>
      </c>
      <c r="J180" s="200" t="str">
        <f>IFERROR(_xlfn.XLOOKUP($A180,Input_Raw!$A:$A,Input_Raw!$CZ:$CZ),"")</f>
        <v/>
      </c>
      <c r="K180" s="201" t="str">
        <f>IFERROR(_xlfn.XLOOKUP($A180,Input_Raw!$A:$A,Input_Raw!$DB:$DB),"")</f>
        <v/>
      </c>
      <c r="L180" s="201" t="str">
        <f>IFERROR(_xlfn.XLOOKUP($A180,Input_Raw!$A:$A,Input_Raw!$DC:$DC),"")</f>
        <v/>
      </c>
      <c r="M180" s="200" t="str">
        <f>IFERROR(_xlfn.XLOOKUP($A180,Input_Raw!$A:$A,Input_Raw!$DF:$DF),"")</f>
        <v/>
      </c>
      <c r="N180" s="200" t="str">
        <f>IFERROR(_xlfn.XLOOKUP($A180,Input_Raw!$A:$A,Input_Raw!$DG:$DG),"")</f>
        <v/>
      </c>
      <c r="O180" s="230" t="str">
        <f>IFERROR(1-(SUMIF(Plant_BD!$B:$B,$A180,Plant_BD!$AL:$AL)/($AA180+SUMIF(Plant_BD!$B:$B,$A180,Plant_BD!$AL:$AL))),"")</f>
        <v/>
      </c>
      <c r="P180" s="230"/>
      <c r="Q180" s="231" t="str">
        <f>IFERROR(1-(SUMIF(Grid_BD!$B:$B,$A180,Grid_BD!$V:$V)/($AA180+SUMIF(Grid_BD!$B:$B,$A180,Grid_BD!$V:$V))),"")</f>
        <v/>
      </c>
      <c r="R180" s="230" t="str">
        <f>IFERROR(1-(SUMIF(Grid_BD!$B:$B,$A180,Grid_BD!$V:$V)/($AA180+SUMIF(Grid_BD!$B:$B,$A180,Grid_BD!$V:$V))),"")</f>
        <v/>
      </c>
      <c r="S180" s="9"/>
      <c r="T180" s="231"/>
      <c r="U180" s="232" t="str">
        <f t="shared" si="16"/>
        <v/>
      </c>
      <c r="V180" s="232" t="str">
        <f>IFERROR(_xlfn.XLOOKUP($A180,Input_Raw!$A:$A,Input_Raw!$FG:$FG),"")</f>
        <v/>
      </c>
      <c r="W180" s="233" t="str">
        <f t="shared" si="17"/>
        <v/>
      </c>
      <c r="X180" s="29" t="str">
        <f>IFERROR(_xlfn.XLOOKUP($A180,Input_Raw!$A:$A,Input_Raw!$DP:$DP),"")</f>
        <v/>
      </c>
      <c r="Y180" s="29" t="str">
        <f>IFERROR(_xlfn.XLOOKUP($A180,Input_Raw!$A:$A,Input_Raw!EW:EW),"")</f>
        <v/>
      </c>
      <c r="Z180" s="29" t="str">
        <f>IFERROR(_xlfn.XLOOKUP($A180,Input_Raw!$A:$A,Input_Raw!EX:EX),"")</f>
        <v/>
      </c>
      <c r="AA180" s="29" t="str">
        <f>IFERROR(_xlfn.XLOOKUP($A180,Input_Raw!$A:$A,Input_Raw!FA:FA),"")</f>
        <v/>
      </c>
      <c r="AB180" s="9" t="str">
        <f>IFERROR(_xlfn.XLOOKUP($A180,Input_Raw!$A:$A,Input_Raw!FD:FD),"")</f>
        <v/>
      </c>
      <c r="AC180" s="185">
        <f>IFERROR(_xlfn.XLOOKUP($D180,'Modelling New'!$D:$D,'Modelling New'!P:P),"")</f>
        <v>5.0166666666666666</v>
      </c>
      <c r="AD180" s="29">
        <f>IFERROR(_xlfn.XLOOKUP($D180,'Modelling New'!$D:$D,'Modelling New'!T:T)*1000,"")</f>
        <v>549869.32441732171</v>
      </c>
      <c r="AE180" s="233">
        <f>IFERROR(_xlfn.XLOOKUP($D180,'Modelling New'!$D:$D,'Modelling New'!O:O),"")</f>
        <v>0.84314233235469738</v>
      </c>
      <c r="AF180" s="233">
        <f>IFERROR(_xlfn.XLOOKUP($D180,'Modelling New'!$D:$D,'Modelling New'!W:W),"")</f>
        <v>0.17624016808247492</v>
      </c>
      <c r="AG180" s="233">
        <f>IFERROR(_xlfn.XLOOKUP($D180,'Modelling New'!$D:$D,'Modelling New'!AE:AE),"")</f>
        <v>0.995</v>
      </c>
      <c r="AH180" s="234">
        <f>IFERROR(_xlfn.XLOOKUP($D180,'Modelling New'!$D:$D,'Modelling New'!AF:AF),"")</f>
        <v>0.995</v>
      </c>
      <c r="AI180" s="9"/>
      <c r="AJ180" s="9"/>
      <c r="AK180" s="258"/>
      <c r="AL180" s="258"/>
      <c r="AM180" s="258"/>
      <c r="AN180" s="235"/>
      <c r="AO180" s="233"/>
      <c r="AP180" s="233"/>
      <c r="AQ180" s="233"/>
      <c r="AR180" s="236">
        <f>_xlfn.XLOOKUP(D180,'Modelling New'!$D:$D,'Modelling New'!$N:$N)</f>
        <v>130</v>
      </c>
      <c r="AS180" s="236" t="str">
        <f t="shared" si="18"/>
        <v/>
      </c>
    </row>
    <row r="181" spans="1:45">
      <c r="A181" s="18">
        <f t="shared" si="19"/>
        <v>45924</v>
      </c>
      <c r="B181" s="29">
        <f>YEAR(Table13[[#This Row],[Date]])+IF(MONTH(Table13[[#This Row],[Date]])&gt;=4,1,0)</f>
        <v>2026</v>
      </c>
      <c r="C181" s="9">
        <f>YEAR(Table13[[#This Row],[Date]])</f>
        <v>2025</v>
      </c>
      <c r="D181" s="229">
        <f>Table13[[#This Row],[Date]]-DAY(Table13[[#This Row],[Date]])+1</f>
        <v>45901</v>
      </c>
      <c r="E181" s="9">
        <f t="shared" si="15"/>
        <v>30</v>
      </c>
      <c r="F181" s="199" t="str">
        <f>IFERROR(_xlfn.XLOOKUP($A181,Input_Raw!$A:$A,Input_Raw!$FC:$FC),"")</f>
        <v/>
      </c>
      <c r="G181" s="185" t="str">
        <f>IFERROR(_xlfn.XLOOKUP($A181,Input_Raw!$A:$A,Input_Raw!$CY:$CY),"")</f>
        <v/>
      </c>
      <c r="H181" s="185" t="str">
        <f>IFERROR(_xlfn.XLOOKUP($A181,Input_Raw!$A:$A,Input_Raw!$DA:$DA),"")</f>
        <v/>
      </c>
      <c r="I181" s="185" t="str">
        <f>IFERROR(_xlfn.XLOOKUP($A181,Input_Raw!$A:$A,Input_Raw!$CX:$CX),"")</f>
        <v/>
      </c>
      <c r="J181" s="185" t="str">
        <f>IFERROR(_xlfn.XLOOKUP($A181,Input_Raw!$A:$A,Input_Raw!$CZ:$CZ),"")</f>
        <v/>
      </c>
      <c r="K181" s="201" t="str">
        <f>IFERROR(_xlfn.XLOOKUP($A181,Input_Raw!$A:$A,Input_Raw!$DB:$DB),"")</f>
        <v/>
      </c>
      <c r="L181" s="201" t="str">
        <f>IFERROR(_xlfn.XLOOKUP($A181,Input_Raw!$A:$A,Input_Raw!$DC:$DC),"")</f>
        <v/>
      </c>
      <c r="M181" s="200" t="str">
        <f>IFERROR(_xlfn.XLOOKUP($A181,Input_Raw!$A:$A,Input_Raw!$DF:$DF),"")</f>
        <v/>
      </c>
      <c r="N181" s="200" t="str">
        <f>IFERROR(_xlfn.XLOOKUP($A181,Input_Raw!$A:$A,Input_Raw!$DG:$DG),"")</f>
        <v/>
      </c>
      <c r="O181" s="230" t="str">
        <f>IFERROR(1-(SUMIF(Plant_BD!$B:$B,$A181,Plant_BD!$AL:$AL)/($AA181+SUMIF(Plant_BD!$B:$B,$A181,Plant_BD!$AL:$AL))),"")</f>
        <v/>
      </c>
      <c r="P181" s="230"/>
      <c r="Q181" s="231" t="str">
        <f>IFERROR(1-(SUMIF(Grid_BD!$B:$B,$A181,Grid_BD!$V:$V)/($AA181+SUMIF(Grid_BD!$B:$B,$A181,Grid_BD!$V:$V))),"")</f>
        <v/>
      </c>
      <c r="R181" s="230" t="str">
        <f>IFERROR(1-(SUMIF(Grid_BD!$B:$B,$A181,Grid_BD!$V:$V)/($AA181+SUMIF(Grid_BD!$B:$B,$A181,Grid_BD!$V:$V))),"")</f>
        <v/>
      </c>
      <c r="S181" s="9"/>
      <c r="T181" s="231"/>
      <c r="U181" s="232" t="str">
        <f t="shared" si="16"/>
        <v/>
      </c>
      <c r="V181" s="232" t="str">
        <f>IFERROR(_xlfn.XLOOKUP($A181,Input_Raw!$A:$A,Input_Raw!$FG:$FG),"")</f>
        <v/>
      </c>
      <c r="W181" s="233" t="str">
        <f t="shared" si="17"/>
        <v/>
      </c>
      <c r="X181" s="29" t="str">
        <f>IFERROR(_xlfn.XLOOKUP($A181,Input_Raw!$A:$A,Input_Raw!$DP:$DP),"")</f>
        <v/>
      </c>
      <c r="Y181" s="29" t="str">
        <f>IFERROR(_xlfn.XLOOKUP($A181,Input_Raw!$A:$A,Input_Raw!EW:EW),"")</f>
        <v/>
      </c>
      <c r="Z181" s="29" t="str">
        <f>IFERROR(_xlfn.XLOOKUP($A181,Input_Raw!$A:$A,Input_Raw!EX:EX),"")</f>
        <v/>
      </c>
      <c r="AA181" s="29" t="str">
        <f>IFERROR(_xlfn.XLOOKUP($A181,Input_Raw!$A:$A,Input_Raw!FA:FA),"")</f>
        <v/>
      </c>
      <c r="AB181" s="9" t="str">
        <f>IFERROR(_xlfn.XLOOKUP($A181,Input_Raw!$A:$A,Input_Raw!FD:FD),"")</f>
        <v/>
      </c>
      <c r="AC181" s="185">
        <f>IFERROR(_xlfn.XLOOKUP($D181,'Modelling New'!$D:$D,'Modelling New'!P:P),"")</f>
        <v>5.0166666666666666</v>
      </c>
      <c r="AD181" s="29">
        <f>IFERROR(_xlfn.XLOOKUP($D181,'Modelling New'!$D:$D,'Modelling New'!T:T)*1000,"")</f>
        <v>549869.32441732171</v>
      </c>
      <c r="AE181" s="233">
        <f>IFERROR(_xlfn.XLOOKUP($D181,'Modelling New'!$D:$D,'Modelling New'!O:O),"")</f>
        <v>0.84314233235469738</v>
      </c>
      <c r="AF181" s="233">
        <f>IFERROR(_xlfn.XLOOKUP($D181,'Modelling New'!$D:$D,'Modelling New'!W:W),"")</f>
        <v>0.17624016808247492</v>
      </c>
      <c r="AG181" s="233">
        <f>IFERROR(_xlfn.XLOOKUP($D181,'Modelling New'!$D:$D,'Modelling New'!AE:AE),"")</f>
        <v>0.995</v>
      </c>
      <c r="AH181" s="234">
        <f>IFERROR(_xlfn.XLOOKUP($D181,'Modelling New'!$D:$D,'Modelling New'!AF:AF),"")</f>
        <v>0.995</v>
      </c>
      <c r="AI181" s="9"/>
      <c r="AJ181" s="9"/>
      <c r="AK181" s="258"/>
      <c r="AL181" s="258"/>
      <c r="AM181" s="258"/>
      <c r="AN181" s="235"/>
      <c r="AO181" s="233"/>
      <c r="AP181" s="233"/>
      <c r="AQ181" s="233"/>
      <c r="AR181" s="236">
        <f>_xlfn.XLOOKUP(D181,'Modelling New'!$D:$D,'Modelling New'!$N:$N)</f>
        <v>130</v>
      </c>
      <c r="AS181" s="236" t="str">
        <f t="shared" si="18"/>
        <v/>
      </c>
    </row>
    <row r="182" spans="1:45">
      <c r="A182" s="18">
        <f t="shared" si="19"/>
        <v>45925</v>
      </c>
      <c r="B182" s="29">
        <f>YEAR(Table13[[#This Row],[Date]])+IF(MONTH(Table13[[#This Row],[Date]])&gt;=4,1,0)</f>
        <v>2026</v>
      </c>
      <c r="C182" s="9">
        <f>YEAR(Table13[[#This Row],[Date]])</f>
        <v>2025</v>
      </c>
      <c r="D182" s="229">
        <f>Table13[[#This Row],[Date]]-DAY(Table13[[#This Row],[Date]])+1</f>
        <v>45901</v>
      </c>
      <c r="E182" s="9">
        <f t="shared" si="15"/>
        <v>30</v>
      </c>
      <c r="F182" s="199" t="str">
        <f>IFERROR(_xlfn.XLOOKUP($A182,Input_Raw!$A:$A,Input_Raw!$FC:$FC),"")</f>
        <v/>
      </c>
      <c r="G182" s="200" t="str">
        <f>IFERROR(_xlfn.XLOOKUP($A182,Input_Raw!$A:$A,Input_Raw!$CY:$CY),"")</f>
        <v/>
      </c>
      <c r="H182" s="200" t="str">
        <f>IFERROR(_xlfn.XLOOKUP($A182,Input_Raw!$A:$A,Input_Raw!$DA:$DA),"")</f>
        <v/>
      </c>
      <c r="I182" s="200" t="str">
        <f>IFERROR(_xlfn.XLOOKUP($A182,Input_Raw!$A:$A,Input_Raw!$CX:$CX),"")</f>
        <v/>
      </c>
      <c r="J182" s="200" t="str">
        <f>IFERROR(_xlfn.XLOOKUP($A182,Input_Raw!$A:$A,Input_Raw!$CZ:$CZ),"")</f>
        <v/>
      </c>
      <c r="K182" s="201" t="str">
        <f>IFERROR(_xlfn.XLOOKUP($A182,Input_Raw!$A:$A,Input_Raw!$DB:$DB),"")</f>
        <v/>
      </c>
      <c r="L182" s="201" t="str">
        <f>IFERROR(_xlfn.XLOOKUP($A182,Input_Raw!$A:$A,Input_Raw!$DC:$DC),"")</f>
        <v/>
      </c>
      <c r="M182" s="200" t="str">
        <f>IFERROR(_xlfn.XLOOKUP($A182,Input_Raw!$A:$A,Input_Raw!$DF:$DF),"")</f>
        <v/>
      </c>
      <c r="N182" s="200" t="str">
        <f>IFERROR(_xlfn.XLOOKUP($A182,Input_Raw!$A:$A,Input_Raw!$DG:$DG),"")</f>
        <v/>
      </c>
      <c r="O182" s="230" t="str">
        <f>IFERROR(1-(SUMIF(Plant_BD!$B:$B,$A182,Plant_BD!$AL:$AL)/($AA182+SUMIF(Plant_BD!$B:$B,$A182,Plant_BD!$AL:$AL))),"")</f>
        <v/>
      </c>
      <c r="P182" s="230"/>
      <c r="Q182" s="231" t="str">
        <f>IFERROR(1-(SUMIF(Grid_BD!$B:$B,$A182,Grid_BD!$V:$V)/($AA182+SUMIF(Grid_BD!$B:$B,$A182,Grid_BD!$V:$V))),"")</f>
        <v/>
      </c>
      <c r="R182" s="230" t="str">
        <f>IFERROR(1-(SUMIF(Grid_BD!$B:$B,$A182,Grid_BD!$V:$V)/($AA182+SUMIF(Grid_BD!$B:$B,$A182,Grid_BD!$V:$V))),"")</f>
        <v/>
      </c>
      <c r="S182" s="9"/>
      <c r="T182" s="231"/>
      <c r="U182" s="232" t="str">
        <f t="shared" si="16"/>
        <v/>
      </c>
      <c r="V182" s="232" t="str">
        <f>IFERROR(_xlfn.XLOOKUP($A182,Input_Raw!$A:$A,Input_Raw!$FG:$FG),"")</f>
        <v/>
      </c>
      <c r="W182" s="233" t="str">
        <f t="shared" si="17"/>
        <v/>
      </c>
      <c r="X182" s="29" t="str">
        <f>IFERROR(_xlfn.XLOOKUP($A182,Input_Raw!$A:$A,Input_Raw!$DP:$DP),"")</f>
        <v/>
      </c>
      <c r="Y182" s="29" t="str">
        <f>IFERROR(_xlfn.XLOOKUP($A182,Input_Raw!$A:$A,Input_Raw!EW:EW),"")</f>
        <v/>
      </c>
      <c r="Z182" s="29" t="str">
        <f>IFERROR(_xlfn.XLOOKUP($A182,Input_Raw!$A:$A,Input_Raw!EX:EX),"")</f>
        <v/>
      </c>
      <c r="AA182" s="29" t="str">
        <f>IFERROR(_xlfn.XLOOKUP($A182,Input_Raw!$A:$A,Input_Raw!FA:FA),"")</f>
        <v/>
      </c>
      <c r="AB182" s="9" t="str">
        <f>IFERROR(_xlfn.XLOOKUP($A182,Input_Raw!$A:$A,Input_Raw!FD:FD),"")</f>
        <v/>
      </c>
      <c r="AC182" s="185">
        <f>IFERROR(_xlfn.XLOOKUP($D182,'Modelling New'!$D:$D,'Modelling New'!P:P),"")</f>
        <v>5.0166666666666666</v>
      </c>
      <c r="AD182" s="29">
        <f>IFERROR(_xlfn.XLOOKUP($D182,'Modelling New'!$D:$D,'Modelling New'!T:T)*1000,"")</f>
        <v>549869.32441732171</v>
      </c>
      <c r="AE182" s="233">
        <f>IFERROR(_xlfn.XLOOKUP($D182,'Modelling New'!$D:$D,'Modelling New'!O:O),"")</f>
        <v>0.84314233235469738</v>
      </c>
      <c r="AF182" s="233">
        <f>IFERROR(_xlfn.XLOOKUP($D182,'Modelling New'!$D:$D,'Modelling New'!W:W),"")</f>
        <v>0.17624016808247492</v>
      </c>
      <c r="AG182" s="233">
        <f>IFERROR(_xlfn.XLOOKUP($D182,'Modelling New'!$D:$D,'Modelling New'!AE:AE),"")</f>
        <v>0.995</v>
      </c>
      <c r="AH182" s="234">
        <f>IFERROR(_xlfn.XLOOKUP($D182,'Modelling New'!$D:$D,'Modelling New'!AF:AF),"")</f>
        <v>0.995</v>
      </c>
      <c r="AI182" s="9"/>
      <c r="AJ182" s="9"/>
      <c r="AK182" s="258"/>
      <c r="AL182" s="258"/>
      <c r="AM182" s="258"/>
      <c r="AN182" s="235"/>
      <c r="AO182" s="233"/>
      <c r="AP182" s="233"/>
      <c r="AQ182" s="233"/>
      <c r="AR182" s="236">
        <f>_xlfn.XLOOKUP(D182,'Modelling New'!$D:$D,'Modelling New'!$N:$N)</f>
        <v>130</v>
      </c>
      <c r="AS182" s="236" t="str">
        <f t="shared" si="18"/>
        <v/>
      </c>
    </row>
    <row r="183" spans="1:45">
      <c r="A183" s="18">
        <f t="shared" si="19"/>
        <v>45926</v>
      </c>
      <c r="B183" s="29">
        <f>YEAR(Table13[[#This Row],[Date]])+IF(MONTH(Table13[[#This Row],[Date]])&gt;=4,1,0)</f>
        <v>2026</v>
      </c>
      <c r="C183" s="9">
        <f>YEAR(Table13[[#This Row],[Date]])</f>
        <v>2025</v>
      </c>
      <c r="D183" s="229">
        <f>Table13[[#This Row],[Date]]-DAY(Table13[[#This Row],[Date]])+1</f>
        <v>45901</v>
      </c>
      <c r="E183" s="9">
        <f t="shared" si="15"/>
        <v>30</v>
      </c>
      <c r="F183" s="199" t="str">
        <f>IFERROR(_xlfn.XLOOKUP($A183,Input_Raw!$A:$A,Input_Raw!$FC:$FC),"")</f>
        <v/>
      </c>
      <c r="G183" s="185" t="str">
        <f>IFERROR(_xlfn.XLOOKUP($A183,Input_Raw!$A:$A,Input_Raw!$CY:$CY),"")</f>
        <v/>
      </c>
      <c r="H183" s="185" t="str">
        <f>IFERROR(_xlfn.XLOOKUP($A183,Input_Raw!$A:$A,Input_Raw!$DA:$DA),"")</f>
        <v/>
      </c>
      <c r="I183" s="185" t="str">
        <f>IFERROR(_xlfn.XLOOKUP($A183,Input_Raw!$A:$A,Input_Raw!$CX:$CX),"")</f>
        <v/>
      </c>
      <c r="J183" s="185" t="str">
        <f>IFERROR(_xlfn.XLOOKUP($A183,Input_Raw!$A:$A,Input_Raw!$CZ:$CZ),"")</f>
        <v/>
      </c>
      <c r="K183" s="201" t="str">
        <f>IFERROR(_xlfn.XLOOKUP($A183,Input_Raw!$A:$A,Input_Raw!$DB:$DB),"")</f>
        <v/>
      </c>
      <c r="L183" s="201" t="str">
        <f>IFERROR(_xlfn.XLOOKUP($A183,Input_Raw!$A:$A,Input_Raw!$DC:$DC),"")</f>
        <v/>
      </c>
      <c r="M183" s="200" t="str">
        <f>IFERROR(_xlfn.XLOOKUP($A183,Input_Raw!$A:$A,Input_Raw!$DF:$DF),"")</f>
        <v/>
      </c>
      <c r="N183" s="200" t="str">
        <f>IFERROR(_xlfn.XLOOKUP($A183,Input_Raw!$A:$A,Input_Raw!$DG:$DG),"")</f>
        <v/>
      </c>
      <c r="O183" s="230" t="str">
        <f>IFERROR(1-(SUMIF(Plant_BD!$B:$B,$A183,Plant_BD!$AL:$AL)/($AA183+SUMIF(Plant_BD!$B:$B,$A183,Plant_BD!$AL:$AL))),"")</f>
        <v/>
      </c>
      <c r="P183" s="230"/>
      <c r="Q183" s="231" t="str">
        <f>IFERROR(1-(SUMIF(Grid_BD!$B:$B,$A183,Grid_BD!$V:$V)/($AA183+SUMIF(Grid_BD!$B:$B,$A183,Grid_BD!$V:$V))),"")</f>
        <v/>
      </c>
      <c r="R183" s="230" t="str">
        <f>IFERROR(1-(SUMIF(Grid_BD!$B:$B,$A183,Grid_BD!$V:$V)/($AA183+SUMIF(Grid_BD!$B:$B,$A183,Grid_BD!$V:$V))),"")</f>
        <v/>
      </c>
      <c r="S183" s="9"/>
      <c r="T183" s="231"/>
      <c r="U183" s="232" t="str">
        <f t="shared" si="16"/>
        <v/>
      </c>
      <c r="V183" s="232" t="str">
        <f>IFERROR(_xlfn.XLOOKUP($A183,Input_Raw!$A:$A,Input_Raw!$FG:$FG),"")</f>
        <v/>
      </c>
      <c r="W183" s="233" t="str">
        <f t="shared" si="17"/>
        <v/>
      </c>
      <c r="X183" s="29" t="str">
        <f>IFERROR(_xlfn.XLOOKUP($A183,Input_Raw!$A:$A,Input_Raw!$DP:$DP),"")</f>
        <v/>
      </c>
      <c r="Y183" s="29" t="str">
        <f>IFERROR(_xlfn.XLOOKUP($A183,Input_Raw!$A:$A,Input_Raw!EW:EW),"")</f>
        <v/>
      </c>
      <c r="Z183" s="29" t="str">
        <f>IFERROR(_xlfn.XLOOKUP($A183,Input_Raw!$A:$A,Input_Raw!EX:EX),"")</f>
        <v/>
      </c>
      <c r="AA183" s="29" t="str">
        <f>IFERROR(_xlfn.XLOOKUP($A183,Input_Raw!$A:$A,Input_Raw!FA:FA),"")</f>
        <v/>
      </c>
      <c r="AB183" s="9" t="str">
        <f>IFERROR(_xlfn.XLOOKUP($A183,Input_Raw!$A:$A,Input_Raw!FD:FD),"")</f>
        <v/>
      </c>
      <c r="AC183" s="185">
        <f>IFERROR(_xlfn.XLOOKUP($D183,'Modelling New'!$D:$D,'Modelling New'!P:P),"")</f>
        <v>5.0166666666666666</v>
      </c>
      <c r="AD183" s="29">
        <f>IFERROR(_xlfn.XLOOKUP($D183,'Modelling New'!$D:$D,'Modelling New'!T:T)*1000,"")</f>
        <v>549869.32441732171</v>
      </c>
      <c r="AE183" s="233">
        <f>IFERROR(_xlfn.XLOOKUP($D183,'Modelling New'!$D:$D,'Modelling New'!O:O),"")</f>
        <v>0.84314233235469738</v>
      </c>
      <c r="AF183" s="233">
        <f>IFERROR(_xlfn.XLOOKUP($D183,'Modelling New'!$D:$D,'Modelling New'!W:W),"")</f>
        <v>0.17624016808247492</v>
      </c>
      <c r="AG183" s="233">
        <f>IFERROR(_xlfn.XLOOKUP($D183,'Modelling New'!$D:$D,'Modelling New'!AE:AE),"")</f>
        <v>0.995</v>
      </c>
      <c r="AH183" s="234">
        <f>IFERROR(_xlfn.XLOOKUP($D183,'Modelling New'!$D:$D,'Modelling New'!AF:AF),"")</f>
        <v>0.995</v>
      </c>
      <c r="AI183" s="9"/>
      <c r="AJ183" s="9"/>
      <c r="AK183" s="258"/>
      <c r="AL183" s="258"/>
      <c r="AM183" s="258"/>
      <c r="AN183" s="235"/>
      <c r="AO183" s="233"/>
      <c r="AP183" s="233"/>
      <c r="AQ183" s="233"/>
      <c r="AR183" s="236">
        <f>_xlfn.XLOOKUP(D183,'Modelling New'!$D:$D,'Modelling New'!$N:$N)</f>
        <v>130</v>
      </c>
      <c r="AS183" s="236" t="str">
        <f t="shared" si="18"/>
        <v/>
      </c>
    </row>
    <row r="184" spans="1:45">
      <c r="A184" s="18">
        <f t="shared" si="19"/>
        <v>45927</v>
      </c>
      <c r="B184" s="29">
        <f>YEAR(Table13[[#This Row],[Date]])+IF(MONTH(Table13[[#This Row],[Date]])&gt;=4,1,0)</f>
        <v>2026</v>
      </c>
      <c r="C184" s="9">
        <f>YEAR(Table13[[#This Row],[Date]])</f>
        <v>2025</v>
      </c>
      <c r="D184" s="229">
        <f>Table13[[#This Row],[Date]]-DAY(Table13[[#This Row],[Date]])+1</f>
        <v>45901</v>
      </c>
      <c r="E184" s="9">
        <f t="shared" si="15"/>
        <v>30</v>
      </c>
      <c r="F184" s="199" t="str">
        <f>IFERROR(_xlfn.XLOOKUP($A184,Input_Raw!$A:$A,Input_Raw!$FC:$FC),"")</f>
        <v/>
      </c>
      <c r="G184" s="200" t="str">
        <f>IFERROR(_xlfn.XLOOKUP($A184,Input_Raw!$A:$A,Input_Raw!$CY:$CY),"")</f>
        <v/>
      </c>
      <c r="H184" s="200" t="str">
        <f>IFERROR(_xlfn.XLOOKUP($A184,Input_Raw!$A:$A,Input_Raw!$DA:$DA),"")</f>
        <v/>
      </c>
      <c r="I184" s="200" t="str">
        <f>IFERROR(_xlfn.XLOOKUP($A184,Input_Raw!$A:$A,Input_Raw!$CX:$CX),"")</f>
        <v/>
      </c>
      <c r="J184" s="200" t="str">
        <f>IFERROR(_xlfn.XLOOKUP($A184,Input_Raw!$A:$A,Input_Raw!$CZ:$CZ),"")</f>
        <v/>
      </c>
      <c r="K184" s="201" t="str">
        <f>IFERROR(_xlfn.XLOOKUP($A184,Input_Raw!$A:$A,Input_Raw!$DB:$DB),"")</f>
        <v/>
      </c>
      <c r="L184" s="201" t="str">
        <f>IFERROR(_xlfn.XLOOKUP($A184,Input_Raw!$A:$A,Input_Raw!$DC:$DC),"")</f>
        <v/>
      </c>
      <c r="M184" s="200" t="str">
        <f>IFERROR(_xlfn.XLOOKUP($A184,Input_Raw!$A:$A,Input_Raw!$DF:$DF),"")</f>
        <v/>
      </c>
      <c r="N184" s="200" t="str">
        <f>IFERROR(_xlfn.XLOOKUP($A184,Input_Raw!$A:$A,Input_Raw!$DG:$DG),"")</f>
        <v/>
      </c>
      <c r="O184" s="230" t="str">
        <f>IFERROR(1-(SUMIF(Plant_BD!$B:$B,$A184,Plant_BD!$AL:$AL)/($AA184+SUMIF(Plant_BD!$B:$B,$A184,Plant_BD!$AL:$AL))),"")</f>
        <v/>
      </c>
      <c r="P184" s="230"/>
      <c r="Q184" s="231" t="str">
        <f>IFERROR(1-(SUMIF(Grid_BD!$B:$B,$A184,Grid_BD!$V:$V)/($AA184+SUMIF(Grid_BD!$B:$B,$A184,Grid_BD!$V:$V))),"")</f>
        <v/>
      </c>
      <c r="R184" s="230" t="str">
        <f>IFERROR(1-(SUMIF(Grid_BD!$B:$B,$A184,Grid_BD!$V:$V)/($AA184+SUMIF(Grid_BD!$B:$B,$A184,Grid_BD!$V:$V))),"")</f>
        <v/>
      </c>
      <c r="S184" s="9"/>
      <c r="T184" s="231"/>
      <c r="U184" s="232" t="str">
        <f t="shared" si="16"/>
        <v/>
      </c>
      <c r="V184" s="232" t="str">
        <f>IFERROR(_xlfn.XLOOKUP($A184,Input_Raw!$A:$A,Input_Raw!$FG:$FG),"")</f>
        <v/>
      </c>
      <c r="W184" s="233" t="str">
        <f t="shared" si="17"/>
        <v/>
      </c>
      <c r="X184" s="29" t="str">
        <f>IFERROR(_xlfn.XLOOKUP($A184,Input_Raw!$A:$A,Input_Raw!$DP:$DP),"")</f>
        <v/>
      </c>
      <c r="Y184" s="29" t="str">
        <f>IFERROR(_xlfn.XLOOKUP($A184,Input_Raw!$A:$A,Input_Raw!EW:EW),"")</f>
        <v/>
      </c>
      <c r="Z184" s="29" t="str">
        <f>IFERROR(_xlfn.XLOOKUP($A184,Input_Raw!$A:$A,Input_Raw!EX:EX),"")</f>
        <v/>
      </c>
      <c r="AA184" s="29" t="str">
        <f>IFERROR(_xlfn.XLOOKUP($A184,Input_Raw!$A:$A,Input_Raw!FA:FA),"")</f>
        <v/>
      </c>
      <c r="AB184" s="9" t="str">
        <f>IFERROR(_xlfn.XLOOKUP($A184,Input_Raw!$A:$A,Input_Raw!FD:FD),"")</f>
        <v/>
      </c>
      <c r="AC184" s="185">
        <f>IFERROR(_xlfn.XLOOKUP($D184,'Modelling New'!$D:$D,'Modelling New'!P:P),"")</f>
        <v>5.0166666666666666</v>
      </c>
      <c r="AD184" s="29">
        <f>IFERROR(_xlfn.XLOOKUP($D184,'Modelling New'!$D:$D,'Modelling New'!T:T)*1000,"")</f>
        <v>549869.32441732171</v>
      </c>
      <c r="AE184" s="233">
        <f>IFERROR(_xlfn.XLOOKUP($D184,'Modelling New'!$D:$D,'Modelling New'!O:O),"")</f>
        <v>0.84314233235469738</v>
      </c>
      <c r="AF184" s="233">
        <f>IFERROR(_xlfn.XLOOKUP($D184,'Modelling New'!$D:$D,'Modelling New'!W:W),"")</f>
        <v>0.17624016808247492</v>
      </c>
      <c r="AG184" s="233">
        <f>IFERROR(_xlfn.XLOOKUP($D184,'Modelling New'!$D:$D,'Modelling New'!AE:AE),"")</f>
        <v>0.995</v>
      </c>
      <c r="AH184" s="234">
        <f>IFERROR(_xlfn.XLOOKUP($D184,'Modelling New'!$D:$D,'Modelling New'!AF:AF),"")</f>
        <v>0.995</v>
      </c>
      <c r="AI184" s="9"/>
      <c r="AJ184" s="9"/>
      <c r="AK184" s="258"/>
      <c r="AL184" s="258"/>
      <c r="AM184" s="258"/>
      <c r="AN184" s="235"/>
      <c r="AO184" s="233"/>
      <c r="AP184" s="233"/>
      <c r="AQ184" s="233"/>
      <c r="AR184" s="236">
        <f>_xlfn.XLOOKUP(D184,'Modelling New'!$D:$D,'Modelling New'!$N:$N)</f>
        <v>130</v>
      </c>
      <c r="AS184" s="236" t="str">
        <f t="shared" si="18"/>
        <v/>
      </c>
    </row>
    <row r="185" spans="1:45">
      <c r="A185" s="18">
        <f t="shared" si="19"/>
        <v>45928</v>
      </c>
      <c r="B185" s="29">
        <f>YEAR(Table13[[#This Row],[Date]])+IF(MONTH(Table13[[#This Row],[Date]])&gt;=4,1,0)</f>
        <v>2026</v>
      </c>
      <c r="C185" s="9">
        <f>YEAR(Table13[[#This Row],[Date]])</f>
        <v>2025</v>
      </c>
      <c r="D185" s="229">
        <f>Table13[[#This Row],[Date]]-DAY(Table13[[#This Row],[Date]])+1</f>
        <v>45901</v>
      </c>
      <c r="E185" s="9">
        <f t="shared" si="15"/>
        <v>30</v>
      </c>
      <c r="F185" s="199" t="str">
        <f>IFERROR(_xlfn.XLOOKUP($A185,Input_Raw!$A:$A,Input_Raw!$FC:$FC),"")</f>
        <v/>
      </c>
      <c r="G185" s="185" t="str">
        <f>IFERROR(_xlfn.XLOOKUP($A185,Input_Raw!$A:$A,Input_Raw!$CY:$CY),"")</f>
        <v/>
      </c>
      <c r="H185" s="185" t="str">
        <f>IFERROR(_xlfn.XLOOKUP($A185,Input_Raw!$A:$A,Input_Raw!$DA:$DA),"")</f>
        <v/>
      </c>
      <c r="I185" s="185" t="str">
        <f>IFERROR(_xlfn.XLOOKUP($A185,Input_Raw!$A:$A,Input_Raw!$CX:$CX),"")</f>
        <v/>
      </c>
      <c r="J185" s="185" t="str">
        <f>IFERROR(_xlfn.XLOOKUP($A185,Input_Raw!$A:$A,Input_Raw!$CZ:$CZ),"")</f>
        <v/>
      </c>
      <c r="K185" s="201" t="str">
        <f>IFERROR(_xlfn.XLOOKUP($A185,Input_Raw!$A:$A,Input_Raw!$DB:$DB),"")</f>
        <v/>
      </c>
      <c r="L185" s="201" t="str">
        <f>IFERROR(_xlfn.XLOOKUP($A185,Input_Raw!$A:$A,Input_Raw!$DC:$DC),"")</f>
        <v/>
      </c>
      <c r="M185" s="200" t="str">
        <f>IFERROR(_xlfn.XLOOKUP($A185,Input_Raw!$A:$A,Input_Raw!$DF:$DF),"")</f>
        <v/>
      </c>
      <c r="N185" s="200" t="str">
        <f>IFERROR(_xlfn.XLOOKUP($A185,Input_Raw!$A:$A,Input_Raw!$DG:$DG),"")</f>
        <v/>
      </c>
      <c r="O185" s="230" t="str">
        <f>IFERROR(1-(SUMIF(Plant_BD!$B:$B,$A185,Plant_BD!$AL:$AL)/($AA185+SUMIF(Plant_BD!$B:$B,$A185,Plant_BD!$AL:$AL))),"")</f>
        <v/>
      </c>
      <c r="P185" s="230"/>
      <c r="Q185" s="231" t="str">
        <f>IFERROR(1-(SUMIF(Grid_BD!$B:$B,$A185,Grid_BD!$V:$V)/($AA185+SUMIF(Grid_BD!$B:$B,$A185,Grid_BD!$V:$V))),"")</f>
        <v/>
      </c>
      <c r="R185" s="230" t="str">
        <f>IFERROR(1-(SUMIF(Grid_BD!$B:$B,$A185,Grid_BD!$V:$V)/($AA185+SUMIF(Grid_BD!$B:$B,$A185,Grid_BD!$V:$V))),"")</f>
        <v/>
      </c>
      <c r="S185" s="9"/>
      <c r="T185" s="231"/>
      <c r="U185" s="232" t="str">
        <f t="shared" si="16"/>
        <v/>
      </c>
      <c r="V185" s="232" t="str">
        <f>IFERROR(_xlfn.XLOOKUP($A185,Input_Raw!$A:$A,Input_Raw!$FG:$FG),"")</f>
        <v/>
      </c>
      <c r="W185" s="233" t="str">
        <f t="shared" si="17"/>
        <v/>
      </c>
      <c r="X185" s="29" t="str">
        <f>IFERROR(_xlfn.XLOOKUP($A185,Input_Raw!$A:$A,Input_Raw!$DP:$DP),"")</f>
        <v/>
      </c>
      <c r="Y185" s="29" t="str">
        <f>IFERROR(_xlfn.XLOOKUP($A185,Input_Raw!$A:$A,Input_Raw!EW:EW),"")</f>
        <v/>
      </c>
      <c r="Z185" s="29" t="str">
        <f>IFERROR(_xlfn.XLOOKUP($A185,Input_Raw!$A:$A,Input_Raw!EX:EX),"")</f>
        <v/>
      </c>
      <c r="AA185" s="29" t="str">
        <f>IFERROR(_xlfn.XLOOKUP($A185,Input_Raw!$A:$A,Input_Raw!FA:FA),"")</f>
        <v/>
      </c>
      <c r="AB185" s="9" t="str">
        <f>IFERROR(_xlfn.XLOOKUP($A185,Input_Raw!$A:$A,Input_Raw!FD:FD),"")</f>
        <v/>
      </c>
      <c r="AC185" s="185">
        <f>IFERROR(_xlfn.XLOOKUP($D185,'Modelling New'!$D:$D,'Modelling New'!P:P),"")</f>
        <v>5.0166666666666666</v>
      </c>
      <c r="AD185" s="29">
        <f>IFERROR(_xlfn.XLOOKUP($D185,'Modelling New'!$D:$D,'Modelling New'!T:T)*1000,"")</f>
        <v>549869.32441732171</v>
      </c>
      <c r="AE185" s="233">
        <f>IFERROR(_xlfn.XLOOKUP($D185,'Modelling New'!$D:$D,'Modelling New'!O:O),"")</f>
        <v>0.84314233235469738</v>
      </c>
      <c r="AF185" s="233">
        <f>IFERROR(_xlfn.XLOOKUP($D185,'Modelling New'!$D:$D,'Modelling New'!W:W),"")</f>
        <v>0.17624016808247492</v>
      </c>
      <c r="AG185" s="233">
        <f>IFERROR(_xlfn.XLOOKUP($D185,'Modelling New'!$D:$D,'Modelling New'!AE:AE),"")</f>
        <v>0.995</v>
      </c>
      <c r="AH185" s="234">
        <f>IFERROR(_xlfn.XLOOKUP($D185,'Modelling New'!$D:$D,'Modelling New'!AF:AF),"")</f>
        <v>0.995</v>
      </c>
      <c r="AI185" s="9"/>
      <c r="AJ185" s="9"/>
      <c r="AK185" s="258"/>
      <c r="AL185" s="258"/>
      <c r="AM185" s="258"/>
      <c r="AN185" s="235"/>
      <c r="AO185" s="233"/>
      <c r="AP185" s="233"/>
      <c r="AQ185" s="233"/>
      <c r="AR185" s="236">
        <f>_xlfn.XLOOKUP(D185,'Modelling New'!$D:$D,'Modelling New'!$N:$N)</f>
        <v>130</v>
      </c>
      <c r="AS185" s="236" t="str">
        <f t="shared" si="18"/>
        <v/>
      </c>
    </row>
    <row r="186" spans="1:45">
      <c r="A186" s="18">
        <f t="shared" si="19"/>
        <v>45929</v>
      </c>
      <c r="B186" s="29">
        <f>YEAR(Table13[[#This Row],[Date]])+IF(MONTH(Table13[[#This Row],[Date]])&gt;=4,1,0)</f>
        <v>2026</v>
      </c>
      <c r="C186" s="9">
        <f>YEAR(Table13[[#This Row],[Date]])</f>
        <v>2025</v>
      </c>
      <c r="D186" s="229">
        <f>Table13[[#This Row],[Date]]-DAY(Table13[[#This Row],[Date]])+1</f>
        <v>45901</v>
      </c>
      <c r="E186" s="9">
        <f t="shared" si="15"/>
        <v>30</v>
      </c>
      <c r="F186" s="199" t="str">
        <f>IFERROR(_xlfn.XLOOKUP($A186,Input_Raw!$A:$A,Input_Raw!$FC:$FC),"")</f>
        <v/>
      </c>
      <c r="G186" s="200" t="str">
        <f>IFERROR(_xlfn.XLOOKUP($A186,Input_Raw!$A:$A,Input_Raw!$CY:$CY),"")</f>
        <v/>
      </c>
      <c r="H186" s="200" t="str">
        <f>IFERROR(_xlfn.XLOOKUP($A186,Input_Raw!$A:$A,Input_Raw!$DA:$DA),"")</f>
        <v/>
      </c>
      <c r="I186" s="200" t="str">
        <f>IFERROR(_xlfn.XLOOKUP($A186,Input_Raw!$A:$A,Input_Raw!$CX:$CX),"")</f>
        <v/>
      </c>
      <c r="J186" s="200" t="str">
        <f>IFERROR(_xlfn.XLOOKUP($A186,Input_Raw!$A:$A,Input_Raw!$CZ:$CZ),"")</f>
        <v/>
      </c>
      <c r="K186" s="201" t="str">
        <f>IFERROR(_xlfn.XLOOKUP($A186,Input_Raw!$A:$A,Input_Raw!$DB:$DB),"")</f>
        <v/>
      </c>
      <c r="L186" s="201" t="str">
        <f>IFERROR(_xlfn.XLOOKUP($A186,Input_Raw!$A:$A,Input_Raw!$DC:$DC),"")</f>
        <v/>
      </c>
      <c r="M186" s="200" t="str">
        <f>IFERROR(_xlfn.XLOOKUP($A186,Input_Raw!$A:$A,Input_Raw!$DF:$DF),"")</f>
        <v/>
      </c>
      <c r="N186" s="200" t="str">
        <f>IFERROR(_xlfn.XLOOKUP($A186,Input_Raw!$A:$A,Input_Raw!$DG:$DG),"")</f>
        <v/>
      </c>
      <c r="O186" s="230" t="str">
        <f>IFERROR(1-(SUMIF(Plant_BD!$B:$B,$A186,Plant_BD!$AL:$AL)/($AA186+SUMIF(Plant_BD!$B:$B,$A186,Plant_BD!$AL:$AL))),"")</f>
        <v/>
      </c>
      <c r="P186" s="230"/>
      <c r="Q186" s="231" t="str">
        <f>IFERROR(1-(SUMIF(Grid_BD!$B:$B,$A186,Grid_BD!$V:$V)/($AA186+SUMIF(Grid_BD!$B:$B,$A186,Grid_BD!$V:$V))),"")</f>
        <v/>
      </c>
      <c r="R186" s="230" t="str">
        <f>IFERROR(1-(SUMIF(Grid_BD!$B:$B,$A186,Grid_BD!$V:$V)/($AA186+SUMIF(Grid_BD!$B:$B,$A186,Grid_BD!$V:$V))),"")</f>
        <v/>
      </c>
      <c r="S186" s="9"/>
      <c r="T186" s="231"/>
      <c r="U186" s="232" t="str">
        <f t="shared" si="16"/>
        <v/>
      </c>
      <c r="V186" s="232" t="str">
        <f>IFERROR(_xlfn.XLOOKUP($A186,Input_Raw!$A:$A,Input_Raw!$FG:$FG),"")</f>
        <v/>
      </c>
      <c r="W186" s="233" t="str">
        <f t="shared" si="17"/>
        <v/>
      </c>
      <c r="X186" s="29" t="str">
        <f>IFERROR(_xlfn.XLOOKUP($A186,Input_Raw!$A:$A,Input_Raw!$DP:$DP),"")</f>
        <v/>
      </c>
      <c r="Y186" s="29" t="str">
        <f>IFERROR(_xlfn.XLOOKUP($A186,Input_Raw!$A:$A,Input_Raw!EW:EW),"")</f>
        <v/>
      </c>
      <c r="Z186" s="29" t="str">
        <f>IFERROR(_xlfn.XLOOKUP($A186,Input_Raw!$A:$A,Input_Raw!EX:EX),"")</f>
        <v/>
      </c>
      <c r="AA186" s="29" t="str">
        <f>IFERROR(_xlfn.XLOOKUP($A186,Input_Raw!$A:$A,Input_Raw!FA:FA),"")</f>
        <v/>
      </c>
      <c r="AB186" s="9" t="str">
        <f>IFERROR(_xlfn.XLOOKUP($A186,Input_Raw!$A:$A,Input_Raw!FD:FD),"")</f>
        <v/>
      </c>
      <c r="AC186" s="185">
        <f>IFERROR(_xlfn.XLOOKUP($D186,'Modelling New'!$D:$D,'Modelling New'!P:P),"")</f>
        <v>5.0166666666666666</v>
      </c>
      <c r="AD186" s="29">
        <f>IFERROR(_xlfn.XLOOKUP($D186,'Modelling New'!$D:$D,'Modelling New'!T:T)*1000,"")</f>
        <v>549869.32441732171</v>
      </c>
      <c r="AE186" s="233">
        <f>IFERROR(_xlfn.XLOOKUP($D186,'Modelling New'!$D:$D,'Modelling New'!O:O),"")</f>
        <v>0.84314233235469738</v>
      </c>
      <c r="AF186" s="233">
        <f>IFERROR(_xlfn.XLOOKUP($D186,'Modelling New'!$D:$D,'Modelling New'!W:W),"")</f>
        <v>0.17624016808247492</v>
      </c>
      <c r="AG186" s="233">
        <f>IFERROR(_xlfn.XLOOKUP($D186,'Modelling New'!$D:$D,'Modelling New'!AE:AE),"")</f>
        <v>0.995</v>
      </c>
      <c r="AH186" s="234">
        <f>IFERROR(_xlfn.XLOOKUP($D186,'Modelling New'!$D:$D,'Modelling New'!AF:AF),"")</f>
        <v>0.995</v>
      </c>
      <c r="AI186" s="9"/>
      <c r="AJ186" s="9"/>
      <c r="AK186" s="258"/>
      <c r="AL186" s="258"/>
      <c r="AM186" s="258"/>
      <c r="AN186" s="235"/>
      <c r="AO186" s="233"/>
      <c r="AP186" s="233"/>
      <c r="AQ186" s="233"/>
      <c r="AR186" s="236">
        <f>_xlfn.XLOOKUP(D186,'Modelling New'!$D:$D,'Modelling New'!$N:$N)</f>
        <v>130</v>
      </c>
      <c r="AS186" s="236" t="str">
        <f t="shared" si="18"/>
        <v/>
      </c>
    </row>
    <row r="187" spans="1:45">
      <c r="A187" s="18">
        <f t="shared" si="19"/>
        <v>45930</v>
      </c>
      <c r="B187" s="29">
        <f>YEAR(Table13[[#This Row],[Date]])+IF(MONTH(Table13[[#This Row],[Date]])&gt;=4,1,0)</f>
        <v>2026</v>
      </c>
      <c r="C187" s="9">
        <f>YEAR(Table13[[#This Row],[Date]])</f>
        <v>2025</v>
      </c>
      <c r="D187" s="229">
        <f>Table13[[#This Row],[Date]]-DAY(Table13[[#This Row],[Date]])+1</f>
        <v>45901</v>
      </c>
      <c r="E187" s="9">
        <f t="shared" si="15"/>
        <v>30</v>
      </c>
      <c r="F187" s="199" t="str">
        <f>IFERROR(_xlfn.XLOOKUP($A187,Input_Raw!$A:$A,Input_Raw!$FC:$FC),"")</f>
        <v/>
      </c>
      <c r="G187" s="185" t="str">
        <f>IFERROR(_xlfn.XLOOKUP($A187,Input_Raw!$A:$A,Input_Raw!$CY:$CY),"")</f>
        <v/>
      </c>
      <c r="H187" s="185" t="str">
        <f>IFERROR(_xlfn.XLOOKUP($A187,Input_Raw!$A:$A,Input_Raw!$DA:$DA),"")</f>
        <v/>
      </c>
      <c r="I187" s="185" t="str">
        <f>IFERROR(_xlfn.XLOOKUP($A187,Input_Raw!$A:$A,Input_Raw!$CX:$CX),"")</f>
        <v/>
      </c>
      <c r="J187" s="185" t="str">
        <f>IFERROR(_xlfn.XLOOKUP($A187,Input_Raw!$A:$A,Input_Raw!$CZ:$CZ),"")</f>
        <v/>
      </c>
      <c r="K187" s="201" t="str">
        <f>IFERROR(_xlfn.XLOOKUP($A187,Input_Raw!$A:$A,Input_Raw!$DB:$DB),"")</f>
        <v/>
      </c>
      <c r="L187" s="201" t="str">
        <f>IFERROR(_xlfn.XLOOKUP($A187,Input_Raw!$A:$A,Input_Raw!$DC:$DC),"")</f>
        <v/>
      </c>
      <c r="M187" s="200" t="str">
        <f>IFERROR(_xlfn.XLOOKUP($A187,Input_Raw!$A:$A,Input_Raw!$DF:$DF),"")</f>
        <v/>
      </c>
      <c r="N187" s="200" t="str">
        <f>IFERROR(_xlfn.XLOOKUP($A187,Input_Raw!$A:$A,Input_Raw!$DG:$DG),"")</f>
        <v/>
      </c>
      <c r="O187" s="230" t="str">
        <f>IFERROR(1-(SUMIF(Plant_BD!$B:$B,$A187,Plant_BD!$AL:$AL)/($AA187+SUMIF(Plant_BD!$B:$B,$A187,Plant_BD!$AL:$AL))),"")</f>
        <v/>
      </c>
      <c r="P187" s="230"/>
      <c r="Q187" s="231" t="str">
        <f>IFERROR(1-(SUMIF(Grid_BD!$B:$B,$A187,Grid_BD!$V:$V)/($AA187+SUMIF(Grid_BD!$B:$B,$A187,Grid_BD!$V:$V))),"")</f>
        <v/>
      </c>
      <c r="R187" s="230" t="str">
        <f>IFERROR(1-(SUMIF(Grid_BD!$B:$B,$A187,Grid_BD!$V:$V)/($AA187+SUMIF(Grid_BD!$B:$B,$A187,Grid_BD!$V:$V))),"")</f>
        <v/>
      </c>
      <c r="S187" s="9"/>
      <c r="T187" s="231"/>
      <c r="U187" s="232" t="str">
        <f t="shared" si="16"/>
        <v/>
      </c>
      <c r="V187" s="232" t="str">
        <f>IFERROR(_xlfn.XLOOKUP($A187,Input_Raw!$A:$A,Input_Raw!$FG:$FG),"")</f>
        <v/>
      </c>
      <c r="W187" s="233" t="str">
        <f t="shared" si="17"/>
        <v/>
      </c>
      <c r="X187" s="29" t="str">
        <f>IFERROR(_xlfn.XLOOKUP($A187,Input_Raw!$A:$A,Input_Raw!$DP:$DP),"")</f>
        <v/>
      </c>
      <c r="Y187" s="29" t="str">
        <f>IFERROR(_xlfn.XLOOKUP($A187,Input_Raw!$A:$A,Input_Raw!EW:EW),"")</f>
        <v/>
      </c>
      <c r="Z187" s="29" t="str">
        <f>IFERROR(_xlfn.XLOOKUP($A187,Input_Raw!$A:$A,Input_Raw!EX:EX),"")</f>
        <v/>
      </c>
      <c r="AA187" s="29" t="str">
        <f>IFERROR(_xlfn.XLOOKUP($A187,Input_Raw!$A:$A,Input_Raw!FA:FA),"")</f>
        <v/>
      </c>
      <c r="AB187" s="9" t="str">
        <f>IFERROR(_xlfn.XLOOKUP($A187,Input_Raw!$A:$A,Input_Raw!FD:FD),"")</f>
        <v/>
      </c>
      <c r="AC187" s="185">
        <f>IFERROR(_xlfn.XLOOKUP($D187,'Modelling New'!$D:$D,'Modelling New'!P:P),"")</f>
        <v>5.0166666666666666</v>
      </c>
      <c r="AD187" s="29">
        <f>IFERROR(_xlfn.XLOOKUP($D187,'Modelling New'!$D:$D,'Modelling New'!T:T)*1000,"")</f>
        <v>549869.32441732171</v>
      </c>
      <c r="AE187" s="233">
        <f>IFERROR(_xlfn.XLOOKUP($D187,'Modelling New'!$D:$D,'Modelling New'!O:O),"")</f>
        <v>0.84314233235469738</v>
      </c>
      <c r="AF187" s="233">
        <f>IFERROR(_xlfn.XLOOKUP($D187,'Modelling New'!$D:$D,'Modelling New'!W:W),"")</f>
        <v>0.17624016808247492</v>
      </c>
      <c r="AG187" s="233">
        <f>IFERROR(_xlfn.XLOOKUP($D187,'Modelling New'!$D:$D,'Modelling New'!AE:AE),"")</f>
        <v>0.995</v>
      </c>
      <c r="AH187" s="234">
        <f>IFERROR(_xlfn.XLOOKUP($D187,'Modelling New'!$D:$D,'Modelling New'!AF:AF),"")</f>
        <v>0.995</v>
      </c>
      <c r="AI187" s="9"/>
      <c r="AJ187" s="9"/>
      <c r="AK187" s="258"/>
      <c r="AL187" s="258"/>
      <c r="AM187" s="258"/>
      <c r="AN187" s="235"/>
      <c r="AO187" s="233"/>
      <c r="AP187" s="233"/>
      <c r="AQ187" s="233"/>
      <c r="AR187" s="236">
        <f>_xlfn.XLOOKUP(D187,'Modelling New'!$D:$D,'Modelling New'!$N:$N)</f>
        <v>130</v>
      </c>
      <c r="AS187" s="236" t="str">
        <f t="shared" si="18"/>
        <v/>
      </c>
    </row>
    <row r="188" spans="1:45">
      <c r="A188" s="18">
        <f t="shared" si="19"/>
        <v>45931</v>
      </c>
      <c r="B188" s="29">
        <f>YEAR(Table13[[#This Row],[Date]])+IF(MONTH(Table13[[#This Row],[Date]])&gt;=4,1,0)</f>
        <v>2026</v>
      </c>
      <c r="C188" s="9">
        <f>YEAR(Table13[[#This Row],[Date]])</f>
        <v>2025</v>
      </c>
      <c r="D188" s="229">
        <f>Table13[[#This Row],[Date]]-DAY(Table13[[#This Row],[Date]])+1</f>
        <v>45931</v>
      </c>
      <c r="E188" s="9">
        <f t="shared" si="15"/>
        <v>31</v>
      </c>
      <c r="F188" s="199" t="str">
        <f>IFERROR(_xlfn.XLOOKUP($A188,Input_Raw!$A:$A,Input_Raw!$FC:$FC),"")</f>
        <v/>
      </c>
      <c r="G188" s="200" t="str">
        <f>IFERROR(_xlfn.XLOOKUP($A188,Input_Raw!$A:$A,Input_Raw!$CY:$CY),"")</f>
        <v/>
      </c>
      <c r="H188" s="200" t="str">
        <f>IFERROR(_xlfn.XLOOKUP($A188,Input_Raw!$A:$A,Input_Raw!$DA:$DA),"")</f>
        <v/>
      </c>
      <c r="I188" s="200" t="str">
        <f>IFERROR(_xlfn.XLOOKUP($A188,Input_Raw!$A:$A,Input_Raw!$CX:$CX),"")</f>
        <v/>
      </c>
      <c r="J188" s="200" t="str">
        <f>IFERROR(_xlfn.XLOOKUP($A188,Input_Raw!$A:$A,Input_Raw!$CZ:$CZ),"")</f>
        <v/>
      </c>
      <c r="K188" s="201" t="str">
        <f>IFERROR(_xlfn.XLOOKUP($A188,Input_Raw!$A:$A,Input_Raw!$DB:$DB),"")</f>
        <v/>
      </c>
      <c r="L188" s="201" t="str">
        <f>IFERROR(_xlfn.XLOOKUP($A188,Input_Raw!$A:$A,Input_Raw!$DC:$DC),"")</f>
        <v/>
      </c>
      <c r="M188" s="200" t="str">
        <f>IFERROR(_xlfn.XLOOKUP($A188,Input_Raw!$A:$A,Input_Raw!$DF:$DF),"")</f>
        <v/>
      </c>
      <c r="N188" s="200" t="str">
        <f>IFERROR(_xlfn.XLOOKUP($A188,Input_Raw!$A:$A,Input_Raw!$DG:$DG),"")</f>
        <v/>
      </c>
      <c r="O188" s="230" t="str">
        <f>IFERROR(1-(SUMIF(Plant_BD!$B:$B,$A188,Plant_BD!$AL:$AL)/($AA188+SUMIF(Plant_BD!$B:$B,$A188,Plant_BD!$AL:$AL))),"")</f>
        <v/>
      </c>
      <c r="P188" s="230"/>
      <c r="Q188" s="231" t="str">
        <f>IFERROR(1-(SUMIF(Grid_BD!$B:$B,$A188,Grid_BD!$V:$V)/($AA188+SUMIF(Grid_BD!$B:$B,$A188,Grid_BD!$V:$V))),"")</f>
        <v/>
      </c>
      <c r="R188" s="230" t="str">
        <f>IFERROR(1-(SUMIF(Grid_BD!$B:$B,$A188,Grid_BD!$V:$V)/($AA188+SUMIF(Grid_BD!$B:$B,$A188,Grid_BD!$V:$V))),"")</f>
        <v/>
      </c>
      <c r="S188" s="9"/>
      <c r="T188" s="231"/>
      <c r="U188" s="232" t="str">
        <f t="shared" si="16"/>
        <v/>
      </c>
      <c r="V188" s="232" t="str">
        <f>IFERROR(_xlfn.XLOOKUP($A188,Input_Raw!$A:$A,Input_Raw!$FG:$FG),"")</f>
        <v/>
      </c>
      <c r="W188" s="233" t="str">
        <f t="shared" si="17"/>
        <v/>
      </c>
      <c r="X188" s="29" t="str">
        <f>IFERROR(_xlfn.XLOOKUP($A188,Input_Raw!$A:$A,Input_Raw!$DP:$DP),"")</f>
        <v/>
      </c>
      <c r="Y188" s="29" t="str">
        <f>IFERROR(_xlfn.XLOOKUP($A188,Input_Raw!$A:$A,Input_Raw!EW:EW),"")</f>
        <v/>
      </c>
      <c r="Z188" s="29" t="str">
        <f>IFERROR(_xlfn.XLOOKUP($A188,Input_Raw!$A:$A,Input_Raw!EX:EX),"")</f>
        <v/>
      </c>
      <c r="AA188" s="29" t="str">
        <f>IFERROR(_xlfn.XLOOKUP($A188,Input_Raw!$A:$A,Input_Raw!FA:FA),"")</f>
        <v/>
      </c>
      <c r="AB188" s="9" t="str">
        <f>IFERROR(_xlfn.XLOOKUP($A188,Input_Raw!$A:$A,Input_Raw!FD:FD),"")</f>
        <v/>
      </c>
      <c r="AC188" s="185">
        <f>IFERROR(_xlfn.XLOOKUP($D188,'Modelling New'!$D:$D,'Modelling New'!P:P),"")</f>
        <v>5.8258064516129027</v>
      </c>
      <c r="AD188" s="29">
        <f>IFERROR(_xlfn.XLOOKUP($D188,'Modelling New'!$D:$D,'Modelling New'!T:T)*1000,"")</f>
        <v>635344.27609051135</v>
      </c>
      <c r="AE188" s="233">
        <f>IFERROR(_xlfn.XLOOKUP($D188,'Modelling New'!$D:$D,'Modelling New'!O:O),"")</f>
        <v>0.83889907823519261</v>
      </c>
      <c r="AF188" s="233">
        <f>IFERROR(_xlfn.XLOOKUP($D188,'Modelling New'!$D:$D,'Modelling New'!W:W),"")</f>
        <v>0.20363598592644594</v>
      </c>
      <c r="AG188" s="233">
        <f>IFERROR(_xlfn.XLOOKUP($D188,'Modelling New'!$D:$D,'Modelling New'!AE:AE),"")</f>
        <v>0.995</v>
      </c>
      <c r="AH188" s="234">
        <f>IFERROR(_xlfn.XLOOKUP($D188,'Modelling New'!$D:$D,'Modelling New'!AF:AF),"")</f>
        <v>0.995</v>
      </c>
      <c r="AI188" s="9"/>
      <c r="AJ188" s="9"/>
      <c r="AK188" s="258"/>
      <c r="AL188" s="258"/>
      <c r="AM188" s="258"/>
      <c r="AN188" s="235"/>
      <c r="AO188" s="233"/>
      <c r="AP188" s="233"/>
      <c r="AQ188" s="233"/>
      <c r="AR188" s="236">
        <f>_xlfn.XLOOKUP(D188,'Modelling New'!$D:$D,'Modelling New'!$N:$N)</f>
        <v>130</v>
      </c>
      <c r="AS188" s="236" t="str">
        <f t="shared" si="18"/>
        <v/>
      </c>
    </row>
    <row r="189" spans="1:45">
      <c r="A189" s="18">
        <f t="shared" si="19"/>
        <v>45932</v>
      </c>
      <c r="B189" s="29">
        <f>YEAR(Table13[[#This Row],[Date]])+IF(MONTH(Table13[[#This Row],[Date]])&gt;=4,1,0)</f>
        <v>2026</v>
      </c>
      <c r="C189" s="9">
        <f>YEAR(Table13[[#This Row],[Date]])</f>
        <v>2025</v>
      </c>
      <c r="D189" s="229">
        <f>Table13[[#This Row],[Date]]-DAY(Table13[[#This Row],[Date]])+1</f>
        <v>45931</v>
      </c>
      <c r="E189" s="9">
        <f t="shared" si="15"/>
        <v>31</v>
      </c>
      <c r="F189" s="199" t="str">
        <f>IFERROR(_xlfn.XLOOKUP($A189,Input_Raw!$A:$A,Input_Raw!$FC:$FC),"")</f>
        <v/>
      </c>
      <c r="G189" s="185" t="str">
        <f>IFERROR(_xlfn.XLOOKUP($A189,Input_Raw!$A:$A,Input_Raw!$CY:$CY),"")</f>
        <v/>
      </c>
      <c r="H189" s="185" t="str">
        <f>IFERROR(_xlfn.XLOOKUP($A189,Input_Raw!$A:$A,Input_Raw!$DA:$DA),"")</f>
        <v/>
      </c>
      <c r="I189" s="185" t="str">
        <f>IFERROR(_xlfn.XLOOKUP($A189,Input_Raw!$A:$A,Input_Raw!$CX:$CX),"")</f>
        <v/>
      </c>
      <c r="J189" s="185" t="str">
        <f>IFERROR(_xlfn.XLOOKUP($A189,Input_Raw!$A:$A,Input_Raw!$CZ:$CZ),"")</f>
        <v/>
      </c>
      <c r="K189" s="201" t="str">
        <f>IFERROR(_xlfn.XLOOKUP($A189,Input_Raw!$A:$A,Input_Raw!$DB:$DB),"")</f>
        <v/>
      </c>
      <c r="L189" s="201" t="str">
        <f>IFERROR(_xlfn.XLOOKUP($A189,Input_Raw!$A:$A,Input_Raw!$DC:$DC),"")</f>
        <v/>
      </c>
      <c r="M189" s="200" t="str">
        <f>IFERROR(_xlfn.XLOOKUP($A189,Input_Raw!$A:$A,Input_Raw!$DF:$DF),"")</f>
        <v/>
      </c>
      <c r="N189" s="200" t="str">
        <f>IFERROR(_xlfn.XLOOKUP($A189,Input_Raw!$A:$A,Input_Raw!$DG:$DG),"")</f>
        <v/>
      </c>
      <c r="O189" s="230" t="str">
        <f>IFERROR(1-(SUMIF(Plant_BD!$B:$B,$A189,Plant_BD!$AL:$AL)/($AA189+SUMIF(Plant_BD!$B:$B,$A189,Plant_BD!$AL:$AL))),"")</f>
        <v/>
      </c>
      <c r="P189" s="230"/>
      <c r="Q189" s="231" t="str">
        <f>IFERROR(1-(SUMIF(Grid_BD!$B:$B,$A189,Grid_BD!$V:$V)/($AA189+SUMIF(Grid_BD!$B:$B,$A189,Grid_BD!$V:$V))),"")</f>
        <v/>
      </c>
      <c r="R189" s="230" t="str">
        <f>IFERROR(1-(SUMIF(Grid_BD!$B:$B,$A189,Grid_BD!$V:$V)/($AA189+SUMIF(Grid_BD!$B:$B,$A189,Grid_BD!$V:$V))),"")</f>
        <v/>
      </c>
      <c r="S189" s="9"/>
      <c r="T189" s="231"/>
      <c r="U189" s="232" t="str">
        <f t="shared" si="16"/>
        <v/>
      </c>
      <c r="V189" s="232" t="str">
        <f>IFERROR(_xlfn.XLOOKUP($A189,Input_Raw!$A:$A,Input_Raw!$FG:$FG),"")</f>
        <v/>
      </c>
      <c r="W189" s="233" t="str">
        <f t="shared" si="17"/>
        <v/>
      </c>
      <c r="X189" s="29" t="str">
        <f>IFERROR(_xlfn.XLOOKUP($A189,Input_Raw!$A:$A,Input_Raw!$DP:$DP),"")</f>
        <v/>
      </c>
      <c r="Y189" s="29" t="str">
        <f>IFERROR(_xlfn.XLOOKUP($A189,Input_Raw!$A:$A,Input_Raw!EW:EW),"")</f>
        <v/>
      </c>
      <c r="Z189" s="29" t="str">
        <f>IFERROR(_xlfn.XLOOKUP($A189,Input_Raw!$A:$A,Input_Raw!EX:EX),"")</f>
        <v/>
      </c>
      <c r="AA189" s="29" t="str">
        <f>IFERROR(_xlfn.XLOOKUP($A189,Input_Raw!$A:$A,Input_Raw!FA:FA),"")</f>
        <v/>
      </c>
      <c r="AB189" s="9" t="str">
        <f>IFERROR(_xlfn.XLOOKUP($A189,Input_Raw!$A:$A,Input_Raw!FD:FD),"")</f>
        <v/>
      </c>
      <c r="AC189" s="185">
        <f>IFERROR(_xlfn.XLOOKUP($D189,'Modelling New'!$D:$D,'Modelling New'!P:P),"")</f>
        <v>5.8258064516129027</v>
      </c>
      <c r="AD189" s="29">
        <f>IFERROR(_xlfn.XLOOKUP($D189,'Modelling New'!$D:$D,'Modelling New'!T:T)*1000,"")</f>
        <v>635344.27609051135</v>
      </c>
      <c r="AE189" s="233">
        <f>IFERROR(_xlfn.XLOOKUP($D189,'Modelling New'!$D:$D,'Modelling New'!O:O),"")</f>
        <v>0.83889907823519261</v>
      </c>
      <c r="AF189" s="233">
        <f>IFERROR(_xlfn.XLOOKUP($D189,'Modelling New'!$D:$D,'Modelling New'!W:W),"")</f>
        <v>0.20363598592644594</v>
      </c>
      <c r="AG189" s="233">
        <f>IFERROR(_xlfn.XLOOKUP($D189,'Modelling New'!$D:$D,'Modelling New'!AE:AE),"")</f>
        <v>0.995</v>
      </c>
      <c r="AH189" s="234">
        <f>IFERROR(_xlfn.XLOOKUP($D189,'Modelling New'!$D:$D,'Modelling New'!AF:AF),"")</f>
        <v>0.995</v>
      </c>
      <c r="AI189" s="9"/>
      <c r="AJ189" s="9"/>
      <c r="AK189" s="258"/>
      <c r="AL189" s="258"/>
      <c r="AM189" s="258"/>
      <c r="AN189" s="235"/>
      <c r="AO189" s="233"/>
      <c r="AP189" s="233"/>
      <c r="AQ189" s="233"/>
      <c r="AR189" s="236">
        <f>_xlfn.XLOOKUP(D189,'Modelling New'!$D:$D,'Modelling New'!$N:$N)</f>
        <v>130</v>
      </c>
      <c r="AS189" s="236" t="str">
        <f t="shared" si="18"/>
        <v/>
      </c>
    </row>
    <row r="190" spans="1:45">
      <c r="A190" s="18">
        <f t="shared" si="19"/>
        <v>45933</v>
      </c>
      <c r="B190" s="29">
        <f>YEAR(Table13[[#This Row],[Date]])+IF(MONTH(Table13[[#This Row],[Date]])&gt;=4,1,0)</f>
        <v>2026</v>
      </c>
      <c r="C190" s="9">
        <f>YEAR(Table13[[#This Row],[Date]])</f>
        <v>2025</v>
      </c>
      <c r="D190" s="229">
        <f>Table13[[#This Row],[Date]]-DAY(Table13[[#This Row],[Date]])+1</f>
        <v>45931</v>
      </c>
      <c r="E190" s="9">
        <f t="shared" si="15"/>
        <v>31</v>
      </c>
      <c r="F190" s="199" t="str">
        <f>IFERROR(_xlfn.XLOOKUP($A190,Input_Raw!$A:$A,Input_Raw!$FC:$FC),"")</f>
        <v/>
      </c>
      <c r="G190" s="200" t="str">
        <f>IFERROR(_xlfn.XLOOKUP($A190,Input_Raw!$A:$A,Input_Raw!$CY:$CY),"")</f>
        <v/>
      </c>
      <c r="H190" s="200" t="str">
        <f>IFERROR(_xlfn.XLOOKUP($A190,Input_Raw!$A:$A,Input_Raw!$DA:$DA),"")</f>
        <v/>
      </c>
      <c r="I190" s="200" t="str">
        <f>IFERROR(_xlfn.XLOOKUP($A190,Input_Raw!$A:$A,Input_Raw!$CX:$CX),"")</f>
        <v/>
      </c>
      <c r="J190" s="200" t="str">
        <f>IFERROR(_xlfn.XLOOKUP($A190,Input_Raw!$A:$A,Input_Raw!$CZ:$CZ),"")</f>
        <v/>
      </c>
      <c r="K190" s="201" t="str">
        <f>IFERROR(_xlfn.XLOOKUP($A190,Input_Raw!$A:$A,Input_Raw!$DB:$DB),"")</f>
        <v/>
      </c>
      <c r="L190" s="201" t="str">
        <f>IFERROR(_xlfn.XLOOKUP($A190,Input_Raw!$A:$A,Input_Raw!$DC:$DC),"")</f>
        <v/>
      </c>
      <c r="M190" s="200" t="str">
        <f>IFERROR(_xlfn.XLOOKUP($A190,Input_Raw!$A:$A,Input_Raw!$DF:$DF),"")</f>
        <v/>
      </c>
      <c r="N190" s="200" t="str">
        <f>IFERROR(_xlfn.XLOOKUP($A190,Input_Raw!$A:$A,Input_Raw!$DG:$DG),"")</f>
        <v/>
      </c>
      <c r="O190" s="230" t="str">
        <f>IFERROR(1-(SUMIF(Plant_BD!$B:$B,$A190,Plant_BD!$AL:$AL)/($AA190+SUMIF(Plant_BD!$B:$B,$A190,Plant_BD!$AL:$AL))),"")</f>
        <v/>
      </c>
      <c r="P190" s="230"/>
      <c r="Q190" s="231" t="str">
        <f>IFERROR(1-(SUMIF(Grid_BD!$B:$B,$A190,Grid_BD!$V:$V)/($AA190+SUMIF(Grid_BD!$B:$B,$A190,Grid_BD!$V:$V))),"")</f>
        <v/>
      </c>
      <c r="R190" s="230" t="str">
        <f>IFERROR(1-(SUMIF(Grid_BD!$B:$B,$A190,Grid_BD!$V:$V)/($AA190+SUMIF(Grid_BD!$B:$B,$A190,Grid_BD!$V:$V))),"")</f>
        <v/>
      </c>
      <c r="S190" s="9"/>
      <c r="T190" s="231"/>
      <c r="U190" s="232" t="str">
        <f t="shared" si="16"/>
        <v/>
      </c>
      <c r="V190" s="232" t="str">
        <f>IFERROR(_xlfn.XLOOKUP($A190,Input_Raw!$A:$A,Input_Raw!$FG:$FG),"")</f>
        <v/>
      </c>
      <c r="W190" s="233" t="str">
        <f t="shared" si="17"/>
        <v/>
      </c>
      <c r="X190" s="29" t="str">
        <f>IFERROR(_xlfn.XLOOKUP($A190,Input_Raw!$A:$A,Input_Raw!$DP:$DP),"")</f>
        <v/>
      </c>
      <c r="Y190" s="29" t="str">
        <f>IFERROR(_xlfn.XLOOKUP($A190,Input_Raw!$A:$A,Input_Raw!EW:EW),"")</f>
        <v/>
      </c>
      <c r="Z190" s="29" t="str">
        <f>IFERROR(_xlfn.XLOOKUP($A190,Input_Raw!$A:$A,Input_Raw!EX:EX),"")</f>
        <v/>
      </c>
      <c r="AA190" s="29" t="str">
        <f>IFERROR(_xlfn.XLOOKUP($A190,Input_Raw!$A:$A,Input_Raw!FA:FA),"")</f>
        <v/>
      </c>
      <c r="AB190" s="9" t="str">
        <f>IFERROR(_xlfn.XLOOKUP($A190,Input_Raw!$A:$A,Input_Raw!FD:FD),"")</f>
        <v/>
      </c>
      <c r="AC190" s="185">
        <f>IFERROR(_xlfn.XLOOKUP($D190,'Modelling New'!$D:$D,'Modelling New'!P:P),"")</f>
        <v>5.8258064516129027</v>
      </c>
      <c r="AD190" s="29">
        <f>IFERROR(_xlfn.XLOOKUP($D190,'Modelling New'!$D:$D,'Modelling New'!T:T)*1000,"")</f>
        <v>635344.27609051135</v>
      </c>
      <c r="AE190" s="233">
        <f>IFERROR(_xlfn.XLOOKUP($D190,'Modelling New'!$D:$D,'Modelling New'!O:O),"")</f>
        <v>0.83889907823519261</v>
      </c>
      <c r="AF190" s="233">
        <f>IFERROR(_xlfn.XLOOKUP($D190,'Modelling New'!$D:$D,'Modelling New'!W:W),"")</f>
        <v>0.20363598592644594</v>
      </c>
      <c r="AG190" s="233">
        <f>IFERROR(_xlfn.XLOOKUP($D190,'Modelling New'!$D:$D,'Modelling New'!AE:AE),"")</f>
        <v>0.995</v>
      </c>
      <c r="AH190" s="234">
        <f>IFERROR(_xlfn.XLOOKUP($D190,'Modelling New'!$D:$D,'Modelling New'!AF:AF),"")</f>
        <v>0.995</v>
      </c>
      <c r="AI190" s="9"/>
      <c r="AJ190" s="9"/>
      <c r="AK190" s="258"/>
      <c r="AL190" s="258"/>
      <c r="AM190" s="258"/>
      <c r="AN190" s="235"/>
      <c r="AO190" s="233"/>
      <c r="AP190" s="233"/>
      <c r="AQ190" s="233"/>
      <c r="AR190" s="236">
        <f>_xlfn.XLOOKUP(D190,'Modelling New'!$D:$D,'Modelling New'!$N:$N)</f>
        <v>130</v>
      </c>
      <c r="AS190" s="236" t="str">
        <f t="shared" si="18"/>
        <v/>
      </c>
    </row>
    <row r="191" spans="1:45">
      <c r="A191" s="18">
        <f t="shared" si="19"/>
        <v>45934</v>
      </c>
      <c r="B191" s="29">
        <f>YEAR(Table13[[#This Row],[Date]])+IF(MONTH(Table13[[#This Row],[Date]])&gt;=4,1,0)</f>
        <v>2026</v>
      </c>
      <c r="C191" s="9">
        <f>YEAR(Table13[[#This Row],[Date]])</f>
        <v>2025</v>
      </c>
      <c r="D191" s="229">
        <f>Table13[[#This Row],[Date]]-DAY(Table13[[#This Row],[Date]])+1</f>
        <v>45931</v>
      </c>
      <c r="E191" s="9">
        <f t="shared" si="15"/>
        <v>31</v>
      </c>
      <c r="F191" s="199" t="str">
        <f>IFERROR(_xlfn.XLOOKUP($A191,Input_Raw!$A:$A,Input_Raw!$FC:$FC),"")</f>
        <v/>
      </c>
      <c r="G191" s="185" t="str">
        <f>IFERROR(_xlfn.XLOOKUP($A191,Input_Raw!$A:$A,Input_Raw!$CY:$CY),"")</f>
        <v/>
      </c>
      <c r="H191" s="185" t="str">
        <f>IFERROR(_xlfn.XLOOKUP($A191,Input_Raw!$A:$A,Input_Raw!$DA:$DA),"")</f>
        <v/>
      </c>
      <c r="I191" s="185" t="str">
        <f>IFERROR(_xlfn.XLOOKUP($A191,Input_Raw!$A:$A,Input_Raw!$CX:$CX),"")</f>
        <v/>
      </c>
      <c r="J191" s="185" t="str">
        <f>IFERROR(_xlfn.XLOOKUP($A191,Input_Raw!$A:$A,Input_Raw!$CZ:$CZ),"")</f>
        <v/>
      </c>
      <c r="K191" s="201" t="str">
        <f>IFERROR(_xlfn.XLOOKUP($A191,Input_Raw!$A:$A,Input_Raw!$DB:$DB),"")</f>
        <v/>
      </c>
      <c r="L191" s="201" t="str">
        <f>IFERROR(_xlfn.XLOOKUP($A191,Input_Raw!$A:$A,Input_Raw!$DC:$DC),"")</f>
        <v/>
      </c>
      <c r="M191" s="200" t="str">
        <f>IFERROR(_xlfn.XLOOKUP($A191,Input_Raw!$A:$A,Input_Raw!$DF:$DF),"")</f>
        <v/>
      </c>
      <c r="N191" s="200" t="str">
        <f>IFERROR(_xlfn.XLOOKUP($A191,Input_Raw!$A:$A,Input_Raw!$DG:$DG),"")</f>
        <v/>
      </c>
      <c r="O191" s="230" t="str">
        <f>IFERROR(1-(SUMIF(Plant_BD!$B:$B,$A191,Plant_BD!$AL:$AL)/($AA191+SUMIF(Plant_BD!$B:$B,$A191,Plant_BD!$AL:$AL))),"")</f>
        <v/>
      </c>
      <c r="P191" s="230"/>
      <c r="Q191" s="231" t="str">
        <f>IFERROR(1-(SUMIF(Grid_BD!$B:$B,$A191,Grid_BD!$V:$V)/($AA191+SUMIF(Grid_BD!$B:$B,$A191,Grid_BD!$V:$V))),"")</f>
        <v/>
      </c>
      <c r="R191" s="230" t="str">
        <f>IFERROR(1-(SUMIF(Grid_BD!$B:$B,$A191,Grid_BD!$V:$V)/($AA191+SUMIF(Grid_BD!$B:$B,$A191,Grid_BD!$V:$V))),"")</f>
        <v/>
      </c>
      <c r="S191" s="9"/>
      <c r="T191" s="231"/>
      <c r="U191" s="232" t="str">
        <f t="shared" si="16"/>
        <v/>
      </c>
      <c r="V191" s="232" t="str">
        <f>IFERROR(_xlfn.XLOOKUP($A191,Input_Raw!$A:$A,Input_Raw!$FG:$FG),"")</f>
        <v/>
      </c>
      <c r="W191" s="233" t="str">
        <f t="shared" si="17"/>
        <v/>
      </c>
      <c r="X191" s="29" t="str">
        <f>IFERROR(_xlfn.XLOOKUP($A191,Input_Raw!$A:$A,Input_Raw!$DP:$DP),"")</f>
        <v/>
      </c>
      <c r="Y191" s="29" t="str">
        <f>IFERROR(_xlfn.XLOOKUP($A191,Input_Raw!$A:$A,Input_Raw!EW:EW),"")</f>
        <v/>
      </c>
      <c r="Z191" s="29" t="str">
        <f>IFERROR(_xlfn.XLOOKUP($A191,Input_Raw!$A:$A,Input_Raw!EX:EX),"")</f>
        <v/>
      </c>
      <c r="AA191" s="29" t="str">
        <f>IFERROR(_xlfn.XLOOKUP($A191,Input_Raw!$A:$A,Input_Raw!FA:FA),"")</f>
        <v/>
      </c>
      <c r="AB191" s="9" t="str">
        <f>IFERROR(_xlfn.XLOOKUP($A191,Input_Raw!$A:$A,Input_Raw!FD:FD),"")</f>
        <v/>
      </c>
      <c r="AC191" s="185">
        <f>IFERROR(_xlfn.XLOOKUP($D191,'Modelling New'!$D:$D,'Modelling New'!P:P),"")</f>
        <v>5.8258064516129027</v>
      </c>
      <c r="AD191" s="29">
        <f>IFERROR(_xlfn.XLOOKUP($D191,'Modelling New'!$D:$D,'Modelling New'!T:T)*1000,"")</f>
        <v>635344.27609051135</v>
      </c>
      <c r="AE191" s="233">
        <f>IFERROR(_xlfn.XLOOKUP($D191,'Modelling New'!$D:$D,'Modelling New'!O:O),"")</f>
        <v>0.83889907823519261</v>
      </c>
      <c r="AF191" s="233">
        <f>IFERROR(_xlfn.XLOOKUP($D191,'Modelling New'!$D:$D,'Modelling New'!W:W),"")</f>
        <v>0.20363598592644594</v>
      </c>
      <c r="AG191" s="233">
        <f>IFERROR(_xlfn.XLOOKUP($D191,'Modelling New'!$D:$D,'Modelling New'!AE:AE),"")</f>
        <v>0.995</v>
      </c>
      <c r="AH191" s="234">
        <f>IFERROR(_xlfn.XLOOKUP($D191,'Modelling New'!$D:$D,'Modelling New'!AF:AF),"")</f>
        <v>0.995</v>
      </c>
      <c r="AI191" s="9"/>
      <c r="AJ191" s="9"/>
      <c r="AK191" s="258"/>
      <c r="AL191" s="258"/>
      <c r="AM191" s="258"/>
      <c r="AN191" s="235"/>
      <c r="AO191" s="233"/>
      <c r="AP191" s="233"/>
      <c r="AQ191" s="233"/>
      <c r="AR191" s="236">
        <f>_xlfn.XLOOKUP(D191,'Modelling New'!$D:$D,'Modelling New'!$N:$N)</f>
        <v>130</v>
      </c>
      <c r="AS191" s="236" t="str">
        <f t="shared" si="18"/>
        <v/>
      </c>
    </row>
    <row r="192" spans="1:45">
      <c r="A192" s="18">
        <f t="shared" si="19"/>
        <v>45935</v>
      </c>
      <c r="B192" s="29">
        <f>YEAR(Table13[[#This Row],[Date]])+IF(MONTH(Table13[[#This Row],[Date]])&gt;=4,1,0)</f>
        <v>2026</v>
      </c>
      <c r="C192" s="9">
        <f>YEAR(Table13[[#This Row],[Date]])</f>
        <v>2025</v>
      </c>
      <c r="D192" s="229">
        <f>Table13[[#This Row],[Date]]-DAY(Table13[[#This Row],[Date]])+1</f>
        <v>45931</v>
      </c>
      <c r="E192" s="9">
        <f t="shared" si="15"/>
        <v>31</v>
      </c>
      <c r="F192" s="199" t="str">
        <f>IFERROR(_xlfn.XLOOKUP($A192,Input_Raw!$A:$A,Input_Raw!$FC:$FC),"")</f>
        <v/>
      </c>
      <c r="G192" s="200" t="str">
        <f>IFERROR(_xlfn.XLOOKUP($A192,Input_Raw!$A:$A,Input_Raw!$CY:$CY),"")</f>
        <v/>
      </c>
      <c r="H192" s="200" t="str">
        <f>IFERROR(_xlfn.XLOOKUP($A192,Input_Raw!$A:$A,Input_Raw!$DA:$DA),"")</f>
        <v/>
      </c>
      <c r="I192" s="200" t="str">
        <f>IFERROR(_xlfn.XLOOKUP($A192,Input_Raw!$A:$A,Input_Raw!$CX:$CX),"")</f>
        <v/>
      </c>
      <c r="J192" s="200" t="str">
        <f>IFERROR(_xlfn.XLOOKUP($A192,Input_Raw!$A:$A,Input_Raw!$CZ:$CZ),"")</f>
        <v/>
      </c>
      <c r="K192" s="201" t="str">
        <f>IFERROR(_xlfn.XLOOKUP($A192,Input_Raw!$A:$A,Input_Raw!$DB:$DB),"")</f>
        <v/>
      </c>
      <c r="L192" s="201" t="str">
        <f>IFERROR(_xlfn.XLOOKUP($A192,Input_Raw!$A:$A,Input_Raw!$DC:$DC),"")</f>
        <v/>
      </c>
      <c r="M192" s="200" t="str">
        <f>IFERROR(_xlfn.XLOOKUP($A192,Input_Raw!$A:$A,Input_Raw!$DF:$DF),"")</f>
        <v/>
      </c>
      <c r="N192" s="200" t="str">
        <f>IFERROR(_xlfn.XLOOKUP($A192,Input_Raw!$A:$A,Input_Raw!$DG:$DG),"")</f>
        <v/>
      </c>
      <c r="O192" s="230" t="str">
        <f>IFERROR(1-(SUMIF(Plant_BD!$B:$B,$A192,Plant_BD!$AL:$AL)/($AA192+SUMIF(Plant_BD!$B:$B,$A192,Plant_BD!$AL:$AL))),"")</f>
        <v/>
      </c>
      <c r="P192" s="230"/>
      <c r="Q192" s="231" t="str">
        <f>IFERROR(1-(SUMIF(Grid_BD!$B:$B,$A192,Grid_BD!$V:$V)/($AA192+SUMIF(Grid_BD!$B:$B,$A192,Grid_BD!$V:$V))),"")</f>
        <v/>
      </c>
      <c r="R192" s="230" t="str">
        <f>IFERROR(1-(SUMIF(Grid_BD!$B:$B,$A192,Grid_BD!$V:$V)/($AA192+SUMIF(Grid_BD!$B:$B,$A192,Grid_BD!$V:$V))),"")</f>
        <v/>
      </c>
      <c r="S192" s="9"/>
      <c r="T192" s="231"/>
      <c r="U192" s="232" t="str">
        <f t="shared" si="16"/>
        <v/>
      </c>
      <c r="V192" s="232" t="str">
        <f>IFERROR(_xlfn.XLOOKUP($A192,Input_Raw!$A:$A,Input_Raw!$FG:$FG),"")</f>
        <v/>
      </c>
      <c r="W192" s="233" t="str">
        <f t="shared" si="17"/>
        <v/>
      </c>
      <c r="X192" s="29" t="str">
        <f>IFERROR(_xlfn.XLOOKUP($A192,Input_Raw!$A:$A,Input_Raw!$DP:$DP),"")</f>
        <v/>
      </c>
      <c r="Y192" s="29" t="str">
        <f>IFERROR(_xlfn.XLOOKUP($A192,Input_Raw!$A:$A,Input_Raw!EW:EW),"")</f>
        <v/>
      </c>
      <c r="Z192" s="29" t="str">
        <f>IFERROR(_xlfn.XLOOKUP($A192,Input_Raw!$A:$A,Input_Raw!EX:EX),"")</f>
        <v/>
      </c>
      <c r="AA192" s="29" t="str">
        <f>IFERROR(_xlfn.XLOOKUP($A192,Input_Raw!$A:$A,Input_Raw!FA:FA),"")</f>
        <v/>
      </c>
      <c r="AB192" s="9" t="str">
        <f>IFERROR(_xlfn.XLOOKUP($A192,Input_Raw!$A:$A,Input_Raw!FD:FD),"")</f>
        <v/>
      </c>
      <c r="AC192" s="185">
        <f>IFERROR(_xlfn.XLOOKUP($D192,'Modelling New'!$D:$D,'Modelling New'!P:P),"")</f>
        <v>5.8258064516129027</v>
      </c>
      <c r="AD192" s="29">
        <f>IFERROR(_xlfn.XLOOKUP($D192,'Modelling New'!$D:$D,'Modelling New'!T:T)*1000,"")</f>
        <v>635344.27609051135</v>
      </c>
      <c r="AE192" s="233">
        <f>IFERROR(_xlfn.XLOOKUP($D192,'Modelling New'!$D:$D,'Modelling New'!O:O),"")</f>
        <v>0.83889907823519261</v>
      </c>
      <c r="AF192" s="233">
        <f>IFERROR(_xlfn.XLOOKUP($D192,'Modelling New'!$D:$D,'Modelling New'!W:W),"")</f>
        <v>0.20363598592644594</v>
      </c>
      <c r="AG192" s="233">
        <f>IFERROR(_xlfn.XLOOKUP($D192,'Modelling New'!$D:$D,'Modelling New'!AE:AE),"")</f>
        <v>0.995</v>
      </c>
      <c r="AH192" s="234">
        <f>IFERROR(_xlfn.XLOOKUP($D192,'Modelling New'!$D:$D,'Modelling New'!AF:AF),"")</f>
        <v>0.995</v>
      </c>
      <c r="AI192" s="9"/>
      <c r="AJ192" s="9"/>
      <c r="AK192" s="258"/>
      <c r="AL192" s="258"/>
      <c r="AM192" s="258"/>
      <c r="AN192" s="235"/>
      <c r="AO192" s="233"/>
      <c r="AP192" s="233"/>
      <c r="AQ192" s="233"/>
      <c r="AR192" s="236">
        <f>_xlfn.XLOOKUP(D192,'Modelling New'!$D:$D,'Modelling New'!$N:$N)</f>
        <v>130</v>
      </c>
      <c r="AS192" s="236" t="str">
        <f t="shared" si="18"/>
        <v/>
      </c>
    </row>
    <row r="193" spans="1:45">
      <c r="A193" s="18">
        <f t="shared" si="19"/>
        <v>45936</v>
      </c>
      <c r="B193" s="29">
        <f>YEAR(Table13[[#This Row],[Date]])+IF(MONTH(Table13[[#This Row],[Date]])&gt;=4,1,0)</f>
        <v>2026</v>
      </c>
      <c r="C193" s="9">
        <f>YEAR(Table13[[#This Row],[Date]])</f>
        <v>2025</v>
      </c>
      <c r="D193" s="229">
        <f>Table13[[#This Row],[Date]]-DAY(Table13[[#This Row],[Date]])+1</f>
        <v>45931</v>
      </c>
      <c r="E193" s="9">
        <f t="shared" si="15"/>
        <v>31</v>
      </c>
      <c r="F193" s="199" t="str">
        <f>IFERROR(_xlfn.XLOOKUP($A193,Input_Raw!$A:$A,Input_Raw!$FC:$FC),"")</f>
        <v/>
      </c>
      <c r="G193" s="185" t="str">
        <f>IFERROR(_xlfn.XLOOKUP($A193,Input_Raw!$A:$A,Input_Raw!$CY:$CY),"")</f>
        <v/>
      </c>
      <c r="H193" s="185" t="str">
        <f>IFERROR(_xlfn.XLOOKUP($A193,Input_Raw!$A:$A,Input_Raw!$DA:$DA),"")</f>
        <v/>
      </c>
      <c r="I193" s="185" t="str">
        <f>IFERROR(_xlfn.XLOOKUP($A193,Input_Raw!$A:$A,Input_Raw!$CX:$CX),"")</f>
        <v/>
      </c>
      <c r="J193" s="185" t="str">
        <f>IFERROR(_xlfn.XLOOKUP($A193,Input_Raw!$A:$A,Input_Raw!$CZ:$CZ),"")</f>
        <v/>
      </c>
      <c r="K193" s="201" t="str">
        <f>IFERROR(_xlfn.XLOOKUP($A193,Input_Raw!$A:$A,Input_Raw!$DB:$DB),"")</f>
        <v/>
      </c>
      <c r="L193" s="201" t="str">
        <f>IFERROR(_xlfn.XLOOKUP($A193,Input_Raw!$A:$A,Input_Raw!$DC:$DC),"")</f>
        <v/>
      </c>
      <c r="M193" s="200" t="str">
        <f>IFERROR(_xlfn.XLOOKUP($A193,Input_Raw!$A:$A,Input_Raw!$DF:$DF),"")</f>
        <v/>
      </c>
      <c r="N193" s="200" t="str">
        <f>IFERROR(_xlfn.XLOOKUP($A193,Input_Raw!$A:$A,Input_Raw!$DG:$DG),"")</f>
        <v/>
      </c>
      <c r="O193" s="230" t="str">
        <f>IFERROR(1-(SUMIF(Plant_BD!$B:$B,$A193,Plant_BD!$AL:$AL)/($AA193+SUMIF(Plant_BD!$B:$B,$A193,Plant_BD!$AL:$AL))),"")</f>
        <v/>
      </c>
      <c r="P193" s="230"/>
      <c r="Q193" s="231" t="str">
        <f>IFERROR(1-(SUMIF(Grid_BD!$B:$B,$A193,Grid_BD!$V:$V)/($AA193+SUMIF(Grid_BD!$B:$B,$A193,Grid_BD!$V:$V))),"")</f>
        <v/>
      </c>
      <c r="R193" s="230" t="str">
        <f>IFERROR(1-(SUMIF(Grid_BD!$B:$B,$A193,Grid_BD!$V:$V)/($AA193+SUMIF(Grid_BD!$B:$B,$A193,Grid_BD!$V:$V))),"")</f>
        <v/>
      </c>
      <c r="S193" s="9"/>
      <c r="T193" s="231"/>
      <c r="U193" s="232" t="str">
        <f t="shared" si="16"/>
        <v/>
      </c>
      <c r="V193" s="232" t="str">
        <f>IFERROR(_xlfn.XLOOKUP($A193,Input_Raw!$A:$A,Input_Raw!$FG:$FG),"")</f>
        <v/>
      </c>
      <c r="W193" s="233" t="str">
        <f t="shared" si="17"/>
        <v/>
      </c>
      <c r="X193" s="29" t="str">
        <f>IFERROR(_xlfn.XLOOKUP($A193,Input_Raw!$A:$A,Input_Raw!$DP:$DP),"")</f>
        <v/>
      </c>
      <c r="Y193" s="29" t="str">
        <f>IFERROR(_xlfn.XLOOKUP($A193,Input_Raw!$A:$A,Input_Raw!EW:EW),"")</f>
        <v/>
      </c>
      <c r="Z193" s="29" t="str">
        <f>IFERROR(_xlfn.XLOOKUP($A193,Input_Raw!$A:$A,Input_Raw!EX:EX),"")</f>
        <v/>
      </c>
      <c r="AA193" s="29" t="str">
        <f>IFERROR(_xlfn.XLOOKUP($A193,Input_Raw!$A:$A,Input_Raw!FA:FA),"")</f>
        <v/>
      </c>
      <c r="AB193" s="9" t="str">
        <f>IFERROR(_xlfn.XLOOKUP($A193,Input_Raw!$A:$A,Input_Raw!FD:FD),"")</f>
        <v/>
      </c>
      <c r="AC193" s="185">
        <f>IFERROR(_xlfn.XLOOKUP($D193,'Modelling New'!$D:$D,'Modelling New'!P:P),"")</f>
        <v>5.8258064516129027</v>
      </c>
      <c r="AD193" s="29">
        <f>IFERROR(_xlfn.XLOOKUP($D193,'Modelling New'!$D:$D,'Modelling New'!T:T)*1000,"")</f>
        <v>635344.27609051135</v>
      </c>
      <c r="AE193" s="233">
        <f>IFERROR(_xlfn.XLOOKUP($D193,'Modelling New'!$D:$D,'Modelling New'!O:O),"")</f>
        <v>0.83889907823519261</v>
      </c>
      <c r="AF193" s="233">
        <f>IFERROR(_xlfn.XLOOKUP($D193,'Modelling New'!$D:$D,'Modelling New'!W:W),"")</f>
        <v>0.20363598592644594</v>
      </c>
      <c r="AG193" s="233">
        <f>IFERROR(_xlfn.XLOOKUP($D193,'Modelling New'!$D:$D,'Modelling New'!AE:AE),"")</f>
        <v>0.995</v>
      </c>
      <c r="AH193" s="234">
        <f>IFERROR(_xlfn.XLOOKUP($D193,'Modelling New'!$D:$D,'Modelling New'!AF:AF),"")</f>
        <v>0.995</v>
      </c>
      <c r="AI193" s="9"/>
      <c r="AJ193" s="9"/>
      <c r="AK193" s="258"/>
      <c r="AL193" s="258"/>
      <c r="AM193" s="258"/>
      <c r="AN193" s="235"/>
      <c r="AO193" s="233"/>
      <c r="AP193" s="233"/>
      <c r="AQ193" s="233"/>
      <c r="AR193" s="236">
        <f>_xlfn.XLOOKUP(D193,'Modelling New'!$D:$D,'Modelling New'!$N:$N)</f>
        <v>130</v>
      </c>
      <c r="AS193" s="236" t="str">
        <f t="shared" si="18"/>
        <v/>
      </c>
    </row>
    <row r="194" spans="1:45">
      <c r="A194" s="18">
        <f t="shared" si="19"/>
        <v>45937</v>
      </c>
      <c r="B194" s="29">
        <f>YEAR(Table13[[#This Row],[Date]])+IF(MONTH(Table13[[#This Row],[Date]])&gt;=4,1,0)</f>
        <v>2026</v>
      </c>
      <c r="C194" s="9">
        <f>YEAR(Table13[[#This Row],[Date]])</f>
        <v>2025</v>
      </c>
      <c r="D194" s="229">
        <f>Table13[[#This Row],[Date]]-DAY(Table13[[#This Row],[Date]])+1</f>
        <v>45931</v>
      </c>
      <c r="E194" s="9">
        <f t="shared" si="15"/>
        <v>31</v>
      </c>
      <c r="F194" s="199" t="str">
        <f>IFERROR(_xlfn.XLOOKUP($A194,Input_Raw!$A:$A,Input_Raw!$FC:$FC),"")</f>
        <v/>
      </c>
      <c r="G194" s="200" t="str">
        <f>IFERROR(_xlfn.XLOOKUP($A194,Input_Raw!$A:$A,Input_Raw!$CY:$CY),"")</f>
        <v/>
      </c>
      <c r="H194" s="200" t="str">
        <f>IFERROR(_xlfn.XLOOKUP($A194,Input_Raw!$A:$A,Input_Raw!$DA:$DA),"")</f>
        <v/>
      </c>
      <c r="I194" s="200" t="str">
        <f>IFERROR(_xlfn.XLOOKUP($A194,Input_Raw!$A:$A,Input_Raw!$CX:$CX),"")</f>
        <v/>
      </c>
      <c r="J194" s="200" t="str">
        <f>IFERROR(_xlfn.XLOOKUP($A194,Input_Raw!$A:$A,Input_Raw!$CZ:$CZ),"")</f>
        <v/>
      </c>
      <c r="K194" s="201" t="str">
        <f>IFERROR(_xlfn.XLOOKUP($A194,Input_Raw!$A:$A,Input_Raw!$DB:$DB),"")</f>
        <v/>
      </c>
      <c r="L194" s="201" t="str">
        <f>IFERROR(_xlfn.XLOOKUP($A194,Input_Raw!$A:$A,Input_Raw!$DC:$DC),"")</f>
        <v/>
      </c>
      <c r="M194" s="200" t="str">
        <f>IFERROR(_xlfn.XLOOKUP($A194,Input_Raw!$A:$A,Input_Raw!$DF:$DF),"")</f>
        <v/>
      </c>
      <c r="N194" s="200" t="str">
        <f>IFERROR(_xlfn.XLOOKUP($A194,Input_Raw!$A:$A,Input_Raw!$DG:$DG),"")</f>
        <v/>
      </c>
      <c r="O194" s="230" t="str">
        <f>IFERROR(1-(SUMIF(Plant_BD!$B:$B,$A194,Plant_BD!$AL:$AL)/($AA194+SUMIF(Plant_BD!$B:$B,$A194,Plant_BD!$AL:$AL))),"")</f>
        <v/>
      </c>
      <c r="P194" s="230"/>
      <c r="Q194" s="231" t="str">
        <f>IFERROR(1-(SUMIF(Grid_BD!$B:$B,$A194,Grid_BD!$V:$V)/($AA194+SUMIF(Grid_BD!$B:$B,$A194,Grid_BD!$V:$V))),"")</f>
        <v/>
      </c>
      <c r="R194" s="230" t="str">
        <f>IFERROR(1-(SUMIF(Grid_BD!$B:$B,$A194,Grid_BD!$V:$V)/($AA194+SUMIF(Grid_BD!$B:$B,$A194,Grid_BD!$V:$V))),"")</f>
        <v/>
      </c>
      <c r="S194" s="9"/>
      <c r="T194" s="231"/>
      <c r="U194" s="232" t="str">
        <f t="shared" si="16"/>
        <v/>
      </c>
      <c r="V194" s="232" t="str">
        <f>IFERROR(_xlfn.XLOOKUP($A194,Input_Raw!$A:$A,Input_Raw!$FG:$FG),"")</f>
        <v/>
      </c>
      <c r="W194" s="233" t="str">
        <f t="shared" si="17"/>
        <v/>
      </c>
      <c r="X194" s="29" t="str">
        <f>IFERROR(_xlfn.XLOOKUP($A194,Input_Raw!$A:$A,Input_Raw!$DP:$DP),"")</f>
        <v/>
      </c>
      <c r="Y194" s="29" t="str">
        <f>IFERROR(_xlfn.XLOOKUP($A194,Input_Raw!$A:$A,Input_Raw!EW:EW),"")</f>
        <v/>
      </c>
      <c r="Z194" s="29" t="str">
        <f>IFERROR(_xlfn.XLOOKUP($A194,Input_Raw!$A:$A,Input_Raw!EX:EX),"")</f>
        <v/>
      </c>
      <c r="AA194" s="29" t="str">
        <f>IFERROR(_xlfn.XLOOKUP($A194,Input_Raw!$A:$A,Input_Raw!FA:FA),"")</f>
        <v/>
      </c>
      <c r="AB194" s="9" t="str">
        <f>IFERROR(_xlfn.XLOOKUP($A194,Input_Raw!$A:$A,Input_Raw!FD:FD),"")</f>
        <v/>
      </c>
      <c r="AC194" s="185">
        <f>IFERROR(_xlfn.XLOOKUP($D194,'Modelling New'!$D:$D,'Modelling New'!P:P),"")</f>
        <v>5.8258064516129027</v>
      </c>
      <c r="AD194" s="29">
        <f>IFERROR(_xlfn.XLOOKUP($D194,'Modelling New'!$D:$D,'Modelling New'!T:T)*1000,"")</f>
        <v>635344.27609051135</v>
      </c>
      <c r="AE194" s="233">
        <f>IFERROR(_xlfn.XLOOKUP($D194,'Modelling New'!$D:$D,'Modelling New'!O:O),"")</f>
        <v>0.83889907823519261</v>
      </c>
      <c r="AF194" s="233">
        <f>IFERROR(_xlfn.XLOOKUP($D194,'Modelling New'!$D:$D,'Modelling New'!W:W),"")</f>
        <v>0.20363598592644594</v>
      </c>
      <c r="AG194" s="233">
        <f>IFERROR(_xlfn.XLOOKUP($D194,'Modelling New'!$D:$D,'Modelling New'!AE:AE),"")</f>
        <v>0.995</v>
      </c>
      <c r="AH194" s="234">
        <f>IFERROR(_xlfn.XLOOKUP($D194,'Modelling New'!$D:$D,'Modelling New'!AF:AF),"")</f>
        <v>0.995</v>
      </c>
      <c r="AI194" s="9"/>
      <c r="AJ194" s="9"/>
      <c r="AK194" s="258"/>
      <c r="AL194" s="258"/>
      <c r="AM194" s="258"/>
      <c r="AN194" s="235"/>
      <c r="AO194" s="233"/>
      <c r="AP194" s="233"/>
      <c r="AQ194" s="233"/>
      <c r="AR194" s="236">
        <f>_xlfn.XLOOKUP(D194,'Modelling New'!$D:$D,'Modelling New'!$N:$N)</f>
        <v>130</v>
      </c>
      <c r="AS194" s="236" t="str">
        <f t="shared" si="18"/>
        <v/>
      </c>
    </row>
    <row r="195" spans="1:45">
      <c r="A195" s="18">
        <f t="shared" si="19"/>
        <v>45938</v>
      </c>
      <c r="B195" s="29">
        <f>YEAR(Table13[[#This Row],[Date]])+IF(MONTH(Table13[[#This Row],[Date]])&gt;=4,1,0)</f>
        <v>2026</v>
      </c>
      <c r="C195" s="9">
        <f>YEAR(Table13[[#This Row],[Date]])</f>
        <v>2025</v>
      </c>
      <c r="D195" s="229">
        <f>Table13[[#This Row],[Date]]-DAY(Table13[[#This Row],[Date]])+1</f>
        <v>45931</v>
      </c>
      <c r="E195" s="9">
        <f t="shared" si="15"/>
        <v>31</v>
      </c>
      <c r="F195" s="199" t="str">
        <f>IFERROR(_xlfn.XLOOKUP($A195,Input_Raw!$A:$A,Input_Raw!$FC:$FC),"")</f>
        <v/>
      </c>
      <c r="G195" s="185" t="str">
        <f>IFERROR(_xlfn.XLOOKUP($A195,Input_Raw!$A:$A,Input_Raw!$CY:$CY),"")</f>
        <v/>
      </c>
      <c r="H195" s="185" t="str">
        <f>IFERROR(_xlfn.XLOOKUP($A195,Input_Raw!$A:$A,Input_Raw!$DA:$DA),"")</f>
        <v/>
      </c>
      <c r="I195" s="185" t="str">
        <f>IFERROR(_xlfn.XLOOKUP($A195,Input_Raw!$A:$A,Input_Raw!$CX:$CX),"")</f>
        <v/>
      </c>
      <c r="J195" s="185" t="str">
        <f>IFERROR(_xlfn.XLOOKUP($A195,Input_Raw!$A:$A,Input_Raw!$CZ:$CZ),"")</f>
        <v/>
      </c>
      <c r="K195" s="201" t="str">
        <f>IFERROR(_xlfn.XLOOKUP($A195,Input_Raw!$A:$A,Input_Raw!$DB:$DB),"")</f>
        <v/>
      </c>
      <c r="L195" s="201" t="str">
        <f>IFERROR(_xlfn.XLOOKUP($A195,Input_Raw!$A:$A,Input_Raw!$DC:$DC),"")</f>
        <v/>
      </c>
      <c r="M195" s="200" t="str">
        <f>IFERROR(_xlfn.XLOOKUP($A195,Input_Raw!$A:$A,Input_Raw!$DF:$DF),"")</f>
        <v/>
      </c>
      <c r="N195" s="200" t="str">
        <f>IFERROR(_xlfn.XLOOKUP($A195,Input_Raw!$A:$A,Input_Raw!$DG:$DG),"")</f>
        <v/>
      </c>
      <c r="O195" s="230" t="str">
        <f>IFERROR(1-(SUMIF(Plant_BD!$B:$B,$A195,Plant_BD!$AL:$AL)/($AA195+SUMIF(Plant_BD!$B:$B,$A195,Plant_BD!$AL:$AL))),"")</f>
        <v/>
      </c>
      <c r="P195" s="230"/>
      <c r="Q195" s="231" t="str">
        <f>IFERROR(1-(SUMIF(Grid_BD!$B:$B,$A195,Grid_BD!$V:$V)/($AA195+SUMIF(Grid_BD!$B:$B,$A195,Grid_BD!$V:$V))),"")</f>
        <v/>
      </c>
      <c r="R195" s="230" t="str">
        <f>IFERROR(1-(SUMIF(Grid_BD!$B:$B,$A195,Grid_BD!$V:$V)/($AA195+SUMIF(Grid_BD!$B:$B,$A195,Grid_BD!$V:$V))),"")</f>
        <v/>
      </c>
      <c r="S195" s="9"/>
      <c r="T195" s="231"/>
      <c r="U195" s="232" t="str">
        <f t="shared" si="16"/>
        <v/>
      </c>
      <c r="V195" s="232" t="str">
        <f>IFERROR(_xlfn.XLOOKUP($A195,Input_Raw!$A:$A,Input_Raw!$FG:$FG),"")</f>
        <v/>
      </c>
      <c r="W195" s="233" t="str">
        <f t="shared" si="17"/>
        <v/>
      </c>
      <c r="X195" s="29" t="str">
        <f>IFERROR(_xlfn.XLOOKUP($A195,Input_Raw!$A:$A,Input_Raw!$DP:$DP),"")</f>
        <v/>
      </c>
      <c r="Y195" s="29" t="str">
        <f>IFERROR(_xlfn.XLOOKUP($A195,Input_Raw!$A:$A,Input_Raw!EW:EW),"")</f>
        <v/>
      </c>
      <c r="Z195" s="29" t="str">
        <f>IFERROR(_xlfn.XLOOKUP($A195,Input_Raw!$A:$A,Input_Raw!EX:EX),"")</f>
        <v/>
      </c>
      <c r="AA195" s="29" t="str">
        <f>IFERROR(_xlfn.XLOOKUP($A195,Input_Raw!$A:$A,Input_Raw!FA:FA),"")</f>
        <v/>
      </c>
      <c r="AB195" s="9" t="str">
        <f>IFERROR(_xlfn.XLOOKUP($A195,Input_Raw!$A:$A,Input_Raw!FD:FD),"")</f>
        <v/>
      </c>
      <c r="AC195" s="185">
        <f>IFERROR(_xlfn.XLOOKUP($D195,'Modelling New'!$D:$D,'Modelling New'!P:P),"")</f>
        <v>5.8258064516129027</v>
      </c>
      <c r="AD195" s="29">
        <f>IFERROR(_xlfn.XLOOKUP($D195,'Modelling New'!$D:$D,'Modelling New'!T:T)*1000,"")</f>
        <v>635344.27609051135</v>
      </c>
      <c r="AE195" s="233">
        <f>IFERROR(_xlfn.XLOOKUP($D195,'Modelling New'!$D:$D,'Modelling New'!O:O),"")</f>
        <v>0.83889907823519261</v>
      </c>
      <c r="AF195" s="233">
        <f>IFERROR(_xlfn.XLOOKUP($D195,'Modelling New'!$D:$D,'Modelling New'!W:W),"")</f>
        <v>0.20363598592644594</v>
      </c>
      <c r="AG195" s="233">
        <f>IFERROR(_xlfn.XLOOKUP($D195,'Modelling New'!$D:$D,'Modelling New'!AE:AE),"")</f>
        <v>0.995</v>
      </c>
      <c r="AH195" s="234">
        <f>IFERROR(_xlfn.XLOOKUP($D195,'Modelling New'!$D:$D,'Modelling New'!AF:AF),"")</f>
        <v>0.995</v>
      </c>
      <c r="AI195" s="9"/>
      <c r="AJ195" s="9"/>
      <c r="AK195" s="258"/>
      <c r="AL195" s="258"/>
      <c r="AM195" s="258"/>
      <c r="AN195" s="235"/>
      <c r="AO195" s="233"/>
      <c r="AP195" s="233"/>
      <c r="AQ195" s="233"/>
      <c r="AR195" s="236">
        <f>_xlfn.XLOOKUP(D195,'Modelling New'!$D:$D,'Modelling New'!$N:$N)</f>
        <v>130</v>
      </c>
      <c r="AS195" s="236" t="str">
        <f t="shared" si="18"/>
        <v/>
      </c>
    </row>
    <row r="196" spans="1:45">
      <c r="A196" s="18">
        <f t="shared" si="19"/>
        <v>45939</v>
      </c>
      <c r="B196" s="29">
        <f>YEAR(Table13[[#This Row],[Date]])+IF(MONTH(Table13[[#This Row],[Date]])&gt;=4,1,0)</f>
        <v>2026</v>
      </c>
      <c r="C196" s="9">
        <f>YEAR(Table13[[#This Row],[Date]])</f>
        <v>2025</v>
      </c>
      <c r="D196" s="229">
        <f>Table13[[#This Row],[Date]]-DAY(Table13[[#This Row],[Date]])+1</f>
        <v>45931</v>
      </c>
      <c r="E196" s="9">
        <f t="shared" si="15"/>
        <v>31</v>
      </c>
      <c r="F196" s="199" t="str">
        <f>IFERROR(_xlfn.XLOOKUP($A196,Input_Raw!$A:$A,Input_Raw!$FC:$FC),"")</f>
        <v/>
      </c>
      <c r="G196" s="200" t="str">
        <f>IFERROR(_xlfn.XLOOKUP($A196,Input_Raw!$A:$A,Input_Raw!$CY:$CY),"")</f>
        <v/>
      </c>
      <c r="H196" s="200" t="str">
        <f>IFERROR(_xlfn.XLOOKUP($A196,Input_Raw!$A:$A,Input_Raw!$DA:$DA),"")</f>
        <v/>
      </c>
      <c r="I196" s="200" t="str">
        <f>IFERROR(_xlfn.XLOOKUP($A196,Input_Raw!$A:$A,Input_Raw!$CX:$CX),"")</f>
        <v/>
      </c>
      <c r="J196" s="200" t="str">
        <f>IFERROR(_xlfn.XLOOKUP($A196,Input_Raw!$A:$A,Input_Raw!$CZ:$CZ),"")</f>
        <v/>
      </c>
      <c r="K196" s="201" t="str">
        <f>IFERROR(_xlfn.XLOOKUP($A196,Input_Raw!$A:$A,Input_Raw!$DB:$DB),"")</f>
        <v/>
      </c>
      <c r="L196" s="201" t="str">
        <f>IFERROR(_xlfn.XLOOKUP($A196,Input_Raw!$A:$A,Input_Raw!$DC:$DC),"")</f>
        <v/>
      </c>
      <c r="M196" s="200" t="str">
        <f>IFERROR(_xlfn.XLOOKUP($A196,Input_Raw!$A:$A,Input_Raw!$DF:$DF),"")</f>
        <v/>
      </c>
      <c r="N196" s="200" t="str">
        <f>IFERROR(_xlfn.XLOOKUP($A196,Input_Raw!$A:$A,Input_Raw!$DG:$DG),"")</f>
        <v/>
      </c>
      <c r="O196" s="230" t="str">
        <f>IFERROR(1-(SUMIF(Plant_BD!$B:$B,$A196,Plant_BD!$AL:$AL)/($AA196+SUMIF(Plant_BD!$B:$B,$A196,Plant_BD!$AL:$AL))),"")</f>
        <v/>
      </c>
      <c r="P196" s="230"/>
      <c r="Q196" s="231" t="str">
        <f>IFERROR(1-(SUMIF(Grid_BD!$B:$B,$A196,Grid_BD!$V:$V)/($AA196+SUMIF(Grid_BD!$B:$B,$A196,Grid_BD!$V:$V))),"")</f>
        <v/>
      </c>
      <c r="R196" s="230" t="str">
        <f>IFERROR(1-(SUMIF(Grid_BD!$B:$B,$A196,Grid_BD!$V:$V)/($AA196+SUMIF(Grid_BD!$B:$B,$A196,Grid_BD!$V:$V))),"")</f>
        <v/>
      </c>
      <c r="S196" s="9"/>
      <c r="T196" s="231"/>
      <c r="U196" s="232" t="str">
        <f t="shared" si="16"/>
        <v/>
      </c>
      <c r="V196" s="232" t="str">
        <f>IFERROR(_xlfn.XLOOKUP($A196,Input_Raw!$A:$A,Input_Raw!$FG:$FG),"")</f>
        <v/>
      </c>
      <c r="W196" s="233" t="str">
        <f t="shared" si="17"/>
        <v/>
      </c>
      <c r="X196" s="29" t="str">
        <f>IFERROR(_xlfn.XLOOKUP($A196,Input_Raw!$A:$A,Input_Raw!$DP:$DP),"")</f>
        <v/>
      </c>
      <c r="Y196" s="29" t="str">
        <f>IFERROR(_xlfn.XLOOKUP($A196,Input_Raw!$A:$A,Input_Raw!EW:EW),"")</f>
        <v/>
      </c>
      <c r="Z196" s="29" t="str">
        <f>IFERROR(_xlfn.XLOOKUP($A196,Input_Raw!$A:$A,Input_Raw!EX:EX),"")</f>
        <v/>
      </c>
      <c r="AA196" s="29" t="str">
        <f>IFERROR(_xlfn.XLOOKUP($A196,Input_Raw!$A:$A,Input_Raw!FA:FA),"")</f>
        <v/>
      </c>
      <c r="AB196" s="9" t="str">
        <f>IFERROR(_xlfn.XLOOKUP($A196,Input_Raw!$A:$A,Input_Raw!FD:FD),"")</f>
        <v/>
      </c>
      <c r="AC196" s="185">
        <f>IFERROR(_xlfn.XLOOKUP($D196,'Modelling New'!$D:$D,'Modelling New'!P:P),"")</f>
        <v>5.8258064516129027</v>
      </c>
      <c r="AD196" s="29">
        <f>IFERROR(_xlfn.XLOOKUP($D196,'Modelling New'!$D:$D,'Modelling New'!T:T)*1000,"")</f>
        <v>635344.27609051135</v>
      </c>
      <c r="AE196" s="233">
        <f>IFERROR(_xlfn.XLOOKUP($D196,'Modelling New'!$D:$D,'Modelling New'!O:O),"")</f>
        <v>0.83889907823519261</v>
      </c>
      <c r="AF196" s="233">
        <f>IFERROR(_xlfn.XLOOKUP($D196,'Modelling New'!$D:$D,'Modelling New'!W:W),"")</f>
        <v>0.20363598592644594</v>
      </c>
      <c r="AG196" s="233">
        <f>IFERROR(_xlfn.XLOOKUP($D196,'Modelling New'!$D:$D,'Modelling New'!AE:AE),"")</f>
        <v>0.995</v>
      </c>
      <c r="AH196" s="234">
        <f>IFERROR(_xlfn.XLOOKUP($D196,'Modelling New'!$D:$D,'Modelling New'!AF:AF),"")</f>
        <v>0.995</v>
      </c>
      <c r="AI196" s="9"/>
      <c r="AJ196" s="9"/>
      <c r="AK196" s="258"/>
      <c r="AL196" s="258"/>
      <c r="AM196" s="258"/>
      <c r="AN196" s="235"/>
      <c r="AO196" s="233"/>
      <c r="AP196" s="233"/>
      <c r="AQ196" s="233"/>
      <c r="AR196" s="236">
        <f>_xlfn.XLOOKUP(D196,'Modelling New'!$D:$D,'Modelling New'!$N:$N)</f>
        <v>130</v>
      </c>
      <c r="AS196" s="236" t="str">
        <f t="shared" si="18"/>
        <v/>
      </c>
    </row>
    <row r="197" spans="1:45">
      <c r="A197" s="18">
        <f t="shared" si="19"/>
        <v>45940</v>
      </c>
      <c r="B197" s="29">
        <f>YEAR(Table13[[#This Row],[Date]])+IF(MONTH(Table13[[#This Row],[Date]])&gt;=4,1,0)</f>
        <v>2026</v>
      </c>
      <c r="C197" s="9">
        <f>YEAR(Table13[[#This Row],[Date]])</f>
        <v>2025</v>
      </c>
      <c r="D197" s="229">
        <f>Table13[[#This Row],[Date]]-DAY(Table13[[#This Row],[Date]])+1</f>
        <v>45931</v>
      </c>
      <c r="E197" s="9">
        <f t="shared" si="15"/>
        <v>31</v>
      </c>
      <c r="F197" s="199" t="str">
        <f>IFERROR(_xlfn.XLOOKUP($A197,Input_Raw!$A:$A,Input_Raw!$FC:$FC),"")</f>
        <v/>
      </c>
      <c r="G197" s="185" t="str">
        <f>IFERROR(_xlfn.XLOOKUP($A197,Input_Raw!$A:$A,Input_Raw!$CY:$CY),"")</f>
        <v/>
      </c>
      <c r="H197" s="185" t="str">
        <f>IFERROR(_xlfn.XLOOKUP($A197,Input_Raw!$A:$A,Input_Raw!$DA:$DA),"")</f>
        <v/>
      </c>
      <c r="I197" s="185" t="str">
        <f>IFERROR(_xlfn.XLOOKUP($A197,Input_Raw!$A:$A,Input_Raw!$CX:$CX),"")</f>
        <v/>
      </c>
      <c r="J197" s="185" t="str">
        <f>IFERROR(_xlfn.XLOOKUP($A197,Input_Raw!$A:$A,Input_Raw!$CZ:$CZ),"")</f>
        <v/>
      </c>
      <c r="K197" s="201" t="str">
        <f>IFERROR(_xlfn.XLOOKUP($A197,Input_Raw!$A:$A,Input_Raw!$DB:$DB),"")</f>
        <v/>
      </c>
      <c r="L197" s="201" t="str">
        <f>IFERROR(_xlfn.XLOOKUP($A197,Input_Raw!$A:$A,Input_Raw!$DC:$DC),"")</f>
        <v/>
      </c>
      <c r="M197" s="200" t="str">
        <f>IFERROR(_xlfn.XLOOKUP($A197,Input_Raw!$A:$A,Input_Raw!$DF:$DF),"")</f>
        <v/>
      </c>
      <c r="N197" s="200" t="str">
        <f>IFERROR(_xlfn.XLOOKUP($A197,Input_Raw!$A:$A,Input_Raw!$DG:$DG),"")</f>
        <v/>
      </c>
      <c r="O197" s="230" t="str">
        <f>IFERROR(1-(SUMIF(Plant_BD!$B:$B,$A197,Plant_BD!$AL:$AL)/($AA197+SUMIF(Plant_BD!$B:$B,$A197,Plant_BD!$AL:$AL))),"")</f>
        <v/>
      </c>
      <c r="P197" s="230"/>
      <c r="Q197" s="231" t="str">
        <f>IFERROR(1-(SUMIF(Grid_BD!$B:$B,$A197,Grid_BD!$V:$V)/($AA197+SUMIF(Grid_BD!$B:$B,$A197,Grid_BD!$V:$V))),"")</f>
        <v/>
      </c>
      <c r="R197" s="230" t="str">
        <f>IFERROR(1-(SUMIF(Grid_BD!$B:$B,$A197,Grid_BD!$V:$V)/($AA197+SUMIF(Grid_BD!$B:$B,$A197,Grid_BD!$V:$V))),"")</f>
        <v/>
      </c>
      <c r="S197" s="9"/>
      <c r="T197" s="231"/>
      <c r="U197" s="232" t="str">
        <f t="shared" si="16"/>
        <v/>
      </c>
      <c r="V197" s="232" t="str">
        <f>IFERROR(_xlfn.XLOOKUP($A197,Input_Raw!$A:$A,Input_Raw!$FG:$FG),"")</f>
        <v/>
      </c>
      <c r="W197" s="233" t="str">
        <f t="shared" si="17"/>
        <v/>
      </c>
      <c r="X197" s="29" t="str">
        <f>IFERROR(_xlfn.XLOOKUP($A197,Input_Raw!$A:$A,Input_Raw!$DP:$DP),"")</f>
        <v/>
      </c>
      <c r="Y197" s="29" t="str">
        <f>IFERROR(_xlfn.XLOOKUP($A197,Input_Raw!$A:$A,Input_Raw!EW:EW),"")</f>
        <v/>
      </c>
      <c r="Z197" s="29" t="str">
        <f>IFERROR(_xlfn.XLOOKUP($A197,Input_Raw!$A:$A,Input_Raw!EX:EX),"")</f>
        <v/>
      </c>
      <c r="AA197" s="29" t="str">
        <f>IFERROR(_xlfn.XLOOKUP($A197,Input_Raw!$A:$A,Input_Raw!FA:FA),"")</f>
        <v/>
      </c>
      <c r="AB197" s="9" t="str">
        <f>IFERROR(_xlfn.XLOOKUP($A197,Input_Raw!$A:$A,Input_Raw!FD:FD),"")</f>
        <v/>
      </c>
      <c r="AC197" s="185">
        <f>IFERROR(_xlfn.XLOOKUP($D197,'Modelling New'!$D:$D,'Modelling New'!P:P),"")</f>
        <v>5.8258064516129027</v>
      </c>
      <c r="AD197" s="29">
        <f>IFERROR(_xlfn.XLOOKUP($D197,'Modelling New'!$D:$D,'Modelling New'!T:T)*1000,"")</f>
        <v>635344.27609051135</v>
      </c>
      <c r="AE197" s="233">
        <f>IFERROR(_xlfn.XLOOKUP($D197,'Modelling New'!$D:$D,'Modelling New'!O:O),"")</f>
        <v>0.83889907823519261</v>
      </c>
      <c r="AF197" s="233">
        <f>IFERROR(_xlfn.XLOOKUP($D197,'Modelling New'!$D:$D,'Modelling New'!W:W),"")</f>
        <v>0.20363598592644594</v>
      </c>
      <c r="AG197" s="233">
        <f>IFERROR(_xlfn.XLOOKUP($D197,'Modelling New'!$D:$D,'Modelling New'!AE:AE),"")</f>
        <v>0.995</v>
      </c>
      <c r="AH197" s="234">
        <f>IFERROR(_xlfn.XLOOKUP($D197,'Modelling New'!$D:$D,'Modelling New'!AF:AF),"")</f>
        <v>0.995</v>
      </c>
      <c r="AI197" s="9"/>
      <c r="AJ197" s="9"/>
      <c r="AK197" s="258"/>
      <c r="AL197" s="258"/>
      <c r="AM197" s="258"/>
      <c r="AN197" s="235"/>
      <c r="AO197" s="233"/>
      <c r="AP197" s="233"/>
      <c r="AQ197" s="233"/>
      <c r="AR197" s="236">
        <f>_xlfn.XLOOKUP(D197,'Modelling New'!$D:$D,'Modelling New'!$N:$N)</f>
        <v>130</v>
      </c>
      <c r="AS197" s="236" t="str">
        <f t="shared" si="18"/>
        <v/>
      </c>
    </row>
    <row r="198" spans="1:45">
      <c r="A198" s="18">
        <f t="shared" si="19"/>
        <v>45941</v>
      </c>
      <c r="B198" s="29">
        <f>YEAR(Table13[[#This Row],[Date]])+IF(MONTH(Table13[[#This Row],[Date]])&gt;=4,1,0)</f>
        <v>2026</v>
      </c>
      <c r="C198" s="9">
        <f>YEAR(Table13[[#This Row],[Date]])</f>
        <v>2025</v>
      </c>
      <c r="D198" s="229">
        <f>Table13[[#This Row],[Date]]-DAY(Table13[[#This Row],[Date]])+1</f>
        <v>45931</v>
      </c>
      <c r="E198" s="9">
        <f t="shared" si="15"/>
        <v>31</v>
      </c>
      <c r="F198" s="199" t="str">
        <f>IFERROR(_xlfn.XLOOKUP($A198,Input_Raw!$A:$A,Input_Raw!$FC:$FC),"")</f>
        <v/>
      </c>
      <c r="G198" s="200" t="str">
        <f>IFERROR(_xlfn.XLOOKUP($A198,Input_Raw!$A:$A,Input_Raw!$CY:$CY),"")</f>
        <v/>
      </c>
      <c r="H198" s="200" t="str">
        <f>IFERROR(_xlfn.XLOOKUP($A198,Input_Raw!$A:$A,Input_Raw!$DA:$DA),"")</f>
        <v/>
      </c>
      <c r="I198" s="200" t="str">
        <f>IFERROR(_xlfn.XLOOKUP($A198,Input_Raw!$A:$A,Input_Raw!$CX:$CX),"")</f>
        <v/>
      </c>
      <c r="J198" s="200" t="str">
        <f>IFERROR(_xlfn.XLOOKUP($A198,Input_Raw!$A:$A,Input_Raw!$CZ:$CZ),"")</f>
        <v/>
      </c>
      <c r="K198" s="201" t="str">
        <f>IFERROR(_xlfn.XLOOKUP($A198,Input_Raw!$A:$A,Input_Raw!$DB:$DB),"")</f>
        <v/>
      </c>
      <c r="L198" s="201" t="str">
        <f>IFERROR(_xlfn.XLOOKUP($A198,Input_Raw!$A:$A,Input_Raw!$DC:$DC),"")</f>
        <v/>
      </c>
      <c r="M198" s="200" t="str">
        <f>IFERROR(_xlfn.XLOOKUP($A198,Input_Raw!$A:$A,Input_Raw!$DF:$DF),"")</f>
        <v/>
      </c>
      <c r="N198" s="200" t="str">
        <f>IFERROR(_xlfn.XLOOKUP($A198,Input_Raw!$A:$A,Input_Raw!$DG:$DG),"")</f>
        <v/>
      </c>
      <c r="O198" s="230" t="str">
        <f>IFERROR(1-(SUMIF(Plant_BD!$B:$B,$A198,Plant_BD!$AL:$AL)/($AA198+SUMIF(Plant_BD!$B:$B,$A198,Plant_BD!$AL:$AL))),"")</f>
        <v/>
      </c>
      <c r="P198" s="230"/>
      <c r="Q198" s="231" t="str">
        <f>IFERROR(1-(SUMIF(Grid_BD!$B:$B,$A198,Grid_BD!$V:$V)/($AA198+SUMIF(Grid_BD!$B:$B,$A198,Grid_BD!$V:$V))),"")</f>
        <v/>
      </c>
      <c r="R198" s="230" t="str">
        <f>IFERROR(1-(SUMIF(Grid_BD!$B:$B,$A198,Grid_BD!$V:$V)/($AA198+SUMIF(Grid_BD!$B:$B,$A198,Grid_BD!$V:$V))),"")</f>
        <v/>
      </c>
      <c r="S198" s="9"/>
      <c r="T198" s="231"/>
      <c r="U198" s="232" t="str">
        <f t="shared" si="16"/>
        <v/>
      </c>
      <c r="V198" s="232" t="str">
        <f>IFERROR(_xlfn.XLOOKUP($A198,Input_Raw!$A:$A,Input_Raw!$FG:$FG),"")</f>
        <v/>
      </c>
      <c r="W198" s="233" t="str">
        <f t="shared" si="17"/>
        <v/>
      </c>
      <c r="X198" s="29" t="str">
        <f>IFERROR(_xlfn.XLOOKUP($A198,Input_Raw!$A:$A,Input_Raw!$DP:$DP),"")</f>
        <v/>
      </c>
      <c r="Y198" s="29" t="str">
        <f>IFERROR(_xlfn.XLOOKUP($A198,Input_Raw!$A:$A,Input_Raw!EW:EW),"")</f>
        <v/>
      </c>
      <c r="Z198" s="29" t="str">
        <f>IFERROR(_xlfn.XLOOKUP($A198,Input_Raw!$A:$A,Input_Raw!EX:EX),"")</f>
        <v/>
      </c>
      <c r="AA198" s="29" t="str">
        <f>IFERROR(_xlfn.XLOOKUP($A198,Input_Raw!$A:$A,Input_Raw!FA:FA),"")</f>
        <v/>
      </c>
      <c r="AB198" s="9" t="str">
        <f>IFERROR(_xlfn.XLOOKUP($A198,Input_Raw!$A:$A,Input_Raw!FD:FD),"")</f>
        <v/>
      </c>
      <c r="AC198" s="185">
        <f>IFERROR(_xlfn.XLOOKUP($D198,'Modelling New'!$D:$D,'Modelling New'!P:P),"")</f>
        <v>5.8258064516129027</v>
      </c>
      <c r="AD198" s="29">
        <f>IFERROR(_xlfn.XLOOKUP($D198,'Modelling New'!$D:$D,'Modelling New'!T:T)*1000,"")</f>
        <v>635344.27609051135</v>
      </c>
      <c r="AE198" s="233">
        <f>IFERROR(_xlfn.XLOOKUP($D198,'Modelling New'!$D:$D,'Modelling New'!O:O),"")</f>
        <v>0.83889907823519261</v>
      </c>
      <c r="AF198" s="233">
        <f>IFERROR(_xlfn.XLOOKUP($D198,'Modelling New'!$D:$D,'Modelling New'!W:W),"")</f>
        <v>0.20363598592644594</v>
      </c>
      <c r="AG198" s="233">
        <f>IFERROR(_xlfn.XLOOKUP($D198,'Modelling New'!$D:$D,'Modelling New'!AE:AE),"")</f>
        <v>0.995</v>
      </c>
      <c r="AH198" s="234">
        <f>IFERROR(_xlfn.XLOOKUP($D198,'Modelling New'!$D:$D,'Modelling New'!AF:AF),"")</f>
        <v>0.995</v>
      </c>
      <c r="AI198" s="9"/>
      <c r="AJ198" s="9"/>
      <c r="AK198" s="258"/>
      <c r="AL198" s="258"/>
      <c r="AM198" s="258"/>
      <c r="AN198" s="235"/>
      <c r="AO198" s="233"/>
      <c r="AP198" s="233"/>
      <c r="AQ198" s="233"/>
      <c r="AR198" s="236">
        <f>_xlfn.XLOOKUP(D198,'Modelling New'!$D:$D,'Modelling New'!$N:$N)</f>
        <v>130</v>
      </c>
      <c r="AS198" s="236" t="str">
        <f t="shared" si="18"/>
        <v/>
      </c>
    </row>
    <row r="199" spans="1:45">
      <c r="A199" s="18">
        <f t="shared" si="19"/>
        <v>45942</v>
      </c>
      <c r="B199" s="29">
        <f>YEAR(Table13[[#This Row],[Date]])+IF(MONTH(Table13[[#This Row],[Date]])&gt;=4,1,0)</f>
        <v>2026</v>
      </c>
      <c r="C199" s="9">
        <f>YEAR(Table13[[#This Row],[Date]])</f>
        <v>2025</v>
      </c>
      <c r="D199" s="229">
        <f>Table13[[#This Row],[Date]]-DAY(Table13[[#This Row],[Date]])+1</f>
        <v>45931</v>
      </c>
      <c r="E199" s="9">
        <f t="shared" si="15"/>
        <v>31</v>
      </c>
      <c r="F199" s="199" t="str">
        <f>IFERROR(_xlfn.XLOOKUP($A199,Input_Raw!$A:$A,Input_Raw!$FC:$FC),"")</f>
        <v/>
      </c>
      <c r="G199" s="185" t="str">
        <f>IFERROR(_xlfn.XLOOKUP($A199,Input_Raw!$A:$A,Input_Raw!$CY:$CY),"")</f>
        <v/>
      </c>
      <c r="H199" s="185" t="str">
        <f>IFERROR(_xlfn.XLOOKUP($A199,Input_Raw!$A:$A,Input_Raw!$DA:$DA),"")</f>
        <v/>
      </c>
      <c r="I199" s="185" t="str">
        <f>IFERROR(_xlfn.XLOOKUP($A199,Input_Raw!$A:$A,Input_Raw!$CX:$CX),"")</f>
        <v/>
      </c>
      <c r="J199" s="185" t="str">
        <f>IFERROR(_xlfn.XLOOKUP($A199,Input_Raw!$A:$A,Input_Raw!$CZ:$CZ),"")</f>
        <v/>
      </c>
      <c r="K199" s="201" t="str">
        <f>IFERROR(_xlfn.XLOOKUP($A199,Input_Raw!$A:$A,Input_Raw!$DB:$DB),"")</f>
        <v/>
      </c>
      <c r="L199" s="201" t="str">
        <f>IFERROR(_xlfn.XLOOKUP($A199,Input_Raw!$A:$A,Input_Raw!$DC:$DC),"")</f>
        <v/>
      </c>
      <c r="M199" s="200" t="str">
        <f>IFERROR(_xlfn.XLOOKUP($A199,Input_Raw!$A:$A,Input_Raw!$DF:$DF),"")</f>
        <v/>
      </c>
      <c r="N199" s="200" t="str">
        <f>IFERROR(_xlfn.XLOOKUP($A199,Input_Raw!$A:$A,Input_Raw!$DG:$DG),"")</f>
        <v/>
      </c>
      <c r="O199" s="230" t="str">
        <f>IFERROR(1-(SUMIF(Plant_BD!$B:$B,$A199,Plant_BD!$AL:$AL)/($AA199+SUMIF(Plant_BD!$B:$B,$A199,Plant_BD!$AL:$AL))),"")</f>
        <v/>
      </c>
      <c r="P199" s="230"/>
      <c r="Q199" s="231" t="str">
        <f>IFERROR(1-(SUMIF(Grid_BD!$B:$B,$A199,Grid_BD!$V:$V)/($AA199+SUMIF(Grid_BD!$B:$B,$A199,Grid_BD!$V:$V))),"")</f>
        <v/>
      </c>
      <c r="R199" s="230" t="str">
        <f>IFERROR(1-(SUMIF(Grid_BD!$B:$B,$A199,Grid_BD!$V:$V)/($AA199+SUMIF(Grid_BD!$B:$B,$A199,Grid_BD!$V:$V))),"")</f>
        <v/>
      </c>
      <c r="S199" s="9"/>
      <c r="T199" s="231"/>
      <c r="U199" s="232" t="str">
        <f t="shared" si="16"/>
        <v/>
      </c>
      <c r="V199" s="232" t="str">
        <f>IFERROR(_xlfn.XLOOKUP($A199,Input_Raw!$A:$A,Input_Raw!$FG:$FG),"")</f>
        <v/>
      </c>
      <c r="W199" s="233" t="str">
        <f t="shared" si="17"/>
        <v/>
      </c>
      <c r="X199" s="29" t="str">
        <f>IFERROR(_xlfn.XLOOKUP($A199,Input_Raw!$A:$A,Input_Raw!$DP:$DP),"")</f>
        <v/>
      </c>
      <c r="Y199" s="29" t="str">
        <f>IFERROR(_xlfn.XLOOKUP($A199,Input_Raw!$A:$A,Input_Raw!EW:EW),"")</f>
        <v/>
      </c>
      <c r="Z199" s="29" t="str">
        <f>IFERROR(_xlfn.XLOOKUP($A199,Input_Raw!$A:$A,Input_Raw!EX:EX),"")</f>
        <v/>
      </c>
      <c r="AA199" s="29" t="str">
        <f>IFERROR(_xlfn.XLOOKUP($A199,Input_Raw!$A:$A,Input_Raw!FA:FA),"")</f>
        <v/>
      </c>
      <c r="AB199" s="9" t="str">
        <f>IFERROR(_xlfn.XLOOKUP($A199,Input_Raw!$A:$A,Input_Raw!FD:FD),"")</f>
        <v/>
      </c>
      <c r="AC199" s="185">
        <f>IFERROR(_xlfn.XLOOKUP($D199,'Modelling New'!$D:$D,'Modelling New'!P:P),"")</f>
        <v>5.8258064516129027</v>
      </c>
      <c r="AD199" s="29">
        <f>IFERROR(_xlfn.XLOOKUP($D199,'Modelling New'!$D:$D,'Modelling New'!T:T)*1000,"")</f>
        <v>635344.27609051135</v>
      </c>
      <c r="AE199" s="233">
        <f>IFERROR(_xlfn.XLOOKUP($D199,'Modelling New'!$D:$D,'Modelling New'!O:O),"")</f>
        <v>0.83889907823519261</v>
      </c>
      <c r="AF199" s="233">
        <f>IFERROR(_xlfn.XLOOKUP($D199,'Modelling New'!$D:$D,'Modelling New'!W:W),"")</f>
        <v>0.20363598592644594</v>
      </c>
      <c r="AG199" s="233">
        <f>IFERROR(_xlfn.XLOOKUP($D199,'Modelling New'!$D:$D,'Modelling New'!AE:AE),"")</f>
        <v>0.995</v>
      </c>
      <c r="AH199" s="234">
        <f>IFERROR(_xlfn.XLOOKUP($D199,'Modelling New'!$D:$D,'Modelling New'!AF:AF),"")</f>
        <v>0.995</v>
      </c>
      <c r="AI199" s="9"/>
      <c r="AJ199" s="9"/>
      <c r="AK199" s="258"/>
      <c r="AL199" s="258"/>
      <c r="AM199" s="258"/>
      <c r="AN199" s="235"/>
      <c r="AO199" s="233"/>
      <c r="AP199" s="233"/>
      <c r="AQ199" s="233"/>
      <c r="AR199" s="236">
        <f>_xlfn.XLOOKUP(D199,'Modelling New'!$D:$D,'Modelling New'!$N:$N)</f>
        <v>130</v>
      </c>
      <c r="AS199" s="236" t="str">
        <f t="shared" si="18"/>
        <v/>
      </c>
    </row>
    <row r="200" spans="1:45">
      <c r="A200" s="18">
        <f t="shared" si="19"/>
        <v>45943</v>
      </c>
      <c r="B200" s="29">
        <f>YEAR(Table13[[#This Row],[Date]])+IF(MONTH(Table13[[#This Row],[Date]])&gt;=4,1,0)</f>
        <v>2026</v>
      </c>
      <c r="C200" s="9">
        <f>YEAR(Table13[[#This Row],[Date]])</f>
        <v>2025</v>
      </c>
      <c r="D200" s="229">
        <f>Table13[[#This Row],[Date]]-DAY(Table13[[#This Row],[Date]])+1</f>
        <v>45931</v>
      </c>
      <c r="E200" s="9">
        <f t="shared" si="15"/>
        <v>31</v>
      </c>
      <c r="F200" s="199" t="str">
        <f>IFERROR(_xlfn.XLOOKUP($A200,Input_Raw!$A:$A,Input_Raw!$FC:$FC),"")</f>
        <v/>
      </c>
      <c r="G200" s="200" t="str">
        <f>IFERROR(_xlfn.XLOOKUP($A200,Input_Raw!$A:$A,Input_Raw!$CY:$CY),"")</f>
        <v/>
      </c>
      <c r="H200" s="200" t="str">
        <f>IFERROR(_xlfn.XLOOKUP($A200,Input_Raw!$A:$A,Input_Raw!$DA:$DA),"")</f>
        <v/>
      </c>
      <c r="I200" s="200" t="str">
        <f>IFERROR(_xlfn.XLOOKUP($A200,Input_Raw!$A:$A,Input_Raw!$CX:$CX),"")</f>
        <v/>
      </c>
      <c r="J200" s="200" t="str">
        <f>IFERROR(_xlfn.XLOOKUP($A200,Input_Raw!$A:$A,Input_Raw!$CZ:$CZ),"")</f>
        <v/>
      </c>
      <c r="K200" s="201" t="str">
        <f>IFERROR(_xlfn.XLOOKUP($A200,Input_Raw!$A:$A,Input_Raw!$DB:$DB),"")</f>
        <v/>
      </c>
      <c r="L200" s="201" t="str">
        <f>IFERROR(_xlfn.XLOOKUP($A200,Input_Raw!$A:$A,Input_Raw!$DC:$DC),"")</f>
        <v/>
      </c>
      <c r="M200" s="200" t="str">
        <f>IFERROR(_xlfn.XLOOKUP($A200,Input_Raw!$A:$A,Input_Raw!$DF:$DF),"")</f>
        <v/>
      </c>
      <c r="N200" s="200" t="str">
        <f>IFERROR(_xlfn.XLOOKUP($A200,Input_Raw!$A:$A,Input_Raw!$DG:$DG),"")</f>
        <v/>
      </c>
      <c r="O200" s="230" t="str">
        <f>IFERROR(1-(SUMIF(Plant_BD!$B:$B,$A200,Plant_BD!$AL:$AL)/($AA200+SUMIF(Plant_BD!$B:$B,$A200,Plant_BD!$AL:$AL))),"")</f>
        <v/>
      </c>
      <c r="P200" s="230"/>
      <c r="Q200" s="231" t="str">
        <f>IFERROR(1-(SUMIF(Grid_BD!$B:$B,$A200,Grid_BD!$V:$V)/($AA200+SUMIF(Grid_BD!$B:$B,$A200,Grid_BD!$V:$V))),"")</f>
        <v/>
      </c>
      <c r="R200" s="230" t="str">
        <f>IFERROR(1-(SUMIF(Grid_BD!$B:$B,$A200,Grid_BD!$V:$V)/($AA200+SUMIF(Grid_BD!$B:$B,$A200,Grid_BD!$V:$V))),"")</f>
        <v/>
      </c>
      <c r="S200" s="9"/>
      <c r="T200" s="231"/>
      <c r="U200" s="232" t="str">
        <f t="shared" si="16"/>
        <v/>
      </c>
      <c r="V200" s="232" t="str">
        <f>IFERROR(_xlfn.XLOOKUP($A200,Input_Raw!$A:$A,Input_Raw!$FG:$FG),"")</f>
        <v/>
      </c>
      <c r="W200" s="233" t="str">
        <f t="shared" si="17"/>
        <v/>
      </c>
      <c r="X200" s="29" t="str">
        <f>IFERROR(_xlfn.XLOOKUP($A200,Input_Raw!$A:$A,Input_Raw!$DP:$DP),"")</f>
        <v/>
      </c>
      <c r="Y200" s="29" t="str">
        <f>IFERROR(_xlfn.XLOOKUP($A200,Input_Raw!$A:$A,Input_Raw!EW:EW),"")</f>
        <v/>
      </c>
      <c r="Z200" s="29" t="str">
        <f>IFERROR(_xlfn.XLOOKUP($A200,Input_Raw!$A:$A,Input_Raw!EX:EX),"")</f>
        <v/>
      </c>
      <c r="AA200" s="29" t="str">
        <f>IFERROR(_xlfn.XLOOKUP($A200,Input_Raw!$A:$A,Input_Raw!FA:FA),"")</f>
        <v/>
      </c>
      <c r="AB200" s="9" t="str">
        <f>IFERROR(_xlfn.XLOOKUP($A200,Input_Raw!$A:$A,Input_Raw!FD:FD),"")</f>
        <v/>
      </c>
      <c r="AC200" s="185">
        <f>IFERROR(_xlfn.XLOOKUP($D200,'Modelling New'!$D:$D,'Modelling New'!P:P),"")</f>
        <v>5.8258064516129027</v>
      </c>
      <c r="AD200" s="29">
        <f>IFERROR(_xlfn.XLOOKUP($D200,'Modelling New'!$D:$D,'Modelling New'!T:T)*1000,"")</f>
        <v>635344.27609051135</v>
      </c>
      <c r="AE200" s="233">
        <f>IFERROR(_xlfn.XLOOKUP($D200,'Modelling New'!$D:$D,'Modelling New'!O:O),"")</f>
        <v>0.83889907823519261</v>
      </c>
      <c r="AF200" s="233">
        <f>IFERROR(_xlfn.XLOOKUP($D200,'Modelling New'!$D:$D,'Modelling New'!W:W),"")</f>
        <v>0.20363598592644594</v>
      </c>
      <c r="AG200" s="233">
        <f>IFERROR(_xlfn.XLOOKUP($D200,'Modelling New'!$D:$D,'Modelling New'!AE:AE),"")</f>
        <v>0.995</v>
      </c>
      <c r="AH200" s="234">
        <f>IFERROR(_xlfn.XLOOKUP($D200,'Modelling New'!$D:$D,'Modelling New'!AF:AF),"")</f>
        <v>0.995</v>
      </c>
      <c r="AI200" s="9"/>
      <c r="AJ200" s="9"/>
      <c r="AK200" s="258"/>
      <c r="AL200" s="258"/>
      <c r="AM200" s="258"/>
      <c r="AN200" s="235"/>
      <c r="AO200" s="233"/>
      <c r="AP200" s="233"/>
      <c r="AQ200" s="233"/>
      <c r="AR200" s="236">
        <f>_xlfn.XLOOKUP(D200,'Modelling New'!$D:$D,'Modelling New'!$N:$N)</f>
        <v>130</v>
      </c>
      <c r="AS200" s="236" t="str">
        <f t="shared" si="18"/>
        <v/>
      </c>
    </row>
    <row r="201" spans="1:45">
      <c r="A201" s="18">
        <f t="shared" si="19"/>
        <v>45944</v>
      </c>
      <c r="B201" s="29">
        <f>YEAR(Table13[[#This Row],[Date]])+IF(MONTH(Table13[[#This Row],[Date]])&gt;=4,1,0)</f>
        <v>2026</v>
      </c>
      <c r="C201" s="9">
        <f>YEAR(Table13[[#This Row],[Date]])</f>
        <v>2025</v>
      </c>
      <c r="D201" s="229">
        <f>Table13[[#This Row],[Date]]-DAY(Table13[[#This Row],[Date]])+1</f>
        <v>45931</v>
      </c>
      <c r="E201" s="9">
        <f t="shared" si="15"/>
        <v>31</v>
      </c>
      <c r="F201" s="199" t="str">
        <f>IFERROR(_xlfn.XLOOKUP($A201,Input_Raw!$A:$A,Input_Raw!$FC:$FC),"")</f>
        <v/>
      </c>
      <c r="G201" s="185" t="str">
        <f>IFERROR(_xlfn.XLOOKUP($A201,Input_Raw!$A:$A,Input_Raw!$CY:$CY),"")</f>
        <v/>
      </c>
      <c r="H201" s="185" t="str">
        <f>IFERROR(_xlfn.XLOOKUP($A201,Input_Raw!$A:$A,Input_Raw!$DA:$DA),"")</f>
        <v/>
      </c>
      <c r="I201" s="185" t="str">
        <f>IFERROR(_xlfn.XLOOKUP($A201,Input_Raw!$A:$A,Input_Raw!$CX:$CX),"")</f>
        <v/>
      </c>
      <c r="J201" s="185" t="str">
        <f>IFERROR(_xlfn.XLOOKUP($A201,Input_Raw!$A:$A,Input_Raw!$CZ:$CZ),"")</f>
        <v/>
      </c>
      <c r="K201" s="201" t="str">
        <f>IFERROR(_xlfn.XLOOKUP($A201,Input_Raw!$A:$A,Input_Raw!$DB:$DB),"")</f>
        <v/>
      </c>
      <c r="L201" s="201" t="str">
        <f>IFERROR(_xlfn.XLOOKUP($A201,Input_Raw!$A:$A,Input_Raw!$DC:$DC),"")</f>
        <v/>
      </c>
      <c r="M201" s="200" t="str">
        <f>IFERROR(_xlfn.XLOOKUP($A201,Input_Raw!$A:$A,Input_Raw!$DF:$DF),"")</f>
        <v/>
      </c>
      <c r="N201" s="200" t="str">
        <f>IFERROR(_xlfn.XLOOKUP($A201,Input_Raw!$A:$A,Input_Raw!$DG:$DG),"")</f>
        <v/>
      </c>
      <c r="O201" s="230" t="str">
        <f>IFERROR(1-(SUMIF(Plant_BD!$B:$B,$A201,Plant_BD!$AL:$AL)/($AA201+SUMIF(Plant_BD!$B:$B,$A201,Plant_BD!$AL:$AL))),"")</f>
        <v/>
      </c>
      <c r="P201" s="230"/>
      <c r="Q201" s="231" t="str">
        <f>IFERROR(1-(SUMIF(Grid_BD!$B:$B,$A201,Grid_BD!$V:$V)/($AA201+SUMIF(Grid_BD!$B:$B,$A201,Grid_BD!$V:$V))),"")</f>
        <v/>
      </c>
      <c r="R201" s="230" t="str">
        <f>IFERROR(1-(SUMIF(Grid_BD!$B:$B,$A201,Grid_BD!$V:$V)/($AA201+SUMIF(Grid_BD!$B:$B,$A201,Grid_BD!$V:$V))),"")</f>
        <v/>
      </c>
      <c r="S201" s="9"/>
      <c r="T201" s="231"/>
      <c r="U201" s="232" t="str">
        <f t="shared" si="16"/>
        <v/>
      </c>
      <c r="V201" s="232" t="str">
        <f>IFERROR(_xlfn.XLOOKUP($A201,Input_Raw!$A:$A,Input_Raw!$FG:$FG),"")</f>
        <v/>
      </c>
      <c r="W201" s="233" t="str">
        <f t="shared" si="17"/>
        <v/>
      </c>
      <c r="X201" s="29" t="str">
        <f>IFERROR(_xlfn.XLOOKUP($A201,Input_Raw!$A:$A,Input_Raw!$DP:$DP),"")</f>
        <v/>
      </c>
      <c r="Y201" s="29" t="str">
        <f>IFERROR(_xlfn.XLOOKUP($A201,Input_Raw!$A:$A,Input_Raw!EW:EW),"")</f>
        <v/>
      </c>
      <c r="Z201" s="29" t="str">
        <f>IFERROR(_xlfn.XLOOKUP($A201,Input_Raw!$A:$A,Input_Raw!EX:EX),"")</f>
        <v/>
      </c>
      <c r="AA201" s="29" t="str">
        <f>IFERROR(_xlfn.XLOOKUP($A201,Input_Raw!$A:$A,Input_Raw!FA:FA),"")</f>
        <v/>
      </c>
      <c r="AB201" s="9" t="str">
        <f>IFERROR(_xlfn.XLOOKUP($A201,Input_Raw!$A:$A,Input_Raw!FD:FD),"")</f>
        <v/>
      </c>
      <c r="AC201" s="185">
        <f>IFERROR(_xlfn.XLOOKUP($D201,'Modelling New'!$D:$D,'Modelling New'!P:P),"")</f>
        <v>5.8258064516129027</v>
      </c>
      <c r="AD201" s="29">
        <f>IFERROR(_xlfn.XLOOKUP($D201,'Modelling New'!$D:$D,'Modelling New'!T:T)*1000,"")</f>
        <v>635344.27609051135</v>
      </c>
      <c r="AE201" s="233">
        <f>IFERROR(_xlfn.XLOOKUP($D201,'Modelling New'!$D:$D,'Modelling New'!O:O),"")</f>
        <v>0.83889907823519261</v>
      </c>
      <c r="AF201" s="233">
        <f>IFERROR(_xlfn.XLOOKUP($D201,'Modelling New'!$D:$D,'Modelling New'!W:W),"")</f>
        <v>0.20363598592644594</v>
      </c>
      <c r="AG201" s="233">
        <f>IFERROR(_xlfn.XLOOKUP($D201,'Modelling New'!$D:$D,'Modelling New'!AE:AE),"")</f>
        <v>0.995</v>
      </c>
      <c r="AH201" s="234">
        <f>IFERROR(_xlfn.XLOOKUP($D201,'Modelling New'!$D:$D,'Modelling New'!AF:AF),"")</f>
        <v>0.995</v>
      </c>
      <c r="AI201" s="9"/>
      <c r="AJ201" s="9"/>
      <c r="AK201" s="258"/>
      <c r="AL201" s="258"/>
      <c r="AM201" s="258"/>
      <c r="AN201" s="235"/>
      <c r="AO201" s="233"/>
      <c r="AP201" s="233"/>
      <c r="AQ201" s="233"/>
      <c r="AR201" s="236">
        <f>_xlfn.XLOOKUP(D201,'Modelling New'!$D:$D,'Modelling New'!$N:$N)</f>
        <v>130</v>
      </c>
      <c r="AS201" s="236" t="str">
        <f t="shared" si="18"/>
        <v/>
      </c>
    </row>
    <row r="202" spans="1:45">
      <c r="A202" s="18">
        <f t="shared" si="19"/>
        <v>45945</v>
      </c>
      <c r="B202" s="29">
        <f>YEAR(Table13[[#This Row],[Date]])+IF(MONTH(Table13[[#This Row],[Date]])&gt;=4,1,0)</f>
        <v>2026</v>
      </c>
      <c r="C202" s="9">
        <f>YEAR(Table13[[#This Row],[Date]])</f>
        <v>2025</v>
      </c>
      <c r="D202" s="229">
        <f>Table13[[#This Row],[Date]]-DAY(Table13[[#This Row],[Date]])+1</f>
        <v>45931</v>
      </c>
      <c r="E202" s="9">
        <f t="shared" si="15"/>
        <v>31</v>
      </c>
      <c r="F202" s="199" t="str">
        <f>IFERROR(_xlfn.XLOOKUP($A202,Input_Raw!$A:$A,Input_Raw!$FC:$FC),"")</f>
        <v/>
      </c>
      <c r="G202" s="200" t="str">
        <f>IFERROR(_xlfn.XLOOKUP($A202,Input_Raw!$A:$A,Input_Raw!$CY:$CY),"")</f>
        <v/>
      </c>
      <c r="H202" s="200" t="str">
        <f>IFERROR(_xlfn.XLOOKUP($A202,Input_Raw!$A:$A,Input_Raw!$DA:$DA),"")</f>
        <v/>
      </c>
      <c r="I202" s="200" t="str">
        <f>IFERROR(_xlfn.XLOOKUP($A202,Input_Raw!$A:$A,Input_Raw!$CX:$CX),"")</f>
        <v/>
      </c>
      <c r="J202" s="200" t="str">
        <f>IFERROR(_xlfn.XLOOKUP($A202,Input_Raw!$A:$A,Input_Raw!$CZ:$CZ),"")</f>
        <v/>
      </c>
      <c r="K202" s="201" t="str">
        <f>IFERROR(_xlfn.XLOOKUP($A202,Input_Raw!$A:$A,Input_Raw!$DB:$DB),"")</f>
        <v/>
      </c>
      <c r="L202" s="201" t="str">
        <f>IFERROR(_xlfn.XLOOKUP($A202,Input_Raw!$A:$A,Input_Raw!$DC:$DC),"")</f>
        <v/>
      </c>
      <c r="M202" s="200" t="str">
        <f>IFERROR(_xlfn.XLOOKUP($A202,Input_Raw!$A:$A,Input_Raw!$DF:$DF),"")</f>
        <v/>
      </c>
      <c r="N202" s="200" t="str">
        <f>IFERROR(_xlfn.XLOOKUP($A202,Input_Raw!$A:$A,Input_Raw!$DG:$DG),"")</f>
        <v/>
      </c>
      <c r="O202" s="230" t="str">
        <f>IFERROR(1-(SUMIF(Plant_BD!$B:$B,$A202,Plant_BD!$AL:$AL)/($AA202+SUMIF(Plant_BD!$B:$B,$A202,Plant_BD!$AL:$AL))),"")</f>
        <v/>
      </c>
      <c r="P202" s="230"/>
      <c r="Q202" s="231" t="str">
        <f>IFERROR(1-(SUMIF(Grid_BD!$B:$B,$A202,Grid_BD!$V:$V)/($AA202+SUMIF(Grid_BD!$B:$B,$A202,Grid_BD!$V:$V))),"")</f>
        <v/>
      </c>
      <c r="R202" s="230" t="str">
        <f>IFERROR(1-(SUMIF(Grid_BD!$B:$B,$A202,Grid_BD!$V:$V)/($AA202+SUMIF(Grid_BD!$B:$B,$A202,Grid_BD!$V:$V))),"")</f>
        <v/>
      </c>
      <c r="S202" s="9"/>
      <c r="T202" s="231"/>
      <c r="U202" s="232" t="str">
        <f t="shared" si="16"/>
        <v/>
      </c>
      <c r="V202" s="232" t="str">
        <f>IFERROR(_xlfn.XLOOKUP($A202,Input_Raw!$A:$A,Input_Raw!$FG:$FG),"")</f>
        <v/>
      </c>
      <c r="W202" s="233" t="str">
        <f t="shared" si="17"/>
        <v/>
      </c>
      <c r="X202" s="29" t="str">
        <f>IFERROR(_xlfn.XLOOKUP($A202,Input_Raw!$A:$A,Input_Raw!$DP:$DP),"")</f>
        <v/>
      </c>
      <c r="Y202" s="29" t="str">
        <f>IFERROR(_xlfn.XLOOKUP($A202,Input_Raw!$A:$A,Input_Raw!EW:EW),"")</f>
        <v/>
      </c>
      <c r="Z202" s="29" t="str">
        <f>IFERROR(_xlfn.XLOOKUP($A202,Input_Raw!$A:$A,Input_Raw!EX:EX),"")</f>
        <v/>
      </c>
      <c r="AA202" s="29" t="str">
        <f>IFERROR(_xlfn.XLOOKUP($A202,Input_Raw!$A:$A,Input_Raw!FA:FA),"")</f>
        <v/>
      </c>
      <c r="AB202" s="9" t="str">
        <f>IFERROR(_xlfn.XLOOKUP($A202,Input_Raw!$A:$A,Input_Raw!FD:FD),"")</f>
        <v/>
      </c>
      <c r="AC202" s="185">
        <f>IFERROR(_xlfn.XLOOKUP($D202,'Modelling New'!$D:$D,'Modelling New'!P:P),"")</f>
        <v>5.8258064516129027</v>
      </c>
      <c r="AD202" s="29">
        <f>IFERROR(_xlfn.XLOOKUP($D202,'Modelling New'!$D:$D,'Modelling New'!T:T)*1000,"")</f>
        <v>635344.27609051135</v>
      </c>
      <c r="AE202" s="233">
        <f>IFERROR(_xlfn.XLOOKUP($D202,'Modelling New'!$D:$D,'Modelling New'!O:O),"")</f>
        <v>0.83889907823519261</v>
      </c>
      <c r="AF202" s="233">
        <f>IFERROR(_xlfn.XLOOKUP($D202,'Modelling New'!$D:$D,'Modelling New'!W:W),"")</f>
        <v>0.20363598592644594</v>
      </c>
      <c r="AG202" s="233">
        <f>IFERROR(_xlfn.XLOOKUP($D202,'Modelling New'!$D:$D,'Modelling New'!AE:AE),"")</f>
        <v>0.995</v>
      </c>
      <c r="AH202" s="234">
        <f>IFERROR(_xlfn.XLOOKUP($D202,'Modelling New'!$D:$D,'Modelling New'!AF:AF),"")</f>
        <v>0.995</v>
      </c>
      <c r="AI202" s="9"/>
      <c r="AJ202" s="9"/>
      <c r="AK202" s="258"/>
      <c r="AL202" s="258"/>
      <c r="AM202" s="258"/>
      <c r="AN202" s="235"/>
      <c r="AO202" s="233"/>
      <c r="AP202" s="233"/>
      <c r="AQ202" s="233"/>
      <c r="AR202" s="236">
        <f>_xlfn.XLOOKUP(D202,'Modelling New'!$D:$D,'Modelling New'!$N:$N)</f>
        <v>130</v>
      </c>
      <c r="AS202" s="236" t="str">
        <f t="shared" si="18"/>
        <v/>
      </c>
    </row>
    <row r="203" spans="1:45">
      <c r="A203" s="18">
        <f t="shared" si="19"/>
        <v>45946</v>
      </c>
      <c r="B203" s="29">
        <f>YEAR(Table13[[#This Row],[Date]])+IF(MONTH(Table13[[#This Row],[Date]])&gt;=4,1,0)</f>
        <v>2026</v>
      </c>
      <c r="C203" s="9">
        <f>YEAR(Table13[[#This Row],[Date]])</f>
        <v>2025</v>
      </c>
      <c r="D203" s="229">
        <f>Table13[[#This Row],[Date]]-DAY(Table13[[#This Row],[Date]])+1</f>
        <v>45931</v>
      </c>
      <c r="E203" s="9">
        <f t="shared" si="15"/>
        <v>31</v>
      </c>
      <c r="F203" s="199" t="str">
        <f>IFERROR(_xlfn.XLOOKUP($A203,Input_Raw!$A:$A,Input_Raw!$FC:$FC),"")</f>
        <v/>
      </c>
      <c r="G203" s="185" t="str">
        <f>IFERROR(_xlfn.XLOOKUP($A203,Input_Raw!$A:$A,Input_Raw!$CY:$CY),"")</f>
        <v/>
      </c>
      <c r="H203" s="185" t="str">
        <f>IFERROR(_xlfn.XLOOKUP($A203,Input_Raw!$A:$A,Input_Raw!$DA:$DA),"")</f>
        <v/>
      </c>
      <c r="I203" s="185" t="str">
        <f>IFERROR(_xlfn.XLOOKUP($A203,Input_Raw!$A:$A,Input_Raw!$CX:$CX),"")</f>
        <v/>
      </c>
      <c r="J203" s="185" t="str">
        <f>IFERROR(_xlfn.XLOOKUP($A203,Input_Raw!$A:$A,Input_Raw!$CZ:$CZ),"")</f>
        <v/>
      </c>
      <c r="K203" s="201" t="str">
        <f>IFERROR(_xlfn.XLOOKUP($A203,Input_Raw!$A:$A,Input_Raw!$DB:$DB),"")</f>
        <v/>
      </c>
      <c r="L203" s="201" t="str">
        <f>IFERROR(_xlfn.XLOOKUP($A203,Input_Raw!$A:$A,Input_Raw!$DC:$DC),"")</f>
        <v/>
      </c>
      <c r="M203" s="200" t="str">
        <f>IFERROR(_xlfn.XLOOKUP($A203,Input_Raw!$A:$A,Input_Raw!$DF:$DF),"")</f>
        <v/>
      </c>
      <c r="N203" s="200" t="str">
        <f>IFERROR(_xlfn.XLOOKUP($A203,Input_Raw!$A:$A,Input_Raw!$DG:$DG),"")</f>
        <v/>
      </c>
      <c r="O203" s="230" t="str">
        <f>IFERROR(1-(SUMIF(Plant_BD!$B:$B,$A203,Plant_BD!$AL:$AL)/($AA203+SUMIF(Plant_BD!$B:$B,$A203,Plant_BD!$AL:$AL))),"")</f>
        <v/>
      </c>
      <c r="P203" s="230"/>
      <c r="Q203" s="231" t="str">
        <f>IFERROR(1-(SUMIF(Grid_BD!$B:$B,$A203,Grid_BD!$V:$V)/($AA203+SUMIF(Grid_BD!$B:$B,$A203,Grid_BD!$V:$V))),"")</f>
        <v/>
      </c>
      <c r="R203" s="230" t="str">
        <f>IFERROR(1-(SUMIF(Grid_BD!$B:$B,$A203,Grid_BD!$V:$V)/($AA203+SUMIF(Grid_BD!$B:$B,$A203,Grid_BD!$V:$V))),"")</f>
        <v/>
      </c>
      <c r="S203" s="9"/>
      <c r="T203" s="231"/>
      <c r="U203" s="232" t="str">
        <f t="shared" si="16"/>
        <v/>
      </c>
      <c r="V203" s="232" t="str">
        <f>IFERROR(_xlfn.XLOOKUP($A203,Input_Raw!$A:$A,Input_Raw!$FG:$FG),"")</f>
        <v/>
      </c>
      <c r="W203" s="233" t="str">
        <f t="shared" si="17"/>
        <v/>
      </c>
      <c r="X203" s="29" t="str">
        <f>IFERROR(_xlfn.XLOOKUP($A203,Input_Raw!$A:$A,Input_Raw!$DP:$DP),"")</f>
        <v/>
      </c>
      <c r="Y203" s="29" t="str">
        <f>IFERROR(_xlfn.XLOOKUP($A203,Input_Raw!$A:$A,Input_Raw!EW:EW),"")</f>
        <v/>
      </c>
      <c r="Z203" s="29" t="str">
        <f>IFERROR(_xlfn.XLOOKUP($A203,Input_Raw!$A:$A,Input_Raw!EX:EX),"")</f>
        <v/>
      </c>
      <c r="AA203" s="29" t="str">
        <f>IFERROR(_xlfn.XLOOKUP($A203,Input_Raw!$A:$A,Input_Raw!FA:FA),"")</f>
        <v/>
      </c>
      <c r="AB203" s="9" t="str">
        <f>IFERROR(_xlfn.XLOOKUP($A203,Input_Raw!$A:$A,Input_Raw!FD:FD),"")</f>
        <v/>
      </c>
      <c r="AC203" s="185">
        <f>IFERROR(_xlfn.XLOOKUP($D203,'Modelling New'!$D:$D,'Modelling New'!P:P),"")</f>
        <v>5.8258064516129027</v>
      </c>
      <c r="AD203" s="29">
        <f>IFERROR(_xlfn.XLOOKUP($D203,'Modelling New'!$D:$D,'Modelling New'!T:T)*1000,"")</f>
        <v>635344.27609051135</v>
      </c>
      <c r="AE203" s="233">
        <f>IFERROR(_xlfn.XLOOKUP($D203,'Modelling New'!$D:$D,'Modelling New'!O:O),"")</f>
        <v>0.83889907823519261</v>
      </c>
      <c r="AF203" s="233">
        <f>IFERROR(_xlfn.XLOOKUP($D203,'Modelling New'!$D:$D,'Modelling New'!W:W),"")</f>
        <v>0.20363598592644594</v>
      </c>
      <c r="AG203" s="233">
        <f>IFERROR(_xlfn.XLOOKUP($D203,'Modelling New'!$D:$D,'Modelling New'!AE:AE),"")</f>
        <v>0.995</v>
      </c>
      <c r="AH203" s="234">
        <f>IFERROR(_xlfn.XLOOKUP($D203,'Modelling New'!$D:$D,'Modelling New'!AF:AF),"")</f>
        <v>0.995</v>
      </c>
      <c r="AI203" s="9"/>
      <c r="AJ203" s="9"/>
      <c r="AK203" s="258"/>
      <c r="AL203" s="258"/>
      <c r="AM203" s="258"/>
      <c r="AN203" s="235"/>
      <c r="AO203" s="233"/>
      <c r="AP203" s="233"/>
      <c r="AQ203" s="233"/>
      <c r="AR203" s="236">
        <f>_xlfn.XLOOKUP(D203,'Modelling New'!$D:$D,'Modelling New'!$N:$N)</f>
        <v>130</v>
      </c>
      <c r="AS203" s="236" t="str">
        <f t="shared" si="18"/>
        <v/>
      </c>
    </row>
    <row r="204" spans="1:45">
      <c r="A204" s="18">
        <f t="shared" si="19"/>
        <v>45947</v>
      </c>
      <c r="B204" s="29">
        <f>YEAR(Table13[[#This Row],[Date]])+IF(MONTH(Table13[[#This Row],[Date]])&gt;=4,1,0)</f>
        <v>2026</v>
      </c>
      <c r="C204" s="9">
        <f>YEAR(Table13[[#This Row],[Date]])</f>
        <v>2025</v>
      </c>
      <c r="D204" s="229">
        <f>Table13[[#This Row],[Date]]-DAY(Table13[[#This Row],[Date]])+1</f>
        <v>45931</v>
      </c>
      <c r="E204" s="9">
        <f t="shared" si="15"/>
        <v>31</v>
      </c>
      <c r="F204" s="199" t="str">
        <f>IFERROR(_xlfn.XLOOKUP($A204,Input_Raw!$A:$A,Input_Raw!$FC:$FC),"")</f>
        <v/>
      </c>
      <c r="G204" s="200" t="str">
        <f>IFERROR(_xlfn.XLOOKUP($A204,Input_Raw!$A:$A,Input_Raw!$CY:$CY),"")</f>
        <v/>
      </c>
      <c r="H204" s="200" t="str">
        <f>IFERROR(_xlfn.XLOOKUP($A204,Input_Raw!$A:$A,Input_Raw!$DA:$DA),"")</f>
        <v/>
      </c>
      <c r="I204" s="200" t="str">
        <f>IFERROR(_xlfn.XLOOKUP($A204,Input_Raw!$A:$A,Input_Raw!$CX:$CX),"")</f>
        <v/>
      </c>
      <c r="J204" s="200" t="str">
        <f>IFERROR(_xlfn.XLOOKUP($A204,Input_Raw!$A:$A,Input_Raw!$CZ:$CZ),"")</f>
        <v/>
      </c>
      <c r="K204" s="201" t="str">
        <f>IFERROR(_xlfn.XLOOKUP($A204,Input_Raw!$A:$A,Input_Raw!$DB:$DB),"")</f>
        <v/>
      </c>
      <c r="L204" s="201" t="str">
        <f>IFERROR(_xlfn.XLOOKUP($A204,Input_Raw!$A:$A,Input_Raw!$DC:$DC),"")</f>
        <v/>
      </c>
      <c r="M204" s="200" t="str">
        <f>IFERROR(_xlfn.XLOOKUP($A204,Input_Raw!$A:$A,Input_Raw!$DF:$DF),"")</f>
        <v/>
      </c>
      <c r="N204" s="200" t="str">
        <f>IFERROR(_xlfn.XLOOKUP($A204,Input_Raw!$A:$A,Input_Raw!$DG:$DG),"")</f>
        <v/>
      </c>
      <c r="O204" s="230" t="str">
        <f>IFERROR(1-(SUMIF(Plant_BD!$B:$B,$A204,Plant_BD!$AL:$AL)/($AA204+SUMIF(Plant_BD!$B:$B,$A204,Plant_BD!$AL:$AL))),"")</f>
        <v/>
      </c>
      <c r="P204" s="230"/>
      <c r="Q204" s="231" t="str">
        <f>IFERROR(1-(SUMIF(Grid_BD!$B:$B,$A204,Grid_BD!$V:$V)/($AA204+SUMIF(Grid_BD!$B:$B,$A204,Grid_BD!$V:$V))),"")</f>
        <v/>
      </c>
      <c r="R204" s="230" t="str">
        <f>IFERROR(1-(SUMIF(Grid_BD!$B:$B,$A204,Grid_BD!$V:$V)/($AA204+SUMIF(Grid_BD!$B:$B,$A204,Grid_BD!$V:$V))),"")</f>
        <v/>
      </c>
      <c r="S204" s="9"/>
      <c r="T204" s="231"/>
      <c r="U204" s="232" t="str">
        <f t="shared" si="16"/>
        <v/>
      </c>
      <c r="V204" s="232" t="str">
        <f>IFERROR(_xlfn.XLOOKUP($A204,Input_Raw!$A:$A,Input_Raw!$FG:$FG),"")</f>
        <v/>
      </c>
      <c r="W204" s="233" t="str">
        <f t="shared" si="17"/>
        <v/>
      </c>
      <c r="X204" s="29" t="str">
        <f>IFERROR(_xlfn.XLOOKUP($A204,Input_Raw!$A:$A,Input_Raw!$DP:$DP),"")</f>
        <v/>
      </c>
      <c r="Y204" s="29" t="str">
        <f>IFERROR(_xlfn.XLOOKUP($A204,Input_Raw!$A:$A,Input_Raw!EW:EW),"")</f>
        <v/>
      </c>
      <c r="Z204" s="29" t="str">
        <f>IFERROR(_xlfn.XLOOKUP($A204,Input_Raw!$A:$A,Input_Raw!EX:EX),"")</f>
        <v/>
      </c>
      <c r="AA204" s="29" t="str">
        <f>IFERROR(_xlfn.XLOOKUP($A204,Input_Raw!$A:$A,Input_Raw!FA:FA),"")</f>
        <v/>
      </c>
      <c r="AB204" s="9" t="str">
        <f>IFERROR(_xlfn.XLOOKUP($A204,Input_Raw!$A:$A,Input_Raw!FD:FD),"")</f>
        <v/>
      </c>
      <c r="AC204" s="185">
        <f>IFERROR(_xlfn.XLOOKUP($D204,'Modelling New'!$D:$D,'Modelling New'!P:P),"")</f>
        <v>5.8258064516129027</v>
      </c>
      <c r="AD204" s="29">
        <f>IFERROR(_xlfn.XLOOKUP($D204,'Modelling New'!$D:$D,'Modelling New'!T:T)*1000,"")</f>
        <v>635344.27609051135</v>
      </c>
      <c r="AE204" s="233">
        <f>IFERROR(_xlfn.XLOOKUP($D204,'Modelling New'!$D:$D,'Modelling New'!O:O),"")</f>
        <v>0.83889907823519261</v>
      </c>
      <c r="AF204" s="233">
        <f>IFERROR(_xlfn.XLOOKUP($D204,'Modelling New'!$D:$D,'Modelling New'!W:W),"")</f>
        <v>0.20363598592644594</v>
      </c>
      <c r="AG204" s="233">
        <f>IFERROR(_xlfn.XLOOKUP($D204,'Modelling New'!$D:$D,'Modelling New'!AE:AE),"")</f>
        <v>0.995</v>
      </c>
      <c r="AH204" s="234">
        <f>IFERROR(_xlfn.XLOOKUP($D204,'Modelling New'!$D:$D,'Modelling New'!AF:AF),"")</f>
        <v>0.995</v>
      </c>
      <c r="AI204" s="9"/>
      <c r="AJ204" s="9"/>
      <c r="AK204" s="258"/>
      <c r="AL204" s="258"/>
      <c r="AM204" s="258"/>
      <c r="AN204" s="235"/>
      <c r="AO204" s="233"/>
      <c r="AP204" s="233"/>
      <c r="AQ204" s="233"/>
      <c r="AR204" s="236">
        <f>_xlfn.XLOOKUP(D204,'Modelling New'!$D:$D,'Modelling New'!$N:$N)</f>
        <v>130</v>
      </c>
      <c r="AS204" s="236" t="str">
        <f t="shared" si="18"/>
        <v/>
      </c>
    </row>
    <row r="205" spans="1:45">
      <c r="A205" s="18">
        <f t="shared" si="19"/>
        <v>45948</v>
      </c>
      <c r="B205" s="29">
        <f>YEAR(Table13[[#This Row],[Date]])+IF(MONTH(Table13[[#This Row],[Date]])&gt;=4,1,0)</f>
        <v>2026</v>
      </c>
      <c r="C205" s="9">
        <f>YEAR(Table13[[#This Row],[Date]])</f>
        <v>2025</v>
      </c>
      <c r="D205" s="229">
        <f>Table13[[#This Row],[Date]]-DAY(Table13[[#This Row],[Date]])+1</f>
        <v>45931</v>
      </c>
      <c r="E205" s="9">
        <f t="shared" si="15"/>
        <v>31</v>
      </c>
      <c r="F205" s="199" t="str">
        <f>IFERROR(_xlfn.XLOOKUP($A205,Input_Raw!$A:$A,Input_Raw!$FC:$FC),"")</f>
        <v/>
      </c>
      <c r="G205" s="185" t="str">
        <f>IFERROR(_xlfn.XLOOKUP($A205,Input_Raw!$A:$A,Input_Raw!$CY:$CY),"")</f>
        <v/>
      </c>
      <c r="H205" s="185" t="str">
        <f>IFERROR(_xlfn.XLOOKUP($A205,Input_Raw!$A:$A,Input_Raw!$DA:$DA),"")</f>
        <v/>
      </c>
      <c r="I205" s="185" t="str">
        <f>IFERROR(_xlfn.XLOOKUP($A205,Input_Raw!$A:$A,Input_Raw!$CX:$CX),"")</f>
        <v/>
      </c>
      <c r="J205" s="185" t="str">
        <f>IFERROR(_xlfn.XLOOKUP($A205,Input_Raw!$A:$A,Input_Raw!$CZ:$CZ),"")</f>
        <v/>
      </c>
      <c r="K205" s="201" t="str">
        <f>IFERROR(_xlfn.XLOOKUP($A205,Input_Raw!$A:$A,Input_Raw!$DB:$DB),"")</f>
        <v/>
      </c>
      <c r="L205" s="201" t="str">
        <f>IFERROR(_xlfn.XLOOKUP($A205,Input_Raw!$A:$A,Input_Raw!$DC:$DC),"")</f>
        <v/>
      </c>
      <c r="M205" s="200" t="str">
        <f>IFERROR(_xlfn.XLOOKUP($A205,Input_Raw!$A:$A,Input_Raw!$DF:$DF),"")</f>
        <v/>
      </c>
      <c r="N205" s="200" t="str">
        <f>IFERROR(_xlfn.XLOOKUP($A205,Input_Raw!$A:$A,Input_Raw!$DG:$DG),"")</f>
        <v/>
      </c>
      <c r="O205" s="230" t="str">
        <f>IFERROR(1-(SUMIF(Plant_BD!$B:$B,$A205,Plant_BD!$AL:$AL)/($AA205+SUMIF(Plant_BD!$B:$B,$A205,Plant_BD!$AL:$AL))),"")</f>
        <v/>
      </c>
      <c r="P205" s="230"/>
      <c r="Q205" s="231" t="str">
        <f>IFERROR(1-(SUMIF(Grid_BD!$B:$B,$A205,Grid_BD!$V:$V)/($AA205+SUMIF(Grid_BD!$B:$B,$A205,Grid_BD!$V:$V))),"")</f>
        <v/>
      </c>
      <c r="R205" s="230" t="str">
        <f>IFERROR(1-(SUMIF(Grid_BD!$B:$B,$A205,Grid_BD!$V:$V)/($AA205+SUMIF(Grid_BD!$B:$B,$A205,Grid_BD!$V:$V))),"")</f>
        <v/>
      </c>
      <c r="S205" s="9"/>
      <c r="T205" s="231"/>
      <c r="U205" s="232" t="str">
        <f t="shared" si="16"/>
        <v/>
      </c>
      <c r="V205" s="232" t="str">
        <f>IFERROR(_xlfn.XLOOKUP($A205,Input_Raw!$A:$A,Input_Raw!$FG:$FG),"")</f>
        <v/>
      </c>
      <c r="W205" s="233" t="str">
        <f t="shared" si="17"/>
        <v/>
      </c>
      <c r="X205" s="29" t="str">
        <f>IFERROR(_xlfn.XLOOKUP($A205,Input_Raw!$A:$A,Input_Raw!$DP:$DP),"")</f>
        <v/>
      </c>
      <c r="Y205" s="29" t="str">
        <f>IFERROR(_xlfn.XLOOKUP($A205,Input_Raw!$A:$A,Input_Raw!EW:EW),"")</f>
        <v/>
      </c>
      <c r="Z205" s="29" t="str">
        <f>IFERROR(_xlfn.XLOOKUP($A205,Input_Raw!$A:$A,Input_Raw!EX:EX),"")</f>
        <v/>
      </c>
      <c r="AA205" s="29" t="str">
        <f>IFERROR(_xlfn.XLOOKUP($A205,Input_Raw!$A:$A,Input_Raw!FA:FA),"")</f>
        <v/>
      </c>
      <c r="AB205" s="9" t="str">
        <f>IFERROR(_xlfn.XLOOKUP($A205,Input_Raw!$A:$A,Input_Raw!FD:FD),"")</f>
        <v/>
      </c>
      <c r="AC205" s="185">
        <f>IFERROR(_xlfn.XLOOKUP($D205,'Modelling New'!$D:$D,'Modelling New'!P:P),"")</f>
        <v>5.8258064516129027</v>
      </c>
      <c r="AD205" s="29">
        <f>IFERROR(_xlfn.XLOOKUP($D205,'Modelling New'!$D:$D,'Modelling New'!T:T)*1000,"")</f>
        <v>635344.27609051135</v>
      </c>
      <c r="AE205" s="233">
        <f>IFERROR(_xlfn.XLOOKUP($D205,'Modelling New'!$D:$D,'Modelling New'!O:O),"")</f>
        <v>0.83889907823519261</v>
      </c>
      <c r="AF205" s="233">
        <f>IFERROR(_xlfn.XLOOKUP($D205,'Modelling New'!$D:$D,'Modelling New'!W:W),"")</f>
        <v>0.20363598592644594</v>
      </c>
      <c r="AG205" s="233">
        <f>IFERROR(_xlfn.XLOOKUP($D205,'Modelling New'!$D:$D,'Modelling New'!AE:AE),"")</f>
        <v>0.995</v>
      </c>
      <c r="AH205" s="234">
        <f>IFERROR(_xlfn.XLOOKUP($D205,'Modelling New'!$D:$D,'Modelling New'!AF:AF),"")</f>
        <v>0.995</v>
      </c>
      <c r="AI205" s="9"/>
      <c r="AJ205" s="9"/>
      <c r="AK205" s="258"/>
      <c r="AL205" s="258"/>
      <c r="AM205" s="258"/>
      <c r="AN205" s="235"/>
      <c r="AO205" s="233"/>
      <c r="AP205" s="233"/>
      <c r="AQ205" s="233"/>
      <c r="AR205" s="236">
        <f>_xlfn.XLOOKUP(D205,'Modelling New'!$D:$D,'Modelling New'!$N:$N)</f>
        <v>130</v>
      </c>
      <c r="AS205" s="236" t="str">
        <f t="shared" si="18"/>
        <v/>
      </c>
    </row>
    <row r="206" spans="1:45">
      <c r="A206" s="18">
        <f t="shared" si="19"/>
        <v>45949</v>
      </c>
      <c r="B206" s="29">
        <f>YEAR(Table13[[#This Row],[Date]])+IF(MONTH(Table13[[#This Row],[Date]])&gt;=4,1,0)</f>
        <v>2026</v>
      </c>
      <c r="C206" s="9">
        <f>YEAR(Table13[[#This Row],[Date]])</f>
        <v>2025</v>
      </c>
      <c r="D206" s="229">
        <f>Table13[[#This Row],[Date]]-DAY(Table13[[#This Row],[Date]])+1</f>
        <v>45931</v>
      </c>
      <c r="E206" s="9">
        <f t="shared" si="15"/>
        <v>31</v>
      </c>
      <c r="F206" s="199" t="str">
        <f>IFERROR(_xlfn.XLOOKUP($A206,Input_Raw!$A:$A,Input_Raw!$FC:$FC),"")</f>
        <v/>
      </c>
      <c r="G206" s="200" t="str">
        <f>IFERROR(_xlfn.XLOOKUP($A206,Input_Raw!$A:$A,Input_Raw!$CY:$CY),"")</f>
        <v/>
      </c>
      <c r="H206" s="200" t="str">
        <f>IFERROR(_xlfn.XLOOKUP($A206,Input_Raw!$A:$A,Input_Raw!$DA:$DA),"")</f>
        <v/>
      </c>
      <c r="I206" s="200" t="str">
        <f>IFERROR(_xlfn.XLOOKUP($A206,Input_Raw!$A:$A,Input_Raw!$CX:$CX),"")</f>
        <v/>
      </c>
      <c r="J206" s="200" t="str">
        <f>IFERROR(_xlfn.XLOOKUP($A206,Input_Raw!$A:$A,Input_Raw!$CZ:$CZ),"")</f>
        <v/>
      </c>
      <c r="K206" s="201" t="str">
        <f>IFERROR(_xlfn.XLOOKUP($A206,Input_Raw!$A:$A,Input_Raw!$DB:$DB),"")</f>
        <v/>
      </c>
      <c r="L206" s="201" t="str">
        <f>IFERROR(_xlfn.XLOOKUP($A206,Input_Raw!$A:$A,Input_Raw!$DC:$DC),"")</f>
        <v/>
      </c>
      <c r="M206" s="200" t="str">
        <f>IFERROR(_xlfn.XLOOKUP($A206,Input_Raw!$A:$A,Input_Raw!$DF:$DF),"")</f>
        <v/>
      </c>
      <c r="N206" s="200" t="str">
        <f>IFERROR(_xlfn.XLOOKUP($A206,Input_Raw!$A:$A,Input_Raw!$DG:$DG),"")</f>
        <v/>
      </c>
      <c r="O206" s="230" t="str">
        <f>IFERROR(1-(SUMIF(Plant_BD!$B:$B,$A206,Plant_BD!$AL:$AL)/($AA206+SUMIF(Plant_BD!$B:$B,$A206,Plant_BD!$AL:$AL))),"")</f>
        <v/>
      </c>
      <c r="P206" s="230"/>
      <c r="Q206" s="231" t="str">
        <f>IFERROR(1-(SUMIF(Grid_BD!$B:$B,$A206,Grid_BD!$V:$V)/($AA206+SUMIF(Grid_BD!$B:$B,$A206,Grid_BD!$V:$V))),"")</f>
        <v/>
      </c>
      <c r="R206" s="230" t="str">
        <f>IFERROR(1-(SUMIF(Grid_BD!$B:$B,$A206,Grid_BD!$V:$V)/($AA206+SUMIF(Grid_BD!$B:$B,$A206,Grid_BD!$V:$V))),"")</f>
        <v/>
      </c>
      <c r="S206" s="9"/>
      <c r="T206" s="231"/>
      <c r="U206" s="232" t="str">
        <f t="shared" si="16"/>
        <v/>
      </c>
      <c r="V206" s="232" t="str">
        <f>IFERROR(_xlfn.XLOOKUP($A206,Input_Raw!$A:$A,Input_Raw!$FG:$FG),"")</f>
        <v/>
      </c>
      <c r="W206" s="233" t="str">
        <f t="shared" si="17"/>
        <v/>
      </c>
      <c r="X206" s="29" t="str">
        <f>IFERROR(_xlfn.XLOOKUP($A206,Input_Raw!$A:$A,Input_Raw!$DP:$DP),"")</f>
        <v/>
      </c>
      <c r="Y206" s="29" t="str">
        <f>IFERROR(_xlfn.XLOOKUP($A206,Input_Raw!$A:$A,Input_Raw!EW:EW),"")</f>
        <v/>
      </c>
      <c r="Z206" s="29" t="str">
        <f>IFERROR(_xlfn.XLOOKUP($A206,Input_Raw!$A:$A,Input_Raw!EX:EX),"")</f>
        <v/>
      </c>
      <c r="AA206" s="29" t="str">
        <f>IFERROR(_xlfn.XLOOKUP($A206,Input_Raw!$A:$A,Input_Raw!FA:FA),"")</f>
        <v/>
      </c>
      <c r="AB206" s="9" t="str">
        <f>IFERROR(_xlfn.XLOOKUP($A206,Input_Raw!$A:$A,Input_Raw!FD:FD),"")</f>
        <v/>
      </c>
      <c r="AC206" s="185">
        <f>IFERROR(_xlfn.XLOOKUP($D206,'Modelling New'!$D:$D,'Modelling New'!P:P),"")</f>
        <v>5.8258064516129027</v>
      </c>
      <c r="AD206" s="29">
        <f>IFERROR(_xlfn.XLOOKUP($D206,'Modelling New'!$D:$D,'Modelling New'!T:T)*1000,"")</f>
        <v>635344.27609051135</v>
      </c>
      <c r="AE206" s="233">
        <f>IFERROR(_xlfn.XLOOKUP($D206,'Modelling New'!$D:$D,'Modelling New'!O:O),"")</f>
        <v>0.83889907823519261</v>
      </c>
      <c r="AF206" s="233">
        <f>IFERROR(_xlfn.XLOOKUP($D206,'Modelling New'!$D:$D,'Modelling New'!W:W),"")</f>
        <v>0.20363598592644594</v>
      </c>
      <c r="AG206" s="233">
        <f>IFERROR(_xlfn.XLOOKUP($D206,'Modelling New'!$D:$D,'Modelling New'!AE:AE),"")</f>
        <v>0.995</v>
      </c>
      <c r="AH206" s="234">
        <f>IFERROR(_xlfn.XLOOKUP($D206,'Modelling New'!$D:$D,'Modelling New'!AF:AF),"")</f>
        <v>0.995</v>
      </c>
      <c r="AI206" s="9"/>
      <c r="AJ206" s="9"/>
      <c r="AK206" s="258"/>
      <c r="AL206" s="258"/>
      <c r="AM206" s="258"/>
      <c r="AN206" s="235"/>
      <c r="AO206" s="233"/>
      <c r="AP206" s="233"/>
      <c r="AQ206" s="233"/>
      <c r="AR206" s="236">
        <f>_xlfn.XLOOKUP(D206,'Modelling New'!$D:$D,'Modelling New'!$N:$N)</f>
        <v>130</v>
      </c>
      <c r="AS206" s="236" t="str">
        <f t="shared" si="18"/>
        <v/>
      </c>
    </row>
    <row r="207" spans="1:45">
      <c r="A207" s="18">
        <f t="shared" si="19"/>
        <v>45950</v>
      </c>
      <c r="B207" s="29">
        <f>YEAR(Table13[[#This Row],[Date]])+IF(MONTH(Table13[[#This Row],[Date]])&gt;=4,1,0)</f>
        <v>2026</v>
      </c>
      <c r="C207" s="9">
        <f>YEAR(Table13[[#This Row],[Date]])</f>
        <v>2025</v>
      </c>
      <c r="D207" s="229">
        <f>Table13[[#This Row],[Date]]-DAY(Table13[[#This Row],[Date]])+1</f>
        <v>45931</v>
      </c>
      <c r="E207" s="9">
        <f t="shared" si="15"/>
        <v>31</v>
      </c>
      <c r="F207" s="199" t="str">
        <f>IFERROR(_xlfn.XLOOKUP($A207,Input_Raw!$A:$A,Input_Raw!$FC:$FC),"")</f>
        <v/>
      </c>
      <c r="G207" s="185" t="str">
        <f>IFERROR(_xlfn.XLOOKUP($A207,Input_Raw!$A:$A,Input_Raw!$CY:$CY),"")</f>
        <v/>
      </c>
      <c r="H207" s="185" t="str">
        <f>IFERROR(_xlfn.XLOOKUP($A207,Input_Raw!$A:$A,Input_Raw!$DA:$DA),"")</f>
        <v/>
      </c>
      <c r="I207" s="185" t="str">
        <f>IFERROR(_xlfn.XLOOKUP($A207,Input_Raw!$A:$A,Input_Raw!$CX:$CX),"")</f>
        <v/>
      </c>
      <c r="J207" s="185" t="str">
        <f>IFERROR(_xlfn.XLOOKUP($A207,Input_Raw!$A:$A,Input_Raw!$CZ:$CZ),"")</f>
        <v/>
      </c>
      <c r="K207" s="201" t="str">
        <f>IFERROR(_xlfn.XLOOKUP($A207,Input_Raw!$A:$A,Input_Raw!$DB:$DB),"")</f>
        <v/>
      </c>
      <c r="L207" s="201" t="str">
        <f>IFERROR(_xlfn.XLOOKUP($A207,Input_Raw!$A:$A,Input_Raw!$DC:$DC),"")</f>
        <v/>
      </c>
      <c r="M207" s="200" t="str">
        <f>IFERROR(_xlfn.XLOOKUP($A207,Input_Raw!$A:$A,Input_Raw!$DF:$DF),"")</f>
        <v/>
      </c>
      <c r="N207" s="200" t="str">
        <f>IFERROR(_xlfn.XLOOKUP($A207,Input_Raw!$A:$A,Input_Raw!$DG:$DG),"")</f>
        <v/>
      </c>
      <c r="O207" s="230" t="str">
        <f>IFERROR(1-(SUMIF(Plant_BD!$B:$B,$A207,Plant_BD!$AL:$AL)/($AA207+SUMIF(Plant_BD!$B:$B,$A207,Plant_BD!$AL:$AL))),"")</f>
        <v/>
      </c>
      <c r="P207" s="230"/>
      <c r="Q207" s="231" t="str">
        <f>IFERROR(1-(SUMIF(Grid_BD!$B:$B,$A207,Grid_BD!$V:$V)/($AA207+SUMIF(Grid_BD!$B:$B,$A207,Grid_BD!$V:$V))),"")</f>
        <v/>
      </c>
      <c r="R207" s="230" t="str">
        <f>IFERROR(1-(SUMIF(Grid_BD!$B:$B,$A207,Grid_BD!$V:$V)/($AA207+SUMIF(Grid_BD!$B:$B,$A207,Grid_BD!$V:$V))),"")</f>
        <v/>
      </c>
      <c r="S207" s="9"/>
      <c r="T207" s="231"/>
      <c r="U207" s="232" t="str">
        <f t="shared" si="16"/>
        <v/>
      </c>
      <c r="V207" s="232" t="str">
        <f>IFERROR(_xlfn.XLOOKUP($A207,Input_Raw!$A:$A,Input_Raw!$FG:$FG),"")</f>
        <v/>
      </c>
      <c r="W207" s="233" t="str">
        <f t="shared" si="17"/>
        <v/>
      </c>
      <c r="X207" s="29" t="str">
        <f>IFERROR(_xlfn.XLOOKUP($A207,Input_Raw!$A:$A,Input_Raw!$DP:$DP),"")</f>
        <v/>
      </c>
      <c r="Y207" s="29" t="str">
        <f>IFERROR(_xlfn.XLOOKUP($A207,Input_Raw!$A:$A,Input_Raw!EW:EW),"")</f>
        <v/>
      </c>
      <c r="Z207" s="29" t="str">
        <f>IFERROR(_xlfn.XLOOKUP($A207,Input_Raw!$A:$A,Input_Raw!EX:EX),"")</f>
        <v/>
      </c>
      <c r="AA207" s="29" t="str">
        <f>IFERROR(_xlfn.XLOOKUP($A207,Input_Raw!$A:$A,Input_Raw!FA:FA),"")</f>
        <v/>
      </c>
      <c r="AB207" s="9" t="str">
        <f>IFERROR(_xlfn.XLOOKUP($A207,Input_Raw!$A:$A,Input_Raw!FD:FD),"")</f>
        <v/>
      </c>
      <c r="AC207" s="185">
        <f>IFERROR(_xlfn.XLOOKUP($D207,'Modelling New'!$D:$D,'Modelling New'!P:P),"")</f>
        <v>5.8258064516129027</v>
      </c>
      <c r="AD207" s="29">
        <f>IFERROR(_xlfn.XLOOKUP($D207,'Modelling New'!$D:$D,'Modelling New'!T:T)*1000,"")</f>
        <v>635344.27609051135</v>
      </c>
      <c r="AE207" s="233">
        <f>IFERROR(_xlfn.XLOOKUP($D207,'Modelling New'!$D:$D,'Modelling New'!O:O),"")</f>
        <v>0.83889907823519261</v>
      </c>
      <c r="AF207" s="233">
        <f>IFERROR(_xlfn.XLOOKUP($D207,'Modelling New'!$D:$D,'Modelling New'!W:W),"")</f>
        <v>0.20363598592644594</v>
      </c>
      <c r="AG207" s="233">
        <f>IFERROR(_xlfn.XLOOKUP($D207,'Modelling New'!$D:$D,'Modelling New'!AE:AE),"")</f>
        <v>0.995</v>
      </c>
      <c r="AH207" s="234">
        <f>IFERROR(_xlfn.XLOOKUP($D207,'Modelling New'!$D:$D,'Modelling New'!AF:AF),"")</f>
        <v>0.995</v>
      </c>
      <c r="AI207" s="9"/>
      <c r="AJ207" s="9"/>
      <c r="AK207" s="258"/>
      <c r="AL207" s="258"/>
      <c r="AM207" s="258"/>
      <c r="AN207" s="235"/>
      <c r="AO207" s="233"/>
      <c r="AP207" s="233"/>
      <c r="AQ207" s="233"/>
      <c r="AR207" s="236">
        <f>_xlfn.XLOOKUP(D207,'Modelling New'!$D:$D,'Modelling New'!$N:$N)</f>
        <v>130</v>
      </c>
      <c r="AS207" s="236" t="str">
        <f t="shared" si="18"/>
        <v/>
      </c>
    </row>
    <row r="208" spans="1:45">
      <c r="A208" s="18">
        <f t="shared" si="19"/>
        <v>45951</v>
      </c>
      <c r="B208" s="29">
        <f>YEAR(Table13[[#This Row],[Date]])+IF(MONTH(Table13[[#This Row],[Date]])&gt;=4,1,0)</f>
        <v>2026</v>
      </c>
      <c r="C208" s="9">
        <f>YEAR(Table13[[#This Row],[Date]])</f>
        <v>2025</v>
      </c>
      <c r="D208" s="229">
        <f>Table13[[#This Row],[Date]]-DAY(Table13[[#This Row],[Date]])+1</f>
        <v>45931</v>
      </c>
      <c r="E208" s="9">
        <f t="shared" si="15"/>
        <v>31</v>
      </c>
      <c r="F208" s="199" t="str">
        <f>IFERROR(_xlfn.XLOOKUP($A208,Input_Raw!$A:$A,Input_Raw!$FC:$FC),"")</f>
        <v/>
      </c>
      <c r="G208" s="200" t="str">
        <f>IFERROR(_xlfn.XLOOKUP($A208,Input_Raw!$A:$A,Input_Raw!$CY:$CY),"")</f>
        <v/>
      </c>
      <c r="H208" s="200" t="str">
        <f>IFERROR(_xlfn.XLOOKUP($A208,Input_Raw!$A:$A,Input_Raw!$DA:$DA),"")</f>
        <v/>
      </c>
      <c r="I208" s="200" t="str">
        <f>IFERROR(_xlfn.XLOOKUP($A208,Input_Raw!$A:$A,Input_Raw!$CX:$CX),"")</f>
        <v/>
      </c>
      <c r="J208" s="200" t="str">
        <f>IFERROR(_xlfn.XLOOKUP($A208,Input_Raw!$A:$A,Input_Raw!$CZ:$CZ),"")</f>
        <v/>
      </c>
      <c r="K208" s="201" t="str">
        <f>IFERROR(_xlfn.XLOOKUP($A208,Input_Raw!$A:$A,Input_Raw!$DB:$DB),"")</f>
        <v/>
      </c>
      <c r="L208" s="201" t="str">
        <f>IFERROR(_xlfn.XLOOKUP($A208,Input_Raw!$A:$A,Input_Raw!$DC:$DC),"")</f>
        <v/>
      </c>
      <c r="M208" s="200" t="str">
        <f>IFERROR(_xlfn.XLOOKUP($A208,Input_Raw!$A:$A,Input_Raw!$DF:$DF),"")</f>
        <v/>
      </c>
      <c r="N208" s="200" t="str">
        <f>IFERROR(_xlfn.XLOOKUP($A208,Input_Raw!$A:$A,Input_Raw!$DG:$DG),"")</f>
        <v/>
      </c>
      <c r="O208" s="230" t="str">
        <f>IFERROR(1-(SUMIF(Plant_BD!$B:$B,$A208,Plant_BD!$AL:$AL)/($AA208+SUMIF(Plant_BD!$B:$B,$A208,Plant_BD!$AL:$AL))),"")</f>
        <v/>
      </c>
      <c r="P208" s="230"/>
      <c r="Q208" s="231" t="str">
        <f>IFERROR(1-(SUMIF(Grid_BD!$B:$B,$A208,Grid_BD!$V:$V)/($AA208+SUMIF(Grid_BD!$B:$B,$A208,Grid_BD!$V:$V))),"")</f>
        <v/>
      </c>
      <c r="R208" s="230" t="str">
        <f>IFERROR(1-(SUMIF(Grid_BD!$B:$B,$A208,Grid_BD!$V:$V)/($AA208+SUMIF(Grid_BD!$B:$B,$A208,Grid_BD!$V:$V))),"")</f>
        <v/>
      </c>
      <c r="S208" s="9"/>
      <c r="T208" s="231"/>
      <c r="U208" s="232" t="str">
        <f t="shared" si="16"/>
        <v/>
      </c>
      <c r="V208" s="232" t="str">
        <f>IFERROR(_xlfn.XLOOKUP($A208,Input_Raw!$A:$A,Input_Raw!$FG:$FG),"")</f>
        <v/>
      </c>
      <c r="W208" s="233" t="str">
        <f t="shared" si="17"/>
        <v/>
      </c>
      <c r="X208" s="29" t="str">
        <f>IFERROR(_xlfn.XLOOKUP($A208,Input_Raw!$A:$A,Input_Raw!$DP:$DP),"")</f>
        <v/>
      </c>
      <c r="Y208" s="29" t="str">
        <f>IFERROR(_xlfn.XLOOKUP($A208,Input_Raw!$A:$A,Input_Raw!EW:EW),"")</f>
        <v/>
      </c>
      <c r="Z208" s="29" t="str">
        <f>IFERROR(_xlfn.XLOOKUP($A208,Input_Raw!$A:$A,Input_Raw!EX:EX),"")</f>
        <v/>
      </c>
      <c r="AA208" s="29" t="str">
        <f>IFERROR(_xlfn.XLOOKUP($A208,Input_Raw!$A:$A,Input_Raw!FA:FA),"")</f>
        <v/>
      </c>
      <c r="AB208" s="9" t="str">
        <f>IFERROR(_xlfn.XLOOKUP($A208,Input_Raw!$A:$A,Input_Raw!FD:FD),"")</f>
        <v/>
      </c>
      <c r="AC208" s="185">
        <f>IFERROR(_xlfn.XLOOKUP($D208,'Modelling New'!$D:$D,'Modelling New'!P:P),"")</f>
        <v>5.8258064516129027</v>
      </c>
      <c r="AD208" s="29">
        <f>IFERROR(_xlfn.XLOOKUP($D208,'Modelling New'!$D:$D,'Modelling New'!T:T)*1000,"")</f>
        <v>635344.27609051135</v>
      </c>
      <c r="AE208" s="233">
        <f>IFERROR(_xlfn.XLOOKUP($D208,'Modelling New'!$D:$D,'Modelling New'!O:O),"")</f>
        <v>0.83889907823519261</v>
      </c>
      <c r="AF208" s="233">
        <f>IFERROR(_xlfn.XLOOKUP($D208,'Modelling New'!$D:$D,'Modelling New'!W:W),"")</f>
        <v>0.20363598592644594</v>
      </c>
      <c r="AG208" s="233">
        <f>IFERROR(_xlfn.XLOOKUP($D208,'Modelling New'!$D:$D,'Modelling New'!AE:AE),"")</f>
        <v>0.995</v>
      </c>
      <c r="AH208" s="234">
        <f>IFERROR(_xlfn.XLOOKUP($D208,'Modelling New'!$D:$D,'Modelling New'!AF:AF),"")</f>
        <v>0.995</v>
      </c>
      <c r="AI208" s="9"/>
      <c r="AJ208" s="9"/>
      <c r="AK208" s="258"/>
      <c r="AL208" s="258"/>
      <c r="AM208" s="258"/>
      <c r="AN208" s="235"/>
      <c r="AO208" s="233"/>
      <c r="AP208" s="233"/>
      <c r="AQ208" s="233"/>
      <c r="AR208" s="236">
        <f>_xlfn.XLOOKUP(D208,'Modelling New'!$D:$D,'Modelling New'!$N:$N)</f>
        <v>130</v>
      </c>
      <c r="AS208" s="236" t="str">
        <f t="shared" si="18"/>
        <v/>
      </c>
    </row>
    <row r="209" spans="1:45">
      <c r="A209" s="18">
        <f t="shared" si="19"/>
        <v>45952</v>
      </c>
      <c r="B209" s="29">
        <f>YEAR(Table13[[#This Row],[Date]])+IF(MONTH(Table13[[#This Row],[Date]])&gt;=4,1,0)</f>
        <v>2026</v>
      </c>
      <c r="C209" s="9">
        <f>YEAR(Table13[[#This Row],[Date]])</f>
        <v>2025</v>
      </c>
      <c r="D209" s="229">
        <f>Table13[[#This Row],[Date]]-DAY(Table13[[#This Row],[Date]])+1</f>
        <v>45931</v>
      </c>
      <c r="E209" s="9">
        <f t="shared" si="15"/>
        <v>31</v>
      </c>
      <c r="F209" s="199" t="str">
        <f>IFERROR(_xlfn.XLOOKUP($A209,Input_Raw!$A:$A,Input_Raw!$FC:$FC),"")</f>
        <v/>
      </c>
      <c r="G209" s="185" t="str">
        <f>IFERROR(_xlfn.XLOOKUP($A209,Input_Raw!$A:$A,Input_Raw!$CY:$CY),"")</f>
        <v/>
      </c>
      <c r="H209" s="185" t="str">
        <f>IFERROR(_xlfn.XLOOKUP($A209,Input_Raw!$A:$A,Input_Raw!$DA:$DA),"")</f>
        <v/>
      </c>
      <c r="I209" s="185" t="str">
        <f>IFERROR(_xlfn.XLOOKUP($A209,Input_Raw!$A:$A,Input_Raw!$CX:$CX),"")</f>
        <v/>
      </c>
      <c r="J209" s="185" t="str">
        <f>IFERROR(_xlfn.XLOOKUP($A209,Input_Raw!$A:$A,Input_Raw!$CZ:$CZ),"")</f>
        <v/>
      </c>
      <c r="K209" s="201" t="str">
        <f>IFERROR(_xlfn.XLOOKUP($A209,Input_Raw!$A:$A,Input_Raw!$DB:$DB),"")</f>
        <v/>
      </c>
      <c r="L209" s="201" t="str">
        <f>IFERROR(_xlfn.XLOOKUP($A209,Input_Raw!$A:$A,Input_Raw!$DC:$DC),"")</f>
        <v/>
      </c>
      <c r="M209" s="200" t="str">
        <f>IFERROR(_xlfn.XLOOKUP($A209,Input_Raw!$A:$A,Input_Raw!$DF:$DF),"")</f>
        <v/>
      </c>
      <c r="N209" s="200" t="str">
        <f>IFERROR(_xlfn.XLOOKUP($A209,Input_Raw!$A:$A,Input_Raw!$DG:$DG),"")</f>
        <v/>
      </c>
      <c r="O209" s="230" t="str">
        <f>IFERROR(1-(SUMIF(Plant_BD!$B:$B,$A209,Plant_BD!$AL:$AL)/($AA209+SUMIF(Plant_BD!$B:$B,$A209,Plant_BD!$AL:$AL))),"")</f>
        <v/>
      </c>
      <c r="P209" s="230"/>
      <c r="Q209" s="231" t="str">
        <f>IFERROR(1-(SUMIF(Grid_BD!$B:$B,$A209,Grid_BD!$V:$V)/($AA209+SUMIF(Grid_BD!$B:$B,$A209,Grid_BD!$V:$V))),"")</f>
        <v/>
      </c>
      <c r="R209" s="230" t="str">
        <f>IFERROR(1-(SUMIF(Grid_BD!$B:$B,$A209,Grid_BD!$V:$V)/($AA209+SUMIF(Grid_BD!$B:$B,$A209,Grid_BD!$V:$V))),"")</f>
        <v/>
      </c>
      <c r="S209" s="9"/>
      <c r="T209" s="231"/>
      <c r="U209" s="232" t="str">
        <f t="shared" si="16"/>
        <v/>
      </c>
      <c r="V209" s="232" t="str">
        <f>IFERROR(_xlfn.XLOOKUP($A209,Input_Raw!$A:$A,Input_Raw!$FG:$FG),"")</f>
        <v/>
      </c>
      <c r="W209" s="233" t="str">
        <f t="shared" si="17"/>
        <v/>
      </c>
      <c r="X209" s="29" t="str">
        <f>IFERROR(_xlfn.XLOOKUP($A209,Input_Raw!$A:$A,Input_Raw!$DP:$DP),"")</f>
        <v/>
      </c>
      <c r="Y209" s="29" t="str">
        <f>IFERROR(_xlfn.XLOOKUP($A209,Input_Raw!$A:$A,Input_Raw!EW:EW),"")</f>
        <v/>
      </c>
      <c r="Z209" s="29" t="str">
        <f>IFERROR(_xlfn.XLOOKUP($A209,Input_Raw!$A:$A,Input_Raw!EX:EX),"")</f>
        <v/>
      </c>
      <c r="AA209" s="29" t="str">
        <f>IFERROR(_xlfn.XLOOKUP($A209,Input_Raw!$A:$A,Input_Raw!FA:FA),"")</f>
        <v/>
      </c>
      <c r="AB209" s="9" t="str">
        <f>IFERROR(_xlfn.XLOOKUP($A209,Input_Raw!$A:$A,Input_Raw!FD:FD),"")</f>
        <v/>
      </c>
      <c r="AC209" s="185">
        <f>IFERROR(_xlfn.XLOOKUP($D209,'Modelling New'!$D:$D,'Modelling New'!P:P),"")</f>
        <v>5.8258064516129027</v>
      </c>
      <c r="AD209" s="29">
        <f>IFERROR(_xlfn.XLOOKUP($D209,'Modelling New'!$D:$D,'Modelling New'!T:T)*1000,"")</f>
        <v>635344.27609051135</v>
      </c>
      <c r="AE209" s="233">
        <f>IFERROR(_xlfn.XLOOKUP($D209,'Modelling New'!$D:$D,'Modelling New'!O:O),"")</f>
        <v>0.83889907823519261</v>
      </c>
      <c r="AF209" s="233">
        <f>IFERROR(_xlfn.XLOOKUP($D209,'Modelling New'!$D:$D,'Modelling New'!W:W),"")</f>
        <v>0.20363598592644594</v>
      </c>
      <c r="AG209" s="233">
        <f>IFERROR(_xlfn.XLOOKUP($D209,'Modelling New'!$D:$D,'Modelling New'!AE:AE),"")</f>
        <v>0.995</v>
      </c>
      <c r="AH209" s="234">
        <f>IFERROR(_xlfn.XLOOKUP($D209,'Modelling New'!$D:$D,'Modelling New'!AF:AF),"")</f>
        <v>0.995</v>
      </c>
      <c r="AI209" s="9"/>
      <c r="AJ209" s="9"/>
      <c r="AK209" s="258"/>
      <c r="AL209" s="258"/>
      <c r="AM209" s="258"/>
      <c r="AN209" s="235"/>
      <c r="AO209" s="233"/>
      <c r="AP209" s="233"/>
      <c r="AQ209" s="233"/>
      <c r="AR209" s="236">
        <f>_xlfn.XLOOKUP(D209,'Modelling New'!$D:$D,'Modelling New'!$N:$N)</f>
        <v>130</v>
      </c>
      <c r="AS209" s="236" t="str">
        <f t="shared" si="18"/>
        <v/>
      </c>
    </row>
    <row r="210" spans="1:45">
      <c r="A210" s="18">
        <f t="shared" si="19"/>
        <v>45953</v>
      </c>
      <c r="B210" s="29">
        <f>YEAR(Table13[[#This Row],[Date]])+IF(MONTH(Table13[[#This Row],[Date]])&gt;=4,1,0)</f>
        <v>2026</v>
      </c>
      <c r="C210" s="9">
        <f>YEAR(Table13[[#This Row],[Date]])</f>
        <v>2025</v>
      </c>
      <c r="D210" s="229">
        <f>Table13[[#This Row],[Date]]-DAY(Table13[[#This Row],[Date]])+1</f>
        <v>45931</v>
      </c>
      <c r="E210" s="9">
        <f t="shared" si="15"/>
        <v>31</v>
      </c>
      <c r="F210" s="199" t="str">
        <f>IFERROR(_xlfn.XLOOKUP($A210,Input_Raw!$A:$A,Input_Raw!$FC:$FC),"")</f>
        <v/>
      </c>
      <c r="G210" s="200" t="str">
        <f>IFERROR(_xlfn.XLOOKUP($A210,Input_Raw!$A:$A,Input_Raw!$CY:$CY),"")</f>
        <v/>
      </c>
      <c r="H210" s="200" t="str">
        <f>IFERROR(_xlfn.XLOOKUP($A210,Input_Raw!$A:$A,Input_Raw!$DA:$DA),"")</f>
        <v/>
      </c>
      <c r="I210" s="200" t="str">
        <f>IFERROR(_xlfn.XLOOKUP($A210,Input_Raw!$A:$A,Input_Raw!$CX:$CX),"")</f>
        <v/>
      </c>
      <c r="J210" s="200" t="str">
        <f>IFERROR(_xlfn.XLOOKUP($A210,Input_Raw!$A:$A,Input_Raw!$CZ:$CZ),"")</f>
        <v/>
      </c>
      <c r="K210" s="201" t="str">
        <f>IFERROR(_xlfn.XLOOKUP($A210,Input_Raw!$A:$A,Input_Raw!$DB:$DB),"")</f>
        <v/>
      </c>
      <c r="L210" s="201" t="str">
        <f>IFERROR(_xlfn.XLOOKUP($A210,Input_Raw!$A:$A,Input_Raw!$DC:$DC),"")</f>
        <v/>
      </c>
      <c r="M210" s="200" t="str">
        <f>IFERROR(_xlfn.XLOOKUP($A210,Input_Raw!$A:$A,Input_Raw!$DF:$DF),"")</f>
        <v/>
      </c>
      <c r="N210" s="200" t="str">
        <f>IFERROR(_xlfn.XLOOKUP($A210,Input_Raw!$A:$A,Input_Raw!$DG:$DG),"")</f>
        <v/>
      </c>
      <c r="O210" s="230" t="str">
        <f>IFERROR(1-(SUMIF(Plant_BD!$B:$B,$A210,Plant_BD!$AL:$AL)/($AA210+SUMIF(Plant_BD!$B:$B,$A210,Plant_BD!$AL:$AL))),"")</f>
        <v/>
      </c>
      <c r="P210" s="230"/>
      <c r="Q210" s="231" t="str">
        <f>IFERROR(1-(SUMIF(Grid_BD!$B:$B,$A210,Grid_BD!$V:$V)/($AA210+SUMIF(Grid_BD!$B:$B,$A210,Grid_BD!$V:$V))),"")</f>
        <v/>
      </c>
      <c r="R210" s="230" t="str">
        <f>IFERROR(1-(SUMIF(Grid_BD!$B:$B,$A210,Grid_BD!$V:$V)/($AA210+SUMIF(Grid_BD!$B:$B,$A210,Grid_BD!$V:$V))),"")</f>
        <v/>
      </c>
      <c r="S210" s="9"/>
      <c r="T210" s="231"/>
      <c r="U210" s="232" t="str">
        <f t="shared" si="16"/>
        <v/>
      </c>
      <c r="V210" s="232" t="str">
        <f>IFERROR(_xlfn.XLOOKUP($A210,Input_Raw!$A:$A,Input_Raw!$FG:$FG),"")</f>
        <v/>
      </c>
      <c r="W210" s="233" t="str">
        <f t="shared" si="17"/>
        <v/>
      </c>
      <c r="X210" s="29" t="str">
        <f>IFERROR(_xlfn.XLOOKUP($A210,Input_Raw!$A:$A,Input_Raw!$DP:$DP),"")</f>
        <v/>
      </c>
      <c r="Y210" s="29" t="str">
        <f>IFERROR(_xlfn.XLOOKUP($A210,Input_Raw!$A:$A,Input_Raw!EW:EW),"")</f>
        <v/>
      </c>
      <c r="Z210" s="29" t="str">
        <f>IFERROR(_xlfn.XLOOKUP($A210,Input_Raw!$A:$A,Input_Raw!EX:EX),"")</f>
        <v/>
      </c>
      <c r="AA210" s="29" t="str">
        <f>IFERROR(_xlfn.XLOOKUP($A210,Input_Raw!$A:$A,Input_Raw!FA:FA),"")</f>
        <v/>
      </c>
      <c r="AB210" s="9" t="str">
        <f>IFERROR(_xlfn.XLOOKUP($A210,Input_Raw!$A:$A,Input_Raw!FD:FD),"")</f>
        <v/>
      </c>
      <c r="AC210" s="185">
        <f>IFERROR(_xlfn.XLOOKUP($D210,'Modelling New'!$D:$D,'Modelling New'!P:P),"")</f>
        <v>5.8258064516129027</v>
      </c>
      <c r="AD210" s="29">
        <f>IFERROR(_xlfn.XLOOKUP($D210,'Modelling New'!$D:$D,'Modelling New'!T:T)*1000,"")</f>
        <v>635344.27609051135</v>
      </c>
      <c r="AE210" s="233">
        <f>IFERROR(_xlfn.XLOOKUP($D210,'Modelling New'!$D:$D,'Modelling New'!O:O),"")</f>
        <v>0.83889907823519261</v>
      </c>
      <c r="AF210" s="233">
        <f>IFERROR(_xlfn.XLOOKUP($D210,'Modelling New'!$D:$D,'Modelling New'!W:W),"")</f>
        <v>0.20363598592644594</v>
      </c>
      <c r="AG210" s="233">
        <f>IFERROR(_xlfn.XLOOKUP($D210,'Modelling New'!$D:$D,'Modelling New'!AE:AE),"")</f>
        <v>0.995</v>
      </c>
      <c r="AH210" s="234">
        <f>IFERROR(_xlfn.XLOOKUP($D210,'Modelling New'!$D:$D,'Modelling New'!AF:AF),"")</f>
        <v>0.995</v>
      </c>
      <c r="AI210" s="9"/>
      <c r="AJ210" s="9"/>
      <c r="AK210" s="258"/>
      <c r="AL210" s="258"/>
      <c r="AM210" s="258"/>
      <c r="AN210" s="235"/>
      <c r="AO210" s="233"/>
      <c r="AP210" s="233"/>
      <c r="AQ210" s="233"/>
      <c r="AR210" s="236">
        <f>_xlfn.XLOOKUP(D210,'Modelling New'!$D:$D,'Modelling New'!$N:$N)</f>
        <v>130</v>
      </c>
      <c r="AS210" s="236" t="str">
        <f t="shared" si="18"/>
        <v/>
      </c>
    </row>
    <row r="211" spans="1:45">
      <c r="A211" s="18">
        <f t="shared" si="19"/>
        <v>45954</v>
      </c>
      <c r="B211" s="29">
        <f>YEAR(Table13[[#This Row],[Date]])+IF(MONTH(Table13[[#This Row],[Date]])&gt;=4,1,0)</f>
        <v>2026</v>
      </c>
      <c r="C211" s="9">
        <f>YEAR(Table13[[#This Row],[Date]])</f>
        <v>2025</v>
      </c>
      <c r="D211" s="229">
        <f>Table13[[#This Row],[Date]]-DAY(Table13[[#This Row],[Date]])+1</f>
        <v>45931</v>
      </c>
      <c r="E211" s="9">
        <f t="shared" si="15"/>
        <v>31</v>
      </c>
      <c r="F211" s="199" t="str">
        <f>IFERROR(_xlfn.XLOOKUP($A211,Input_Raw!$A:$A,Input_Raw!$FC:$FC),"")</f>
        <v/>
      </c>
      <c r="G211" s="185" t="str">
        <f>IFERROR(_xlfn.XLOOKUP($A211,Input_Raw!$A:$A,Input_Raw!$CY:$CY),"")</f>
        <v/>
      </c>
      <c r="H211" s="185" t="str">
        <f>IFERROR(_xlfn.XLOOKUP($A211,Input_Raw!$A:$A,Input_Raw!$DA:$DA),"")</f>
        <v/>
      </c>
      <c r="I211" s="185" t="str">
        <f>IFERROR(_xlfn.XLOOKUP($A211,Input_Raw!$A:$A,Input_Raw!$CX:$CX),"")</f>
        <v/>
      </c>
      <c r="J211" s="185" t="str">
        <f>IFERROR(_xlfn.XLOOKUP($A211,Input_Raw!$A:$A,Input_Raw!$CZ:$CZ),"")</f>
        <v/>
      </c>
      <c r="K211" s="201" t="str">
        <f>IFERROR(_xlfn.XLOOKUP($A211,Input_Raw!$A:$A,Input_Raw!$DB:$DB),"")</f>
        <v/>
      </c>
      <c r="L211" s="201" t="str">
        <f>IFERROR(_xlfn.XLOOKUP($A211,Input_Raw!$A:$A,Input_Raw!$DC:$DC),"")</f>
        <v/>
      </c>
      <c r="M211" s="200" t="str">
        <f>IFERROR(_xlfn.XLOOKUP($A211,Input_Raw!$A:$A,Input_Raw!$DF:$DF),"")</f>
        <v/>
      </c>
      <c r="N211" s="200" t="str">
        <f>IFERROR(_xlfn.XLOOKUP($A211,Input_Raw!$A:$A,Input_Raw!$DG:$DG),"")</f>
        <v/>
      </c>
      <c r="O211" s="230" t="str">
        <f>IFERROR(1-(SUMIF(Plant_BD!$B:$B,$A211,Plant_BD!$AL:$AL)/($AA211+SUMIF(Plant_BD!$B:$B,$A211,Plant_BD!$AL:$AL))),"")</f>
        <v/>
      </c>
      <c r="P211" s="230"/>
      <c r="Q211" s="231" t="str">
        <f>IFERROR(1-(SUMIF(Grid_BD!$B:$B,$A211,Grid_BD!$V:$V)/($AA211+SUMIF(Grid_BD!$B:$B,$A211,Grid_BD!$V:$V))),"")</f>
        <v/>
      </c>
      <c r="R211" s="230" t="str">
        <f>IFERROR(1-(SUMIF(Grid_BD!$B:$B,$A211,Grid_BD!$V:$V)/($AA211+SUMIF(Grid_BD!$B:$B,$A211,Grid_BD!$V:$V))),"")</f>
        <v/>
      </c>
      <c r="S211" s="9"/>
      <c r="T211" s="231"/>
      <c r="U211" s="232" t="str">
        <f t="shared" si="16"/>
        <v/>
      </c>
      <c r="V211" s="232" t="str">
        <f>IFERROR(_xlfn.XLOOKUP($A211,Input_Raw!$A:$A,Input_Raw!$FG:$FG),"")</f>
        <v/>
      </c>
      <c r="W211" s="233" t="str">
        <f t="shared" si="17"/>
        <v/>
      </c>
      <c r="X211" s="29" t="str">
        <f>IFERROR(_xlfn.XLOOKUP($A211,Input_Raw!$A:$A,Input_Raw!$DP:$DP),"")</f>
        <v/>
      </c>
      <c r="Y211" s="29" t="str">
        <f>IFERROR(_xlfn.XLOOKUP($A211,Input_Raw!$A:$A,Input_Raw!EW:EW),"")</f>
        <v/>
      </c>
      <c r="Z211" s="29" t="str">
        <f>IFERROR(_xlfn.XLOOKUP($A211,Input_Raw!$A:$A,Input_Raw!EX:EX),"")</f>
        <v/>
      </c>
      <c r="AA211" s="29" t="str">
        <f>IFERROR(_xlfn.XLOOKUP($A211,Input_Raw!$A:$A,Input_Raw!FA:FA),"")</f>
        <v/>
      </c>
      <c r="AB211" s="9" t="str">
        <f>IFERROR(_xlfn.XLOOKUP($A211,Input_Raw!$A:$A,Input_Raw!FD:FD),"")</f>
        <v/>
      </c>
      <c r="AC211" s="185">
        <f>IFERROR(_xlfn.XLOOKUP($D211,'Modelling New'!$D:$D,'Modelling New'!P:P),"")</f>
        <v>5.8258064516129027</v>
      </c>
      <c r="AD211" s="29">
        <f>IFERROR(_xlfn.XLOOKUP($D211,'Modelling New'!$D:$D,'Modelling New'!T:T)*1000,"")</f>
        <v>635344.27609051135</v>
      </c>
      <c r="AE211" s="233">
        <f>IFERROR(_xlfn.XLOOKUP($D211,'Modelling New'!$D:$D,'Modelling New'!O:O),"")</f>
        <v>0.83889907823519261</v>
      </c>
      <c r="AF211" s="233">
        <f>IFERROR(_xlfn.XLOOKUP($D211,'Modelling New'!$D:$D,'Modelling New'!W:W),"")</f>
        <v>0.20363598592644594</v>
      </c>
      <c r="AG211" s="233">
        <f>IFERROR(_xlfn.XLOOKUP($D211,'Modelling New'!$D:$D,'Modelling New'!AE:AE),"")</f>
        <v>0.995</v>
      </c>
      <c r="AH211" s="234">
        <f>IFERROR(_xlfn.XLOOKUP($D211,'Modelling New'!$D:$D,'Modelling New'!AF:AF),"")</f>
        <v>0.995</v>
      </c>
      <c r="AI211" s="9"/>
      <c r="AJ211" s="9"/>
      <c r="AK211" s="258"/>
      <c r="AL211" s="258"/>
      <c r="AM211" s="258"/>
      <c r="AN211" s="235"/>
      <c r="AO211" s="233"/>
      <c r="AP211" s="233"/>
      <c r="AQ211" s="233"/>
      <c r="AR211" s="236">
        <f>_xlfn.XLOOKUP(D211,'Modelling New'!$D:$D,'Modelling New'!$N:$N)</f>
        <v>130</v>
      </c>
      <c r="AS211" s="236" t="str">
        <f t="shared" si="18"/>
        <v/>
      </c>
    </row>
    <row r="212" spans="1:45">
      <c r="A212" s="18">
        <f t="shared" si="19"/>
        <v>45955</v>
      </c>
      <c r="B212" s="29">
        <f>YEAR(Table13[[#This Row],[Date]])+IF(MONTH(Table13[[#This Row],[Date]])&gt;=4,1,0)</f>
        <v>2026</v>
      </c>
      <c r="C212" s="9">
        <f>YEAR(Table13[[#This Row],[Date]])</f>
        <v>2025</v>
      </c>
      <c r="D212" s="229">
        <f>Table13[[#This Row],[Date]]-DAY(Table13[[#This Row],[Date]])+1</f>
        <v>45931</v>
      </c>
      <c r="E212" s="9">
        <f t="shared" si="15"/>
        <v>31</v>
      </c>
      <c r="F212" s="199" t="str">
        <f>IFERROR(_xlfn.XLOOKUP($A212,Input_Raw!$A:$A,Input_Raw!$FC:$FC),"")</f>
        <v/>
      </c>
      <c r="G212" s="200" t="str">
        <f>IFERROR(_xlfn.XLOOKUP($A212,Input_Raw!$A:$A,Input_Raw!$CY:$CY),"")</f>
        <v/>
      </c>
      <c r="H212" s="200" t="str">
        <f>IFERROR(_xlfn.XLOOKUP($A212,Input_Raw!$A:$A,Input_Raw!$DA:$DA),"")</f>
        <v/>
      </c>
      <c r="I212" s="200" t="str">
        <f>IFERROR(_xlfn.XLOOKUP($A212,Input_Raw!$A:$A,Input_Raw!$CX:$CX),"")</f>
        <v/>
      </c>
      <c r="J212" s="200" t="str">
        <f>IFERROR(_xlfn.XLOOKUP($A212,Input_Raw!$A:$A,Input_Raw!$CZ:$CZ),"")</f>
        <v/>
      </c>
      <c r="K212" s="201" t="str">
        <f>IFERROR(_xlfn.XLOOKUP($A212,Input_Raw!$A:$A,Input_Raw!$DB:$DB),"")</f>
        <v/>
      </c>
      <c r="L212" s="201" t="str">
        <f>IFERROR(_xlfn.XLOOKUP($A212,Input_Raw!$A:$A,Input_Raw!$DC:$DC),"")</f>
        <v/>
      </c>
      <c r="M212" s="200" t="str">
        <f>IFERROR(_xlfn.XLOOKUP($A212,Input_Raw!$A:$A,Input_Raw!$DF:$DF),"")</f>
        <v/>
      </c>
      <c r="N212" s="200" t="str">
        <f>IFERROR(_xlfn.XLOOKUP($A212,Input_Raw!$A:$A,Input_Raw!$DG:$DG),"")</f>
        <v/>
      </c>
      <c r="O212" s="230" t="str">
        <f>IFERROR(1-(SUMIF(Plant_BD!$B:$B,$A212,Plant_BD!$AL:$AL)/($AA212+SUMIF(Plant_BD!$B:$B,$A212,Plant_BD!$AL:$AL))),"")</f>
        <v/>
      </c>
      <c r="P212" s="230"/>
      <c r="Q212" s="231" t="str">
        <f>IFERROR(1-(SUMIF(Grid_BD!$B:$B,$A212,Grid_BD!$V:$V)/($AA212+SUMIF(Grid_BD!$B:$B,$A212,Grid_BD!$V:$V))),"")</f>
        <v/>
      </c>
      <c r="R212" s="230" t="str">
        <f>IFERROR(1-(SUMIF(Grid_BD!$B:$B,$A212,Grid_BD!$V:$V)/($AA212+SUMIF(Grid_BD!$B:$B,$A212,Grid_BD!$V:$V))),"")</f>
        <v/>
      </c>
      <c r="S212" s="9"/>
      <c r="T212" s="231"/>
      <c r="U212" s="232" t="str">
        <f t="shared" si="16"/>
        <v/>
      </c>
      <c r="V212" s="232" t="str">
        <f>IFERROR(_xlfn.XLOOKUP($A212,Input_Raw!$A:$A,Input_Raw!$FG:$FG),"")</f>
        <v/>
      </c>
      <c r="W212" s="233" t="str">
        <f t="shared" si="17"/>
        <v/>
      </c>
      <c r="X212" s="29" t="str">
        <f>IFERROR(_xlfn.XLOOKUP($A212,Input_Raw!$A:$A,Input_Raw!$DP:$DP),"")</f>
        <v/>
      </c>
      <c r="Y212" s="29" t="str">
        <f>IFERROR(_xlfn.XLOOKUP($A212,Input_Raw!$A:$A,Input_Raw!EW:EW),"")</f>
        <v/>
      </c>
      <c r="Z212" s="29" t="str">
        <f>IFERROR(_xlfn.XLOOKUP($A212,Input_Raw!$A:$A,Input_Raw!EX:EX),"")</f>
        <v/>
      </c>
      <c r="AA212" s="29" t="str">
        <f>IFERROR(_xlfn.XLOOKUP($A212,Input_Raw!$A:$A,Input_Raw!FA:FA),"")</f>
        <v/>
      </c>
      <c r="AB212" s="9" t="str">
        <f>IFERROR(_xlfn.XLOOKUP($A212,Input_Raw!$A:$A,Input_Raw!FD:FD),"")</f>
        <v/>
      </c>
      <c r="AC212" s="185">
        <f>IFERROR(_xlfn.XLOOKUP($D212,'Modelling New'!$D:$D,'Modelling New'!P:P),"")</f>
        <v>5.8258064516129027</v>
      </c>
      <c r="AD212" s="29">
        <f>IFERROR(_xlfn.XLOOKUP($D212,'Modelling New'!$D:$D,'Modelling New'!T:T)*1000,"")</f>
        <v>635344.27609051135</v>
      </c>
      <c r="AE212" s="233">
        <f>IFERROR(_xlfn.XLOOKUP($D212,'Modelling New'!$D:$D,'Modelling New'!O:O),"")</f>
        <v>0.83889907823519261</v>
      </c>
      <c r="AF212" s="233">
        <f>IFERROR(_xlfn.XLOOKUP($D212,'Modelling New'!$D:$D,'Modelling New'!W:W),"")</f>
        <v>0.20363598592644594</v>
      </c>
      <c r="AG212" s="233">
        <f>IFERROR(_xlfn.XLOOKUP($D212,'Modelling New'!$D:$D,'Modelling New'!AE:AE),"")</f>
        <v>0.995</v>
      </c>
      <c r="AH212" s="234">
        <f>IFERROR(_xlfn.XLOOKUP($D212,'Modelling New'!$D:$D,'Modelling New'!AF:AF),"")</f>
        <v>0.995</v>
      </c>
      <c r="AI212" s="9"/>
      <c r="AJ212" s="9"/>
      <c r="AK212" s="258"/>
      <c r="AL212" s="258"/>
      <c r="AM212" s="258"/>
      <c r="AN212" s="235"/>
      <c r="AO212" s="233"/>
      <c r="AP212" s="233"/>
      <c r="AQ212" s="233"/>
      <c r="AR212" s="236">
        <f>_xlfn.XLOOKUP(D212,'Modelling New'!$D:$D,'Modelling New'!$N:$N)</f>
        <v>130</v>
      </c>
      <c r="AS212" s="236" t="str">
        <f t="shared" si="18"/>
        <v/>
      </c>
    </row>
    <row r="213" spans="1:45">
      <c r="A213" s="18">
        <f t="shared" si="19"/>
        <v>45956</v>
      </c>
      <c r="B213" s="29">
        <f>YEAR(Table13[[#This Row],[Date]])+IF(MONTH(Table13[[#This Row],[Date]])&gt;=4,1,0)</f>
        <v>2026</v>
      </c>
      <c r="C213" s="9">
        <f>YEAR(Table13[[#This Row],[Date]])</f>
        <v>2025</v>
      </c>
      <c r="D213" s="229">
        <f>Table13[[#This Row],[Date]]-DAY(Table13[[#This Row],[Date]])+1</f>
        <v>45931</v>
      </c>
      <c r="E213" s="9">
        <f t="shared" si="15"/>
        <v>31</v>
      </c>
      <c r="F213" s="199" t="str">
        <f>IFERROR(_xlfn.XLOOKUP($A213,Input_Raw!$A:$A,Input_Raw!$FC:$FC),"")</f>
        <v/>
      </c>
      <c r="G213" s="185" t="str">
        <f>IFERROR(_xlfn.XLOOKUP($A213,Input_Raw!$A:$A,Input_Raw!$CY:$CY),"")</f>
        <v/>
      </c>
      <c r="H213" s="185" t="str">
        <f>IFERROR(_xlfn.XLOOKUP($A213,Input_Raw!$A:$A,Input_Raw!$DA:$DA),"")</f>
        <v/>
      </c>
      <c r="I213" s="185" t="str">
        <f>IFERROR(_xlfn.XLOOKUP($A213,Input_Raw!$A:$A,Input_Raw!$CX:$CX),"")</f>
        <v/>
      </c>
      <c r="J213" s="185" t="str">
        <f>IFERROR(_xlfn.XLOOKUP($A213,Input_Raw!$A:$A,Input_Raw!$CZ:$CZ),"")</f>
        <v/>
      </c>
      <c r="K213" s="201" t="str">
        <f>IFERROR(_xlfn.XLOOKUP($A213,Input_Raw!$A:$A,Input_Raw!$DB:$DB),"")</f>
        <v/>
      </c>
      <c r="L213" s="201" t="str">
        <f>IFERROR(_xlfn.XLOOKUP($A213,Input_Raw!$A:$A,Input_Raw!$DC:$DC),"")</f>
        <v/>
      </c>
      <c r="M213" s="200" t="str">
        <f>IFERROR(_xlfn.XLOOKUP($A213,Input_Raw!$A:$A,Input_Raw!$DF:$DF),"")</f>
        <v/>
      </c>
      <c r="N213" s="200" t="str">
        <f>IFERROR(_xlfn.XLOOKUP($A213,Input_Raw!$A:$A,Input_Raw!$DG:$DG),"")</f>
        <v/>
      </c>
      <c r="O213" s="230" t="str">
        <f>IFERROR(1-(SUMIF(Plant_BD!$B:$B,$A213,Plant_BD!$AL:$AL)/($AA213+SUMIF(Plant_BD!$B:$B,$A213,Plant_BD!$AL:$AL))),"")</f>
        <v/>
      </c>
      <c r="P213" s="230"/>
      <c r="Q213" s="231" t="str">
        <f>IFERROR(1-(SUMIF(Grid_BD!$B:$B,$A213,Grid_BD!$V:$V)/($AA213+SUMIF(Grid_BD!$B:$B,$A213,Grid_BD!$V:$V))),"")</f>
        <v/>
      </c>
      <c r="R213" s="230" t="str">
        <f>IFERROR(1-(SUMIF(Grid_BD!$B:$B,$A213,Grid_BD!$V:$V)/($AA213+SUMIF(Grid_BD!$B:$B,$A213,Grid_BD!$V:$V))),"")</f>
        <v/>
      </c>
      <c r="S213" s="9"/>
      <c r="T213" s="231"/>
      <c r="U213" s="232" t="str">
        <f t="shared" si="16"/>
        <v/>
      </c>
      <c r="V213" s="232" t="str">
        <f>IFERROR(_xlfn.XLOOKUP($A213,Input_Raw!$A:$A,Input_Raw!$FG:$FG),"")</f>
        <v/>
      </c>
      <c r="W213" s="233" t="str">
        <f t="shared" si="17"/>
        <v/>
      </c>
      <c r="X213" s="29" t="str">
        <f>IFERROR(_xlfn.XLOOKUP($A213,Input_Raw!$A:$A,Input_Raw!$DP:$DP),"")</f>
        <v/>
      </c>
      <c r="Y213" s="29" t="str">
        <f>IFERROR(_xlfn.XLOOKUP($A213,Input_Raw!$A:$A,Input_Raw!EW:EW),"")</f>
        <v/>
      </c>
      <c r="Z213" s="29" t="str">
        <f>IFERROR(_xlfn.XLOOKUP($A213,Input_Raw!$A:$A,Input_Raw!EX:EX),"")</f>
        <v/>
      </c>
      <c r="AA213" s="29" t="str">
        <f>IFERROR(_xlfn.XLOOKUP($A213,Input_Raw!$A:$A,Input_Raw!FA:FA),"")</f>
        <v/>
      </c>
      <c r="AB213" s="9" t="str">
        <f>IFERROR(_xlfn.XLOOKUP($A213,Input_Raw!$A:$A,Input_Raw!FD:FD),"")</f>
        <v/>
      </c>
      <c r="AC213" s="185">
        <f>IFERROR(_xlfn.XLOOKUP($D213,'Modelling New'!$D:$D,'Modelling New'!P:P),"")</f>
        <v>5.8258064516129027</v>
      </c>
      <c r="AD213" s="29">
        <f>IFERROR(_xlfn.XLOOKUP($D213,'Modelling New'!$D:$D,'Modelling New'!T:T)*1000,"")</f>
        <v>635344.27609051135</v>
      </c>
      <c r="AE213" s="233">
        <f>IFERROR(_xlfn.XLOOKUP($D213,'Modelling New'!$D:$D,'Modelling New'!O:O),"")</f>
        <v>0.83889907823519261</v>
      </c>
      <c r="AF213" s="233">
        <f>IFERROR(_xlfn.XLOOKUP($D213,'Modelling New'!$D:$D,'Modelling New'!W:W),"")</f>
        <v>0.20363598592644594</v>
      </c>
      <c r="AG213" s="233">
        <f>IFERROR(_xlfn.XLOOKUP($D213,'Modelling New'!$D:$D,'Modelling New'!AE:AE),"")</f>
        <v>0.995</v>
      </c>
      <c r="AH213" s="234">
        <f>IFERROR(_xlfn.XLOOKUP($D213,'Modelling New'!$D:$D,'Modelling New'!AF:AF),"")</f>
        <v>0.995</v>
      </c>
      <c r="AI213" s="9"/>
      <c r="AJ213" s="9"/>
      <c r="AK213" s="258"/>
      <c r="AL213" s="258"/>
      <c r="AM213" s="258"/>
      <c r="AN213" s="235"/>
      <c r="AO213" s="233"/>
      <c r="AP213" s="233"/>
      <c r="AQ213" s="233"/>
      <c r="AR213" s="236">
        <f>_xlfn.XLOOKUP(D213,'Modelling New'!$D:$D,'Modelling New'!$N:$N)</f>
        <v>130</v>
      </c>
      <c r="AS213" s="236" t="str">
        <f t="shared" si="18"/>
        <v/>
      </c>
    </row>
    <row r="214" spans="1:45">
      <c r="A214" s="18">
        <f t="shared" si="19"/>
        <v>45957</v>
      </c>
      <c r="B214" s="29">
        <f>YEAR(Table13[[#This Row],[Date]])+IF(MONTH(Table13[[#This Row],[Date]])&gt;=4,1,0)</f>
        <v>2026</v>
      </c>
      <c r="C214" s="9">
        <f>YEAR(Table13[[#This Row],[Date]])</f>
        <v>2025</v>
      </c>
      <c r="D214" s="229">
        <f>Table13[[#This Row],[Date]]-DAY(Table13[[#This Row],[Date]])+1</f>
        <v>45931</v>
      </c>
      <c r="E214" s="9">
        <f t="shared" si="15"/>
        <v>31</v>
      </c>
      <c r="F214" s="199" t="str">
        <f>IFERROR(_xlfn.XLOOKUP($A214,Input_Raw!$A:$A,Input_Raw!$FC:$FC),"")</f>
        <v/>
      </c>
      <c r="G214" s="200" t="str">
        <f>IFERROR(_xlfn.XLOOKUP($A214,Input_Raw!$A:$A,Input_Raw!$CY:$CY),"")</f>
        <v/>
      </c>
      <c r="H214" s="200" t="str">
        <f>IFERROR(_xlfn.XLOOKUP($A214,Input_Raw!$A:$A,Input_Raw!$DA:$DA),"")</f>
        <v/>
      </c>
      <c r="I214" s="200" t="str">
        <f>IFERROR(_xlfn.XLOOKUP($A214,Input_Raw!$A:$A,Input_Raw!$CX:$CX),"")</f>
        <v/>
      </c>
      <c r="J214" s="200" t="str">
        <f>IFERROR(_xlfn.XLOOKUP($A214,Input_Raw!$A:$A,Input_Raw!$CZ:$CZ),"")</f>
        <v/>
      </c>
      <c r="K214" s="201" t="str">
        <f>IFERROR(_xlfn.XLOOKUP($A214,Input_Raw!$A:$A,Input_Raw!$DB:$DB),"")</f>
        <v/>
      </c>
      <c r="L214" s="201" t="str">
        <f>IFERROR(_xlfn.XLOOKUP($A214,Input_Raw!$A:$A,Input_Raw!$DC:$DC),"")</f>
        <v/>
      </c>
      <c r="M214" s="200" t="str">
        <f>IFERROR(_xlfn.XLOOKUP($A214,Input_Raw!$A:$A,Input_Raw!$DF:$DF),"")</f>
        <v/>
      </c>
      <c r="N214" s="200" t="str">
        <f>IFERROR(_xlfn.XLOOKUP($A214,Input_Raw!$A:$A,Input_Raw!$DG:$DG),"")</f>
        <v/>
      </c>
      <c r="O214" s="230" t="str">
        <f>IFERROR(1-(SUMIF(Plant_BD!$B:$B,$A214,Plant_BD!$AL:$AL)/($AA214+SUMIF(Plant_BD!$B:$B,$A214,Plant_BD!$AL:$AL))),"")</f>
        <v/>
      </c>
      <c r="P214" s="230"/>
      <c r="Q214" s="231" t="str">
        <f>IFERROR(1-(SUMIF(Grid_BD!$B:$B,$A214,Grid_BD!$V:$V)/($AA214+SUMIF(Grid_BD!$B:$B,$A214,Grid_BD!$V:$V))),"")</f>
        <v/>
      </c>
      <c r="R214" s="230" t="str">
        <f>IFERROR(1-(SUMIF(Grid_BD!$B:$B,$A214,Grid_BD!$V:$V)/($AA214+SUMIF(Grid_BD!$B:$B,$A214,Grid_BD!$V:$V))),"")</f>
        <v/>
      </c>
      <c r="S214" s="9"/>
      <c r="T214" s="231"/>
      <c r="U214" s="232" t="str">
        <f t="shared" si="16"/>
        <v/>
      </c>
      <c r="V214" s="232" t="str">
        <f>IFERROR(_xlfn.XLOOKUP($A214,Input_Raw!$A:$A,Input_Raw!$FG:$FG),"")</f>
        <v/>
      </c>
      <c r="W214" s="233" t="str">
        <f t="shared" si="17"/>
        <v/>
      </c>
      <c r="X214" s="29" t="str">
        <f>IFERROR(_xlfn.XLOOKUP($A214,Input_Raw!$A:$A,Input_Raw!$DP:$DP),"")</f>
        <v/>
      </c>
      <c r="Y214" s="29" t="str">
        <f>IFERROR(_xlfn.XLOOKUP($A214,Input_Raw!$A:$A,Input_Raw!EW:EW),"")</f>
        <v/>
      </c>
      <c r="Z214" s="29" t="str">
        <f>IFERROR(_xlfn.XLOOKUP($A214,Input_Raw!$A:$A,Input_Raw!EX:EX),"")</f>
        <v/>
      </c>
      <c r="AA214" s="29" t="str">
        <f>IFERROR(_xlfn.XLOOKUP($A214,Input_Raw!$A:$A,Input_Raw!FA:FA),"")</f>
        <v/>
      </c>
      <c r="AB214" s="9" t="str">
        <f>IFERROR(_xlfn.XLOOKUP($A214,Input_Raw!$A:$A,Input_Raw!FD:FD),"")</f>
        <v/>
      </c>
      <c r="AC214" s="185">
        <f>IFERROR(_xlfn.XLOOKUP($D214,'Modelling New'!$D:$D,'Modelling New'!P:P),"")</f>
        <v>5.8258064516129027</v>
      </c>
      <c r="AD214" s="29">
        <f>IFERROR(_xlfn.XLOOKUP($D214,'Modelling New'!$D:$D,'Modelling New'!T:T)*1000,"")</f>
        <v>635344.27609051135</v>
      </c>
      <c r="AE214" s="233">
        <f>IFERROR(_xlfn.XLOOKUP($D214,'Modelling New'!$D:$D,'Modelling New'!O:O),"")</f>
        <v>0.83889907823519261</v>
      </c>
      <c r="AF214" s="233">
        <f>IFERROR(_xlfn.XLOOKUP($D214,'Modelling New'!$D:$D,'Modelling New'!W:W),"")</f>
        <v>0.20363598592644594</v>
      </c>
      <c r="AG214" s="233">
        <f>IFERROR(_xlfn.XLOOKUP($D214,'Modelling New'!$D:$D,'Modelling New'!AE:AE),"")</f>
        <v>0.995</v>
      </c>
      <c r="AH214" s="234">
        <f>IFERROR(_xlfn.XLOOKUP($D214,'Modelling New'!$D:$D,'Modelling New'!AF:AF),"")</f>
        <v>0.995</v>
      </c>
      <c r="AI214" s="9"/>
      <c r="AJ214" s="9"/>
      <c r="AK214" s="258"/>
      <c r="AL214" s="258"/>
      <c r="AM214" s="258"/>
      <c r="AN214" s="235"/>
      <c r="AO214" s="233"/>
      <c r="AP214" s="233"/>
      <c r="AQ214" s="233"/>
      <c r="AR214" s="236">
        <f>_xlfn.XLOOKUP(D214,'Modelling New'!$D:$D,'Modelling New'!$N:$N)</f>
        <v>130</v>
      </c>
      <c r="AS214" s="236" t="str">
        <f t="shared" si="18"/>
        <v/>
      </c>
    </row>
    <row r="215" spans="1:45">
      <c r="A215" s="18">
        <f t="shared" si="19"/>
        <v>45958</v>
      </c>
      <c r="B215" s="29">
        <f>YEAR(Table13[[#This Row],[Date]])+IF(MONTH(Table13[[#This Row],[Date]])&gt;=4,1,0)</f>
        <v>2026</v>
      </c>
      <c r="C215" s="9">
        <f>YEAR(Table13[[#This Row],[Date]])</f>
        <v>2025</v>
      </c>
      <c r="D215" s="229">
        <f>Table13[[#This Row],[Date]]-DAY(Table13[[#This Row],[Date]])+1</f>
        <v>45931</v>
      </c>
      <c r="E215" s="9">
        <f t="shared" si="15"/>
        <v>31</v>
      </c>
      <c r="F215" s="199" t="str">
        <f>IFERROR(_xlfn.XLOOKUP($A215,Input_Raw!$A:$A,Input_Raw!$FC:$FC),"")</f>
        <v/>
      </c>
      <c r="G215" s="185" t="str">
        <f>IFERROR(_xlfn.XLOOKUP($A215,Input_Raw!$A:$A,Input_Raw!$CY:$CY),"")</f>
        <v/>
      </c>
      <c r="H215" s="185" t="str">
        <f>IFERROR(_xlfn.XLOOKUP($A215,Input_Raw!$A:$A,Input_Raw!$DA:$DA),"")</f>
        <v/>
      </c>
      <c r="I215" s="185" t="str">
        <f>IFERROR(_xlfn.XLOOKUP($A215,Input_Raw!$A:$A,Input_Raw!$CX:$CX),"")</f>
        <v/>
      </c>
      <c r="J215" s="185" t="str">
        <f>IFERROR(_xlfn.XLOOKUP($A215,Input_Raw!$A:$A,Input_Raw!$CZ:$CZ),"")</f>
        <v/>
      </c>
      <c r="K215" s="201" t="str">
        <f>IFERROR(_xlfn.XLOOKUP($A215,Input_Raw!$A:$A,Input_Raw!$DB:$DB),"")</f>
        <v/>
      </c>
      <c r="L215" s="201" t="str">
        <f>IFERROR(_xlfn.XLOOKUP($A215,Input_Raw!$A:$A,Input_Raw!$DC:$DC),"")</f>
        <v/>
      </c>
      <c r="M215" s="200" t="str">
        <f>IFERROR(_xlfn.XLOOKUP($A215,Input_Raw!$A:$A,Input_Raw!$DF:$DF),"")</f>
        <v/>
      </c>
      <c r="N215" s="200" t="str">
        <f>IFERROR(_xlfn.XLOOKUP($A215,Input_Raw!$A:$A,Input_Raw!$DG:$DG),"")</f>
        <v/>
      </c>
      <c r="O215" s="230" t="str">
        <f>IFERROR(1-(SUMIF(Plant_BD!$B:$B,$A215,Plant_BD!$AL:$AL)/($AA215+SUMIF(Plant_BD!$B:$B,$A215,Plant_BD!$AL:$AL))),"")</f>
        <v/>
      </c>
      <c r="P215" s="230"/>
      <c r="Q215" s="231" t="str">
        <f>IFERROR(1-(SUMIF(Grid_BD!$B:$B,$A215,Grid_BD!$V:$V)/($AA215+SUMIF(Grid_BD!$B:$B,$A215,Grid_BD!$V:$V))),"")</f>
        <v/>
      </c>
      <c r="R215" s="230" t="str">
        <f>IFERROR(1-(SUMIF(Grid_BD!$B:$B,$A215,Grid_BD!$V:$V)/($AA215+SUMIF(Grid_BD!$B:$B,$A215,Grid_BD!$V:$V))),"")</f>
        <v/>
      </c>
      <c r="S215" s="9"/>
      <c r="T215" s="231"/>
      <c r="U215" s="232" t="str">
        <f t="shared" si="16"/>
        <v/>
      </c>
      <c r="V215" s="232" t="str">
        <f>IFERROR(_xlfn.XLOOKUP($A215,Input_Raw!$A:$A,Input_Raw!$FG:$FG),"")</f>
        <v/>
      </c>
      <c r="W215" s="233" t="str">
        <f t="shared" si="17"/>
        <v/>
      </c>
      <c r="X215" s="29" t="str">
        <f>IFERROR(_xlfn.XLOOKUP($A215,Input_Raw!$A:$A,Input_Raw!$DP:$DP),"")</f>
        <v/>
      </c>
      <c r="Y215" s="29" t="str">
        <f>IFERROR(_xlfn.XLOOKUP($A215,Input_Raw!$A:$A,Input_Raw!EW:EW),"")</f>
        <v/>
      </c>
      <c r="Z215" s="29" t="str">
        <f>IFERROR(_xlfn.XLOOKUP($A215,Input_Raw!$A:$A,Input_Raw!EX:EX),"")</f>
        <v/>
      </c>
      <c r="AA215" s="29" t="str">
        <f>IFERROR(_xlfn.XLOOKUP($A215,Input_Raw!$A:$A,Input_Raw!FA:FA),"")</f>
        <v/>
      </c>
      <c r="AB215" s="9" t="str">
        <f>IFERROR(_xlfn.XLOOKUP($A215,Input_Raw!$A:$A,Input_Raw!FD:FD),"")</f>
        <v/>
      </c>
      <c r="AC215" s="185">
        <f>IFERROR(_xlfn.XLOOKUP($D215,'Modelling New'!$D:$D,'Modelling New'!P:P),"")</f>
        <v>5.8258064516129027</v>
      </c>
      <c r="AD215" s="29">
        <f>IFERROR(_xlfn.XLOOKUP($D215,'Modelling New'!$D:$D,'Modelling New'!T:T)*1000,"")</f>
        <v>635344.27609051135</v>
      </c>
      <c r="AE215" s="233">
        <f>IFERROR(_xlfn.XLOOKUP($D215,'Modelling New'!$D:$D,'Modelling New'!O:O),"")</f>
        <v>0.83889907823519261</v>
      </c>
      <c r="AF215" s="233">
        <f>IFERROR(_xlfn.XLOOKUP($D215,'Modelling New'!$D:$D,'Modelling New'!W:W),"")</f>
        <v>0.20363598592644594</v>
      </c>
      <c r="AG215" s="233">
        <f>IFERROR(_xlfn.XLOOKUP($D215,'Modelling New'!$D:$D,'Modelling New'!AE:AE),"")</f>
        <v>0.995</v>
      </c>
      <c r="AH215" s="234">
        <f>IFERROR(_xlfn.XLOOKUP($D215,'Modelling New'!$D:$D,'Modelling New'!AF:AF),"")</f>
        <v>0.995</v>
      </c>
      <c r="AI215" s="9"/>
      <c r="AJ215" s="9"/>
      <c r="AK215" s="258"/>
      <c r="AL215" s="258"/>
      <c r="AM215" s="258"/>
      <c r="AN215" s="235"/>
      <c r="AO215" s="233"/>
      <c r="AP215" s="233"/>
      <c r="AQ215" s="233"/>
      <c r="AR215" s="236">
        <f>_xlfn.XLOOKUP(D215,'Modelling New'!$D:$D,'Modelling New'!$N:$N)</f>
        <v>130</v>
      </c>
      <c r="AS215" s="236" t="str">
        <f t="shared" si="18"/>
        <v/>
      </c>
    </row>
    <row r="216" spans="1:45">
      <c r="A216" s="18">
        <f t="shared" si="19"/>
        <v>45959</v>
      </c>
      <c r="B216" s="29">
        <f>YEAR(Table13[[#This Row],[Date]])+IF(MONTH(Table13[[#This Row],[Date]])&gt;=4,1,0)</f>
        <v>2026</v>
      </c>
      <c r="C216" s="9">
        <f>YEAR(Table13[[#This Row],[Date]])</f>
        <v>2025</v>
      </c>
      <c r="D216" s="229">
        <f>Table13[[#This Row],[Date]]-DAY(Table13[[#This Row],[Date]])+1</f>
        <v>45931</v>
      </c>
      <c r="E216" s="9">
        <f t="shared" si="15"/>
        <v>31</v>
      </c>
      <c r="F216" s="199" t="str">
        <f>IFERROR(_xlfn.XLOOKUP($A216,Input_Raw!$A:$A,Input_Raw!$FC:$FC),"")</f>
        <v/>
      </c>
      <c r="G216" s="200" t="str">
        <f>IFERROR(_xlfn.XLOOKUP($A216,Input_Raw!$A:$A,Input_Raw!$CY:$CY),"")</f>
        <v/>
      </c>
      <c r="H216" s="200" t="str">
        <f>IFERROR(_xlfn.XLOOKUP($A216,Input_Raw!$A:$A,Input_Raw!$DA:$DA),"")</f>
        <v/>
      </c>
      <c r="I216" s="200" t="str">
        <f>IFERROR(_xlfn.XLOOKUP($A216,Input_Raw!$A:$A,Input_Raw!$CX:$CX),"")</f>
        <v/>
      </c>
      <c r="J216" s="200" t="str">
        <f>IFERROR(_xlfn.XLOOKUP($A216,Input_Raw!$A:$A,Input_Raw!$CZ:$CZ),"")</f>
        <v/>
      </c>
      <c r="K216" s="201" t="str">
        <f>IFERROR(_xlfn.XLOOKUP($A216,Input_Raw!$A:$A,Input_Raw!$DB:$DB),"")</f>
        <v/>
      </c>
      <c r="L216" s="201" t="str">
        <f>IFERROR(_xlfn.XLOOKUP($A216,Input_Raw!$A:$A,Input_Raw!$DC:$DC),"")</f>
        <v/>
      </c>
      <c r="M216" s="200" t="str">
        <f>IFERROR(_xlfn.XLOOKUP($A216,Input_Raw!$A:$A,Input_Raw!$DF:$DF),"")</f>
        <v/>
      </c>
      <c r="N216" s="200" t="str">
        <f>IFERROR(_xlfn.XLOOKUP($A216,Input_Raw!$A:$A,Input_Raw!$DG:$DG),"")</f>
        <v/>
      </c>
      <c r="O216" s="230" t="str">
        <f>IFERROR(1-(SUMIF(Plant_BD!$B:$B,$A216,Plant_BD!$AL:$AL)/($AA216+SUMIF(Plant_BD!$B:$B,$A216,Plant_BD!$AL:$AL))),"")</f>
        <v/>
      </c>
      <c r="P216" s="230"/>
      <c r="Q216" s="231" t="str">
        <f>IFERROR(1-(SUMIF(Grid_BD!$B:$B,$A216,Grid_BD!$V:$V)/($AA216+SUMIF(Grid_BD!$B:$B,$A216,Grid_BD!$V:$V))),"")</f>
        <v/>
      </c>
      <c r="R216" s="230" t="str">
        <f>IFERROR(1-(SUMIF(Grid_BD!$B:$B,$A216,Grid_BD!$V:$V)/($AA216+SUMIF(Grid_BD!$B:$B,$A216,Grid_BD!$V:$V))),"")</f>
        <v/>
      </c>
      <c r="S216" s="9"/>
      <c r="T216" s="231"/>
      <c r="U216" s="232" t="str">
        <f t="shared" si="16"/>
        <v/>
      </c>
      <c r="V216" s="232" t="str">
        <f>IFERROR(_xlfn.XLOOKUP($A216,Input_Raw!$A:$A,Input_Raw!$FG:$FG),"")</f>
        <v/>
      </c>
      <c r="W216" s="233" t="str">
        <f t="shared" si="17"/>
        <v/>
      </c>
      <c r="X216" s="29" t="str">
        <f>IFERROR(_xlfn.XLOOKUP($A216,Input_Raw!$A:$A,Input_Raw!$DP:$DP),"")</f>
        <v/>
      </c>
      <c r="Y216" s="29" t="str">
        <f>IFERROR(_xlfn.XLOOKUP($A216,Input_Raw!$A:$A,Input_Raw!EW:EW),"")</f>
        <v/>
      </c>
      <c r="Z216" s="29" t="str">
        <f>IFERROR(_xlfn.XLOOKUP($A216,Input_Raw!$A:$A,Input_Raw!EX:EX),"")</f>
        <v/>
      </c>
      <c r="AA216" s="29" t="str">
        <f>IFERROR(_xlfn.XLOOKUP($A216,Input_Raw!$A:$A,Input_Raw!FA:FA),"")</f>
        <v/>
      </c>
      <c r="AB216" s="9" t="str">
        <f>IFERROR(_xlfn.XLOOKUP($A216,Input_Raw!$A:$A,Input_Raw!FD:FD),"")</f>
        <v/>
      </c>
      <c r="AC216" s="185">
        <f>IFERROR(_xlfn.XLOOKUP($D216,'Modelling New'!$D:$D,'Modelling New'!P:P),"")</f>
        <v>5.8258064516129027</v>
      </c>
      <c r="AD216" s="29">
        <f>IFERROR(_xlfn.XLOOKUP($D216,'Modelling New'!$D:$D,'Modelling New'!T:T)*1000,"")</f>
        <v>635344.27609051135</v>
      </c>
      <c r="AE216" s="233">
        <f>IFERROR(_xlfn.XLOOKUP($D216,'Modelling New'!$D:$D,'Modelling New'!O:O),"")</f>
        <v>0.83889907823519261</v>
      </c>
      <c r="AF216" s="233">
        <f>IFERROR(_xlfn.XLOOKUP($D216,'Modelling New'!$D:$D,'Modelling New'!W:W),"")</f>
        <v>0.20363598592644594</v>
      </c>
      <c r="AG216" s="233">
        <f>IFERROR(_xlfn.XLOOKUP($D216,'Modelling New'!$D:$D,'Modelling New'!AE:AE),"")</f>
        <v>0.995</v>
      </c>
      <c r="AH216" s="234">
        <f>IFERROR(_xlfn.XLOOKUP($D216,'Modelling New'!$D:$D,'Modelling New'!AF:AF),"")</f>
        <v>0.995</v>
      </c>
      <c r="AI216" s="9"/>
      <c r="AJ216" s="9"/>
      <c r="AK216" s="258"/>
      <c r="AL216" s="258"/>
      <c r="AM216" s="258"/>
      <c r="AN216" s="235"/>
      <c r="AO216" s="233"/>
      <c r="AP216" s="233"/>
      <c r="AQ216" s="233"/>
      <c r="AR216" s="236">
        <f>_xlfn.XLOOKUP(D216,'Modelling New'!$D:$D,'Modelling New'!$N:$N)</f>
        <v>130</v>
      </c>
      <c r="AS216" s="236" t="str">
        <f t="shared" si="18"/>
        <v/>
      </c>
    </row>
    <row r="217" spans="1:45">
      <c r="A217" s="18">
        <f t="shared" si="19"/>
        <v>45960</v>
      </c>
      <c r="B217" s="29">
        <f>YEAR(Table13[[#This Row],[Date]])+IF(MONTH(Table13[[#This Row],[Date]])&gt;=4,1,0)</f>
        <v>2026</v>
      </c>
      <c r="C217" s="9">
        <f>YEAR(Table13[[#This Row],[Date]])</f>
        <v>2025</v>
      </c>
      <c r="D217" s="229">
        <f>Table13[[#This Row],[Date]]-DAY(Table13[[#This Row],[Date]])+1</f>
        <v>45931</v>
      </c>
      <c r="E217" s="9">
        <f t="shared" si="15"/>
        <v>31</v>
      </c>
      <c r="F217" s="199" t="str">
        <f>IFERROR(_xlfn.XLOOKUP($A217,Input_Raw!$A:$A,Input_Raw!$FC:$FC),"")</f>
        <v/>
      </c>
      <c r="G217" s="185" t="str">
        <f>IFERROR(_xlfn.XLOOKUP($A217,Input_Raw!$A:$A,Input_Raw!$CY:$CY),"")</f>
        <v/>
      </c>
      <c r="H217" s="185" t="str">
        <f>IFERROR(_xlfn.XLOOKUP($A217,Input_Raw!$A:$A,Input_Raw!$DA:$DA),"")</f>
        <v/>
      </c>
      <c r="I217" s="185" t="str">
        <f>IFERROR(_xlfn.XLOOKUP($A217,Input_Raw!$A:$A,Input_Raw!$CX:$CX),"")</f>
        <v/>
      </c>
      <c r="J217" s="185" t="str">
        <f>IFERROR(_xlfn.XLOOKUP($A217,Input_Raw!$A:$A,Input_Raw!$CZ:$CZ),"")</f>
        <v/>
      </c>
      <c r="K217" s="201" t="str">
        <f>IFERROR(_xlfn.XLOOKUP($A217,Input_Raw!$A:$A,Input_Raw!$DB:$DB),"")</f>
        <v/>
      </c>
      <c r="L217" s="201" t="str">
        <f>IFERROR(_xlfn.XLOOKUP($A217,Input_Raw!$A:$A,Input_Raw!$DC:$DC),"")</f>
        <v/>
      </c>
      <c r="M217" s="200" t="str">
        <f>IFERROR(_xlfn.XLOOKUP($A217,Input_Raw!$A:$A,Input_Raw!$DF:$DF),"")</f>
        <v/>
      </c>
      <c r="N217" s="200" t="str">
        <f>IFERROR(_xlfn.XLOOKUP($A217,Input_Raw!$A:$A,Input_Raw!$DG:$DG),"")</f>
        <v/>
      </c>
      <c r="O217" s="230" t="str">
        <f>IFERROR(1-(SUMIF(Plant_BD!$B:$B,$A217,Plant_BD!$AL:$AL)/($AA217+SUMIF(Plant_BD!$B:$B,$A217,Plant_BD!$AL:$AL))),"")</f>
        <v/>
      </c>
      <c r="P217" s="230"/>
      <c r="Q217" s="231" t="str">
        <f>IFERROR(1-(SUMIF(Grid_BD!$B:$B,$A217,Grid_BD!$V:$V)/($AA217+SUMIF(Grid_BD!$B:$B,$A217,Grid_BD!$V:$V))),"")</f>
        <v/>
      </c>
      <c r="R217" s="230" t="str">
        <f>IFERROR(1-(SUMIF(Grid_BD!$B:$B,$A217,Grid_BD!$V:$V)/($AA217+SUMIF(Grid_BD!$B:$B,$A217,Grid_BD!$V:$V))),"")</f>
        <v/>
      </c>
      <c r="S217" s="9"/>
      <c r="T217" s="231"/>
      <c r="U217" s="232" t="str">
        <f t="shared" si="16"/>
        <v/>
      </c>
      <c r="V217" s="232" t="str">
        <f>IFERROR(_xlfn.XLOOKUP($A217,Input_Raw!$A:$A,Input_Raw!$FG:$FG),"")</f>
        <v/>
      </c>
      <c r="W217" s="233" t="str">
        <f t="shared" si="17"/>
        <v/>
      </c>
      <c r="X217" s="29" t="str">
        <f>IFERROR(_xlfn.XLOOKUP($A217,Input_Raw!$A:$A,Input_Raw!$DP:$DP),"")</f>
        <v/>
      </c>
      <c r="Y217" s="29" t="str">
        <f>IFERROR(_xlfn.XLOOKUP($A217,Input_Raw!$A:$A,Input_Raw!EW:EW),"")</f>
        <v/>
      </c>
      <c r="Z217" s="29" t="str">
        <f>IFERROR(_xlfn.XLOOKUP($A217,Input_Raw!$A:$A,Input_Raw!EX:EX),"")</f>
        <v/>
      </c>
      <c r="AA217" s="29" t="str">
        <f>IFERROR(_xlfn.XLOOKUP($A217,Input_Raw!$A:$A,Input_Raw!FA:FA),"")</f>
        <v/>
      </c>
      <c r="AB217" s="9" t="str">
        <f>IFERROR(_xlfn.XLOOKUP($A217,Input_Raw!$A:$A,Input_Raw!FD:FD),"")</f>
        <v/>
      </c>
      <c r="AC217" s="185">
        <f>IFERROR(_xlfn.XLOOKUP($D217,'Modelling New'!$D:$D,'Modelling New'!P:P),"")</f>
        <v>5.8258064516129027</v>
      </c>
      <c r="AD217" s="29">
        <f>IFERROR(_xlfn.XLOOKUP($D217,'Modelling New'!$D:$D,'Modelling New'!T:T)*1000,"")</f>
        <v>635344.27609051135</v>
      </c>
      <c r="AE217" s="233">
        <f>IFERROR(_xlfn.XLOOKUP($D217,'Modelling New'!$D:$D,'Modelling New'!O:O),"")</f>
        <v>0.83889907823519261</v>
      </c>
      <c r="AF217" s="233">
        <f>IFERROR(_xlfn.XLOOKUP($D217,'Modelling New'!$D:$D,'Modelling New'!W:W),"")</f>
        <v>0.20363598592644594</v>
      </c>
      <c r="AG217" s="233">
        <f>IFERROR(_xlfn.XLOOKUP($D217,'Modelling New'!$D:$D,'Modelling New'!AE:AE),"")</f>
        <v>0.995</v>
      </c>
      <c r="AH217" s="234">
        <f>IFERROR(_xlfn.XLOOKUP($D217,'Modelling New'!$D:$D,'Modelling New'!AF:AF),"")</f>
        <v>0.995</v>
      </c>
      <c r="AI217" s="9"/>
      <c r="AJ217" s="9"/>
      <c r="AK217" s="258"/>
      <c r="AL217" s="258"/>
      <c r="AM217" s="258"/>
      <c r="AN217" s="235"/>
      <c r="AO217" s="233"/>
      <c r="AP217" s="233"/>
      <c r="AQ217" s="233"/>
      <c r="AR217" s="236">
        <f>_xlfn.XLOOKUP(D217,'Modelling New'!$D:$D,'Modelling New'!$N:$N)</f>
        <v>130</v>
      </c>
      <c r="AS217" s="236" t="str">
        <f t="shared" si="18"/>
        <v/>
      </c>
    </row>
    <row r="218" spans="1:45">
      <c r="A218" s="18">
        <f t="shared" si="19"/>
        <v>45961</v>
      </c>
      <c r="B218" s="29">
        <f>YEAR(Table13[[#This Row],[Date]])+IF(MONTH(Table13[[#This Row],[Date]])&gt;=4,1,0)</f>
        <v>2026</v>
      </c>
      <c r="C218" s="9">
        <f>YEAR(Table13[[#This Row],[Date]])</f>
        <v>2025</v>
      </c>
      <c r="D218" s="229">
        <f>Table13[[#This Row],[Date]]-DAY(Table13[[#This Row],[Date]])+1</f>
        <v>45931</v>
      </c>
      <c r="E218" s="9">
        <f t="shared" si="15"/>
        <v>31</v>
      </c>
      <c r="F218" s="199" t="str">
        <f>IFERROR(_xlfn.XLOOKUP($A218,Input_Raw!$A:$A,Input_Raw!$FC:$FC),"")</f>
        <v/>
      </c>
      <c r="G218" s="200" t="str">
        <f>IFERROR(_xlfn.XLOOKUP($A218,Input_Raw!$A:$A,Input_Raw!$CY:$CY),"")</f>
        <v/>
      </c>
      <c r="H218" s="200" t="str">
        <f>IFERROR(_xlfn.XLOOKUP($A218,Input_Raw!$A:$A,Input_Raw!$DA:$DA),"")</f>
        <v/>
      </c>
      <c r="I218" s="200" t="str">
        <f>IFERROR(_xlfn.XLOOKUP($A218,Input_Raw!$A:$A,Input_Raw!$CX:$CX),"")</f>
        <v/>
      </c>
      <c r="J218" s="200" t="str">
        <f>IFERROR(_xlfn.XLOOKUP($A218,Input_Raw!$A:$A,Input_Raw!$CZ:$CZ),"")</f>
        <v/>
      </c>
      <c r="K218" s="201" t="str">
        <f>IFERROR(_xlfn.XLOOKUP($A218,Input_Raw!$A:$A,Input_Raw!$DB:$DB),"")</f>
        <v/>
      </c>
      <c r="L218" s="201" t="str">
        <f>IFERROR(_xlfn.XLOOKUP($A218,Input_Raw!$A:$A,Input_Raw!$DC:$DC),"")</f>
        <v/>
      </c>
      <c r="M218" s="200" t="str">
        <f>IFERROR(_xlfn.XLOOKUP($A218,Input_Raw!$A:$A,Input_Raw!$DF:$DF),"")</f>
        <v/>
      </c>
      <c r="N218" s="200" t="str">
        <f>IFERROR(_xlfn.XLOOKUP($A218,Input_Raw!$A:$A,Input_Raw!$DG:$DG),"")</f>
        <v/>
      </c>
      <c r="O218" s="230" t="str">
        <f>IFERROR(1-(SUMIF(Plant_BD!$B:$B,$A218,Plant_BD!$AL:$AL)/($AA218+SUMIF(Plant_BD!$B:$B,$A218,Plant_BD!$AL:$AL))),"")</f>
        <v/>
      </c>
      <c r="P218" s="230"/>
      <c r="Q218" s="231" t="str">
        <f>IFERROR(1-(SUMIF(Grid_BD!$B:$B,$A218,Grid_BD!$V:$V)/($AA218+SUMIF(Grid_BD!$B:$B,$A218,Grid_BD!$V:$V))),"")</f>
        <v/>
      </c>
      <c r="R218" s="230" t="str">
        <f>IFERROR(1-(SUMIF(Grid_BD!$B:$B,$A218,Grid_BD!$V:$V)/($AA218+SUMIF(Grid_BD!$B:$B,$A218,Grid_BD!$V:$V))),"")</f>
        <v/>
      </c>
      <c r="S218" s="9"/>
      <c r="T218" s="231"/>
      <c r="U218" s="232" t="str">
        <f t="shared" si="16"/>
        <v/>
      </c>
      <c r="V218" s="232" t="str">
        <f>IFERROR(_xlfn.XLOOKUP($A218,Input_Raw!$A:$A,Input_Raw!$FG:$FG),"")</f>
        <v/>
      </c>
      <c r="W218" s="233" t="str">
        <f t="shared" si="17"/>
        <v/>
      </c>
      <c r="X218" s="29" t="str">
        <f>IFERROR(_xlfn.XLOOKUP($A218,Input_Raw!$A:$A,Input_Raw!$DP:$DP),"")</f>
        <v/>
      </c>
      <c r="Y218" s="29" t="str">
        <f>IFERROR(_xlfn.XLOOKUP($A218,Input_Raw!$A:$A,Input_Raw!EW:EW),"")</f>
        <v/>
      </c>
      <c r="Z218" s="29" t="str">
        <f>IFERROR(_xlfn.XLOOKUP($A218,Input_Raw!$A:$A,Input_Raw!EX:EX),"")</f>
        <v/>
      </c>
      <c r="AA218" s="29" t="str">
        <f>IFERROR(_xlfn.XLOOKUP($A218,Input_Raw!$A:$A,Input_Raw!FA:FA),"")</f>
        <v/>
      </c>
      <c r="AB218" s="9" t="str">
        <f>IFERROR(_xlfn.XLOOKUP($A218,Input_Raw!$A:$A,Input_Raw!FD:FD),"")</f>
        <v/>
      </c>
      <c r="AC218" s="185">
        <f>IFERROR(_xlfn.XLOOKUP($D218,'Modelling New'!$D:$D,'Modelling New'!P:P),"")</f>
        <v>5.8258064516129027</v>
      </c>
      <c r="AD218" s="29">
        <f>IFERROR(_xlfn.XLOOKUP($D218,'Modelling New'!$D:$D,'Modelling New'!T:T)*1000,"")</f>
        <v>635344.27609051135</v>
      </c>
      <c r="AE218" s="233">
        <f>IFERROR(_xlfn.XLOOKUP($D218,'Modelling New'!$D:$D,'Modelling New'!O:O),"")</f>
        <v>0.83889907823519261</v>
      </c>
      <c r="AF218" s="233">
        <f>IFERROR(_xlfn.XLOOKUP($D218,'Modelling New'!$D:$D,'Modelling New'!W:W),"")</f>
        <v>0.20363598592644594</v>
      </c>
      <c r="AG218" s="233">
        <f>IFERROR(_xlfn.XLOOKUP($D218,'Modelling New'!$D:$D,'Modelling New'!AE:AE),"")</f>
        <v>0.995</v>
      </c>
      <c r="AH218" s="234">
        <f>IFERROR(_xlfn.XLOOKUP($D218,'Modelling New'!$D:$D,'Modelling New'!AF:AF),"")</f>
        <v>0.995</v>
      </c>
      <c r="AI218" s="9"/>
      <c r="AJ218" s="9"/>
      <c r="AK218" s="258"/>
      <c r="AL218" s="258"/>
      <c r="AM218" s="258"/>
      <c r="AN218" s="235"/>
      <c r="AO218" s="233"/>
      <c r="AP218" s="233"/>
      <c r="AQ218" s="233"/>
      <c r="AR218" s="236">
        <f>_xlfn.XLOOKUP(D218,'Modelling New'!$D:$D,'Modelling New'!$N:$N)</f>
        <v>130</v>
      </c>
      <c r="AS218" s="236" t="str">
        <f t="shared" si="18"/>
        <v/>
      </c>
    </row>
    <row r="219" spans="1:45">
      <c r="A219" s="18">
        <f t="shared" si="19"/>
        <v>45962</v>
      </c>
      <c r="B219" s="29">
        <f>YEAR(Table13[[#This Row],[Date]])+IF(MONTH(Table13[[#This Row],[Date]])&gt;=4,1,0)</f>
        <v>2026</v>
      </c>
      <c r="C219" s="9">
        <f>YEAR(Table13[[#This Row],[Date]])</f>
        <v>2025</v>
      </c>
      <c r="D219" s="229">
        <f>Table13[[#This Row],[Date]]-DAY(Table13[[#This Row],[Date]])+1</f>
        <v>45962</v>
      </c>
      <c r="E219" s="9">
        <f t="shared" si="15"/>
        <v>30</v>
      </c>
      <c r="F219" s="199" t="str">
        <f>IFERROR(_xlfn.XLOOKUP($A219,Input_Raw!$A:$A,Input_Raw!$FC:$FC),"")</f>
        <v/>
      </c>
      <c r="G219" s="185" t="str">
        <f>IFERROR(_xlfn.XLOOKUP($A219,Input_Raw!$A:$A,Input_Raw!$CY:$CY),"")</f>
        <v/>
      </c>
      <c r="H219" s="185" t="str">
        <f>IFERROR(_xlfn.XLOOKUP($A219,Input_Raw!$A:$A,Input_Raw!$DA:$DA),"")</f>
        <v/>
      </c>
      <c r="I219" s="185" t="str">
        <f>IFERROR(_xlfn.XLOOKUP($A219,Input_Raw!$A:$A,Input_Raw!$CX:$CX),"")</f>
        <v/>
      </c>
      <c r="J219" s="185" t="str">
        <f>IFERROR(_xlfn.XLOOKUP($A219,Input_Raw!$A:$A,Input_Raw!$CZ:$CZ),"")</f>
        <v/>
      </c>
      <c r="K219" s="201" t="str">
        <f>IFERROR(_xlfn.XLOOKUP($A219,Input_Raw!$A:$A,Input_Raw!$DB:$DB),"")</f>
        <v/>
      </c>
      <c r="L219" s="201" t="str">
        <f>IFERROR(_xlfn.XLOOKUP($A219,Input_Raw!$A:$A,Input_Raw!$DC:$DC),"")</f>
        <v/>
      </c>
      <c r="M219" s="200" t="str">
        <f>IFERROR(_xlfn.XLOOKUP($A219,Input_Raw!$A:$A,Input_Raw!$DF:$DF),"")</f>
        <v/>
      </c>
      <c r="N219" s="200" t="str">
        <f>IFERROR(_xlfn.XLOOKUP($A219,Input_Raw!$A:$A,Input_Raw!$DG:$DG),"")</f>
        <v/>
      </c>
      <c r="O219" s="230" t="str">
        <f>IFERROR(1-(SUMIF(Plant_BD!$B:$B,$A219,Plant_BD!$AL:$AL)/($AA219+SUMIF(Plant_BD!$B:$B,$A219,Plant_BD!$AL:$AL))),"")</f>
        <v/>
      </c>
      <c r="P219" s="230"/>
      <c r="Q219" s="231" t="str">
        <f>IFERROR(1-(SUMIF(Grid_BD!$B:$B,$A219,Grid_BD!$V:$V)/($AA219+SUMIF(Grid_BD!$B:$B,$A219,Grid_BD!$V:$V))),"")</f>
        <v/>
      </c>
      <c r="R219" s="230" t="str">
        <f>IFERROR(1-(SUMIF(Grid_BD!$B:$B,$A219,Grid_BD!$V:$V)/($AA219+SUMIF(Grid_BD!$B:$B,$A219,Grid_BD!$V:$V))),"")</f>
        <v/>
      </c>
      <c r="S219" s="9"/>
      <c r="T219" s="231"/>
      <c r="U219" s="232" t="str">
        <f t="shared" si="16"/>
        <v/>
      </c>
      <c r="V219" s="232" t="str">
        <f>IFERROR(_xlfn.XLOOKUP($A219,Input_Raw!$A:$A,Input_Raw!$FG:$FG),"")</f>
        <v/>
      </c>
      <c r="W219" s="233" t="str">
        <f t="shared" si="17"/>
        <v/>
      </c>
      <c r="X219" s="29" t="str">
        <f>IFERROR(_xlfn.XLOOKUP($A219,Input_Raw!$A:$A,Input_Raw!$DP:$DP),"")</f>
        <v/>
      </c>
      <c r="Y219" s="29" t="str">
        <f>IFERROR(_xlfn.XLOOKUP($A219,Input_Raw!$A:$A,Input_Raw!EW:EW),"")</f>
        <v/>
      </c>
      <c r="Z219" s="29" t="str">
        <f>IFERROR(_xlfn.XLOOKUP($A219,Input_Raw!$A:$A,Input_Raw!EX:EX),"")</f>
        <v/>
      </c>
      <c r="AA219" s="29" t="str">
        <f>IFERROR(_xlfn.XLOOKUP($A219,Input_Raw!$A:$A,Input_Raw!FA:FA),"")</f>
        <v/>
      </c>
      <c r="AB219" s="9" t="str">
        <f>IFERROR(_xlfn.XLOOKUP($A219,Input_Raw!$A:$A,Input_Raw!FD:FD),"")</f>
        <v/>
      </c>
      <c r="AC219" s="185">
        <f>IFERROR(_xlfn.XLOOKUP($D219,'Modelling New'!$D:$D,'Modelling New'!P:P),"")</f>
        <v>5.583333333333333</v>
      </c>
      <c r="AD219" s="29">
        <f>IFERROR(_xlfn.XLOOKUP($D219,'Modelling New'!$D:$D,'Modelling New'!T:T)*1000,"")</f>
        <v>618179.87541245308</v>
      </c>
      <c r="AE219" s="233">
        <f>IFERROR(_xlfn.XLOOKUP($D219,'Modelling New'!$D:$D,'Modelling New'!O:O),"")</f>
        <v>0.85168295119970561</v>
      </c>
      <c r="AF219" s="233">
        <f>IFERROR(_xlfn.XLOOKUP($D219,'Modelling New'!$D:$D,'Modelling New'!W:W),"")</f>
        <v>0.19813457545270932</v>
      </c>
      <c r="AG219" s="233">
        <f>IFERROR(_xlfn.XLOOKUP($D219,'Modelling New'!$D:$D,'Modelling New'!AE:AE),"")</f>
        <v>0.995</v>
      </c>
      <c r="AH219" s="234">
        <f>IFERROR(_xlfn.XLOOKUP($D219,'Modelling New'!$D:$D,'Modelling New'!AF:AF),"")</f>
        <v>0.995</v>
      </c>
      <c r="AI219" s="9"/>
      <c r="AJ219" s="9"/>
      <c r="AK219" s="258"/>
      <c r="AL219" s="258"/>
      <c r="AM219" s="258"/>
      <c r="AN219" s="235"/>
      <c r="AO219" s="233"/>
      <c r="AP219" s="233"/>
      <c r="AQ219" s="233"/>
      <c r="AR219" s="236">
        <f>_xlfn.XLOOKUP(D219,'Modelling New'!$D:$D,'Modelling New'!$N:$N)</f>
        <v>130</v>
      </c>
      <c r="AS219" s="236" t="str">
        <f t="shared" si="18"/>
        <v/>
      </c>
    </row>
    <row r="220" spans="1:45">
      <c r="A220" s="18">
        <f t="shared" si="19"/>
        <v>45963</v>
      </c>
      <c r="B220" s="29">
        <f>YEAR(Table13[[#This Row],[Date]])+IF(MONTH(Table13[[#This Row],[Date]])&gt;=4,1,0)</f>
        <v>2026</v>
      </c>
      <c r="C220" s="9">
        <f>YEAR(Table13[[#This Row],[Date]])</f>
        <v>2025</v>
      </c>
      <c r="D220" s="229">
        <f>Table13[[#This Row],[Date]]-DAY(Table13[[#This Row],[Date]])+1</f>
        <v>45962</v>
      </c>
      <c r="E220" s="9">
        <f t="shared" si="15"/>
        <v>30</v>
      </c>
      <c r="F220" s="199" t="str">
        <f>IFERROR(_xlfn.XLOOKUP($A220,Input_Raw!$A:$A,Input_Raw!$FC:$FC),"")</f>
        <v/>
      </c>
      <c r="G220" s="200" t="str">
        <f>IFERROR(_xlfn.XLOOKUP($A220,Input_Raw!$A:$A,Input_Raw!$CY:$CY),"")</f>
        <v/>
      </c>
      <c r="H220" s="200" t="str">
        <f>IFERROR(_xlfn.XLOOKUP($A220,Input_Raw!$A:$A,Input_Raw!$DA:$DA),"")</f>
        <v/>
      </c>
      <c r="I220" s="200" t="str">
        <f>IFERROR(_xlfn.XLOOKUP($A220,Input_Raw!$A:$A,Input_Raw!$CX:$CX),"")</f>
        <v/>
      </c>
      <c r="J220" s="200" t="str">
        <f>IFERROR(_xlfn.XLOOKUP($A220,Input_Raw!$A:$A,Input_Raw!$CZ:$CZ),"")</f>
        <v/>
      </c>
      <c r="K220" s="201" t="str">
        <f>IFERROR(_xlfn.XLOOKUP($A220,Input_Raw!$A:$A,Input_Raw!$DB:$DB),"")</f>
        <v/>
      </c>
      <c r="L220" s="201" t="str">
        <f>IFERROR(_xlfn.XLOOKUP($A220,Input_Raw!$A:$A,Input_Raw!$DC:$DC),"")</f>
        <v/>
      </c>
      <c r="M220" s="200" t="str">
        <f>IFERROR(_xlfn.XLOOKUP($A220,Input_Raw!$A:$A,Input_Raw!$DF:$DF),"")</f>
        <v/>
      </c>
      <c r="N220" s="200" t="str">
        <f>IFERROR(_xlfn.XLOOKUP($A220,Input_Raw!$A:$A,Input_Raw!$DG:$DG),"")</f>
        <v/>
      </c>
      <c r="O220" s="230" t="str">
        <f>IFERROR(1-(SUMIF(Plant_BD!$B:$B,$A220,Plant_BD!$AL:$AL)/($AA220+SUMIF(Plant_BD!$B:$B,$A220,Plant_BD!$AL:$AL))),"")</f>
        <v/>
      </c>
      <c r="P220" s="230"/>
      <c r="Q220" s="231" t="str">
        <f>IFERROR(1-(SUMIF(Grid_BD!$B:$B,$A220,Grid_BD!$V:$V)/($AA220+SUMIF(Grid_BD!$B:$B,$A220,Grid_BD!$V:$V))),"")</f>
        <v/>
      </c>
      <c r="R220" s="230" t="str">
        <f>IFERROR(1-(SUMIF(Grid_BD!$B:$B,$A220,Grid_BD!$V:$V)/($AA220+SUMIF(Grid_BD!$B:$B,$A220,Grid_BD!$V:$V))),"")</f>
        <v/>
      </c>
      <c r="S220" s="9"/>
      <c r="T220" s="231"/>
      <c r="U220" s="232" t="str">
        <f t="shared" si="16"/>
        <v/>
      </c>
      <c r="V220" s="232" t="str">
        <f>IFERROR(_xlfn.XLOOKUP($A220,Input_Raw!$A:$A,Input_Raw!$FG:$FG),"")</f>
        <v/>
      </c>
      <c r="W220" s="233" t="str">
        <f t="shared" si="17"/>
        <v/>
      </c>
      <c r="X220" s="29" t="str">
        <f>IFERROR(_xlfn.XLOOKUP($A220,Input_Raw!$A:$A,Input_Raw!$DP:$DP),"")</f>
        <v/>
      </c>
      <c r="Y220" s="29" t="str">
        <f>IFERROR(_xlfn.XLOOKUP($A220,Input_Raw!$A:$A,Input_Raw!EW:EW),"")</f>
        <v/>
      </c>
      <c r="Z220" s="29" t="str">
        <f>IFERROR(_xlfn.XLOOKUP($A220,Input_Raw!$A:$A,Input_Raw!EX:EX),"")</f>
        <v/>
      </c>
      <c r="AA220" s="29" t="str">
        <f>IFERROR(_xlfn.XLOOKUP($A220,Input_Raw!$A:$A,Input_Raw!FA:FA),"")</f>
        <v/>
      </c>
      <c r="AB220" s="9" t="str">
        <f>IFERROR(_xlfn.XLOOKUP($A220,Input_Raw!$A:$A,Input_Raw!FD:FD),"")</f>
        <v/>
      </c>
      <c r="AC220" s="185">
        <f>IFERROR(_xlfn.XLOOKUP($D220,'Modelling New'!$D:$D,'Modelling New'!P:P),"")</f>
        <v>5.583333333333333</v>
      </c>
      <c r="AD220" s="29">
        <f>IFERROR(_xlfn.XLOOKUP($D220,'Modelling New'!$D:$D,'Modelling New'!T:T)*1000,"")</f>
        <v>618179.87541245308</v>
      </c>
      <c r="AE220" s="233">
        <f>IFERROR(_xlfn.XLOOKUP($D220,'Modelling New'!$D:$D,'Modelling New'!O:O),"")</f>
        <v>0.85168295119970561</v>
      </c>
      <c r="AF220" s="233">
        <f>IFERROR(_xlfn.XLOOKUP($D220,'Modelling New'!$D:$D,'Modelling New'!W:W),"")</f>
        <v>0.19813457545270932</v>
      </c>
      <c r="AG220" s="233">
        <f>IFERROR(_xlfn.XLOOKUP($D220,'Modelling New'!$D:$D,'Modelling New'!AE:AE),"")</f>
        <v>0.995</v>
      </c>
      <c r="AH220" s="234">
        <f>IFERROR(_xlfn.XLOOKUP($D220,'Modelling New'!$D:$D,'Modelling New'!AF:AF),"")</f>
        <v>0.995</v>
      </c>
      <c r="AI220" s="9"/>
      <c r="AJ220" s="9"/>
      <c r="AK220" s="258"/>
      <c r="AL220" s="258"/>
      <c r="AM220" s="258"/>
      <c r="AN220" s="235"/>
      <c r="AO220" s="233"/>
      <c r="AP220" s="233"/>
      <c r="AQ220" s="233"/>
      <c r="AR220" s="236">
        <f>_xlfn.XLOOKUP(D220,'Modelling New'!$D:$D,'Modelling New'!$N:$N)</f>
        <v>130</v>
      </c>
      <c r="AS220" s="236" t="str">
        <f t="shared" si="18"/>
        <v/>
      </c>
    </row>
    <row r="221" spans="1:45">
      <c r="A221" s="18">
        <f t="shared" si="19"/>
        <v>45964</v>
      </c>
      <c r="B221" s="29">
        <f>YEAR(Table13[[#This Row],[Date]])+IF(MONTH(Table13[[#This Row],[Date]])&gt;=4,1,0)</f>
        <v>2026</v>
      </c>
      <c r="C221" s="9">
        <f>YEAR(Table13[[#This Row],[Date]])</f>
        <v>2025</v>
      </c>
      <c r="D221" s="229">
        <f>Table13[[#This Row],[Date]]-DAY(Table13[[#This Row],[Date]])+1</f>
        <v>45962</v>
      </c>
      <c r="E221" s="9">
        <f t="shared" si="15"/>
        <v>30</v>
      </c>
      <c r="F221" s="199" t="str">
        <f>IFERROR(_xlfn.XLOOKUP($A221,Input_Raw!$A:$A,Input_Raw!$FC:$FC),"")</f>
        <v/>
      </c>
      <c r="G221" s="185" t="str">
        <f>IFERROR(_xlfn.XLOOKUP($A221,Input_Raw!$A:$A,Input_Raw!$CY:$CY),"")</f>
        <v/>
      </c>
      <c r="H221" s="185" t="str">
        <f>IFERROR(_xlfn.XLOOKUP($A221,Input_Raw!$A:$A,Input_Raw!$DA:$DA),"")</f>
        <v/>
      </c>
      <c r="I221" s="185" t="str">
        <f>IFERROR(_xlfn.XLOOKUP($A221,Input_Raw!$A:$A,Input_Raw!$CX:$CX),"")</f>
        <v/>
      </c>
      <c r="J221" s="185" t="str">
        <f>IFERROR(_xlfn.XLOOKUP($A221,Input_Raw!$A:$A,Input_Raw!$CZ:$CZ),"")</f>
        <v/>
      </c>
      <c r="K221" s="201" t="str">
        <f>IFERROR(_xlfn.XLOOKUP($A221,Input_Raw!$A:$A,Input_Raw!$DB:$DB),"")</f>
        <v/>
      </c>
      <c r="L221" s="201" t="str">
        <f>IFERROR(_xlfn.XLOOKUP($A221,Input_Raw!$A:$A,Input_Raw!$DC:$DC),"")</f>
        <v/>
      </c>
      <c r="M221" s="200" t="str">
        <f>IFERROR(_xlfn.XLOOKUP($A221,Input_Raw!$A:$A,Input_Raw!$DF:$DF),"")</f>
        <v/>
      </c>
      <c r="N221" s="200" t="str">
        <f>IFERROR(_xlfn.XLOOKUP($A221,Input_Raw!$A:$A,Input_Raw!$DG:$DG),"")</f>
        <v/>
      </c>
      <c r="O221" s="230" t="str">
        <f>IFERROR(1-(SUMIF(Plant_BD!$B:$B,$A221,Plant_BD!$AL:$AL)/($AA221+SUMIF(Plant_BD!$B:$B,$A221,Plant_BD!$AL:$AL))),"")</f>
        <v/>
      </c>
      <c r="P221" s="230"/>
      <c r="Q221" s="231" t="str">
        <f>IFERROR(1-(SUMIF(Grid_BD!$B:$B,$A221,Grid_BD!$V:$V)/($AA221+SUMIF(Grid_BD!$B:$B,$A221,Grid_BD!$V:$V))),"")</f>
        <v/>
      </c>
      <c r="R221" s="230" t="str">
        <f>IFERROR(1-(SUMIF(Grid_BD!$B:$B,$A221,Grid_BD!$V:$V)/($AA221+SUMIF(Grid_BD!$B:$B,$A221,Grid_BD!$V:$V))),"")</f>
        <v/>
      </c>
      <c r="S221" s="9"/>
      <c r="T221" s="231"/>
      <c r="U221" s="232" t="str">
        <f t="shared" si="16"/>
        <v/>
      </c>
      <c r="V221" s="232" t="str">
        <f>IFERROR(_xlfn.XLOOKUP($A221,Input_Raw!$A:$A,Input_Raw!$FG:$FG),"")</f>
        <v/>
      </c>
      <c r="W221" s="233" t="str">
        <f t="shared" si="17"/>
        <v/>
      </c>
      <c r="X221" s="29" t="str">
        <f>IFERROR(_xlfn.XLOOKUP($A221,Input_Raw!$A:$A,Input_Raw!$DP:$DP),"")</f>
        <v/>
      </c>
      <c r="Y221" s="29" t="str">
        <f>IFERROR(_xlfn.XLOOKUP($A221,Input_Raw!$A:$A,Input_Raw!EW:EW),"")</f>
        <v/>
      </c>
      <c r="Z221" s="29" t="str">
        <f>IFERROR(_xlfn.XLOOKUP($A221,Input_Raw!$A:$A,Input_Raw!EX:EX),"")</f>
        <v/>
      </c>
      <c r="AA221" s="29" t="str">
        <f>IFERROR(_xlfn.XLOOKUP($A221,Input_Raw!$A:$A,Input_Raw!FA:FA),"")</f>
        <v/>
      </c>
      <c r="AB221" s="9" t="str">
        <f>IFERROR(_xlfn.XLOOKUP($A221,Input_Raw!$A:$A,Input_Raw!FD:FD),"")</f>
        <v/>
      </c>
      <c r="AC221" s="185">
        <f>IFERROR(_xlfn.XLOOKUP($D221,'Modelling New'!$D:$D,'Modelling New'!P:P),"")</f>
        <v>5.583333333333333</v>
      </c>
      <c r="AD221" s="29">
        <f>IFERROR(_xlfn.XLOOKUP($D221,'Modelling New'!$D:$D,'Modelling New'!T:T)*1000,"")</f>
        <v>618179.87541245308</v>
      </c>
      <c r="AE221" s="233">
        <f>IFERROR(_xlfn.XLOOKUP($D221,'Modelling New'!$D:$D,'Modelling New'!O:O),"")</f>
        <v>0.85168295119970561</v>
      </c>
      <c r="AF221" s="233">
        <f>IFERROR(_xlfn.XLOOKUP($D221,'Modelling New'!$D:$D,'Modelling New'!W:W),"")</f>
        <v>0.19813457545270932</v>
      </c>
      <c r="AG221" s="233">
        <f>IFERROR(_xlfn.XLOOKUP($D221,'Modelling New'!$D:$D,'Modelling New'!AE:AE),"")</f>
        <v>0.995</v>
      </c>
      <c r="AH221" s="234">
        <f>IFERROR(_xlfn.XLOOKUP($D221,'Modelling New'!$D:$D,'Modelling New'!AF:AF),"")</f>
        <v>0.995</v>
      </c>
      <c r="AI221" s="9"/>
      <c r="AJ221" s="9"/>
      <c r="AK221" s="258"/>
      <c r="AL221" s="258"/>
      <c r="AM221" s="258"/>
      <c r="AN221" s="235"/>
      <c r="AO221" s="233"/>
      <c r="AP221" s="233"/>
      <c r="AQ221" s="233"/>
      <c r="AR221" s="236">
        <f>_xlfn.XLOOKUP(D221,'Modelling New'!$D:$D,'Modelling New'!$N:$N)</f>
        <v>130</v>
      </c>
      <c r="AS221" s="236" t="str">
        <f t="shared" si="18"/>
        <v/>
      </c>
    </row>
    <row r="222" spans="1:45">
      <c r="A222" s="18">
        <f t="shared" si="19"/>
        <v>45965</v>
      </c>
      <c r="B222" s="29">
        <f>YEAR(Table13[[#This Row],[Date]])+IF(MONTH(Table13[[#This Row],[Date]])&gt;=4,1,0)</f>
        <v>2026</v>
      </c>
      <c r="C222" s="9">
        <f>YEAR(Table13[[#This Row],[Date]])</f>
        <v>2025</v>
      </c>
      <c r="D222" s="229">
        <f>Table13[[#This Row],[Date]]-DAY(Table13[[#This Row],[Date]])+1</f>
        <v>45962</v>
      </c>
      <c r="E222" s="9">
        <f t="shared" si="15"/>
        <v>30</v>
      </c>
      <c r="F222" s="199" t="str">
        <f>IFERROR(_xlfn.XLOOKUP($A222,Input_Raw!$A:$A,Input_Raw!$FC:$FC),"")</f>
        <v/>
      </c>
      <c r="G222" s="200" t="str">
        <f>IFERROR(_xlfn.XLOOKUP($A222,Input_Raw!$A:$A,Input_Raw!$CY:$CY),"")</f>
        <v/>
      </c>
      <c r="H222" s="200" t="str">
        <f>IFERROR(_xlfn.XLOOKUP($A222,Input_Raw!$A:$A,Input_Raw!$DA:$DA),"")</f>
        <v/>
      </c>
      <c r="I222" s="200" t="str">
        <f>IFERROR(_xlfn.XLOOKUP($A222,Input_Raw!$A:$A,Input_Raw!$CX:$CX),"")</f>
        <v/>
      </c>
      <c r="J222" s="200" t="str">
        <f>IFERROR(_xlfn.XLOOKUP($A222,Input_Raw!$A:$A,Input_Raw!$CZ:$CZ),"")</f>
        <v/>
      </c>
      <c r="K222" s="201" t="str">
        <f>IFERROR(_xlfn.XLOOKUP($A222,Input_Raw!$A:$A,Input_Raw!$DB:$DB),"")</f>
        <v/>
      </c>
      <c r="L222" s="201" t="str">
        <f>IFERROR(_xlfn.XLOOKUP($A222,Input_Raw!$A:$A,Input_Raw!$DC:$DC),"")</f>
        <v/>
      </c>
      <c r="M222" s="200" t="str">
        <f>IFERROR(_xlfn.XLOOKUP($A222,Input_Raw!$A:$A,Input_Raw!$DF:$DF),"")</f>
        <v/>
      </c>
      <c r="N222" s="200" t="str">
        <f>IFERROR(_xlfn.XLOOKUP($A222,Input_Raw!$A:$A,Input_Raw!$DG:$DG),"")</f>
        <v/>
      </c>
      <c r="O222" s="230" t="str">
        <f>IFERROR(1-(SUMIF(Plant_BD!$B:$B,$A222,Plant_BD!$AL:$AL)/($AA222+SUMIF(Plant_BD!$B:$B,$A222,Plant_BD!$AL:$AL))),"")</f>
        <v/>
      </c>
      <c r="P222" s="230"/>
      <c r="Q222" s="231" t="str">
        <f>IFERROR(1-(SUMIF(Grid_BD!$B:$B,$A222,Grid_BD!$V:$V)/($AA222+SUMIF(Grid_BD!$B:$B,$A222,Grid_BD!$V:$V))),"")</f>
        <v/>
      </c>
      <c r="R222" s="230" t="str">
        <f>IFERROR(1-(SUMIF(Grid_BD!$B:$B,$A222,Grid_BD!$V:$V)/($AA222+SUMIF(Grid_BD!$B:$B,$A222,Grid_BD!$V:$V))),"")</f>
        <v/>
      </c>
      <c r="S222" s="9"/>
      <c r="T222" s="231"/>
      <c r="U222" s="232" t="str">
        <f t="shared" si="16"/>
        <v/>
      </c>
      <c r="V222" s="232" t="str">
        <f>IFERROR(_xlfn.XLOOKUP($A222,Input_Raw!$A:$A,Input_Raw!$FG:$FG),"")</f>
        <v/>
      </c>
      <c r="W222" s="233" t="str">
        <f t="shared" si="17"/>
        <v/>
      </c>
      <c r="X222" s="29" t="str">
        <f>IFERROR(_xlfn.XLOOKUP($A222,Input_Raw!$A:$A,Input_Raw!$DP:$DP),"")</f>
        <v/>
      </c>
      <c r="Y222" s="29" t="str">
        <f>IFERROR(_xlfn.XLOOKUP($A222,Input_Raw!$A:$A,Input_Raw!EW:EW),"")</f>
        <v/>
      </c>
      <c r="Z222" s="29" t="str">
        <f>IFERROR(_xlfn.XLOOKUP($A222,Input_Raw!$A:$A,Input_Raw!EX:EX),"")</f>
        <v/>
      </c>
      <c r="AA222" s="29" t="str">
        <f>IFERROR(_xlfn.XLOOKUP($A222,Input_Raw!$A:$A,Input_Raw!FA:FA),"")</f>
        <v/>
      </c>
      <c r="AB222" s="9" t="str">
        <f>IFERROR(_xlfn.XLOOKUP($A222,Input_Raw!$A:$A,Input_Raw!FD:FD),"")</f>
        <v/>
      </c>
      <c r="AC222" s="185">
        <f>IFERROR(_xlfn.XLOOKUP($D222,'Modelling New'!$D:$D,'Modelling New'!P:P),"")</f>
        <v>5.583333333333333</v>
      </c>
      <c r="AD222" s="29">
        <f>IFERROR(_xlfn.XLOOKUP($D222,'Modelling New'!$D:$D,'Modelling New'!T:T)*1000,"")</f>
        <v>618179.87541245308</v>
      </c>
      <c r="AE222" s="233">
        <f>IFERROR(_xlfn.XLOOKUP($D222,'Modelling New'!$D:$D,'Modelling New'!O:O),"")</f>
        <v>0.85168295119970561</v>
      </c>
      <c r="AF222" s="233">
        <f>IFERROR(_xlfn.XLOOKUP($D222,'Modelling New'!$D:$D,'Modelling New'!W:W),"")</f>
        <v>0.19813457545270932</v>
      </c>
      <c r="AG222" s="233">
        <f>IFERROR(_xlfn.XLOOKUP($D222,'Modelling New'!$D:$D,'Modelling New'!AE:AE),"")</f>
        <v>0.995</v>
      </c>
      <c r="AH222" s="234">
        <f>IFERROR(_xlfn.XLOOKUP($D222,'Modelling New'!$D:$D,'Modelling New'!AF:AF),"")</f>
        <v>0.995</v>
      </c>
      <c r="AI222" s="9"/>
      <c r="AJ222" s="9"/>
      <c r="AK222" s="258"/>
      <c r="AL222" s="258"/>
      <c r="AM222" s="258"/>
      <c r="AN222" s="235"/>
      <c r="AO222" s="233"/>
      <c r="AP222" s="233"/>
      <c r="AQ222" s="233"/>
      <c r="AR222" s="236">
        <f>_xlfn.XLOOKUP(D222,'Modelling New'!$D:$D,'Modelling New'!$N:$N)</f>
        <v>130</v>
      </c>
      <c r="AS222" s="236" t="str">
        <f t="shared" si="18"/>
        <v/>
      </c>
    </row>
    <row r="223" spans="1:45">
      <c r="A223" s="18">
        <f t="shared" si="19"/>
        <v>45966</v>
      </c>
      <c r="B223" s="29">
        <f>YEAR(Table13[[#This Row],[Date]])+IF(MONTH(Table13[[#This Row],[Date]])&gt;=4,1,0)</f>
        <v>2026</v>
      </c>
      <c r="C223" s="9">
        <f>YEAR(Table13[[#This Row],[Date]])</f>
        <v>2025</v>
      </c>
      <c r="D223" s="229">
        <f>Table13[[#This Row],[Date]]-DAY(Table13[[#This Row],[Date]])+1</f>
        <v>45962</v>
      </c>
      <c r="E223" s="9">
        <f t="shared" si="15"/>
        <v>30</v>
      </c>
      <c r="F223" s="199" t="str">
        <f>IFERROR(_xlfn.XLOOKUP($A223,Input_Raw!$A:$A,Input_Raw!$FC:$FC),"")</f>
        <v/>
      </c>
      <c r="G223" s="185" t="str">
        <f>IFERROR(_xlfn.XLOOKUP($A223,Input_Raw!$A:$A,Input_Raw!$CY:$CY),"")</f>
        <v/>
      </c>
      <c r="H223" s="185" t="str">
        <f>IFERROR(_xlfn.XLOOKUP($A223,Input_Raw!$A:$A,Input_Raw!$DA:$DA),"")</f>
        <v/>
      </c>
      <c r="I223" s="185" t="str">
        <f>IFERROR(_xlfn.XLOOKUP($A223,Input_Raw!$A:$A,Input_Raw!$CX:$CX),"")</f>
        <v/>
      </c>
      <c r="J223" s="185" t="str">
        <f>IFERROR(_xlfn.XLOOKUP($A223,Input_Raw!$A:$A,Input_Raw!$CZ:$CZ),"")</f>
        <v/>
      </c>
      <c r="K223" s="201" t="str">
        <f>IFERROR(_xlfn.XLOOKUP($A223,Input_Raw!$A:$A,Input_Raw!$DB:$DB),"")</f>
        <v/>
      </c>
      <c r="L223" s="201" t="str">
        <f>IFERROR(_xlfn.XLOOKUP($A223,Input_Raw!$A:$A,Input_Raw!$DC:$DC),"")</f>
        <v/>
      </c>
      <c r="M223" s="200" t="str">
        <f>IFERROR(_xlfn.XLOOKUP($A223,Input_Raw!$A:$A,Input_Raw!$DF:$DF),"")</f>
        <v/>
      </c>
      <c r="N223" s="200" t="str">
        <f>IFERROR(_xlfn.XLOOKUP($A223,Input_Raw!$A:$A,Input_Raw!$DG:$DG),"")</f>
        <v/>
      </c>
      <c r="O223" s="230" t="str">
        <f>IFERROR(1-(SUMIF(Plant_BD!$B:$B,$A223,Plant_BD!$AL:$AL)/($AA223+SUMIF(Plant_BD!$B:$B,$A223,Plant_BD!$AL:$AL))),"")</f>
        <v/>
      </c>
      <c r="P223" s="230"/>
      <c r="Q223" s="231" t="str">
        <f>IFERROR(1-(SUMIF(Grid_BD!$B:$B,$A223,Grid_BD!$V:$V)/($AA223+SUMIF(Grid_BD!$B:$B,$A223,Grid_BD!$V:$V))),"")</f>
        <v/>
      </c>
      <c r="R223" s="230" t="str">
        <f>IFERROR(1-(SUMIF(Grid_BD!$B:$B,$A223,Grid_BD!$V:$V)/($AA223+SUMIF(Grid_BD!$B:$B,$A223,Grid_BD!$V:$V))),"")</f>
        <v/>
      </c>
      <c r="S223" s="9"/>
      <c r="T223" s="231"/>
      <c r="U223" s="232" t="str">
        <f t="shared" si="16"/>
        <v/>
      </c>
      <c r="V223" s="232" t="str">
        <f>IFERROR(_xlfn.XLOOKUP($A223,Input_Raw!$A:$A,Input_Raw!$FG:$FG),"")</f>
        <v/>
      </c>
      <c r="W223" s="233" t="str">
        <f t="shared" si="17"/>
        <v/>
      </c>
      <c r="X223" s="29" t="str">
        <f>IFERROR(_xlfn.XLOOKUP($A223,Input_Raw!$A:$A,Input_Raw!$DP:$DP),"")</f>
        <v/>
      </c>
      <c r="Y223" s="29" t="str">
        <f>IFERROR(_xlfn.XLOOKUP($A223,Input_Raw!$A:$A,Input_Raw!EW:EW),"")</f>
        <v/>
      </c>
      <c r="Z223" s="29" t="str">
        <f>IFERROR(_xlfn.XLOOKUP($A223,Input_Raw!$A:$A,Input_Raw!EX:EX),"")</f>
        <v/>
      </c>
      <c r="AA223" s="29" t="str">
        <f>IFERROR(_xlfn.XLOOKUP($A223,Input_Raw!$A:$A,Input_Raw!FA:FA),"")</f>
        <v/>
      </c>
      <c r="AB223" s="9" t="str">
        <f>IFERROR(_xlfn.XLOOKUP($A223,Input_Raw!$A:$A,Input_Raw!FD:FD),"")</f>
        <v/>
      </c>
      <c r="AC223" s="185">
        <f>IFERROR(_xlfn.XLOOKUP($D223,'Modelling New'!$D:$D,'Modelling New'!P:P),"")</f>
        <v>5.583333333333333</v>
      </c>
      <c r="AD223" s="29">
        <f>IFERROR(_xlfn.XLOOKUP($D223,'Modelling New'!$D:$D,'Modelling New'!T:T)*1000,"")</f>
        <v>618179.87541245308</v>
      </c>
      <c r="AE223" s="233">
        <f>IFERROR(_xlfn.XLOOKUP($D223,'Modelling New'!$D:$D,'Modelling New'!O:O),"")</f>
        <v>0.85168295119970561</v>
      </c>
      <c r="AF223" s="233">
        <f>IFERROR(_xlfn.XLOOKUP($D223,'Modelling New'!$D:$D,'Modelling New'!W:W),"")</f>
        <v>0.19813457545270932</v>
      </c>
      <c r="AG223" s="233">
        <f>IFERROR(_xlfn.XLOOKUP($D223,'Modelling New'!$D:$D,'Modelling New'!AE:AE),"")</f>
        <v>0.995</v>
      </c>
      <c r="AH223" s="234">
        <f>IFERROR(_xlfn.XLOOKUP($D223,'Modelling New'!$D:$D,'Modelling New'!AF:AF),"")</f>
        <v>0.995</v>
      </c>
      <c r="AI223" s="9"/>
      <c r="AJ223" s="9"/>
      <c r="AK223" s="258"/>
      <c r="AL223" s="258"/>
      <c r="AM223" s="258"/>
      <c r="AN223" s="235"/>
      <c r="AO223" s="233"/>
      <c r="AP223" s="233"/>
      <c r="AQ223" s="233"/>
      <c r="AR223" s="236">
        <f>_xlfn.XLOOKUP(D223,'Modelling New'!$D:$D,'Modelling New'!$N:$N)</f>
        <v>130</v>
      </c>
      <c r="AS223" s="236" t="str">
        <f t="shared" si="18"/>
        <v/>
      </c>
    </row>
    <row r="224" spans="1:45">
      <c r="A224" s="18">
        <f t="shared" si="19"/>
        <v>45967</v>
      </c>
      <c r="B224" s="29">
        <f>YEAR(Table13[[#This Row],[Date]])+IF(MONTH(Table13[[#This Row],[Date]])&gt;=4,1,0)</f>
        <v>2026</v>
      </c>
      <c r="C224" s="9">
        <f>YEAR(Table13[[#This Row],[Date]])</f>
        <v>2025</v>
      </c>
      <c r="D224" s="229">
        <f>Table13[[#This Row],[Date]]-DAY(Table13[[#This Row],[Date]])+1</f>
        <v>45962</v>
      </c>
      <c r="E224" s="9">
        <f t="shared" si="15"/>
        <v>30</v>
      </c>
      <c r="F224" s="199" t="str">
        <f>IFERROR(_xlfn.XLOOKUP($A224,Input_Raw!$A:$A,Input_Raw!$FC:$FC),"")</f>
        <v/>
      </c>
      <c r="G224" s="200" t="str">
        <f>IFERROR(_xlfn.XLOOKUP($A224,Input_Raw!$A:$A,Input_Raw!$CY:$CY),"")</f>
        <v/>
      </c>
      <c r="H224" s="200" t="str">
        <f>IFERROR(_xlfn.XLOOKUP($A224,Input_Raw!$A:$A,Input_Raw!$DA:$DA),"")</f>
        <v/>
      </c>
      <c r="I224" s="200" t="str">
        <f>IFERROR(_xlfn.XLOOKUP($A224,Input_Raw!$A:$A,Input_Raw!$CX:$CX),"")</f>
        <v/>
      </c>
      <c r="J224" s="200" t="str">
        <f>IFERROR(_xlfn.XLOOKUP($A224,Input_Raw!$A:$A,Input_Raw!$CZ:$CZ),"")</f>
        <v/>
      </c>
      <c r="K224" s="201" t="str">
        <f>IFERROR(_xlfn.XLOOKUP($A224,Input_Raw!$A:$A,Input_Raw!$DB:$DB),"")</f>
        <v/>
      </c>
      <c r="L224" s="201" t="str">
        <f>IFERROR(_xlfn.XLOOKUP($A224,Input_Raw!$A:$A,Input_Raw!$DC:$DC),"")</f>
        <v/>
      </c>
      <c r="M224" s="200" t="str">
        <f>IFERROR(_xlfn.XLOOKUP($A224,Input_Raw!$A:$A,Input_Raw!$DF:$DF),"")</f>
        <v/>
      </c>
      <c r="N224" s="200" t="str">
        <f>IFERROR(_xlfn.XLOOKUP($A224,Input_Raw!$A:$A,Input_Raw!$DG:$DG),"")</f>
        <v/>
      </c>
      <c r="O224" s="230" t="str">
        <f>IFERROR(1-(SUMIF(Plant_BD!$B:$B,$A224,Plant_BD!$AL:$AL)/($AA224+SUMIF(Plant_BD!$B:$B,$A224,Plant_BD!$AL:$AL))),"")</f>
        <v/>
      </c>
      <c r="P224" s="230"/>
      <c r="Q224" s="231" t="str">
        <f>IFERROR(1-(SUMIF(Grid_BD!$B:$B,$A224,Grid_BD!$V:$V)/($AA224+SUMIF(Grid_BD!$B:$B,$A224,Grid_BD!$V:$V))),"")</f>
        <v/>
      </c>
      <c r="R224" s="230" t="str">
        <f>IFERROR(1-(SUMIF(Grid_BD!$B:$B,$A224,Grid_BD!$V:$V)/($AA224+SUMIF(Grid_BD!$B:$B,$A224,Grid_BD!$V:$V))),"")</f>
        <v/>
      </c>
      <c r="S224" s="9"/>
      <c r="T224" s="231"/>
      <c r="U224" s="232" t="str">
        <f t="shared" si="16"/>
        <v/>
      </c>
      <c r="V224" s="232" t="str">
        <f>IFERROR(_xlfn.XLOOKUP($A224,Input_Raw!$A:$A,Input_Raw!$FG:$FG),"")</f>
        <v/>
      </c>
      <c r="W224" s="233" t="str">
        <f t="shared" si="17"/>
        <v/>
      </c>
      <c r="X224" s="29" t="str">
        <f>IFERROR(_xlfn.XLOOKUP($A224,Input_Raw!$A:$A,Input_Raw!$DP:$DP),"")</f>
        <v/>
      </c>
      <c r="Y224" s="29" t="str">
        <f>IFERROR(_xlfn.XLOOKUP($A224,Input_Raw!$A:$A,Input_Raw!EW:EW),"")</f>
        <v/>
      </c>
      <c r="Z224" s="29" t="str">
        <f>IFERROR(_xlfn.XLOOKUP($A224,Input_Raw!$A:$A,Input_Raw!EX:EX),"")</f>
        <v/>
      </c>
      <c r="AA224" s="29" t="str">
        <f>IFERROR(_xlfn.XLOOKUP($A224,Input_Raw!$A:$A,Input_Raw!FA:FA),"")</f>
        <v/>
      </c>
      <c r="AB224" s="9" t="str">
        <f>IFERROR(_xlfn.XLOOKUP($A224,Input_Raw!$A:$A,Input_Raw!FD:FD),"")</f>
        <v/>
      </c>
      <c r="AC224" s="185">
        <f>IFERROR(_xlfn.XLOOKUP($D224,'Modelling New'!$D:$D,'Modelling New'!P:P),"")</f>
        <v>5.583333333333333</v>
      </c>
      <c r="AD224" s="29">
        <f>IFERROR(_xlfn.XLOOKUP($D224,'Modelling New'!$D:$D,'Modelling New'!T:T)*1000,"")</f>
        <v>618179.87541245308</v>
      </c>
      <c r="AE224" s="233">
        <f>IFERROR(_xlfn.XLOOKUP($D224,'Modelling New'!$D:$D,'Modelling New'!O:O),"")</f>
        <v>0.85168295119970561</v>
      </c>
      <c r="AF224" s="233">
        <f>IFERROR(_xlfn.XLOOKUP($D224,'Modelling New'!$D:$D,'Modelling New'!W:W),"")</f>
        <v>0.19813457545270932</v>
      </c>
      <c r="AG224" s="233">
        <f>IFERROR(_xlfn.XLOOKUP($D224,'Modelling New'!$D:$D,'Modelling New'!AE:AE),"")</f>
        <v>0.995</v>
      </c>
      <c r="AH224" s="234">
        <f>IFERROR(_xlfn.XLOOKUP($D224,'Modelling New'!$D:$D,'Modelling New'!AF:AF),"")</f>
        <v>0.995</v>
      </c>
      <c r="AI224" s="9"/>
      <c r="AJ224" s="9"/>
      <c r="AK224" s="258"/>
      <c r="AL224" s="258"/>
      <c r="AM224" s="258"/>
      <c r="AN224" s="235"/>
      <c r="AO224" s="233"/>
      <c r="AP224" s="233"/>
      <c r="AQ224" s="233"/>
      <c r="AR224" s="236">
        <f>_xlfn.XLOOKUP(D224,'Modelling New'!$D:$D,'Modelling New'!$N:$N)</f>
        <v>130</v>
      </c>
      <c r="AS224" s="236" t="str">
        <f t="shared" si="18"/>
        <v/>
      </c>
    </row>
    <row r="225" spans="1:45">
      <c r="A225" s="18">
        <f t="shared" si="19"/>
        <v>45968</v>
      </c>
      <c r="B225" s="29">
        <f>YEAR(Table13[[#This Row],[Date]])+IF(MONTH(Table13[[#This Row],[Date]])&gt;=4,1,0)</f>
        <v>2026</v>
      </c>
      <c r="C225" s="9">
        <f>YEAR(Table13[[#This Row],[Date]])</f>
        <v>2025</v>
      </c>
      <c r="D225" s="229">
        <f>Table13[[#This Row],[Date]]-DAY(Table13[[#This Row],[Date]])+1</f>
        <v>45962</v>
      </c>
      <c r="E225" s="9">
        <f t="shared" si="15"/>
        <v>30</v>
      </c>
      <c r="F225" s="199" t="str">
        <f>IFERROR(_xlfn.XLOOKUP($A225,Input_Raw!$A:$A,Input_Raw!$FC:$FC),"")</f>
        <v/>
      </c>
      <c r="G225" s="185" t="str">
        <f>IFERROR(_xlfn.XLOOKUP($A225,Input_Raw!$A:$A,Input_Raw!$CY:$CY),"")</f>
        <v/>
      </c>
      <c r="H225" s="185" t="str">
        <f>IFERROR(_xlfn.XLOOKUP($A225,Input_Raw!$A:$A,Input_Raw!$DA:$DA),"")</f>
        <v/>
      </c>
      <c r="I225" s="185" t="str">
        <f>IFERROR(_xlfn.XLOOKUP($A225,Input_Raw!$A:$A,Input_Raw!$CX:$CX),"")</f>
        <v/>
      </c>
      <c r="J225" s="185" t="str">
        <f>IFERROR(_xlfn.XLOOKUP($A225,Input_Raw!$A:$A,Input_Raw!$CZ:$CZ),"")</f>
        <v/>
      </c>
      <c r="K225" s="201" t="str">
        <f>IFERROR(_xlfn.XLOOKUP($A225,Input_Raw!$A:$A,Input_Raw!$DB:$DB),"")</f>
        <v/>
      </c>
      <c r="L225" s="201" t="str">
        <f>IFERROR(_xlfn.XLOOKUP($A225,Input_Raw!$A:$A,Input_Raw!$DC:$DC),"")</f>
        <v/>
      </c>
      <c r="M225" s="200" t="str">
        <f>IFERROR(_xlfn.XLOOKUP($A225,Input_Raw!$A:$A,Input_Raw!$DF:$DF),"")</f>
        <v/>
      </c>
      <c r="N225" s="200" t="str">
        <f>IFERROR(_xlfn.XLOOKUP($A225,Input_Raw!$A:$A,Input_Raw!$DG:$DG),"")</f>
        <v/>
      </c>
      <c r="O225" s="230" t="str">
        <f>IFERROR(1-(SUMIF(Plant_BD!$B:$B,$A225,Plant_BD!$AL:$AL)/($AA225+SUMIF(Plant_BD!$B:$B,$A225,Plant_BD!$AL:$AL))),"")</f>
        <v/>
      </c>
      <c r="P225" s="230"/>
      <c r="Q225" s="231" t="str">
        <f>IFERROR(1-(SUMIF(Grid_BD!$B:$B,$A225,Grid_BD!$V:$V)/($AA225+SUMIF(Grid_BD!$B:$B,$A225,Grid_BD!$V:$V))),"")</f>
        <v/>
      </c>
      <c r="R225" s="230" t="str">
        <f>IFERROR(1-(SUMIF(Grid_BD!$B:$B,$A225,Grid_BD!$V:$V)/($AA225+SUMIF(Grid_BD!$B:$B,$A225,Grid_BD!$V:$V))),"")</f>
        <v/>
      </c>
      <c r="S225" s="9"/>
      <c r="T225" s="231"/>
      <c r="U225" s="232" t="str">
        <f t="shared" si="16"/>
        <v/>
      </c>
      <c r="V225" s="232" t="str">
        <f>IFERROR(_xlfn.XLOOKUP($A225,Input_Raw!$A:$A,Input_Raw!$FG:$FG),"")</f>
        <v/>
      </c>
      <c r="W225" s="233" t="str">
        <f t="shared" si="17"/>
        <v/>
      </c>
      <c r="X225" s="29" t="str">
        <f>IFERROR(_xlfn.XLOOKUP($A225,Input_Raw!$A:$A,Input_Raw!$DP:$DP),"")</f>
        <v/>
      </c>
      <c r="Y225" s="29" t="str">
        <f>IFERROR(_xlfn.XLOOKUP($A225,Input_Raw!$A:$A,Input_Raw!EW:EW),"")</f>
        <v/>
      </c>
      <c r="Z225" s="29" t="str">
        <f>IFERROR(_xlfn.XLOOKUP($A225,Input_Raw!$A:$A,Input_Raw!EX:EX),"")</f>
        <v/>
      </c>
      <c r="AA225" s="29" t="str">
        <f>IFERROR(_xlfn.XLOOKUP($A225,Input_Raw!$A:$A,Input_Raw!FA:FA),"")</f>
        <v/>
      </c>
      <c r="AB225" s="9" t="str">
        <f>IFERROR(_xlfn.XLOOKUP($A225,Input_Raw!$A:$A,Input_Raw!FD:FD),"")</f>
        <v/>
      </c>
      <c r="AC225" s="185">
        <f>IFERROR(_xlfn.XLOOKUP($D225,'Modelling New'!$D:$D,'Modelling New'!P:P),"")</f>
        <v>5.583333333333333</v>
      </c>
      <c r="AD225" s="29">
        <f>IFERROR(_xlfn.XLOOKUP($D225,'Modelling New'!$D:$D,'Modelling New'!T:T)*1000,"")</f>
        <v>618179.87541245308</v>
      </c>
      <c r="AE225" s="233">
        <f>IFERROR(_xlfn.XLOOKUP($D225,'Modelling New'!$D:$D,'Modelling New'!O:O),"")</f>
        <v>0.85168295119970561</v>
      </c>
      <c r="AF225" s="233">
        <f>IFERROR(_xlfn.XLOOKUP($D225,'Modelling New'!$D:$D,'Modelling New'!W:W),"")</f>
        <v>0.19813457545270932</v>
      </c>
      <c r="AG225" s="233">
        <f>IFERROR(_xlfn.XLOOKUP($D225,'Modelling New'!$D:$D,'Modelling New'!AE:AE),"")</f>
        <v>0.995</v>
      </c>
      <c r="AH225" s="234">
        <f>IFERROR(_xlfn.XLOOKUP($D225,'Modelling New'!$D:$D,'Modelling New'!AF:AF),"")</f>
        <v>0.995</v>
      </c>
      <c r="AI225" s="9"/>
      <c r="AJ225" s="9"/>
      <c r="AK225" s="258"/>
      <c r="AL225" s="258"/>
      <c r="AM225" s="258"/>
      <c r="AN225" s="235"/>
      <c r="AO225" s="233"/>
      <c r="AP225" s="233"/>
      <c r="AQ225" s="233"/>
      <c r="AR225" s="236">
        <f>_xlfn.XLOOKUP(D225,'Modelling New'!$D:$D,'Modelling New'!$N:$N)</f>
        <v>130</v>
      </c>
      <c r="AS225" s="236" t="str">
        <f t="shared" si="18"/>
        <v/>
      </c>
    </row>
    <row r="226" spans="1:45">
      <c r="A226" s="18">
        <f t="shared" si="19"/>
        <v>45969</v>
      </c>
      <c r="B226" s="29">
        <f>YEAR(Table13[[#This Row],[Date]])+IF(MONTH(Table13[[#This Row],[Date]])&gt;=4,1,0)</f>
        <v>2026</v>
      </c>
      <c r="C226" s="9">
        <f>YEAR(Table13[[#This Row],[Date]])</f>
        <v>2025</v>
      </c>
      <c r="D226" s="229">
        <f>Table13[[#This Row],[Date]]-DAY(Table13[[#This Row],[Date]])+1</f>
        <v>45962</v>
      </c>
      <c r="E226" s="9">
        <f t="shared" si="15"/>
        <v>30</v>
      </c>
      <c r="F226" s="199" t="str">
        <f>IFERROR(_xlfn.XLOOKUP($A226,Input_Raw!$A:$A,Input_Raw!$FC:$FC),"")</f>
        <v/>
      </c>
      <c r="G226" s="200" t="str">
        <f>IFERROR(_xlfn.XLOOKUP($A226,Input_Raw!$A:$A,Input_Raw!$CY:$CY),"")</f>
        <v/>
      </c>
      <c r="H226" s="200" t="str">
        <f>IFERROR(_xlfn.XLOOKUP($A226,Input_Raw!$A:$A,Input_Raw!$DA:$DA),"")</f>
        <v/>
      </c>
      <c r="I226" s="200" t="str">
        <f>IFERROR(_xlfn.XLOOKUP($A226,Input_Raw!$A:$A,Input_Raw!$CX:$CX),"")</f>
        <v/>
      </c>
      <c r="J226" s="200" t="str">
        <f>IFERROR(_xlfn.XLOOKUP($A226,Input_Raw!$A:$A,Input_Raw!$CZ:$CZ),"")</f>
        <v/>
      </c>
      <c r="K226" s="201" t="str">
        <f>IFERROR(_xlfn.XLOOKUP($A226,Input_Raw!$A:$A,Input_Raw!$DB:$DB),"")</f>
        <v/>
      </c>
      <c r="L226" s="201" t="str">
        <f>IFERROR(_xlfn.XLOOKUP($A226,Input_Raw!$A:$A,Input_Raw!$DC:$DC),"")</f>
        <v/>
      </c>
      <c r="M226" s="200" t="str">
        <f>IFERROR(_xlfn.XLOOKUP($A226,Input_Raw!$A:$A,Input_Raw!$DF:$DF),"")</f>
        <v/>
      </c>
      <c r="N226" s="200" t="str">
        <f>IFERROR(_xlfn.XLOOKUP($A226,Input_Raw!$A:$A,Input_Raw!$DG:$DG),"")</f>
        <v/>
      </c>
      <c r="O226" s="230" t="str">
        <f>IFERROR(1-(SUMIF(Plant_BD!$B:$B,$A226,Plant_BD!$AL:$AL)/($AA226+SUMIF(Plant_BD!$B:$B,$A226,Plant_BD!$AL:$AL))),"")</f>
        <v/>
      </c>
      <c r="P226" s="230"/>
      <c r="Q226" s="231" t="str">
        <f>IFERROR(1-(SUMIF(Grid_BD!$B:$B,$A226,Grid_BD!$V:$V)/($AA226+SUMIF(Grid_BD!$B:$B,$A226,Grid_BD!$V:$V))),"")</f>
        <v/>
      </c>
      <c r="R226" s="230" t="str">
        <f>IFERROR(1-(SUMIF(Grid_BD!$B:$B,$A226,Grid_BD!$V:$V)/($AA226+SUMIF(Grid_BD!$B:$B,$A226,Grid_BD!$V:$V))),"")</f>
        <v/>
      </c>
      <c r="S226" s="9"/>
      <c r="T226" s="231"/>
      <c r="U226" s="232" t="str">
        <f t="shared" si="16"/>
        <v/>
      </c>
      <c r="V226" s="232" t="str">
        <f>IFERROR(_xlfn.XLOOKUP($A226,Input_Raw!$A:$A,Input_Raw!$FG:$FG),"")</f>
        <v/>
      </c>
      <c r="W226" s="233" t="str">
        <f t="shared" si="17"/>
        <v/>
      </c>
      <c r="X226" s="29" t="str">
        <f>IFERROR(_xlfn.XLOOKUP($A226,Input_Raw!$A:$A,Input_Raw!$DP:$DP),"")</f>
        <v/>
      </c>
      <c r="Y226" s="29" t="str">
        <f>IFERROR(_xlfn.XLOOKUP($A226,Input_Raw!$A:$A,Input_Raw!EW:EW),"")</f>
        <v/>
      </c>
      <c r="Z226" s="29" t="str">
        <f>IFERROR(_xlfn.XLOOKUP($A226,Input_Raw!$A:$A,Input_Raw!EX:EX),"")</f>
        <v/>
      </c>
      <c r="AA226" s="29" t="str">
        <f>IFERROR(_xlfn.XLOOKUP($A226,Input_Raw!$A:$A,Input_Raw!FA:FA),"")</f>
        <v/>
      </c>
      <c r="AB226" s="9" t="str">
        <f>IFERROR(_xlfn.XLOOKUP($A226,Input_Raw!$A:$A,Input_Raw!FD:FD),"")</f>
        <v/>
      </c>
      <c r="AC226" s="185">
        <f>IFERROR(_xlfn.XLOOKUP($D226,'Modelling New'!$D:$D,'Modelling New'!P:P),"")</f>
        <v>5.583333333333333</v>
      </c>
      <c r="AD226" s="29">
        <f>IFERROR(_xlfn.XLOOKUP($D226,'Modelling New'!$D:$D,'Modelling New'!T:T)*1000,"")</f>
        <v>618179.87541245308</v>
      </c>
      <c r="AE226" s="233">
        <f>IFERROR(_xlfn.XLOOKUP($D226,'Modelling New'!$D:$D,'Modelling New'!O:O),"")</f>
        <v>0.85168295119970561</v>
      </c>
      <c r="AF226" s="233">
        <f>IFERROR(_xlfn.XLOOKUP($D226,'Modelling New'!$D:$D,'Modelling New'!W:W),"")</f>
        <v>0.19813457545270932</v>
      </c>
      <c r="AG226" s="233">
        <f>IFERROR(_xlfn.XLOOKUP($D226,'Modelling New'!$D:$D,'Modelling New'!AE:AE),"")</f>
        <v>0.995</v>
      </c>
      <c r="AH226" s="234">
        <f>IFERROR(_xlfn.XLOOKUP($D226,'Modelling New'!$D:$D,'Modelling New'!AF:AF),"")</f>
        <v>0.995</v>
      </c>
      <c r="AI226" s="9"/>
      <c r="AJ226" s="9"/>
      <c r="AK226" s="258"/>
      <c r="AL226" s="258"/>
      <c r="AM226" s="258"/>
      <c r="AN226" s="235"/>
      <c r="AO226" s="233"/>
      <c r="AP226" s="233"/>
      <c r="AQ226" s="233"/>
      <c r="AR226" s="236">
        <f>_xlfn.XLOOKUP(D226,'Modelling New'!$D:$D,'Modelling New'!$N:$N)</f>
        <v>130</v>
      </c>
      <c r="AS226" s="236" t="str">
        <f t="shared" si="18"/>
        <v/>
      </c>
    </row>
    <row r="227" spans="1:45">
      <c r="A227" s="18">
        <f t="shared" si="19"/>
        <v>45970</v>
      </c>
      <c r="B227" s="29">
        <f>YEAR(Table13[[#This Row],[Date]])+IF(MONTH(Table13[[#This Row],[Date]])&gt;=4,1,0)</f>
        <v>2026</v>
      </c>
      <c r="C227" s="9">
        <f>YEAR(Table13[[#This Row],[Date]])</f>
        <v>2025</v>
      </c>
      <c r="D227" s="229">
        <f>Table13[[#This Row],[Date]]-DAY(Table13[[#This Row],[Date]])+1</f>
        <v>45962</v>
      </c>
      <c r="E227" s="9">
        <f t="shared" si="15"/>
        <v>30</v>
      </c>
      <c r="F227" s="199" t="str">
        <f>IFERROR(_xlfn.XLOOKUP($A227,Input_Raw!$A:$A,Input_Raw!$FC:$FC),"")</f>
        <v/>
      </c>
      <c r="G227" s="185" t="str">
        <f>IFERROR(_xlfn.XLOOKUP($A227,Input_Raw!$A:$A,Input_Raw!$CY:$CY),"")</f>
        <v/>
      </c>
      <c r="H227" s="185" t="str">
        <f>IFERROR(_xlfn.XLOOKUP($A227,Input_Raw!$A:$A,Input_Raw!$DA:$DA),"")</f>
        <v/>
      </c>
      <c r="I227" s="185" t="str">
        <f>IFERROR(_xlfn.XLOOKUP($A227,Input_Raw!$A:$A,Input_Raw!$CX:$CX),"")</f>
        <v/>
      </c>
      <c r="J227" s="185" t="str">
        <f>IFERROR(_xlfn.XLOOKUP($A227,Input_Raw!$A:$A,Input_Raw!$CZ:$CZ),"")</f>
        <v/>
      </c>
      <c r="K227" s="201" t="str">
        <f>IFERROR(_xlfn.XLOOKUP($A227,Input_Raw!$A:$A,Input_Raw!$DB:$DB),"")</f>
        <v/>
      </c>
      <c r="L227" s="201" t="str">
        <f>IFERROR(_xlfn.XLOOKUP($A227,Input_Raw!$A:$A,Input_Raw!$DC:$DC),"")</f>
        <v/>
      </c>
      <c r="M227" s="200" t="str">
        <f>IFERROR(_xlfn.XLOOKUP($A227,Input_Raw!$A:$A,Input_Raw!$DF:$DF),"")</f>
        <v/>
      </c>
      <c r="N227" s="200" t="str">
        <f>IFERROR(_xlfn.XLOOKUP($A227,Input_Raw!$A:$A,Input_Raw!$DG:$DG),"")</f>
        <v/>
      </c>
      <c r="O227" s="230" t="str">
        <f>IFERROR(1-(SUMIF(Plant_BD!$B:$B,$A227,Plant_BD!$AL:$AL)/($AA227+SUMIF(Plant_BD!$B:$B,$A227,Plant_BD!$AL:$AL))),"")</f>
        <v/>
      </c>
      <c r="P227" s="230"/>
      <c r="Q227" s="231" t="str">
        <f>IFERROR(1-(SUMIF(Grid_BD!$B:$B,$A227,Grid_BD!$V:$V)/($AA227+SUMIF(Grid_BD!$B:$B,$A227,Grid_BD!$V:$V))),"")</f>
        <v/>
      </c>
      <c r="R227" s="230" t="str">
        <f>IFERROR(1-(SUMIF(Grid_BD!$B:$B,$A227,Grid_BD!$V:$V)/($AA227+SUMIF(Grid_BD!$B:$B,$A227,Grid_BD!$V:$V))),"")</f>
        <v/>
      </c>
      <c r="S227" s="9"/>
      <c r="T227" s="231"/>
      <c r="U227" s="232" t="str">
        <f t="shared" si="16"/>
        <v/>
      </c>
      <c r="V227" s="232" t="str">
        <f>IFERROR(_xlfn.XLOOKUP($A227,Input_Raw!$A:$A,Input_Raw!$FG:$FG),"")</f>
        <v/>
      </c>
      <c r="W227" s="233" t="str">
        <f t="shared" si="17"/>
        <v/>
      </c>
      <c r="X227" s="29" t="str">
        <f>IFERROR(_xlfn.XLOOKUP($A227,Input_Raw!$A:$A,Input_Raw!$DP:$DP),"")</f>
        <v/>
      </c>
      <c r="Y227" s="29" t="str">
        <f>IFERROR(_xlfn.XLOOKUP($A227,Input_Raw!$A:$A,Input_Raw!EW:EW),"")</f>
        <v/>
      </c>
      <c r="Z227" s="29" t="str">
        <f>IFERROR(_xlfn.XLOOKUP($A227,Input_Raw!$A:$A,Input_Raw!EX:EX),"")</f>
        <v/>
      </c>
      <c r="AA227" s="29" t="str">
        <f>IFERROR(_xlfn.XLOOKUP($A227,Input_Raw!$A:$A,Input_Raw!FA:FA),"")</f>
        <v/>
      </c>
      <c r="AB227" s="9" t="str">
        <f>IFERROR(_xlfn.XLOOKUP($A227,Input_Raw!$A:$A,Input_Raw!FD:FD),"")</f>
        <v/>
      </c>
      <c r="AC227" s="185">
        <f>IFERROR(_xlfn.XLOOKUP($D227,'Modelling New'!$D:$D,'Modelling New'!P:P),"")</f>
        <v>5.583333333333333</v>
      </c>
      <c r="AD227" s="29">
        <f>IFERROR(_xlfn.XLOOKUP($D227,'Modelling New'!$D:$D,'Modelling New'!T:T)*1000,"")</f>
        <v>618179.87541245308</v>
      </c>
      <c r="AE227" s="233">
        <f>IFERROR(_xlfn.XLOOKUP($D227,'Modelling New'!$D:$D,'Modelling New'!O:O),"")</f>
        <v>0.85168295119970561</v>
      </c>
      <c r="AF227" s="233">
        <f>IFERROR(_xlfn.XLOOKUP($D227,'Modelling New'!$D:$D,'Modelling New'!W:W),"")</f>
        <v>0.19813457545270932</v>
      </c>
      <c r="AG227" s="233">
        <f>IFERROR(_xlfn.XLOOKUP($D227,'Modelling New'!$D:$D,'Modelling New'!AE:AE),"")</f>
        <v>0.995</v>
      </c>
      <c r="AH227" s="234">
        <f>IFERROR(_xlfn.XLOOKUP($D227,'Modelling New'!$D:$D,'Modelling New'!AF:AF),"")</f>
        <v>0.995</v>
      </c>
      <c r="AI227" s="9"/>
      <c r="AJ227" s="9"/>
      <c r="AK227" s="258"/>
      <c r="AL227" s="258"/>
      <c r="AM227" s="258"/>
      <c r="AN227" s="235"/>
      <c r="AO227" s="233"/>
      <c r="AP227" s="233"/>
      <c r="AQ227" s="233"/>
      <c r="AR227" s="236">
        <f>_xlfn.XLOOKUP(D227,'Modelling New'!$D:$D,'Modelling New'!$N:$N)</f>
        <v>130</v>
      </c>
      <c r="AS227" s="236" t="str">
        <f t="shared" si="18"/>
        <v/>
      </c>
    </row>
    <row r="228" spans="1:45">
      <c r="A228" s="18">
        <f t="shared" si="19"/>
        <v>45971</v>
      </c>
      <c r="B228" s="29">
        <f>YEAR(Table13[[#This Row],[Date]])+IF(MONTH(Table13[[#This Row],[Date]])&gt;=4,1,0)</f>
        <v>2026</v>
      </c>
      <c r="C228" s="9">
        <f>YEAR(Table13[[#This Row],[Date]])</f>
        <v>2025</v>
      </c>
      <c r="D228" s="229">
        <f>Table13[[#This Row],[Date]]-DAY(Table13[[#This Row],[Date]])+1</f>
        <v>45962</v>
      </c>
      <c r="E228" s="9">
        <f t="shared" si="15"/>
        <v>30</v>
      </c>
      <c r="F228" s="199" t="str">
        <f>IFERROR(_xlfn.XLOOKUP($A228,Input_Raw!$A:$A,Input_Raw!$FC:$FC),"")</f>
        <v/>
      </c>
      <c r="G228" s="200" t="str">
        <f>IFERROR(_xlfn.XLOOKUP($A228,Input_Raw!$A:$A,Input_Raw!$CY:$CY),"")</f>
        <v/>
      </c>
      <c r="H228" s="200" t="str">
        <f>IFERROR(_xlfn.XLOOKUP($A228,Input_Raw!$A:$A,Input_Raw!$DA:$DA),"")</f>
        <v/>
      </c>
      <c r="I228" s="200" t="str">
        <f>IFERROR(_xlfn.XLOOKUP($A228,Input_Raw!$A:$A,Input_Raw!$CX:$CX),"")</f>
        <v/>
      </c>
      <c r="J228" s="200" t="str">
        <f>IFERROR(_xlfn.XLOOKUP($A228,Input_Raw!$A:$A,Input_Raw!$CZ:$CZ),"")</f>
        <v/>
      </c>
      <c r="K228" s="201" t="str">
        <f>IFERROR(_xlfn.XLOOKUP($A228,Input_Raw!$A:$A,Input_Raw!$DB:$DB),"")</f>
        <v/>
      </c>
      <c r="L228" s="201" t="str">
        <f>IFERROR(_xlfn.XLOOKUP($A228,Input_Raw!$A:$A,Input_Raw!$DC:$DC),"")</f>
        <v/>
      </c>
      <c r="M228" s="200" t="str">
        <f>IFERROR(_xlfn.XLOOKUP($A228,Input_Raw!$A:$A,Input_Raw!$DF:$DF),"")</f>
        <v/>
      </c>
      <c r="N228" s="200" t="str">
        <f>IFERROR(_xlfn.XLOOKUP($A228,Input_Raw!$A:$A,Input_Raw!$DG:$DG),"")</f>
        <v/>
      </c>
      <c r="O228" s="230" t="str">
        <f>IFERROR(1-(SUMIF(Plant_BD!$B:$B,$A228,Plant_BD!$AL:$AL)/($AA228+SUMIF(Plant_BD!$B:$B,$A228,Plant_BD!$AL:$AL))),"")</f>
        <v/>
      </c>
      <c r="P228" s="230"/>
      <c r="Q228" s="231" t="str">
        <f>IFERROR(1-(SUMIF(Grid_BD!$B:$B,$A228,Grid_BD!$V:$V)/($AA228+SUMIF(Grid_BD!$B:$B,$A228,Grid_BD!$V:$V))),"")</f>
        <v/>
      </c>
      <c r="R228" s="230" t="str">
        <f>IFERROR(1-(SUMIF(Grid_BD!$B:$B,$A228,Grid_BD!$V:$V)/($AA228+SUMIF(Grid_BD!$B:$B,$A228,Grid_BD!$V:$V))),"")</f>
        <v/>
      </c>
      <c r="S228" s="9"/>
      <c r="T228" s="231"/>
      <c r="U228" s="232" t="str">
        <f t="shared" si="16"/>
        <v/>
      </c>
      <c r="V228" s="232" t="str">
        <f>IFERROR(_xlfn.XLOOKUP($A228,Input_Raw!$A:$A,Input_Raw!$FG:$FG),"")</f>
        <v/>
      </c>
      <c r="W228" s="233" t="str">
        <f t="shared" si="17"/>
        <v/>
      </c>
      <c r="X228" s="29" t="str">
        <f>IFERROR(_xlfn.XLOOKUP($A228,Input_Raw!$A:$A,Input_Raw!$DP:$DP),"")</f>
        <v/>
      </c>
      <c r="Y228" s="29" t="str">
        <f>IFERROR(_xlfn.XLOOKUP($A228,Input_Raw!$A:$A,Input_Raw!EW:EW),"")</f>
        <v/>
      </c>
      <c r="Z228" s="29" t="str">
        <f>IFERROR(_xlfn.XLOOKUP($A228,Input_Raw!$A:$A,Input_Raw!EX:EX),"")</f>
        <v/>
      </c>
      <c r="AA228" s="29" t="str">
        <f>IFERROR(_xlfn.XLOOKUP($A228,Input_Raw!$A:$A,Input_Raw!FA:FA),"")</f>
        <v/>
      </c>
      <c r="AB228" s="9" t="str">
        <f>IFERROR(_xlfn.XLOOKUP($A228,Input_Raw!$A:$A,Input_Raw!FD:FD),"")</f>
        <v/>
      </c>
      <c r="AC228" s="185">
        <f>IFERROR(_xlfn.XLOOKUP($D228,'Modelling New'!$D:$D,'Modelling New'!P:P),"")</f>
        <v>5.583333333333333</v>
      </c>
      <c r="AD228" s="29">
        <f>IFERROR(_xlfn.XLOOKUP($D228,'Modelling New'!$D:$D,'Modelling New'!T:T)*1000,"")</f>
        <v>618179.87541245308</v>
      </c>
      <c r="AE228" s="233">
        <f>IFERROR(_xlfn.XLOOKUP($D228,'Modelling New'!$D:$D,'Modelling New'!O:O),"")</f>
        <v>0.85168295119970561</v>
      </c>
      <c r="AF228" s="233">
        <f>IFERROR(_xlfn.XLOOKUP($D228,'Modelling New'!$D:$D,'Modelling New'!W:W),"")</f>
        <v>0.19813457545270932</v>
      </c>
      <c r="AG228" s="233">
        <f>IFERROR(_xlfn.XLOOKUP($D228,'Modelling New'!$D:$D,'Modelling New'!AE:AE),"")</f>
        <v>0.995</v>
      </c>
      <c r="AH228" s="234">
        <f>IFERROR(_xlfn.XLOOKUP($D228,'Modelling New'!$D:$D,'Modelling New'!AF:AF),"")</f>
        <v>0.995</v>
      </c>
      <c r="AI228" s="9"/>
      <c r="AJ228" s="9"/>
      <c r="AK228" s="258"/>
      <c r="AL228" s="258"/>
      <c r="AM228" s="258"/>
      <c r="AN228" s="235"/>
      <c r="AO228" s="233"/>
      <c r="AP228" s="233"/>
      <c r="AQ228" s="233"/>
      <c r="AR228" s="236">
        <f>_xlfn.XLOOKUP(D228,'Modelling New'!$D:$D,'Modelling New'!$N:$N)</f>
        <v>130</v>
      </c>
      <c r="AS228" s="236" t="str">
        <f t="shared" si="18"/>
        <v/>
      </c>
    </row>
    <row r="229" spans="1:45">
      <c r="A229" s="18">
        <f t="shared" si="19"/>
        <v>45972</v>
      </c>
      <c r="B229" s="29">
        <f>YEAR(Table13[[#This Row],[Date]])+IF(MONTH(Table13[[#This Row],[Date]])&gt;=4,1,0)</f>
        <v>2026</v>
      </c>
      <c r="C229" s="9">
        <f>YEAR(Table13[[#This Row],[Date]])</f>
        <v>2025</v>
      </c>
      <c r="D229" s="229">
        <f>Table13[[#This Row],[Date]]-DAY(Table13[[#This Row],[Date]])+1</f>
        <v>45962</v>
      </c>
      <c r="E229" s="9">
        <f t="shared" si="15"/>
        <v>30</v>
      </c>
      <c r="F229" s="199" t="str">
        <f>IFERROR(_xlfn.XLOOKUP($A229,Input_Raw!$A:$A,Input_Raw!$FC:$FC),"")</f>
        <v/>
      </c>
      <c r="G229" s="185" t="str">
        <f>IFERROR(_xlfn.XLOOKUP($A229,Input_Raw!$A:$A,Input_Raw!$CY:$CY),"")</f>
        <v/>
      </c>
      <c r="H229" s="185" t="str">
        <f>IFERROR(_xlfn.XLOOKUP($A229,Input_Raw!$A:$A,Input_Raw!$DA:$DA),"")</f>
        <v/>
      </c>
      <c r="I229" s="185" t="str">
        <f>IFERROR(_xlfn.XLOOKUP($A229,Input_Raw!$A:$A,Input_Raw!$CX:$CX),"")</f>
        <v/>
      </c>
      <c r="J229" s="185" t="str">
        <f>IFERROR(_xlfn.XLOOKUP($A229,Input_Raw!$A:$A,Input_Raw!$CZ:$CZ),"")</f>
        <v/>
      </c>
      <c r="K229" s="201" t="str">
        <f>IFERROR(_xlfn.XLOOKUP($A229,Input_Raw!$A:$A,Input_Raw!$DB:$DB),"")</f>
        <v/>
      </c>
      <c r="L229" s="201" t="str">
        <f>IFERROR(_xlfn.XLOOKUP($A229,Input_Raw!$A:$A,Input_Raw!$DC:$DC),"")</f>
        <v/>
      </c>
      <c r="M229" s="200" t="str">
        <f>IFERROR(_xlfn.XLOOKUP($A229,Input_Raw!$A:$A,Input_Raw!$DF:$DF),"")</f>
        <v/>
      </c>
      <c r="N229" s="200" t="str">
        <f>IFERROR(_xlfn.XLOOKUP($A229,Input_Raw!$A:$A,Input_Raw!$DG:$DG),"")</f>
        <v/>
      </c>
      <c r="O229" s="230" t="str">
        <f>IFERROR(1-(SUMIF(Plant_BD!$B:$B,$A229,Plant_BD!$AL:$AL)/($AA229+SUMIF(Plant_BD!$B:$B,$A229,Plant_BD!$AL:$AL))),"")</f>
        <v/>
      </c>
      <c r="P229" s="230"/>
      <c r="Q229" s="231" t="str">
        <f>IFERROR(1-(SUMIF(Grid_BD!$B:$B,$A229,Grid_BD!$V:$V)/($AA229+SUMIF(Grid_BD!$B:$B,$A229,Grid_BD!$V:$V))),"")</f>
        <v/>
      </c>
      <c r="R229" s="230" t="str">
        <f>IFERROR(1-(SUMIF(Grid_BD!$B:$B,$A229,Grid_BD!$V:$V)/($AA229+SUMIF(Grid_BD!$B:$B,$A229,Grid_BD!$V:$V))),"")</f>
        <v/>
      </c>
      <c r="S229" s="9"/>
      <c r="T229" s="231"/>
      <c r="U229" s="232" t="str">
        <f t="shared" si="16"/>
        <v/>
      </c>
      <c r="V229" s="232" t="str">
        <f>IFERROR(_xlfn.XLOOKUP($A229,Input_Raw!$A:$A,Input_Raw!$FG:$FG),"")</f>
        <v/>
      </c>
      <c r="W229" s="233" t="str">
        <f t="shared" si="17"/>
        <v/>
      </c>
      <c r="X229" s="29" t="str">
        <f>IFERROR(_xlfn.XLOOKUP($A229,Input_Raw!$A:$A,Input_Raw!$DP:$DP),"")</f>
        <v/>
      </c>
      <c r="Y229" s="29" t="str">
        <f>IFERROR(_xlfn.XLOOKUP($A229,Input_Raw!$A:$A,Input_Raw!EW:EW),"")</f>
        <v/>
      </c>
      <c r="Z229" s="29" t="str">
        <f>IFERROR(_xlfn.XLOOKUP($A229,Input_Raw!$A:$A,Input_Raw!EX:EX),"")</f>
        <v/>
      </c>
      <c r="AA229" s="29" t="str">
        <f>IFERROR(_xlfn.XLOOKUP($A229,Input_Raw!$A:$A,Input_Raw!FA:FA),"")</f>
        <v/>
      </c>
      <c r="AB229" s="9" t="str">
        <f>IFERROR(_xlfn.XLOOKUP($A229,Input_Raw!$A:$A,Input_Raw!FD:FD),"")</f>
        <v/>
      </c>
      <c r="AC229" s="185">
        <f>IFERROR(_xlfn.XLOOKUP($D229,'Modelling New'!$D:$D,'Modelling New'!P:P),"")</f>
        <v>5.583333333333333</v>
      </c>
      <c r="AD229" s="29">
        <f>IFERROR(_xlfn.XLOOKUP($D229,'Modelling New'!$D:$D,'Modelling New'!T:T)*1000,"")</f>
        <v>618179.87541245308</v>
      </c>
      <c r="AE229" s="233">
        <f>IFERROR(_xlfn.XLOOKUP($D229,'Modelling New'!$D:$D,'Modelling New'!O:O),"")</f>
        <v>0.85168295119970561</v>
      </c>
      <c r="AF229" s="233">
        <f>IFERROR(_xlfn.XLOOKUP($D229,'Modelling New'!$D:$D,'Modelling New'!W:W),"")</f>
        <v>0.19813457545270932</v>
      </c>
      <c r="AG229" s="233">
        <f>IFERROR(_xlfn.XLOOKUP($D229,'Modelling New'!$D:$D,'Modelling New'!AE:AE),"")</f>
        <v>0.995</v>
      </c>
      <c r="AH229" s="234">
        <f>IFERROR(_xlfn.XLOOKUP($D229,'Modelling New'!$D:$D,'Modelling New'!AF:AF),"")</f>
        <v>0.995</v>
      </c>
      <c r="AI229" s="9"/>
      <c r="AJ229" s="9"/>
      <c r="AK229" s="258"/>
      <c r="AL229" s="258"/>
      <c r="AM229" s="258"/>
      <c r="AN229" s="235"/>
      <c r="AO229" s="233"/>
      <c r="AP229" s="233"/>
      <c r="AQ229" s="233"/>
      <c r="AR229" s="236">
        <f>_xlfn.XLOOKUP(D229,'Modelling New'!$D:$D,'Modelling New'!$N:$N)</f>
        <v>130</v>
      </c>
      <c r="AS229" s="236" t="str">
        <f t="shared" si="18"/>
        <v/>
      </c>
    </row>
    <row r="230" spans="1:45">
      <c r="A230" s="18">
        <f t="shared" si="19"/>
        <v>45973</v>
      </c>
      <c r="B230" s="29">
        <f>YEAR(Table13[[#This Row],[Date]])+IF(MONTH(Table13[[#This Row],[Date]])&gt;=4,1,0)</f>
        <v>2026</v>
      </c>
      <c r="C230" s="9">
        <f>YEAR(Table13[[#This Row],[Date]])</f>
        <v>2025</v>
      </c>
      <c r="D230" s="229">
        <f>Table13[[#This Row],[Date]]-DAY(Table13[[#This Row],[Date]])+1</f>
        <v>45962</v>
      </c>
      <c r="E230" s="9">
        <f t="shared" si="15"/>
        <v>30</v>
      </c>
      <c r="F230" s="199" t="str">
        <f>IFERROR(_xlfn.XLOOKUP($A230,Input_Raw!$A:$A,Input_Raw!$FC:$FC),"")</f>
        <v/>
      </c>
      <c r="G230" s="200" t="str">
        <f>IFERROR(_xlfn.XLOOKUP($A230,Input_Raw!$A:$A,Input_Raw!$CY:$CY),"")</f>
        <v/>
      </c>
      <c r="H230" s="200" t="str">
        <f>IFERROR(_xlfn.XLOOKUP($A230,Input_Raw!$A:$A,Input_Raw!$DA:$DA),"")</f>
        <v/>
      </c>
      <c r="I230" s="200" t="str">
        <f>IFERROR(_xlfn.XLOOKUP($A230,Input_Raw!$A:$A,Input_Raw!$CX:$CX),"")</f>
        <v/>
      </c>
      <c r="J230" s="200" t="str">
        <f>IFERROR(_xlfn.XLOOKUP($A230,Input_Raw!$A:$A,Input_Raw!$CZ:$CZ),"")</f>
        <v/>
      </c>
      <c r="K230" s="201" t="str">
        <f>IFERROR(_xlfn.XLOOKUP($A230,Input_Raw!$A:$A,Input_Raw!$DB:$DB),"")</f>
        <v/>
      </c>
      <c r="L230" s="201" t="str">
        <f>IFERROR(_xlfn.XLOOKUP($A230,Input_Raw!$A:$A,Input_Raw!$DC:$DC),"")</f>
        <v/>
      </c>
      <c r="M230" s="200" t="str">
        <f>IFERROR(_xlfn.XLOOKUP($A230,Input_Raw!$A:$A,Input_Raw!$DF:$DF),"")</f>
        <v/>
      </c>
      <c r="N230" s="200" t="str">
        <f>IFERROR(_xlfn.XLOOKUP($A230,Input_Raw!$A:$A,Input_Raw!$DG:$DG),"")</f>
        <v/>
      </c>
      <c r="O230" s="230" t="str">
        <f>IFERROR(1-(SUMIF(Plant_BD!$B:$B,$A230,Plant_BD!$AL:$AL)/($AA230+SUMIF(Plant_BD!$B:$B,$A230,Plant_BD!$AL:$AL))),"")</f>
        <v/>
      </c>
      <c r="P230" s="230"/>
      <c r="Q230" s="231" t="str">
        <f>IFERROR(1-(SUMIF(Grid_BD!$B:$B,$A230,Grid_BD!$V:$V)/($AA230+SUMIF(Grid_BD!$B:$B,$A230,Grid_BD!$V:$V))),"")</f>
        <v/>
      </c>
      <c r="R230" s="230" t="str">
        <f>IFERROR(1-(SUMIF(Grid_BD!$B:$B,$A230,Grid_BD!$V:$V)/($AA230+SUMIF(Grid_BD!$B:$B,$A230,Grid_BD!$V:$V))),"")</f>
        <v/>
      </c>
      <c r="S230" s="9"/>
      <c r="T230" s="231"/>
      <c r="U230" s="232" t="str">
        <f t="shared" si="16"/>
        <v/>
      </c>
      <c r="V230" s="232" t="str">
        <f>IFERROR(_xlfn.XLOOKUP($A230,Input_Raw!$A:$A,Input_Raw!$FG:$FG),"")</f>
        <v/>
      </c>
      <c r="W230" s="233" t="str">
        <f t="shared" si="17"/>
        <v/>
      </c>
      <c r="X230" s="29" t="str">
        <f>IFERROR(_xlfn.XLOOKUP($A230,Input_Raw!$A:$A,Input_Raw!$DP:$DP),"")</f>
        <v/>
      </c>
      <c r="Y230" s="29" t="str">
        <f>IFERROR(_xlfn.XLOOKUP($A230,Input_Raw!$A:$A,Input_Raw!EW:EW),"")</f>
        <v/>
      </c>
      <c r="Z230" s="29" t="str">
        <f>IFERROR(_xlfn.XLOOKUP($A230,Input_Raw!$A:$A,Input_Raw!EX:EX),"")</f>
        <v/>
      </c>
      <c r="AA230" s="29" t="str">
        <f>IFERROR(_xlfn.XLOOKUP($A230,Input_Raw!$A:$A,Input_Raw!FA:FA),"")</f>
        <v/>
      </c>
      <c r="AB230" s="9" t="str">
        <f>IFERROR(_xlfn.XLOOKUP($A230,Input_Raw!$A:$A,Input_Raw!FD:FD),"")</f>
        <v/>
      </c>
      <c r="AC230" s="185">
        <f>IFERROR(_xlfn.XLOOKUP($D230,'Modelling New'!$D:$D,'Modelling New'!P:P),"")</f>
        <v>5.583333333333333</v>
      </c>
      <c r="AD230" s="29">
        <f>IFERROR(_xlfn.XLOOKUP($D230,'Modelling New'!$D:$D,'Modelling New'!T:T)*1000,"")</f>
        <v>618179.87541245308</v>
      </c>
      <c r="AE230" s="233">
        <f>IFERROR(_xlfn.XLOOKUP($D230,'Modelling New'!$D:$D,'Modelling New'!O:O),"")</f>
        <v>0.85168295119970561</v>
      </c>
      <c r="AF230" s="233">
        <f>IFERROR(_xlfn.XLOOKUP($D230,'Modelling New'!$D:$D,'Modelling New'!W:W),"")</f>
        <v>0.19813457545270932</v>
      </c>
      <c r="AG230" s="233">
        <f>IFERROR(_xlfn.XLOOKUP($D230,'Modelling New'!$D:$D,'Modelling New'!AE:AE),"")</f>
        <v>0.995</v>
      </c>
      <c r="AH230" s="234">
        <f>IFERROR(_xlfn.XLOOKUP($D230,'Modelling New'!$D:$D,'Modelling New'!AF:AF),"")</f>
        <v>0.995</v>
      </c>
      <c r="AI230" s="9"/>
      <c r="AJ230" s="9"/>
      <c r="AK230" s="258"/>
      <c r="AL230" s="258"/>
      <c r="AM230" s="258"/>
      <c r="AN230" s="235"/>
      <c r="AO230" s="233"/>
      <c r="AP230" s="233"/>
      <c r="AQ230" s="233"/>
      <c r="AR230" s="236">
        <f>_xlfn.XLOOKUP(D230,'Modelling New'!$D:$D,'Modelling New'!$N:$N)</f>
        <v>130</v>
      </c>
      <c r="AS230" s="236" t="str">
        <f t="shared" si="18"/>
        <v/>
      </c>
    </row>
    <row r="231" spans="1:45">
      <c r="A231" s="18">
        <f t="shared" si="19"/>
        <v>45974</v>
      </c>
      <c r="B231" s="29">
        <f>YEAR(Table13[[#This Row],[Date]])+IF(MONTH(Table13[[#This Row],[Date]])&gt;=4,1,0)</f>
        <v>2026</v>
      </c>
      <c r="C231" s="9">
        <f>YEAR(Table13[[#This Row],[Date]])</f>
        <v>2025</v>
      </c>
      <c r="D231" s="229">
        <f>Table13[[#This Row],[Date]]-DAY(Table13[[#This Row],[Date]])+1</f>
        <v>45962</v>
      </c>
      <c r="E231" s="9">
        <f t="shared" si="15"/>
        <v>30</v>
      </c>
      <c r="F231" s="199" t="str">
        <f>IFERROR(_xlfn.XLOOKUP($A231,Input_Raw!$A:$A,Input_Raw!$FC:$FC),"")</f>
        <v/>
      </c>
      <c r="G231" s="185" t="str">
        <f>IFERROR(_xlfn.XLOOKUP($A231,Input_Raw!$A:$A,Input_Raw!$CY:$CY),"")</f>
        <v/>
      </c>
      <c r="H231" s="185" t="str">
        <f>IFERROR(_xlfn.XLOOKUP($A231,Input_Raw!$A:$A,Input_Raw!$DA:$DA),"")</f>
        <v/>
      </c>
      <c r="I231" s="185" t="str">
        <f>IFERROR(_xlfn.XLOOKUP($A231,Input_Raw!$A:$A,Input_Raw!$CX:$CX),"")</f>
        <v/>
      </c>
      <c r="J231" s="185" t="str">
        <f>IFERROR(_xlfn.XLOOKUP($A231,Input_Raw!$A:$A,Input_Raw!$CZ:$CZ),"")</f>
        <v/>
      </c>
      <c r="K231" s="201" t="str">
        <f>IFERROR(_xlfn.XLOOKUP($A231,Input_Raw!$A:$A,Input_Raw!$DB:$DB),"")</f>
        <v/>
      </c>
      <c r="L231" s="201" t="str">
        <f>IFERROR(_xlfn.XLOOKUP($A231,Input_Raw!$A:$A,Input_Raw!$DC:$DC),"")</f>
        <v/>
      </c>
      <c r="M231" s="200" t="str">
        <f>IFERROR(_xlfn.XLOOKUP($A231,Input_Raw!$A:$A,Input_Raw!$DF:$DF),"")</f>
        <v/>
      </c>
      <c r="N231" s="200" t="str">
        <f>IFERROR(_xlfn.XLOOKUP($A231,Input_Raw!$A:$A,Input_Raw!$DG:$DG),"")</f>
        <v/>
      </c>
      <c r="O231" s="230" t="str">
        <f>IFERROR(1-(SUMIF(Plant_BD!$B:$B,$A231,Plant_BD!$AL:$AL)/($AA231+SUMIF(Plant_BD!$B:$B,$A231,Plant_BD!$AL:$AL))),"")</f>
        <v/>
      </c>
      <c r="P231" s="230"/>
      <c r="Q231" s="231" t="str">
        <f>IFERROR(1-(SUMIF(Grid_BD!$B:$B,$A231,Grid_BD!$V:$V)/($AA231+SUMIF(Grid_BD!$B:$B,$A231,Grid_BD!$V:$V))),"")</f>
        <v/>
      </c>
      <c r="R231" s="230" t="str">
        <f>IFERROR(1-(SUMIF(Grid_BD!$B:$B,$A231,Grid_BD!$V:$V)/($AA231+SUMIF(Grid_BD!$B:$B,$A231,Grid_BD!$V:$V))),"")</f>
        <v/>
      </c>
      <c r="S231" s="9"/>
      <c r="T231" s="231"/>
      <c r="U231" s="232" t="str">
        <f t="shared" si="16"/>
        <v/>
      </c>
      <c r="V231" s="232" t="str">
        <f>IFERROR(_xlfn.XLOOKUP($A231,Input_Raw!$A:$A,Input_Raw!$FG:$FG),"")</f>
        <v/>
      </c>
      <c r="W231" s="233" t="str">
        <f t="shared" si="17"/>
        <v/>
      </c>
      <c r="X231" s="29" t="str">
        <f>IFERROR(_xlfn.XLOOKUP($A231,Input_Raw!$A:$A,Input_Raw!$DP:$DP),"")</f>
        <v/>
      </c>
      <c r="Y231" s="29" t="str">
        <f>IFERROR(_xlfn.XLOOKUP($A231,Input_Raw!$A:$A,Input_Raw!EW:EW),"")</f>
        <v/>
      </c>
      <c r="Z231" s="29" t="str">
        <f>IFERROR(_xlfn.XLOOKUP($A231,Input_Raw!$A:$A,Input_Raw!EX:EX),"")</f>
        <v/>
      </c>
      <c r="AA231" s="29" t="str">
        <f>IFERROR(_xlfn.XLOOKUP($A231,Input_Raw!$A:$A,Input_Raw!FA:FA),"")</f>
        <v/>
      </c>
      <c r="AB231" s="9" t="str">
        <f>IFERROR(_xlfn.XLOOKUP($A231,Input_Raw!$A:$A,Input_Raw!FD:FD),"")</f>
        <v/>
      </c>
      <c r="AC231" s="185">
        <f>IFERROR(_xlfn.XLOOKUP($D231,'Modelling New'!$D:$D,'Modelling New'!P:P),"")</f>
        <v>5.583333333333333</v>
      </c>
      <c r="AD231" s="29">
        <f>IFERROR(_xlfn.XLOOKUP($D231,'Modelling New'!$D:$D,'Modelling New'!T:T)*1000,"")</f>
        <v>618179.87541245308</v>
      </c>
      <c r="AE231" s="233">
        <f>IFERROR(_xlfn.XLOOKUP($D231,'Modelling New'!$D:$D,'Modelling New'!O:O),"")</f>
        <v>0.85168295119970561</v>
      </c>
      <c r="AF231" s="233">
        <f>IFERROR(_xlfn.XLOOKUP($D231,'Modelling New'!$D:$D,'Modelling New'!W:W),"")</f>
        <v>0.19813457545270932</v>
      </c>
      <c r="AG231" s="233">
        <f>IFERROR(_xlfn.XLOOKUP($D231,'Modelling New'!$D:$D,'Modelling New'!AE:AE),"")</f>
        <v>0.995</v>
      </c>
      <c r="AH231" s="234">
        <f>IFERROR(_xlfn.XLOOKUP($D231,'Modelling New'!$D:$D,'Modelling New'!AF:AF),"")</f>
        <v>0.995</v>
      </c>
      <c r="AI231" s="9"/>
      <c r="AJ231" s="9"/>
      <c r="AK231" s="258"/>
      <c r="AL231" s="258"/>
      <c r="AM231" s="258"/>
      <c r="AN231" s="235"/>
      <c r="AO231" s="233"/>
      <c r="AP231" s="233"/>
      <c r="AQ231" s="233"/>
      <c r="AR231" s="236">
        <f>_xlfn.XLOOKUP(D231,'Modelling New'!$D:$D,'Modelling New'!$N:$N)</f>
        <v>130</v>
      </c>
      <c r="AS231" s="236" t="str">
        <f t="shared" si="18"/>
        <v/>
      </c>
    </row>
    <row r="232" spans="1:45">
      <c r="A232" s="18">
        <f t="shared" si="19"/>
        <v>45975</v>
      </c>
      <c r="B232" s="29">
        <f>YEAR(Table13[[#This Row],[Date]])+IF(MONTH(Table13[[#This Row],[Date]])&gt;=4,1,0)</f>
        <v>2026</v>
      </c>
      <c r="C232" s="9">
        <f>YEAR(Table13[[#This Row],[Date]])</f>
        <v>2025</v>
      </c>
      <c r="D232" s="229">
        <f>Table13[[#This Row],[Date]]-DAY(Table13[[#This Row],[Date]])+1</f>
        <v>45962</v>
      </c>
      <c r="E232" s="9">
        <f t="shared" ref="E232:E295" si="20">DAY(EOMONTH(A232,0))</f>
        <v>30</v>
      </c>
      <c r="F232" s="199" t="str">
        <f>IFERROR(_xlfn.XLOOKUP($A232,Input_Raw!$A:$A,Input_Raw!$FC:$FC),"")</f>
        <v/>
      </c>
      <c r="G232" s="200" t="str">
        <f>IFERROR(_xlfn.XLOOKUP($A232,Input_Raw!$A:$A,Input_Raw!$CY:$CY),"")</f>
        <v/>
      </c>
      <c r="H232" s="200" t="str">
        <f>IFERROR(_xlfn.XLOOKUP($A232,Input_Raw!$A:$A,Input_Raw!$DA:$DA),"")</f>
        <v/>
      </c>
      <c r="I232" s="200" t="str">
        <f>IFERROR(_xlfn.XLOOKUP($A232,Input_Raw!$A:$A,Input_Raw!$CX:$CX),"")</f>
        <v/>
      </c>
      <c r="J232" s="200" t="str">
        <f>IFERROR(_xlfn.XLOOKUP($A232,Input_Raw!$A:$A,Input_Raw!$CZ:$CZ),"")</f>
        <v/>
      </c>
      <c r="K232" s="201" t="str">
        <f>IFERROR(_xlfn.XLOOKUP($A232,Input_Raw!$A:$A,Input_Raw!$DB:$DB),"")</f>
        <v/>
      </c>
      <c r="L232" s="201" t="str">
        <f>IFERROR(_xlfn.XLOOKUP($A232,Input_Raw!$A:$A,Input_Raw!$DC:$DC),"")</f>
        <v/>
      </c>
      <c r="M232" s="200" t="str">
        <f>IFERROR(_xlfn.XLOOKUP($A232,Input_Raw!$A:$A,Input_Raw!$DF:$DF),"")</f>
        <v/>
      </c>
      <c r="N232" s="200" t="str">
        <f>IFERROR(_xlfn.XLOOKUP($A232,Input_Raw!$A:$A,Input_Raw!$DG:$DG),"")</f>
        <v/>
      </c>
      <c r="O232" s="230" t="str">
        <f>IFERROR(1-(SUMIF(Plant_BD!$B:$B,$A232,Plant_BD!$AL:$AL)/($AA232+SUMIF(Plant_BD!$B:$B,$A232,Plant_BD!$AL:$AL))),"")</f>
        <v/>
      </c>
      <c r="P232" s="230"/>
      <c r="Q232" s="231" t="str">
        <f>IFERROR(1-(SUMIF(Grid_BD!$B:$B,$A232,Grid_BD!$V:$V)/($AA232+SUMIF(Grid_BD!$B:$B,$A232,Grid_BD!$V:$V))),"")</f>
        <v/>
      </c>
      <c r="R232" s="230" t="str">
        <f>IFERROR(1-(SUMIF(Grid_BD!$B:$B,$A232,Grid_BD!$V:$V)/($AA232+SUMIF(Grid_BD!$B:$B,$A232,Grid_BD!$V:$V))),"")</f>
        <v/>
      </c>
      <c r="S232" s="9"/>
      <c r="T232" s="231"/>
      <c r="U232" s="232" t="str">
        <f t="shared" ref="U232:U295" si="21">IFERROR(AA232/I232/AB232/1000,"")</f>
        <v/>
      </c>
      <c r="V232" s="232" t="str">
        <f>IFERROR(_xlfn.XLOOKUP($A232,Input_Raw!$A:$A,Input_Raw!$FG:$FG),"")</f>
        <v/>
      </c>
      <c r="W232" s="233" t="str">
        <f t="shared" ref="W232:W295" si="22">IFERROR(AA232/(24*AR232*1000),"")</f>
        <v/>
      </c>
      <c r="X232" s="29" t="str">
        <f>IFERROR(_xlfn.XLOOKUP($A232,Input_Raw!$A:$A,Input_Raw!$DP:$DP),"")</f>
        <v/>
      </c>
      <c r="Y232" s="29" t="str">
        <f>IFERROR(_xlfn.XLOOKUP($A232,Input_Raw!$A:$A,Input_Raw!EW:EW),"")</f>
        <v/>
      </c>
      <c r="Z232" s="29" t="str">
        <f>IFERROR(_xlfn.XLOOKUP($A232,Input_Raw!$A:$A,Input_Raw!EX:EX),"")</f>
        <v/>
      </c>
      <c r="AA232" s="29" t="str">
        <f>IFERROR(_xlfn.XLOOKUP($A232,Input_Raw!$A:$A,Input_Raw!FA:FA),"")</f>
        <v/>
      </c>
      <c r="AB232" s="9" t="str">
        <f>IFERROR(_xlfn.XLOOKUP($A232,Input_Raw!$A:$A,Input_Raw!FD:FD),"")</f>
        <v/>
      </c>
      <c r="AC232" s="185">
        <f>IFERROR(_xlfn.XLOOKUP($D232,'Modelling New'!$D:$D,'Modelling New'!P:P),"")</f>
        <v>5.583333333333333</v>
      </c>
      <c r="AD232" s="29">
        <f>IFERROR(_xlfn.XLOOKUP($D232,'Modelling New'!$D:$D,'Modelling New'!T:T)*1000,"")</f>
        <v>618179.87541245308</v>
      </c>
      <c r="AE232" s="233">
        <f>IFERROR(_xlfn.XLOOKUP($D232,'Modelling New'!$D:$D,'Modelling New'!O:O),"")</f>
        <v>0.85168295119970561</v>
      </c>
      <c r="AF232" s="233">
        <f>IFERROR(_xlfn.XLOOKUP($D232,'Modelling New'!$D:$D,'Modelling New'!W:W),"")</f>
        <v>0.19813457545270932</v>
      </c>
      <c r="AG232" s="233">
        <f>IFERROR(_xlfn.XLOOKUP($D232,'Modelling New'!$D:$D,'Modelling New'!AE:AE),"")</f>
        <v>0.995</v>
      </c>
      <c r="AH232" s="234">
        <f>IFERROR(_xlfn.XLOOKUP($D232,'Modelling New'!$D:$D,'Modelling New'!AF:AF),"")</f>
        <v>0.995</v>
      </c>
      <c r="AI232" s="9"/>
      <c r="AJ232" s="9"/>
      <c r="AK232" s="258"/>
      <c r="AL232" s="258"/>
      <c r="AM232" s="258"/>
      <c r="AN232" s="235"/>
      <c r="AO232" s="233"/>
      <c r="AP232" s="233"/>
      <c r="AQ232" s="233"/>
      <c r="AR232" s="236">
        <f>_xlfn.XLOOKUP(D232,'Modelling New'!$D:$D,'Modelling New'!$N:$N)</f>
        <v>130</v>
      </c>
      <c r="AS232" s="236" t="str">
        <f t="shared" ref="AS232:AS295" si="23">IFERROR((AD232/AR232)*AB232,"")</f>
        <v/>
      </c>
    </row>
    <row r="233" spans="1:45">
      <c r="A233" s="18">
        <f t="shared" si="19"/>
        <v>45976</v>
      </c>
      <c r="B233" s="29">
        <f>YEAR(Table13[[#This Row],[Date]])+IF(MONTH(Table13[[#This Row],[Date]])&gt;=4,1,0)</f>
        <v>2026</v>
      </c>
      <c r="C233" s="9">
        <f>YEAR(Table13[[#This Row],[Date]])</f>
        <v>2025</v>
      </c>
      <c r="D233" s="229">
        <f>Table13[[#This Row],[Date]]-DAY(Table13[[#This Row],[Date]])+1</f>
        <v>45962</v>
      </c>
      <c r="E233" s="9">
        <f t="shared" si="20"/>
        <v>30</v>
      </c>
      <c r="F233" s="199" t="str">
        <f>IFERROR(_xlfn.XLOOKUP($A233,Input_Raw!$A:$A,Input_Raw!$FC:$FC),"")</f>
        <v/>
      </c>
      <c r="G233" s="185" t="str">
        <f>IFERROR(_xlfn.XLOOKUP($A233,Input_Raw!$A:$A,Input_Raw!$CY:$CY),"")</f>
        <v/>
      </c>
      <c r="H233" s="185" t="str">
        <f>IFERROR(_xlfn.XLOOKUP($A233,Input_Raw!$A:$A,Input_Raw!$DA:$DA),"")</f>
        <v/>
      </c>
      <c r="I233" s="185" t="str">
        <f>IFERROR(_xlfn.XLOOKUP($A233,Input_Raw!$A:$A,Input_Raw!$CX:$CX),"")</f>
        <v/>
      </c>
      <c r="J233" s="185" t="str">
        <f>IFERROR(_xlfn.XLOOKUP($A233,Input_Raw!$A:$A,Input_Raw!$CZ:$CZ),"")</f>
        <v/>
      </c>
      <c r="K233" s="201" t="str">
        <f>IFERROR(_xlfn.XLOOKUP($A233,Input_Raw!$A:$A,Input_Raw!$DB:$DB),"")</f>
        <v/>
      </c>
      <c r="L233" s="201" t="str">
        <f>IFERROR(_xlfn.XLOOKUP($A233,Input_Raw!$A:$A,Input_Raw!$DC:$DC),"")</f>
        <v/>
      </c>
      <c r="M233" s="200" t="str">
        <f>IFERROR(_xlfn.XLOOKUP($A233,Input_Raw!$A:$A,Input_Raw!$DF:$DF),"")</f>
        <v/>
      </c>
      <c r="N233" s="200" t="str">
        <f>IFERROR(_xlfn.XLOOKUP($A233,Input_Raw!$A:$A,Input_Raw!$DG:$DG),"")</f>
        <v/>
      </c>
      <c r="O233" s="230" t="str">
        <f>IFERROR(1-(SUMIF(Plant_BD!$B:$B,$A233,Plant_BD!$AL:$AL)/($AA233+SUMIF(Plant_BD!$B:$B,$A233,Plant_BD!$AL:$AL))),"")</f>
        <v/>
      </c>
      <c r="P233" s="230"/>
      <c r="Q233" s="231" t="str">
        <f>IFERROR(1-(SUMIF(Grid_BD!$B:$B,$A233,Grid_BD!$V:$V)/($AA233+SUMIF(Grid_BD!$B:$B,$A233,Grid_BD!$V:$V))),"")</f>
        <v/>
      </c>
      <c r="R233" s="230" t="str">
        <f>IFERROR(1-(SUMIF(Grid_BD!$B:$B,$A233,Grid_BD!$V:$V)/($AA233+SUMIF(Grid_BD!$B:$B,$A233,Grid_BD!$V:$V))),"")</f>
        <v/>
      </c>
      <c r="S233" s="9"/>
      <c r="T233" s="231"/>
      <c r="U233" s="232" t="str">
        <f t="shared" si="21"/>
        <v/>
      </c>
      <c r="V233" s="232" t="str">
        <f>IFERROR(_xlfn.XLOOKUP($A233,Input_Raw!$A:$A,Input_Raw!$FG:$FG),"")</f>
        <v/>
      </c>
      <c r="W233" s="233" t="str">
        <f t="shared" si="22"/>
        <v/>
      </c>
      <c r="X233" s="29" t="str">
        <f>IFERROR(_xlfn.XLOOKUP($A233,Input_Raw!$A:$A,Input_Raw!$DP:$DP),"")</f>
        <v/>
      </c>
      <c r="Y233" s="29" t="str">
        <f>IFERROR(_xlfn.XLOOKUP($A233,Input_Raw!$A:$A,Input_Raw!EW:EW),"")</f>
        <v/>
      </c>
      <c r="Z233" s="29" t="str">
        <f>IFERROR(_xlfn.XLOOKUP($A233,Input_Raw!$A:$A,Input_Raw!EX:EX),"")</f>
        <v/>
      </c>
      <c r="AA233" s="29" t="str">
        <f>IFERROR(_xlfn.XLOOKUP($A233,Input_Raw!$A:$A,Input_Raw!FA:FA),"")</f>
        <v/>
      </c>
      <c r="AB233" s="9" t="str">
        <f>IFERROR(_xlfn.XLOOKUP($A233,Input_Raw!$A:$A,Input_Raw!FD:FD),"")</f>
        <v/>
      </c>
      <c r="AC233" s="185">
        <f>IFERROR(_xlfn.XLOOKUP($D233,'Modelling New'!$D:$D,'Modelling New'!P:P),"")</f>
        <v>5.583333333333333</v>
      </c>
      <c r="AD233" s="29">
        <f>IFERROR(_xlfn.XLOOKUP($D233,'Modelling New'!$D:$D,'Modelling New'!T:T)*1000,"")</f>
        <v>618179.87541245308</v>
      </c>
      <c r="AE233" s="233">
        <f>IFERROR(_xlfn.XLOOKUP($D233,'Modelling New'!$D:$D,'Modelling New'!O:O),"")</f>
        <v>0.85168295119970561</v>
      </c>
      <c r="AF233" s="233">
        <f>IFERROR(_xlfn.XLOOKUP($D233,'Modelling New'!$D:$D,'Modelling New'!W:W),"")</f>
        <v>0.19813457545270932</v>
      </c>
      <c r="AG233" s="233">
        <f>IFERROR(_xlfn.XLOOKUP($D233,'Modelling New'!$D:$D,'Modelling New'!AE:AE),"")</f>
        <v>0.995</v>
      </c>
      <c r="AH233" s="234">
        <f>IFERROR(_xlfn.XLOOKUP($D233,'Modelling New'!$D:$D,'Modelling New'!AF:AF),"")</f>
        <v>0.995</v>
      </c>
      <c r="AI233" s="9"/>
      <c r="AJ233" s="9"/>
      <c r="AK233" s="258"/>
      <c r="AL233" s="258"/>
      <c r="AM233" s="258"/>
      <c r="AN233" s="235"/>
      <c r="AO233" s="233"/>
      <c r="AP233" s="233"/>
      <c r="AQ233" s="233"/>
      <c r="AR233" s="236">
        <f>_xlfn.XLOOKUP(D233,'Modelling New'!$D:$D,'Modelling New'!$N:$N)</f>
        <v>130</v>
      </c>
      <c r="AS233" s="236" t="str">
        <f t="shared" si="23"/>
        <v/>
      </c>
    </row>
    <row r="234" spans="1:45">
      <c r="A234" s="18">
        <f t="shared" ref="A234:A297" si="24">A233+1</f>
        <v>45977</v>
      </c>
      <c r="B234" s="29">
        <f>YEAR(Table13[[#This Row],[Date]])+IF(MONTH(Table13[[#This Row],[Date]])&gt;=4,1,0)</f>
        <v>2026</v>
      </c>
      <c r="C234" s="9">
        <f>YEAR(Table13[[#This Row],[Date]])</f>
        <v>2025</v>
      </c>
      <c r="D234" s="229">
        <f>Table13[[#This Row],[Date]]-DAY(Table13[[#This Row],[Date]])+1</f>
        <v>45962</v>
      </c>
      <c r="E234" s="9">
        <f t="shared" si="20"/>
        <v>30</v>
      </c>
      <c r="F234" s="199" t="str">
        <f>IFERROR(_xlfn.XLOOKUP($A234,Input_Raw!$A:$A,Input_Raw!$FC:$FC),"")</f>
        <v/>
      </c>
      <c r="G234" s="200" t="str">
        <f>IFERROR(_xlfn.XLOOKUP($A234,Input_Raw!$A:$A,Input_Raw!$CY:$CY),"")</f>
        <v/>
      </c>
      <c r="H234" s="200" t="str">
        <f>IFERROR(_xlfn.XLOOKUP($A234,Input_Raw!$A:$A,Input_Raw!$DA:$DA),"")</f>
        <v/>
      </c>
      <c r="I234" s="200" t="str">
        <f>IFERROR(_xlfn.XLOOKUP($A234,Input_Raw!$A:$A,Input_Raw!$CX:$CX),"")</f>
        <v/>
      </c>
      <c r="J234" s="200" t="str">
        <f>IFERROR(_xlfn.XLOOKUP($A234,Input_Raw!$A:$A,Input_Raw!$CZ:$CZ),"")</f>
        <v/>
      </c>
      <c r="K234" s="201" t="str">
        <f>IFERROR(_xlfn.XLOOKUP($A234,Input_Raw!$A:$A,Input_Raw!$DB:$DB),"")</f>
        <v/>
      </c>
      <c r="L234" s="201" t="str">
        <f>IFERROR(_xlfn.XLOOKUP($A234,Input_Raw!$A:$A,Input_Raw!$DC:$DC),"")</f>
        <v/>
      </c>
      <c r="M234" s="200" t="str">
        <f>IFERROR(_xlfn.XLOOKUP($A234,Input_Raw!$A:$A,Input_Raw!$DF:$DF),"")</f>
        <v/>
      </c>
      <c r="N234" s="200" t="str">
        <f>IFERROR(_xlfn.XLOOKUP($A234,Input_Raw!$A:$A,Input_Raw!$DG:$DG),"")</f>
        <v/>
      </c>
      <c r="O234" s="230" t="str">
        <f>IFERROR(1-(SUMIF(Plant_BD!$B:$B,$A234,Plant_BD!$AL:$AL)/($AA234+SUMIF(Plant_BD!$B:$B,$A234,Plant_BD!$AL:$AL))),"")</f>
        <v/>
      </c>
      <c r="P234" s="230"/>
      <c r="Q234" s="231" t="str">
        <f>IFERROR(1-(SUMIF(Grid_BD!$B:$B,$A234,Grid_BD!$V:$V)/($AA234+SUMIF(Grid_BD!$B:$B,$A234,Grid_BD!$V:$V))),"")</f>
        <v/>
      </c>
      <c r="R234" s="230" t="str">
        <f>IFERROR(1-(SUMIF(Grid_BD!$B:$B,$A234,Grid_BD!$V:$V)/($AA234+SUMIF(Grid_BD!$B:$B,$A234,Grid_BD!$V:$V))),"")</f>
        <v/>
      </c>
      <c r="S234" s="9"/>
      <c r="T234" s="231"/>
      <c r="U234" s="232" t="str">
        <f t="shared" si="21"/>
        <v/>
      </c>
      <c r="V234" s="232" t="str">
        <f>IFERROR(_xlfn.XLOOKUP($A234,Input_Raw!$A:$A,Input_Raw!$FG:$FG),"")</f>
        <v/>
      </c>
      <c r="W234" s="233" t="str">
        <f t="shared" si="22"/>
        <v/>
      </c>
      <c r="X234" s="29" t="str">
        <f>IFERROR(_xlfn.XLOOKUP($A234,Input_Raw!$A:$A,Input_Raw!$DP:$DP),"")</f>
        <v/>
      </c>
      <c r="Y234" s="29" t="str">
        <f>IFERROR(_xlfn.XLOOKUP($A234,Input_Raw!$A:$A,Input_Raw!EW:EW),"")</f>
        <v/>
      </c>
      <c r="Z234" s="29" t="str">
        <f>IFERROR(_xlfn.XLOOKUP($A234,Input_Raw!$A:$A,Input_Raw!EX:EX),"")</f>
        <v/>
      </c>
      <c r="AA234" s="29" t="str">
        <f>IFERROR(_xlfn.XLOOKUP($A234,Input_Raw!$A:$A,Input_Raw!FA:FA),"")</f>
        <v/>
      </c>
      <c r="AB234" s="9" t="str">
        <f>IFERROR(_xlfn.XLOOKUP($A234,Input_Raw!$A:$A,Input_Raw!FD:FD),"")</f>
        <v/>
      </c>
      <c r="AC234" s="185">
        <f>IFERROR(_xlfn.XLOOKUP($D234,'Modelling New'!$D:$D,'Modelling New'!P:P),"")</f>
        <v>5.583333333333333</v>
      </c>
      <c r="AD234" s="29">
        <f>IFERROR(_xlfn.XLOOKUP($D234,'Modelling New'!$D:$D,'Modelling New'!T:T)*1000,"")</f>
        <v>618179.87541245308</v>
      </c>
      <c r="AE234" s="233">
        <f>IFERROR(_xlfn.XLOOKUP($D234,'Modelling New'!$D:$D,'Modelling New'!O:O),"")</f>
        <v>0.85168295119970561</v>
      </c>
      <c r="AF234" s="233">
        <f>IFERROR(_xlfn.XLOOKUP($D234,'Modelling New'!$D:$D,'Modelling New'!W:W),"")</f>
        <v>0.19813457545270932</v>
      </c>
      <c r="AG234" s="233">
        <f>IFERROR(_xlfn.XLOOKUP($D234,'Modelling New'!$D:$D,'Modelling New'!AE:AE),"")</f>
        <v>0.995</v>
      </c>
      <c r="AH234" s="234">
        <f>IFERROR(_xlfn.XLOOKUP($D234,'Modelling New'!$D:$D,'Modelling New'!AF:AF),"")</f>
        <v>0.995</v>
      </c>
      <c r="AI234" s="9"/>
      <c r="AJ234" s="9"/>
      <c r="AK234" s="258"/>
      <c r="AL234" s="258"/>
      <c r="AM234" s="258"/>
      <c r="AN234" s="235"/>
      <c r="AO234" s="233"/>
      <c r="AP234" s="233"/>
      <c r="AQ234" s="233"/>
      <c r="AR234" s="236">
        <f>_xlfn.XLOOKUP(D234,'Modelling New'!$D:$D,'Modelling New'!$N:$N)</f>
        <v>130</v>
      </c>
      <c r="AS234" s="236" t="str">
        <f t="shared" si="23"/>
        <v/>
      </c>
    </row>
    <row r="235" spans="1:45">
      <c r="A235" s="18">
        <f t="shared" si="24"/>
        <v>45978</v>
      </c>
      <c r="B235" s="29">
        <f>YEAR(Table13[[#This Row],[Date]])+IF(MONTH(Table13[[#This Row],[Date]])&gt;=4,1,0)</f>
        <v>2026</v>
      </c>
      <c r="C235" s="9">
        <f>YEAR(Table13[[#This Row],[Date]])</f>
        <v>2025</v>
      </c>
      <c r="D235" s="229">
        <f>Table13[[#This Row],[Date]]-DAY(Table13[[#This Row],[Date]])+1</f>
        <v>45962</v>
      </c>
      <c r="E235" s="9">
        <f t="shared" si="20"/>
        <v>30</v>
      </c>
      <c r="F235" s="199" t="str">
        <f>IFERROR(_xlfn.XLOOKUP($A235,Input_Raw!$A:$A,Input_Raw!$FC:$FC),"")</f>
        <v/>
      </c>
      <c r="G235" s="185" t="str">
        <f>IFERROR(_xlfn.XLOOKUP($A235,Input_Raw!$A:$A,Input_Raw!$CY:$CY),"")</f>
        <v/>
      </c>
      <c r="H235" s="185" t="str">
        <f>IFERROR(_xlfn.XLOOKUP($A235,Input_Raw!$A:$A,Input_Raw!$DA:$DA),"")</f>
        <v/>
      </c>
      <c r="I235" s="185" t="str">
        <f>IFERROR(_xlfn.XLOOKUP($A235,Input_Raw!$A:$A,Input_Raw!$CX:$CX),"")</f>
        <v/>
      </c>
      <c r="J235" s="185" t="str">
        <f>IFERROR(_xlfn.XLOOKUP($A235,Input_Raw!$A:$A,Input_Raw!$CZ:$CZ),"")</f>
        <v/>
      </c>
      <c r="K235" s="201" t="str">
        <f>IFERROR(_xlfn.XLOOKUP($A235,Input_Raw!$A:$A,Input_Raw!$DB:$DB),"")</f>
        <v/>
      </c>
      <c r="L235" s="201" t="str">
        <f>IFERROR(_xlfn.XLOOKUP($A235,Input_Raw!$A:$A,Input_Raw!$DC:$DC),"")</f>
        <v/>
      </c>
      <c r="M235" s="200" t="str">
        <f>IFERROR(_xlfn.XLOOKUP($A235,Input_Raw!$A:$A,Input_Raw!$DF:$DF),"")</f>
        <v/>
      </c>
      <c r="N235" s="200" t="str">
        <f>IFERROR(_xlfn.XLOOKUP($A235,Input_Raw!$A:$A,Input_Raw!$DG:$DG),"")</f>
        <v/>
      </c>
      <c r="O235" s="230" t="str">
        <f>IFERROR(1-(SUMIF(Plant_BD!$B:$B,$A235,Plant_BD!$AL:$AL)/($AA235+SUMIF(Plant_BD!$B:$B,$A235,Plant_BD!$AL:$AL))),"")</f>
        <v/>
      </c>
      <c r="P235" s="230"/>
      <c r="Q235" s="231" t="str">
        <f>IFERROR(1-(SUMIF(Grid_BD!$B:$B,$A235,Grid_BD!$V:$V)/($AA235+SUMIF(Grid_BD!$B:$B,$A235,Grid_BD!$V:$V))),"")</f>
        <v/>
      </c>
      <c r="R235" s="230" t="str">
        <f>IFERROR(1-(SUMIF(Grid_BD!$B:$B,$A235,Grid_BD!$V:$V)/($AA235+SUMIF(Grid_BD!$B:$B,$A235,Grid_BD!$V:$V))),"")</f>
        <v/>
      </c>
      <c r="S235" s="9"/>
      <c r="T235" s="231"/>
      <c r="U235" s="232" t="str">
        <f t="shared" si="21"/>
        <v/>
      </c>
      <c r="V235" s="232" t="str">
        <f>IFERROR(_xlfn.XLOOKUP($A235,Input_Raw!$A:$A,Input_Raw!$FG:$FG),"")</f>
        <v/>
      </c>
      <c r="W235" s="233" t="str">
        <f t="shared" si="22"/>
        <v/>
      </c>
      <c r="X235" s="29" t="str">
        <f>IFERROR(_xlfn.XLOOKUP($A235,Input_Raw!$A:$A,Input_Raw!$DP:$DP),"")</f>
        <v/>
      </c>
      <c r="Y235" s="29" t="str">
        <f>IFERROR(_xlfn.XLOOKUP($A235,Input_Raw!$A:$A,Input_Raw!EW:EW),"")</f>
        <v/>
      </c>
      <c r="Z235" s="29" t="str">
        <f>IFERROR(_xlfn.XLOOKUP($A235,Input_Raw!$A:$A,Input_Raw!EX:EX),"")</f>
        <v/>
      </c>
      <c r="AA235" s="29" t="str">
        <f>IFERROR(_xlfn.XLOOKUP($A235,Input_Raw!$A:$A,Input_Raw!FA:FA),"")</f>
        <v/>
      </c>
      <c r="AB235" s="9" t="str">
        <f>IFERROR(_xlfn.XLOOKUP($A235,Input_Raw!$A:$A,Input_Raw!FD:FD),"")</f>
        <v/>
      </c>
      <c r="AC235" s="185">
        <f>IFERROR(_xlfn.XLOOKUP($D235,'Modelling New'!$D:$D,'Modelling New'!P:P),"")</f>
        <v>5.583333333333333</v>
      </c>
      <c r="AD235" s="29">
        <f>IFERROR(_xlfn.XLOOKUP($D235,'Modelling New'!$D:$D,'Modelling New'!T:T)*1000,"")</f>
        <v>618179.87541245308</v>
      </c>
      <c r="AE235" s="233">
        <f>IFERROR(_xlfn.XLOOKUP($D235,'Modelling New'!$D:$D,'Modelling New'!O:O),"")</f>
        <v>0.85168295119970561</v>
      </c>
      <c r="AF235" s="233">
        <f>IFERROR(_xlfn.XLOOKUP($D235,'Modelling New'!$D:$D,'Modelling New'!W:W),"")</f>
        <v>0.19813457545270932</v>
      </c>
      <c r="AG235" s="233">
        <f>IFERROR(_xlfn.XLOOKUP($D235,'Modelling New'!$D:$D,'Modelling New'!AE:AE),"")</f>
        <v>0.995</v>
      </c>
      <c r="AH235" s="234">
        <f>IFERROR(_xlfn.XLOOKUP($D235,'Modelling New'!$D:$D,'Modelling New'!AF:AF),"")</f>
        <v>0.995</v>
      </c>
      <c r="AI235" s="9"/>
      <c r="AJ235" s="9"/>
      <c r="AK235" s="258"/>
      <c r="AL235" s="258"/>
      <c r="AM235" s="258"/>
      <c r="AN235" s="235"/>
      <c r="AO235" s="233"/>
      <c r="AP235" s="233"/>
      <c r="AQ235" s="233"/>
      <c r="AR235" s="236">
        <f>_xlfn.XLOOKUP(D235,'Modelling New'!$D:$D,'Modelling New'!$N:$N)</f>
        <v>130</v>
      </c>
      <c r="AS235" s="236" t="str">
        <f t="shared" si="23"/>
        <v/>
      </c>
    </row>
    <row r="236" spans="1:45">
      <c r="A236" s="18">
        <f t="shared" si="24"/>
        <v>45979</v>
      </c>
      <c r="B236" s="29">
        <f>YEAR(Table13[[#This Row],[Date]])+IF(MONTH(Table13[[#This Row],[Date]])&gt;=4,1,0)</f>
        <v>2026</v>
      </c>
      <c r="C236" s="9">
        <f>YEAR(Table13[[#This Row],[Date]])</f>
        <v>2025</v>
      </c>
      <c r="D236" s="229">
        <f>Table13[[#This Row],[Date]]-DAY(Table13[[#This Row],[Date]])+1</f>
        <v>45962</v>
      </c>
      <c r="E236" s="9">
        <f t="shared" si="20"/>
        <v>30</v>
      </c>
      <c r="F236" s="199" t="str">
        <f>IFERROR(_xlfn.XLOOKUP($A236,Input_Raw!$A:$A,Input_Raw!$FC:$FC),"")</f>
        <v/>
      </c>
      <c r="G236" s="200" t="str">
        <f>IFERROR(_xlfn.XLOOKUP($A236,Input_Raw!$A:$A,Input_Raw!$CY:$CY),"")</f>
        <v/>
      </c>
      <c r="H236" s="200" t="str">
        <f>IFERROR(_xlfn.XLOOKUP($A236,Input_Raw!$A:$A,Input_Raw!$DA:$DA),"")</f>
        <v/>
      </c>
      <c r="I236" s="200" t="str">
        <f>IFERROR(_xlfn.XLOOKUP($A236,Input_Raw!$A:$A,Input_Raw!$CX:$CX),"")</f>
        <v/>
      </c>
      <c r="J236" s="200" t="str">
        <f>IFERROR(_xlfn.XLOOKUP($A236,Input_Raw!$A:$A,Input_Raw!$CZ:$CZ),"")</f>
        <v/>
      </c>
      <c r="K236" s="201" t="str">
        <f>IFERROR(_xlfn.XLOOKUP($A236,Input_Raw!$A:$A,Input_Raw!$DB:$DB),"")</f>
        <v/>
      </c>
      <c r="L236" s="201" t="str">
        <f>IFERROR(_xlfn.XLOOKUP($A236,Input_Raw!$A:$A,Input_Raw!$DC:$DC),"")</f>
        <v/>
      </c>
      <c r="M236" s="200" t="str">
        <f>IFERROR(_xlfn.XLOOKUP($A236,Input_Raw!$A:$A,Input_Raw!$DF:$DF),"")</f>
        <v/>
      </c>
      <c r="N236" s="200" t="str">
        <f>IFERROR(_xlfn.XLOOKUP($A236,Input_Raw!$A:$A,Input_Raw!$DG:$DG),"")</f>
        <v/>
      </c>
      <c r="O236" s="230" t="str">
        <f>IFERROR(1-(SUMIF(Plant_BD!$B:$B,$A236,Plant_BD!$AL:$AL)/($AA236+SUMIF(Plant_BD!$B:$B,$A236,Plant_BD!$AL:$AL))),"")</f>
        <v/>
      </c>
      <c r="P236" s="230"/>
      <c r="Q236" s="231" t="str">
        <f>IFERROR(1-(SUMIF(Grid_BD!$B:$B,$A236,Grid_BD!$V:$V)/($AA236+SUMIF(Grid_BD!$B:$B,$A236,Grid_BD!$V:$V))),"")</f>
        <v/>
      </c>
      <c r="R236" s="230" t="str">
        <f>IFERROR(1-(SUMIF(Grid_BD!$B:$B,$A236,Grid_BD!$V:$V)/($AA236+SUMIF(Grid_BD!$B:$B,$A236,Grid_BD!$V:$V))),"")</f>
        <v/>
      </c>
      <c r="S236" s="9"/>
      <c r="T236" s="231"/>
      <c r="U236" s="232" t="str">
        <f t="shared" si="21"/>
        <v/>
      </c>
      <c r="V236" s="232" t="str">
        <f>IFERROR(_xlfn.XLOOKUP($A236,Input_Raw!$A:$A,Input_Raw!$FG:$FG),"")</f>
        <v/>
      </c>
      <c r="W236" s="233" t="str">
        <f t="shared" si="22"/>
        <v/>
      </c>
      <c r="X236" s="29" t="str">
        <f>IFERROR(_xlfn.XLOOKUP($A236,Input_Raw!$A:$A,Input_Raw!$DP:$DP),"")</f>
        <v/>
      </c>
      <c r="Y236" s="29" t="str">
        <f>IFERROR(_xlfn.XLOOKUP($A236,Input_Raw!$A:$A,Input_Raw!EW:EW),"")</f>
        <v/>
      </c>
      <c r="Z236" s="29" t="str">
        <f>IFERROR(_xlfn.XLOOKUP($A236,Input_Raw!$A:$A,Input_Raw!EX:EX),"")</f>
        <v/>
      </c>
      <c r="AA236" s="29" t="str">
        <f>IFERROR(_xlfn.XLOOKUP($A236,Input_Raw!$A:$A,Input_Raw!FA:FA),"")</f>
        <v/>
      </c>
      <c r="AB236" s="9" t="str">
        <f>IFERROR(_xlfn.XLOOKUP($A236,Input_Raw!$A:$A,Input_Raw!FD:FD),"")</f>
        <v/>
      </c>
      <c r="AC236" s="185">
        <f>IFERROR(_xlfn.XLOOKUP($D236,'Modelling New'!$D:$D,'Modelling New'!P:P),"")</f>
        <v>5.583333333333333</v>
      </c>
      <c r="AD236" s="29">
        <f>IFERROR(_xlfn.XLOOKUP($D236,'Modelling New'!$D:$D,'Modelling New'!T:T)*1000,"")</f>
        <v>618179.87541245308</v>
      </c>
      <c r="AE236" s="233">
        <f>IFERROR(_xlfn.XLOOKUP($D236,'Modelling New'!$D:$D,'Modelling New'!O:O),"")</f>
        <v>0.85168295119970561</v>
      </c>
      <c r="AF236" s="233">
        <f>IFERROR(_xlfn.XLOOKUP($D236,'Modelling New'!$D:$D,'Modelling New'!W:W),"")</f>
        <v>0.19813457545270932</v>
      </c>
      <c r="AG236" s="233">
        <f>IFERROR(_xlfn.XLOOKUP($D236,'Modelling New'!$D:$D,'Modelling New'!AE:AE),"")</f>
        <v>0.995</v>
      </c>
      <c r="AH236" s="234">
        <f>IFERROR(_xlfn.XLOOKUP($D236,'Modelling New'!$D:$D,'Modelling New'!AF:AF),"")</f>
        <v>0.995</v>
      </c>
      <c r="AI236" s="9"/>
      <c r="AJ236" s="9"/>
      <c r="AK236" s="258"/>
      <c r="AL236" s="258"/>
      <c r="AM236" s="258"/>
      <c r="AN236" s="235"/>
      <c r="AO236" s="233"/>
      <c r="AP236" s="233"/>
      <c r="AQ236" s="233"/>
      <c r="AR236" s="236">
        <f>_xlfn.XLOOKUP(D236,'Modelling New'!$D:$D,'Modelling New'!$N:$N)</f>
        <v>130</v>
      </c>
      <c r="AS236" s="236" t="str">
        <f t="shared" si="23"/>
        <v/>
      </c>
    </row>
    <row r="237" spans="1:45">
      <c r="A237" s="18">
        <f t="shared" si="24"/>
        <v>45980</v>
      </c>
      <c r="B237" s="29">
        <f>YEAR(Table13[[#This Row],[Date]])+IF(MONTH(Table13[[#This Row],[Date]])&gt;=4,1,0)</f>
        <v>2026</v>
      </c>
      <c r="C237" s="9">
        <f>YEAR(Table13[[#This Row],[Date]])</f>
        <v>2025</v>
      </c>
      <c r="D237" s="229">
        <f>Table13[[#This Row],[Date]]-DAY(Table13[[#This Row],[Date]])+1</f>
        <v>45962</v>
      </c>
      <c r="E237" s="9">
        <f t="shared" si="20"/>
        <v>30</v>
      </c>
      <c r="F237" s="199" t="str">
        <f>IFERROR(_xlfn.XLOOKUP($A237,Input_Raw!$A:$A,Input_Raw!$FC:$FC),"")</f>
        <v/>
      </c>
      <c r="G237" s="185" t="str">
        <f>IFERROR(_xlfn.XLOOKUP($A237,Input_Raw!$A:$A,Input_Raw!$CY:$CY),"")</f>
        <v/>
      </c>
      <c r="H237" s="185" t="str">
        <f>IFERROR(_xlfn.XLOOKUP($A237,Input_Raw!$A:$A,Input_Raw!$DA:$DA),"")</f>
        <v/>
      </c>
      <c r="I237" s="185" t="str">
        <f>IFERROR(_xlfn.XLOOKUP($A237,Input_Raw!$A:$A,Input_Raw!$CX:$CX),"")</f>
        <v/>
      </c>
      <c r="J237" s="185" t="str">
        <f>IFERROR(_xlfn.XLOOKUP($A237,Input_Raw!$A:$A,Input_Raw!$CZ:$CZ),"")</f>
        <v/>
      </c>
      <c r="K237" s="201" t="str">
        <f>IFERROR(_xlfn.XLOOKUP($A237,Input_Raw!$A:$A,Input_Raw!$DB:$DB),"")</f>
        <v/>
      </c>
      <c r="L237" s="201" t="str">
        <f>IFERROR(_xlfn.XLOOKUP($A237,Input_Raw!$A:$A,Input_Raw!$DC:$DC),"")</f>
        <v/>
      </c>
      <c r="M237" s="200" t="str">
        <f>IFERROR(_xlfn.XLOOKUP($A237,Input_Raw!$A:$A,Input_Raw!$DF:$DF),"")</f>
        <v/>
      </c>
      <c r="N237" s="200" t="str">
        <f>IFERROR(_xlfn.XLOOKUP($A237,Input_Raw!$A:$A,Input_Raw!$DG:$DG),"")</f>
        <v/>
      </c>
      <c r="O237" s="230" t="str">
        <f>IFERROR(1-(SUMIF(Plant_BD!$B:$B,$A237,Plant_BD!$AL:$AL)/($AA237+SUMIF(Plant_BD!$B:$B,$A237,Plant_BD!$AL:$AL))),"")</f>
        <v/>
      </c>
      <c r="P237" s="230"/>
      <c r="Q237" s="231" t="str">
        <f>IFERROR(1-(SUMIF(Grid_BD!$B:$B,$A237,Grid_BD!$V:$V)/($AA237+SUMIF(Grid_BD!$B:$B,$A237,Grid_BD!$V:$V))),"")</f>
        <v/>
      </c>
      <c r="R237" s="230" t="str">
        <f>IFERROR(1-(SUMIF(Grid_BD!$B:$B,$A237,Grid_BD!$V:$V)/($AA237+SUMIF(Grid_BD!$B:$B,$A237,Grid_BD!$V:$V))),"")</f>
        <v/>
      </c>
      <c r="S237" s="9"/>
      <c r="T237" s="231"/>
      <c r="U237" s="232" t="str">
        <f t="shared" si="21"/>
        <v/>
      </c>
      <c r="V237" s="232" t="str">
        <f>IFERROR(_xlfn.XLOOKUP($A237,Input_Raw!$A:$A,Input_Raw!$FG:$FG),"")</f>
        <v/>
      </c>
      <c r="W237" s="233" t="str">
        <f t="shared" si="22"/>
        <v/>
      </c>
      <c r="X237" s="29" t="str">
        <f>IFERROR(_xlfn.XLOOKUP($A237,Input_Raw!$A:$A,Input_Raw!$DP:$DP),"")</f>
        <v/>
      </c>
      <c r="Y237" s="29" t="str">
        <f>IFERROR(_xlfn.XLOOKUP($A237,Input_Raw!$A:$A,Input_Raw!EW:EW),"")</f>
        <v/>
      </c>
      <c r="Z237" s="29" t="str">
        <f>IFERROR(_xlfn.XLOOKUP($A237,Input_Raw!$A:$A,Input_Raw!EX:EX),"")</f>
        <v/>
      </c>
      <c r="AA237" s="29" t="str">
        <f>IFERROR(_xlfn.XLOOKUP($A237,Input_Raw!$A:$A,Input_Raw!FA:FA),"")</f>
        <v/>
      </c>
      <c r="AB237" s="9" t="str">
        <f>IFERROR(_xlfn.XLOOKUP($A237,Input_Raw!$A:$A,Input_Raw!FD:FD),"")</f>
        <v/>
      </c>
      <c r="AC237" s="185">
        <f>IFERROR(_xlfn.XLOOKUP($D237,'Modelling New'!$D:$D,'Modelling New'!P:P),"")</f>
        <v>5.583333333333333</v>
      </c>
      <c r="AD237" s="29">
        <f>IFERROR(_xlfn.XLOOKUP($D237,'Modelling New'!$D:$D,'Modelling New'!T:T)*1000,"")</f>
        <v>618179.87541245308</v>
      </c>
      <c r="AE237" s="233">
        <f>IFERROR(_xlfn.XLOOKUP($D237,'Modelling New'!$D:$D,'Modelling New'!O:O),"")</f>
        <v>0.85168295119970561</v>
      </c>
      <c r="AF237" s="233">
        <f>IFERROR(_xlfn.XLOOKUP($D237,'Modelling New'!$D:$D,'Modelling New'!W:W),"")</f>
        <v>0.19813457545270932</v>
      </c>
      <c r="AG237" s="233">
        <f>IFERROR(_xlfn.XLOOKUP($D237,'Modelling New'!$D:$D,'Modelling New'!AE:AE),"")</f>
        <v>0.995</v>
      </c>
      <c r="AH237" s="234">
        <f>IFERROR(_xlfn.XLOOKUP($D237,'Modelling New'!$D:$D,'Modelling New'!AF:AF),"")</f>
        <v>0.995</v>
      </c>
      <c r="AI237" s="9"/>
      <c r="AJ237" s="9"/>
      <c r="AK237" s="258"/>
      <c r="AL237" s="258"/>
      <c r="AM237" s="258"/>
      <c r="AN237" s="235"/>
      <c r="AO237" s="233"/>
      <c r="AP237" s="233"/>
      <c r="AQ237" s="233"/>
      <c r="AR237" s="236">
        <f>_xlfn.XLOOKUP(D237,'Modelling New'!$D:$D,'Modelling New'!$N:$N)</f>
        <v>130</v>
      </c>
      <c r="AS237" s="236" t="str">
        <f t="shared" si="23"/>
        <v/>
      </c>
    </row>
    <row r="238" spans="1:45">
      <c r="A238" s="18">
        <f t="shared" si="24"/>
        <v>45981</v>
      </c>
      <c r="B238" s="29">
        <f>YEAR(Table13[[#This Row],[Date]])+IF(MONTH(Table13[[#This Row],[Date]])&gt;=4,1,0)</f>
        <v>2026</v>
      </c>
      <c r="C238" s="9">
        <f>YEAR(Table13[[#This Row],[Date]])</f>
        <v>2025</v>
      </c>
      <c r="D238" s="229">
        <f>Table13[[#This Row],[Date]]-DAY(Table13[[#This Row],[Date]])+1</f>
        <v>45962</v>
      </c>
      <c r="E238" s="9">
        <f t="shared" si="20"/>
        <v>30</v>
      </c>
      <c r="F238" s="199" t="str">
        <f>IFERROR(_xlfn.XLOOKUP($A238,Input_Raw!$A:$A,Input_Raw!$FC:$FC),"")</f>
        <v/>
      </c>
      <c r="G238" s="200" t="str">
        <f>IFERROR(_xlfn.XLOOKUP($A238,Input_Raw!$A:$A,Input_Raw!$CY:$CY),"")</f>
        <v/>
      </c>
      <c r="H238" s="200" t="str">
        <f>IFERROR(_xlfn.XLOOKUP($A238,Input_Raw!$A:$A,Input_Raw!$DA:$DA),"")</f>
        <v/>
      </c>
      <c r="I238" s="200" t="str">
        <f>IFERROR(_xlfn.XLOOKUP($A238,Input_Raw!$A:$A,Input_Raw!$CX:$CX),"")</f>
        <v/>
      </c>
      <c r="J238" s="200" t="str">
        <f>IFERROR(_xlfn.XLOOKUP($A238,Input_Raw!$A:$A,Input_Raw!$CZ:$CZ),"")</f>
        <v/>
      </c>
      <c r="K238" s="201" t="str">
        <f>IFERROR(_xlfn.XLOOKUP($A238,Input_Raw!$A:$A,Input_Raw!$DB:$DB),"")</f>
        <v/>
      </c>
      <c r="L238" s="201" t="str">
        <f>IFERROR(_xlfn.XLOOKUP($A238,Input_Raw!$A:$A,Input_Raw!$DC:$DC),"")</f>
        <v/>
      </c>
      <c r="M238" s="200" t="str">
        <f>IFERROR(_xlfn.XLOOKUP($A238,Input_Raw!$A:$A,Input_Raw!$DF:$DF),"")</f>
        <v/>
      </c>
      <c r="N238" s="200" t="str">
        <f>IFERROR(_xlfn.XLOOKUP($A238,Input_Raw!$A:$A,Input_Raw!$DG:$DG),"")</f>
        <v/>
      </c>
      <c r="O238" s="230" t="str">
        <f>IFERROR(1-(SUMIF(Plant_BD!$B:$B,$A238,Plant_BD!$AL:$AL)/($AA238+SUMIF(Plant_BD!$B:$B,$A238,Plant_BD!$AL:$AL))),"")</f>
        <v/>
      </c>
      <c r="P238" s="230"/>
      <c r="Q238" s="231" t="str">
        <f>IFERROR(1-(SUMIF(Grid_BD!$B:$B,$A238,Grid_BD!$V:$V)/($AA238+SUMIF(Grid_BD!$B:$B,$A238,Grid_BD!$V:$V))),"")</f>
        <v/>
      </c>
      <c r="R238" s="230" t="str">
        <f>IFERROR(1-(SUMIF(Grid_BD!$B:$B,$A238,Grid_BD!$V:$V)/($AA238+SUMIF(Grid_BD!$B:$B,$A238,Grid_BD!$V:$V))),"")</f>
        <v/>
      </c>
      <c r="S238" s="9"/>
      <c r="T238" s="231"/>
      <c r="U238" s="232" t="str">
        <f t="shared" si="21"/>
        <v/>
      </c>
      <c r="V238" s="232" t="str">
        <f>IFERROR(_xlfn.XLOOKUP($A238,Input_Raw!$A:$A,Input_Raw!$FG:$FG),"")</f>
        <v/>
      </c>
      <c r="W238" s="233" t="str">
        <f t="shared" si="22"/>
        <v/>
      </c>
      <c r="X238" s="29" t="str">
        <f>IFERROR(_xlfn.XLOOKUP($A238,Input_Raw!$A:$A,Input_Raw!$DP:$DP),"")</f>
        <v/>
      </c>
      <c r="Y238" s="29" t="str">
        <f>IFERROR(_xlfn.XLOOKUP($A238,Input_Raw!$A:$A,Input_Raw!EW:EW),"")</f>
        <v/>
      </c>
      <c r="Z238" s="29" t="str">
        <f>IFERROR(_xlfn.XLOOKUP($A238,Input_Raw!$A:$A,Input_Raw!EX:EX),"")</f>
        <v/>
      </c>
      <c r="AA238" s="29" t="str">
        <f>IFERROR(_xlfn.XLOOKUP($A238,Input_Raw!$A:$A,Input_Raw!FA:FA),"")</f>
        <v/>
      </c>
      <c r="AB238" s="9" t="str">
        <f>IFERROR(_xlfn.XLOOKUP($A238,Input_Raw!$A:$A,Input_Raw!FD:FD),"")</f>
        <v/>
      </c>
      <c r="AC238" s="185">
        <f>IFERROR(_xlfn.XLOOKUP($D238,'Modelling New'!$D:$D,'Modelling New'!P:P),"")</f>
        <v>5.583333333333333</v>
      </c>
      <c r="AD238" s="29">
        <f>IFERROR(_xlfn.XLOOKUP($D238,'Modelling New'!$D:$D,'Modelling New'!T:T)*1000,"")</f>
        <v>618179.87541245308</v>
      </c>
      <c r="AE238" s="233">
        <f>IFERROR(_xlfn.XLOOKUP($D238,'Modelling New'!$D:$D,'Modelling New'!O:O),"")</f>
        <v>0.85168295119970561</v>
      </c>
      <c r="AF238" s="233">
        <f>IFERROR(_xlfn.XLOOKUP($D238,'Modelling New'!$D:$D,'Modelling New'!W:W),"")</f>
        <v>0.19813457545270932</v>
      </c>
      <c r="AG238" s="233">
        <f>IFERROR(_xlfn.XLOOKUP($D238,'Modelling New'!$D:$D,'Modelling New'!AE:AE),"")</f>
        <v>0.995</v>
      </c>
      <c r="AH238" s="234">
        <f>IFERROR(_xlfn.XLOOKUP($D238,'Modelling New'!$D:$D,'Modelling New'!AF:AF),"")</f>
        <v>0.995</v>
      </c>
      <c r="AI238" s="9"/>
      <c r="AJ238" s="9"/>
      <c r="AK238" s="258"/>
      <c r="AL238" s="258"/>
      <c r="AM238" s="258"/>
      <c r="AN238" s="235"/>
      <c r="AO238" s="233"/>
      <c r="AP238" s="233"/>
      <c r="AQ238" s="233"/>
      <c r="AR238" s="236">
        <f>_xlfn.XLOOKUP(D238,'Modelling New'!$D:$D,'Modelling New'!$N:$N)</f>
        <v>130</v>
      </c>
      <c r="AS238" s="236" t="str">
        <f t="shared" si="23"/>
        <v/>
      </c>
    </row>
    <row r="239" spans="1:45">
      <c r="A239" s="18">
        <f t="shared" si="24"/>
        <v>45982</v>
      </c>
      <c r="B239" s="29">
        <f>YEAR(Table13[[#This Row],[Date]])+IF(MONTH(Table13[[#This Row],[Date]])&gt;=4,1,0)</f>
        <v>2026</v>
      </c>
      <c r="C239" s="9">
        <f>YEAR(Table13[[#This Row],[Date]])</f>
        <v>2025</v>
      </c>
      <c r="D239" s="229">
        <f>Table13[[#This Row],[Date]]-DAY(Table13[[#This Row],[Date]])+1</f>
        <v>45962</v>
      </c>
      <c r="E239" s="9">
        <f t="shared" si="20"/>
        <v>30</v>
      </c>
      <c r="F239" s="199" t="str">
        <f>IFERROR(_xlfn.XLOOKUP($A239,Input_Raw!$A:$A,Input_Raw!$FC:$FC),"")</f>
        <v/>
      </c>
      <c r="G239" s="185" t="str">
        <f>IFERROR(_xlfn.XLOOKUP($A239,Input_Raw!$A:$A,Input_Raw!$CY:$CY),"")</f>
        <v/>
      </c>
      <c r="H239" s="185" t="str">
        <f>IFERROR(_xlfn.XLOOKUP($A239,Input_Raw!$A:$A,Input_Raw!$DA:$DA),"")</f>
        <v/>
      </c>
      <c r="I239" s="185" t="str">
        <f>IFERROR(_xlfn.XLOOKUP($A239,Input_Raw!$A:$A,Input_Raw!$CX:$CX),"")</f>
        <v/>
      </c>
      <c r="J239" s="185" t="str">
        <f>IFERROR(_xlfn.XLOOKUP($A239,Input_Raw!$A:$A,Input_Raw!$CZ:$CZ),"")</f>
        <v/>
      </c>
      <c r="K239" s="201" t="str">
        <f>IFERROR(_xlfn.XLOOKUP($A239,Input_Raw!$A:$A,Input_Raw!$DB:$DB),"")</f>
        <v/>
      </c>
      <c r="L239" s="201" t="str">
        <f>IFERROR(_xlfn.XLOOKUP($A239,Input_Raw!$A:$A,Input_Raw!$DC:$DC),"")</f>
        <v/>
      </c>
      <c r="M239" s="200" t="str">
        <f>IFERROR(_xlfn.XLOOKUP($A239,Input_Raw!$A:$A,Input_Raw!$DF:$DF),"")</f>
        <v/>
      </c>
      <c r="N239" s="200" t="str">
        <f>IFERROR(_xlfn.XLOOKUP($A239,Input_Raw!$A:$A,Input_Raw!$DG:$DG),"")</f>
        <v/>
      </c>
      <c r="O239" s="230" t="str">
        <f>IFERROR(1-(SUMIF(Plant_BD!$B:$B,$A239,Plant_BD!$AL:$AL)/($AA239+SUMIF(Plant_BD!$B:$B,$A239,Plant_BD!$AL:$AL))),"")</f>
        <v/>
      </c>
      <c r="P239" s="230"/>
      <c r="Q239" s="231" t="str">
        <f>IFERROR(1-(SUMIF(Grid_BD!$B:$B,$A239,Grid_BD!$V:$V)/($AA239+SUMIF(Grid_BD!$B:$B,$A239,Grid_BD!$V:$V))),"")</f>
        <v/>
      </c>
      <c r="R239" s="230" t="str">
        <f>IFERROR(1-(SUMIF(Grid_BD!$B:$B,$A239,Grid_BD!$V:$V)/($AA239+SUMIF(Grid_BD!$B:$B,$A239,Grid_BD!$V:$V))),"")</f>
        <v/>
      </c>
      <c r="S239" s="9"/>
      <c r="T239" s="231"/>
      <c r="U239" s="232" t="str">
        <f t="shared" si="21"/>
        <v/>
      </c>
      <c r="V239" s="232" t="str">
        <f>IFERROR(_xlfn.XLOOKUP($A239,Input_Raw!$A:$A,Input_Raw!$FG:$FG),"")</f>
        <v/>
      </c>
      <c r="W239" s="233" t="str">
        <f t="shared" si="22"/>
        <v/>
      </c>
      <c r="X239" s="29" t="str">
        <f>IFERROR(_xlfn.XLOOKUP($A239,Input_Raw!$A:$A,Input_Raw!$DP:$DP),"")</f>
        <v/>
      </c>
      <c r="Y239" s="29" t="str">
        <f>IFERROR(_xlfn.XLOOKUP($A239,Input_Raw!$A:$A,Input_Raw!EW:EW),"")</f>
        <v/>
      </c>
      <c r="Z239" s="29" t="str">
        <f>IFERROR(_xlfn.XLOOKUP($A239,Input_Raw!$A:$A,Input_Raw!EX:EX),"")</f>
        <v/>
      </c>
      <c r="AA239" s="29" t="str">
        <f>IFERROR(_xlfn.XLOOKUP($A239,Input_Raw!$A:$A,Input_Raw!FA:FA),"")</f>
        <v/>
      </c>
      <c r="AB239" s="9" t="str">
        <f>IFERROR(_xlfn.XLOOKUP($A239,Input_Raw!$A:$A,Input_Raw!FD:FD),"")</f>
        <v/>
      </c>
      <c r="AC239" s="185">
        <f>IFERROR(_xlfn.XLOOKUP($D239,'Modelling New'!$D:$D,'Modelling New'!P:P),"")</f>
        <v>5.583333333333333</v>
      </c>
      <c r="AD239" s="29">
        <f>IFERROR(_xlfn.XLOOKUP($D239,'Modelling New'!$D:$D,'Modelling New'!T:T)*1000,"")</f>
        <v>618179.87541245308</v>
      </c>
      <c r="AE239" s="233">
        <f>IFERROR(_xlfn.XLOOKUP($D239,'Modelling New'!$D:$D,'Modelling New'!O:O),"")</f>
        <v>0.85168295119970561</v>
      </c>
      <c r="AF239" s="233">
        <f>IFERROR(_xlfn.XLOOKUP($D239,'Modelling New'!$D:$D,'Modelling New'!W:W),"")</f>
        <v>0.19813457545270932</v>
      </c>
      <c r="AG239" s="233">
        <f>IFERROR(_xlfn.XLOOKUP($D239,'Modelling New'!$D:$D,'Modelling New'!AE:AE),"")</f>
        <v>0.995</v>
      </c>
      <c r="AH239" s="234">
        <f>IFERROR(_xlfn.XLOOKUP($D239,'Modelling New'!$D:$D,'Modelling New'!AF:AF),"")</f>
        <v>0.995</v>
      </c>
      <c r="AI239" s="9"/>
      <c r="AJ239" s="9"/>
      <c r="AK239" s="258"/>
      <c r="AL239" s="258"/>
      <c r="AM239" s="258"/>
      <c r="AN239" s="235"/>
      <c r="AO239" s="233"/>
      <c r="AP239" s="233"/>
      <c r="AQ239" s="233"/>
      <c r="AR239" s="236">
        <f>_xlfn.XLOOKUP(D239,'Modelling New'!$D:$D,'Modelling New'!$N:$N)</f>
        <v>130</v>
      </c>
      <c r="AS239" s="236" t="str">
        <f t="shared" si="23"/>
        <v/>
      </c>
    </row>
    <row r="240" spans="1:45">
      <c r="A240" s="18">
        <f t="shared" si="24"/>
        <v>45983</v>
      </c>
      <c r="B240" s="29">
        <f>YEAR(Table13[[#This Row],[Date]])+IF(MONTH(Table13[[#This Row],[Date]])&gt;=4,1,0)</f>
        <v>2026</v>
      </c>
      <c r="C240" s="9">
        <f>YEAR(Table13[[#This Row],[Date]])</f>
        <v>2025</v>
      </c>
      <c r="D240" s="229">
        <f>Table13[[#This Row],[Date]]-DAY(Table13[[#This Row],[Date]])+1</f>
        <v>45962</v>
      </c>
      <c r="E240" s="9">
        <f t="shared" si="20"/>
        <v>30</v>
      </c>
      <c r="F240" s="199" t="str">
        <f>IFERROR(_xlfn.XLOOKUP($A240,Input_Raw!$A:$A,Input_Raw!$FC:$FC),"")</f>
        <v/>
      </c>
      <c r="G240" s="200" t="str">
        <f>IFERROR(_xlfn.XLOOKUP($A240,Input_Raw!$A:$A,Input_Raw!$CY:$CY),"")</f>
        <v/>
      </c>
      <c r="H240" s="200" t="str">
        <f>IFERROR(_xlfn.XLOOKUP($A240,Input_Raw!$A:$A,Input_Raw!$DA:$DA),"")</f>
        <v/>
      </c>
      <c r="I240" s="200" t="str">
        <f>IFERROR(_xlfn.XLOOKUP($A240,Input_Raw!$A:$A,Input_Raw!$CX:$CX),"")</f>
        <v/>
      </c>
      <c r="J240" s="200" t="str">
        <f>IFERROR(_xlfn.XLOOKUP($A240,Input_Raw!$A:$A,Input_Raw!$CZ:$CZ),"")</f>
        <v/>
      </c>
      <c r="K240" s="201" t="str">
        <f>IFERROR(_xlfn.XLOOKUP($A240,Input_Raw!$A:$A,Input_Raw!$DB:$DB),"")</f>
        <v/>
      </c>
      <c r="L240" s="201" t="str">
        <f>IFERROR(_xlfn.XLOOKUP($A240,Input_Raw!$A:$A,Input_Raw!$DC:$DC),"")</f>
        <v/>
      </c>
      <c r="M240" s="200" t="str">
        <f>IFERROR(_xlfn.XLOOKUP($A240,Input_Raw!$A:$A,Input_Raw!$DF:$DF),"")</f>
        <v/>
      </c>
      <c r="N240" s="200" t="str">
        <f>IFERROR(_xlfn.XLOOKUP($A240,Input_Raw!$A:$A,Input_Raw!$DG:$DG),"")</f>
        <v/>
      </c>
      <c r="O240" s="230" t="str">
        <f>IFERROR(1-(SUMIF(Plant_BD!$B:$B,$A240,Plant_BD!$AL:$AL)/($AA240+SUMIF(Plant_BD!$B:$B,$A240,Plant_BD!$AL:$AL))),"")</f>
        <v/>
      </c>
      <c r="P240" s="230"/>
      <c r="Q240" s="231" t="str">
        <f>IFERROR(1-(SUMIF(Grid_BD!$B:$B,$A240,Grid_BD!$V:$V)/($AA240+SUMIF(Grid_BD!$B:$B,$A240,Grid_BD!$V:$V))),"")</f>
        <v/>
      </c>
      <c r="R240" s="230" t="str">
        <f>IFERROR(1-(SUMIF(Grid_BD!$B:$B,$A240,Grid_BD!$V:$V)/($AA240+SUMIF(Grid_BD!$B:$B,$A240,Grid_BD!$V:$V))),"")</f>
        <v/>
      </c>
      <c r="S240" s="9"/>
      <c r="T240" s="231"/>
      <c r="U240" s="232" t="str">
        <f t="shared" si="21"/>
        <v/>
      </c>
      <c r="V240" s="232" t="str">
        <f>IFERROR(_xlfn.XLOOKUP($A240,Input_Raw!$A:$A,Input_Raw!$FG:$FG),"")</f>
        <v/>
      </c>
      <c r="W240" s="233" t="str">
        <f t="shared" si="22"/>
        <v/>
      </c>
      <c r="X240" s="29" t="str">
        <f>IFERROR(_xlfn.XLOOKUP($A240,Input_Raw!$A:$A,Input_Raw!$DP:$DP),"")</f>
        <v/>
      </c>
      <c r="Y240" s="29" t="str">
        <f>IFERROR(_xlfn.XLOOKUP($A240,Input_Raw!$A:$A,Input_Raw!EW:EW),"")</f>
        <v/>
      </c>
      <c r="Z240" s="29" t="str">
        <f>IFERROR(_xlfn.XLOOKUP($A240,Input_Raw!$A:$A,Input_Raw!EX:EX),"")</f>
        <v/>
      </c>
      <c r="AA240" s="29" t="str">
        <f>IFERROR(_xlfn.XLOOKUP($A240,Input_Raw!$A:$A,Input_Raw!FA:FA),"")</f>
        <v/>
      </c>
      <c r="AB240" s="9" t="str">
        <f>IFERROR(_xlfn.XLOOKUP($A240,Input_Raw!$A:$A,Input_Raw!FD:FD),"")</f>
        <v/>
      </c>
      <c r="AC240" s="185">
        <f>IFERROR(_xlfn.XLOOKUP($D240,'Modelling New'!$D:$D,'Modelling New'!P:P),"")</f>
        <v>5.583333333333333</v>
      </c>
      <c r="AD240" s="29">
        <f>IFERROR(_xlfn.XLOOKUP($D240,'Modelling New'!$D:$D,'Modelling New'!T:T)*1000,"")</f>
        <v>618179.87541245308</v>
      </c>
      <c r="AE240" s="233">
        <f>IFERROR(_xlfn.XLOOKUP($D240,'Modelling New'!$D:$D,'Modelling New'!O:O),"")</f>
        <v>0.85168295119970561</v>
      </c>
      <c r="AF240" s="233">
        <f>IFERROR(_xlfn.XLOOKUP($D240,'Modelling New'!$D:$D,'Modelling New'!W:W),"")</f>
        <v>0.19813457545270932</v>
      </c>
      <c r="AG240" s="233">
        <f>IFERROR(_xlfn.XLOOKUP($D240,'Modelling New'!$D:$D,'Modelling New'!AE:AE),"")</f>
        <v>0.995</v>
      </c>
      <c r="AH240" s="234">
        <f>IFERROR(_xlfn.XLOOKUP($D240,'Modelling New'!$D:$D,'Modelling New'!AF:AF),"")</f>
        <v>0.995</v>
      </c>
      <c r="AI240" s="9"/>
      <c r="AJ240" s="9"/>
      <c r="AK240" s="258"/>
      <c r="AL240" s="258"/>
      <c r="AM240" s="258"/>
      <c r="AN240" s="235"/>
      <c r="AO240" s="233"/>
      <c r="AP240" s="233"/>
      <c r="AQ240" s="233"/>
      <c r="AR240" s="236">
        <f>_xlfn.XLOOKUP(D240,'Modelling New'!$D:$D,'Modelling New'!$N:$N)</f>
        <v>130</v>
      </c>
      <c r="AS240" s="236" t="str">
        <f t="shared" si="23"/>
        <v/>
      </c>
    </row>
    <row r="241" spans="1:45">
      <c r="A241" s="18">
        <f t="shared" si="24"/>
        <v>45984</v>
      </c>
      <c r="B241" s="29">
        <f>YEAR(Table13[[#This Row],[Date]])+IF(MONTH(Table13[[#This Row],[Date]])&gt;=4,1,0)</f>
        <v>2026</v>
      </c>
      <c r="C241" s="9">
        <f>YEAR(Table13[[#This Row],[Date]])</f>
        <v>2025</v>
      </c>
      <c r="D241" s="229">
        <f>Table13[[#This Row],[Date]]-DAY(Table13[[#This Row],[Date]])+1</f>
        <v>45962</v>
      </c>
      <c r="E241" s="9">
        <f t="shared" si="20"/>
        <v>30</v>
      </c>
      <c r="F241" s="199" t="str">
        <f>IFERROR(_xlfn.XLOOKUP($A241,Input_Raw!$A:$A,Input_Raw!$FC:$FC),"")</f>
        <v/>
      </c>
      <c r="G241" s="185" t="str">
        <f>IFERROR(_xlfn.XLOOKUP($A241,Input_Raw!$A:$A,Input_Raw!$CY:$CY),"")</f>
        <v/>
      </c>
      <c r="H241" s="185" t="str">
        <f>IFERROR(_xlfn.XLOOKUP($A241,Input_Raw!$A:$A,Input_Raw!$DA:$DA),"")</f>
        <v/>
      </c>
      <c r="I241" s="185" t="str">
        <f>IFERROR(_xlfn.XLOOKUP($A241,Input_Raw!$A:$A,Input_Raw!$CX:$CX),"")</f>
        <v/>
      </c>
      <c r="J241" s="185" t="str">
        <f>IFERROR(_xlfn.XLOOKUP($A241,Input_Raw!$A:$A,Input_Raw!$CZ:$CZ),"")</f>
        <v/>
      </c>
      <c r="K241" s="201" t="str">
        <f>IFERROR(_xlfn.XLOOKUP($A241,Input_Raw!$A:$A,Input_Raw!$DB:$DB),"")</f>
        <v/>
      </c>
      <c r="L241" s="201" t="str">
        <f>IFERROR(_xlfn.XLOOKUP($A241,Input_Raw!$A:$A,Input_Raw!$DC:$DC),"")</f>
        <v/>
      </c>
      <c r="M241" s="200" t="str">
        <f>IFERROR(_xlfn.XLOOKUP($A241,Input_Raw!$A:$A,Input_Raw!$DF:$DF),"")</f>
        <v/>
      </c>
      <c r="N241" s="200" t="str">
        <f>IFERROR(_xlfn.XLOOKUP($A241,Input_Raw!$A:$A,Input_Raw!$DG:$DG),"")</f>
        <v/>
      </c>
      <c r="O241" s="230" t="str">
        <f>IFERROR(1-(SUMIF(Plant_BD!$B:$B,$A241,Plant_BD!$AL:$AL)/($AA241+SUMIF(Plant_BD!$B:$B,$A241,Plant_BD!$AL:$AL))),"")</f>
        <v/>
      </c>
      <c r="P241" s="230"/>
      <c r="Q241" s="231" t="str">
        <f>IFERROR(1-(SUMIF(Grid_BD!$B:$B,$A241,Grid_BD!$V:$V)/($AA241+SUMIF(Grid_BD!$B:$B,$A241,Grid_BD!$V:$V))),"")</f>
        <v/>
      </c>
      <c r="R241" s="230" t="str">
        <f>IFERROR(1-(SUMIF(Grid_BD!$B:$B,$A241,Grid_BD!$V:$V)/($AA241+SUMIF(Grid_BD!$B:$B,$A241,Grid_BD!$V:$V))),"")</f>
        <v/>
      </c>
      <c r="S241" s="9"/>
      <c r="T241" s="231"/>
      <c r="U241" s="232" t="str">
        <f t="shared" si="21"/>
        <v/>
      </c>
      <c r="V241" s="232" t="str">
        <f>IFERROR(_xlfn.XLOOKUP($A241,Input_Raw!$A:$A,Input_Raw!$FG:$FG),"")</f>
        <v/>
      </c>
      <c r="W241" s="233" t="str">
        <f t="shared" si="22"/>
        <v/>
      </c>
      <c r="X241" s="29" t="str">
        <f>IFERROR(_xlfn.XLOOKUP($A241,Input_Raw!$A:$A,Input_Raw!$DP:$DP),"")</f>
        <v/>
      </c>
      <c r="Y241" s="29" t="str">
        <f>IFERROR(_xlfn.XLOOKUP($A241,Input_Raw!$A:$A,Input_Raw!EW:EW),"")</f>
        <v/>
      </c>
      <c r="Z241" s="29" t="str">
        <f>IFERROR(_xlfn.XLOOKUP($A241,Input_Raw!$A:$A,Input_Raw!EX:EX),"")</f>
        <v/>
      </c>
      <c r="AA241" s="29" t="str">
        <f>IFERROR(_xlfn.XLOOKUP($A241,Input_Raw!$A:$A,Input_Raw!FA:FA),"")</f>
        <v/>
      </c>
      <c r="AB241" s="9" t="str">
        <f>IFERROR(_xlfn.XLOOKUP($A241,Input_Raw!$A:$A,Input_Raw!FD:FD),"")</f>
        <v/>
      </c>
      <c r="AC241" s="185">
        <f>IFERROR(_xlfn.XLOOKUP($D241,'Modelling New'!$D:$D,'Modelling New'!P:P),"")</f>
        <v>5.583333333333333</v>
      </c>
      <c r="AD241" s="29">
        <f>IFERROR(_xlfn.XLOOKUP($D241,'Modelling New'!$D:$D,'Modelling New'!T:T)*1000,"")</f>
        <v>618179.87541245308</v>
      </c>
      <c r="AE241" s="233">
        <f>IFERROR(_xlfn.XLOOKUP($D241,'Modelling New'!$D:$D,'Modelling New'!O:O),"")</f>
        <v>0.85168295119970561</v>
      </c>
      <c r="AF241" s="233">
        <f>IFERROR(_xlfn.XLOOKUP($D241,'Modelling New'!$D:$D,'Modelling New'!W:W),"")</f>
        <v>0.19813457545270932</v>
      </c>
      <c r="AG241" s="233">
        <f>IFERROR(_xlfn.XLOOKUP($D241,'Modelling New'!$D:$D,'Modelling New'!AE:AE),"")</f>
        <v>0.995</v>
      </c>
      <c r="AH241" s="234">
        <f>IFERROR(_xlfn.XLOOKUP($D241,'Modelling New'!$D:$D,'Modelling New'!AF:AF),"")</f>
        <v>0.995</v>
      </c>
      <c r="AI241" s="9"/>
      <c r="AJ241" s="9"/>
      <c r="AK241" s="258"/>
      <c r="AL241" s="258"/>
      <c r="AM241" s="258"/>
      <c r="AN241" s="235"/>
      <c r="AO241" s="233"/>
      <c r="AP241" s="233"/>
      <c r="AQ241" s="233"/>
      <c r="AR241" s="236">
        <f>_xlfn.XLOOKUP(D241,'Modelling New'!$D:$D,'Modelling New'!$N:$N)</f>
        <v>130</v>
      </c>
      <c r="AS241" s="236" t="str">
        <f t="shared" si="23"/>
        <v/>
      </c>
    </row>
    <row r="242" spans="1:45">
      <c r="A242" s="18">
        <f t="shared" si="24"/>
        <v>45985</v>
      </c>
      <c r="B242" s="29">
        <f>YEAR(Table13[[#This Row],[Date]])+IF(MONTH(Table13[[#This Row],[Date]])&gt;=4,1,0)</f>
        <v>2026</v>
      </c>
      <c r="C242" s="9">
        <f>YEAR(Table13[[#This Row],[Date]])</f>
        <v>2025</v>
      </c>
      <c r="D242" s="229">
        <f>Table13[[#This Row],[Date]]-DAY(Table13[[#This Row],[Date]])+1</f>
        <v>45962</v>
      </c>
      <c r="E242" s="9">
        <f t="shared" si="20"/>
        <v>30</v>
      </c>
      <c r="F242" s="199" t="str">
        <f>IFERROR(_xlfn.XLOOKUP($A242,Input_Raw!$A:$A,Input_Raw!$FC:$FC),"")</f>
        <v/>
      </c>
      <c r="G242" s="200" t="str">
        <f>IFERROR(_xlfn.XLOOKUP($A242,Input_Raw!$A:$A,Input_Raw!$CY:$CY),"")</f>
        <v/>
      </c>
      <c r="H242" s="200" t="str">
        <f>IFERROR(_xlfn.XLOOKUP($A242,Input_Raw!$A:$A,Input_Raw!$DA:$DA),"")</f>
        <v/>
      </c>
      <c r="I242" s="200" t="str">
        <f>IFERROR(_xlfn.XLOOKUP($A242,Input_Raw!$A:$A,Input_Raw!$CX:$CX),"")</f>
        <v/>
      </c>
      <c r="J242" s="200" t="str">
        <f>IFERROR(_xlfn.XLOOKUP($A242,Input_Raw!$A:$A,Input_Raw!$CZ:$CZ),"")</f>
        <v/>
      </c>
      <c r="K242" s="201" t="str">
        <f>IFERROR(_xlfn.XLOOKUP($A242,Input_Raw!$A:$A,Input_Raw!$DB:$DB),"")</f>
        <v/>
      </c>
      <c r="L242" s="201" t="str">
        <f>IFERROR(_xlfn.XLOOKUP($A242,Input_Raw!$A:$A,Input_Raw!$DC:$DC),"")</f>
        <v/>
      </c>
      <c r="M242" s="200" t="str">
        <f>IFERROR(_xlfn.XLOOKUP($A242,Input_Raw!$A:$A,Input_Raw!$DF:$DF),"")</f>
        <v/>
      </c>
      <c r="N242" s="200" t="str">
        <f>IFERROR(_xlfn.XLOOKUP($A242,Input_Raw!$A:$A,Input_Raw!$DG:$DG),"")</f>
        <v/>
      </c>
      <c r="O242" s="230" t="str">
        <f>IFERROR(1-(SUMIF(Plant_BD!$B:$B,$A242,Plant_BD!$AL:$AL)/($AA242+SUMIF(Plant_BD!$B:$B,$A242,Plant_BD!$AL:$AL))),"")</f>
        <v/>
      </c>
      <c r="P242" s="230"/>
      <c r="Q242" s="231" t="str">
        <f>IFERROR(1-(SUMIF(Grid_BD!$B:$B,$A242,Grid_BD!$V:$V)/($AA242+SUMIF(Grid_BD!$B:$B,$A242,Grid_BD!$V:$V))),"")</f>
        <v/>
      </c>
      <c r="R242" s="230" t="str">
        <f>IFERROR(1-(SUMIF(Grid_BD!$B:$B,$A242,Grid_BD!$V:$V)/($AA242+SUMIF(Grid_BD!$B:$B,$A242,Grid_BD!$V:$V))),"")</f>
        <v/>
      </c>
      <c r="S242" s="9"/>
      <c r="T242" s="231"/>
      <c r="U242" s="232" t="str">
        <f t="shared" si="21"/>
        <v/>
      </c>
      <c r="V242" s="232" t="str">
        <f>IFERROR(_xlfn.XLOOKUP($A242,Input_Raw!$A:$A,Input_Raw!$FG:$FG),"")</f>
        <v/>
      </c>
      <c r="W242" s="233" t="str">
        <f t="shared" si="22"/>
        <v/>
      </c>
      <c r="X242" s="29" t="str">
        <f>IFERROR(_xlfn.XLOOKUP($A242,Input_Raw!$A:$A,Input_Raw!$DP:$DP),"")</f>
        <v/>
      </c>
      <c r="Y242" s="29" t="str">
        <f>IFERROR(_xlfn.XLOOKUP($A242,Input_Raw!$A:$A,Input_Raw!EW:EW),"")</f>
        <v/>
      </c>
      <c r="Z242" s="29" t="str">
        <f>IFERROR(_xlfn.XLOOKUP($A242,Input_Raw!$A:$A,Input_Raw!EX:EX),"")</f>
        <v/>
      </c>
      <c r="AA242" s="29" t="str">
        <f>IFERROR(_xlfn.XLOOKUP($A242,Input_Raw!$A:$A,Input_Raw!FA:FA),"")</f>
        <v/>
      </c>
      <c r="AB242" s="9" t="str">
        <f>IFERROR(_xlfn.XLOOKUP($A242,Input_Raw!$A:$A,Input_Raw!FD:FD),"")</f>
        <v/>
      </c>
      <c r="AC242" s="185">
        <f>IFERROR(_xlfn.XLOOKUP($D242,'Modelling New'!$D:$D,'Modelling New'!P:P),"")</f>
        <v>5.583333333333333</v>
      </c>
      <c r="AD242" s="29">
        <f>IFERROR(_xlfn.XLOOKUP($D242,'Modelling New'!$D:$D,'Modelling New'!T:T)*1000,"")</f>
        <v>618179.87541245308</v>
      </c>
      <c r="AE242" s="233">
        <f>IFERROR(_xlfn.XLOOKUP($D242,'Modelling New'!$D:$D,'Modelling New'!O:O),"")</f>
        <v>0.85168295119970561</v>
      </c>
      <c r="AF242" s="233">
        <f>IFERROR(_xlfn.XLOOKUP($D242,'Modelling New'!$D:$D,'Modelling New'!W:W),"")</f>
        <v>0.19813457545270932</v>
      </c>
      <c r="AG242" s="233">
        <f>IFERROR(_xlfn.XLOOKUP($D242,'Modelling New'!$D:$D,'Modelling New'!AE:AE),"")</f>
        <v>0.995</v>
      </c>
      <c r="AH242" s="234">
        <f>IFERROR(_xlfn.XLOOKUP($D242,'Modelling New'!$D:$D,'Modelling New'!AF:AF),"")</f>
        <v>0.995</v>
      </c>
      <c r="AI242" s="9"/>
      <c r="AJ242" s="9"/>
      <c r="AK242" s="258"/>
      <c r="AL242" s="258"/>
      <c r="AM242" s="258"/>
      <c r="AN242" s="235"/>
      <c r="AO242" s="233"/>
      <c r="AP242" s="233"/>
      <c r="AQ242" s="233"/>
      <c r="AR242" s="236">
        <f>_xlfn.XLOOKUP(D242,'Modelling New'!$D:$D,'Modelling New'!$N:$N)</f>
        <v>130</v>
      </c>
      <c r="AS242" s="236" t="str">
        <f t="shared" si="23"/>
        <v/>
      </c>
    </row>
    <row r="243" spans="1:45">
      <c r="A243" s="18">
        <f t="shared" si="24"/>
        <v>45986</v>
      </c>
      <c r="B243" s="29">
        <f>YEAR(Table13[[#This Row],[Date]])+IF(MONTH(Table13[[#This Row],[Date]])&gt;=4,1,0)</f>
        <v>2026</v>
      </c>
      <c r="C243" s="9">
        <f>YEAR(Table13[[#This Row],[Date]])</f>
        <v>2025</v>
      </c>
      <c r="D243" s="229">
        <f>Table13[[#This Row],[Date]]-DAY(Table13[[#This Row],[Date]])+1</f>
        <v>45962</v>
      </c>
      <c r="E243" s="9">
        <f t="shared" si="20"/>
        <v>30</v>
      </c>
      <c r="F243" s="199" t="str">
        <f>IFERROR(_xlfn.XLOOKUP($A243,Input_Raw!$A:$A,Input_Raw!$FC:$FC),"")</f>
        <v/>
      </c>
      <c r="G243" s="185" t="str">
        <f>IFERROR(_xlfn.XLOOKUP($A243,Input_Raw!$A:$A,Input_Raw!$CY:$CY),"")</f>
        <v/>
      </c>
      <c r="H243" s="185" t="str">
        <f>IFERROR(_xlfn.XLOOKUP($A243,Input_Raw!$A:$A,Input_Raw!$DA:$DA),"")</f>
        <v/>
      </c>
      <c r="I243" s="185" t="str">
        <f>IFERROR(_xlfn.XLOOKUP($A243,Input_Raw!$A:$A,Input_Raw!$CX:$CX),"")</f>
        <v/>
      </c>
      <c r="J243" s="185" t="str">
        <f>IFERROR(_xlfn.XLOOKUP($A243,Input_Raw!$A:$A,Input_Raw!$CZ:$CZ),"")</f>
        <v/>
      </c>
      <c r="K243" s="201" t="str">
        <f>IFERROR(_xlfn.XLOOKUP($A243,Input_Raw!$A:$A,Input_Raw!$DB:$DB),"")</f>
        <v/>
      </c>
      <c r="L243" s="201" t="str">
        <f>IFERROR(_xlfn.XLOOKUP($A243,Input_Raw!$A:$A,Input_Raw!$DC:$DC),"")</f>
        <v/>
      </c>
      <c r="M243" s="200" t="str">
        <f>IFERROR(_xlfn.XLOOKUP($A243,Input_Raw!$A:$A,Input_Raw!$DF:$DF),"")</f>
        <v/>
      </c>
      <c r="N243" s="200" t="str">
        <f>IFERROR(_xlfn.XLOOKUP($A243,Input_Raw!$A:$A,Input_Raw!$DG:$DG),"")</f>
        <v/>
      </c>
      <c r="O243" s="230" t="str">
        <f>IFERROR(1-(SUMIF(Plant_BD!$B:$B,$A243,Plant_BD!$AL:$AL)/($AA243+SUMIF(Plant_BD!$B:$B,$A243,Plant_BD!$AL:$AL))),"")</f>
        <v/>
      </c>
      <c r="P243" s="230"/>
      <c r="Q243" s="231" t="str">
        <f>IFERROR(1-(SUMIF(Grid_BD!$B:$B,$A243,Grid_BD!$V:$V)/($AA243+SUMIF(Grid_BD!$B:$B,$A243,Grid_BD!$V:$V))),"")</f>
        <v/>
      </c>
      <c r="R243" s="230" t="str">
        <f>IFERROR(1-(SUMIF(Grid_BD!$B:$B,$A243,Grid_BD!$V:$V)/($AA243+SUMIF(Grid_BD!$B:$B,$A243,Grid_BD!$V:$V))),"")</f>
        <v/>
      </c>
      <c r="S243" s="9"/>
      <c r="T243" s="231"/>
      <c r="U243" s="232" t="str">
        <f t="shared" si="21"/>
        <v/>
      </c>
      <c r="V243" s="232" t="str">
        <f>IFERROR(_xlfn.XLOOKUP($A243,Input_Raw!$A:$A,Input_Raw!$FG:$FG),"")</f>
        <v/>
      </c>
      <c r="W243" s="233" t="str">
        <f t="shared" si="22"/>
        <v/>
      </c>
      <c r="X243" s="29" t="str">
        <f>IFERROR(_xlfn.XLOOKUP($A243,Input_Raw!$A:$A,Input_Raw!$DP:$DP),"")</f>
        <v/>
      </c>
      <c r="Y243" s="29" t="str">
        <f>IFERROR(_xlfn.XLOOKUP($A243,Input_Raw!$A:$A,Input_Raw!EW:EW),"")</f>
        <v/>
      </c>
      <c r="Z243" s="29" t="str">
        <f>IFERROR(_xlfn.XLOOKUP($A243,Input_Raw!$A:$A,Input_Raw!EX:EX),"")</f>
        <v/>
      </c>
      <c r="AA243" s="29" t="str">
        <f>IFERROR(_xlfn.XLOOKUP($A243,Input_Raw!$A:$A,Input_Raw!FA:FA),"")</f>
        <v/>
      </c>
      <c r="AB243" s="9" t="str">
        <f>IFERROR(_xlfn.XLOOKUP($A243,Input_Raw!$A:$A,Input_Raw!FD:FD),"")</f>
        <v/>
      </c>
      <c r="AC243" s="185">
        <f>IFERROR(_xlfn.XLOOKUP($D243,'Modelling New'!$D:$D,'Modelling New'!P:P),"")</f>
        <v>5.583333333333333</v>
      </c>
      <c r="AD243" s="29">
        <f>IFERROR(_xlfn.XLOOKUP($D243,'Modelling New'!$D:$D,'Modelling New'!T:T)*1000,"")</f>
        <v>618179.87541245308</v>
      </c>
      <c r="AE243" s="233">
        <f>IFERROR(_xlfn.XLOOKUP($D243,'Modelling New'!$D:$D,'Modelling New'!O:O),"")</f>
        <v>0.85168295119970561</v>
      </c>
      <c r="AF243" s="233">
        <f>IFERROR(_xlfn.XLOOKUP($D243,'Modelling New'!$D:$D,'Modelling New'!W:W),"")</f>
        <v>0.19813457545270932</v>
      </c>
      <c r="AG243" s="233">
        <f>IFERROR(_xlfn.XLOOKUP($D243,'Modelling New'!$D:$D,'Modelling New'!AE:AE),"")</f>
        <v>0.995</v>
      </c>
      <c r="AH243" s="234">
        <f>IFERROR(_xlfn.XLOOKUP($D243,'Modelling New'!$D:$D,'Modelling New'!AF:AF),"")</f>
        <v>0.995</v>
      </c>
      <c r="AI243" s="9"/>
      <c r="AJ243" s="9"/>
      <c r="AK243" s="258"/>
      <c r="AL243" s="258"/>
      <c r="AM243" s="258"/>
      <c r="AN243" s="235"/>
      <c r="AO243" s="233"/>
      <c r="AP243" s="233"/>
      <c r="AQ243" s="233"/>
      <c r="AR243" s="236">
        <f>_xlfn.XLOOKUP(D243,'Modelling New'!$D:$D,'Modelling New'!$N:$N)</f>
        <v>130</v>
      </c>
      <c r="AS243" s="236" t="str">
        <f t="shared" si="23"/>
        <v/>
      </c>
    </row>
    <row r="244" spans="1:45">
      <c r="A244" s="18">
        <f t="shared" si="24"/>
        <v>45987</v>
      </c>
      <c r="B244" s="29">
        <f>YEAR(Table13[[#This Row],[Date]])+IF(MONTH(Table13[[#This Row],[Date]])&gt;=4,1,0)</f>
        <v>2026</v>
      </c>
      <c r="C244" s="9">
        <f>YEAR(Table13[[#This Row],[Date]])</f>
        <v>2025</v>
      </c>
      <c r="D244" s="229">
        <f>Table13[[#This Row],[Date]]-DAY(Table13[[#This Row],[Date]])+1</f>
        <v>45962</v>
      </c>
      <c r="E244" s="9">
        <f t="shared" si="20"/>
        <v>30</v>
      </c>
      <c r="F244" s="199" t="str">
        <f>IFERROR(_xlfn.XLOOKUP($A244,Input_Raw!$A:$A,Input_Raw!$FC:$FC),"")</f>
        <v/>
      </c>
      <c r="G244" s="200" t="str">
        <f>IFERROR(_xlfn.XLOOKUP($A244,Input_Raw!$A:$A,Input_Raw!$CY:$CY),"")</f>
        <v/>
      </c>
      <c r="H244" s="200" t="str">
        <f>IFERROR(_xlfn.XLOOKUP($A244,Input_Raw!$A:$A,Input_Raw!$DA:$DA),"")</f>
        <v/>
      </c>
      <c r="I244" s="200" t="str">
        <f>IFERROR(_xlfn.XLOOKUP($A244,Input_Raw!$A:$A,Input_Raw!$CX:$CX),"")</f>
        <v/>
      </c>
      <c r="J244" s="200" t="str">
        <f>IFERROR(_xlfn.XLOOKUP($A244,Input_Raw!$A:$A,Input_Raw!$CZ:$CZ),"")</f>
        <v/>
      </c>
      <c r="K244" s="201" t="str">
        <f>IFERROR(_xlfn.XLOOKUP($A244,Input_Raw!$A:$A,Input_Raw!$DB:$DB),"")</f>
        <v/>
      </c>
      <c r="L244" s="201" t="str">
        <f>IFERROR(_xlfn.XLOOKUP($A244,Input_Raw!$A:$A,Input_Raw!$DC:$DC),"")</f>
        <v/>
      </c>
      <c r="M244" s="200" t="str">
        <f>IFERROR(_xlfn.XLOOKUP($A244,Input_Raw!$A:$A,Input_Raw!$DF:$DF),"")</f>
        <v/>
      </c>
      <c r="N244" s="200" t="str">
        <f>IFERROR(_xlfn.XLOOKUP($A244,Input_Raw!$A:$A,Input_Raw!$DG:$DG),"")</f>
        <v/>
      </c>
      <c r="O244" s="230" t="str">
        <f>IFERROR(1-(SUMIF(Plant_BD!$B:$B,$A244,Plant_BD!$AL:$AL)/($AA244+SUMIF(Plant_BD!$B:$B,$A244,Plant_BD!$AL:$AL))),"")</f>
        <v/>
      </c>
      <c r="P244" s="230"/>
      <c r="Q244" s="231" t="str">
        <f>IFERROR(1-(SUMIF(Grid_BD!$B:$B,$A244,Grid_BD!$V:$V)/($AA244+SUMIF(Grid_BD!$B:$B,$A244,Grid_BD!$V:$V))),"")</f>
        <v/>
      </c>
      <c r="R244" s="230" t="str">
        <f>IFERROR(1-(SUMIF(Grid_BD!$B:$B,$A244,Grid_BD!$V:$V)/($AA244+SUMIF(Grid_BD!$B:$B,$A244,Grid_BD!$V:$V))),"")</f>
        <v/>
      </c>
      <c r="S244" s="9"/>
      <c r="T244" s="231"/>
      <c r="U244" s="232" t="str">
        <f t="shared" si="21"/>
        <v/>
      </c>
      <c r="V244" s="232" t="str">
        <f>IFERROR(_xlfn.XLOOKUP($A244,Input_Raw!$A:$A,Input_Raw!$FG:$FG),"")</f>
        <v/>
      </c>
      <c r="W244" s="233" t="str">
        <f t="shared" si="22"/>
        <v/>
      </c>
      <c r="X244" s="29" t="str">
        <f>IFERROR(_xlfn.XLOOKUP($A244,Input_Raw!$A:$A,Input_Raw!$DP:$DP),"")</f>
        <v/>
      </c>
      <c r="Y244" s="29" t="str">
        <f>IFERROR(_xlfn.XLOOKUP($A244,Input_Raw!$A:$A,Input_Raw!EW:EW),"")</f>
        <v/>
      </c>
      <c r="Z244" s="29" t="str">
        <f>IFERROR(_xlfn.XLOOKUP($A244,Input_Raw!$A:$A,Input_Raw!EX:EX),"")</f>
        <v/>
      </c>
      <c r="AA244" s="29" t="str">
        <f>IFERROR(_xlfn.XLOOKUP($A244,Input_Raw!$A:$A,Input_Raw!FA:FA),"")</f>
        <v/>
      </c>
      <c r="AB244" s="9" t="str">
        <f>IFERROR(_xlfn.XLOOKUP($A244,Input_Raw!$A:$A,Input_Raw!FD:FD),"")</f>
        <v/>
      </c>
      <c r="AC244" s="185">
        <f>IFERROR(_xlfn.XLOOKUP($D244,'Modelling New'!$D:$D,'Modelling New'!P:P),"")</f>
        <v>5.583333333333333</v>
      </c>
      <c r="AD244" s="29">
        <f>IFERROR(_xlfn.XLOOKUP($D244,'Modelling New'!$D:$D,'Modelling New'!T:T)*1000,"")</f>
        <v>618179.87541245308</v>
      </c>
      <c r="AE244" s="233">
        <f>IFERROR(_xlfn.XLOOKUP($D244,'Modelling New'!$D:$D,'Modelling New'!O:O),"")</f>
        <v>0.85168295119970561</v>
      </c>
      <c r="AF244" s="233">
        <f>IFERROR(_xlfn.XLOOKUP($D244,'Modelling New'!$D:$D,'Modelling New'!W:W),"")</f>
        <v>0.19813457545270932</v>
      </c>
      <c r="AG244" s="233">
        <f>IFERROR(_xlfn.XLOOKUP($D244,'Modelling New'!$D:$D,'Modelling New'!AE:AE),"")</f>
        <v>0.995</v>
      </c>
      <c r="AH244" s="234">
        <f>IFERROR(_xlfn.XLOOKUP($D244,'Modelling New'!$D:$D,'Modelling New'!AF:AF),"")</f>
        <v>0.995</v>
      </c>
      <c r="AI244" s="9"/>
      <c r="AJ244" s="9"/>
      <c r="AK244" s="258"/>
      <c r="AL244" s="258"/>
      <c r="AM244" s="258"/>
      <c r="AN244" s="235"/>
      <c r="AO244" s="233"/>
      <c r="AP244" s="233"/>
      <c r="AQ244" s="233"/>
      <c r="AR244" s="236">
        <f>_xlfn.XLOOKUP(D244,'Modelling New'!$D:$D,'Modelling New'!$N:$N)</f>
        <v>130</v>
      </c>
      <c r="AS244" s="236" t="str">
        <f t="shared" si="23"/>
        <v/>
      </c>
    </row>
    <row r="245" spans="1:45">
      <c r="A245" s="18">
        <f t="shared" si="24"/>
        <v>45988</v>
      </c>
      <c r="B245" s="29">
        <f>YEAR(Table13[[#This Row],[Date]])+IF(MONTH(Table13[[#This Row],[Date]])&gt;=4,1,0)</f>
        <v>2026</v>
      </c>
      <c r="C245" s="9">
        <f>YEAR(Table13[[#This Row],[Date]])</f>
        <v>2025</v>
      </c>
      <c r="D245" s="229">
        <f>Table13[[#This Row],[Date]]-DAY(Table13[[#This Row],[Date]])+1</f>
        <v>45962</v>
      </c>
      <c r="E245" s="9">
        <f t="shared" si="20"/>
        <v>30</v>
      </c>
      <c r="F245" s="199" t="str">
        <f>IFERROR(_xlfn.XLOOKUP($A245,Input_Raw!$A:$A,Input_Raw!$FC:$FC),"")</f>
        <v/>
      </c>
      <c r="G245" s="185" t="str">
        <f>IFERROR(_xlfn.XLOOKUP($A245,Input_Raw!$A:$A,Input_Raw!$CY:$CY),"")</f>
        <v/>
      </c>
      <c r="H245" s="185" t="str">
        <f>IFERROR(_xlfn.XLOOKUP($A245,Input_Raw!$A:$A,Input_Raw!$DA:$DA),"")</f>
        <v/>
      </c>
      <c r="I245" s="185" t="str">
        <f>IFERROR(_xlfn.XLOOKUP($A245,Input_Raw!$A:$A,Input_Raw!$CX:$CX),"")</f>
        <v/>
      </c>
      <c r="J245" s="185" t="str">
        <f>IFERROR(_xlfn.XLOOKUP($A245,Input_Raw!$A:$A,Input_Raw!$CZ:$CZ),"")</f>
        <v/>
      </c>
      <c r="K245" s="201" t="str">
        <f>IFERROR(_xlfn.XLOOKUP($A245,Input_Raw!$A:$A,Input_Raw!$DB:$DB),"")</f>
        <v/>
      </c>
      <c r="L245" s="201" t="str">
        <f>IFERROR(_xlfn.XLOOKUP($A245,Input_Raw!$A:$A,Input_Raw!$DC:$DC),"")</f>
        <v/>
      </c>
      <c r="M245" s="200" t="str">
        <f>IFERROR(_xlfn.XLOOKUP($A245,Input_Raw!$A:$A,Input_Raw!$DF:$DF),"")</f>
        <v/>
      </c>
      <c r="N245" s="200" t="str">
        <f>IFERROR(_xlfn.XLOOKUP($A245,Input_Raw!$A:$A,Input_Raw!$DG:$DG),"")</f>
        <v/>
      </c>
      <c r="O245" s="230" t="str">
        <f>IFERROR(1-(SUMIF(Plant_BD!$B:$B,$A245,Plant_BD!$AL:$AL)/($AA245+SUMIF(Plant_BD!$B:$B,$A245,Plant_BD!$AL:$AL))),"")</f>
        <v/>
      </c>
      <c r="P245" s="230"/>
      <c r="Q245" s="231" t="str">
        <f>IFERROR(1-(SUMIF(Grid_BD!$B:$B,$A245,Grid_BD!$V:$V)/($AA245+SUMIF(Grid_BD!$B:$B,$A245,Grid_BD!$V:$V))),"")</f>
        <v/>
      </c>
      <c r="R245" s="230" t="str">
        <f>IFERROR(1-(SUMIF(Grid_BD!$B:$B,$A245,Grid_BD!$V:$V)/($AA245+SUMIF(Grid_BD!$B:$B,$A245,Grid_BD!$V:$V))),"")</f>
        <v/>
      </c>
      <c r="S245" s="9"/>
      <c r="T245" s="231"/>
      <c r="U245" s="232" t="str">
        <f t="shared" si="21"/>
        <v/>
      </c>
      <c r="V245" s="232" t="str">
        <f>IFERROR(_xlfn.XLOOKUP($A245,Input_Raw!$A:$A,Input_Raw!$FG:$FG),"")</f>
        <v/>
      </c>
      <c r="W245" s="233" t="str">
        <f t="shared" si="22"/>
        <v/>
      </c>
      <c r="X245" s="29" t="str">
        <f>IFERROR(_xlfn.XLOOKUP($A245,Input_Raw!$A:$A,Input_Raw!$DP:$DP),"")</f>
        <v/>
      </c>
      <c r="Y245" s="29" t="str">
        <f>IFERROR(_xlfn.XLOOKUP($A245,Input_Raw!$A:$A,Input_Raw!EW:EW),"")</f>
        <v/>
      </c>
      <c r="Z245" s="29" t="str">
        <f>IFERROR(_xlfn.XLOOKUP($A245,Input_Raw!$A:$A,Input_Raw!EX:EX),"")</f>
        <v/>
      </c>
      <c r="AA245" s="29" t="str">
        <f>IFERROR(_xlfn.XLOOKUP($A245,Input_Raw!$A:$A,Input_Raw!FA:FA),"")</f>
        <v/>
      </c>
      <c r="AB245" s="9" t="str">
        <f>IFERROR(_xlfn.XLOOKUP($A245,Input_Raw!$A:$A,Input_Raw!FD:FD),"")</f>
        <v/>
      </c>
      <c r="AC245" s="185">
        <f>IFERROR(_xlfn.XLOOKUP($D245,'Modelling New'!$D:$D,'Modelling New'!P:P),"")</f>
        <v>5.583333333333333</v>
      </c>
      <c r="AD245" s="29">
        <f>IFERROR(_xlfn.XLOOKUP($D245,'Modelling New'!$D:$D,'Modelling New'!T:T)*1000,"")</f>
        <v>618179.87541245308</v>
      </c>
      <c r="AE245" s="233">
        <f>IFERROR(_xlfn.XLOOKUP($D245,'Modelling New'!$D:$D,'Modelling New'!O:O),"")</f>
        <v>0.85168295119970561</v>
      </c>
      <c r="AF245" s="233">
        <f>IFERROR(_xlfn.XLOOKUP($D245,'Modelling New'!$D:$D,'Modelling New'!W:W),"")</f>
        <v>0.19813457545270932</v>
      </c>
      <c r="AG245" s="233">
        <f>IFERROR(_xlfn.XLOOKUP($D245,'Modelling New'!$D:$D,'Modelling New'!AE:AE),"")</f>
        <v>0.995</v>
      </c>
      <c r="AH245" s="234">
        <f>IFERROR(_xlfn.XLOOKUP($D245,'Modelling New'!$D:$D,'Modelling New'!AF:AF),"")</f>
        <v>0.995</v>
      </c>
      <c r="AI245" s="9"/>
      <c r="AJ245" s="9"/>
      <c r="AK245" s="258"/>
      <c r="AL245" s="258"/>
      <c r="AM245" s="258"/>
      <c r="AN245" s="235"/>
      <c r="AO245" s="233"/>
      <c r="AP245" s="233"/>
      <c r="AQ245" s="233"/>
      <c r="AR245" s="236">
        <f>_xlfn.XLOOKUP(D245,'Modelling New'!$D:$D,'Modelling New'!$N:$N)</f>
        <v>130</v>
      </c>
      <c r="AS245" s="236" t="str">
        <f t="shared" si="23"/>
        <v/>
      </c>
    </row>
    <row r="246" spans="1:45">
      <c r="A246" s="18">
        <f t="shared" si="24"/>
        <v>45989</v>
      </c>
      <c r="B246" s="29">
        <f>YEAR(Table13[[#This Row],[Date]])+IF(MONTH(Table13[[#This Row],[Date]])&gt;=4,1,0)</f>
        <v>2026</v>
      </c>
      <c r="C246" s="9">
        <f>YEAR(Table13[[#This Row],[Date]])</f>
        <v>2025</v>
      </c>
      <c r="D246" s="229">
        <f>Table13[[#This Row],[Date]]-DAY(Table13[[#This Row],[Date]])+1</f>
        <v>45962</v>
      </c>
      <c r="E246" s="9">
        <f t="shared" si="20"/>
        <v>30</v>
      </c>
      <c r="F246" s="199" t="str">
        <f>IFERROR(_xlfn.XLOOKUP($A246,Input_Raw!$A:$A,Input_Raw!$FC:$FC),"")</f>
        <v/>
      </c>
      <c r="G246" s="200" t="str">
        <f>IFERROR(_xlfn.XLOOKUP($A246,Input_Raw!$A:$A,Input_Raw!$CY:$CY),"")</f>
        <v/>
      </c>
      <c r="H246" s="200" t="str">
        <f>IFERROR(_xlfn.XLOOKUP($A246,Input_Raw!$A:$A,Input_Raw!$DA:$DA),"")</f>
        <v/>
      </c>
      <c r="I246" s="200" t="str">
        <f>IFERROR(_xlfn.XLOOKUP($A246,Input_Raw!$A:$A,Input_Raw!$CX:$CX),"")</f>
        <v/>
      </c>
      <c r="J246" s="200" t="str">
        <f>IFERROR(_xlfn.XLOOKUP($A246,Input_Raw!$A:$A,Input_Raw!$CZ:$CZ),"")</f>
        <v/>
      </c>
      <c r="K246" s="201" t="str">
        <f>IFERROR(_xlfn.XLOOKUP($A246,Input_Raw!$A:$A,Input_Raw!$DB:$DB),"")</f>
        <v/>
      </c>
      <c r="L246" s="201" t="str">
        <f>IFERROR(_xlfn.XLOOKUP($A246,Input_Raw!$A:$A,Input_Raw!$DC:$DC),"")</f>
        <v/>
      </c>
      <c r="M246" s="200" t="str">
        <f>IFERROR(_xlfn.XLOOKUP($A246,Input_Raw!$A:$A,Input_Raw!$DF:$DF),"")</f>
        <v/>
      </c>
      <c r="N246" s="200" t="str">
        <f>IFERROR(_xlfn.XLOOKUP($A246,Input_Raw!$A:$A,Input_Raw!$DG:$DG),"")</f>
        <v/>
      </c>
      <c r="O246" s="230" t="str">
        <f>IFERROR(1-(SUMIF(Plant_BD!$B:$B,$A246,Plant_BD!$AL:$AL)/($AA246+SUMIF(Plant_BD!$B:$B,$A246,Plant_BD!$AL:$AL))),"")</f>
        <v/>
      </c>
      <c r="P246" s="230"/>
      <c r="Q246" s="231" t="str">
        <f>IFERROR(1-(SUMIF(Grid_BD!$B:$B,$A246,Grid_BD!$V:$V)/($AA246+SUMIF(Grid_BD!$B:$B,$A246,Grid_BD!$V:$V))),"")</f>
        <v/>
      </c>
      <c r="R246" s="230" t="str">
        <f>IFERROR(1-(SUMIF(Grid_BD!$B:$B,$A246,Grid_BD!$V:$V)/($AA246+SUMIF(Grid_BD!$B:$B,$A246,Grid_BD!$V:$V))),"")</f>
        <v/>
      </c>
      <c r="S246" s="9"/>
      <c r="T246" s="231"/>
      <c r="U246" s="232" t="str">
        <f t="shared" si="21"/>
        <v/>
      </c>
      <c r="V246" s="232" t="str">
        <f>IFERROR(_xlfn.XLOOKUP($A246,Input_Raw!$A:$A,Input_Raw!$FG:$FG),"")</f>
        <v/>
      </c>
      <c r="W246" s="233" t="str">
        <f t="shared" si="22"/>
        <v/>
      </c>
      <c r="X246" s="29" t="str">
        <f>IFERROR(_xlfn.XLOOKUP($A246,Input_Raw!$A:$A,Input_Raw!$DP:$DP),"")</f>
        <v/>
      </c>
      <c r="Y246" s="29" t="str">
        <f>IFERROR(_xlfn.XLOOKUP($A246,Input_Raw!$A:$A,Input_Raw!EW:EW),"")</f>
        <v/>
      </c>
      <c r="Z246" s="29" t="str">
        <f>IFERROR(_xlfn.XLOOKUP($A246,Input_Raw!$A:$A,Input_Raw!EX:EX),"")</f>
        <v/>
      </c>
      <c r="AA246" s="29" t="str">
        <f>IFERROR(_xlfn.XLOOKUP($A246,Input_Raw!$A:$A,Input_Raw!FA:FA),"")</f>
        <v/>
      </c>
      <c r="AB246" s="9" t="str">
        <f>IFERROR(_xlfn.XLOOKUP($A246,Input_Raw!$A:$A,Input_Raw!FD:FD),"")</f>
        <v/>
      </c>
      <c r="AC246" s="185">
        <f>IFERROR(_xlfn.XLOOKUP($D246,'Modelling New'!$D:$D,'Modelling New'!P:P),"")</f>
        <v>5.583333333333333</v>
      </c>
      <c r="AD246" s="29">
        <f>IFERROR(_xlfn.XLOOKUP($D246,'Modelling New'!$D:$D,'Modelling New'!T:T)*1000,"")</f>
        <v>618179.87541245308</v>
      </c>
      <c r="AE246" s="233">
        <f>IFERROR(_xlfn.XLOOKUP($D246,'Modelling New'!$D:$D,'Modelling New'!O:O),"")</f>
        <v>0.85168295119970561</v>
      </c>
      <c r="AF246" s="233">
        <f>IFERROR(_xlfn.XLOOKUP($D246,'Modelling New'!$D:$D,'Modelling New'!W:W),"")</f>
        <v>0.19813457545270932</v>
      </c>
      <c r="AG246" s="233">
        <f>IFERROR(_xlfn.XLOOKUP($D246,'Modelling New'!$D:$D,'Modelling New'!AE:AE),"")</f>
        <v>0.995</v>
      </c>
      <c r="AH246" s="234">
        <f>IFERROR(_xlfn.XLOOKUP($D246,'Modelling New'!$D:$D,'Modelling New'!AF:AF),"")</f>
        <v>0.995</v>
      </c>
      <c r="AI246" s="9"/>
      <c r="AJ246" s="9"/>
      <c r="AK246" s="258"/>
      <c r="AL246" s="258"/>
      <c r="AM246" s="258"/>
      <c r="AN246" s="235"/>
      <c r="AO246" s="233"/>
      <c r="AP246" s="233"/>
      <c r="AQ246" s="233"/>
      <c r="AR246" s="236">
        <f>_xlfn.XLOOKUP(D246,'Modelling New'!$D:$D,'Modelling New'!$N:$N)</f>
        <v>130</v>
      </c>
      <c r="AS246" s="236" t="str">
        <f t="shared" si="23"/>
        <v/>
      </c>
    </row>
    <row r="247" spans="1:45">
      <c r="A247" s="18">
        <f t="shared" si="24"/>
        <v>45990</v>
      </c>
      <c r="B247" s="29">
        <f>YEAR(Table13[[#This Row],[Date]])+IF(MONTH(Table13[[#This Row],[Date]])&gt;=4,1,0)</f>
        <v>2026</v>
      </c>
      <c r="C247" s="9">
        <f>YEAR(Table13[[#This Row],[Date]])</f>
        <v>2025</v>
      </c>
      <c r="D247" s="229">
        <f>Table13[[#This Row],[Date]]-DAY(Table13[[#This Row],[Date]])+1</f>
        <v>45962</v>
      </c>
      <c r="E247" s="9">
        <f t="shared" si="20"/>
        <v>30</v>
      </c>
      <c r="F247" s="199" t="str">
        <f>IFERROR(_xlfn.XLOOKUP($A247,Input_Raw!$A:$A,Input_Raw!$FC:$FC),"")</f>
        <v/>
      </c>
      <c r="G247" s="185" t="str">
        <f>IFERROR(_xlfn.XLOOKUP($A247,Input_Raw!$A:$A,Input_Raw!$CY:$CY),"")</f>
        <v/>
      </c>
      <c r="H247" s="185" t="str">
        <f>IFERROR(_xlfn.XLOOKUP($A247,Input_Raw!$A:$A,Input_Raw!$DA:$DA),"")</f>
        <v/>
      </c>
      <c r="I247" s="185" t="str">
        <f>IFERROR(_xlfn.XLOOKUP($A247,Input_Raw!$A:$A,Input_Raw!$CX:$CX),"")</f>
        <v/>
      </c>
      <c r="J247" s="185" t="str">
        <f>IFERROR(_xlfn.XLOOKUP($A247,Input_Raw!$A:$A,Input_Raw!$CZ:$CZ),"")</f>
        <v/>
      </c>
      <c r="K247" s="201" t="str">
        <f>IFERROR(_xlfn.XLOOKUP($A247,Input_Raw!$A:$A,Input_Raw!$DB:$DB),"")</f>
        <v/>
      </c>
      <c r="L247" s="201" t="str">
        <f>IFERROR(_xlfn.XLOOKUP($A247,Input_Raw!$A:$A,Input_Raw!$DC:$DC),"")</f>
        <v/>
      </c>
      <c r="M247" s="200" t="str">
        <f>IFERROR(_xlfn.XLOOKUP($A247,Input_Raw!$A:$A,Input_Raw!$DF:$DF),"")</f>
        <v/>
      </c>
      <c r="N247" s="200" t="str">
        <f>IFERROR(_xlfn.XLOOKUP($A247,Input_Raw!$A:$A,Input_Raw!$DG:$DG),"")</f>
        <v/>
      </c>
      <c r="O247" s="230" t="str">
        <f>IFERROR(1-(SUMIF(Plant_BD!$B:$B,$A247,Plant_BD!$AL:$AL)/($AA247+SUMIF(Plant_BD!$B:$B,$A247,Plant_BD!$AL:$AL))),"")</f>
        <v/>
      </c>
      <c r="P247" s="230"/>
      <c r="Q247" s="231" t="str">
        <f>IFERROR(1-(SUMIF(Grid_BD!$B:$B,$A247,Grid_BD!$V:$V)/($AA247+SUMIF(Grid_BD!$B:$B,$A247,Grid_BD!$V:$V))),"")</f>
        <v/>
      </c>
      <c r="R247" s="230" t="str">
        <f>IFERROR(1-(SUMIF(Grid_BD!$B:$B,$A247,Grid_BD!$V:$V)/($AA247+SUMIF(Grid_BD!$B:$B,$A247,Grid_BD!$V:$V))),"")</f>
        <v/>
      </c>
      <c r="S247" s="9"/>
      <c r="T247" s="231"/>
      <c r="U247" s="232" t="str">
        <f t="shared" si="21"/>
        <v/>
      </c>
      <c r="V247" s="232" t="str">
        <f>IFERROR(_xlfn.XLOOKUP($A247,Input_Raw!$A:$A,Input_Raw!$FG:$FG),"")</f>
        <v/>
      </c>
      <c r="W247" s="233" t="str">
        <f t="shared" si="22"/>
        <v/>
      </c>
      <c r="X247" s="29" t="str">
        <f>IFERROR(_xlfn.XLOOKUP($A247,Input_Raw!$A:$A,Input_Raw!$DP:$DP),"")</f>
        <v/>
      </c>
      <c r="Y247" s="29" t="str">
        <f>IFERROR(_xlfn.XLOOKUP($A247,Input_Raw!$A:$A,Input_Raw!EW:EW),"")</f>
        <v/>
      </c>
      <c r="Z247" s="29" t="str">
        <f>IFERROR(_xlfn.XLOOKUP($A247,Input_Raw!$A:$A,Input_Raw!EX:EX),"")</f>
        <v/>
      </c>
      <c r="AA247" s="29" t="str">
        <f>IFERROR(_xlfn.XLOOKUP($A247,Input_Raw!$A:$A,Input_Raw!FA:FA),"")</f>
        <v/>
      </c>
      <c r="AB247" s="9" t="str">
        <f>IFERROR(_xlfn.XLOOKUP($A247,Input_Raw!$A:$A,Input_Raw!FD:FD),"")</f>
        <v/>
      </c>
      <c r="AC247" s="185">
        <f>IFERROR(_xlfn.XLOOKUP($D247,'Modelling New'!$D:$D,'Modelling New'!P:P),"")</f>
        <v>5.583333333333333</v>
      </c>
      <c r="AD247" s="29">
        <f>IFERROR(_xlfn.XLOOKUP($D247,'Modelling New'!$D:$D,'Modelling New'!T:T)*1000,"")</f>
        <v>618179.87541245308</v>
      </c>
      <c r="AE247" s="233">
        <f>IFERROR(_xlfn.XLOOKUP($D247,'Modelling New'!$D:$D,'Modelling New'!O:O),"")</f>
        <v>0.85168295119970561</v>
      </c>
      <c r="AF247" s="233">
        <f>IFERROR(_xlfn.XLOOKUP($D247,'Modelling New'!$D:$D,'Modelling New'!W:W),"")</f>
        <v>0.19813457545270932</v>
      </c>
      <c r="AG247" s="233">
        <f>IFERROR(_xlfn.XLOOKUP($D247,'Modelling New'!$D:$D,'Modelling New'!AE:AE),"")</f>
        <v>0.995</v>
      </c>
      <c r="AH247" s="234">
        <f>IFERROR(_xlfn.XLOOKUP($D247,'Modelling New'!$D:$D,'Modelling New'!AF:AF),"")</f>
        <v>0.995</v>
      </c>
      <c r="AI247" s="9"/>
      <c r="AJ247" s="9"/>
      <c r="AK247" s="258"/>
      <c r="AL247" s="258"/>
      <c r="AM247" s="258"/>
      <c r="AN247" s="235"/>
      <c r="AO247" s="233"/>
      <c r="AP247" s="233"/>
      <c r="AQ247" s="233"/>
      <c r="AR247" s="236">
        <f>_xlfn.XLOOKUP(D247,'Modelling New'!$D:$D,'Modelling New'!$N:$N)</f>
        <v>130</v>
      </c>
      <c r="AS247" s="236" t="str">
        <f t="shared" si="23"/>
        <v/>
      </c>
    </row>
    <row r="248" spans="1:45">
      <c r="A248" s="18">
        <f t="shared" si="24"/>
        <v>45991</v>
      </c>
      <c r="B248" s="29">
        <f>YEAR(Table13[[#This Row],[Date]])+IF(MONTH(Table13[[#This Row],[Date]])&gt;=4,1,0)</f>
        <v>2026</v>
      </c>
      <c r="C248" s="9">
        <f>YEAR(Table13[[#This Row],[Date]])</f>
        <v>2025</v>
      </c>
      <c r="D248" s="229">
        <f>Table13[[#This Row],[Date]]-DAY(Table13[[#This Row],[Date]])+1</f>
        <v>45962</v>
      </c>
      <c r="E248" s="9">
        <f t="shared" si="20"/>
        <v>30</v>
      </c>
      <c r="F248" s="199" t="str">
        <f>IFERROR(_xlfn.XLOOKUP($A248,Input_Raw!$A:$A,Input_Raw!$FC:$FC),"")</f>
        <v/>
      </c>
      <c r="G248" s="200" t="str">
        <f>IFERROR(_xlfn.XLOOKUP($A248,Input_Raw!$A:$A,Input_Raw!$CY:$CY),"")</f>
        <v/>
      </c>
      <c r="H248" s="200" t="str">
        <f>IFERROR(_xlfn.XLOOKUP($A248,Input_Raw!$A:$A,Input_Raw!$DA:$DA),"")</f>
        <v/>
      </c>
      <c r="I248" s="200" t="str">
        <f>IFERROR(_xlfn.XLOOKUP($A248,Input_Raw!$A:$A,Input_Raw!$CX:$CX),"")</f>
        <v/>
      </c>
      <c r="J248" s="200" t="str">
        <f>IFERROR(_xlfn.XLOOKUP($A248,Input_Raw!$A:$A,Input_Raw!$CZ:$CZ),"")</f>
        <v/>
      </c>
      <c r="K248" s="201" t="str">
        <f>IFERROR(_xlfn.XLOOKUP($A248,Input_Raw!$A:$A,Input_Raw!$DB:$DB),"")</f>
        <v/>
      </c>
      <c r="L248" s="201" t="str">
        <f>IFERROR(_xlfn.XLOOKUP($A248,Input_Raw!$A:$A,Input_Raw!$DC:$DC),"")</f>
        <v/>
      </c>
      <c r="M248" s="200" t="str">
        <f>IFERROR(_xlfn.XLOOKUP($A248,Input_Raw!$A:$A,Input_Raw!$DF:$DF),"")</f>
        <v/>
      </c>
      <c r="N248" s="200" t="str">
        <f>IFERROR(_xlfn.XLOOKUP($A248,Input_Raw!$A:$A,Input_Raw!$DG:$DG),"")</f>
        <v/>
      </c>
      <c r="O248" s="230" t="str">
        <f>IFERROR(1-(SUMIF(Plant_BD!$B:$B,$A248,Plant_BD!$AL:$AL)/($AA248+SUMIF(Plant_BD!$B:$B,$A248,Plant_BD!$AL:$AL))),"")</f>
        <v/>
      </c>
      <c r="P248" s="230"/>
      <c r="Q248" s="231" t="str">
        <f>IFERROR(1-(SUMIF(Grid_BD!$B:$B,$A248,Grid_BD!$V:$V)/($AA248+SUMIF(Grid_BD!$B:$B,$A248,Grid_BD!$V:$V))),"")</f>
        <v/>
      </c>
      <c r="R248" s="230" t="str">
        <f>IFERROR(1-(SUMIF(Grid_BD!$B:$B,$A248,Grid_BD!$V:$V)/($AA248+SUMIF(Grid_BD!$B:$B,$A248,Grid_BD!$V:$V))),"")</f>
        <v/>
      </c>
      <c r="S248" s="9"/>
      <c r="T248" s="231"/>
      <c r="U248" s="232" t="str">
        <f t="shared" si="21"/>
        <v/>
      </c>
      <c r="V248" s="232" t="str">
        <f>IFERROR(_xlfn.XLOOKUP($A248,Input_Raw!$A:$A,Input_Raw!$FG:$FG),"")</f>
        <v/>
      </c>
      <c r="W248" s="233" t="str">
        <f t="shared" si="22"/>
        <v/>
      </c>
      <c r="X248" s="29" t="str">
        <f>IFERROR(_xlfn.XLOOKUP($A248,Input_Raw!$A:$A,Input_Raw!$DP:$DP),"")</f>
        <v/>
      </c>
      <c r="Y248" s="29" t="str">
        <f>IFERROR(_xlfn.XLOOKUP($A248,Input_Raw!$A:$A,Input_Raw!EW:EW),"")</f>
        <v/>
      </c>
      <c r="Z248" s="29" t="str">
        <f>IFERROR(_xlfn.XLOOKUP($A248,Input_Raw!$A:$A,Input_Raw!EX:EX),"")</f>
        <v/>
      </c>
      <c r="AA248" s="29" t="str">
        <f>IFERROR(_xlfn.XLOOKUP($A248,Input_Raw!$A:$A,Input_Raw!FA:FA),"")</f>
        <v/>
      </c>
      <c r="AB248" s="9" t="str">
        <f>IFERROR(_xlfn.XLOOKUP($A248,Input_Raw!$A:$A,Input_Raw!FD:FD),"")</f>
        <v/>
      </c>
      <c r="AC248" s="185">
        <f>IFERROR(_xlfn.XLOOKUP($D248,'Modelling New'!$D:$D,'Modelling New'!P:P),"")</f>
        <v>5.583333333333333</v>
      </c>
      <c r="AD248" s="29">
        <f>IFERROR(_xlfn.XLOOKUP($D248,'Modelling New'!$D:$D,'Modelling New'!T:T)*1000,"")</f>
        <v>618179.87541245308</v>
      </c>
      <c r="AE248" s="233">
        <f>IFERROR(_xlfn.XLOOKUP($D248,'Modelling New'!$D:$D,'Modelling New'!O:O),"")</f>
        <v>0.85168295119970561</v>
      </c>
      <c r="AF248" s="233">
        <f>IFERROR(_xlfn.XLOOKUP($D248,'Modelling New'!$D:$D,'Modelling New'!W:W),"")</f>
        <v>0.19813457545270932</v>
      </c>
      <c r="AG248" s="233">
        <f>IFERROR(_xlfn.XLOOKUP($D248,'Modelling New'!$D:$D,'Modelling New'!AE:AE),"")</f>
        <v>0.995</v>
      </c>
      <c r="AH248" s="234">
        <f>IFERROR(_xlfn.XLOOKUP($D248,'Modelling New'!$D:$D,'Modelling New'!AF:AF),"")</f>
        <v>0.995</v>
      </c>
      <c r="AI248" s="9"/>
      <c r="AJ248" s="9"/>
      <c r="AK248" s="258"/>
      <c r="AL248" s="258"/>
      <c r="AM248" s="258"/>
      <c r="AN248" s="235"/>
      <c r="AO248" s="233"/>
      <c r="AP248" s="233"/>
      <c r="AQ248" s="233"/>
      <c r="AR248" s="236">
        <f>_xlfn.XLOOKUP(D248,'Modelling New'!$D:$D,'Modelling New'!$N:$N)</f>
        <v>130</v>
      </c>
      <c r="AS248" s="236" t="str">
        <f t="shared" si="23"/>
        <v/>
      </c>
    </row>
    <row r="249" spans="1:45">
      <c r="A249" s="18">
        <f t="shared" si="24"/>
        <v>45992</v>
      </c>
      <c r="B249" s="29">
        <f>YEAR(Table13[[#This Row],[Date]])+IF(MONTH(Table13[[#This Row],[Date]])&gt;=4,1,0)</f>
        <v>2026</v>
      </c>
      <c r="C249" s="9">
        <f>YEAR(Table13[[#This Row],[Date]])</f>
        <v>2025</v>
      </c>
      <c r="D249" s="229">
        <f>Table13[[#This Row],[Date]]-DAY(Table13[[#This Row],[Date]])+1</f>
        <v>45992</v>
      </c>
      <c r="E249" s="9">
        <f t="shared" si="20"/>
        <v>31</v>
      </c>
      <c r="F249" s="199" t="str">
        <f>IFERROR(_xlfn.XLOOKUP($A249,Input_Raw!$A:$A,Input_Raw!$FC:$FC),"")</f>
        <v/>
      </c>
      <c r="G249" s="185" t="str">
        <f>IFERROR(_xlfn.XLOOKUP($A249,Input_Raw!$A:$A,Input_Raw!$CY:$CY),"")</f>
        <v/>
      </c>
      <c r="H249" s="185" t="str">
        <f>IFERROR(_xlfn.XLOOKUP($A249,Input_Raw!$A:$A,Input_Raw!$DA:$DA),"")</f>
        <v/>
      </c>
      <c r="I249" s="185" t="str">
        <f>IFERROR(_xlfn.XLOOKUP($A249,Input_Raw!$A:$A,Input_Raw!$CX:$CX),"")</f>
        <v/>
      </c>
      <c r="J249" s="185" t="str">
        <f>IFERROR(_xlfn.XLOOKUP($A249,Input_Raw!$A:$A,Input_Raw!$CZ:$CZ),"")</f>
        <v/>
      </c>
      <c r="K249" s="201" t="str">
        <f>IFERROR(_xlfn.XLOOKUP($A249,Input_Raw!$A:$A,Input_Raw!$DB:$DB),"")</f>
        <v/>
      </c>
      <c r="L249" s="201" t="str">
        <f>IFERROR(_xlfn.XLOOKUP($A249,Input_Raw!$A:$A,Input_Raw!$DC:$DC),"")</f>
        <v/>
      </c>
      <c r="M249" s="200" t="str">
        <f>IFERROR(_xlfn.XLOOKUP($A249,Input_Raw!$A:$A,Input_Raw!$DF:$DF),"")</f>
        <v/>
      </c>
      <c r="N249" s="200" t="str">
        <f>IFERROR(_xlfn.XLOOKUP($A249,Input_Raw!$A:$A,Input_Raw!$DG:$DG),"")</f>
        <v/>
      </c>
      <c r="O249" s="230" t="str">
        <f>IFERROR(1-(SUMIF(Plant_BD!$B:$B,$A249,Plant_BD!$AL:$AL)/($AA249+SUMIF(Plant_BD!$B:$B,$A249,Plant_BD!$AL:$AL))),"")</f>
        <v/>
      </c>
      <c r="P249" s="230"/>
      <c r="Q249" s="231" t="str">
        <f>IFERROR(1-(SUMIF(Grid_BD!$B:$B,$A249,Grid_BD!$V:$V)/($AA249+SUMIF(Grid_BD!$B:$B,$A249,Grid_BD!$V:$V))),"")</f>
        <v/>
      </c>
      <c r="R249" s="230" t="str">
        <f>IFERROR(1-(SUMIF(Grid_BD!$B:$B,$A249,Grid_BD!$V:$V)/($AA249+SUMIF(Grid_BD!$B:$B,$A249,Grid_BD!$V:$V))),"")</f>
        <v/>
      </c>
      <c r="S249" s="9"/>
      <c r="T249" s="231"/>
      <c r="U249" s="232" t="str">
        <f t="shared" si="21"/>
        <v/>
      </c>
      <c r="V249" s="232" t="str">
        <f>IFERROR(_xlfn.XLOOKUP($A249,Input_Raw!$A:$A,Input_Raw!$FG:$FG),"")</f>
        <v/>
      </c>
      <c r="W249" s="233" t="str">
        <f t="shared" si="22"/>
        <v/>
      </c>
      <c r="X249" s="29" t="str">
        <f>IFERROR(_xlfn.XLOOKUP($A249,Input_Raw!$A:$A,Input_Raw!$DP:$DP),"")</f>
        <v/>
      </c>
      <c r="Y249" s="29" t="str">
        <f>IFERROR(_xlfn.XLOOKUP($A249,Input_Raw!$A:$A,Input_Raw!EW:EW),"")</f>
        <v/>
      </c>
      <c r="Z249" s="29" t="str">
        <f>IFERROR(_xlfn.XLOOKUP($A249,Input_Raw!$A:$A,Input_Raw!EX:EX),"")</f>
        <v/>
      </c>
      <c r="AA249" s="29" t="str">
        <f>IFERROR(_xlfn.XLOOKUP($A249,Input_Raw!$A:$A,Input_Raw!FA:FA),"")</f>
        <v/>
      </c>
      <c r="AB249" s="9" t="str">
        <f>IFERROR(_xlfn.XLOOKUP($A249,Input_Raw!$A:$A,Input_Raw!FD:FD),"")</f>
        <v/>
      </c>
      <c r="AC249" s="185">
        <f>IFERROR(_xlfn.XLOOKUP($D249,'Modelling New'!$D:$D,'Modelling New'!P:P),"")</f>
        <v>5.3290322580645162</v>
      </c>
      <c r="AD249" s="29">
        <f>IFERROR(_xlfn.XLOOKUP($D249,'Modelling New'!$D:$D,'Modelling New'!T:T)*1000,"")</f>
        <v>595399.791862702</v>
      </c>
      <c r="AE249" s="233">
        <f>IFERROR(_xlfn.XLOOKUP($D249,'Modelling New'!$D:$D,'Modelling New'!O:O),"")</f>
        <v>0.85944279883329133</v>
      </c>
      <c r="AF249" s="233">
        <f>IFERROR(_xlfn.XLOOKUP($D249,'Modelling New'!$D:$D,'Modelling New'!W:W),"")</f>
        <v>0.19083326662266092</v>
      </c>
      <c r="AG249" s="233">
        <f>IFERROR(_xlfn.XLOOKUP($D249,'Modelling New'!$D:$D,'Modelling New'!AE:AE),"")</f>
        <v>0.995</v>
      </c>
      <c r="AH249" s="234">
        <f>IFERROR(_xlfn.XLOOKUP($D249,'Modelling New'!$D:$D,'Modelling New'!AF:AF),"")</f>
        <v>0.995</v>
      </c>
      <c r="AI249" s="9"/>
      <c r="AJ249" s="9"/>
      <c r="AK249" s="258"/>
      <c r="AL249" s="258"/>
      <c r="AM249" s="258"/>
      <c r="AN249" s="235"/>
      <c r="AO249" s="233"/>
      <c r="AP249" s="233"/>
      <c r="AQ249" s="233"/>
      <c r="AR249" s="236">
        <f>_xlfn.XLOOKUP(D249,'Modelling New'!$D:$D,'Modelling New'!$N:$N)</f>
        <v>130</v>
      </c>
      <c r="AS249" s="236" t="str">
        <f t="shared" si="23"/>
        <v/>
      </c>
    </row>
    <row r="250" spans="1:45">
      <c r="A250" s="18">
        <f t="shared" si="24"/>
        <v>45993</v>
      </c>
      <c r="B250" s="29">
        <f>YEAR(Table13[[#This Row],[Date]])+IF(MONTH(Table13[[#This Row],[Date]])&gt;=4,1,0)</f>
        <v>2026</v>
      </c>
      <c r="C250" s="9">
        <f>YEAR(Table13[[#This Row],[Date]])</f>
        <v>2025</v>
      </c>
      <c r="D250" s="229">
        <f>Table13[[#This Row],[Date]]-DAY(Table13[[#This Row],[Date]])+1</f>
        <v>45992</v>
      </c>
      <c r="E250" s="9">
        <f t="shared" si="20"/>
        <v>31</v>
      </c>
      <c r="F250" s="199" t="str">
        <f>IFERROR(_xlfn.XLOOKUP($A250,Input_Raw!$A:$A,Input_Raw!$FC:$FC),"")</f>
        <v/>
      </c>
      <c r="G250" s="200" t="str">
        <f>IFERROR(_xlfn.XLOOKUP($A250,Input_Raw!$A:$A,Input_Raw!$CY:$CY),"")</f>
        <v/>
      </c>
      <c r="H250" s="200" t="str">
        <f>IFERROR(_xlfn.XLOOKUP($A250,Input_Raw!$A:$A,Input_Raw!$DA:$DA),"")</f>
        <v/>
      </c>
      <c r="I250" s="200" t="str">
        <f>IFERROR(_xlfn.XLOOKUP($A250,Input_Raw!$A:$A,Input_Raw!$CX:$CX),"")</f>
        <v/>
      </c>
      <c r="J250" s="200" t="str">
        <f>IFERROR(_xlfn.XLOOKUP($A250,Input_Raw!$A:$A,Input_Raw!$CZ:$CZ),"")</f>
        <v/>
      </c>
      <c r="K250" s="201" t="str">
        <f>IFERROR(_xlfn.XLOOKUP($A250,Input_Raw!$A:$A,Input_Raw!$DB:$DB),"")</f>
        <v/>
      </c>
      <c r="L250" s="201" t="str">
        <f>IFERROR(_xlfn.XLOOKUP($A250,Input_Raw!$A:$A,Input_Raw!$DC:$DC),"")</f>
        <v/>
      </c>
      <c r="M250" s="200" t="str">
        <f>IFERROR(_xlfn.XLOOKUP($A250,Input_Raw!$A:$A,Input_Raw!$DF:$DF),"")</f>
        <v/>
      </c>
      <c r="N250" s="200" t="str">
        <f>IFERROR(_xlfn.XLOOKUP($A250,Input_Raw!$A:$A,Input_Raw!$DG:$DG),"")</f>
        <v/>
      </c>
      <c r="O250" s="230" t="str">
        <f>IFERROR(1-(SUMIF(Plant_BD!$B:$B,$A250,Plant_BD!$AL:$AL)/($AA250+SUMIF(Plant_BD!$B:$B,$A250,Plant_BD!$AL:$AL))),"")</f>
        <v/>
      </c>
      <c r="P250" s="230"/>
      <c r="Q250" s="231" t="str">
        <f>IFERROR(1-(SUMIF(Grid_BD!$B:$B,$A250,Grid_BD!$V:$V)/($AA250+SUMIF(Grid_BD!$B:$B,$A250,Grid_BD!$V:$V))),"")</f>
        <v/>
      </c>
      <c r="R250" s="230" t="str">
        <f>IFERROR(1-(SUMIF(Grid_BD!$B:$B,$A250,Grid_BD!$V:$V)/($AA250+SUMIF(Grid_BD!$B:$B,$A250,Grid_BD!$V:$V))),"")</f>
        <v/>
      </c>
      <c r="S250" s="9"/>
      <c r="T250" s="231"/>
      <c r="U250" s="232" t="str">
        <f t="shared" si="21"/>
        <v/>
      </c>
      <c r="V250" s="232" t="str">
        <f>IFERROR(_xlfn.XLOOKUP($A250,Input_Raw!$A:$A,Input_Raw!$FG:$FG),"")</f>
        <v/>
      </c>
      <c r="W250" s="233" t="str">
        <f t="shared" si="22"/>
        <v/>
      </c>
      <c r="X250" s="29" t="str">
        <f>IFERROR(_xlfn.XLOOKUP($A250,Input_Raw!$A:$A,Input_Raw!$DP:$DP),"")</f>
        <v/>
      </c>
      <c r="Y250" s="29" t="str">
        <f>IFERROR(_xlfn.XLOOKUP($A250,Input_Raw!$A:$A,Input_Raw!EW:EW),"")</f>
        <v/>
      </c>
      <c r="Z250" s="29" t="str">
        <f>IFERROR(_xlfn.XLOOKUP($A250,Input_Raw!$A:$A,Input_Raw!EX:EX),"")</f>
        <v/>
      </c>
      <c r="AA250" s="29" t="str">
        <f>IFERROR(_xlfn.XLOOKUP($A250,Input_Raw!$A:$A,Input_Raw!FA:FA),"")</f>
        <v/>
      </c>
      <c r="AB250" s="9" t="str">
        <f>IFERROR(_xlfn.XLOOKUP($A250,Input_Raw!$A:$A,Input_Raw!FD:FD),"")</f>
        <v/>
      </c>
      <c r="AC250" s="185">
        <f>IFERROR(_xlfn.XLOOKUP($D250,'Modelling New'!$D:$D,'Modelling New'!P:P),"")</f>
        <v>5.3290322580645162</v>
      </c>
      <c r="AD250" s="29">
        <f>IFERROR(_xlfn.XLOOKUP($D250,'Modelling New'!$D:$D,'Modelling New'!T:T)*1000,"")</f>
        <v>595399.791862702</v>
      </c>
      <c r="AE250" s="233">
        <f>IFERROR(_xlfn.XLOOKUP($D250,'Modelling New'!$D:$D,'Modelling New'!O:O),"")</f>
        <v>0.85944279883329133</v>
      </c>
      <c r="AF250" s="233">
        <f>IFERROR(_xlfn.XLOOKUP($D250,'Modelling New'!$D:$D,'Modelling New'!W:W),"")</f>
        <v>0.19083326662266092</v>
      </c>
      <c r="AG250" s="233">
        <f>IFERROR(_xlfn.XLOOKUP($D250,'Modelling New'!$D:$D,'Modelling New'!AE:AE),"")</f>
        <v>0.995</v>
      </c>
      <c r="AH250" s="234">
        <f>IFERROR(_xlfn.XLOOKUP($D250,'Modelling New'!$D:$D,'Modelling New'!AF:AF),"")</f>
        <v>0.995</v>
      </c>
      <c r="AI250" s="9"/>
      <c r="AJ250" s="9"/>
      <c r="AK250" s="258"/>
      <c r="AL250" s="258"/>
      <c r="AM250" s="258"/>
      <c r="AN250" s="235"/>
      <c r="AO250" s="233"/>
      <c r="AP250" s="233"/>
      <c r="AQ250" s="233"/>
      <c r="AR250" s="236">
        <f>_xlfn.XLOOKUP(D250,'Modelling New'!$D:$D,'Modelling New'!$N:$N)</f>
        <v>130</v>
      </c>
      <c r="AS250" s="236" t="str">
        <f t="shared" si="23"/>
        <v/>
      </c>
    </row>
    <row r="251" spans="1:45">
      <c r="A251" s="18">
        <f t="shared" si="24"/>
        <v>45994</v>
      </c>
      <c r="B251" s="29">
        <f>YEAR(Table13[[#This Row],[Date]])+IF(MONTH(Table13[[#This Row],[Date]])&gt;=4,1,0)</f>
        <v>2026</v>
      </c>
      <c r="C251" s="9">
        <f>YEAR(Table13[[#This Row],[Date]])</f>
        <v>2025</v>
      </c>
      <c r="D251" s="229">
        <f>Table13[[#This Row],[Date]]-DAY(Table13[[#This Row],[Date]])+1</f>
        <v>45992</v>
      </c>
      <c r="E251" s="9">
        <f t="shared" si="20"/>
        <v>31</v>
      </c>
      <c r="F251" s="199" t="str">
        <f>IFERROR(_xlfn.XLOOKUP($A251,Input_Raw!$A:$A,Input_Raw!$FC:$FC),"")</f>
        <v/>
      </c>
      <c r="G251" s="185" t="str">
        <f>IFERROR(_xlfn.XLOOKUP($A251,Input_Raw!$A:$A,Input_Raw!$CY:$CY),"")</f>
        <v/>
      </c>
      <c r="H251" s="185" t="str">
        <f>IFERROR(_xlfn.XLOOKUP($A251,Input_Raw!$A:$A,Input_Raw!$DA:$DA),"")</f>
        <v/>
      </c>
      <c r="I251" s="185" t="str">
        <f>IFERROR(_xlfn.XLOOKUP($A251,Input_Raw!$A:$A,Input_Raw!$CX:$CX),"")</f>
        <v/>
      </c>
      <c r="J251" s="185" t="str">
        <f>IFERROR(_xlfn.XLOOKUP($A251,Input_Raw!$A:$A,Input_Raw!$CZ:$CZ),"")</f>
        <v/>
      </c>
      <c r="K251" s="201" t="str">
        <f>IFERROR(_xlfn.XLOOKUP($A251,Input_Raw!$A:$A,Input_Raw!$DB:$DB),"")</f>
        <v/>
      </c>
      <c r="L251" s="201" t="str">
        <f>IFERROR(_xlfn.XLOOKUP($A251,Input_Raw!$A:$A,Input_Raw!$DC:$DC),"")</f>
        <v/>
      </c>
      <c r="M251" s="200" t="str">
        <f>IFERROR(_xlfn.XLOOKUP($A251,Input_Raw!$A:$A,Input_Raw!$DF:$DF),"")</f>
        <v/>
      </c>
      <c r="N251" s="200" t="str">
        <f>IFERROR(_xlfn.XLOOKUP($A251,Input_Raw!$A:$A,Input_Raw!$DG:$DG),"")</f>
        <v/>
      </c>
      <c r="O251" s="230" t="str">
        <f>IFERROR(1-(SUMIF(Plant_BD!$B:$B,$A251,Plant_BD!$AL:$AL)/($AA251+SUMIF(Plant_BD!$B:$B,$A251,Plant_BD!$AL:$AL))),"")</f>
        <v/>
      </c>
      <c r="P251" s="230"/>
      <c r="Q251" s="231" t="str">
        <f>IFERROR(1-(SUMIF(Grid_BD!$B:$B,$A251,Grid_BD!$V:$V)/($AA251+SUMIF(Grid_BD!$B:$B,$A251,Grid_BD!$V:$V))),"")</f>
        <v/>
      </c>
      <c r="R251" s="230" t="str">
        <f>IFERROR(1-(SUMIF(Grid_BD!$B:$B,$A251,Grid_BD!$V:$V)/($AA251+SUMIF(Grid_BD!$B:$B,$A251,Grid_BD!$V:$V))),"")</f>
        <v/>
      </c>
      <c r="S251" s="9"/>
      <c r="T251" s="231"/>
      <c r="U251" s="232" t="str">
        <f t="shared" si="21"/>
        <v/>
      </c>
      <c r="V251" s="232" t="str">
        <f>IFERROR(_xlfn.XLOOKUP($A251,Input_Raw!$A:$A,Input_Raw!$FG:$FG),"")</f>
        <v/>
      </c>
      <c r="W251" s="233" t="str">
        <f t="shared" si="22"/>
        <v/>
      </c>
      <c r="X251" s="29" t="str">
        <f>IFERROR(_xlfn.XLOOKUP($A251,Input_Raw!$A:$A,Input_Raw!$DP:$DP),"")</f>
        <v/>
      </c>
      <c r="Y251" s="29" t="str">
        <f>IFERROR(_xlfn.XLOOKUP($A251,Input_Raw!$A:$A,Input_Raw!EW:EW),"")</f>
        <v/>
      </c>
      <c r="Z251" s="29" t="str">
        <f>IFERROR(_xlfn.XLOOKUP($A251,Input_Raw!$A:$A,Input_Raw!EX:EX),"")</f>
        <v/>
      </c>
      <c r="AA251" s="29" t="str">
        <f>IFERROR(_xlfn.XLOOKUP($A251,Input_Raw!$A:$A,Input_Raw!FA:FA),"")</f>
        <v/>
      </c>
      <c r="AB251" s="9" t="str">
        <f>IFERROR(_xlfn.XLOOKUP($A251,Input_Raw!$A:$A,Input_Raw!FD:FD),"")</f>
        <v/>
      </c>
      <c r="AC251" s="185">
        <f>IFERROR(_xlfn.XLOOKUP($D251,'Modelling New'!$D:$D,'Modelling New'!P:P),"")</f>
        <v>5.3290322580645162</v>
      </c>
      <c r="AD251" s="29">
        <f>IFERROR(_xlfn.XLOOKUP($D251,'Modelling New'!$D:$D,'Modelling New'!T:T)*1000,"")</f>
        <v>595399.791862702</v>
      </c>
      <c r="AE251" s="233">
        <f>IFERROR(_xlfn.XLOOKUP($D251,'Modelling New'!$D:$D,'Modelling New'!O:O),"")</f>
        <v>0.85944279883329133</v>
      </c>
      <c r="AF251" s="233">
        <f>IFERROR(_xlfn.XLOOKUP($D251,'Modelling New'!$D:$D,'Modelling New'!W:W),"")</f>
        <v>0.19083326662266092</v>
      </c>
      <c r="AG251" s="233">
        <f>IFERROR(_xlfn.XLOOKUP($D251,'Modelling New'!$D:$D,'Modelling New'!AE:AE),"")</f>
        <v>0.995</v>
      </c>
      <c r="AH251" s="234">
        <f>IFERROR(_xlfn.XLOOKUP($D251,'Modelling New'!$D:$D,'Modelling New'!AF:AF),"")</f>
        <v>0.995</v>
      </c>
      <c r="AI251" s="9"/>
      <c r="AJ251" s="9"/>
      <c r="AK251" s="258"/>
      <c r="AL251" s="258"/>
      <c r="AM251" s="258"/>
      <c r="AN251" s="235"/>
      <c r="AO251" s="233"/>
      <c r="AP251" s="233"/>
      <c r="AQ251" s="233"/>
      <c r="AR251" s="236">
        <f>_xlfn.XLOOKUP(D251,'Modelling New'!$D:$D,'Modelling New'!$N:$N)</f>
        <v>130</v>
      </c>
      <c r="AS251" s="236" t="str">
        <f t="shared" si="23"/>
        <v/>
      </c>
    </row>
    <row r="252" spans="1:45">
      <c r="A252" s="18">
        <f t="shared" si="24"/>
        <v>45995</v>
      </c>
      <c r="B252" s="29">
        <f>YEAR(Table13[[#This Row],[Date]])+IF(MONTH(Table13[[#This Row],[Date]])&gt;=4,1,0)</f>
        <v>2026</v>
      </c>
      <c r="C252" s="9">
        <f>YEAR(Table13[[#This Row],[Date]])</f>
        <v>2025</v>
      </c>
      <c r="D252" s="229">
        <f>Table13[[#This Row],[Date]]-DAY(Table13[[#This Row],[Date]])+1</f>
        <v>45992</v>
      </c>
      <c r="E252" s="9">
        <f t="shared" si="20"/>
        <v>31</v>
      </c>
      <c r="F252" s="199" t="str">
        <f>IFERROR(_xlfn.XLOOKUP($A252,Input_Raw!$A:$A,Input_Raw!$FC:$FC),"")</f>
        <v/>
      </c>
      <c r="G252" s="200" t="str">
        <f>IFERROR(_xlfn.XLOOKUP($A252,Input_Raw!$A:$A,Input_Raw!$CY:$CY),"")</f>
        <v/>
      </c>
      <c r="H252" s="200" t="str">
        <f>IFERROR(_xlfn.XLOOKUP($A252,Input_Raw!$A:$A,Input_Raw!$DA:$DA),"")</f>
        <v/>
      </c>
      <c r="I252" s="200" t="str">
        <f>IFERROR(_xlfn.XLOOKUP($A252,Input_Raw!$A:$A,Input_Raw!$CX:$CX),"")</f>
        <v/>
      </c>
      <c r="J252" s="200" t="str">
        <f>IFERROR(_xlfn.XLOOKUP($A252,Input_Raw!$A:$A,Input_Raw!$CZ:$CZ),"")</f>
        <v/>
      </c>
      <c r="K252" s="201" t="str">
        <f>IFERROR(_xlfn.XLOOKUP($A252,Input_Raw!$A:$A,Input_Raw!$DB:$DB),"")</f>
        <v/>
      </c>
      <c r="L252" s="201" t="str">
        <f>IFERROR(_xlfn.XLOOKUP($A252,Input_Raw!$A:$A,Input_Raw!$DC:$DC),"")</f>
        <v/>
      </c>
      <c r="M252" s="200" t="str">
        <f>IFERROR(_xlfn.XLOOKUP($A252,Input_Raw!$A:$A,Input_Raw!$DF:$DF),"")</f>
        <v/>
      </c>
      <c r="N252" s="200" t="str">
        <f>IFERROR(_xlfn.XLOOKUP($A252,Input_Raw!$A:$A,Input_Raw!$DG:$DG),"")</f>
        <v/>
      </c>
      <c r="O252" s="230" t="str">
        <f>IFERROR(1-(SUMIF(Plant_BD!$B:$B,$A252,Plant_BD!$AL:$AL)/($AA252+SUMIF(Plant_BD!$B:$B,$A252,Plant_BD!$AL:$AL))),"")</f>
        <v/>
      </c>
      <c r="P252" s="230"/>
      <c r="Q252" s="231" t="str">
        <f>IFERROR(1-(SUMIF(Grid_BD!$B:$B,$A252,Grid_BD!$V:$V)/($AA252+SUMIF(Grid_BD!$B:$B,$A252,Grid_BD!$V:$V))),"")</f>
        <v/>
      </c>
      <c r="R252" s="230" t="str">
        <f>IFERROR(1-(SUMIF(Grid_BD!$B:$B,$A252,Grid_BD!$V:$V)/($AA252+SUMIF(Grid_BD!$B:$B,$A252,Grid_BD!$V:$V))),"")</f>
        <v/>
      </c>
      <c r="S252" s="9"/>
      <c r="T252" s="231"/>
      <c r="U252" s="232" t="str">
        <f t="shared" si="21"/>
        <v/>
      </c>
      <c r="V252" s="232" t="str">
        <f>IFERROR(_xlfn.XLOOKUP($A252,Input_Raw!$A:$A,Input_Raw!$FG:$FG),"")</f>
        <v/>
      </c>
      <c r="W252" s="233" t="str">
        <f t="shared" si="22"/>
        <v/>
      </c>
      <c r="X252" s="29" t="str">
        <f>IFERROR(_xlfn.XLOOKUP($A252,Input_Raw!$A:$A,Input_Raw!$DP:$DP),"")</f>
        <v/>
      </c>
      <c r="Y252" s="29" t="str">
        <f>IFERROR(_xlfn.XLOOKUP($A252,Input_Raw!$A:$A,Input_Raw!EW:EW),"")</f>
        <v/>
      </c>
      <c r="Z252" s="29" t="str">
        <f>IFERROR(_xlfn.XLOOKUP($A252,Input_Raw!$A:$A,Input_Raw!EX:EX),"")</f>
        <v/>
      </c>
      <c r="AA252" s="29" t="str">
        <f>IFERROR(_xlfn.XLOOKUP($A252,Input_Raw!$A:$A,Input_Raw!FA:FA),"")</f>
        <v/>
      </c>
      <c r="AB252" s="9" t="str">
        <f>IFERROR(_xlfn.XLOOKUP($A252,Input_Raw!$A:$A,Input_Raw!FD:FD),"")</f>
        <v/>
      </c>
      <c r="AC252" s="185">
        <f>IFERROR(_xlfn.XLOOKUP($D252,'Modelling New'!$D:$D,'Modelling New'!P:P),"")</f>
        <v>5.3290322580645162</v>
      </c>
      <c r="AD252" s="29">
        <f>IFERROR(_xlfn.XLOOKUP($D252,'Modelling New'!$D:$D,'Modelling New'!T:T)*1000,"")</f>
        <v>595399.791862702</v>
      </c>
      <c r="AE252" s="233">
        <f>IFERROR(_xlfn.XLOOKUP($D252,'Modelling New'!$D:$D,'Modelling New'!O:O),"")</f>
        <v>0.85944279883329133</v>
      </c>
      <c r="AF252" s="233">
        <f>IFERROR(_xlfn.XLOOKUP($D252,'Modelling New'!$D:$D,'Modelling New'!W:W),"")</f>
        <v>0.19083326662266092</v>
      </c>
      <c r="AG252" s="233">
        <f>IFERROR(_xlfn.XLOOKUP($D252,'Modelling New'!$D:$D,'Modelling New'!AE:AE),"")</f>
        <v>0.995</v>
      </c>
      <c r="AH252" s="234">
        <f>IFERROR(_xlfn.XLOOKUP($D252,'Modelling New'!$D:$D,'Modelling New'!AF:AF),"")</f>
        <v>0.995</v>
      </c>
      <c r="AI252" s="9"/>
      <c r="AJ252" s="9"/>
      <c r="AK252" s="258"/>
      <c r="AL252" s="258"/>
      <c r="AM252" s="258"/>
      <c r="AN252" s="235"/>
      <c r="AO252" s="233"/>
      <c r="AP252" s="233"/>
      <c r="AQ252" s="233"/>
      <c r="AR252" s="236">
        <f>_xlfn.XLOOKUP(D252,'Modelling New'!$D:$D,'Modelling New'!$N:$N)</f>
        <v>130</v>
      </c>
      <c r="AS252" s="236" t="str">
        <f t="shared" si="23"/>
        <v/>
      </c>
    </row>
    <row r="253" spans="1:45">
      <c r="A253" s="18">
        <f t="shared" si="24"/>
        <v>45996</v>
      </c>
      <c r="B253" s="29">
        <f>YEAR(Table13[[#This Row],[Date]])+IF(MONTH(Table13[[#This Row],[Date]])&gt;=4,1,0)</f>
        <v>2026</v>
      </c>
      <c r="C253" s="9">
        <f>YEAR(Table13[[#This Row],[Date]])</f>
        <v>2025</v>
      </c>
      <c r="D253" s="229">
        <f>Table13[[#This Row],[Date]]-DAY(Table13[[#This Row],[Date]])+1</f>
        <v>45992</v>
      </c>
      <c r="E253" s="9">
        <f t="shared" si="20"/>
        <v>31</v>
      </c>
      <c r="F253" s="199" t="str">
        <f>IFERROR(_xlfn.XLOOKUP($A253,Input_Raw!$A:$A,Input_Raw!$FC:$FC),"")</f>
        <v/>
      </c>
      <c r="G253" s="185" t="str">
        <f>IFERROR(_xlfn.XLOOKUP($A253,Input_Raw!$A:$A,Input_Raw!$CY:$CY),"")</f>
        <v/>
      </c>
      <c r="H253" s="185" t="str">
        <f>IFERROR(_xlfn.XLOOKUP($A253,Input_Raw!$A:$A,Input_Raw!$DA:$DA),"")</f>
        <v/>
      </c>
      <c r="I253" s="185" t="str">
        <f>IFERROR(_xlfn.XLOOKUP($A253,Input_Raw!$A:$A,Input_Raw!$CX:$CX),"")</f>
        <v/>
      </c>
      <c r="J253" s="185" t="str">
        <f>IFERROR(_xlfn.XLOOKUP($A253,Input_Raw!$A:$A,Input_Raw!$CZ:$CZ),"")</f>
        <v/>
      </c>
      <c r="K253" s="201" t="str">
        <f>IFERROR(_xlfn.XLOOKUP($A253,Input_Raw!$A:$A,Input_Raw!$DB:$DB),"")</f>
        <v/>
      </c>
      <c r="L253" s="201" t="str">
        <f>IFERROR(_xlfn.XLOOKUP($A253,Input_Raw!$A:$A,Input_Raw!$DC:$DC),"")</f>
        <v/>
      </c>
      <c r="M253" s="200" t="str">
        <f>IFERROR(_xlfn.XLOOKUP($A253,Input_Raw!$A:$A,Input_Raw!$DF:$DF),"")</f>
        <v/>
      </c>
      <c r="N253" s="200" t="str">
        <f>IFERROR(_xlfn.XLOOKUP($A253,Input_Raw!$A:$A,Input_Raw!$DG:$DG),"")</f>
        <v/>
      </c>
      <c r="O253" s="230" t="str">
        <f>IFERROR(1-(SUMIF(Plant_BD!$B:$B,$A253,Plant_BD!$AL:$AL)/($AA253+SUMIF(Plant_BD!$B:$B,$A253,Plant_BD!$AL:$AL))),"")</f>
        <v/>
      </c>
      <c r="P253" s="230"/>
      <c r="Q253" s="231" t="str">
        <f>IFERROR(1-(SUMIF(Grid_BD!$B:$B,$A253,Grid_BD!$V:$V)/($AA253+SUMIF(Grid_BD!$B:$B,$A253,Grid_BD!$V:$V))),"")</f>
        <v/>
      </c>
      <c r="R253" s="230" t="str">
        <f>IFERROR(1-(SUMIF(Grid_BD!$B:$B,$A253,Grid_BD!$V:$V)/($AA253+SUMIF(Grid_BD!$B:$B,$A253,Grid_BD!$V:$V))),"")</f>
        <v/>
      </c>
      <c r="S253" s="9"/>
      <c r="T253" s="231"/>
      <c r="U253" s="232" t="str">
        <f t="shared" si="21"/>
        <v/>
      </c>
      <c r="V253" s="232" t="str">
        <f>IFERROR(_xlfn.XLOOKUP($A253,Input_Raw!$A:$A,Input_Raw!$FG:$FG),"")</f>
        <v/>
      </c>
      <c r="W253" s="233" t="str">
        <f t="shared" si="22"/>
        <v/>
      </c>
      <c r="X253" s="29" t="str">
        <f>IFERROR(_xlfn.XLOOKUP($A253,Input_Raw!$A:$A,Input_Raw!$DP:$DP),"")</f>
        <v/>
      </c>
      <c r="Y253" s="29" t="str">
        <f>IFERROR(_xlfn.XLOOKUP($A253,Input_Raw!$A:$A,Input_Raw!EW:EW),"")</f>
        <v/>
      </c>
      <c r="Z253" s="29" t="str">
        <f>IFERROR(_xlfn.XLOOKUP($A253,Input_Raw!$A:$A,Input_Raw!EX:EX),"")</f>
        <v/>
      </c>
      <c r="AA253" s="29" t="str">
        <f>IFERROR(_xlfn.XLOOKUP($A253,Input_Raw!$A:$A,Input_Raw!FA:FA),"")</f>
        <v/>
      </c>
      <c r="AB253" s="9" t="str">
        <f>IFERROR(_xlfn.XLOOKUP($A253,Input_Raw!$A:$A,Input_Raw!FD:FD),"")</f>
        <v/>
      </c>
      <c r="AC253" s="185">
        <f>IFERROR(_xlfn.XLOOKUP($D253,'Modelling New'!$D:$D,'Modelling New'!P:P),"")</f>
        <v>5.3290322580645162</v>
      </c>
      <c r="AD253" s="29">
        <f>IFERROR(_xlfn.XLOOKUP($D253,'Modelling New'!$D:$D,'Modelling New'!T:T)*1000,"")</f>
        <v>595399.791862702</v>
      </c>
      <c r="AE253" s="233">
        <f>IFERROR(_xlfn.XLOOKUP($D253,'Modelling New'!$D:$D,'Modelling New'!O:O),"")</f>
        <v>0.85944279883329133</v>
      </c>
      <c r="AF253" s="233">
        <f>IFERROR(_xlfn.XLOOKUP($D253,'Modelling New'!$D:$D,'Modelling New'!W:W),"")</f>
        <v>0.19083326662266092</v>
      </c>
      <c r="AG253" s="233">
        <f>IFERROR(_xlfn.XLOOKUP($D253,'Modelling New'!$D:$D,'Modelling New'!AE:AE),"")</f>
        <v>0.995</v>
      </c>
      <c r="AH253" s="234">
        <f>IFERROR(_xlfn.XLOOKUP($D253,'Modelling New'!$D:$D,'Modelling New'!AF:AF),"")</f>
        <v>0.995</v>
      </c>
      <c r="AI253" s="9"/>
      <c r="AJ253" s="9"/>
      <c r="AK253" s="258"/>
      <c r="AL253" s="258"/>
      <c r="AM253" s="258"/>
      <c r="AN253" s="235"/>
      <c r="AO253" s="233"/>
      <c r="AP253" s="233"/>
      <c r="AQ253" s="233"/>
      <c r="AR253" s="236">
        <f>_xlfn.XLOOKUP(D253,'Modelling New'!$D:$D,'Modelling New'!$N:$N)</f>
        <v>130</v>
      </c>
      <c r="AS253" s="236" t="str">
        <f t="shared" si="23"/>
        <v/>
      </c>
    </row>
    <row r="254" spans="1:45">
      <c r="A254" s="18">
        <f t="shared" si="24"/>
        <v>45997</v>
      </c>
      <c r="B254" s="29">
        <f>YEAR(Table13[[#This Row],[Date]])+IF(MONTH(Table13[[#This Row],[Date]])&gt;=4,1,0)</f>
        <v>2026</v>
      </c>
      <c r="C254" s="9">
        <f>YEAR(Table13[[#This Row],[Date]])</f>
        <v>2025</v>
      </c>
      <c r="D254" s="229">
        <f>Table13[[#This Row],[Date]]-DAY(Table13[[#This Row],[Date]])+1</f>
        <v>45992</v>
      </c>
      <c r="E254" s="9">
        <f t="shared" si="20"/>
        <v>31</v>
      </c>
      <c r="F254" s="199" t="str">
        <f>IFERROR(_xlfn.XLOOKUP($A254,Input_Raw!$A:$A,Input_Raw!$FC:$FC),"")</f>
        <v/>
      </c>
      <c r="G254" s="200" t="str">
        <f>IFERROR(_xlfn.XLOOKUP($A254,Input_Raw!$A:$A,Input_Raw!$CY:$CY),"")</f>
        <v/>
      </c>
      <c r="H254" s="200" t="str">
        <f>IFERROR(_xlfn.XLOOKUP($A254,Input_Raw!$A:$A,Input_Raw!$DA:$DA),"")</f>
        <v/>
      </c>
      <c r="I254" s="200" t="str">
        <f>IFERROR(_xlfn.XLOOKUP($A254,Input_Raw!$A:$A,Input_Raw!$CX:$CX),"")</f>
        <v/>
      </c>
      <c r="J254" s="200" t="str">
        <f>IFERROR(_xlfn.XLOOKUP($A254,Input_Raw!$A:$A,Input_Raw!$CZ:$CZ),"")</f>
        <v/>
      </c>
      <c r="K254" s="201" t="str">
        <f>IFERROR(_xlfn.XLOOKUP($A254,Input_Raw!$A:$A,Input_Raw!$DB:$DB),"")</f>
        <v/>
      </c>
      <c r="L254" s="201" t="str">
        <f>IFERROR(_xlfn.XLOOKUP($A254,Input_Raw!$A:$A,Input_Raw!$DC:$DC),"")</f>
        <v/>
      </c>
      <c r="M254" s="200" t="str">
        <f>IFERROR(_xlfn.XLOOKUP($A254,Input_Raw!$A:$A,Input_Raw!$DF:$DF),"")</f>
        <v/>
      </c>
      <c r="N254" s="200" t="str">
        <f>IFERROR(_xlfn.XLOOKUP($A254,Input_Raw!$A:$A,Input_Raw!$DG:$DG),"")</f>
        <v/>
      </c>
      <c r="O254" s="230" t="str">
        <f>IFERROR(1-(SUMIF(Plant_BD!$B:$B,$A254,Plant_BD!$AL:$AL)/($AA254+SUMIF(Plant_BD!$B:$B,$A254,Plant_BD!$AL:$AL))),"")</f>
        <v/>
      </c>
      <c r="P254" s="230"/>
      <c r="Q254" s="231" t="str">
        <f>IFERROR(1-(SUMIF(Grid_BD!$B:$B,$A254,Grid_BD!$V:$V)/($AA254+SUMIF(Grid_BD!$B:$B,$A254,Grid_BD!$V:$V))),"")</f>
        <v/>
      </c>
      <c r="R254" s="230" t="str">
        <f>IFERROR(1-(SUMIF(Grid_BD!$B:$B,$A254,Grid_BD!$V:$V)/($AA254+SUMIF(Grid_BD!$B:$B,$A254,Grid_BD!$V:$V))),"")</f>
        <v/>
      </c>
      <c r="S254" s="9"/>
      <c r="T254" s="231"/>
      <c r="U254" s="232" t="str">
        <f t="shared" si="21"/>
        <v/>
      </c>
      <c r="V254" s="232" t="str">
        <f>IFERROR(_xlfn.XLOOKUP($A254,Input_Raw!$A:$A,Input_Raw!$FG:$FG),"")</f>
        <v/>
      </c>
      <c r="W254" s="233" t="str">
        <f t="shared" si="22"/>
        <v/>
      </c>
      <c r="X254" s="29" t="str">
        <f>IFERROR(_xlfn.XLOOKUP($A254,Input_Raw!$A:$A,Input_Raw!$DP:$DP),"")</f>
        <v/>
      </c>
      <c r="Y254" s="29" t="str">
        <f>IFERROR(_xlfn.XLOOKUP($A254,Input_Raw!$A:$A,Input_Raw!EW:EW),"")</f>
        <v/>
      </c>
      <c r="Z254" s="29" t="str">
        <f>IFERROR(_xlfn.XLOOKUP($A254,Input_Raw!$A:$A,Input_Raw!EX:EX),"")</f>
        <v/>
      </c>
      <c r="AA254" s="29" t="str">
        <f>IFERROR(_xlfn.XLOOKUP($A254,Input_Raw!$A:$A,Input_Raw!FA:FA),"")</f>
        <v/>
      </c>
      <c r="AB254" s="9" t="str">
        <f>IFERROR(_xlfn.XLOOKUP($A254,Input_Raw!$A:$A,Input_Raw!FD:FD),"")</f>
        <v/>
      </c>
      <c r="AC254" s="185">
        <f>IFERROR(_xlfn.XLOOKUP($D254,'Modelling New'!$D:$D,'Modelling New'!P:P),"")</f>
        <v>5.3290322580645162</v>
      </c>
      <c r="AD254" s="29">
        <f>IFERROR(_xlfn.XLOOKUP($D254,'Modelling New'!$D:$D,'Modelling New'!T:T)*1000,"")</f>
        <v>595399.791862702</v>
      </c>
      <c r="AE254" s="233">
        <f>IFERROR(_xlfn.XLOOKUP($D254,'Modelling New'!$D:$D,'Modelling New'!O:O),"")</f>
        <v>0.85944279883329133</v>
      </c>
      <c r="AF254" s="233">
        <f>IFERROR(_xlfn.XLOOKUP($D254,'Modelling New'!$D:$D,'Modelling New'!W:W),"")</f>
        <v>0.19083326662266092</v>
      </c>
      <c r="AG254" s="233">
        <f>IFERROR(_xlfn.XLOOKUP($D254,'Modelling New'!$D:$D,'Modelling New'!AE:AE),"")</f>
        <v>0.995</v>
      </c>
      <c r="AH254" s="234">
        <f>IFERROR(_xlfn.XLOOKUP($D254,'Modelling New'!$D:$D,'Modelling New'!AF:AF),"")</f>
        <v>0.995</v>
      </c>
      <c r="AI254" s="9"/>
      <c r="AJ254" s="9"/>
      <c r="AK254" s="258"/>
      <c r="AL254" s="258"/>
      <c r="AM254" s="258"/>
      <c r="AN254" s="235"/>
      <c r="AO254" s="233"/>
      <c r="AP254" s="233"/>
      <c r="AQ254" s="233"/>
      <c r="AR254" s="236">
        <f>_xlfn.XLOOKUP(D254,'Modelling New'!$D:$D,'Modelling New'!$N:$N)</f>
        <v>130</v>
      </c>
      <c r="AS254" s="236" t="str">
        <f t="shared" si="23"/>
        <v/>
      </c>
    </row>
    <row r="255" spans="1:45">
      <c r="A255" s="18">
        <f t="shared" si="24"/>
        <v>45998</v>
      </c>
      <c r="B255" s="29">
        <f>YEAR(Table13[[#This Row],[Date]])+IF(MONTH(Table13[[#This Row],[Date]])&gt;=4,1,0)</f>
        <v>2026</v>
      </c>
      <c r="C255" s="9">
        <f>YEAR(Table13[[#This Row],[Date]])</f>
        <v>2025</v>
      </c>
      <c r="D255" s="229">
        <f>Table13[[#This Row],[Date]]-DAY(Table13[[#This Row],[Date]])+1</f>
        <v>45992</v>
      </c>
      <c r="E255" s="9">
        <f t="shared" si="20"/>
        <v>31</v>
      </c>
      <c r="F255" s="199" t="str">
        <f>IFERROR(_xlfn.XLOOKUP($A255,Input_Raw!$A:$A,Input_Raw!$FC:$FC),"")</f>
        <v/>
      </c>
      <c r="G255" s="185" t="str">
        <f>IFERROR(_xlfn.XLOOKUP($A255,Input_Raw!$A:$A,Input_Raw!$CY:$CY),"")</f>
        <v/>
      </c>
      <c r="H255" s="185" t="str">
        <f>IFERROR(_xlfn.XLOOKUP($A255,Input_Raw!$A:$A,Input_Raw!$DA:$DA),"")</f>
        <v/>
      </c>
      <c r="I255" s="185" t="str">
        <f>IFERROR(_xlfn.XLOOKUP($A255,Input_Raw!$A:$A,Input_Raw!$CX:$CX),"")</f>
        <v/>
      </c>
      <c r="J255" s="185" t="str">
        <f>IFERROR(_xlfn.XLOOKUP($A255,Input_Raw!$A:$A,Input_Raw!$CZ:$CZ),"")</f>
        <v/>
      </c>
      <c r="K255" s="201" t="str">
        <f>IFERROR(_xlfn.XLOOKUP($A255,Input_Raw!$A:$A,Input_Raw!$DB:$DB),"")</f>
        <v/>
      </c>
      <c r="L255" s="201" t="str">
        <f>IFERROR(_xlfn.XLOOKUP($A255,Input_Raw!$A:$A,Input_Raw!$DC:$DC),"")</f>
        <v/>
      </c>
      <c r="M255" s="200" t="str">
        <f>IFERROR(_xlfn.XLOOKUP($A255,Input_Raw!$A:$A,Input_Raw!$DF:$DF),"")</f>
        <v/>
      </c>
      <c r="N255" s="200" t="str">
        <f>IFERROR(_xlfn.XLOOKUP($A255,Input_Raw!$A:$A,Input_Raw!$DG:$DG),"")</f>
        <v/>
      </c>
      <c r="O255" s="230" t="str">
        <f>IFERROR(1-(SUMIF(Plant_BD!$B:$B,$A255,Plant_BD!$AL:$AL)/($AA255+SUMIF(Plant_BD!$B:$B,$A255,Plant_BD!$AL:$AL))),"")</f>
        <v/>
      </c>
      <c r="P255" s="230"/>
      <c r="Q255" s="231" t="str">
        <f>IFERROR(1-(SUMIF(Grid_BD!$B:$B,$A255,Grid_BD!$V:$V)/($AA255+SUMIF(Grid_BD!$B:$B,$A255,Grid_BD!$V:$V))),"")</f>
        <v/>
      </c>
      <c r="R255" s="230" t="str">
        <f>IFERROR(1-(SUMIF(Grid_BD!$B:$B,$A255,Grid_BD!$V:$V)/($AA255+SUMIF(Grid_BD!$B:$B,$A255,Grid_BD!$V:$V))),"")</f>
        <v/>
      </c>
      <c r="S255" s="9"/>
      <c r="T255" s="231"/>
      <c r="U255" s="232" t="str">
        <f t="shared" si="21"/>
        <v/>
      </c>
      <c r="V255" s="232" t="str">
        <f>IFERROR(_xlfn.XLOOKUP($A255,Input_Raw!$A:$A,Input_Raw!$FG:$FG),"")</f>
        <v/>
      </c>
      <c r="W255" s="233" t="str">
        <f t="shared" si="22"/>
        <v/>
      </c>
      <c r="X255" s="29" t="str">
        <f>IFERROR(_xlfn.XLOOKUP($A255,Input_Raw!$A:$A,Input_Raw!$DP:$DP),"")</f>
        <v/>
      </c>
      <c r="Y255" s="29" t="str">
        <f>IFERROR(_xlfn.XLOOKUP($A255,Input_Raw!$A:$A,Input_Raw!EW:EW),"")</f>
        <v/>
      </c>
      <c r="Z255" s="29" t="str">
        <f>IFERROR(_xlfn.XLOOKUP($A255,Input_Raw!$A:$A,Input_Raw!EX:EX),"")</f>
        <v/>
      </c>
      <c r="AA255" s="29" t="str">
        <f>IFERROR(_xlfn.XLOOKUP($A255,Input_Raw!$A:$A,Input_Raw!FA:FA),"")</f>
        <v/>
      </c>
      <c r="AB255" s="9" t="str">
        <f>IFERROR(_xlfn.XLOOKUP($A255,Input_Raw!$A:$A,Input_Raw!FD:FD),"")</f>
        <v/>
      </c>
      <c r="AC255" s="185">
        <f>IFERROR(_xlfn.XLOOKUP($D255,'Modelling New'!$D:$D,'Modelling New'!P:P),"")</f>
        <v>5.3290322580645162</v>
      </c>
      <c r="AD255" s="29">
        <f>IFERROR(_xlfn.XLOOKUP($D255,'Modelling New'!$D:$D,'Modelling New'!T:T)*1000,"")</f>
        <v>595399.791862702</v>
      </c>
      <c r="AE255" s="233">
        <f>IFERROR(_xlfn.XLOOKUP($D255,'Modelling New'!$D:$D,'Modelling New'!O:O),"")</f>
        <v>0.85944279883329133</v>
      </c>
      <c r="AF255" s="233">
        <f>IFERROR(_xlfn.XLOOKUP($D255,'Modelling New'!$D:$D,'Modelling New'!W:W),"")</f>
        <v>0.19083326662266092</v>
      </c>
      <c r="AG255" s="233">
        <f>IFERROR(_xlfn.XLOOKUP($D255,'Modelling New'!$D:$D,'Modelling New'!AE:AE),"")</f>
        <v>0.995</v>
      </c>
      <c r="AH255" s="234">
        <f>IFERROR(_xlfn.XLOOKUP($D255,'Modelling New'!$D:$D,'Modelling New'!AF:AF),"")</f>
        <v>0.995</v>
      </c>
      <c r="AI255" s="9"/>
      <c r="AJ255" s="9"/>
      <c r="AK255" s="258"/>
      <c r="AL255" s="258"/>
      <c r="AM255" s="258"/>
      <c r="AN255" s="235"/>
      <c r="AO255" s="233"/>
      <c r="AP255" s="233"/>
      <c r="AQ255" s="233"/>
      <c r="AR255" s="236">
        <f>_xlfn.XLOOKUP(D255,'Modelling New'!$D:$D,'Modelling New'!$N:$N)</f>
        <v>130</v>
      </c>
      <c r="AS255" s="236" t="str">
        <f t="shared" si="23"/>
        <v/>
      </c>
    </row>
    <row r="256" spans="1:45">
      <c r="A256" s="18">
        <f t="shared" si="24"/>
        <v>45999</v>
      </c>
      <c r="B256" s="29">
        <f>YEAR(Table13[[#This Row],[Date]])+IF(MONTH(Table13[[#This Row],[Date]])&gt;=4,1,0)</f>
        <v>2026</v>
      </c>
      <c r="C256" s="9">
        <f>YEAR(Table13[[#This Row],[Date]])</f>
        <v>2025</v>
      </c>
      <c r="D256" s="229">
        <f>Table13[[#This Row],[Date]]-DAY(Table13[[#This Row],[Date]])+1</f>
        <v>45992</v>
      </c>
      <c r="E256" s="9">
        <f t="shared" si="20"/>
        <v>31</v>
      </c>
      <c r="F256" s="199" t="str">
        <f>IFERROR(_xlfn.XLOOKUP($A256,Input_Raw!$A:$A,Input_Raw!$FC:$FC),"")</f>
        <v/>
      </c>
      <c r="G256" s="200" t="str">
        <f>IFERROR(_xlfn.XLOOKUP($A256,Input_Raw!$A:$A,Input_Raw!$CY:$CY),"")</f>
        <v/>
      </c>
      <c r="H256" s="200" t="str">
        <f>IFERROR(_xlfn.XLOOKUP($A256,Input_Raw!$A:$A,Input_Raw!$DA:$DA),"")</f>
        <v/>
      </c>
      <c r="I256" s="200" t="str">
        <f>IFERROR(_xlfn.XLOOKUP($A256,Input_Raw!$A:$A,Input_Raw!$CX:$CX),"")</f>
        <v/>
      </c>
      <c r="J256" s="200" t="str">
        <f>IFERROR(_xlfn.XLOOKUP($A256,Input_Raw!$A:$A,Input_Raw!$CZ:$CZ),"")</f>
        <v/>
      </c>
      <c r="K256" s="201" t="str">
        <f>IFERROR(_xlfn.XLOOKUP($A256,Input_Raw!$A:$A,Input_Raw!$DB:$DB),"")</f>
        <v/>
      </c>
      <c r="L256" s="201" t="str">
        <f>IFERROR(_xlfn.XLOOKUP($A256,Input_Raw!$A:$A,Input_Raw!$DC:$DC),"")</f>
        <v/>
      </c>
      <c r="M256" s="200" t="str">
        <f>IFERROR(_xlfn.XLOOKUP($A256,Input_Raw!$A:$A,Input_Raw!$DF:$DF),"")</f>
        <v/>
      </c>
      <c r="N256" s="200" t="str">
        <f>IFERROR(_xlfn.XLOOKUP($A256,Input_Raw!$A:$A,Input_Raw!$DG:$DG),"")</f>
        <v/>
      </c>
      <c r="O256" s="230" t="str">
        <f>IFERROR(1-(SUMIF(Plant_BD!$B:$B,$A256,Plant_BD!$AL:$AL)/($AA256+SUMIF(Plant_BD!$B:$B,$A256,Plant_BD!$AL:$AL))),"")</f>
        <v/>
      </c>
      <c r="P256" s="230"/>
      <c r="Q256" s="231" t="str">
        <f>IFERROR(1-(SUMIF(Grid_BD!$B:$B,$A256,Grid_BD!$V:$V)/($AA256+SUMIF(Grid_BD!$B:$B,$A256,Grid_BD!$V:$V))),"")</f>
        <v/>
      </c>
      <c r="R256" s="230" t="str">
        <f>IFERROR(1-(SUMIF(Grid_BD!$B:$B,$A256,Grid_BD!$V:$V)/($AA256+SUMIF(Grid_BD!$B:$B,$A256,Grid_BD!$V:$V))),"")</f>
        <v/>
      </c>
      <c r="S256" s="9"/>
      <c r="T256" s="231"/>
      <c r="U256" s="232" t="str">
        <f t="shared" si="21"/>
        <v/>
      </c>
      <c r="V256" s="232" t="str">
        <f>IFERROR(_xlfn.XLOOKUP($A256,Input_Raw!$A:$A,Input_Raw!$FG:$FG),"")</f>
        <v/>
      </c>
      <c r="W256" s="233" t="str">
        <f t="shared" si="22"/>
        <v/>
      </c>
      <c r="X256" s="29" t="str">
        <f>IFERROR(_xlfn.XLOOKUP($A256,Input_Raw!$A:$A,Input_Raw!$DP:$DP),"")</f>
        <v/>
      </c>
      <c r="Y256" s="29" t="str">
        <f>IFERROR(_xlfn.XLOOKUP($A256,Input_Raw!$A:$A,Input_Raw!EW:EW),"")</f>
        <v/>
      </c>
      <c r="Z256" s="29" t="str">
        <f>IFERROR(_xlfn.XLOOKUP($A256,Input_Raw!$A:$A,Input_Raw!EX:EX),"")</f>
        <v/>
      </c>
      <c r="AA256" s="29" t="str">
        <f>IFERROR(_xlfn.XLOOKUP($A256,Input_Raw!$A:$A,Input_Raw!FA:FA),"")</f>
        <v/>
      </c>
      <c r="AB256" s="9" t="str">
        <f>IFERROR(_xlfn.XLOOKUP($A256,Input_Raw!$A:$A,Input_Raw!FD:FD),"")</f>
        <v/>
      </c>
      <c r="AC256" s="185">
        <f>IFERROR(_xlfn.XLOOKUP($D256,'Modelling New'!$D:$D,'Modelling New'!P:P),"")</f>
        <v>5.3290322580645162</v>
      </c>
      <c r="AD256" s="29">
        <f>IFERROR(_xlfn.XLOOKUP($D256,'Modelling New'!$D:$D,'Modelling New'!T:T)*1000,"")</f>
        <v>595399.791862702</v>
      </c>
      <c r="AE256" s="233">
        <f>IFERROR(_xlfn.XLOOKUP($D256,'Modelling New'!$D:$D,'Modelling New'!O:O),"")</f>
        <v>0.85944279883329133</v>
      </c>
      <c r="AF256" s="233">
        <f>IFERROR(_xlfn.XLOOKUP($D256,'Modelling New'!$D:$D,'Modelling New'!W:W),"")</f>
        <v>0.19083326662266092</v>
      </c>
      <c r="AG256" s="233">
        <f>IFERROR(_xlfn.XLOOKUP($D256,'Modelling New'!$D:$D,'Modelling New'!AE:AE),"")</f>
        <v>0.995</v>
      </c>
      <c r="AH256" s="234">
        <f>IFERROR(_xlfn.XLOOKUP($D256,'Modelling New'!$D:$D,'Modelling New'!AF:AF),"")</f>
        <v>0.995</v>
      </c>
      <c r="AI256" s="9"/>
      <c r="AJ256" s="9"/>
      <c r="AK256" s="258"/>
      <c r="AL256" s="258"/>
      <c r="AM256" s="258"/>
      <c r="AN256" s="235"/>
      <c r="AO256" s="233"/>
      <c r="AP256" s="233"/>
      <c r="AQ256" s="233"/>
      <c r="AR256" s="236">
        <f>_xlfn.XLOOKUP(D256,'Modelling New'!$D:$D,'Modelling New'!$N:$N)</f>
        <v>130</v>
      </c>
      <c r="AS256" s="236" t="str">
        <f t="shared" si="23"/>
        <v/>
      </c>
    </row>
    <row r="257" spans="1:45">
      <c r="A257" s="18">
        <f t="shared" si="24"/>
        <v>46000</v>
      </c>
      <c r="B257" s="29">
        <f>YEAR(Table13[[#This Row],[Date]])+IF(MONTH(Table13[[#This Row],[Date]])&gt;=4,1,0)</f>
        <v>2026</v>
      </c>
      <c r="C257" s="9">
        <f>YEAR(Table13[[#This Row],[Date]])</f>
        <v>2025</v>
      </c>
      <c r="D257" s="229">
        <f>Table13[[#This Row],[Date]]-DAY(Table13[[#This Row],[Date]])+1</f>
        <v>45992</v>
      </c>
      <c r="E257" s="9">
        <f t="shared" si="20"/>
        <v>31</v>
      </c>
      <c r="F257" s="199" t="str">
        <f>IFERROR(_xlfn.XLOOKUP($A257,Input_Raw!$A:$A,Input_Raw!$FC:$FC),"")</f>
        <v/>
      </c>
      <c r="G257" s="185" t="str">
        <f>IFERROR(_xlfn.XLOOKUP($A257,Input_Raw!$A:$A,Input_Raw!$CY:$CY),"")</f>
        <v/>
      </c>
      <c r="H257" s="185" t="str">
        <f>IFERROR(_xlfn.XLOOKUP($A257,Input_Raw!$A:$A,Input_Raw!$DA:$DA),"")</f>
        <v/>
      </c>
      <c r="I257" s="185" t="str">
        <f>IFERROR(_xlfn.XLOOKUP($A257,Input_Raw!$A:$A,Input_Raw!$CX:$CX),"")</f>
        <v/>
      </c>
      <c r="J257" s="185" t="str">
        <f>IFERROR(_xlfn.XLOOKUP($A257,Input_Raw!$A:$A,Input_Raw!$CZ:$CZ),"")</f>
        <v/>
      </c>
      <c r="K257" s="201" t="str">
        <f>IFERROR(_xlfn.XLOOKUP($A257,Input_Raw!$A:$A,Input_Raw!$DB:$DB),"")</f>
        <v/>
      </c>
      <c r="L257" s="201" t="str">
        <f>IFERROR(_xlfn.XLOOKUP($A257,Input_Raw!$A:$A,Input_Raw!$DC:$DC),"")</f>
        <v/>
      </c>
      <c r="M257" s="200" t="str">
        <f>IFERROR(_xlfn.XLOOKUP($A257,Input_Raw!$A:$A,Input_Raw!$DF:$DF),"")</f>
        <v/>
      </c>
      <c r="N257" s="200" t="str">
        <f>IFERROR(_xlfn.XLOOKUP($A257,Input_Raw!$A:$A,Input_Raw!$DG:$DG),"")</f>
        <v/>
      </c>
      <c r="O257" s="230" t="str">
        <f>IFERROR(1-(SUMIF(Plant_BD!$B:$B,$A257,Plant_BD!$AL:$AL)/($AA257+SUMIF(Plant_BD!$B:$B,$A257,Plant_BD!$AL:$AL))),"")</f>
        <v/>
      </c>
      <c r="P257" s="230"/>
      <c r="Q257" s="231" t="str">
        <f>IFERROR(1-(SUMIF(Grid_BD!$B:$B,$A257,Grid_BD!$V:$V)/($AA257+SUMIF(Grid_BD!$B:$B,$A257,Grid_BD!$V:$V))),"")</f>
        <v/>
      </c>
      <c r="R257" s="230" t="str">
        <f>IFERROR(1-(SUMIF(Grid_BD!$B:$B,$A257,Grid_BD!$V:$V)/($AA257+SUMIF(Grid_BD!$B:$B,$A257,Grid_BD!$V:$V))),"")</f>
        <v/>
      </c>
      <c r="S257" s="9"/>
      <c r="T257" s="231"/>
      <c r="U257" s="232" t="str">
        <f t="shared" si="21"/>
        <v/>
      </c>
      <c r="V257" s="232" t="str">
        <f>IFERROR(_xlfn.XLOOKUP($A257,Input_Raw!$A:$A,Input_Raw!$FG:$FG),"")</f>
        <v/>
      </c>
      <c r="W257" s="233" t="str">
        <f t="shared" si="22"/>
        <v/>
      </c>
      <c r="X257" s="29" t="str">
        <f>IFERROR(_xlfn.XLOOKUP($A257,Input_Raw!$A:$A,Input_Raw!$DP:$DP),"")</f>
        <v/>
      </c>
      <c r="Y257" s="29" t="str">
        <f>IFERROR(_xlfn.XLOOKUP($A257,Input_Raw!$A:$A,Input_Raw!EW:EW),"")</f>
        <v/>
      </c>
      <c r="Z257" s="29" t="str">
        <f>IFERROR(_xlfn.XLOOKUP($A257,Input_Raw!$A:$A,Input_Raw!EX:EX),"")</f>
        <v/>
      </c>
      <c r="AA257" s="29" t="str">
        <f>IFERROR(_xlfn.XLOOKUP($A257,Input_Raw!$A:$A,Input_Raw!FA:FA),"")</f>
        <v/>
      </c>
      <c r="AB257" s="9" t="str">
        <f>IFERROR(_xlfn.XLOOKUP($A257,Input_Raw!$A:$A,Input_Raw!FD:FD),"")</f>
        <v/>
      </c>
      <c r="AC257" s="185">
        <f>IFERROR(_xlfn.XLOOKUP($D257,'Modelling New'!$D:$D,'Modelling New'!P:P),"")</f>
        <v>5.3290322580645162</v>
      </c>
      <c r="AD257" s="29">
        <f>IFERROR(_xlfn.XLOOKUP($D257,'Modelling New'!$D:$D,'Modelling New'!T:T)*1000,"")</f>
        <v>595399.791862702</v>
      </c>
      <c r="AE257" s="233">
        <f>IFERROR(_xlfn.XLOOKUP($D257,'Modelling New'!$D:$D,'Modelling New'!O:O),"")</f>
        <v>0.85944279883329133</v>
      </c>
      <c r="AF257" s="233">
        <f>IFERROR(_xlfn.XLOOKUP($D257,'Modelling New'!$D:$D,'Modelling New'!W:W),"")</f>
        <v>0.19083326662266092</v>
      </c>
      <c r="AG257" s="233">
        <f>IFERROR(_xlfn.XLOOKUP($D257,'Modelling New'!$D:$D,'Modelling New'!AE:AE),"")</f>
        <v>0.995</v>
      </c>
      <c r="AH257" s="234">
        <f>IFERROR(_xlfn.XLOOKUP($D257,'Modelling New'!$D:$D,'Modelling New'!AF:AF),"")</f>
        <v>0.995</v>
      </c>
      <c r="AI257" s="9"/>
      <c r="AJ257" s="9"/>
      <c r="AK257" s="258"/>
      <c r="AL257" s="258"/>
      <c r="AM257" s="258"/>
      <c r="AN257" s="235"/>
      <c r="AO257" s="233"/>
      <c r="AP257" s="233"/>
      <c r="AQ257" s="233"/>
      <c r="AR257" s="236">
        <f>_xlfn.XLOOKUP(D257,'Modelling New'!$D:$D,'Modelling New'!$N:$N)</f>
        <v>130</v>
      </c>
      <c r="AS257" s="236" t="str">
        <f t="shared" si="23"/>
        <v/>
      </c>
    </row>
    <row r="258" spans="1:45">
      <c r="A258" s="18">
        <f t="shared" si="24"/>
        <v>46001</v>
      </c>
      <c r="B258" s="29">
        <f>YEAR(Table13[[#This Row],[Date]])+IF(MONTH(Table13[[#This Row],[Date]])&gt;=4,1,0)</f>
        <v>2026</v>
      </c>
      <c r="C258" s="9">
        <f>YEAR(Table13[[#This Row],[Date]])</f>
        <v>2025</v>
      </c>
      <c r="D258" s="229">
        <f>Table13[[#This Row],[Date]]-DAY(Table13[[#This Row],[Date]])+1</f>
        <v>45992</v>
      </c>
      <c r="E258" s="9">
        <f t="shared" si="20"/>
        <v>31</v>
      </c>
      <c r="F258" s="199" t="str">
        <f>IFERROR(_xlfn.XLOOKUP($A258,Input_Raw!$A:$A,Input_Raw!$FC:$FC),"")</f>
        <v/>
      </c>
      <c r="G258" s="200" t="str">
        <f>IFERROR(_xlfn.XLOOKUP($A258,Input_Raw!$A:$A,Input_Raw!$CY:$CY),"")</f>
        <v/>
      </c>
      <c r="H258" s="200" t="str">
        <f>IFERROR(_xlfn.XLOOKUP($A258,Input_Raw!$A:$A,Input_Raw!$DA:$DA),"")</f>
        <v/>
      </c>
      <c r="I258" s="200" t="str">
        <f>IFERROR(_xlfn.XLOOKUP($A258,Input_Raw!$A:$A,Input_Raw!$CX:$CX),"")</f>
        <v/>
      </c>
      <c r="J258" s="200" t="str">
        <f>IFERROR(_xlfn.XLOOKUP($A258,Input_Raw!$A:$A,Input_Raw!$CZ:$CZ),"")</f>
        <v/>
      </c>
      <c r="K258" s="201" t="str">
        <f>IFERROR(_xlfn.XLOOKUP($A258,Input_Raw!$A:$A,Input_Raw!$DB:$DB),"")</f>
        <v/>
      </c>
      <c r="L258" s="201" t="str">
        <f>IFERROR(_xlfn.XLOOKUP($A258,Input_Raw!$A:$A,Input_Raw!$DC:$DC),"")</f>
        <v/>
      </c>
      <c r="M258" s="200" t="str">
        <f>IFERROR(_xlfn.XLOOKUP($A258,Input_Raw!$A:$A,Input_Raw!$DF:$DF),"")</f>
        <v/>
      </c>
      <c r="N258" s="200" t="str">
        <f>IFERROR(_xlfn.XLOOKUP($A258,Input_Raw!$A:$A,Input_Raw!$DG:$DG),"")</f>
        <v/>
      </c>
      <c r="O258" s="230" t="str">
        <f>IFERROR(1-(SUMIF(Plant_BD!$B:$B,$A258,Plant_BD!$AL:$AL)/($AA258+SUMIF(Plant_BD!$B:$B,$A258,Plant_BD!$AL:$AL))),"")</f>
        <v/>
      </c>
      <c r="P258" s="230"/>
      <c r="Q258" s="231" t="str">
        <f>IFERROR(1-(SUMIF(Grid_BD!$B:$B,$A258,Grid_BD!$V:$V)/($AA258+SUMIF(Grid_BD!$B:$B,$A258,Grid_BD!$V:$V))),"")</f>
        <v/>
      </c>
      <c r="R258" s="230" t="str">
        <f>IFERROR(1-(SUMIF(Grid_BD!$B:$B,$A258,Grid_BD!$V:$V)/($AA258+SUMIF(Grid_BD!$B:$B,$A258,Grid_BD!$V:$V))),"")</f>
        <v/>
      </c>
      <c r="S258" s="9"/>
      <c r="T258" s="231"/>
      <c r="U258" s="232" t="str">
        <f t="shared" si="21"/>
        <v/>
      </c>
      <c r="V258" s="232" t="str">
        <f>IFERROR(_xlfn.XLOOKUP($A258,Input_Raw!$A:$A,Input_Raw!$FG:$FG),"")</f>
        <v/>
      </c>
      <c r="W258" s="233" t="str">
        <f t="shared" si="22"/>
        <v/>
      </c>
      <c r="X258" s="29" t="str">
        <f>IFERROR(_xlfn.XLOOKUP($A258,Input_Raw!$A:$A,Input_Raw!$DP:$DP),"")</f>
        <v/>
      </c>
      <c r="Y258" s="29" t="str">
        <f>IFERROR(_xlfn.XLOOKUP($A258,Input_Raw!$A:$A,Input_Raw!EW:EW),"")</f>
        <v/>
      </c>
      <c r="Z258" s="29" t="str">
        <f>IFERROR(_xlfn.XLOOKUP($A258,Input_Raw!$A:$A,Input_Raw!EX:EX),"")</f>
        <v/>
      </c>
      <c r="AA258" s="29" t="str">
        <f>IFERROR(_xlfn.XLOOKUP($A258,Input_Raw!$A:$A,Input_Raw!FA:FA),"")</f>
        <v/>
      </c>
      <c r="AB258" s="9" t="str">
        <f>IFERROR(_xlfn.XLOOKUP($A258,Input_Raw!$A:$A,Input_Raw!FD:FD),"")</f>
        <v/>
      </c>
      <c r="AC258" s="185">
        <f>IFERROR(_xlfn.XLOOKUP($D258,'Modelling New'!$D:$D,'Modelling New'!P:P),"")</f>
        <v>5.3290322580645162</v>
      </c>
      <c r="AD258" s="29">
        <f>IFERROR(_xlfn.XLOOKUP($D258,'Modelling New'!$D:$D,'Modelling New'!T:T)*1000,"")</f>
        <v>595399.791862702</v>
      </c>
      <c r="AE258" s="233">
        <f>IFERROR(_xlfn.XLOOKUP($D258,'Modelling New'!$D:$D,'Modelling New'!O:O),"")</f>
        <v>0.85944279883329133</v>
      </c>
      <c r="AF258" s="233">
        <f>IFERROR(_xlfn.XLOOKUP($D258,'Modelling New'!$D:$D,'Modelling New'!W:W),"")</f>
        <v>0.19083326662266092</v>
      </c>
      <c r="AG258" s="233">
        <f>IFERROR(_xlfn.XLOOKUP($D258,'Modelling New'!$D:$D,'Modelling New'!AE:AE),"")</f>
        <v>0.995</v>
      </c>
      <c r="AH258" s="234">
        <f>IFERROR(_xlfn.XLOOKUP($D258,'Modelling New'!$D:$D,'Modelling New'!AF:AF),"")</f>
        <v>0.995</v>
      </c>
      <c r="AI258" s="9"/>
      <c r="AJ258" s="9"/>
      <c r="AK258" s="258"/>
      <c r="AL258" s="258"/>
      <c r="AM258" s="258"/>
      <c r="AN258" s="235"/>
      <c r="AO258" s="233"/>
      <c r="AP258" s="233"/>
      <c r="AQ258" s="233"/>
      <c r="AR258" s="236">
        <f>_xlfn.XLOOKUP(D258,'Modelling New'!$D:$D,'Modelling New'!$N:$N)</f>
        <v>130</v>
      </c>
      <c r="AS258" s="236" t="str">
        <f t="shared" si="23"/>
        <v/>
      </c>
    </row>
    <row r="259" spans="1:45">
      <c r="A259" s="18">
        <f t="shared" si="24"/>
        <v>46002</v>
      </c>
      <c r="B259" s="29">
        <f>YEAR(Table13[[#This Row],[Date]])+IF(MONTH(Table13[[#This Row],[Date]])&gt;=4,1,0)</f>
        <v>2026</v>
      </c>
      <c r="C259" s="9">
        <f>YEAR(Table13[[#This Row],[Date]])</f>
        <v>2025</v>
      </c>
      <c r="D259" s="229">
        <f>Table13[[#This Row],[Date]]-DAY(Table13[[#This Row],[Date]])+1</f>
        <v>45992</v>
      </c>
      <c r="E259" s="9">
        <f t="shared" si="20"/>
        <v>31</v>
      </c>
      <c r="F259" s="199" t="str">
        <f>IFERROR(_xlfn.XLOOKUP($A259,Input_Raw!$A:$A,Input_Raw!$FC:$FC),"")</f>
        <v/>
      </c>
      <c r="G259" s="185" t="str">
        <f>IFERROR(_xlfn.XLOOKUP($A259,Input_Raw!$A:$A,Input_Raw!$CY:$CY),"")</f>
        <v/>
      </c>
      <c r="H259" s="185" t="str">
        <f>IFERROR(_xlfn.XLOOKUP($A259,Input_Raw!$A:$A,Input_Raw!$DA:$DA),"")</f>
        <v/>
      </c>
      <c r="I259" s="185" t="str">
        <f>IFERROR(_xlfn.XLOOKUP($A259,Input_Raw!$A:$A,Input_Raw!$CX:$CX),"")</f>
        <v/>
      </c>
      <c r="J259" s="185" t="str">
        <f>IFERROR(_xlfn.XLOOKUP($A259,Input_Raw!$A:$A,Input_Raw!$CZ:$CZ),"")</f>
        <v/>
      </c>
      <c r="K259" s="201" t="str">
        <f>IFERROR(_xlfn.XLOOKUP($A259,Input_Raw!$A:$A,Input_Raw!$DB:$DB),"")</f>
        <v/>
      </c>
      <c r="L259" s="201" t="str">
        <f>IFERROR(_xlfn.XLOOKUP($A259,Input_Raw!$A:$A,Input_Raw!$DC:$DC),"")</f>
        <v/>
      </c>
      <c r="M259" s="200" t="str">
        <f>IFERROR(_xlfn.XLOOKUP($A259,Input_Raw!$A:$A,Input_Raw!$DF:$DF),"")</f>
        <v/>
      </c>
      <c r="N259" s="200" t="str">
        <f>IFERROR(_xlfn.XLOOKUP($A259,Input_Raw!$A:$A,Input_Raw!$DG:$DG),"")</f>
        <v/>
      </c>
      <c r="O259" s="230" t="str">
        <f>IFERROR(1-(SUMIF(Plant_BD!$B:$B,$A259,Plant_BD!$AL:$AL)/($AA259+SUMIF(Plant_BD!$B:$B,$A259,Plant_BD!$AL:$AL))),"")</f>
        <v/>
      </c>
      <c r="P259" s="230"/>
      <c r="Q259" s="231" t="str">
        <f>IFERROR(1-(SUMIF(Grid_BD!$B:$B,$A259,Grid_BD!$V:$V)/($AA259+SUMIF(Grid_BD!$B:$B,$A259,Grid_BD!$V:$V))),"")</f>
        <v/>
      </c>
      <c r="R259" s="230" t="str">
        <f>IFERROR(1-(SUMIF(Grid_BD!$B:$B,$A259,Grid_BD!$V:$V)/($AA259+SUMIF(Grid_BD!$B:$B,$A259,Grid_BD!$V:$V))),"")</f>
        <v/>
      </c>
      <c r="S259" s="9"/>
      <c r="T259" s="231"/>
      <c r="U259" s="232" t="str">
        <f t="shared" si="21"/>
        <v/>
      </c>
      <c r="V259" s="232" t="str">
        <f>IFERROR(_xlfn.XLOOKUP($A259,Input_Raw!$A:$A,Input_Raw!$FG:$FG),"")</f>
        <v/>
      </c>
      <c r="W259" s="233" t="str">
        <f t="shared" si="22"/>
        <v/>
      </c>
      <c r="X259" s="29" t="str">
        <f>IFERROR(_xlfn.XLOOKUP($A259,Input_Raw!$A:$A,Input_Raw!$DP:$DP),"")</f>
        <v/>
      </c>
      <c r="Y259" s="29" t="str">
        <f>IFERROR(_xlfn.XLOOKUP($A259,Input_Raw!$A:$A,Input_Raw!EW:EW),"")</f>
        <v/>
      </c>
      <c r="Z259" s="29" t="str">
        <f>IFERROR(_xlfn.XLOOKUP($A259,Input_Raw!$A:$A,Input_Raw!EX:EX),"")</f>
        <v/>
      </c>
      <c r="AA259" s="29" t="str">
        <f>IFERROR(_xlfn.XLOOKUP($A259,Input_Raw!$A:$A,Input_Raw!FA:FA),"")</f>
        <v/>
      </c>
      <c r="AB259" s="9" t="str">
        <f>IFERROR(_xlfn.XLOOKUP($A259,Input_Raw!$A:$A,Input_Raw!FD:FD),"")</f>
        <v/>
      </c>
      <c r="AC259" s="185">
        <f>IFERROR(_xlfn.XLOOKUP($D259,'Modelling New'!$D:$D,'Modelling New'!P:P),"")</f>
        <v>5.3290322580645162</v>
      </c>
      <c r="AD259" s="29">
        <f>IFERROR(_xlfn.XLOOKUP($D259,'Modelling New'!$D:$D,'Modelling New'!T:T)*1000,"")</f>
        <v>595399.791862702</v>
      </c>
      <c r="AE259" s="233">
        <f>IFERROR(_xlfn.XLOOKUP($D259,'Modelling New'!$D:$D,'Modelling New'!O:O),"")</f>
        <v>0.85944279883329133</v>
      </c>
      <c r="AF259" s="233">
        <f>IFERROR(_xlfn.XLOOKUP($D259,'Modelling New'!$D:$D,'Modelling New'!W:W),"")</f>
        <v>0.19083326662266092</v>
      </c>
      <c r="AG259" s="233">
        <f>IFERROR(_xlfn.XLOOKUP($D259,'Modelling New'!$D:$D,'Modelling New'!AE:AE),"")</f>
        <v>0.995</v>
      </c>
      <c r="AH259" s="234">
        <f>IFERROR(_xlfn.XLOOKUP($D259,'Modelling New'!$D:$D,'Modelling New'!AF:AF),"")</f>
        <v>0.995</v>
      </c>
      <c r="AI259" s="9"/>
      <c r="AJ259" s="9"/>
      <c r="AK259" s="258"/>
      <c r="AL259" s="258"/>
      <c r="AM259" s="258"/>
      <c r="AN259" s="235"/>
      <c r="AO259" s="233"/>
      <c r="AP259" s="233"/>
      <c r="AQ259" s="233"/>
      <c r="AR259" s="236">
        <f>_xlfn.XLOOKUP(D259,'Modelling New'!$D:$D,'Modelling New'!$N:$N)</f>
        <v>130</v>
      </c>
      <c r="AS259" s="236" t="str">
        <f t="shared" si="23"/>
        <v/>
      </c>
    </row>
    <row r="260" spans="1:45">
      <c r="A260" s="18">
        <f t="shared" si="24"/>
        <v>46003</v>
      </c>
      <c r="B260" s="29">
        <f>YEAR(Table13[[#This Row],[Date]])+IF(MONTH(Table13[[#This Row],[Date]])&gt;=4,1,0)</f>
        <v>2026</v>
      </c>
      <c r="C260" s="9">
        <f>YEAR(Table13[[#This Row],[Date]])</f>
        <v>2025</v>
      </c>
      <c r="D260" s="229">
        <f>Table13[[#This Row],[Date]]-DAY(Table13[[#This Row],[Date]])+1</f>
        <v>45992</v>
      </c>
      <c r="E260" s="9">
        <f t="shared" si="20"/>
        <v>31</v>
      </c>
      <c r="F260" s="199" t="str">
        <f>IFERROR(_xlfn.XLOOKUP($A260,Input_Raw!$A:$A,Input_Raw!$FC:$FC),"")</f>
        <v/>
      </c>
      <c r="G260" s="200" t="str">
        <f>IFERROR(_xlfn.XLOOKUP($A260,Input_Raw!$A:$A,Input_Raw!$CY:$CY),"")</f>
        <v/>
      </c>
      <c r="H260" s="200" t="str">
        <f>IFERROR(_xlfn.XLOOKUP($A260,Input_Raw!$A:$A,Input_Raw!$DA:$DA),"")</f>
        <v/>
      </c>
      <c r="I260" s="200" t="str">
        <f>IFERROR(_xlfn.XLOOKUP($A260,Input_Raw!$A:$A,Input_Raw!$CX:$CX),"")</f>
        <v/>
      </c>
      <c r="J260" s="200" t="str">
        <f>IFERROR(_xlfn.XLOOKUP($A260,Input_Raw!$A:$A,Input_Raw!$CZ:$CZ),"")</f>
        <v/>
      </c>
      <c r="K260" s="201" t="str">
        <f>IFERROR(_xlfn.XLOOKUP($A260,Input_Raw!$A:$A,Input_Raw!$DB:$DB),"")</f>
        <v/>
      </c>
      <c r="L260" s="201" t="str">
        <f>IFERROR(_xlfn.XLOOKUP($A260,Input_Raw!$A:$A,Input_Raw!$DC:$DC),"")</f>
        <v/>
      </c>
      <c r="M260" s="200" t="str">
        <f>IFERROR(_xlfn.XLOOKUP($A260,Input_Raw!$A:$A,Input_Raw!$DF:$DF),"")</f>
        <v/>
      </c>
      <c r="N260" s="200" t="str">
        <f>IFERROR(_xlfn.XLOOKUP($A260,Input_Raw!$A:$A,Input_Raw!$DG:$DG),"")</f>
        <v/>
      </c>
      <c r="O260" s="230" t="str">
        <f>IFERROR(1-(SUMIF(Plant_BD!$B:$B,$A260,Plant_BD!$AL:$AL)/($AA260+SUMIF(Plant_BD!$B:$B,$A260,Plant_BD!$AL:$AL))),"")</f>
        <v/>
      </c>
      <c r="P260" s="230"/>
      <c r="Q260" s="231" t="str">
        <f>IFERROR(1-(SUMIF(Grid_BD!$B:$B,$A260,Grid_BD!$V:$V)/($AA260+SUMIF(Grid_BD!$B:$B,$A260,Grid_BD!$V:$V))),"")</f>
        <v/>
      </c>
      <c r="R260" s="230" t="str">
        <f>IFERROR(1-(SUMIF(Grid_BD!$B:$B,$A260,Grid_BD!$V:$V)/($AA260+SUMIF(Grid_BD!$B:$B,$A260,Grid_BD!$V:$V))),"")</f>
        <v/>
      </c>
      <c r="S260" s="9"/>
      <c r="T260" s="231"/>
      <c r="U260" s="232" t="str">
        <f t="shared" si="21"/>
        <v/>
      </c>
      <c r="V260" s="232" t="str">
        <f>IFERROR(_xlfn.XLOOKUP($A260,Input_Raw!$A:$A,Input_Raw!$FG:$FG),"")</f>
        <v/>
      </c>
      <c r="W260" s="233" t="str">
        <f t="shared" si="22"/>
        <v/>
      </c>
      <c r="X260" s="29" t="str">
        <f>IFERROR(_xlfn.XLOOKUP($A260,Input_Raw!$A:$A,Input_Raw!$DP:$DP),"")</f>
        <v/>
      </c>
      <c r="Y260" s="29" t="str">
        <f>IFERROR(_xlfn.XLOOKUP($A260,Input_Raw!$A:$A,Input_Raw!EW:EW),"")</f>
        <v/>
      </c>
      <c r="Z260" s="29" t="str">
        <f>IFERROR(_xlfn.XLOOKUP($A260,Input_Raw!$A:$A,Input_Raw!EX:EX),"")</f>
        <v/>
      </c>
      <c r="AA260" s="29" t="str">
        <f>IFERROR(_xlfn.XLOOKUP($A260,Input_Raw!$A:$A,Input_Raw!FA:FA),"")</f>
        <v/>
      </c>
      <c r="AB260" s="9" t="str">
        <f>IFERROR(_xlfn.XLOOKUP($A260,Input_Raw!$A:$A,Input_Raw!FD:FD),"")</f>
        <v/>
      </c>
      <c r="AC260" s="185">
        <f>IFERROR(_xlfn.XLOOKUP($D260,'Modelling New'!$D:$D,'Modelling New'!P:P),"")</f>
        <v>5.3290322580645162</v>
      </c>
      <c r="AD260" s="29">
        <f>IFERROR(_xlfn.XLOOKUP($D260,'Modelling New'!$D:$D,'Modelling New'!T:T)*1000,"")</f>
        <v>595399.791862702</v>
      </c>
      <c r="AE260" s="233">
        <f>IFERROR(_xlfn.XLOOKUP($D260,'Modelling New'!$D:$D,'Modelling New'!O:O),"")</f>
        <v>0.85944279883329133</v>
      </c>
      <c r="AF260" s="233">
        <f>IFERROR(_xlfn.XLOOKUP($D260,'Modelling New'!$D:$D,'Modelling New'!W:W),"")</f>
        <v>0.19083326662266092</v>
      </c>
      <c r="AG260" s="233">
        <f>IFERROR(_xlfn.XLOOKUP($D260,'Modelling New'!$D:$D,'Modelling New'!AE:AE),"")</f>
        <v>0.995</v>
      </c>
      <c r="AH260" s="234">
        <f>IFERROR(_xlfn.XLOOKUP($D260,'Modelling New'!$D:$D,'Modelling New'!AF:AF),"")</f>
        <v>0.995</v>
      </c>
      <c r="AI260" s="9"/>
      <c r="AJ260" s="9"/>
      <c r="AK260" s="258"/>
      <c r="AL260" s="258"/>
      <c r="AM260" s="258"/>
      <c r="AN260" s="235"/>
      <c r="AO260" s="233"/>
      <c r="AP260" s="233"/>
      <c r="AQ260" s="233"/>
      <c r="AR260" s="236">
        <f>_xlfn.XLOOKUP(D260,'Modelling New'!$D:$D,'Modelling New'!$N:$N)</f>
        <v>130</v>
      </c>
      <c r="AS260" s="236" t="str">
        <f t="shared" si="23"/>
        <v/>
      </c>
    </row>
    <row r="261" spans="1:45">
      <c r="A261" s="18">
        <f t="shared" si="24"/>
        <v>46004</v>
      </c>
      <c r="B261" s="29">
        <f>YEAR(Table13[[#This Row],[Date]])+IF(MONTH(Table13[[#This Row],[Date]])&gt;=4,1,0)</f>
        <v>2026</v>
      </c>
      <c r="C261" s="9">
        <f>YEAR(Table13[[#This Row],[Date]])</f>
        <v>2025</v>
      </c>
      <c r="D261" s="229">
        <f>Table13[[#This Row],[Date]]-DAY(Table13[[#This Row],[Date]])+1</f>
        <v>45992</v>
      </c>
      <c r="E261" s="9">
        <f t="shared" si="20"/>
        <v>31</v>
      </c>
      <c r="F261" s="199" t="str">
        <f>IFERROR(_xlfn.XLOOKUP($A261,Input_Raw!$A:$A,Input_Raw!$FC:$FC),"")</f>
        <v/>
      </c>
      <c r="G261" s="185" t="str">
        <f>IFERROR(_xlfn.XLOOKUP($A261,Input_Raw!$A:$A,Input_Raw!$CY:$CY),"")</f>
        <v/>
      </c>
      <c r="H261" s="185" t="str">
        <f>IFERROR(_xlfn.XLOOKUP($A261,Input_Raw!$A:$A,Input_Raw!$DA:$DA),"")</f>
        <v/>
      </c>
      <c r="I261" s="185" t="str">
        <f>IFERROR(_xlfn.XLOOKUP($A261,Input_Raw!$A:$A,Input_Raw!$CX:$CX),"")</f>
        <v/>
      </c>
      <c r="J261" s="185" t="str">
        <f>IFERROR(_xlfn.XLOOKUP($A261,Input_Raw!$A:$A,Input_Raw!$CZ:$CZ),"")</f>
        <v/>
      </c>
      <c r="K261" s="201" t="str">
        <f>IFERROR(_xlfn.XLOOKUP($A261,Input_Raw!$A:$A,Input_Raw!$DB:$DB),"")</f>
        <v/>
      </c>
      <c r="L261" s="201" t="str">
        <f>IFERROR(_xlfn.XLOOKUP($A261,Input_Raw!$A:$A,Input_Raw!$DC:$DC),"")</f>
        <v/>
      </c>
      <c r="M261" s="200" t="str">
        <f>IFERROR(_xlfn.XLOOKUP($A261,Input_Raw!$A:$A,Input_Raw!$DF:$DF),"")</f>
        <v/>
      </c>
      <c r="N261" s="200" t="str">
        <f>IFERROR(_xlfn.XLOOKUP($A261,Input_Raw!$A:$A,Input_Raw!$DG:$DG),"")</f>
        <v/>
      </c>
      <c r="O261" s="230" t="str">
        <f>IFERROR(1-(SUMIF(Plant_BD!$B:$B,$A261,Plant_BD!$AL:$AL)/($AA261+SUMIF(Plant_BD!$B:$B,$A261,Plant_BD!$AL:$AL))),"")</f>
        <v/>
      </c>
      <c r="P261" s="230"/>
      <c r="Q261" s="231" t="str">
        <f>IFERROR(1-(SUMIF(Grid_BD!$B:$B,$A261,Grid_BD!$V:$V)/($AA261+SUMIF(Grid_BD!$B:$B,$A261,Grid_BD!$V:$V))),"")</f>
        <v/>
      </c>
      <c r="R261" s="230" t="str">
        <f>IFERROR(1-(SUMIF(Grid_BD!$B:$B,$A261,Grid_BD!$V:$V)/($AA261+SUMIF(Grid_BD!$B:$B,$A261,Grid_BD!$V:$V))),"")</f>
        <v/>
      </c>
      <c r="S261" s="9"/>
      <c r="T261" s="231"/>
      <c r="U261" s="232" t="str">
        <f t="shared" si="21"/>
        <v/>
      </c>
      <c r="V261" s="232" t="str">
        <f>IFERROR(_xlfn.XLOOKUP($A261,Input_Raw!$A:$A,Input_Raw!$FG:$FG),"")</f>
        <v/>
      </c>
      <c r="W261" s="233" t="str">
        <f t="shared" si="22"/>
        <v/>
      </c>
      <c r="X261" s="29" t="str">
        <f>IFERROR(_xlfn.XLOOKUP($A261,Input_Raw!$A:$A,Input_Raw!$DP:$DP),"")</f>
        <v/>
      </c>
      <c r="Y261" s="29" t="str">
        <f>IFERROR(_xlfn.XLOOKUP($A261,Input_Raw!$A:$A,Input_Raw!EW:EW),"")</f>
        <v/>
      </c>
      <c r="Z261" s="29" t="str">
        <f>IFERROR(_xlfn.XLOOKUP($A261,Input_Raw!$A:$A,Input_Raw!EX:EX),"")</f>
        <v/>
      </c>
      <c r="AA261" s="29" t="str">
        <f>IFERROR(_xlfn.XLOOKUP($A261,Input_Raw!$A:$A,Input_Raw!FA:FA),"")</f>
        <v/>
      </c>
      <c r="AB261" s="9" t="str">
        <f>IFERROR(_xlfn.XLOOKUP($A261,Input_Raw!$A:$A,Input_Raw!FD:FD),"")</f>
        <v/>
      </c>
      <c r="AC261" s="185">
        <f>IFERROR(_xlfn.XLOOKUP($D261,'Modelling New'!$D:$D,'Modelling New'!P:P),"")</f>
        <v>5.3290322580645162</v>
      </c>
      <c r="AD261" s="29">
        <f>IFERROR(_xlfn.XLOOKUP($D261,'Modelling New'!$D:$D,'Modelling New'!T:T)*1000,"")</f>
        <v>595399.791862702</v>
      </c>
      <c r="AE261" s="233">
        <f>IFERROR(_xlfn.XLOOKUP($D261,'Modelling New'!$D:$D,'Modelling New'!O:O),"")</f>
        <v>0.85944279883329133</v>
      </c>
      <c r="AF261" s="233">
        <f>IFERROR(_xlfn.XLOOKUP($D261,'Modelling New'!$D:$D,'Modelling New'!W:W),"")</f>
        <v>0.19083326662266092</v>
      </c>
      <c r="AG261" s="233">
        <f>IFERROR(_xlfn.XLOOKUP($D261,'Modelling New'!$D:$D,'Modelling New'!AE:AE),"")</f>
        <v>0.995</v>
      </c>
      <c r="AH261" s="234">
        <f>IFERROR(_xlfn.XLOOKUP($D261,'Modelling New'!$D:$D,'Modelling New'!AF:AF),"")</f>
        <v>0.995</v>
      </c>
      <c r="AI261" s="9"/>
      <c r="AJ261" s="9"/>
      <c r="AK261" s="258"/>
      <c r="AL261" s="258"/>
      <c r="AM261" s="258"/>
      <c r="AN261" s="235"/>
      <c r="AO261" s="233"/>
      <c r="AP261" s="233"/>
      <c r="AQ261" s="233"/>
      <c r="AR261" s="236">
        <f>_xlfn.XLOOKUP(D261,'Modelling New'!$D:$D,'Modelling New'!$N:$N)</f>
        <v>130</v>
      </c>
      <c r="AS261" s="236" t="str">
        <f t="shared" si="23"/>
        <v/>
      </c>
    </row>
    <row r="262" spans="1:45">
      <c r="A262" s="18">
        <f t="shared" si="24"/>
        <v>46005</v>
      </c>
      <c r="B262" s="29">
        <f>YEAR(Table13[[#This Row],[Date]])+IF(MONTH(Table13[[#This Row],[Date]])&gt;=4,1,0)</f>
        <v>2026</v>
      </c>
      <c r="C262" s="9">
        <f>YEAR(Table13[[#This Row],[Date]])</f>
        <v>2025</v>
      </c>
      <c r="D262" s="229">
        <f>Table13[[#This Row],[Date]]-DAY(Table13[[#This Row],[Date]])+1</f>
        <v>45992</v>
      </c>
      <c r="E262" s="9">
        <f t="shared" si="20"/>
        <v>31</v>
      </c>
      <c r="F262" s="199" t="str">
        <f>IFERROR(_xlfn.XLOOKUP($A262,Input_Raw!$A:$A,Input_Raw!$FC:$FC),"")</f>
        <v/>
      </c>
      <c r="G262" s="200" t="str">
        <f>IFERROR(_xlfn.XLOOKUP($A262,Input_Raw!$A:$A,Input_Raw!$CY:$CY),"")</f>
        <v/>
      </c>
      <c r="H262" s="200" t="str">
        <f>IFERROR(_xlfn.XLOOKUP($A262,Input_Raw!$A:$A,Input_Raw!$DA:$DA),"")</f>
        <v/>
      </c>
      <c r="I262" s="200" t="str">
        <f>IFERROR(_xlfn.XLOOKUP($A262,Input_Raw!$A:$A,Input_Raw!$CX:$CX),"")</f>
        <v/>
      </c>
      <c r="J262" s="200" t="str">
        <f>IFERROR(_xlfn.XLOOKUP($A262,Input_Raw!$A:$A,Input_Raw!$CZ:$CZ),"")</f>
        <v/>
      </c>
      <c r="K262" s="201" t="str">
        <f>IFERROR(_xlfn.XLOOKUP($A262,Input_Raw!$A:$A,Input_Raw!$DB:$DB),"")</f>
        <v/>
      </c>
      <c r="L262" s="201" t="str">
        <f>IFERROR(_xlfn.XLOOKUP($A262,Input_Raw!$A:$A,Input_Raw!$DC:$DC),"")</f>
        <v/>
      </c>
      <c r="M262" s="200" t="str">
        <f>IFERROR(_xlfn.XLOOKUP($A262,Input_Raw!$A:$A,Input_Raw!$DF:$DF),"")</f>
        <v/>
      </c>
      <c r="N262" s="200" t="str">
        <f>IFERROR(_xlfn.XLOOKUP($A262,Input_Raw!$A:$A,Input_Raw!$DG:$DG),"")</f>
        <v/>
      </c>
      <c r="O262" s="230" t="str">
        <f>IFERROR(1-(SUMIF(Plant_BD!$B:$B,$A262,Plant_BD!$AL:$AL)/($AA262+SUMIF(Plant_BD!$B:$B,$A262,Plant_BD!$AL:$AL))),"")</f>
        <v/>
      </c>
      <c r="P262" s="230"/>
      <c r="Q262" s="231" t="str">
        <f>IFERROR(1-(SUMIF(Grid_BD!$B:$B,$A262,Grid_BD!$V:$V)/($AA262+SUMIF(Grid_BD!$B:$B,$A262,Grid_BD!$V:$V))),"")</f>
        <v/>
      </c>
      <c r="R262" s="230" t="str">
        <f>IFERROR(1-(SUMIF(Grid_BD!$B:$B,$A262,Grid_BD!$V:$V)/($AA262+SUMIF(Grid_BD!$B:$B,$A262,Grid_BD!$V:$V))),"")</f>
        <v/>
      </c>
      <c r="S262" s="9"/>
      <c r="T262" s="231"/>
      <c r="U262" s="232" t="str">
        <f t="shared" si="21"/>
        <v/>
      </c>
      <c r="V262" s="232" t="str">
        <f>IFERROR(_xlfn.XLOOKUP($A262,Input_Raw!$A:$A,Input_Raw!$FG:$FG),"")</f>
        <v/>
      </c>
      <c r="W262" s="233" t="str">
        <f t="shared" si="22"/>
        <v/>
      </c>
      <c r="X262" s="29" t="str">
        <f>IFERROR(_xlfn.XLOOKUP($A262,Input_Raw!$A:$A,Input_Raw!$DP:$DP),"")</f>
        <v/>
      </c>
      <c r="Y262" s="29" t="str">
        <f>IFERROR(_xlfn.XLOOKUP($A262,Input_Raw!$A:$A,Input_Raw!EW:EW),"")</f>
        <v/>
      </c>
      <c r="Z262" s="29" t="str">
        <f>IFERROR(_xlfn.XLOOKUP($A262,Input_Raw!$A:$A,Input_Raw!EX:EX),"")</f>
        <v/>
      </c>
      <c r="AA262" s="29" t="str">
        <f>IFERROR(_xlfn.XLOOKUP($A262,Input_Raw!$A:$A,Input_Raw!FA:FA),"")</f>
        <v/>
      </c>
      <c r="AB262" s="9" t="str">
        <f>IFERROR(_xlfn.XLOOKUP($A262,Input_Raw!$A:$A,Input_Raw!FD:FD),"")</f>
        <v/>
      </c>
      <c r="AC262" s="185">
        <f>IFERROR(_xlfn.XLOOKUP($D262,'Modelling New'!$D:$D,'Modelling New'!P:P),"")</f>
        <v>5.3290322580645162</v>
      </c>
      <c r="AD262" s="29">
        <f>IFERROR(_xlfn.XLOOKUP($D262,'Modelling New'!$D:$D,'Modelling New'!T:T)*1000,"")</f>
        <v>595399.791862702</v>
      </c>
      <c r="AE262" s="233">
        <f>IFERROR(_xlfn.XLOOKUP($D262,'Modelling New'!$D:$D,'Modelling New'!O:O),"")</f>
        <v>0.85944279883329133</v>
      </c>
      <c r="AF262" s="233">
        <f>IFERROR(_xlfn.XLOOKUP($D262,'Modelling New'!$D:$D,'Modelling New'!W:W),"")</f>
        <v>0.19083326662266092</v>
      </c>
      <c r="AG262" s="233">
        <f>IFERROR(_xlfn.XLOOKUP($D262,'Modelling New'!$D:$D,'Modelling New'!AE:AE),"")</f>
        <v>0.995</v>
      </c>
      <c r="AH262" s="234">
        <f>IFERROR(_xlfn.XLOOKUP($D262,'Modelling New'!$D:$D,'Modelling New'!AF:AF),"")</f>
        <v>0.995</v>
      </c>
      <c r="AI262" s="9"/>
      <c r="AJ262" s="9"/>
      <c r="AK262" s="258"/>
      <c r="AL262" s="258"/>
      <c r="AM262" s="258"/>
      <c r="AN262" s="235"/>
      <c r="AO262" s="233"/>
      <c r="AP262" s="233"/>
      <c r="AQ262" s="233"/>
      <c r="AR262" s="236">
        <f>_xlfn.XLOOKUP(D262,'Modelling New'!$D:$D,'Modelling New'!$N:$N)</f>
        <v>130</v>
      </c>
      <c r="AS262" s="236" t="str">
        <f t="shared" si="23"/>
        <v/>
      </c>
    </row>
    <row r="263" spans="1:45">
      <c r="A263" s="18">
        <f t="shared" si="24"/>
        <v>46006</v>
      </c>
      <c r="B263" s="29">
        <f>YEAR(Table13[[#This Row],[Date]])+IF(MONTH(Table13[[#This Row],[Date]])&gt;=4,1,0)</f>
        <v>2026</v>
      </c>
      <c r="C263" s="9">
        <f>YEAR(Table13[[#This Row],[Date]])</f>
        <v>2025</v>
      </c>
      <c r="D263" s="229">
        <f>Table13[[#This Row],[Date]]-DAY(Table13[[#This Row],[Date]])+1</f>
        <v>45992</v>
      </c>
      <c r="E263" s="9">
        <f t="shared" si="20"/>
        <v>31</v>
      </c>
      <c r="F263" s="199" t="str">
        <f>IFERROR(_xlfn.XLOOKUP($A263,Input_Raw!$A:$A,Input_Raw!$FC:$FC),"")</f>
        <v/>
      </c>
      <c r="G263" s="185" t="str">
        <f>IFERROR(_xlfn.XLOOKUP($A263,Input_Raw!$A:$A,Input_Raw!$CY:$CY),"")</f>
        <v/>
      </c>
      <c r="H263" s="185" t="str">
        <f>IFERROR(_xlfn.XLOOKUP($A263,Input_Raw!$A:$A,Input_Raw!$DA:$DA),"")</f>
        <v/>
      </c>
      <c r="I263" s="185" t="str">
        <f>IFERROR(_xlfn.XLOOKUP($A263,Input_Raw!$A:$A,Input_Raw!$CX:$CX),"")</f>
        <v/>
      </c>
      <c r="J263" s="185" t="str">
        <f>IFERROR(_xlfn.XLOOKUP($A263,Input_Raw!$A:$A,Input_Raw!$CZ:$CZ),"")</f>
        <v/>
      </c>
      <c r="K263" s="201" t="str">
        <f>IFERROR(_xlfn.XLOOKUP($A263,Input_Raw!$A:$A,Input_Raw!$DB:$DB),"")</f>
        <v/>
      </c>
      <c r="L263" s="201" t="str">
        <f>IFERROR(_xlfn.XLOOKUP($A263,Input_Raw!$A:$A,Input_Raw!$DC:$DC),"")</f>
        <v/>
      </c>
      <c r="M263" s="200" t="str">
        <f>IFERROR(_xlfn.XLOOKUP($A263,Input_Raw!$A:$A,Input_Raw!$DF:$DF),"")</f>
        <v/>
      </c>
      <c r="N263" s="200" t="str">
        <f>IFERROR(_xlfn.XLOOKUP($A263,Input_Raw!$A:$A,Input_Raw!$DG:$DG),"")</f>
        <v/>
      </c>
      <c r="O263" s="230" t="str">
        <f>IFERROR(1-(SUMIF(Plant_BD!$B:$B,$A263,Plant_BD!$AL:$AL)/($AA263+SUMIF(Plant_BD!$B:$B,$A263,Plant_BD!$AL:$AL))),"")</f>
        <v/>
      </c>
      <c r="P263" s="230"/>
      <c r="Q263" s="231" t="str">
        <f>IFERROR(1-(SUMIF(Grid_BD!$B:$B,$A263,Grid_BD!$V:$V)/($AA263+SUMIF(Grid_BD!$B:$B,$A263,Grid_BD!$V:$V))),"")</f>
        <v/>
      </c>
      <c r="R263" s="230" t="str">
        <f>IFERROR(1-(SUMIF(Grid_BD!$B:$B,$A263,Grid_BD!$V:$V)/($AA263+SUMIF(Grid_BD!$B:$B,$A263,Grid_BD!$V:$V))),"")</f>
        <v/>
      </c>
      <c r="S263" s="9"/>
      <c r="T263" s="231"/>
      <c r="U263" s="232" t="str">
        <f t="shared" si="21"/>
        <v/>
      </c>
      <c r="V263" s="232" t="str">
        <f>IFERROR(_xlfn.XLOOKUP($A263,Input_Raw!$A:$A,Input_Raw!$FG:$FG),"")</f>
        <v/>
      </c>
      <c r="W263" s="233" t="str">
        <f t="shared" si="22"/>
        <v/>
      </c>
      <c r="X263" s="29" t="str">
        <f>IFERROR(_xlfn.XLOOKUP($A263,Input_Raw!$A:$A,Input_Raw!$DP:$DP),"")</f>
        <v/>
      </c>
      <c r="Y263" s="29" t="str">
        <f>IFERROR(_xlfn.XLOOKUP($A263,Input_Raw!$A:$A,Input_Raw!EW:EW),"")</f>
        <v/>
      </c>
      <c r="Z263" s="29" t="str">
        <f>IFERROR(_xlfn.XLOOKUP($A263,Input_Raw!$A:$A,Input_Raw!EX:EX),"")</f>
        <v/>
      </c>
      <c r="AA263" s="29" t="str">
        <f>IFERROR(_xlfn.XLOOKUP($A263,Input_Raw!$A:$A,Input_Raw!FA:FA),"")</f>
        <v/>
      </c>
      <c r="AB263" s="9" t="str">
        <f>IFERROR(_xlfn.XLOOKUP($A263,Input_Raw!$A:$A,Input_Raw!FD:FD),"")</f>
        <v/>
      </c>
      <c r="AC263" s="185">
        <f>IFERROR(_xlfn.XLOOKUP($D263,'Modelling New'!$D:$D,'Modelling New'!P:P),"")</f>
        <v>5.3290322580645162</v>
      </c>
      <c r="AD263" s="29">
        <f>IFERROR(_xlfn.XLOOKUP($D263,'Modelling New'!$D:$D,'Modelling New'!T:T)*1000,"")</f>
        <v>595399.791862702</v>
      </c>
      <c r="AE263" s="233">
        <f>IFERROR(_xlfn.XLOOKUP($D263,'Modelling New'!$D:$D,'Modelling New'!O:O),"")</f>
        <v>0.85944279883329133</v>
      </c>
      <c r="AF263" s="233">
        <f>IFERROR(_xlfn.XLOOKUP($D263,'Modelling New'!$D:$D,'Modelling New'!W:W),"")</f>
        <v>0.19083326662266092</v>
      </c>
      <c r="AG263" s="233">
        <f>IFERROR(_xlfn.XLOOKUP($D263,'Modelling New'!$D:$D,'Modelling New'!AE:AE),"")</f>
        <v>0.995</v>
      </c>
      <c r="AH263" s="234">
        <f>IFERROR(_xlfn.XLOOKUP($D263,'Modelling New'!$D:$D,'Modelling New'!AF:AF),"")</f>
        <v>0.995</v>
      </c>
      <c r="AI263" s="9"/>
      <c r="AJ263" s="9"/>
      <c r="AK263" s="258"/>
      <c r="AL263" s="258"/>
      <c r="AM263" s="258"/>
      <c r="AN263" s="235"/>
      <c r="AO263" s="233"/>
      <c r="AP263" s="233"/>
      <c r="AQ263" s="233"/>
      <c r="AR263" s="236">
        <f>_xlfn.XLOOKUP(D263,'Modelling New'!$D:$D,'Modelling New'!$N:$N)</f>
        <v>130</v>
      </c>
      <c r="AS263" s="236" t="str">
        <f t="shared" si="23"/>
        <v/>
      </c>
    </row>
    <row r="264" spans="1:45">
      <c r="A264" s="18">
        <f t="shared" si="24"/>
        <v>46007</v>
      </c>
      <c r="B264" s="29">
        <f>YEAR(Table13[[#This Row],[Date]])+IF(MONTH(Table13[[#This Row],[Date]])&gt;=4,1,0)</f>
        <v>2026</v>
      </c>
      <c r="C264" s="9">
        <f>YEAR(Table13[[#This Row],[Date]])</f>
        <v>2025</v>
      </c>
      <c r="D264" s="229">
        <f>Table13[[#This Row],[Date]]-DAY(Table13[[#This Row],[Date]])+1</f>
        <v>45992</v>
      </c>
      <c r="E264" s="9">
        <f t="shared" si="20"/>
        <v>31</v>
      </c>
      <c r="F264" s="199" t="str">
        <f>IFERROR(_xlfn.XLOOKUP($A264,Input_Raw!$A:$A,Input_Raw!$FC:$FC),"")</f>
        <v/>
      </c>
      <c r="G264" s="200" t="str">
        <f>IFERROR(_xlfn.XLOOKUP($A264,Input_Raw!$A:$A,Input_Raw!$CY:$CY),"")</f>
        <v/>
      </c>
      <c r="H264" s="200" t="str">
        <f>IFERROR(_xlfn.XLOOKUP($A264,Input_Raw!$A:$A,Input_Raw!$DA:$DA),"")</f>
        <v/>
      </c>
      <c r="I264" s="200" t="str">
        <f>IFERROR(_xlfn.XLOOKUP($A264,Input_Raw!$A:$A,Input_Raw!$CX:$CX),"")</f>
        <v/>
      </c>
      <c r="J264" s="200" t="str">
        <f>IFERROR(_xlfn.XLOOKUP($A264,Input_Raw!$A:$A,Input_Raw!$CZ:$CZ),"")</f>
        <v/>
      </c>
      <c r="K264" s="201" t="str">
        <f>IFERROR(_xlfn.XLOOKUP($A264,Input_Raw!$A:$A,Input_Raw!$DB:$DB),"")</f>
        <v/>
      </c>
      <c r="L264" s="201" t="str">
        <f>IFERROR(_xlfn.XLOOKUP($A264,Input_Raw!$A:$A,Input_Raw!$DC:$DC),"")</f>
        <v/>
      </c>
      <c r="M264" s="200" t="str">
        <f>IFERROR(_xlfn.XLOOKUP($A264,Input_Raw!$A:$A,Input_Raw!$DF:$DF),"")</f>
        <v/>
      </c>
      <c r="N264" s="200" t="str">
        <f>IFERROR(_xlfn.XLOOKUP($A264,Input_Raw!$A:$A,Input_Raw!$DG:$DG),"")</f>
        <v/>
      </c>
      <c r="O264" s="230" t="str">
        <f>IFERROR(1-(SUMIF(Plant_BD!$B:$B,$A264,Plant_BD!$AL:$AL)/($AA264+SUMIF(Plant_BD!$B:$B,$A264,Plant_BD!$AL:$AL))),"")</f>
        <v/>
      </c>
      <c r="P264" s="230"/>
      <c r="Q264" s="231" t="str">
        <f>IFERROR(1-(SUMIF(Grid_BD!$B:$B,$A264,Grid_BD!$V:$V)/($AA264+SUMIF(Grid_BD!$B:$B,$A264,Grid_BD!$V:$V))),"")</f>
        <v/>
      </c>
      <c r="R264" s="230" t="str">
        <f>IFERROR(1-(SUMIF(Grid_BD!$B:$B,$A264,Grid_BD!$V:$V)/($AA264+SUMIF(Grid_BD!$B:$B,$A264,Grid_BD!$V:$V))),"")</f>
        <v/>
      </c>
      <c r="S264" s="9"/>
      <c r="T264" s="231"/>
      <c r="U264" s="232" t="str">
        <f t="shared" si="21"/>
        <v/>
      </c>
      <c r="V264" s="232" t="str">
        <f>IFERROR(_xlfn.XLOOKUP($A264,Input_Raw!$A:$A,Input_Raw!$FG:$FG),"")</f>
        <v/>
      </c>
      <c r="W264" s="233" t="str">
        <f t="shared" si="22"/>
        <v/>
      </c>
      <c r="X264" s="29" t="str">
        <f>IFERROR(_xlfn.XLOOKUP($A264,Input_Raw!$A:$A,Input_Raw!$DP:$DP),"")</f>
        <v/>
      </c>
      <c r="Y264" s="29" t="str">
        <f>IFERROR(_xlfn.XLOOKUP($A264,Input_Raw!$A:$A,Input_Raw!EW:EW),"")</f>
        <v/>
      </c>
      <c r="Z264" s="29" t="str">
        <f>IFERROR(_xlfn.XLOOKUP($A264,Input_Raw!$A:$A,Input_Raw!EX:EX),"")</f>
        <v/>
      </c>
      <c r="AA264" s="29" t="str">
        <f>IFERROR(_xlfn.XLOOKUP($A264,Input_Raw!$A:$A,Input_Raw!FA:FA),"")</f>
        <v/>
      </c>
      <c r="AB264" s="9" t="str">
        <f>IFERROR(_xlfn.XLOOKUP($A264,Input_Raw!$A:$A,Input_Raw!FD:FD),"")</f>
        <v/>
      </c>
      <c r="AC264" s="185">
        <f>IFERROR(_xlfn.XLOOKUP($D264,'Modelling New'!$D:$D,'Modelling New'!P:P),"")</f>
        <v>5.3290322580645162</v>
      </c>
      <c r="AD264" s="29">
        <f>IFERROR(_xlfn.XLOOKUP($D264,'Modelling New'!$D:$D,'Modelling New'!T:T)*1000,"")</f>
        <v>595399.791862702</v>
      </c>
      <c r="AE264" s="233">
        <f>IFERROR(_xlfn.XLOOKUP($D264,'Modelling New'!$D:$D,'Modelling New'!O:O),"")</f>
        <v>0.85944279883329133</v>
      </c>
      <c r="AF264" s="233">
        <f>IFERROR(_xlfn.XLOOKUP($D264,'Modelling New'!$D:$D,'Modelling New'!W:W),"")</f>
        <v>0.19083326662266092</v>
      </c>
      <c r="AG264" s="233">
        <f>IFERROR(_xlfn.XLOOKUP($D264,'Modelling New'!$D:$D,'Modelling New'!AE:AE),"")</f>
        <v>0.995</v>
      </c>
      <c r="AH264" s="234">
        <f>IFERROR(_xlfn.XLOOKUP($D264,'Modelling New'!$D:$D,'Modelling New'!AF:AF),"")</f>
        <v>0.995</v>
      </c>
      <c r="AI264" s="9"/>
      <c r="AJ264" s="9"/>
      <c r="AK264" s="258"/>
      <c r="AL264" s="258"/>
      <c r="AM264" s="258"/>
      <c r="AN264" s="235"/>
      <c r="AO264" s="233"/>
      <c r="AP264" s="233"/>
      <c r="AQ264" s="233"/>
      <c r="AR264" s="236">
        <f>_xlfn.XLOOKUP(D264,'Modelling New'!$D:$D,'Modelling New'!$N:$N)</f>
        <v>130</v>
      </c>
      <c r="AS264" s="236" t="str">
        <f t="shared" si="23"/>
        <v/>
      </c>
    </row>
    <row r="265" spans="1:45">
      <c r="A265" s="18">
        <f t="shared" si="24"/>
        <v>46008</v>
      </c>
      <c r="B265" s="29">
        <f>YEAR(Table13[[#This Row],[Date]])+IF(MONTH(Table13[[#This Row],[Date]])&gt;=4,1,0)</f>
        <v>2026</v>
      </c>
      <c r="C265" s="9">
        <f>YEAR(Table13[[#This Row],[Date]])</f>
        <v>2025</v>
      </c>
      <c r="D265" s="229">
        <f>Table13[[#This Row],[Date]]-DAY(Table13[[#This Row],[Date]])+1</f>
        <v>45992</v>
      </c>
      <c r="E265" s="9">
        <f t="shared" si="20"/>
        <v>31</v>
      </c>
      <c r="F265" s="199" t="str">
        <f>IFERROR(_xlfn.XLOOKUP($A265,Input_Raw!$A:$A,Input_Raw!$FC:$FC),"")</f>
        <v/>
      </c>
      <c r="G265" s="185" t="str">
        <f>IFERROR(_xlfn.XLOOKUP($A265,Input_Raw!$A:$A,Input_Raw!$CY:$CY),"")</f>
        <v/>
      </c>
      <c r="H265" s="185" t="str">
        <f>IFERROR(_xlfn.XLOOKUP($A265,Input_Raw!$A:$A,Input_Raw!$DA:$DA),"")</f>
        <v/>
      </c>
      <c r="I265" s="185" t="str">
        <f>IFERROR(_xlfn.XLOOKUP($A265,Input_Raw!$A:$A,Input_Raw!$CX:$CX),"")</f>
        <v/>
      </c>
      <c r="J265" s="185" t="str">
        <f>IFERROR(_xlfn.XLOOKUP($A265,Input_Raw!$A:$A,Input_Raw!$CZ:$CZ),"")</f>
        <v/>
      </c>
      <c r="K265" s="201" t="str">
        <f>IFERROR(_xlfn.XLOOKUP($A265,Input_Raw!$A:$A,Input_Raw!$DB:$DB),"")</f>
        <v/>
      </c>
      <c r="L265" s="201" t="str">
        <f>IFERROR(_xlfn.XLOOKUP($A265,Input_Raw!$A:$A,Input_Raw!$DC:$DC),"")</f>
        <v/>
      </c>
      <c r="M265" s="200" t="str">
        <f>IFERROR(_xlfn.XLOOKUP($A265,Input_Raw!$A:$A,Input_Raw!$DF:$DF),"")</f>
        <v/>
      </c>
      <c r="N265" s="200" t="str">
        <f>IFERROR(_xlfn.XLOOKUP($A265,Input_Raw!$A:$A,Input_Raw!$DG:$DG),"")</f>
        <v/>
      </c>
      <c r="O265" s="230" t="str">
        <f>IFERROR(1-(SUMIF(Plant_BD!$B:$B,$A265,Plant_BD!$AL:$AL)/($AA265+SUMIF(Plant_BD!$B:$B,$A265,Plant_BD!$AL:$AL))),"")</f>
        <v/>
      </c>
      <c r="P265" s="230"/>
      <c r="Q265" s="231" t="str">
        <f>IFERROR(1-(SUMIF(Grid_BD!$B:$B,$A265,Grid_BD!$V:$V)/($AA265+SUMIF(Grid_BD!$B:$B,$A265,Grid_BD!$V:$V))),"")</f>
        <v/>
      </c>
      <c r="R265" s="230" t="str">
        <f>IFERROR(1-(SUMIF(Grid_BD!$B:$B,$A265,Grid_BD!$V:$V)/($AA265+SUMIF(Grid_BD!$B:$B,$A265,Grid_BD!$V:$V))),"")</f>
        <v/>
      </c>
      <c r="S265" s="9"/>
      <c r="T265" s="231"/>
      <c r="U265" s="232" t="str">
        <f t="shared" si="21"/>
        <v/>
      </c>
      <c r="V265" s="232" t="str">
        <f>IFERROR(_xlfn.XLOOKUP($A265,Input_Raw!$A:$A,Input_Raw!$FG:$FG),"")</f>
        <v/>
      </c>
      <c r="W265" s="233" t="str">
        <f t="shared" si="22"/>
        <v/>
      </c>
      <c r="X265" s="29" t="str">
        <f>IFERROR(_xlfn.XLOOKUP($A265,Input_Raw!$A:$A,Input_Raw!$DP:$DP),"")</f>
        <v/>
      </c>
      <c r="Y265" s="29" t="str">
        <f>IFERROR(_xlfn.XLOOKUP($A265,Input_Raw!$A:$A,Input_Raw!EW:EW),"")</f>
        <v/>
      </c>
      <c r="Z265" s="29" t="str">
        <f>IFERROR(_xlfn.XLOOKUP($A265,Input_Raw!$A:$A,Input_Raw!EX:EX),"")</f>
        <v/>
      </c>
      <c r="AA265" s="29" t="str">
        <f>IFERROR(_xlfn.XLOOKUP($A265,Input_Raw!$A:$A,Input_Raw!FA:FA),"")</f>
        <v/>
      </c>
      <c r="AB265" s="9" t="str">
        <f>IFERROR(_xlfn.XLOOKUP($A265,Input_Raw!$A:$A,Input_Raw!FD:FD),"")</f>
        <v/>
      </c>
      <c r="AC265" s="185">
        <f>IFERROR(_xlfn.XLOOKUP($D265,'Modelling New'!$D:$D,'Modelling New'!P:P),"")</f>
        <v>5.3290322580645162</v>
      </c>
      <c r="AD265" s="29">
        <f>IFERROR(_xlfn.XLOOKUP($D265,'Modelling New'!$D:$D,'Modelling New'!T:T)*1000,"")</f>
        <v>595399.791862702</v>
      </c>
      <c r="AE265" s="233">
        <f>IFERROR(_xlfn.XLOOKUP($D265,'Modelling New'!$D:$D,'Modelling New'!O:O),"")</f>
        <v>0.85944279883329133</v>
      </c>
      <c r="AF265" s="233">
        <f>IFERROR(_xlfn.XLOOKUP($D265,'Modelling New'!$D:$D,'Modelling New'!W:W),"")</f>
        <v>0.19083326662266092</v>
      </c>
      <c r="AG265" s="233">
        <f>IFERROR(_xlfn.XLOOKUP($D265,'Modelling New'!$D:$D,'Modelling New'!AE:AE),"")</f>
        <v>0.995</v>
      </c>
      <c r="AH265" s="234">
        <f>IFERROR(_xlfn.XLOOKUP($D265,'Modelling New'!$D:$D,'Modelling New'!AF:AF),"")</f>
        <v>0.995</v>
      </c>
      <c r="AI265" s="9"/>
      <c r="AJ265" s="9"/>
      <c r="AK265" s="258"/>
      <c r="AL265" s="258"/>
      <c r="AM265" s="258"/>
      <c r="AN265" s="235"/>
      <c r="AO265" s="233"/>
      <c r="AP265" s="233"/>
      <c r="AQ265" s="233"/>
      <c r="AR265" s="236">
        <f>_xlfn.XLOOKUP(D265,'Modelling New'!$D:$D,'Modelling New'!$N:$N)</f>
        <v>130</v>
      </c>
      <c r="AS265" s="236" t="str">
        <f t="shared" si="23"/>
        <v/>
      </c>
    </row>
    <row r="266" spans="1:45">
      <c r="A266" s="18">
        <f t="shared" si="24"/>
        <v>46009</v>
      </c>
      <c r="B266" s="29">
        <f>YEAR(Table13[[#This Row],[Date]])+IF(MONTH(Table13[[#This Row],[Date]])&gt;=4,1,0)</f>
        <v>2026</v>
      </c>
      <c r="C266" s="9">
        <f>YEAR(Table13[[#This Row],[Date]])</f>
        <v>2025</v>
      </c>
      <c r="D266" s="229">
        <f>Table13[[#This Row],[Date]]-DAY(Table13[[#This Row],[Date]])+1</f>
        <v>45992</v>
      </c>
      <c r="E266" s="9">
        <f t="shared" si="20"/>
        <v>31</v>
      </c>
      <c r="F266" s="199" t="str">
        <f>IFERROR(_xlfn.XLOOKUP($A266,Input_Raw!$A:$A,Input_Raw!$FC:$FC),"")</f>
        <v/>
      </c>
      <c r="G266" s="200" t="str">
        <f>IFERROR(_xlfn.XLOOKUP($A266,Input_Raw!$A:$A,Input_Raw!$CY:$CY),"")</f>
        <v/>
      </c>
      <c r="H266" s="200" t="str">
        <f>IFERROR(_xlfn.XLOOKUP($A266,Input_Raw!$A:$A,Input_Raw!$DA:$DA),"")</f>
        <v/>
      </c>
      <c r="I266" s="200" t="str">
        <f>IFERROR(_xlfn.XLOOKUP($A266,Input_Raw!$A:$A,Input_Raw!$CX:$CX),"")</f>
        <v/>
      </c>
      <c r="J266" s="200" t="str">
        <f>IFERROR(_xlfn.XLOOKUP($A266,Input_Raw!$A:$A,Input_Raw!$CZ:$CZ),"")</f>
        <v/>
      </c>
      <c r="K266" s="201" t="str">
        <f>IFERROR(_xlfn.XLOOKUP($A266,Input_Raw!$A:$A,Input_Raw!$DB:$DB),"")</f>
        <v/>
      </c>
      <c r="L266" s="201" t="str">
        <f>IFERROR(_xlfn.XLOOKUP($A266,Input_Raw!$A:$A,Input_Raw!$DC:$DC),"")</f>
        <v/>
      </c>
      <c r="M266" s="200" t="str">
        <f>IFERROR(_xlfn.XLOOKUP($A266,Input_Raw!$A:$A,Input_Raw!$DF:$DF),"")</f>
        <v/>
      </c>
      <c r="N266" s="200" t="str">
        <f>IFERROR(_xlfn.XLOOKUP($A266,Input_Raw!$A:$A,Input_Raw!$DG:$DG),"")</f>
        <v/>
      </c>
      <c r="O266" s="230" t="str">
        <f>IFERROR(1-(SUMIF(Plant_BD!$B:$B,$A266,Plant_BD!$AL:$AL)/($AA266+SUMIF(Plant_BD!$B:$B,$A266,Plant_BD!$AL:$AL))),"")</f>
        <v/>
      </c>
      <c r="P266" s="230"/>
      <c r="Q266" s="231" t="str">
        <f>IFERROR(1-(SUMIF(Grid_BD!$B:$B,$A266,Grid_BD!$V:$V)/($AA266+SUMIF(Grid_BD!$B:$B,$A266,Grid_BD!$V:$V))),"")</f>
        <v/>
      </c>
      <c r="R266" s="230" t="str">
        <f>IFERROR(1-(SUMIF(Grid_BD!$B:$B,$A266,Grid_BD!$V:$V)/($AA266+SUMIF(Grid_BD!$B:$B,$A266,Grid_BD!$V:$V))),"")</f>
        <v/>
      </c>
      <c r="S266" s="9"/>
      <c r="T266" s="231"/>
      <c r="U266" s="232" t="str">
        <f t="shared" si="21"/>
        <v/>
      </c>
      <c r="V266" s="232" t="str">
        <f>IFERROR(_xlfn.XLOOKUP($A266,Input_Raw!$A:$A,Input_Raw!$FG:$FG),"")</f>
        <v/>
      </c>
      <c r="W266" s="233" t="str">
        <f t="shared" si="22"/>
        <v/>
      </c>
      <c r="X266" s="29" t="str">
        <f>IFERROR(_xlfn.XLOOKUP($A266,Input_Raw!$A:$A,Input_Raw!$DP:$DP),"")</f>
        <v/>
      </c>
      <c r="Y266" s="29" t="str">
        <f>IFERROR(_xlfn.XLOOKUP($A266,Input_Raw!$A:$A,Input_Raw!EW:EW),"")</f>
        <v/>
      </c>
      <c r="Z266" s="29" t="str">
        <f>IFERROR(_xlfn.XLOOKUP($A266,Input_Raw!$A:$A,Input_Raw!EX:EX),"")</f>
        <v/>
      </c>
      <c r="AA266" s="29" t="str">
        <f>IFERROR(_xlfn.XLOOKUP($A266,Input_Raw!$A:$A,Input_Raw!FA:FA),"")</f>
        <v/>
      </c>
      <c r="AB266" s="9" t="str">
        <f>IFERROR(_xlfn.XLOOKUP($A266,Input_Raw!$A:$A,Input_Raw!FD:FD),"")</f>
        <v/>
      </c>
      <c r="AC266" s="185">
        <f>IFERROR(_xlfn.XLOOKUP($D266,'Modelling New'!$D:$D,'Modelling New'!P:P),"")</f>
        <v>5.3290322580645162</v>
      </c>
      <c r="AD266" s="29">
        <f>IFERROR(_xlfn.XLOOKUP($D266,'Modelling New'!$D:$D,'Modelling New'!T:T)*1000,"")</f>
        <v>595399.791862702</v>
      </c>
      <c r="AE266" s="233">
        <f>IFERROR(_xlfn.XLOOKUP($D266,'Modelling New'!$D:$D,'Modelling New'!O:O),"")</f>
        <v>0.85944279883329133</v>
      </c>
      <c r="AF266" s="233">
        <f>IFERROR(_xlfn.XLOOKUP($D266,'Modelling New'!$D:$D,'Modelling New'!W:W),"")</f>
        <v>0.19083326662266092</v>
      </c>
      <c r="AG266" s="233">
        <f>IFERROR(_xlfn.XLOOKUP($D266,'Modelling New'!$D:$D,'Modelling New'!AE:AE),"")</f>
        <v>0.995</v>
      </c>
      <c r="AH266" s="234">
        <f>IFERROR(_xlfn.XLOOKUP($D266,'Modelling New'!$D:$D,'Modelling New'!AF:AF),"")</f>
        <v>0.995</v>
      </c>
      <c r="AI266" s="9"/>
      <c r="AJ266" s="9"/>
      <c r="AK266" s="258"/>
      <c r="AL266" s="258"/>
      <c r="AM266" s="258"/>
      <c r="AN266" s="235"/>
      <c r="AO266" s="233"/>
      <c r="AP266" s="233"/>
      <c r="AQ266" s="233"/>
      <c r="AR266" s="236">
        <f>_xlfn.XLOOKUP(D266,'Modelling New'!$D:$D,'Modelling New'!$N:$N)</f>
        <v>130</v>
      </c>
      <c r="AS266" s="236" t="str">
        <f t="shared" si="23"/>
        <v/>
      </c>
    </row>
    <row r="267" spans="1:45">
      <c r="A267" s="18">
        <f t="shared" si="24"/>
        <v>46010</v>
      </c>
      <c r="B267" s="29">
        <f>YEAR(Table13[[#This Row],[Date]])+IF(MONTH(Table13[[#This Row],[Date]])&gt;=4,1,0)</f>
        <v>2026</v>
      </c>
      <c r="C267" s="9">
        <f>YEAR(Table13[[#This Row],[Date]])</f>
        <v>2025</v>
      </c>
      <c r="D267" s="229">
        <f>Table13[[#This Row],[Date]]-DAY(Table13[[#This Row],[Date]])+1</f>
        <v>45992</v>
      </c>
      <c r="E267" s="9">
        <f t="shared" si="20"/>
        <v>31</v>
      </c>
      <c r="F267" s="199" t="str">
        <f>IFERROR(_xlfn.XLOOKUP($A267,Input_Raw!$A:$A,Input_Raw!$FC:$FC),"")</f>
        <v/>
      </c>
      <c r="G267" s="185" t="str">
        <f>IFERROR(_xlfn.XLOOKUP($A267,Input_Raw!$A:$A,Input_Raw!$CY:$CY),"")</f>
        <v/>
      </c>
      <c r="H267" s="185" t="str">
        <f>IFERROR(_xlfn.XLOOKUP($A267,Input_Raw!$A:$A,Input_Raw!$DA:$DA),"")</f>
        <v/>
      </c>
      <c r="I267" s="185" t="str">
        <f>IFERROR(_xlfn.XLOOKUP($A267,Input_Raw!$A:$A,Input_Raw!$CX:$CX),"")</f>
        <v/>
      </c>
      <c r="J267" s="185" t="str">
        <f>IFERROR(_xlfn.XLOOKUP($A267,Input_Raw!$A:$A,Input_Raw!$CZ:$CZ),"")</f>
        <v/>
      </c>
      <c r="K267" s="201" t="str">
        <f>IFERROR(_xlfn.XLOOKUP($A267,Input_Raw!$A:$A,Input_Raw!$DB:$DB),"")</f>
        <v/>
      </c>
      <c r="L267" s="201" t="str">
        <f>IFERROR(_xlfn.XLOOKUP($A267,Input_Raw!$A:$A,Input_Raw!$DC:$DC),"")</f>
        <v/>
      </c>
      <c r="M267" s="200" t="str">
        <f>IFERROR(_xlfn.XLOOKUP($A267,Input_Raw!$A:$A,Input_Raw!$DF:$DF),"")</f>
        <v/>
      </c>
      <c r="N267" s="200" t="str">
        <f>IFERROR(_xlfn.XLOOKUP($A267,Input_Raw!$A:$A,Input_Raw!$DG:$DG),"")</f>
        <v/>
      </c>
      <c r="O267" s="230" t="str">
        <f>IFERROR(1-(SUMIF(Plant_BD!$B:$B,$A267,Plant_BD!$AL:$AL)/($AA267+SUMIF(Plant_BD!$B:$B,$A267,Plant_BD!$AL:$AL))),"")</f>
        <v/>
      </c>
      <c r="P267" s="230"/>
      <c r="Q267" s="231" t="str">
        <f>IFERROR(1-(SUMIF(Grid_BD!$B:$B,$A267,Grid_BD!$V:$V)/($AA267+SUMIF(Grid_BD!$B:$B,$A267,Grid_BD!$V:$V))),"")</f>
        <v/>
      </c>
      <c r="R267" s="230" t="str">
        <f>IFERROR(1-(SUMIF(Grid_BD!$B:$B,$A267,Grid_BD!$V:$V)/($AA267+SUMIF(Grid_BD!$B:$B,$A267,Grid_BD!$V:$V))),"")</f>
        <v/>
      </c>
      <c r="S267" s="9"/>
      <c r="T267" s="231"/>
      <c r="U267" s="232" t="str">
        <f t="shared" si="21"/>
        <v/>
      </c>
      <c r="V267" s="232" t="str">
        <f>IFERROR(_xlfn.XLOOKUP($A267,Input_Raw!$A:$A,Input_Raw!$FG:$FG),"")</f>
        <v/>
      </c>
      <c r="W267" s="233" t="str">
        <f t="shared" si="22"/>
        <v/>
      </c>
      <c r="X267" s="29" t="str">
        <f>IFERROR(_xlfn.XLOOKUP($A267,Input_Raw!$A:$A,Input_Raw!$DP:$DP),"")</f>
        <v/>
      </c>
      <c r="Y267" s="29" t="str">
        <f>IFERROR(_xlfn.XLOOKUP($A267,Input_Raw!$A:$A,Input_Raw!EW:EW),"")</f>
        <v/>
      </c>
      <c r="Z267" s="29" t="str">
        <f>IFERROR(_xlfn.XLOOKUP($A267,Input_Raw!$A:$A,Input_Raw!EX:EX),"")</f>
        <v/>
      </c>
      <c r="AA267" s="29" t="str">
        <f>IFERROR(_xlfn.XLOOKUP($A267,Input_Raw!$A:$A,Input_Raw!FA:FA),"")</f>
        <v/>
      </c>
      <c r="AB267" s="9" t="str">
        <f>IFERROR(_xlfn.XLOOKUP($A267,Input_Raw!$A:$A,Input_Raw!FD:FD),"")</f>
        <v/>
      </c>
      <c r="AC267" s="185">
        <f>IFERROR(_xlfn.XLOOKUP($D267,'Modelling New'!$D:$D,'Modelling New'!P:P),"")</f>
        <v>5.3290322580645162</v>
      </c>
      <c r="AD267" s="29">
        <f>IFERROR(_xlfn.XLOOKUP($D267,'Modelling New'!$D:$D,'Modelling New'!T:T)*1000,"")</f>
        <v>595399.791862702</v>
      </c>
      <c r="AE267" s="233">
        <f>IFERROR(_xlfn.XLOOKUP($D267,'Modelling New'!$D:$D,'Modelling New'!O:O),"")</f>
        <v>0.85944279883329133</v>
      </c>
      <c r="AF267" s="233">
        <f>IFERROR(_xlfn.XLOOKUP($D267,'Modelling New'!$D:$D,'Modelling New'!W:W),"")</f>
        <v>0.19083326662266092</v>
      </c>
      <c r="AG267" s="233">
        <f>IFERROR(_xlfn.XLOOKUP($D267,'Modelling New'!$D:$D,'Modelling New'!AE:AE),"")</f>
        <v>0.995</v>
      </c>
      <c r="AH267" s="234">
        <f>IFERROR(_xlfn.XLOOKUP($D267,'Modelling New'!$D:$D,'Modelling New'!AF:AF),"")</f>
        <v>0.995</v>
      </c>
      <c r="AI267" s="9"/>
      <c r="AJ267" s="9"/>
      <c r="AK267" s="258"/>
      <c r="AL267" s="258"/>
      <c r="AM267" s="258"/>
      <c r="AN267" s="235"/>
      <c r="AO267" s="233"/>
      <c r="AP267" s="233"/>
      <c r="AQ267" s="233"/>
      <c r="AR267" s="236">
        <f>_xlfn.XLOOKUP(D267,'Modelling New'!$D:$D,'Modelling New'!$N:$N)</f>
        <v>130</v>
      </c>
      <c r="AS267" s="236" t="str">
        <f t="shared" si="23"/>
        <v/>
      </c>
    </row>
    <row r="268" spans="1:45">
      <c r="A268" s="18">
        <f t="shared" si="24"/>
        <v>46011</v>
      </c>
      <c r="B268" s="29">
        <f>YEAR(Table13[[#This Row],[Date]])+IF(MONTH(Table13[[#This Row],[Date]])&gt;=4,1,0)</f>
        <v>2026</v>
      </c>
      <c r="C268" s="9">
        <f>YEAR(Table13[[#This Row],[Date]])</f>
        <v>2025</v>
      </c>
      <c r="D268" s="229">
        <f>Table13[[#This Row],[Date]]-DAY(Table13[[#This Row],[Date]])+1</f>
        <v>45992</v>
      </c>
      <c r="E268" s="9">
        <f t="shared" si="20"/>
        <v>31</v>
      </c>
      <c r="F268" s="199" t="str">
        <f>IFERROR(_xlfn.XLOOKUP($A268,Input_Raw!$A:$A,Input_Raw!$FC:$FC),"")</f>
        <v/>
      </c>
      <c r="G268" s="200" t="str">
        <f>IFERROR(_xlfn.XLOOKUP($A268,Input_Raw!$A:$A,Input_Raw!$CY:$CY),"")</f>
        <v/>
      </c>
      <c r="H268" s="200" t="str">
        <f>IFERROR(_xlfn.XLOOKUP($A268,Input_Raw!$A:$A,Input_Raw!$DA:$DA),"")</f>
        <v/>
      </c>
      <c r="I268" s="200" t="str">
        <f>IFERROR(_xlfn.XLOOKUP($A268,Input_Raw!$A:$A,Input_Raw!$CX:$CX),"")</f>
        <v/>
      </c>
      <c r="J268" s="200" t="str">
        <f>IFERROR(_xlfn.XLOOKUP($A268,Input_Raw!$A:$A,Input_Raw!$CZ:$CZ),"")</f>
        <v/>
      </c>
      <c r="K268" s="201" t="str">
        <f>IFERROR(_xlfn.XLOOKUP($A268,Input_Raw!$A:$A,Input_Raw!$DB:$DB),"")</f>
        <v/>
      </c>
      <c r="L268" s="201" t="str">
        <f>IFERROR(_xlfn.XLOOKUP($A268,Input_Raw!$A:$A,Input_Raw!$DC:$DC),"")</f>
        <v/>
      </c>
      <c r="M268" s="200" t="str">
        <f>IFERROR(_xlfn.XLOOKUP($A268,Input_Raw!$A:$A,Input_Raw!$DF:$DF),"")</f>
        <v/>
      </c>
      <c r="N268" s="200" t="str">
        <f>IFERROR(_xlfn.XLOOKUP($A268,Input_Raw!$A:$A,Input_Raw!$DG:$DG),"")</f>
        <v/>
      </c>
      <c r="O268" s="230" t="str">
        <f>IFERROR(1-(SUMIF(Plant_BD!$B:$B,$A268,Plant_BD!$AL:$AL)/($AA268+SUMIF(Plant_BD!$B:$B,$A268,Plant_BD!$AL:$AL))),"")</f>
        <v/>
      </c>
      <c r="P268" s="230"/>
      <c r="Q268" s="231" t="str">
        <f>IFERROR(1-(SUMIF(Grid_BD!$B:$B,$A268,Grid_BD!$V:$V)/($AA268+SUMIF(Grid_BD!$B:$B,$A268,Grid_BD!$V:$V))),"")</f>
        <v/>
      </c>
      <c r="R268" s="230" t="str">
        <f>IFERROR(1-(SUMIF(Grid_BD!$B:$B,$A268,Grid_BD!$V:$V)/($AA268+SUMIF(Grid_BD!$B:$B,$A268,Grid_BD!$V:$V))),"")</f>
        <v/>
      </c>
      <c r="S268" s="9"/>
      <c r="T268" s="231"/>
      <c r="U268" s="232" t="str">
        <f t="shared" si="21"/>
        <v/>
      </c>
      <c r="V268" s="232" t="str">
        <f>IFERROR(_xlfn.XLOOKUP($A268,Input_Raw!$A:$A,Input_Raw!$FG:$FG),"")</f>
        <v/>
      </c>
      <c r="W268" s="233" t="str">
        <f t="shared" si="22"/>
        <v/>
      </c>
      <c r="X268" s="29" t="str">
        <f>IFERROR(_xlfn.XLOOKUP($A268,Input_Raw!$A:$A,Input_Raw!$DP:$DP),"")</f>
        <v/>
      </c>
      <c r="Y268" s="29" t="str">
        <f>IFERROR(_xlfn.XLOOKUP($A268,Input_Raw!$A:$A,Input_Raw!EW:EW),"")</f>
        <v/>
      </c>
      <c r="Z268" s="29" t="str">
        <f>IFERROR(_xlfn.XLOOKUP($A268,Input_Raw!$A:$A,Input_Raw!EX:EX),"")</f>
        <v/>
      </c>
      <c r="AA268" s="29" t="str">
        <f>IFERROR(_xlfn.XLOOKUP($A268,Input_Raw!$A:$A,Input_Raw!FA:FA),"")</f>
        <v/>
      </c>
      <c r="AB268" s="9" t="str">
        <f>IFERROR(_xlfn.XLOOKUP($A268,Input_Raw!$A:$A,Input_Raw!FD:FD),"")</f>
        <v/>
      </c>
      <c r="AC268" s="185">
        <f>IFERROR(_xlfn.XLOOKUP($D268,'Modelling New'!$D:$D,'Modelling New'!P:P),"")</f>
        <v>5.3290322580645162</v>
      </c>
      <c r="AD268" s="29">
        <f>IFERROR(_xlfn.XLOOKUP($D268,'Modelling New'!$D:$D,'Modelling New'!T:T)*1000,"")</f>
        <v>595399.791862702</v>
      </c>
      <c r="AE268" s="233">
        <f>IFERROR(_xlfn.XLOOKUP($D268,'Modelling New'!$D:$D,'Modelling New'!O:O),"")</f>
        <v>0.85944279883329133</v>
      </c>
      <c r="AF268" s="233">
        <f>IFERROR(_xlfn.XLOOKUP($D268,'Modelling New'!$D:$D,'Modelling New'!W:W),"")</f>
        <v>0.19083326662266092</v>
      </c>
      <c r="AG268" s="233">
        <f>IFERROR(_xlfn.XLOOKUP($D268,'Modelling New'!$D:$D,'Modelling New'!AE:AE),"")</f>
        <v>0.995</v>
      </c>
      <c r="AH268" s="234">
        <f>IFERROR(_xlfn.XLOOKUP($D268,'Modelling New'!$D:$D,'Modelling New'!AF:AF),"")</f>
        <v>0.995</v>
      </c>
      <c r="AI268" s="9"/>
      <c r="AJ268" s="9"/>
      <c r="AK268" s="258"/>
      <c r="AL268" s="258"/>
      <c r="AM268" s="258"/>
      <c r="AN268" s="235"/>
      <c r="AO268" s="233"/>
      <c r="AP268" s="233"/>
      <c r="AQ268" s="233"/>
      <c r="AR268" s="236">
        <f>_xlfn.XLOOKUP(D268,'Modelling New'!$D:$D,'Modelling New'!$N:$N)</f>
        <v>130</v>
      </c>
      <c r="AS268" s="236" t="str">
        <f t="shared" si="23"/>
        <v/>
      </c>
    </row>
    <row r="269" spans="1:45">
      <c r="A269" s="18">
        <f t="shared" si="24"/>
        <v>46012</v>
      </c>
      <c r="B269" s="29">
        <f>YEAR(Table13[[#This Row],[Date]])+IF(MONTH(Table13[[#This Row],[Date]])&gt;=4,1,0)</f>
        <v>2026</v>
      </c>
      <c r="C269" s="9">
        <f>YEAR(Table13[[#This Row],[Date]])</f>
        <v>2025</v>
      </c>
      <c r="D269" s="229">
        <f>Table13[[#This Row],[Date]]-DAY(Table13[[#This Row],[Date]])+1</f>
        <v>45992</v>
      </c>
      <c r="E269" s="9">
        <f t="shared" si="20"/>
        <v>31</v>
      </c>
      <c r="F269" s="199" t="str">
        <f>IFERROR(_xlfn.XLOOKUP($A269,Input_Raw!$A:$A,Input_Raw!$FC:$FC),"")</f>
        <v/>
      </c>
      <c r="G269" s="185" t="str">
        <f>IFERROR(_xlfn.XLOOKUP($A269,Input_Raw!$A:$A,Input_Raw!$CY:$CY),"")</f>
        <v/>
      </c>
      <c r="H269" s="185" t="str">
        <f>IFERROR(_xlfn.XLOOKUP($A269,Input_Raw!$A:$A,Input_Raw!$DA:$DA),"")</f>
        <v/>
      </c>
      <c r="I269" s="185" t="str">
        <f>IFERROR(_xlfn.XLOOKUP($A269,Input_Raw!$A:$A,Input_Raw!$CX:$CX),"")</f>
        <v/>
      </c>
      <c r="J269" s="185" t="str">
        <f>IFERROR(_xlfn.XLOOKUP($A269,Input_Raw!$A:$A,Input_Raw!$CZ:$CZ),"")</f>
        <v/>
      </c>
      <c r="K269" s="201" t="str">
        <f>IFERROR(_xlfn.XLOOKUP($A269,Input_Raw!$A:$A,Input_Raw!$DB:$DB),"")</f>
        <v/>
      </c>
      <c r="L269" s="201" t="str">
        <f>IFERROR(_xlfn.XLOOKUP($A269,Input_Raw!$A:$A,Input_Raw!$DC:$DC),"")</f>
        <v/>
      </c>
      <c r="M269" s="200" t="str">
        <f>IFERROR(_xlfn.XLOOKUP($A269,Input_Raw!$A:$A,Input_Raw!$DF:$DF),"")</f>
        <v/>
      </c>
      <c r="N269" s="200" t="str">
        <f>IFERROR(_xlfn.XLOOKUP($A269,Input_Raw!$A:$A,Input_Raw!$DG:$DG),"")</f>
        <v/>
      </c>
      <c r="O269" s="230" t="str">
        <f>IFERROR(1-(SUMIF(Plant_BD!$B:$B,$A269,Plant_BD!$AL:$AL)/($AA269+SUMIF(Plant_BD!$B:$B,$A269,Plant_BD!$AL:$AL))),"")</f>
        <v/>
      </c>
      <c r="P269" s="230"/>
      <c r="Q269" s="231" t="str">
        <f>IFERROR(1-(SUMIF(Grid_BD!$B:$B,$A269,Grid_BD!$V:$V)/($AA269+SUMIF(Grid_BD!$B:$B,$A269,Grid_BD!$V:$V))),"")</f>
        <v/>
      </c>
      <c r="R269" s="230" t="str">
        <f>IFERROR(1-(SUMIF(Grid_BD!$B:$B,$A269,Grid_BD!$V:$V)/($AA269+SUMIF(Grid_BD!$B:$B,$A269,Grid_BD!$V:$V))),"")</f>
        <v/>
      </c>
      <c r="S269" s="9"/>
      <c r="T269" s="231"/>
      <c r="U269" s="232" t="str">
        <f t="shared" si="21"/>
        <v/>
      </c>
      <c r="V269" s="232" t="str">
        <f>IFERROR(_xlfn.XLOOKUP($A269,Input_Raw!$A:$A,Input_Raw!$FG:$FG),"")</f>
        <v/>
      </c>
      <c r="W269" s="233" t="str">
        <f t="shared" si="22"/>
        <v/>
      </c>
      <c r="X269" s="29" t="str">
        <f>IFERROR(_xlfn.XLOOKUP($A269,Input_Raw!$A:$A,Input_Raw!$DP:$DP),"")</f>
        <v/>
      </c>
      <c r="Y269" s="29" t="str">
        <f>IFERROR(_xlfn.XLOOKUP($A269,Input_Raw!$A:$A,Input_Raw!EW:EW),"")</f>
        <v/>
      </c>
      <c r="Z269" s="29" t="str">
        <f>IFERROR(_xlfn.XLOOKUP($A269,Input_Raw!$A:$A,Input_Raw!EX:EX),"")</f>
        <v/>
      </c>
      <c r="AA269" s="29" t="str">
        <f>IFERROR(_xlfn.XLOOKUP($A269,Input_Raw!$A:$A,Input_Raw!FA:FA),"")</f>
        <v/>
      </c>
      <c r="AB269" s="9" t="str">
        <f>IFERROR(_xlfn.XLOOKUP($A269,Input_Raw!$A:$A,Input_Raw!FD:FD),"")</f>
        <v/>
      </c>
      <c r="AC269" s="185">
        <f>IFERROR(_xlfn.XLOOKUP($D269,'Modelling New'!$D:$D,'Modelling New'!P:P),"")</f>
        <v>5.3290322580645162</v>
      </c>
      <c r="AD269" s="29">
        <f>IFERROR(_xlfn.XLOOKUP($D269,'Modelling New'!$D:$D,'Modelling New'!T:T)*1000,"")</f>
        <v>595399.791862702</v>
      </c>
      <c r="AE269" s="233">
        <f>IFERROR(_xlfn.XLOOKUP($D269,'Modelling New'!$D:$D,'Modelling New'!O:O),"")</f>
        <v>0.85944279883329133</v>
      </c>
      <c r="AF269" s="233">
        <f>IFERROR(_xlfn.XLOOKUP($D269,'Modelling New'!$D:$D,'Modelling New'!W:W),"")</f>
        <v>0.19083326662266092</v>
      </c>
      <c r="AG269" s="233">
        <f>IFERROR(_xlfn.XLOOKUP($D269,'Modelling New'!$D:$D,'Modelling New'!AE:AE),"")</f>
        <v>0.995</v>
      </c>
      <c r="AH269" s="234">
        <f>IFERROR(_xlfn.XLOOKUP($D269,'Modelling New'!$D:$D,'Modelling New'!AF:AF),"")</f>
        <v>0.995</v>
      </c>
      <c r="AI269" s="9"/>
      <c r="AJ269" s="9"/>
      <c r="AK269" s="258"/>
      <c r="AL269" s="258"/>
      <c r="AM269" s="258"/>
      <c r="AN269" s="235"/>
      <c r="AO269" s="233"/>
      <c r="AP269" s="233"/>
      <c r="AQ269" s="233"/>
      <c r="AR269" s="236">
        <f>_xlfn.XLOOKUP(D269,'Modelling New'!$D:$D,'Modelling New'!$N:$N)</f>
        <v>130</v>
      </c>
      <c r="AS269" s="236" t="str">
        <f t="shared" si="23"/>
        <v/>
      </c>
    </row>
    <row r="270" spans="1:45">
      <c r="A270" s="18">
        <f t="shared" si="24"/>
        <v>46013</v>
      </c>
      <c r="B270" s="29">
        <f>YEAR(Table13[[#This Row],[Date]])+IF(MONTH(Table13[[#This Row],[Date]])&gt;=4,1,0)</f>
        <v>2026</v>
      </c>
      <c r="C270" s="9">
        <f>YEAR(Table13[[#This Row],[Date]])</f>
        <v>2025</v>
      </c>
      <c r="D270" s="229">
        <f>Table13[[#This Row],[Date]]-DAY(Table13[[#This Row],[Date]])+1</f>
        <v>45992</v>
      </c>
      <c r="E270" s="9">
        <f t="shared" si="20"/>
        <v>31</v>
      </c>
      <c r="F270" s="199" t="str">
        <f>IFERROR(_xlfn.XLOOKUP($A270,Input_Raw!$A:$A,Input_Raw!$FC:$FC),"")</f>
        <v/>
      </c>
      <c r="G270" s="200" t="str">
        <f>IFERROR(_xlfn.XLOOKUP($A270,Input_Raw!$A:$A,Input_Raw!$CY:$CY),"")</f>
        <v/>
      </c>
      <c r="H270" s="200" t="str">
        <f>IFERROR(_xlfn.XLOOKUP($A270,Input_Raw!$A:$A,Input_Raw!$DA:$DA),"")</f>
        <v/>
      </c>
      <c r="I270" s="200" t="str">
        <f>IFERROR(_xlfn.XLOOKUP($A270,Input_Raw!$A:$A,Input_Raw!$CX:$CX),"")</f>
        <v/>
      </c>
      <c r="J270" s="200" t="str">
        <f>IFERROR(_xlfn.XLOOKUP($A270,Input_Raw!$A:$A,Input_Raw!$CZ:$CZ),"")</f>
        <v/>
      </c>
      <c r="K270" s="201" t="str">
        <f>IFERROR(_xlfn.XLOOKUP($A270,Input_Raw!$A:$A,Input_Raw!$DB:$DB),"")</f>
        <v/>
      </c>
      <c r="L270" s="201" t="str">
        <f>IFERROR(_xlfn.XLOOKUP($A270,Input_Raw!$A:$A,Input_Raw!$DC:$DC),"")</f>
        <v/>
      </c>
      <c r="M270" s="200" t="str">
        <f>IFERROR(_xlfn.XLOOKUP($A270,Input_Raw!$A:$A,Input_Raw!$DF:$DF),"")</f>
        <v/>
      </c>
      <c r="N270" s="200" t="str">
        <f>IFERROR(_xlfn.XLOOKUP($A270,Input_Raw!$A:$A,Input_Raw!$DG:$DG),"")</f>
        <v/>
      </c>
      <c r="O270" s="230" t="str">
        <f>IFERROR(1-(SUMIF(Plant_BD!$B:$B,$A270,Plant_BD!$AL:$AL)/($AA270+SUMIF(Plant_BD!$B:$B,$A270,Plant_BD!$AL:$AL))),"")</f>
        <v/>
      </c>
      <c r="P270" s="230"/>
      <c r="Q270" s="231" t="str">
        <f>IFERROR(1-(SUMIF(Grid_BD!$B:$B,$A270,Grid_BD!$V:$V)/($AA270+SUMIF(Grid_BD!$B:$B,$A270,Grid_BD!$V:$V))),"")</f>
        <v/>
      </c>
      <c r="R270" s="230" t="str">
        <f>IFERROR(1-(SUMIF(Grid_BD!$B:$B,$A270,Grid_BD!$V:$V)/($AA270+SUMIF(Grid_BD!$B:$B,$A270,Grid_BD!$V:$V))),"")</f>
        <v/>
      </c>
      <c r="S270" s="9"/>
      <c r="T270" s="231"/>
      <c r="U270" s="232" t="str">
        <f t="shared" si="21"/>
        <v/>
      </c>
      <c r="V270" s="232" t="str">
        <f>IFERROR(_xlfn.XLOOKUP($A270,Input_Raw!$A:$A,Input_Raw!$FG:$FG),"")</f>
        <v/>
      </c>
      <c r="W270" s="233" t="str">
        <f t="shared" si="22"/>
        <v/>
      </c>
      <c r="X270" s="29" t="str">
        <f>IFERROR(_xlfn.XLOOKUP($A270,Input_Raw!$A:$A,Input_Raw!$DP:$DP),"")</f>
        <v/>
      </c>
      <c r="Y270" s="29" t="str">
        <f>IFERROR(_xlfn.XLOOKUP($A270,Input_Raw!$A:$A,Input_Raw!EW:EW),"")</f>
        <v/>
      </c>
      <c r="Z270" s="29" t="str">
        <f>IFERROR(_xlfn.XLOOKUP($A270,Input_Raw!$A:$A,Input_Raw!EX:EX),"")</f>
        <v/>
      </c>
      <c r="AA270" s="29" t="str">
        <f>IFERROR(_xlfn.XLOOKUP($A270,Input_Raw!$A:$A,Input_Raw!FA:FA),"")</f>
        <v/>
      </c>
      <c r="AB270" s="9" t="str">
        <f>IFERROR(_xlfn.XLOOKUP($A270,Input_Raw!$A:$A,Input_Raw!FD:FD),"")</f>
        <v/>
      </c>
      <c r="AC270" s="185">
        <f>IFERROR(_xlfn.XLOOKUP($D270,'Modelling New'!$D:$D,'Modelling New'!P:P),"")</f>
        <v>5.3290322580645162</v>
      </c>
      <c r="AD270" s="29">
        <f>IFERROR(_xlfn.XLOOKUP($D270,'Modelling New'!$D:$D,'Modelling New'!T:T)*1000,"")</f>
        <v>595399.791862702</v>
      </c>
      <c r="AE270" s="233">
        <f>IFERROR(_xlfn.XLOOKUP($D270,'Modelling New'!$D:$D,'Modelling New'!O:O),"")</f>
        <v>0.85944279883329133</v>
      </c>
      <c r="AF270" s="233">
        <f>IFERROR(_xlfn.XLOOKUP($D270,'Modelling New'!$D:$D,'Modelling New'!W:W),"")</f>
        <v>0.19083326662266092</v>
      </c>
      <c r="AG270" s="233">
        <f>IFERROR(_xlfn.XLOOKUP($D270,'Modelling New'!$D:$D,'Modelling New'!AE:AE),"")</f>
        <v>0.995</v>
      </c>
      <c r="AH270" s="234">
        <f>IFERROR(_xlfn.XLOOKUP($D270,'Modelling New'!$D:$D,'Modelling New'!AF:AF),"")</f>
        <v>0.995</v>
      </c>
      <c r="AI270" s="9"/>
      <c r="AJ270" s="9"/>
      <c r="AK270" s="258"/>
      <c r="AL270" s="258"/>
      <c r="AM270" s="258"/>
      <c r="AN270" s="235"/>
      <c r="AO270" s="233"/>
      <c r="AP270" s="233"/>
      <c r="AQ270" s="233"/>
      <c r="AR270" s="236">
        <f>_xlfn.XLOOKUP(D270,'Modelling New'!$D:$D,'Modelling New'!$N:$N)</f>
        <v>130</v>
      </c>
      <c r="AS270" s="236" t="str">
        <f t="shared" si="23"/>
        <v/>
      </c>
    </row>
    <row r="271" spans="1:45">
      <c r="A271" s="18">
        <f t="shared" si="24"/>
        <v>46014</v>
      </c>
      <c r="B271" s="29">
        <f>YEAR(Table13[[#This Row],[Date]])+IF(MONTH(Table13[[#This Row],[Date]])&gt;=4,1,0)</f>
        <v>2026</v>
      </c>
      <c r="C271" s="9">
        <f>YEAR(Table13[[#This Row],[Date]])</f>
        <v>2025</v>
      </c>
      <c r="D271" s="229">
        <f>Table13[[#This Row],[Date]]-DAY(Table13[[#This Row],[Date]])+1</f>
        <v>45992</v>
      </c>
      <c r="E271" s="9">
        <f t="shared" si="20"/>
        <v>31</v>
      </c>
      <c r="F271" s="199" t="str">
        <f>IFERROR(_xlfn.XLOOKUP($A271,Input_Raw!$A:$A,Input_Raw!$FC:$FC),"")</f>
        <v/>
      </c>
      <c r="G271" s="185" t="str">
        <f>IFERROR(_xlfn.XLOOKUP($A271,Input_Raw!$A:$A,Input_Raw!$CY:$CY),"")</f>
        <v/>
      </c>
      <c r="H271" s="185" t="str">
        <f>IFERROR(_xlfn.XLOOKUP($A271,Input_Raw!$A:$A,Input_Raw!$DA:$DA),"")</f>
        <v/>
      </c>
      <c r="I271" s="185" t="str">
        <f>IFERROR(_xlfn.XLOOKUP($A271,Input_Raw!$A:$A,Input_Raw!$CX:$CX),"")</f>
        <v/>
      </c>
      <c r="J271" s="185" t="str">
        <f>IFERROR(_xlfn.XLOOKUP($A271,Input_Raw!$A:$A,Input_Raw!$CZ:$CZ),"")</f>
        <v/>
      </c>
      <c r="K271" s="201" t="str">
        <f>IFERROR(_xlfn.XLOOKUP($A271,Input_Raw!$A:$A,Input_Raw!$DB:$DB),"")</f>
        <v/>
      </c>
      <c r="L271" s="201" t="str">
        <f>IFERROR(_xlfn.XLOOKUP($A271,Input_Raw!$A:$A,Input_Raw!$DC:$DC),"")</f>
        <v/>
      </c>
      <c r="M271" s="200" t="str">
        <f>IFERROR(_xlfn.XLOOKUP($A271,Input_Raw!$A:$A,Input_Raw!$DF:$DF),"")</f>
        <v/>
      </c>
      <c r="N271" s="200" t="str">
        <f>IFERROR(_xlfn.XLOOKUP($A271,Input_Raw!$A:$A,Input_Raw!$DG:$DG),"")</f>
        <v/>
      </c>
      <c r="O271" s="230" t="str">
        <f>IFERROR(1-(SUMIF(Plant_BD!$B:$B,$A271,Plant_BD!$AL:$AL)/($AA271+SUMIF(Plant_BD!$B:$B,$A271,Plant_BD!$AL:$AL))),"")</f>
        <v/>
      </c>
      <c r="P271" s="230"/>
      <c r="Q271" s="231" t="str">
        <f>IFERROR(1-(SUMIF(Grid_BD!$B:$B,$A271,Grid_BD!$V:$V)/($AA271+SUMIF(Grid_BD!$B:$B,$A271,Grid_BD!$V:$V))),"")</f>
        <v/>
      </c>
      <c r="R271" s="230" t="str">
        <f>IFERROR(1-(SUMIF(Grid_BD!$B:$B,$A271,Grid_BD!$V:$V)/($AA271+SUMIF(Grid_BD!$B:$B,$A271,Grid_BD!$V:$V))),"")</f>
        <v/>
      </c>
      <c r="S271" s="9"/>
      <c r="T271" s="231"/>
      <c r="U271" s="232" t="str">
        <f t="shared" si="21"/>
        <v/>
      </c>
      <c r="V271" s="232" t="str">
        <f>IFERROR(_xlfn.XLOOKUP($A271,Input_Raw!$A:$A,Input_Raw!$FG:$FG),"")</f>
        <v/>
      </c>
      <c r="W271" s="233" t="str">
        <f t="shared" si="22"/>
        <v/>
      </c>
      <c r="X271" s="29" t="str">
        <f>IFERROR(_xlfn.XLOOKUP($A271,Input_Raw!$A:$A,Input_Raw!$DP:$DP),"")</f>
        <v/>
      </c>
      <c r="Y271" s="29" t="str">
        <f>IFERROR(_xlfn.XLOOKUP($A271,Input_Raw!$A:$A,Input_Raw!EW:EW),"")</f>
        <v/>
      </c>
      <c r="Z271" s="29" t="str">
        <f>IFERROR(_xlfn.XLOOKUP($A271,Input_Raw!$A:$A,Input_Raw!EX:EX),"")</f>
        <v/>
      </c>
      <c r="AA271" s="29" t="str">
        <f>IFERROR(_xlfn.XLOOKUP($A271,Input_Raw!$A:$A,Input_Raw!FA:FA),"")</f>
        <v/>
      </c>
      <c r="AB271" s="9" t="str">
        <f>IFERROR(_xlfn.XLOOKUP($A271,Input_Raw!$A:$A,Input_Raw!FD:FD),"")</f>
        <v/>
      </c>
      <c r="AC271" s="185">
        <f>IFERROR(_xlfn.XLOOKUP($D271,'Modelling New'!$D:$D,'Modelling New'!P:P),"")</f>
        <v>5.3290322580645162</v>
      </c>
      <c r="AD271" s="29">
        <f>IFERROR(_xlfn.XLOOKUP($D271,'Modelling New'!$D:$D,'Modelling New'!T:T)*1000,"")</f>
        <v>595399.791862702</v>
      </c>
      <c r="AE271" s="233">
        <f>IFERROR(_xlfn.XLOOKUP($D271,'Modelling New'!$D:$D,'Modelling New'!O:O),"")</f>
        <v>0.85944279883329133</v>
      </c>
      <c r="AF271" s="233">
        <f>IFERROR(_xlfn.XLOOKUP($D271,'Modelling New'!$D:$D,'Modelling New'!W:W),"")</f>
        <v>0.19083326662266092</v>
      </c>
      <c r="AG271" s="233">
        <f>IFERROR(_xlfn.XLOOKUP($D271,'Modelling New'!$D:$D,'Modelling New'!AE:AE),"")</f>
        <v>0.995</v>
      </c>
      <c r="AH271" s="234">
        <f>IFERROR(_xlfn.XLOOKUP($D271,'Modelling New'!$D:$D,'Modelling New'!AF:AF),"")</f>
        <v>0.995</v>
      </c>
      <c r="AI271" s="9"/>
      <c r="AJ271" s="9"/>
      <c r="AK271" s="258"/>
      <c r="AL271" s="258"/>
      <c r="AM271" s="258"/>
      <c r="AN271" s="235"/>
      <c r="AO271" s="233"/>
      <c r="AP271" s="233"/>
      <c r="AQ271" s="233"/>
      <c r="AR271" s="236">
        <f>_xlfn.XLOOKUP(D271,'Modelling New'!$D:$D,'Modelling New'!$N:$N)</f>
        <v>130</v>
      </c>
      <c r="AS271" s="236" t="str">
        <f t="shared" si="23"/>
        <v/>
      </c>
    </row>
    <row r="272" spans="1:45">
      <c r="A272" s="18">
        <f t="shared" si="24"/>
        <v>46015</v>
      </c>
      <c r="B272" s="29">
        <f>YEAR(Table13[[#This Row],[Date]])+IF(MONTH(Table13[[#This Row],[Date]])&gt;=4,1,0)</f>
        <v>2026</v>
      </c>
      <c r="C272" s="9">
        <f>YEAR(Table13[[#This Row],[Date]])</f>
        <v>2025</v>
      </c>
      <c r="D272" s="229">
        <f>Table13[[#This Row],[Date]]-DAY(Table13[[#This Row],[Date]])+1</f>
        <v>45992</v>
      </c>
      <c r="E272" s="9">
        <f t="shared" si="20"/>
        <v>31</v>
      </c>
      <c r="F272" s="199" t="str">
        <f>IFERROR(_xlfn.XLOOKUP($A272,Input_Raw!$A:$A,Input_Raw!$FC:$FC),"")</f>
        <v/>
      </c>
      <c r="G272" s="200" t="str">
        <f>IFERROR(_xlfn.XLOOKUP($A272,Input_Raw!$A:$A,Input_Raw!$CY:$CY),"")</f>
        <v/>
      </c>
      <c r="H272" s="200" t="str">
        <f>IFERROR(_xlfn.XLOOKUP($A272,Input_Raw!$A:$A,Input_Raw!$DA:$DA),"")</f>
        <v/>
      </c>
      <c r="I272" s="200" t="str">
        <f>IFERROR(_xlfn.XLOOKUP($A272,Input_Raw!$A:$A,Input_Raw!$CX:$CX),"")</f>
        <v/>
      </c>
      <c r="J272" s="200" t="str">
        <f>IFERROR(_xlfn.XLOOKUP($A272,Input_Raw!$A:$A,Input_Raw!$CZ:$CZ),"")</f>
        <v/>
      </c>
      <c r="K272" s="201" t="str">
        <f>IFERROR(_xlfn.XLOOKUP($A272,Input_Raw!$A:$A,Input_Raw!$DB:$DB),"")</f>
        <v/>
      </c>
      <c r="L272" s="201" t="str">
        <f>IFERROR(_xlfn.XLOOKUP($A272,Input_Raw!$A:$A,Input_Raw!$DC:$DC),"")</f>
        <v/>
      </c>
      <c r="M272" s="200" t="str">
        <f>IFERROR(_xlfn.XLOOKUP($A272,Input_Raw!$A:$A,Input_Raw!$DF:$DF),"")</f>
        <v/>
      </c>
      <c r="N272" s="200" t="str">
        <f>IFERROR(_xlfn.XLOOKUP($A272,Input_Raw!$A:$A,Input_Raw!$DG:$DG),"")</f>
        <v/>
      </c>
      <c r="O272" s="230" t="str">
        <f>IFERROR(1-(SUMIF(Plant_BD!$B:$B,$A272,Plant_BD!$AL:$AL)/($AA272+SUMIF(Plant_BD!$B:$B,$A272,Plant_BD!$AL:$AL))),"")</f>
        <v/>
      </c>
      <c r="P272" s="230"/>
      <c r="Q272" s="231" t="str">
        <f>IFERROR(1-(SUMIF(Grid_BD!$B:$B,$A272,Grid_BD!$V:$V)/($AA272+SUMIF(Grid_BD!$B:$B,$A272,Grid_BD!$V:$V))),"")</f>
        <v/>
      </c>
      <c r="R272" s="230" t="str">
        <f>IFERROR(1-(SUMIF(Grid_BD!$B:$B,$A272,Grid_BD!$V:$V)/($AA272+SUMIF(Grid_BD!$B:$B,$A272,Grid_BD!$V:$V))),"")</f>
        <v/>
      </c>
      <c r="S272" s="9"/>
      <c r="T272" s="231"/>
      <c r="U272" s="232" t="str">
        <f t="shared" si="21"/>
        <v/>
      </c>
      <c r="V272" s="232" t="str">
        <f>IFERROR(_xlfn.XLOOKUP($A272,Input_Raw!$A:$A,Input_Raw!$FG:$FG),"")</f>
        <v/>
      </c>
      <c r="W272" s="233" t="str">
        <f t="shared" si="22"/>
        <v/>
      </c>
      <c r="X272" s="29" t="str">
        <f>IFERROR(_xlfn.XLOOKUP($A272,Input_Raw!$A:$A,Input_Raw!$DP:$DP),"")</f>
        <v/>
      </c>
      <c r="Y272" s="29" t="str">
        <f>IFERROR(_xlfn.XLOOKUP($A272,Input_Raw!$A:$A,Input_Raw!EW:EW),"")</f>
        <v/>
      </c>
      <c r="Z272" s="29" t="str">
        <f>IFERROR(_xlfn.XLOOKUP($A272,Input_Raw!$A:$A,Input_Raw!EX:EX),"")</f>
        <v/>
      </c>
      <c r="AA272" s="29" t="str">
        <f>IFERROR(_xlfn.XLOOKUP($A272,Input_Raw!$A:$A,Input_Raw!FA:FA),"")</f>
        <v/>
      </c>
      <c r="AB272" s="9" t="str">
        <f>IFERROR(_xlfn.XLOOKUP($A272,Input_Raw!$A:$A,Input_Raw!FD:FD),"")</f>
        <v/>
      </c>
      <c r="AC272" s="185">
        <f>IFERROR(_xlfn.XLOOKUP($D272,'Modelling New'!$D:$D,'Modelling New'!P:P),"")</f>
        <v>5.3290322580645162</v>
      </c>
      <c r="AD272" s="29">
        <f>IFERROR(_xlfn.XLOOKUP($D272,'Modelling New'!$D:$D,'Modelling New'!T:T)*1000,"")</f>
        <v>595399.791862702</v>
      </c>
      <c r="AE272" s="233">
        <f>IFERROR(_xlfn.XLOOKUP($D272,'Modelling New'!$D:$D,'Modelling New'!O:O),"")</f>
        <v>0.85944279883329133</v>
      </c>
      <c r="AF272" s="233">
        <f>IFERROR(_xlfn.XLOOKUP($D272,'Modelling New'!$D:$D,'Modelling New'!W:W),"")</f>
        <v>0.19083326662266092</v>
      </c>
      <c r="AG272" s="233">
        <f>IFERROR(_xlfn.XLOOKUP($D272,'Modelling New'!$D:$D,'Modelling New'!AE:AE),"")</f>
        <v>0.995</v>
      </c>
      <c r="AH272" s="234">
        <f>IFERROR(_xlfn.XLOOKUP($D272,'Modelling New'!$D:$D,'Modelling New'!AF:AF),"")</f>
        <v>0.995</v>
      </c>
      <c r="AI272" s="9"/>
      <c r="AJ272" s="9"/>
      <c r="AK272" s="258"/>
      <c r="AL272" s="258"/>
      <c r="AM272" s="258"/>
      <c r="AN272" s="235"/>
      <c r="AO272" s="233"/>
      <c r="AP272" s="233"/>
      <c r="AQ272" s="233"/>
      <c r="AR272" s="236">
        <f>_xlfn.XLOOKUP(D272,'Modelling New'!$D:$D,'Modelling New'!$N:$N)</f>
        <v>130</v>
      </c>
      <c r="AS272" s="236" t="str">
        <f t="shared" si="23"/>
        <v/>
      </c>
    </row>
    <row r="273" spans="1:45">
      <c r="A273" s="18">
        <f t="shared" si="24"/>
        <v>46016</v>
      </c>
      <c r="B273" s="29">
        <f>YEAR(Table13[[#This Row],[Date]])+IF(MONTH(Table13[[#This Row],[Date]])&gt;=4,1,0)</f>
        <v>2026</v>
      </c>
      <c r="C273" s="9">
        <f>YEAR(Table13[[#This Row],[Date]])</f>
        <v>2025</v>
      </c>
      <c r="D273" s="229">
        <f>Table13[[#This Row],[Date]]-DAY(Table13[[#This Row],[Date]])+1</f>
        <v>45992</v>
      </c>
      <c r="E273" s="9">
        <f t="shared" si="20"/>
        <v>31</v>
      </c>
      <c r="F273" s="199" t="str">
        <f>IFERROR(_xlfn.XLOOKUP($A273,Input_Raw!$A:$A,Input_Raw!$FC:$FC),"")</f>
        <v/>
      </c>
      <c r="G273" s="185" t="str">
        <f>IFERROR(_xlfn.XLOOKUP($A273,Input_Raw!$A:$A,Input_Raw!$CY:$CY),"")</f>
        <v/>
      </c>
      <c r="H273" s="185" t="str">
        <f>IFERROR(_xlfn.XLOOKUP($A273,Input_Raw!$A:$A,Input_Raw!$DA:$DA),"")</f>
        <v/>
      </c>
      <c r="I273" s="185" t="str">
        <f>IFERROR(_xlfn.XLOOKUP($A273,Input_Raw!$A:$A,Input_Raw!$CX:$CX),"")</f>
        <v/>
      </c>
      <c r="J273" s="185" t="str">
        <f>IFERROR(_xlfn.XLOOKUP($A273,Input_Raw!$A:$A,Input_Raw!$CZ:$CZ),"")</f>
        <v/>
      </c>
      <c r="K273" s="201" t="str">
        <f>IFERROR(_xlfn.XLOOKUP($A273,Input_Raw!$A:$A,Input_Raw!$DB:$DB),"")</f>
        <v/>
      </c>
      <c r="L273" s="201" t="str">
        <f>IFERROR(_xlfn.XLOOKUP($A273,Input_Raw!$A:$A,Input_Raw!$DC:$DC),"")</f>
        <v/>
      </c>
      <c r="M273" s="200" t="str">
        <f>IFERROR(_xlfn.XLOOKUP($A273,Input_Raw!$A:$A,Input_Raw!$DF:$DF),"")</f>
        <v/>
      </c>
      <c r="N273" s="200" t="str">
        <f>IFERROR(_xlfn.XLOOKUP($A273,Input_Raw!$A:$A,Input_Raw!$DG:$DG),"")</f>
        <v/>
      </c>
      <c r="O273" s="230" t="str">
        <f>IFERROR(1-(SUMIF(Plant_BD!$B:$B,$A273,Plant_BD!$AL:$AL)/($AA273+SUMIF(Plant_BD!$B:$B,$A273,Plant_BD!$AL:$AL))),"")</f>
        <v/>
      </c>
      <c r="P273" s="230"/>
      <c r="Q273" s="231" t="str">
        <f>IFERROR(1-(SUMIF(Grid_BD!$B:$B,$A273,Grid_BD!$V:$V)/($AA273+SUMIF(Grid_BD!$B:$B,$A273,Grid_BD!$V:$V))),"")</f>
        <v/>
      </c>
      <c r="R273" s="230" t="str">
        <f>IFERROR(1-(SUMIF(Grid_BD!$B:$B,$A273,Grid_BD!$V:$V)/($AA273+SUMIF(Grid_BD!$B:$B,$A273,Grid_BD!$V:$V))),"")</f>
        <v/>
      </c>
      <c r="S273" s="9"/>
      <c r="T273" s="231"/>
      <c r="U273" s="232" t="str">
        <f t="shared" si="21"/>
        <v/>
      </c>
      <c r="V273" s="232" t="str">
        <f>IFERROR(_xlfn.XLOOKUP($A273,Input_Raw!$A:$A,Input_Raw!$FG:$FG),"")</f>
        <v/>
      </c>
      <c r="W273" s="233" t="str">
        <f t="shared" si="22"/>
        <v/>
      </c>
      <c r="X273" s="29" t="str">
        <f>IFERROR(_xlfn.XLOOKUP($A273,Input_Raw!$A:$A,Input_Raw!$DP:$DP),"")</f>
        <v/>
      </c>
      <c r="Y273" s="29" t="str">
        <f>IFERROR(_xlfn.XLOOKUP($A273,Input_Raw!$A:$A,Input_Raw!EW:EW),"")</f>
        <v/>
      </c>
      <c r="Z273" s="29" t="str">
        <f>IFERROR(_xlfn.XLOOKUP($A273,Input_Raw!$A:$A,Input_Raw!EX:EX),"")</f>
        <v/>
      </c>
      <c r="AA273" s="29" t="str">
        <f>IFERROR(_xlfn.XLOOKUP($A273,Input_Raw!$A:$A,Input_Raw!FA:FA),"")</f>
        <v/>
      </c>
      <c r="AB273" s="9" t="str">
        <f>IFERROR(_xlfn.XLOOKUP($A273,Input_Raw!$A:$A,Input_Raw!FD:FD),"")</f>
        <v/>
      </c>
      <c r="AC273" s="185">
        <f>IFERROR(_xlfn.XLOOKUP($D273,'Modelling New'!$D:$D,'Modelling New'!P:P),"")</f>
        <v>5.3290322580645162</v>
      </c>
      <c r="AD273" s="29">
        <f>IFERROR(_xlfn.XLOOKUP($D273,'Modelling New'!$D:$D,'Modelling New'!T:T)*1000,"")</f>
        <v>595399.791862702</v>
      </c>
      <c r="AE273" s="233">
        <f>IFERROR(_xlfn.XLOOKUP($D273,'Modelling New'!$D:$D,'Modelling New'!O:O),"")</f>
        <v>0.85944279883329133</v>
      </c>
      <c r="AF273" s="233">
        <f>IFERROR(_xlfn.XLOOKUP($D273,'Modelling New'!$D:$D,'Modelling New'!W:W),"")</f>
        <v>0.19083326662266092</v>
      </c>
      <c r="AG273" s="233">
        <f>IFERROR(_xlfn.XLOOKUP($D273,'Modelling New'!$D:$D,'Modelling New'!AE:AE),"")</f>
        <v>0.995</v>
      </c>
      <c r="AH273" s="234">
        <f>IFERROR(_xlfn.XLOOKUP($D273,'Modelling New'!$D:$D,'Modelling New'!AF:AF),"")</f>
        <v>0.995</v>
      </c>
      <c r="AI273" s="9"/>
      <c r="AJ273" s="9"/>
      <c r="AK273" s="258"/>
      <c r="AL273" s="258"/>
      <c r="AM273" s="258"/>
      <c r="AN273" s="235"/>
      <c r="AO273" s="233"/>
      <c r="AP273" s="233"/>
      <c r="AQ273" s="233"/>
      <c r="AR273" s="236">
        <f>_xlfn.XLOOKUP(D273,'Modelling New'!$D:$D,'Modelling New'!$N:$N)</f>
        <v>130</v>
      </c>
      <c r="AS273" s="236" t="str">
        <f t="shared" si="23"/>
        <v/>
      </c>
    </row>
    <row r="274" spans="1:45">
      <c r="A274" s="18">
        <f t="shared" si="24"/>
        <v>46017</v>
      </c>
      <c r="B274" s="29">
        <f>YEAR(Table13[[#This Row],[Date]])+IF(MONTH(Table13[[#This Row],[Date]])&gt;=4,1,0)</f>
        <v>2026</v>
      </c>
      <c r="C274" s="9">
        <f>YEAR(Table13[[#This Row],[Date]])</f>
        <v>2025</v>
      </c>
      <c r="D274" s="229">
        <f>Table13[[#This Row],[Date]]-DAY(Table13[[#This Row],[Date]])+1</f>
        <v>45992</v>
      </c>
      <c r="E274" s="9">
        <f t="shared" si="20"/>
        <v>31</v>
      </c>
      <c r="F274" s="199" t="str">
        <f>IFERROR(_xlfn.XLOOKUP($A274,Input_Raw!$A:$A,Input_Raw!$FC:$FC),"")</f>
        <v/>
      </c>
      <c r="G274" s="200" t="str">
        <f>IFERROR(_xlfn.XLOOKUP($A274,Input_Raw!$A:$A,Input_Raw!$CY:$CY),"")</f>
        <v/>
      </c>
      <c r="H274" s="200" t="str">
        <f>IFERROR(_xlfn.XLOOKUP($A274,Input_Raw!$A:$A,Input_Raw!$DA:$DA),"")</f>
        <v/>
      </c>
      <c r="I274" s="200" t="str">
        <f>IFERROR(_xlfn.XLOOKUP($A274,Input_Raw!$A:$A,Input_Raw!$CX:$CX),"")</f>
        <v/>
      </c>
      <c r="J274" s="200" t="str">
        <f>IFERROR(_xlfn.XLOOKUP($A274,Input_Raw!$A:$A,Input_Raw!$CZ:$CZ),"")</f>
        <v/>
      </c>
      <c r="K274" s="201" t="str">
        <f>IFERROR(_xlfn.XLOOKUP($A274,Input_Raw!$A:$A,Input_Raw!$DB:$DB),"")</f>
        <v/>
      </c>
      <c r="L274" s="201" t="str">
        <f>IFERROR(_xlfn.XLOOKUP($A274,Input_Raw!$A:$A,Input_Raw!$DC:$DC),"")</f>
        <v/>
      </c>
      <c r="M274" s="200" t="str">
        <f>IFERROR(_xlfn.XLOOKUP($A274,Input_Raw!$A:$A,Input_Raw!$DF:$DF),"")</f>
        <v/>
      </c>
      <c r="N274" s="200" t="str">
        <f>IFERROR(_xlfn.XLOOKUP($A274,Input_Raw!$A:$A,Input_Raw!$DG:$DG),"")</f>
        <v/>
      </c>
      <c r="O274" s="230" t="str">
        <f>IFERROR(1-(SUMIF(Plant_BD!$B:$B,$A274,Plant_BD!$AL:$AL)/($AA274+SUMIF(Plant_BD!$B:$B,$A274,Plant_BD!$AL:$AL))),"")</f>
        <v/>
      </c>
      <c r="P274" s="230"/>
      <c r="Q274" s="231" t="str">
        <f>IFERROR(1-(SUMIF(Grid_BD!$B:$B,$A274,Grid_BD!$V:$V)/($AA274+SUMIF(Grid_BD!$B:$B,$A274,Grid_BD!$V:$V))),"")</f>
        <v/>
      </c>
      <c r="R274" s="230" t="str">
        <f>IFERROR(1-(SUMIF(Grid_BD!$B:$B,$A274,Grid_BD!$V:$V)/($AA274+SUMIF(Grid_BD!$B:$B,$A274,Grid_BD!$V:$V))),"")</f>
        <v/>
      </c>
      <c r="S274" s="9"/>
      <c r="T274" s="231"/>
      <c r="U274" s="232" t="str">
        <f t="shared" si="21"/>
        <v/>
      </c>
      <c r="V274" s="232" t="str">
        <f>IFERROR(_xlfn.XLOOKUP($A274,Input_Raw!$A:$A,Input_Raw!$FG:$FG),"")</f>
        <v/>
      </c>
      <c r="W274" s="233" t="str">
        <f t="shared" si="22"/>
        <v/>
      </c>
      <c r="X274" s="29" t="str">
        <f>IFERROR(_xlfn.XLOOKUP($A274,Input_Raw!$A:$A,Input_Raw!$DP:$DP),"")</f>
        <v/>
      </c>
      <c r="Y274" s="29" t="str">
        <f>IFERROR(_xlfn.XLOOKUP($A274,Input_Raw!$A:$A,Input_Raw!EW:EW),"")</f>
        <v/>
      </c>
      <c r="Z274" s="29" t="str">
        <f>IFERROR(_xlfn.XLOOKUP($A274,Input_Raw!$A:$A,Input_Raw!EX:EX),"")</f>
        <v/>
      </c>
      <c r="AA274" s="29" t="str">
        <f>IFERROR(_xlfn.XLOOKUP($A274,Input_Raw!$A:$A,Input_Raw!FA:FA),"")</f>
        <v/>
      </c>
      <c r="AB274" s="9" t="str">
        <f>IFERROR(_xlfn.XLOOKUP($A274,Input_Raw!$A:$A,Input_Raw!FD:FD),"")</f>
        <v/>
      </c>
      <c r="AC274" s="185">
        <f>IFERROR(_xlfn.XLOOKUP($D274,'Modelling New'!$D:$D,'Modelling New'!P:P),"")</f>
        <v>5.3290322580645162</v>
      </c>
      <c r="AD274" s="29">
        <f>IFERROR(_xlfn.XLOOKUP($D274,'Modelling New'!$D:$D,'Modelling New'!T:T)*1000,"")</f>
        <v>595399.791862702</v>
      </c>
      <c r="AE274" s="233">
        <f>IFERROR(_xlfn.XLOOKUP($D274,'Modelling New'!$D:$D,'Modelling New'!O:O),"")</f>
        <v>0.85944279883329133</v>
      </c>
      <c r="AF274" s="233">
        <f>IFERROR(_xlfn.XLOOKUP($D274,'Modelling New'!$D:$D,'Modelling New'!W:W),"")</f>
        <v>0.19083326662266092</v>
      </c>
      <c r="AG274" s="233">
        <f>IFERROR(_xlfn.XLOOKUP($D274,'Modelling New'!$D:$D,'Modelling New'!AE:AE),"")</f>
        <v>0.995</v>
      </c>
      <c r="AH274" s="234">
        <f>IFERROR(_xlfn.XLOOKUP($D274,'Modelling New'!$D:$D,'Modelling New'!AF:AF),"")</f>
        <v>0.995</v>
      </c>
      <c r="AI274" s="9"/>
      <c r="AJ274" s="9"/>
      <c r="AK274" s="258"/>
      <c r="AL274" s="258"/>
      <c r="AM274" s="258"/>
      <c r="AN274" s="235"/>
      <c r="AO274" s="233"/>
      <c r="AP274" s="233"/>
      <c r="AQ274" s="233"/>
      <c r="AR274" s="236">
        <f>_xlfn.XLOOKUP(D274,'Modelling New'!$D:$D,'Modelling New'!$N:$N)</f>
        <v>130</v>
      </c>
      <c r="AS274" s="236" t="str">
        <f t="shared" si="23"/>
        <v/>
      </c>
    </row>
    <row r="275" spans="1:45">
      <c r="A275" s="18">
        <f t="shared" si="24"/>
        <v>46018</v>
      </c>
      <c r="B275" s="29">
        <f>YEAR(Table13[[#This Row],[Date]])+IF(MONTH(Table13[[#This Row],[Date]])&gt;=4,1,0)</f>
        <v>2026</v>
      </c>
      <c r="C275" s="9">
        <f>YEAR(Table13[[#This Row],[Date]])</f>
        <v>2025</v>
      </c>
      <c r="D275" s="229">
        <f>Table13[[#This Row],[Date]]-DAY(Table13[[#This Row],[Date]])+1</f>
        <v>45992</v>
      </c>
      <c r="E275" s="9">
        <f t="shared" si="20"/>
        <v>31</v>
      </c>
      <c r="F275" s="199" t="str">
        <f>IFERROR(_xlfn.XLOOKUP($A275,Input_Raw!$A:$A,Input_Raw!$FC:$FC),"")</f>
        <v/>
      </c>
      <c r="G275" s="185" t="str">
        <f>IFERROR(_xlfn.XLOOKUP($A275,Input_Raw!$A:$A,Input_Raw!$CY:$CY),"")</f>
        <v/>
      </c>
      <c r="H275" s="185" t="str">
        <f>IFERROR(_xlfn.XLOOKUP($A275,Input_Raw!$A:$A,Input_Raw!$DA:$DA),"")</f>
        <v/>
      </c>
      <c r="I275" s="185" t="str">
        <f>IFERROR(_xlfn.XLOOKUP($A275,Input_Raw!$A:$A,Input_Raw!$CX:$CX),"")</f>
        <v/>
      </c>
      <c r="J275" s="185" t="str">
        <f>IFERROR(_xlfn.XLOOKUP($A275,Input_Raw!$A:$A,Input_Raw!$CZ:$CZ),"")</f>
        <v/>
      </c>
      <c r="K275" s="201" t="str">
        <f>IFERROR(_xlfn.XLOOKUP($A275,Input_Raw!$A:$A,Input_Raw!$DB:$DB),"")</f>
        <v/>
      </c>
      <c r="L275" s="201" t="str">
        <f>IFERROR(_xlfn.XLOOKUP($A275,Input_Raw!$A:$A,Input_Raw!$DC:$DC),"")</f>
        <v/>
      </c>
      <c r="M275" s="200" t="str">
        <f>IFERROR(_xlfn.XLOOKUP($A275,Input_Raw!$A:$A,Input_Raw!$DF:$DF),"")</f>
        <v/>
      </c>
      <c r="N275" s="200" t="str">
        <f>IFERROR(_xlfn.XLOOKUP($A275,Input_Raw!$A:$A,Input_Raw!$DG:$DG),"")</f>
        <v/>
      </c>
      <c r="O275" s="230" t="str">
        <f>IFERROR(1-(SUMIF(Plant_BD!$B:$B,$A275,Plant_BD!$AL:$AL)/($AA275+SUMIF(Plant_BD!$B:$B,$A275,Plant_BD!$AL:$AL))),"")</f>
        <v/>
      </c>
      <c r="P275" s="230"/>
      <c r="Q275" s="231" t="str">
        <f>IFERROR(1-(SUMIF(Grid_BD!$B:$B,$A275,Grid_BD!$V:$V)/($AA275+SUMIF(Grid_BD!$B:$B,$A275,Grid_BD!$V:$V))),"")</f>
        <v/>
      </c>
      <c r="R275" s="230" t="str">
        <f>IFERROR(1-(SUMIF(Grid_BD!$B:$B,$A275,Grid_BD!$V:$V)/($AA275+SUMIF(Grid_BD!$B:$B,$A275,Grid_BD!$V:$V))),"")</f>
        <v/>
      </c>
      <c r="S275" s="9"/>
      <c r="T275" s="231"/>
      <c r="U275" s="232" t="str">
        <f t="shared" si="21"/>
        <v/>
      </c>
      <c r="V275" s="232" t="str">
        <f>IFERROR(_xlfn.XLOOKUP($A275,Input_Raw!$A:$A,Input_Raw!$FG:$FG),"")</f>
        <v/>
      </c>
      <c r="W275" s="233" t="str">
        <f t="shared" si="22"/>
        <v/>
      </c>
      <c r="X275" s="29" t="str">
        <f>IFERROR(_xlfn.XLOOKUP($A275,Input_Raw!$A:$A,Input_Raw!$DP:$DP),"")</f>
        <v/>
      </c>
      <c r="Y275" s="29" t="str">
        <f>IFERROR(_xlfn.XLOOKUP($A275,Input_Raw!$A:$A,Input_Raw!EW:EW),"")</f>
        <v/>
      </c>
      <c r="Z275" s="29" t="str">
        <f>IFERROR(_xlfn.XLOOKUP($A275,Input_Raw!$A:$A,Input_Raw!EX:EX),"")</f>
        <v/>
      </c>
      <c r="AA275" s="29" t="str">
        <f>IFERROR(_xlfn.XLOOKUP($A275,Input_Raw!$A:$A,Input_Raw!FA:FA),"")</f>
        <v/>
      </c>
      <c r="AB275" s="9" t="str">
        <f>IFERROR(_xlfn.XLOOKUP($A275,Input_Raw!$A:$A,Input_Raw!FD:FD),"")</f>
        <v/>
      </c>
      <c r="AC275" s="185">
        <f>IFERROR(_xlfn.XLOOKUP($D275,'Modelling New'!$D:$D,'Modelling New'!P:P),"")</f>
        <v>5.3290322580645162</v>
      </c>
      <c r="AD275" s="29">
        <f>IFERROR(_xlfn.XLOOKUP($D275,'Modelling New'!$D:$D,'Modelling New'!T:T)*1000,"")</f>
        <v>595399.791862702</v>
      </c>
      <c r="AE275" s="233">
        <f>IFERROR(_xlfn.XLOOKUP($D275,'Modelling New'!$D:$D,'Modelling New'!O:O),"")</f>
        <v>0.85944279883329133</v>
      </c>
      <c r="AF275" s="233">
        <f>IFERROR(_xlfn.XLOOKUP($D275,'Modelling New'!$D:$D,'Modelling New'!W:W),"")</f>
        <v>0.19083326662266092</v>
      </c>
      <c r="AG275" s="233">
        <f>IFERROR(_xlfn.XLOOKUP($D275,'Modelling New'!$D:$D,'Modelling New'!AE:AE),"")</f>
        <v>0.995</v>
      </c>
      <c r="AH275" s="234">
        <f>IFERROR(_xlfn.XLOOKUP($D275,'Modelling New'!$D:$D,'Modelling New'!AF:AF),"")</f>
        <v>0.995</v>
      </c>
      <c r="AI275" s="9"/>
      <c r="AJ275" s="9"/>
      <c r="AK275" s="258"/>
      <c r="AL275" s="258"/>
      <c r="AM275" s="258"/>
      <c r="AN275" s="235"/>
      <c r="AO275" s="233"/>
      <c r="AP275" s="233"/>
      <c r="AQ275" s="233"/>
      <c r="AR275" s="236">
        <f>_xlfn.XLOOKUP(D275,'Modelling New'!$D:$D,'Modelling New'!$N:$N)</f>
        <v>130</v>
      </c>
      <c r="AS275" s="236" t="str">
        <f t="shared" si="23"/>
        <v/>
      </c>
    </row>
    <row r="276" spans="1:45">
      <c r="A276" s="18">
        <f t="shared" si="24"/>
        <v>46019</v>
      </c>
      <c r="B276" s="29">
        <f>YEAR(Table13[[#This Row],[Date]])+IF(MONTH(Table13[[#This Row],[Date]])&gt;=4,1,0)</f>
        <v>2026</v>
      </c>
      <c r="C276" s="9">
        <f>YEAR(Table13[[#This Row],[Date]])</f>
        <v>2025</v>
      </c>
      <c r="D276" s="229">
        <f>Table13[[#This Row],[Date]]-DAY(Table13[[#This Row],[Date]])+1</f>
        <v>45992</v>
      </c>
      <c r="E276" s="9">
        <f t="shared" si="20"/>
        <v>31</v>
      </c>
      <c r="F276" s="199" t="str">
        <f>IFERROR(_xlfn.XLOOKUP($A276,Input_Raw!$A:$A,Input_Raw!$FC:$FC),"")</f>
        <v/>
      </c>
      <c r="G276" s="200" t="str">
        <f>IFERROR(_xlfn.XLOOKUP($A276,Input_Raw!$A:$A,Input_Raw!$CY:$CY),"")</f>
        <v/>
      </c>
      <c r="H276" s="200" t="str">
        <f>IFERROR(_xlfn.XLOOKUP($A276,Input_Raw!$A:$A,Input_Raw!$DA:$DA),"")</f>
        <v/>
      </c>
      <c r="I276" s="200" t="str">
        <f>IFERROR(_xlfn.XLOOKUP($A276,Input_Raw!$A:$A,Input_Raw!$CX:$CX),"")</f>
        <v/>
      </c>
      <c r="J276" s="200" t="str">
        <f>IFERROR(_xlfn.XLOOKUP($A276,Input_Raw!$A:$A,Input_Raw!$CZ:$CZ),"")</f>
        <v/>
      </c>
      <c r="K276" s="201" t="str">
        <f>IFERROR(_xlfn.XLOOKUP($A276,Input_Raw!$A:$A,Input_Raw!$DB:$DB),"")</f>
        <v/>
      </c>
      <c r="L276" s="201" t="str">
        <f>IFERROR(_xlfn.XLOOKUP($A276,Input_Raw!$A:$A,Input_Raw!$DC:$DC),"")</f>
        <v/>
      </c>
      <c r="M276" s="200" t="str">
        <f>IFERROR(_xlfn.XLOOKUP($A276,Input_Raw!$A:$A,Input_Raw!$DF:$DF),"")</f>
        <v/>
      </c>
      <c r="N276" s="200" t="str">
        <f>IFERROR(_xlfn.XLOOKUP($A276,Input_Raw!$A:$A,Input_Raw!$DG:$DG),"")</f>
        <v/>
      </c>
      <c r="O276" s="230" t="str">
        <f>IFERROR(1-(SUMIF(Plant_BD!$B:$B,$A276,Plant_BD!$AL:$AL)/($AA276+SUMIF(Plant_BD!$B:$B,$A276,Plant_BD!$AL:$AL))),"")</f>
        <v/>
      </c>
      <c r="P276" s="230"/>
      <c r="Q276" s="231" t="str">
        <f>IFERROR(1-(SUMIF(Grid_BD!$B:$B,$A276,Grid_BD!$V:$V)/($AA276+SUMIF(Grid_BD!$B:$B,$A276,Grid_BD!$V:$V))),"")</f>
        <v/>
      </c>
      <c r="R276" s="230" t="str">
        <f>IFERROR(1-(SUMIF(Grid_BD!$B:$B,$A276,Grid_BD!$V:$V)/($AA276+SUMIF(Grid_BD!$B:$B,$A276,Grid_BD!$V:$V))),"")</f>
        <v/>
      </c>
      <c r="S276" s="9"/>
      <c r="T276" s="231"/>
      <c r="U276" s="232" t="str">
        <f t="shared" si="21"/>
        <v/>
      </c>
      <c r="V276" s="232" t="str">
        <f>IFERROR(_xlfn.XLOOKUP($A276,Input_Raw!$A:$A,Input_Raw!$FG:$FG),"")</f>
        <v/>
      </c>
      <c r="W276" s="233" t="str">
        <f t="shared" si="22"/>
        <v/>
      </c>
      <c r="X276" s="29" t="str">
        <f>IFERROR(_xlfn.XLOOKUP($A276,Input_Raw!$A:$A,Input_Raw!$DP:$DP),"")</f>
        <v/>
      </c>
      <c r="Y276" s="29" t="str">
        <f>IFERROR(_xlfn.XLOOKUP($A276,Input_Raw!$A:$A,Input_Raw!EW:EW),"")</f>
        <v/>
      </c>
      <c r="Z276" s="29" t="str">
        <f>IFERROR(_xlfn.XLOOKUP($A276,Input_Raw!$A:$A,Input_Raw!EX:EX),"")</f>
        <v/>
      </c>
      <c r="AA276" s="29" t="str">
        <f>IFERROR(_xlfn.XLOOKUP($A276,Input_Raw!$A:$A,Input_Raw!FA:FA),"")</f>
        <v/>
      </c>
      <c r="AB276" s="9" t="str">
        <f>IFERROR(_xlfn.XLOOKUP($A276,Input_Raw!$A:$A,Input_Raw!FD:FD),"")</f>
        <v/>
      </c>
      <c r="AC276" s="185">
        <f>IFERROR(_xlfn.XLOOKUP($D276,'Modelling New'!$D:$D,'Modelling New'!P:P),"")</f>
        <v>5.3290322580645162</v>
      </c>
      <c r="AD276" s="29">
        <f>IFERROR(_xlfn.XLOOKUP($D276,'Modelling New'!$D:$D,'Modelling New'!T:T)*1000,"")</f>
        <v>595399.791862702</v>
      </c>
      <c r="AE276" s="233">
        <f>IFERROR(_xlfn.XLOOKUP($D276,'Modelling New'!$D:$D,'Modelling New'!O:O),"")</f>
        <v>0.85944279883329133</v>
      </c>
      <c r="AF276" s="233">
        <f>IFERROR(_xlfn.XLOOKUP($D276,'Modelling New'!$D:$D,'Modelling New'!W:W),"")</f>
        <v>0.19083326662266092</v>
      </c>
      <c r="AG276" s="233">
        <f>IFERROR(_xlfn.XLOOKUP($D276,'Modelling New'!$D:$D,'Modelling New'!AE:AE),"")</f>
        <v>0.995</v>
      </c>
      <c r="AH276" s="234">
        <f>IFERROR(_xlfn.XLOOKUP($D276,'Modelling New'!$D:$D,'Modelling New'!AF:AF),"")</f>
        <v>0.995</v>
      </c>
      <c r="AI276" s="9"/>
      <c r="AJ276" s="9"/>
      <c r="AK276" s="258"/>
      <c r="AL276" s="258"/>
      <c r="AM276" s="258"/>
      <c r="AN276" s="235"/>
      <c r="AO276" s="233"/>
      <c r="AP276" s="233"/>
      <c r="AQ276" s="233"/>
      <c r="AR276" s="236">
        <f>_xlfn.XLOOKUP(D276,'Modelling New'!$D:$D,'Modelling New'!$N:$N)</f>
        <v>130</v>
      </c>
      <c r="AS276" s="236" t="str">
        <f t="shared" si="23"/>
        <v/>
      </c>
    </row>
    <row r="277" spans="1:45">
      <c r="A277" s="18">
        <f t="shared" si="24"/>
        <v>46020</v>
      </c>
      <c r="B277" s="29">
        <f>YEAR(Table13[[#This Row],[Date]])+IF(MONTH(Table13[[#This Row],[Date]])&gt;=4,1,0)</f>
        <v>2026</v>
      </c>
      <c r="C277" s="9">
        <f>YEAR(Table13[[#This Row],[Date]])</f>
        <v>2025</v>
      </c>
      <c r="D277" s="229">
        <f>Table13[[#This Row],[Date]]-DAY(Table13[[#This Row],[Date]])+1</f>
        <v>45992</v>
      </c>
      <c r="E277" s="9">
        <f t="shared" si="20"/>
        <v>31</v>
      </c>
      <c r="F277" s="199" t="str">
        <f>IFERROR(_xlfn.XLOOKUP($A277,Input_Raw!$A:$A,Input_Raw!$FC:$FC),"")</f>
        <v/>
      </c>
      <c r="G277" s="185" t="str">
        <f>IFERROR(_xlfn.XLOOKUP($A277,Input_Raw!$A:$A,Input_Raw!$CY:$CY),"")</f>
        <v/>
      </c>
      <c r="H277" s="185" t="str">
        <f>IFERROR(_xlfn.XLOOKUP($A277,Input_Raw!$A:$A,Input_Raw!$DA:$DA),"")</f>
        <v/>
      </c>
      <c r="I277" s="185" t="str">
        <f>IFERROR(_xlfn.XLOOKUP($A277,Input_Raw!$A:$A,Input_Raw!$CX:$CX),"")</f>
        <v/>
      </c>
      <c r="J277" s="185" t="str">
        <f>IFERROR(_xlfn.XLOOKUP($A277,Input_Raw!$A:$A,Input_Raw!$CZ:$CZ),"")</f>
        <v/>
      </c>
      <c r="K277" s="201" t="str">
        <f>IFERROR(_xlfn.XLOOKUP($A277,Input_Raw!$A:$A,Input_Raw!$DB:$DB),"")</f>
        <v/>
      </c>
      <c r="L277" s="201" t="str">
        <f>IFERROR(_xlfn.XLOOKUP($A277,Input_Raw!$A:$A,Input_Raw!$DC:$DC),"")</f>
        <v/>
      </c>
      <c r="M277" s="200" t="str">
        <f>IFERROR(_xlfn.XLOOKUP($A277,Input_Raw!$A:$A,Input_Raw!$DF:$DF),"")</f>
        <v/>
      </c>
      <c r="N277" s="200" t="str">
        <f>IFERROR(_xlfn.XLOOKUP($A277,Input_Raw!$A:$A,Input_Raw!$DG:$DG),"")</f>
        <v/>
      </c>
      <c r="O277" s="230" t="str">
        <f>IFERROR(1-(SUMIF(Plant_BD!$B:$B,$A277,Plant_BD!$AL:$AL)/($AA277+SUMIF(Plant_BD!$B:$B,$A277,Plant_BD!$AL:$AL))),"")</f>
        <v/>
      </c>
      <c r="P277" s="230"/>
      <c r="Q277" s="231" t="str">
        <f>IFERROR(1-(SUMIF(Grid_BD!$B:$B,$A277,Grid_BD!$V:$V)/($AA277+SUMIF(Grid_BD!$B:$B,$A277,Grid_BD!$V:$V))),"")</f>
        <v/>
      </c>
      <c r="R277" s="230" t="str">
        <f>IFERROR(1-(SUMIF(Grid_BD!$B:$B,$A277,Grid_BD!$V:$V)/($AA277+SUMIF(Grid_BD!$B:$B,$A277,Grid_BD!$V:$V))),"")</f>
        <v/>
      </c>
      <c r="S277" s="9"/>
      <c r="T277" s="231"/>
      <c r="U277" s="232" t="str">
        <f t="shared" si="21"/>
        <v/>
      </c>
      <c r="V277" s="232" t="str">
        <f>IFERROR(_xlfn.XLOOKUP($A277,Input_Raw!$A:$A,Input_Raw!$FG:$FG),"")</f>
        <v/>
      </c>
      <c r="W277" s="233" t="str">
        <f t="shared" si="22"/>
        <v/>
      </c>
      <c r="X277" s="29" t="str">
        <f>IFERROR(_xlfn.XLOOKUP($A277,Input_Raw!$A:$A,Input_Raw!$DP:$DP),"")</f>
        <v/>
      </c>
      <c r="Y277" s="29" t="str">
        <f>IFERROR(_xlfn.XLOOKUP($A277,Input_Raw!$A:$A,Input_Raw!EW:EW),"")</f>
        <v/>
      </c>
      <c r="Z277" s="29" t="str">
        <f>IFERROR(_xlfn.XLOOKUP($A277,Input_Raw!$A:$A,Input_Raw!EX:EX),"")</f>
        <v/>
      </c>
      <c r="AA277" s="29" t="str">
        <f>IFERROR(_xlfn.XLOOKUP($A277,Input_Raw!$A:$A,Input_Raw!FA:FA),"")</f>
        <v/>
      </c>
      <c r="AB277" s="9" t="str">
        <f>IFERROR(_xlfn.XLOOKUP($A277,Input_Raw!$A:$A,Input_Raw!FD:FD),"")</f>
        <v/>
      </c>
      <c r="AC277" s="185">
        <f>IFERROR(_xlfn.XLOOKUP($D277,'Modelling New'!$D:$D,'Modelling New'!P:P),"")</f>
        <v>5.3290322580645162</v>
      </c>
      <c r="AD277" s="29">
        <f>IFERROR(_xlfn.XLOOKUP($D277,'Modelling New'!$D:$D,'Modelling New'!T:T)*1000,"")</f>
        <v>595399.791862702</v>
      </c>
      <c r="AE277" s="233">
        <f>IFERROR(_xlfn.XLOOKUP($D277,'Modelling New'!$D:$D,'Modelling New'!O:O),"")</f>
        <v>0.85944279883329133</v>
      </c>
      <c r="AF277" s="233">
        <f>IFERROR(_xlfn.XLOOKUP($D277,'Modelling New'!$D:$D,'Modelling New'!W:W),"")</f>
        <v>0.19083326662266092</v>
      </c>
      <c r="AG277" s="233">
        <f>IFERROR(_xlfn.XLOOKUP($D277,'Modelling New'!$D:$D,'Modelling New'!AE:AE),"")</f>
        <v>0.995</v>
      </c>
      <c r="AH277" s="234">
        <f>IFERROR(_xlfn.XLOOKUP($D277,'Modelling New'!$D:$D,'Modelling New'!AF:AF),"")</f>
        <v>0.995</v>
      </c>
      <c r="AI277" s="9"/>
      <c r="AJ277" s="9"/>
      <c r="AK277" s="258"/>
      <c r="AL277" s="258"/>
      <c r="AM277" s="258"/>
      <c r="AN277" s="235"/>
      <c r="AO277" s="233"/>
      <c r="AP277" s="233"/>
      <c r="AQ277" s="233"/>
      <c r="AR277" s="236">
        <f>_xlfn.XLOOKUP(D277,'Modelling New'!$D:$D,'Modelling New'!$N:$N)</f>
        <v>130</v>
      </c>
      <c r="AS277" s="236" t="str">
        <f t="shared" si="23"/>
        <v/>
      </c>
    </row>
    <row r="278" spans="1:45">
      <c r="A278" s="18">
        <f t="shared" si="24"/>
        <v>46021</v>
      </c>
      <c r="B278" s="29">
        <f>YEAR(Table13[[#This Row],[Date]])+IF(MONTH(Table13[[#This Row],[Date]])&gt;=4,1,0)</f>
        <v>2026</v>
      </c>
      <c r="C278" s="9">
        <f>YEAR(Table13[[#This Row],[Date]])</f>
        <v>2025</v>
      </c>
      <c r="D278" s="229">
        <f>Table13[[#This Row],[Date]]-DAY(Table13[[#This Row],[Date]])+1</f>
        <v>45992</v>
      </c>
      <c r="E278" s="9">
        <f t="shared" si="20"/>
        <v>31</v>
      </c>
      <c r="F278" s="199" t="str">
        <f>IFERROR(_xlfn.XLOOKUP($A278,Input_Raw!$A:$A,Input_Raw!$FC:$FC),"")</f>
        <v/>
      </c>
      <c r="G278" s="200" t="str">
        <f>IFERROR(_xlfn.XLOOKUP($A278,Input_Raw!$A:$A,Input_Raw!$CY:$CY),"")</f>
        <v/>
      </c>
      <c r="H278" s="200" t="str">
        <f>IFERROR(_xlfn.XLOOKUP($A278,Input_Raw!$A:$A,Input_Raw!$DA:$DA),"")</f>
        <v/>
      </c>
      <c r="I278" s="200" t="str">
        <f>IFERROR(_xlfn.XLOOKUP($A278,Input_Raw!$A:$A,Input_Raw!$CX:$CX),"")</f>
        <v/>
      </c>
      <c r="J278" s="200" t="str">
        <f>IFERROR(_xlfn.XLOOKUP($A278,Input_Raw!$A:$A,Input_Raw!$CZ:$CZ),"")</f>
        <v/>
      </c>
      <c r="K278" s="201" t="str">
        <f>IFERROR(_xlfn.XLOOKUP($A278,Input_Raw!$A:$A,Input_Raw!$DB:$DB),"")</f>
        <v/>
      </c>
      <c r="L278" s="201" t="str">
        <f>IFERROR(_xlfn.XLOOKUP($A278,Input_Raw!$A:$A,Input_Raw!$DC:$DC),"")</f>
        <v/>
      </c>
      <c r="M278" s="200" t="str">
        <f>IFERROR(_xlfn.XLOOKUP($A278,Input_Raw!$A:$A,Input_Raw!$DF:$DF),"")</f>
        <v/>
      </c>
      <c r="N278" s="200" t="str">
        <f>IFERROR(_xlfn.XLOOKUP($A278,Input_Raw!$A:$A,Input_Raw!$DG:$DG),"")</f>
        <v/>
      </c>
      <c r="O278" s="230" t="str">
        <f>IFERROR(1-(SUMIF(Plant_BD!$B:$B,$A278,Plant_BD!$AL:$AL)/($AA278+SUMIF(Plant_BD!$B:$B,$A278,Plant_BD!$AL:$AL))),"")</f>
        <v/>
      </c>
      <c r="P278" s="230"/>
      <c r="Q278" s="231" t="str">
        <f>IFERROR(1-(SUMIF(Grid_BD!$B:$B,$A278,Grid_BD!$V:$V)/($AA278+SUMIF(Grid_BD!$B:$B,$A278,Grid_BD!$V:$V))),"")</f>
        <v/>
      </c>
      <c r="R278" s="230" t="str">
        <f>IFERROR(1-(SUMIF(Grid_BD!$B:$B,$A278,Grid_BD!$V:$V)/($AA278+SUMIF(Grid_BD!$B:$B,$A278,Grid_BD!$V:$V))),"")</f>
        <v/>
      </c>
      <c r="S278" s="9"/>
      <c r="T278" s="231"/>
      <c r="U278" s="232" t="str">
        <f t="shared" si="21"/>
        <v/>
      </c>
      <c r="V278" s="232" t="str">
        <f>IFERROR(_xlfn.XLOOKUP($A278,Input_Raw!$A:$A,Input_Raw!$FG:$FG),"")</f>
        <v/>
      </c>
      <c r="W278" s="233" t="str">
        <f t="shared" si="22"/>
        <v/>
      </c>
      <c r="X278" s="29" t="str">
        <f>IFERROR(_xlfn.XLOOKUP($A278,Input_Raw!$A:$A,Input_Raw!$DP:$DP),"")</f>
        <v/>
      </c>
      <c r="Y278" s="29" t="str">
        <f>IFERROR(_xlfn.XLOOKUP($A278,Input_Raw!$A:$A,Input_Raw!EW:EW),"")</f>
        <v/>
      </c>
      <c r="Z278" s="29" t="str">
        <f>IFERROR(_xlfn.XLOOKUP($A278,Input_Raw!$A:$A,Input_Raw!EX:EX),"")</f>
        <v/>
      </c>
      <c r="AA278" s="29" t="str">
        <f>IFERROR(_xlfn.XLOOKUP($A278,Input_Raw!$A:$A,Input_Raw!FA:FA),"")</f>
        <v/>
      </c>
      <c r="AB278" s="9" t="str">
        <f>IFERROR(_xlfn.XLOOKUP($A278,Input_Raw!$A:$A,Input_Raw!FD:FD),"")</f>
        <v/>
      </c>
      <c r="AC278" s="185">
        <f>IFERROR(_xlfn.XLOOKUP($D278,'Modelling New'!$D:$D,'Modelling New'!P:P),"")</f>
        <v>5.3290322580645162</v>
      </c>
      <c r="AD278" s="29">
        <f>IFERROR(_xlfn.XLOOKUP($D278,'Modelling New'!$D:$D,'Modelling New'!T:T)*1000,"")</f>
        <v>595399.791862702</v>
      </c>
      <c r="AE278" s="233">
        <f>IFERROR(_xlfn.XLOOKUP($D278,'Modelling New'!$D:$D,'Modelling New'!O:O),"")</f>
        <v>0.85944279883329133</v>
      </c>
      <c r="AF278" s="233">
        <f>IFERROR(_xlfn.XLOOKUP($D278,'Modelling New'!$D:$D,'Modelling New'!W:W),"")</f>
        <v>0.19083326662266092</v>
      </c>
      <c r="AG278" s="233">
        <f>IFERROR(_xlfn.XLOOKUP($D278,'Modelling New'!$D:$D,'Modelling New'!AE:AE),"")</f>
        <v>0.995</v>
      </c>
      <c r="AH278" s="234">
        <f>IFERROR(_xlfn.XLOOKUP($D278,'Modelling New'!$D:$D,'Modelling New'!AF:AF),"")</f>
        <v>0.995</v>
      </c>
      <c r="AI278" s="9"/>
      <c r="AJ278" s="9"/>
      <c r="AK278" s="258"/>
      <c r="AL278" s="258"/>
      <c r="AM278" s="258"/>
      <c r="AN278" s="235"/>
      <c r="AO278" s="233"/>
      <c r="AP278" s="233"/>
      <c r="AQ278" s="233"/>
      <c r="AR278" s="236">
        <f>_xlfn.XLOOKUP(D278,'Modelling New'!$D:$D,'Modelling New'!$N:$N)</f>
        <v>130</v>
      </c>
      <c r="AS278" s="236" t="str">
        <f t="shared" si="23"/>
        <v/>
      </c>
    </row>
    <row r="279" spans="1:45">
      <c r="A279" s="18">
        <f t="shared" si="24"/>
        <v>46022</v>
      </c>
      <c r="B279" s="29">
        <f>YEAR(Table13[[#This Row],[Date]])+IF(MONTH(Table13[[#This Row],[Date]])&gt;=4,1,0)</f>
        <v>2026</v>
      </c>
      <c r="C279" s="9">
        <f>YEAR(Table13[[#This Row],[Date]])</f>
        <v>2025</v>
      </c>
      <c r="D279" s="229">
        <f>Table13[[#This Row],[Date]]-DAY(Table13[[#This Row],[Date]])+1</f>
        <v>45992</v>
      </c>
      <c r="E279" s="9">
        <f t="shared" si="20"/>
        <v>31</v>
      </c>
      <c r="F279" s="199" t="str">
        <f>IFERROR(_xlfn.XLOOKUP($A279,Input_Raw!$A:$A,Input_Raw!$FC:$FC),"")</f>
        <v/>
      </c>
      <c r="G279" s="185" t="str">
        <f>IFERROR(_xlfn.XLOOKUP($A279,Input_Raw!$A:$A,Input_Raw!$CY:$CY),"")</f>
        <v/>
      </c>
      <c r="H279" s="185" t="str">
        <f>IFERROR(_xlfn.XLOOKUP($A279,Input_Raw!$A:$A,Input_Raw!$DA:$DA),"")</f>
        <v/>
      </c>
      <c r="I279" s="185" t="str">
        <f>IFERROR(_xlfn.XLOOKUP($A279,Input_Raw!$A:$A,Input_Raw!$CX:$CX),"")</f>
        <v/>
      </c>
      <c r="J279" s="185" t="str">
        <f>IFERROR(_xlfn.XLOOKUP($A279,Input_Raw!$A:$A,Input_Raw!$CZ:$CZ),"")</f>
        <v/>
      </c>
      <c r="K279" s="201" t="str">
        <f>IFERROR(_xlfn.XLOOKUP($A279,Input_Raw!$A:$A,Input_Raw!$DB:$DB),"")</f>
        <v/>
      </c>
      <c r="L279" s="201" t="str">
        <f>IFERROR(_xlfn.XLOOKUP($A279,Input_Raw!$A:$A,Input_Raw!$DC:$DC),"")</f>
        <v/>
      </c>
      <c r="M279" s="200" t="str">
        <f>IFERROR(_xlfn.XLOOKUP($A279,Input_Raw!$A:$A,Input_Raw!$DF:$DF),"")</f>
        <v/>
      </c>
      <c r="N279" s="200" t="str">
        <f>IFERROR(_xlfn.XLOOKUP($A279,Input_Raw!$A:$A,Input_Raw!$DG:$DG),"")</f>
        <v/>
      </c>
      <c r="O279" s="230" t="str">
        <f>IFERROR(1-(SUMIF(Plant_BD!$B:$B,$A279,Plant_BD!$AL:$AL)/($AA279+SUMIF(Plant_BD!$B:$B,$A279,Plant_BD!$AL:$AL))),"")</f>
        <v/>
      </c>
      <c r="P279" s="230"/>
      <c r="Q279" s="231" t="str">
        <f>IFERROR(1-(SUMIF(Grid_BD!$B:$B,$A279,Grid_BD!$V:$V)/($AA279+SUMIF(Grid_BD!$B:$B,$A279,Grid_BD!$V:$V))),"")</f>
        <v/>
      </c>
      <c r="R279" s="230" t="str">
        <f>IFERROR(1-(SUMIF(Grid_BD!$B:$B,$A279,Grid_BD!$V:$V)/($AA279+SUMIF(Grid_BD!$B:$B,$A279,Grid_BD!$V:$V))),"")</f>
        <v/>
      </c>
      <c r="S279" s="9"/>
      <c r="T279" s="231"/>
      <c r="U279" s="232" t="str">
        <f t="shared" si="21"/>
        <v/>
      </c>
      <c r="V279" s="232" t="str">
        <f>IFERROR(_xlfn.XLOOKUP($A279,Input_Raw!$A:$A,Input_Raw!$FG:$FG),"")</f>
        <v/>
      </c>
      <c r="W279" s="233" t="str">
        <f t="shared" si="22"/>
        <v/>
      </c>
      <c r="X279" s="29" t="str">
        <f>IFERROR(_xlfn.XLOOKUP($A279,Input_Raw!$A:$A,Input_Raw!$DP:$DP),"")</f>
        <v/>
      </c>
      <c r="Y279" s="29" t="str">
        <f>IFERROR(_xlfn.XLOOKUP($A279,Input_Raw!$A:$A,Input_Raw!EW:EW),"")</f>
        <v/>
      </c>
      <c r="Z279" s="29" t="str">
        <f>IFERROR(_xlfn.XLOOKUP($A279,Input_Raw!$A:$A,Input_Raw!EX:EX),"")</f>
        <v/>
      </c>
      <c r="AA279" s="29" t="str">
        <f>IFERROR(_xlfn.XLOOKUP($A279,Input_Raw!$A:$A,Input_Raw!FA:FA),"")</f>
        <v/>
      </c>
      <c r="AB279" s="9" t="str">
        <f>IFERROR(_xlfn.XLOOKUP($A279,Input_Raw!$A:$A,Input_Raw!FD:FD),"")</f>
        <v/>
      </c>
      <c r="AC279" s="185">
        <f>IFERROR(_xlfn.XLOOKUP($D279,'Modelling New'!$D:$D,'Modelling New'!P:P),"")</f>
        <v>5.3290322580645162</v>
      </c>
      <c r="AD279" s="29">
        <f>IFERROR(_xlfn.XLOOKUP($D279,'Modelling New'!$D:$D,'Modelling New'!T:T)*1000,"")</f>
        <v>595399.791862702</v>
      </c>
      <c r="AE279" s="233">
        <f>IFERROR(_xlfn.XLOOKUP($D279,'Modelling New'!$D:$D,'Modelling New'!O:O),"")</f>
        <v>0.85944279883329133</v>
      </c>
      <c r="AF279" s="233">
        <f>IFERROR(_xlfn.XLOOKUP($D279,'Modelling New'!$D:$D,'Modelling New'!W:W),"")</f>
        <v>0.19083326662266092</v>
      </c>
      <c r="AG279" s="233">
        <f>IFERROR(_xlfn.XLOOKUP($D279,'Modelling New'!$D:$D,'Modelling New'!AE:AE),"")</f>
        <v>0.995</v>
      </c>
      <c r="AH279" s="234">
        <f>IFERROR(_xlfn.XLOOKUP($D279,'Modelling New'!$D:$D,'Modelling New'!AF:AF),"")</f>
        <v>0.995</v>
      </c>
      <c r="AI279" s="9"/>
      <c r="AJ279" s="9"/>
      <c r="AK279" s="258"/>
      <c r="AL279" s="258"/>
      <c r="AM279" s="258"/>
      <c r="AN279" s="235"/>
      <c r="AO279" s="233"/>
      <c r="AP279" s="233"/>
      <c r="AQ279" s="233"/>
      <c r="AR279" s="236">
        <f>_xlfn.XLOOKUP(D279,'Modelling New'!$D:$D,'Modelling New'!$N:$N)</f>
        <v>130</v>
      </c>
      <c r="AS279" s="236" t="str">
        <f t="shared" si="23"/>
        <v/>
      </c>
    </row>
    <row r="280" spans="1:45">
      <c r="A280" s="18">
        <f t="shared" si="24"/>
        <v>46023</v>
      </c>
      <c r="B280" s="29">
        <f>YEAR(Table13[[#This Row],[Date]])+IF(MONTH(Table13[[#This Row],[Date]])&gt;=4,1,0)</f>
        <v>2026</v>
      </c>
      <c r="C280" s="9">
        <f>YEAR(Table13[[#This Row],[Date]])</f>
        <v>2026</v>
      </c>
      <c r="D280" s="229">
        <f>Table13[[#This Row],[Date]]-DAY(Table13[[#This Row],[Date]])+1</f>
        <v>46023</v>
      </c>
      <c r="E280" s="9">
        <f t="shared" si="20"/>
        <v>31</v>
      </c>
      <c r="F280" s="199" t="str">
        <f>IFERROR(_xlfn.XLOOKUP($A280,Input_Raw!$A:$A,Input_Raw!$FC:$FC),"")</f>
        <v/>
      </c>
      <c r="G280" s="200" t="str">
        <f>IFERROR(_xlfn.XLOOKUP($A280,Input_Raw!$A:$A,Input_Raw!$CY:$CY),"")</f>
        <v/>
      </c>
      <c r="H280" s="200" t="str">
        <f>IFERROR(_xlfn.XLOOKUP($A280,Input_Raw!$A:$A,Input_Raw!$DA:$DA),"")</f>
        <v/>
      </c>
      <c r="I280" s="200" t="str">
        <f>IFERROR(_xlfn.XLOOKUP($A280,Input_Raw!$A:$A,Input_Raw!$CX:$CX),"")</f>
        <v/>
      </c>
      <c r="J280" s="200" t="str">
        <f>IFERROR(_xlfn.XLOOKUP($A280,Input_Raw!$A:$A,Input_Raw!$CZ:$CZ),"")</f>
        <v/>
      </c>
      <c r="K280" s="201" t="str">
        <f>IFERROR(_xlfn.XLOOKUP($A280,Input_Raw!$A:$A,Input_Raw!$DB:$DB),"")</f>
        <v/>
      </c>
      <c r="L280" s="201" t="str">
        <f>IFERROR(_xlfn.XLOOKUP($A280,Input_Raw!$A:$A,Input_Raw!$DC:$DC),"")</f>
        <v/>
      </c>
      <c r="M280" s="200" t="str">
        <f>IFERROR(_xlfn.XLOOKUP($A280,Input_Raw!$A:$A,Input_Raw!$DF:$DF),"")</f>
        <v/>
      </c>
      <c r="N280" s="200" t="str">
        <f>IFERROR(_xlfn.XLOOKUP($A280,Input_Raw!$A:$A,Input_Raw!$DG:$DG),"")</f>
        <v/>
      </c>
      <c r="O280" s="230" t="str">
        <f>IFERROR(1-(SUMIF(Plant_BD!$B:$B,$A280,Plant_BD!$AL:$AL)/($AA280+SUMIF(Plant_BD!$B:$B,$A280,Plant_BD!$AL:$AL))),"")</f>
        <v/>
      </c>
      <c r="P280" s="230"/>
      <c r="Q280" s="231" t="str">
        <f>IFERROR(1-(SUMIF(Grid_BD!$B:$B,$A280,Grid_BD!$V:$V)/($AA280+SUMIF(Grid_BD!$B:$B,$A280,Grid_BD!$V:$V))),"")</f>
        <v/>
      </c>
      <c r="R280" s="230" t="str">
        <f>IFERROR(1-(SUMIF(Grid_BD!$B:$B,$A280,Grid_BD!$V:$V)/($AA280+SUMIF(Grid_BD!$B:$B,$A280,Grid_BD!$V:$V))),"")</f>
        <v/>
      </c>
      <c r="S280" s="9"/>
      <c r="T280" s="231"/>
      <c r="U280" s="232" t="str">
        <f t="shared" si="21"/>
        <v/>
      </c>
      <c r="V280" s="232" t="str">
        <f>IFERROR(_xlfn.XLOOKUP($A280,Input_Raw!$A:$A,Input_Raw!$FG:$FG),"")</f>
        <v/>
      </c>
      <c r="W280" s="233" t="str">
        <f t="shared" si="22"/>
        <v/>
      </c>
      <c r="X280" s="29" t="str">
        <f>IFERROR(_xlfn.XLOOKUP($A280,Input_Raw!$A:$A,Input_Raw!$DP:$DP),"")</f>
        <v/>
      </c>
      <c r="Y280" s="29" t="str">
        <f>IFERROR(_xlfn.XLOOKUP($A280,Input_Raw!$A:$A,Input_Raw!EW:EW),"")</f>
        <v/>
      </c>
      <c r="Z280" s="29" t="str">
        <f>IFERROR(_xlfn.XLOOKUP($A280,Input_Raw!$A:$A,Input_Raw!EX:EX),"")</f>
        <v/>
      </c>
      <c r="AA280" s="29" t="str">
        <f>IFERROR(_xlfn.XLOOKUP($A280,Input_Raw!$A:$A,Input_Raw!FA:FA),"")</f>
        <v/>
      </c>
      <c r="AB280" s="9" t="str">
        <f>IFERROR(_xlfn.XLOOKUP($A280,Input_Raw!$A:$A,Input_Raw!FD:FD),"")</f>
        <v/>
      </c>
      <c r="AC280" s="185">
        <f>IFERROR(_xlfn.XLOOKUP($D280,'Modelling New'!$D:$D,'Modelling New'!P:P),"")</f>
        <v>5.5161290322580649</v>
      </c>
      <c r="AD280" s="29">
        <f>IFERROR(_xlfn.XLOOKUP($D280,'Modelling New'!$D:$D,'Modelling New'!T:T)*1000,"")</f>
        <v>613939.49222257547</v>
      </c>
      <c r="AE280" s="233">
        <f>IFERROR(_xlfn.XLOOKUP($D280,'Modelling New'!$D:$D,'Modelling New'!O:O),"")</f>
        <v>0.85614594057129279</v>
      </c>
      <c r="AF280" s="233">
        <f>IFERROR(_xlfn.XLOOKUP($D280,'Modelling New'!$D:$D,'Modelling New'!W:W),"")</f>
        <v>0.19677547827646649</v>
      </c>
      <c r="AG280" s="233">
        <f>IFERROR(_xlfn.XLOOKUP($D280,'Modelling New'!$D:$D,'Modelling New'!AE:AE),"")</f>
        <v>0.995</v>
      </c>
      <c r="AH280" s="234">
        <f>IFERROR(_xlfn.XLOOKUP($D280,'Modelling New'!$D:$D,'Modelling New'!AF:AF),"")</f>
        <v>0.995</v>
      </c>
      <c r="AI280" s="9"/>
      <c r="AJ280" s="9"/>
      <c r="AK280" s="258"/>
      <c r="AL280" s="258"/>
      <c r="AM280" s="258"/>
      <c r="AN280" s="235"/>
      <c r="AO280" s="233"/>
      <c r="AP280" s="233"/>
      <c r="AQ280" s="233"/>
      <c r="AR280" s="236">
        <f>_xlfn.XLOOKUP(D280,'Modelling New'!$D:$D,'Modelling New'!$N:$N)</f>
        <v>130</v>
      </c>
      <c r="AS280" s="236" t="str">
        <f t="shared" si="23"/>
        <v/>
      </c>
    </row>
    <row r="281" spans="1:45">
      <c r="A281" s="18">
        <f t="shared" si="24"/>
        <v>46024</v>
      </c>
      <c r="B281" s="29">
        <f>YEAR(Table13[[#This Row],[Date]])+IF(MONTH(Table13[[#This Row],[Date]])&gt;=4,1,0)</f>
        <v>2026</v>
      </c>
      <c r="C281" s="9">
        <f>YEAR(Table13[[#This Row],[Date]])</f>
        <v>2026</v>
      </c>
      <c r="D281" s="229">
        <f>Table13[[#This Row],[Date]]-DAY(Table13[[#This Row],[Date]])+1</f>
        <v>46023</v>
      </c>
      <c r="E281" s="9">
        <f t="shared" si="20"/>
        <v>31</v>
      </c>
      <c r="F281" s="199" t="str">
        <f>IFERROR(_xlfn.XLOOKUP($A281,Input_Raw!$A:$A,Input_Raw!$FC:$FC),"")</f>
        <v/>
      </c>
      <c r="G281" s="185" t="str">
        <f>IFERROR(_xlfn.XLOOKUP($A281,Input_Raw!$A:$A,Input_Raw!$CY:$CY),"")</f>
        <v/>
      </c>
      <c r="H281" s="185" t="str">
        <f>IFERROR(_xlfn.XLOOKUP($A281,Input_Raw!$A:$A,Input_Raw!$DA:$DA),"")</f>
        <v/>
      </c>
      <c r="I281" s="185" t="str">
        <f>IFERROR(_xlfn.XLOOKUP($A281,Input_Raw!$A:$A,Input_Raw!$CX:$CX),"")</f>
        <v/>
      </c>
      <c r="J281" s="185" t="str">
        <f>IFERROR(_xlfn.XLOOKUP($A281,Input_Raw!$A:$A,Input_Raw!$CZ:$CZ),"")</f>
        <v/>
      </c>
      <c r="K281" s="201" t="str">
        <f>IFERROR(_xlfn.XLOOKUP($A281,Input_Raw!$A:$A,Input_Raw!$DB:$DB),"")</f>
        <v/>
      </c>
      <c r="L281" s="201" t="str">
        <f>IFERROR(_xlfn.XLOOKUP($A281,Input_Raw!$A:$A,Input_Raw!$DC:$DC),"")</f>
        <v/>
      </c>
      <c r="M281" s="200" t="str">
        <f>IFERROR(_xlfn.XLOOKUP($A281,Input_Raw!$A:$A,Input_Raw!$DF:$DF),"")</f>
        <v/>
      </c>
      <c r="N281" s="200" t="str">
        <f>IFERROR(_xlfn.XLOOKUP($A281,Input_Raw!$A:$A,Input_Raw!$DG:$DG),"")</f>
        <v/>
      </c>
      <c r="O281" s="230" t="str">
        <f>IFERROR(1-(SUMIF(Plant_BD!$B:$B,$A281,Plant_BD!$AL:$AL)/($AA281+SUMIF(Plant_BD!$B:$B,$A281,Plant_BD!$AL:$AL))),"")</f>
        <v/>
      </c>
      <c r="P281" s="230"/>
      <c r="Q281" s="231" t="str">
        <f>IFERROR(1-(SUMIF(Grid_BD!$B:$B,$A281,Grid_BD!$V:$V)/($AA281+SUMIF(Grid_BD!$B:$B,$A281,Grid_BD!$V:$V))),"")</f>
        <v/>
      </c>
      <c r="R281" s="230" t="str">
        <f>IFERROR(1-(SUMIF(Grid_BD!$B:$B,$A281,Grid_BD!$V:$V)/($AA281+SUMIF(Grid_BD!$B:$B,$A281,Grid_BD!$V:$V))),"")</f>
        <v/>
      </c>
      <c r="S281" s="9"/>
      <c r="T281" s="231"/>
      <c r="U281" s="232" t="str">
        <f t="shared" si="21"/>
        <v/>
      </c>
      <c r="V281" s="232" t="str">
        <f>IFERROR(_xlfn.XLOOKUP($A281,Input_Raw!$A:$A,Input_Raw!$FG:$FG),"")</f>
        <v/>
      </c>
      <c r="W281" s="233" t="str">
        <f t="shared" si="22"/>
        <v/>
      </c>
      <c r="X281" s="29" t="str">
        <f>IFERROR(_xlfn.XLOOKUP($A281,Input_Raw!$A:$A,Input_Raw!$DP:$DP),"")</f>
        <v/>
      </c>
      <c r="Y281" s="29" t="str">
        <f>IFERROR(_xlfn.XLOOKUP($A281,Input_Raw!$A:$A,Input_Raw!EW:EW),"")</f>
        <v/>
      </c>
      <c r="Z281" s="29" t="str">
        <f>IFERROR(_xlfn.XLOOKUP($A281,Input_Raw!$A:$A,Input_Raw!EX:EX),"")</f>
        <v/>
      </c>
      <c r="AA281" s="29" t="str">
        <f>IFERROR(_xlfn.XLOOKUP($A281,Input_Raw!$A:$A,Input_Raw!FA:FA),"")</f>
        <v/>
      </c>
      <c r="AB281" s="9" t="str">
        <f>IFERROR(_xlfn.XLOOKUP($A281,Input_Raw!$A:$A,Input_Raw!FD:FD),"")</f>
        <v/>
      </c>
      <c r="AC281" s="185">
        <f>IFERROR(_xlfn.XLOOKUP($D281,'Modelling New'!$D:$D,'Modelling New'!P:P),"")</f>
        <v>5.5161290322580649</v>
      </c>
      <c r="AD281" s="29">
        <f>IFERROR(_xlfn.XLOOKUP($D281,'Modelling New'!$D:$D,'Modelling New'!T:T)*1000,"")</f>
        <v>613939.49222257547</v>
      </c>
      <c r="AE281" s="233">
        <f>IFERROR(_xlfn.XLOOKUP($D281,'Modelling New'!$D:$D,'Modelling New'!O:O),"")</f>
        <v>0.85614594057129279</v>
      </c>
      <c r="AF281" s="233">
        <f>IFERROR(_xlfn.XLOOKUP($D281,'Modelling New'!$D:$D,'Modelling New'!W:W),"")</f>
        <v>0.19677547827646649</v>
      </c>
      <c r="AG281" s="233">
        <f>IFERROR(_xlfn.XLOOKUP($D281,'Modelling New'!$D:$D,'Modelling New'!AE:AE),"")</f>
        <v>0.995</v>
      </c>
      <c r="AH281" s="234">
        <f>IFERROR(_xlfn.XLOOKUP($D281,'Modelling New'!$D:$D,'Modelling New'!AF:AF),"")</f>
        <v>0.995</v>
      </c>
      <c r="AI281" s="9"/>
      <c r="AJ281" s="9"/>
      <c r="AK281" s="258"/>
      <c r="AL281" s="258"/>
      <c r="AM281" s="258"/>
      <c r="AN281" s="235"/>
      <c r="AO281" s="233"/>
      <c r="AP281" s="233"/>
      <c r="AQ281" s="233"/>
      <c r="AR281" s="236">
        <f>_xlfn.XLOOKUP(D281,'Modelling New'!$D:$D,'Modelling New'!$N:$N)</f>
        <v>130</v>
      </c>
      <c r="AS281" s="236" t="str">
        <f t="shared" si="23"/>
        <v/>
      </c>
    </row>
    <row r="282" spans="1:45">
      <c r="A282" s="18">
        <f t="shared" si="24"/>
        <v>46025</v>
      </c>
      <c r="B282" s="29">
        <f>YEAR(Table13[[#This Row],[Date]])+IF(MONTH(Table13[[#This Row],[Date]])&gt;=4,1,0)</f>
        <v>2026</v>
      </c>
      <c r="C282" s="9">
        <f>YEAR(Table13[[#This Row],[Date]])</f>
        <v>2026</v>
      </c>
      <c r="D282" s="229">
        <f>Table13[[#This Row],[Date]]-DAY(Table13[[#This Row],[Date]])+1</f>
        <v>46023</v>
      </c>
      <c r="E282" s="9">
        <f t="shared" si="20"/>
        <v>31</v>
      </c>
      <c r="F282" s="199" t="str">
        <f>IFERROR(_xlfn.XLOOKUP($A282,Input_Raw!$A:$A,Input_Raw!$FC:$FC),"")</f>
        <v/>
      </c>
      <c r="G282" s="200" t="str">
        <f>IFERROR(_xlfn.XLOOKUP($A282,Input_Raw!$A:$A,Input_Raw!$CY:$CY),"")</f>
        <v/>
      </c>
      <c r="H282" s="200" t="str">
        <f>IFERROR(_xlfn.XLOOKUP($A282,Input_Raw!$A:$A,Input_Raw!$DA:$DA),"")</f>
        <v/>
      </c>
      <c r="I282" s="200" t="str">
        <f>IFERROR(_xlfn.XLOOKUP($A282,Input_Raw!$A:$A,Input_Raw!$CX:$CX),"")</f>
        <v/>
      </c>
      <c r="J282" s="200" t="str">
        <f>IFERROR(_xlfn.XLOOKUP($A282,Input_Raw!$A:$A,Input_Raw!$CZ:$CZ),"")</f>
        <v/>
      </c>
      <c r="K282" s="201" t="str">
        <f>IFERROR(_xlfn.XLOOKUP($A282,Input_Raw!$A:$A,Input_Raw!$DB:$DB),"")</f>
        <v/>
      </c>
      <c r="L282" s="201" t="str">
        <f>IFERROR(_xlfn.XLOOKUP($A282,Input_Raw!$A:$A,Input_Raw!$DC:$DC),"")</f>
        <v/>
      </c>
      <c r="M282" s="200" t="str">
        <f>IFERROR(_xlfn.XLOOKUP($A282,Input_Raw!$A:$A,Input_Raw!$DF:$DF),"")</f>
        <v/>
      </c>
      <c r="N282" s="200" t="str">
        <f>IFERROR(_xlfn.XLOOKUP($A282,Input_Raw!$A:$A,Input_Raw!$DG:$DG),"")</f>
        <v/>
      </c>
      <c r="O282" s="230" t="str">
        <f>IFERROR(1-(SUMIF(Plant_BD!$B:$B,$A282,Plant_BD!$AL:$AL)/($AA282+SUMIF(Plant_BD!$B:$B,$A282,Plant_BD!$AL:$AL))),"")</f>
        <v/>
      </c>
      <c r="P282" s="230"/>
      <c r="Q282" s="231" t="str">
        <f>IFERROR(1-(SUMIF(Grid_BD!$B:$B,$A282,Grid_BD!$V:$V)/($AA282+SUMIF(Grid_BD!$B:$B,$A282,Grid_BD!$V:$V))),"")</f>
        <v/>
      </c>
      <c r="R282" s="230" t="str">
        <f>IFERROR(1-(SUMIF(Grid_BD!$B:$B,$A282,Grid_BD!$V:$V)/($AA282+SUMIF(Grid_BD!$B:$B,$A282,Grid_BD!$V:$V))),"")</f>
        <v/>
      </c>
      <c r="S282" s="9"/>
      <c r="T282" s="231"/>
      <c r="U282" s="232" t="str">
        <f t="shared" si="21"/>
        <v/>
      </c>
      <c r="V282" s="232" t="str">
        <f>IFERROR(_xlfn.XLOOKUP($A282,Input_Raw!$A:$A,Input_Raw!$FG:$FG),"")</f>
        <v/>
      </c>
      <c r="W282" s="233" t="str">
        <f t="shared" si="22"/>
        <v/>
      </c>
      <c r="X282" s="29" t="str">
        <f>IFERROR(_xlfn.XLOOKUP($A282,Input_Raw!$A:$A,Input_Raw!$DP:$DP),"")</f>
        <v/>
      </c>
      <c r="Y282" s="29" t="str">
        <f>IFERROR(_xlfn.XLOOKUP($A282,Input_Raw!$A:$A,Input_Raw!EW:EW),"")</f>
        <v/>
      </c>
      <c r="Z282" s="29" t="str">
        <f>IFERROR(_xlfn.XLOOKUP($A282,Input_Raw!$A:$A,Input_Raw!EX:EX),"")</f>
        <v/>
      </c>
      <c r="AA282" s="29" t="str">
        <f>IFERROR(_xlfn.XLOOKUP($A282,Input_Raw!$A:$A,Input_Raw!FA:FA),"")</f>
        <v/>
      </c>
      <c r="AB282" s="9" t="str">
        <f>IFERROR(_xlfn.XLOOKUP($A282,Input_Raw!$A:$A,Input_Raw!FD:FD),"")</f>
        <v/>
      </c>
      <c r="AC282" s="185">
        <f>IFERROR(_xlfn.XLOOKUP($D282,'Modelling New'!$D:$D,'Modelling New'!P:P),"")</f>
        <v>5.5161290322580649</v>
      </c>
      <c r="AD282" s="29">
        <f>IFERROR(_xlfn.XLOOKUP($D282,'Modelling New'!$D:$D,'Modelling New'!T:T)*1000,"")</f>
        <v>613939.49222257547</v>
      </c>
      <c r="AE282" s="233">
        <f>IFERROR(_xlfn.XLOOKUP($D282,'Modelling New'!$D:$D,'Modelling New'!O:O),"")</f>
        <v>0.85614594057129279</v>
      </c>
      <c r="AF282" s="233">
        <f>IFERROR(_xlfn.XLOOKUP($D282,'Modelling New'!$D:$D,'Modelling New'!W:W),"")</f>
        <v>0.19677547827646649</v>
      </c>
      <c r="AG282" s="233">
        <f>IFERROR(_xlfn.XLOOKUP($D282,'Modelling New'!$D:$D,'Modelling New'!AE:AE),"")</f>
        <v>0.995</v>
      </c>
      <c r="AH282" s="234">
        <f>IFERROR(_xlfn.XLOOKUP($D282,'Modelling New'!$D:$D,'Modelling New'!AF:AF),"")</f>
        <v>0.995</v>
      </c>
      <c r="AI282" s="9"/>
      <c r="AJ282" s="9"/>
      <c r="AK282" s="258"/>
      <c r="AL282" s="258"/>
      <c r="AM282" s="258"/>
      <c r="AN282" s="235"/>
      <c r="AO282" s="233"/>
      <c r="AP282" s="233"/>
      <c r="AQ282" s="233"/>
      <c r="AR282" s="236">
        <f>_xlfn.XLOOKUP(D282,'Modelling New'!$D:$D,'Modelling New'!$N:$N)</f>
        <v>130</v>
      </c>
      <c r="AS282" s="236" t="str">
        <f t="shared" si="23"/>
        <v/>
      </c>
    </row>
    <row r="283" spans="1:45">
      <c r="A283" s="18">
        <f t="shared" si="24"/>
        <v>46026</v>
      </c>
      <c r="B283" s="29">
        <f>YEAR(Table13[[#This Row],[Date]])+IF(MONTH(Table13[[#This Row],[Date]])&gt;=4,1,0)</f>
        <v>2026</v>
      </c>
      <c r="C283" s="9">
        <f>YEAR(Table13[[#This Row],[Date]])</f>
        <v>2026</v>
      </c>
      <c r="D283" s="229">
        <f>Table13[[#This Row],[Date]]-DAY(Table13[[#This Row],[Date]])+1</f>
        <v>46023</v>
      </c>
      <c r="E283" s="9">
        <f t="shared" si="20"/>
        <v>31</v>
      </c>
      <c r="F283" s="199" t="str">
        <f>IFERROR(_xlfn.XLOOKUP($A283,Input_Raw!$A:$A,Input_Raw!$FC:$FC),"")</f>
        <v/>
      </c>
      <c r="G283" s="185" t="str">
        <f>IFERROR(_xlfn.XLOOKUP($A283,Input_Raw!$A:$A,Input_Raw!$CY:$CY),"")</f>
        <v/>
      </c>
      <c r="H283" s="185" t="str">
        <f>IFERROR(_xlfn.XLOOKUP($A283,Input_Raw!$A:$A,Input_Raw!$DA:$DA),"")</f>
        <v/>
      </c>
      <c r="I283" s="185" t="str">
        <f>IFERROR(_xlfn.XLOOKUP($A283,Input_Raw!$A:$A,Input_Raw!$CX:$CX),"")</f>
        <v/>
      </c>
      <c r="J283" s="185" t="str">
        <f>IFERROR(_xlfn.XLOOKUP($A283,Input_Raw!$A:$A,Input_Raw!$CZ:$CZ),"")</f>
        <v/>
      </c>
      <c r="K283" s="201" t="str">
        <f>IFERROR(_xlfn.XLOOKUP($A283,Input_Raw!$A:$A,Input_Raw!$DB:$DB),"")</f>
        <v/>
      </c>
      <c r="L283" s="201" t="str">
        <f>IFERROR(_xlfn.XLOOKUP($A283,Input_Raw!$A:$A,Input_Raw!$DC:$DC),"")</f>
        <v/>
      </c>
      <c r="M283" s="200" t="str">
        <f>IFERROR(_xlfn.XLOOKUP($A283,Input_Raw!$A:$A,Input_Raw!$DF:$DF),"")</f>
        <v/>
      </c>
      <c r="N283" s="200" t="str">
        <f>IFERROR(_xlfn.XLOOKUP($A283,Input_Raw!$A:$A,Input_Raw!$DG:$DG),"")</f>
        <v/>
      </c>
      <c r="O283" s="230" t="str">
        <f>IFERROR(1-(SUMIF(Plant_BD!$B:$B,$A283,Plant_BD!$AL:$AL)/($AA283+SUMIF(Plant_BD!$B:$B,$A283,Plant_BD!$AL:$AL))),"")</f>
        <v/>
      </c>
      <c r="P283" s="230"/>
      <c r="Q283" s="231" t="str">
        <f>IFERROR(1-(SUMIF(Grid_BD!$B:$B,$A283,Grid_BD!$V:$V)/($AA283+SUMIF(Grid_BD!$B:$B,$A283,Grid_BD!$V:$V))),"")</f>
        <v/>
      </c>
      <c r="R283" s="230" t="str">
        <f>IFERROR(1-(SUMIF(Grid_BD!$B:$B,$A283,Grid_BD!$V:$V)/($AA283+SUMIF(Grid_BD!$B:$B,$A283,Grid_BD!$V:$V))),"")</f>
        <v/>
      </c>
      <c r="S283" s="9"/>
      <c r="T283" s="231"/>
      <c r="U283" s="232" t="str">
        <f t="shared" si="21"/>
        <v/>
      </c>
      <c r="V283" s="232" t="str">
        <f>IFERROR(_xlfn.XLOOKUP($A283,Input_Raw!$A:$A,Input_Raw!$FG:$FG),"")</f>
        <v/>
      </c>
      <c r="W283" s="233" t="str">
        <f t="shared" si="22"/>
        <v/>
      </c>
      <c r="X283" s="29" t="str">
        <f>IFERROR(_xlfn.XLOOKUP($A283,Input_Raw!$A:$A,Input_Raw!$DP:$DP),"")</f>
        <v/>
      </c>
      <c r="Y283" s="29" t="str">
        <f>IFERROR(_xlfn.XLOOKUP($A283,Input_Raw!$A:$A,Input_Raw!EW:EW),"")</f>
        <v/>
      </c>
      <c r="Z283" s="29" t="str">
        <f>IFERROR(_xlfn.XLOOKUP($A283,Input_Raw!$A:$A,Input_Raw!EX:EX),"")</f>
        <v/>
      </c>
      <c r="AA283" s="29" t="str">
        <f>IFERROR(_xlfn.XLOOKUP($A283,Input_Raw!$A:$A,Input_Raw!FA:FA),"")</f>
        <v/>
      </c>
      <c r="AB283" s="9" t="str">
        <f>IFERROR(_xlfn.XLOOKUP($A283,Input_Raw!$A:$A,Input_Raw!FD:FD),"")</f>
        <v/>
      </c>
      <c r="AC283" s="185">
        <f>IFERROR(_xlfn.XLOOKUP($D283,'Modelling New'!$D:$D,'Modelling New'!P:P),"")</f>
        <v>5.5161290322580649</v>
      </c>
      <c r="AD283" s="29">
        <f>IFERROR(_xlfn.XLOOKUP($D283,'Modelling New'!$D:$D,'Modelling New'!T:T)*1000,"")</f>
        <v>613939.49222257547</v>
      </c>
      <c r="AE283" s="233">
        <f>IFERROR(_xlfn.XLOOKUP($D283,'Modelling New'!$D:$D,'Modelling New'!O:O),"")</f>
        <v>0.85614594057129279</v>
      </c>
      <c r="AF283" s="233">
        <f>IFERROR(_xlfn.XLOOKUP($D283,'Modelling New'!$D:$D,'Modelling New'!W:W),"")</f>
        <v>0.19677547827646649</v>
      </c>
      <c r="AG283" s="233">
        <f>IFERROR(_xlfn.XLOOKUP($D283,'Modelling New'!$D:$D,'Modelling New'!AE:AE),"")</f>
        <v>0.995</v>
      </c>
      <c r="AH283" s="234">
        <f>IFERROR(_xlfn.XLOOKUP($D283,'Modelling New'!$D:$D,'Modelling New'!AF:AF),"")</f>
        <v>0.995</v>
      </c>
      <c r="AI283" s="9"/>
      <c r="AJ283" s="9"/>
      <c r="AK283" s="258"/>
      <c r="AL283" s="258"/>
      <c r="AM283" s="258"/>
      <c r="AN283" s="235"/>
      <c r="AO283" s="233"/>
      <c r="AP283" s="233"/>
      <c r="AQ283" s="233"/>
      <c r="AR283" s="236">
        <f>_xlfn.XLOOKUP(D283,'Modelling New'!$D:$D,'Modelling New'!$N:$N)</f>
        <v>130</v>
      </c>
      <c r="AS283" s="236" t="str">
        <f t="shared" si="23"/>
        <v/>
      </c>
    </row>
    <row r="284" spans="1:45">
      <c r="A284" s="18">
        <f t="shared" si="24"/>
        <v>46027</v>
      </c>
      <c r="B284" s="29">
        <f>YEAR(Table13[[#This Row],[Date]])+IF(MONTH(Table13[[#This Row],[Date]])&gt;=4,1,0)</f>
        <v>2026</v>
      </c>
      <c r="C284" s="9">
        <f>YEAR(Table13[[#This Row],[Date]])</f>
        <v>2026</v>
      </c>
      <c r="D284" s="229">
        <f>Table13[[#This Row],[Date]]-DAY(Table13[[#This Row],[Date]])+1</f>
        <v>46023</v>
      </c>
      <c r="E284" s="9">
        <f t="shared" si="20"/>
        <v>31</v>
      </c>
      <c r="F284" s="199" t="str">
        <f>IFERROR(_xlfn.XLOOKUP($A284,Input_Raw!$A:$A,Input_Raw!$FC:$FC),"")</f>
        <v/>
      </c>
      <c r="G284" s="200" t="str">
        <f>IFERROR(_xlfn.XLOOKUP($A284,Input_Raw!$A:$A,Input_Raw!$CY:$CY),"")</f>
        <v/>
      </c>
      <c r="H284" s="200" t="str">
        <f>IFERROR(_xlfn.XLOOKUP($A284,Input_Raw!$A:$A,Input_Raw!$DA:$DA),"")</f>
        <v/>
      </c>
      <c r="I284" s="200" t="str">
        <f>IFERROR(_xlfn.XLOOKUP($A284,Input_Raw!$A:$A,Input_Raw!$CX:$CX),"")</f>
        <v/>
      </c>
      <c r="J284" s="200" t="str">
        <f>IFERROR(_xlfn.XLOOKUP($A284,Input_Raw!$A:$A,Input_Raw!$CZ:$CZ),"")</f>
        <v/>
      </c>
      <c r="K284" s="201" t="str">
        <f>IFERROR(_xlfn.XLOOKUP($A284,Input_Raw!$A:$A,Input_Raw!$DB:$DB),"")</f>
        <v/>
      </c>
      <c r="L284" s="201" t="str">
        <f>IFERROR(_xlfn.XLOOKUP($A284,Input_Raw!$A:$A,Input_Raw!$DC:$DC),"")</f>
        <v/>
      </c>
      <c r="M284" s="200" t="str">
        <f>IFERROR(_xlfn.XLOOKUP($A284,Input_Raw!$A:$A,Input_Raw!$DF:$DF),"")</f>
        <v/>
      </c>
      <c r="N284" s="200" t="str">
        <f>IFERROR(_xlfn.XLOOKUP($A284,Input_Raw!$A:$A,Input_Raw!$DG:$DG),"")</f>
        <v/>
      </c>
      <c r="O284" s="230" t="str">
        <f>IFERROR(1-(SUMIF(Plant_BD!$B:$B,$A284,Plant_BD!$AL:$AL)/($AA284+SUMIF(Plant_BD!$B:$B,$A284,Plant_BD!$AL:$AL))),"")</f>
        <v/>
      </c>
      <c r="P284" s="230"/>
      <c r="Q284" s="231" t="str">
        <f>IFERROR(1-(SUMIF(Grid_BD!$B:$B,$A284,Grid_BD!$V:$V)/($AA284+SUMIF(Grid_BD!$B:$B,$A284,Grid_BD!$V:$V))),"")</f>
        <v/>
      </c>
      <c r="R284" s="230" t="str">
        <f>IFERROR(1-(SUMIF(Grid_BD!$B:$B,$A284,Grid_BD!$V:$V)/($AA284+SUMIF(Grid_BD!$B:$B,$A284,Grid_BD!$V:$V))),"")</f>
        <v/>
      </c>
      <c r="S284" s="9"/>
      <c r="T284" s="231"/>
      <c r="U284" s="232" t="str">
        <f t="shared" si="21"/>
        <v/>
      </c>
      <c r="V284" s="232" t="str">
        <f>IFERROR(_xlfn.XLOOKUP($A284,Input_Raw!$A:$A,Input_Raw!$FG:$FG),"")</f>
        <v/>
      </c>
      <c r="W284" s="233" t="str">
        <f t="shared" si="22"/>
        <v/>
      </c>
      <c r="X284" s="29" t="str">
        <f>IFERROR(_xlfn.XLOOKUP($A284,Input_Raw!$A:$A,Input_Raw!$DP:$DP),"")</f>
        <v/>
      </c>
      <c r="Y284" s="29" t="str">
        <f>IFERROR(_xlfn.XLOOKUP($A284,Input_Raw!$A:$A,Input_Raw!EW:EW),"")</f>
        <v/>
      </c>
      <c r="Z284" s="29" t="str">
        <f>IFERROR(_xlfn.XLOOKUP($A284,Input_Raw!$A:$A,Input_Raw!EX:EX),"")</f>
        <v/>
      </c>
      <c r="AA284" s="29" t="str">
        <f>IFERROR(_xlfn.XLOOKUP($A284,Input_Raw!$A:$A,Input_Raw!FA:FA),"")</f>
        <v/>
      </c>
      <c r="AB284" s="9" t="str">
        <f>IFERROR(_xlfn.XLOOKUP($A284,Input_Raw!$A:$A,Input_Raw!FD:FD),"")</f>
        <v/>
      </c>
      <c r="AC284" s="185">
        <f>IFERROR(_xlfn.XLOOKUP($D284,'Modelling New'!$D:$D,'Modelling New'!P:P),"")</f>
        <v>5.5161290322580649</v>
      </c>
      <c r="AD284" s="29">
        <f>IFERROR(_xlfn.XLOOKUP($D284,'Modelling New'!$D:$D,'Modelling New'!T:T)*1000,"")</f>
        <v>613939.49222257547</v>
      </c>
      <c r="AE284" s="233">
        <f>IFERROR(_xlfn.XLOOKUP($D284,'Modelling New'!$D:$D,'Modelling New'!O:O),"")</f>
        <v>0.85614594057129279</v>
      </c>
      <c r="AF284" s="233">
        <f>IFERROR(_xlfn.XLOOKUP($D284,'Modelling New'!$D:$D,'Modelling New'!W:W),"")</f>
        <v>0.19677547827646649</v>
      </c>
      <c r="AG284" s="233">
        <f>IFERROR(_xlfn.XLOOKUP($D284,'Modelling New'!$D:$D,'Modelling New'!AE:AE),"")</f>
        <v>0.995</v>
      </c>
      <c r="AH284" s="234">
        <f>IFERROR(_xlfn.XLOOKUP($D284,'Modelling New'!$D:$D,'Modelling New'!AF:AF),"")</f>
        <v>0.995</v>
      </c>
      <c r="AI284" s="9"/>
      <c r="AJ284" s="9"/>
      <c r="AK284" s="258"/>
      <c r="AL284" s="258"/>
      <c r="AM284" s="258"/>
      <c r="AN284" s="235"/>
      <c r="AO284" s="233"/>
      <c r="AP284" s="233"/>
      <c r="AQ284" s="233"/>
      <c r="AR284" s="236">
        <f>_xlfn.XLOOKUP(D284,'Modelling New'!$D:$D,'Modelling New'!$N:$N)</f>
        <v>130</v>
      </c>
      <c r="AS284" s="236" t="str">
        <f t="shared" si="23"/>
        <v/>
      </c>
    </row>
    <row r="285" spans="1:45">
      <c r="A285" s="18">
        <f t="shared" si="24"/>
        <v>46028</v>
      </c>
      <c r="B285" s="29">
        <f>YEAR(Table13[[#This Row],[Date]])+IF(MONTH(Table13[[#This Row],[Date]])&gt;=4,1,0)</f>
        <v>2026</v>
      </c>
      <c r="C285" s="9">
        <f>YEAR(Table13[[#This Row],[Date]])</f>
        <v>2026</v>
      </c>
      <c r="D285" s="229">
        <f>Table13[[#This Row],[Date]]-DAY(Table13[[#This Row],[Date]])+1</f>
        <v>46023</v>
      </c>
      <c r="E285" s="9">
        <f t="shared" si="20"/>
        <v>31</v>
      </c>
      <c r="F285" s="199" t="str">
        <f>IFERROR(_xlfn.XLOOKUP($A285,Input_Raw!$A:$A,Input_Raw!$FC:$FC),"")</f>
        <v/>
      </c>
      <c r="G285" s="185" t="str">
        <f>IFERROR(_xlfn.XLOOKUP($A285,Input_Raw!$A:$A,Input_Raw!$CY:$CY),"")</f>
        <v/>
      </c>
      <c r="H285" s="185" t="str">
        <f>IFERROR(_xlfn.XLOOKUP($A285,Input_Raw!$A:$A,Input_Raw!$DA:$DA),"")</f>
        <v/>
      </c>
      <c r="I285" s="185" t="str">
        <f>IFERROR(_xlfn.XLOOKUP($A285,Input_Raw!$A:$A,Input_Raw!$CX:$CX),"")</f>
        <v/>
      </c>
      <c r="J285" s="185" t="str">
        <f>IFERROR(_xlfn.XLOOKUP($A285,Input_Raw!$A:$A,Input_Raw!$CZ:$CZ),"")</f>
        <v/>
      </c>
      <c r="K285" s="201" t="str">
        <f>IFERROR(_xlfn.XLOOKUP($A285,Input_Raw!$A:$A,Input_Raw!$DB:$DB),"")</f>
        <v/>
      </c>
      <c r="L285" s="201" t="str">
        <f>IFERROR(_xlfn.XLOOKUP($A285,Input_Raw!$A:$A,Input_Raw!$DC:$DC),"")</f>
        <v/>
      </c>
      <c r="M285" s="200" t="str">
        <f>IFERROR(_xlfn.XLOOKUP($A285,Input_Raw!$A:$A,Input_Raw!$DF:$DF),"")</f>
        <v/>
      </c>
      <c r="N285" s="200" t="str">
        <f>IFERROR(_xlfn.XLOOKUP($A285,Input_Raw!$A:$A,Input_Raw!$DG:$DG),"")</f>
        <v/>
      </c>
      <c r="O285" s="230" t="str">
        <f>IFERROR(1-(SUMIF(Plant_BD!$B:$B,$A285,Plant_BD!$AL:$AL)/($AA285+SUMIF(Plant_BD!$B:$B,$A285,Plant_BD!$AL:$AL))),"")</f>
        <v/>
      </c>
      <c r="P285" s="230"/>
      <c r="Q285" s="231" t="str">
        <f>IFERROR(1-(SUMIF(Grid_BD!$B:$B,$A285,Grid_BD!$V:$V)/($AA285+SUMIF(Grid_BD!$B:$B,$A285,Grid_BD!$V:$V))),"")</f>
        <v/>
      </c>
      <c r="R285" s="230" t="str">
        <f>IFERROR(1-(SUMIF(Grid_BD!$B:$B,$A285,Grid_BD!$V:$V)/($AA285+SUMIF(Grid_BD!$B:$B,$A285,Grid_BD!$V:$V))),"")</f>
        <v/>
      </c>
      <c r="S285" s="9"/>
      <c r="T285" s="231"/>
      <c r="U285" s="232" t="str">
        <f t="shared" si="21"/>
        <v/>
      </c>
      <c r="V285" s="232" t="str">
        <f>IFERROR(_xlfn.XLOOKUP($A285,Input_Raw!$A:$A,Input_Raw!$FG:$FG),"")</f>
        <v/>
      </c>
      <c r="W285" s="233" t="str">
        <f t="shared" si="22"/>
        <v/>
      </c>
      <c r="X285" s="29" t="str">
        <f>IFERROR(_xlfn.XLOOKUP($A285,Input_Raw!$A:$A,Input_Raw!$DP:$DP),"")</f>
        <v/>
      </c>
      <c r="Y285" s="29" t="str">
        <f>IFERROR(_xlfn.XLOOKUP($A285,Input_Raw!$A:$A,Input_Raw!EW:EW),"")</f>
        <v/>
      </c>
      <c r="Z285" s="29" t="str">
        <f>IFERROR(_xlfn.XLOOKUP($A285,Input_Raw!$A:$A,Input_Raw!EX:EX),"")</f>
        <v/>
      </c>
      <c r="AA285" s="29" t="str">
        <f>IFERROR(_xlfn.XLOOKUP($A285,Input_Raw!$A:$A,Input_Raw!FA:FA),"")</f>
        <v/>
      </c>
      <c r="AB285" s="9" t="str">
        <f>IFERROR(_xlfn.XLOOKUP($A285,Input_Raw!$A:$A,Input_Raw!FD:FD),"")</f>
        <v/>
      </c>
      <c r="AC285" s="185">
        <f>IFERROR(_xlfn.XLOOKUP($D285,'Modelling New'!$D:$D,'Modelling New'!P:P),"")</f>
        <v>5.5161290322580649</v>
      </c>
      <c r="AD285" s="29">
        <f>IFERROR(_xlfn.XLOOKUP($D285,'Modelling New'!$D:$D,'Modelling New'!T:T)*1000,"")</f>
        <v>613939.49222257547</v>
      </c>
      <c r="AE285" s="233">
        <f>IFERROR(_xlfn.XLOOKUP($D285,'Modelling New'!$D:$D,'Modelling New'!O:O),"")</f>
        <v>0.85614594057129279</v>
      </c>
      <c r="AF285" s="233">
        <f>IFERROR(_xlfn.XLOOKUP($D285,'Modelling New'!$D:$D,'Modelling New'!W:W),"")</f>
        <v>0.19677547827646649</v>
      </c>
      <c r="AG285" s="233">
        <f>IFERROR(_xlfn.XLOOKUP($D285,'Modelling New'!$D:$D,'Modelling New'!AE:AE),"")</f>
        <v>0.995</v>
      </c>
      <c r="AH285" s="234">
        <f>IFERROR(_xlfn.XLOOKUP($D285,'Modelling New'!$D:$D,'Modelling New'!AF:AF),"")</f>
        <v>0.995</v>
      </c>
      <c r="AI285" s="9"/>
      <c r="AJ285" s="9"/>
      <c r="AK285" s="258"/>
      <c r="AL285" s="258"/>
      <c r="AM285" s="258"/>
      <c r="AN285" s="235"/>
      <c r="AO285" s="233"/>
      <c r="AP285" s="233"/>
      <c r="AQ285" s="233"/>
      <c r="AR285" s="236">
        <f>_xlfn.XLOOKUP(D285,'Modelling New'!$D:$D,'Modelling New'!$N:$N)</f>
        <v>130</v>
      </c>
      <c r="AS285" s="236" t="str">
        <f t="shared" si="23"/>
        <v/>
      </c>
    </row>
    <row r="286" spans="1:45">
      <c r="A286" s="18">
        <f t="shared" si="24"/>
        <v>46029</v>
      </c>
      <c r="B286" s="29">
        <f>YEAR(Table13[[#This Row],[Date]])+IF(MONTH(Table13[[#This Row],[Date]])&gt;=4,1,0)</f>
        <v>2026</v>
      </c>
      <c r="C286" s="9">
        <f>YEAR(Table13[[#This Row],[Date]])</f>
        <v>2026</v>
      </c>
      <c r="D286" s="229">
        <f>Table13[[#This Row],[Date]]-DAY(Table13[[#This Row],[Date]])+1</f>
        <v>46023</v>
      </c>
      <c r="E286" s="9">
        <f t="shared" si="20"/>
        <v>31</v>
      </c>
      <c r="F286" s="199" t="str">
        <f>IFERROR(_xlfn.XLOOKUP($A286,Input_Raw!$A:$A,Input_Raw!$FC:$FC),"")</f>
        <v/>
      </c>
      <c r="G286" s="200" t="str">
        <f>IFERROR(_xlfn.XLOOKUP($A286,Input_Raw!$A:$A,Input_Raw!$CY:$CY),"")</f>
        <v/>
      </c>
      <c r="H286" s="200" t="str">
        <f>IFERROR(_xlfn.XLOOKUP($A286,Input_Raw!$A:$A,Input_Raw!$DA:$DA),"")</f>
        <v/>
      </c>
      <c r="I286" s="200" t="str">
        <f>IFERROR(_xlfn.XLOOKUP($A286,Input_Raw!$A:$A,Input_Raw!$CX:$CX),"")</f>
        <v/>
      </c>
      <c r="J286" s="200" t="str">
        <f>IFERROR(_xlfn.XLOOKUP($A286,Input_Raw!$A:$A,Input_Raw!$CZ:$CZ),"")</f>
        <v/>
      </c>
      <c r="K286" s="201" t="str">
        <f>IFERROR(_xlfn.XLOOKUP($A286,Input_Raw!$A:$A,Input_Raw!$DB:$DB),"")</f>
        <v/>
      </c>
      <c r="L286" s="201" t="str">
        <f>IFERROR(_xlfn.XLOOKUP($A286,Input_Raw!$A:$A,Input_Raw!$DC:$DC),"")</f>
        <v/>
      </c>
      <c r="M286" s="200" t="str">
        <f>IFERROR(_xlfn.XLOOKUP($A286,Input_Raw!$A:$A,Input_Raw!$DF:$DF),"")</f>
        <v/>
      </c>
      <c r="N286" s="200" t="str">
        <f>IFERROR(_xlfn.XLOOKUP($A286,Input_Raw!$A:$A,Input_Raw!$DG:$DG),"")</f>
        <v/>
      </c>
      <c r="O286" s="230" t="str">
        <f>IFERROR(1-(SUMIF(Plant_BD!$B:$B,$A286,Plant_BD!$AL:$AL)/($AA286+SUMIF(Plant_BD!$B:$B,$A286,Plant_BD!$AL:$AL))),"")</f>
        <v/>
      </c>
      <c r="P286" s="230"/>
      <c r="Q286" s="231" t="str">
        <f>IFERROR(1-(SUMIF(Grid_BD!$B:$B,$A286,Grid_BD!$V:$V)/($AA286+SUMIF(Grid_BD!$B:$B,$A286,Grid_BD!$V:$V))),"")</f>
        <v/>
      </c>
      <c r="R286" s="230" t="str">
        <f>IFERROR(1-(SUMIF(Grid_BD!$B:$B,$A286,Grid_BD!$V:$V)/($AA286+SUMIF(Grid_BD!$B:$B,$A286,Grid_BD!$V:$V))),"")</f>
        <v/>
      </c>
      <c r="S286" s="9"/>
      <c r="T286" s="231"/>
      <c r="U286" s="232" t="str">
        <f t="shared" si="21"/>
        <v/>
      </c>
      <c r="V286" s="232" t="str">
        <f>IFERROR(_xlfn.XLOOKUP($A286,Input_Raw!$A:$A,Input_Raw!$FG:$FG),"")</f>
        <v/>
      </c>
      <c r="W286" s="233" t="str">
        <f t="shared" si="22"/>
        <v/>
      </c>
      <c r="X286" s="29" t="str">
        <f>IFERROR(_xlfn.XLOOKUP($A286,Input_Raw!$A:$A,Input_Raw!$DP:$DP),"")</f>
        <v/>
      </c>
      <c r="Y286" s="29" t="str">
        <f>IFERROR(_xlfn.XLOOKUP($A286,Input_Raw!$A:$A,Input_Raw!EW:EW),"")</f>
        <v/>
      </c>
      <c r="Z286" s="29" t="str">
        <f>IFERROR(_xlfn.XLOOKUP($A286,Input_Raw!$A:$A,Input_Raw!EX:EX),"")</f>
        <v/>
      </c>
      <c r="AA286" s="29" t="str">
        <f>IFERROR(_xlfn.XLOOKUP($A286,Input_Raw!$A:$A,Input_Raw!FA:FA),"")</f>
        <v/>
      </c>
      <c r="AB286" s="9" t="str">
        <f>IFERROR(_xlfn.XLOOKUP($A286,Input_Raw!$A:$A,Input_Raw!FD:FD),"")</f>
        <v/>
      </c>
      <c r="AC286" s="185">
        <f>IFERROR(_xlfn.XLOOKUP($D286,'Modelling New'!$D:$D,'Modelling New'!P:P),"")</f>
        <v>5.5161290322580649</v>
      </c>
      <c r="AD286" s="29">
        <f>IFERROR(_xlfn.XLOOKUP($D286,'Modelling New'!$D:$D,'Modelling New'!T:T)*1000,"")</f>
        <v>613939.49222257547</v>
      </c>
      <c r="AE286" s="233">
        <f>IFERROR(_xlfn.XLOOKUP($D286,'Modelling New'!$D:$D,'Modelling New'!O:O),"")</f>
        <v>0.85614594057129279</v>
      </c>
      <c r="AF286" s="233">
        <f>IFERROR(_xlfn.XLOOKUP($D286,'Modelling New'!$D:$D,'Modelling New'!W:W),"")</f>
        <v>0.19677547827646649</v>
      </c>
      <c r="AG286" s="233">
        <f>IFERROR(_xlfn.XLOOKUP($D286,'Modelling New'!$D:$D,'Modelling New'!AE:AE),"")</f>
        <v>0.995</v>
      </c>
      <c r="AH286" s="234">
        <f>IFERROR(_xlfn.XLOOKUP($D286,'Modelling New'!$D:$D,'Modelling New'!AF:AF),"")</f>
        <v>0.995</v>
      </c>
      <c r="AI286" s="9"/>
      <c r="AJ286" s="9"/>
      <c r="AK286" s="258"/>
      <c r="AL286" s="258"/>
      <c r="AM286" s="258"/>
      <c r="AN286" s="235"/>
      <c r="AO286" s="233"/>
      <c r="AP286" s="233"/>
      <c r="AQ286" s="233"/>
      <c r="AR286" s="236">
        <f>_xlfn.XLOOKUP(D286,'Modelling New'!$D:$D,'Modelling New'!$N:$N)</f>
        <v>130</v>
      </c>
      <c r="AS286" s="236" t="str">
        <f t="shared" si="23"/>
        <v/>
      </c>
    </row>
    <row r="287" spans="1:45">
      <c r="A287" s="18">
        <f t="shared" si="24"/>
        <v>46030</v>
      </c>
      <c r="B287" s="29">
        <f>YEAR(Table13[[#This Row],[Date]])+IF(MONTH(Table13[[#This Row],[Date]])&gt;=4,1,0)</f>
        <v>2026</v>
      </c>
      <c r="C287" s="9">
        <f>YEAR(Table13[[#This Row],[Date]])</f>
        <v>2026</v>
      </c>
      <c r="D287" s="229">
        <f>Table13[[#This Row],[Date]]-DAY(Table13[[#This Row],[Date]])+1</f>
        <v>46023</v>
      </c>
      <c r="E287" s="9">
        <f t="shared" si="20"/>
        <v>31</v>
      </c>
      <c r="F287" s="199" t="str">
        <f>IFERROR(_xlfn.XLOOKUP($A287,Input_Raw!$A:$A,Input_Raw!$FC:$FC),"")</f>
        <v/>
      </c>
      <c r="G287" s="185" t="str">
        <f>IFERROR(_xlfn.XLOOKUP($A287,Input_Raw!$A:$A,Input_Raw!$CY:$CY),"")</f>
        <v/>
      </c>
      <c r="H287" s="185" t="str">
        <f>IFERROR(_xlfn.XLOOKUP($A287,Input_Raw!$A:$A,Input_Raw!$DA:$DA),"")</f>
        <v/>
      </c>
      <c r="I287" s="185" t="str">
        <f>IFERROR(_xlfn.XLOOKUP($A287,Input_Raw!$A:$A,Input_Raw!$CX:$CX),"")</f>
        <v/>
      </c>
      <c r="J287" s="185" t="str">
        <f>IFERROR(_xlfn.XLOOKUP($A287,Input_Raw!$A:$A,Input_Raw!$CZ:$CZ),"")</f>
        <v/>
      </c>
      <c r="K287" s="201" t="str">
        <f>IFERROR(_xlfn.XLOOKUP($A287,Input_Raw!$A:$A,Input_Raw!$DB:$DB),"")</f>
        <v/>
      </c>
      <c r="L287" s="201" t="str">
        <f>IFERROR(_xlfn.XLOOKUP($A287,Input_Raw!$A:$A,Input_Raw!$DC:$DC),"")</f>
        <v/>
      </c>
      <c r="M287" s="200" t="str">
        <f>IFERROR(_xlfn.XLOOKUP($A287,Input_Raw!$A:$A,Input_Raw!$DF:$DF),"")</f>
        <v/>
      </c>
      <c r="N287" s="200" t="str">
        <f>IFERROR(_xlfn.XLOOKUP($A287,Input_Raw!$A:$A,Input_Raw!$DG:$DG),"")</f>
        <v/>
      </c>
      <c r="O287" s="230" t="str">
        <f>IFERROR(1-(SUMIF(Plant_BD!$B:$B,$A287,Plant_BD!$AL:$AL)/($AA287+SUMIF(Plant_BD!$B:$B,$A287,Plant_BD!$AL:$AL))),"")</f>
        <v/>
      </c>
      <c r="P287" s="230"/>
      <c r="Q287" s="231" t="str">
        <f>IFERROR(1-(SUMIF(Grid_BD!$B:$B,$A287,Grid_BD!$V:$V)/($AA287+SUMIF(Grid_BD!$B:$B,$A287,Grid_BD!$V:$V))),"")</f>
        <v/>
      </c>
      <c r="R287" s="230" t="str">
        <f>IFERROR(1-(SUMIF(Grid_BD!$B:$B,$A287,Grid_BD!$V:$V)/($AA287+SUMIF(Grid_BD!$B:$B,$A287,Grid_BD!$V:$V))),"")</f>
        <v/>
      </c>
      <c r="S287" s="9"/>
      <c r="T287" s="231"/>
      <c r="U287" s="232" t="str">
        <f t="shared" si="21"/>
        <v/>
      </c>
      <c r="V287" s="232" t="str">
        <f>IFERROR(_xlfn.XLOOKUP($A287,Input_Raw!$A:$A,Input_Raw!$FG:$FG),"")</f>
        <v/>
      </c>
      <c r="W287" s="233" t="str">
        <f t="shared" si="22"/>
        <v/>
      </c>
      <c r="X287" s="29" t="str">
        <f>IFERROR(_xlfn.XLOOKUP($A287,Input_Raw!$A:$A,Input_Raw!$DP:$DP),"")</f>
        <v/>
      </c>
      <c r="Y287" s="29" t="str">
        <f>IFERROR(_xlfn.XLOOKUP($A287,Input_Raw!$A:$A,Input_Raw!EW:EW),"")</f>
        <v/>
      </c>
      <c r="Z287" s="29" t="str">
        <f>IFERROR(_xlfn.XLOOKUP($A287,Input_Raw!$A:$A,Input_Raw!EX:EX),"")</f>
        <v/>
      </c>
      <c r="AA287" s="29" t="str">
        <f>IFERROR(_xlfn.XLOOKUP($A287,Input_Raw!$A:$A,Input_Raw!FA:FA),"")</f>
        <v/>
      </c>
      <c r="AB287" s="9" t="str">
        <f>IFERROR(_xlfn.XLOOKUP($A287,Input_Raw!$A:$A,Input_Raw!FD:FD),"")</f>
        <v/>
      </c>
      <c r="AC287" s="185">
        <f>IFERROR(_xlfn.XLOOKUP($D287,'Modelling New'!$D:$D,'Modelling New'!P:P),"")</f>
        <v>5.5161290322580649</v>
      </c>
      <c r="AD287" s="29">
        <f>IFERROR(_xlfn.XLOOKUP($D287,'Modelling New'!$D:$D,'Modelling New'!T:T)*1000,"")</f>
        <v>613939.49222257547</v>
      </c>
      <c r="AE287" s="233">
        <f>IFERROR(_xlfn.XLOOKUP($D287,'Modelling New'!$D:$D,'Modelling New'!O:O),"")</f>
        <v>0.85614594057129279</v>
      </c>
      <c r="AF287" s="233">
        <f>IFERROR(_xlfn.XLOOKUP($D287,'Modelling New'!$D:$D,'Modelling New'!W:W),"")</f>
        <v>0.19677547827646649</v>
      </c>
      <c r="AG287" s="233">
        <f>IFERROR(_xlfn.XLOOKUP($D287,'Modelling New'!$D:$D,'Modelling New'!AE:AE),"")</f>
        <v>0.995</v>
      </c>
      <c r="AH287" s="234">
        <f>IFERROR(_xlfn.XLOOKUP($D287,'Modelling New'!$D:$D,'Modelling New'!AF:AF),"")</f>
        <v>0.995</v>
      </c>
      <c r="AI287" s="9"/>
      <c r="AJ287" s="9"/>
      <c r="AK287" s="258"/>
      <c r="AL287" s="258"/>
      <c r="AM287" s="258"/>
      <c r="AN287" s="235"/>
      <c r="AO287" s="233"/>
      <c r="AP287" s="233"/>
      <c r="AQ287" s="233"/>
      <c r="AR287" s="236">
        <f>_xlfn.XLOOKUP(D287,'Modelling New'!$D:$D,'Modelling New'!$N:$N)</f>
        <v>130</v>
      </c>
      <c r="AS287" s="236" t="str">
        <f t="shared" si="23"/>
        <v/>
      </c>
    </row>
    <row r="288" spans="1:45">
      <c r="A288" s="18">
        <f t="shared" si="24"/>
        <v>46031</v>
      </c>
      <c r="B288" s="29">
        <f>YEAR(Table13[[#This Row],[Date]])+IF(MONTH(Table13[[#This Row],[Date]])&gt;=4,1,0)</f>
        <v>2026</v>
      </c>
      <c r="C288" s="9">
        <f>YEAR(Table13[[#This Row],[Date]])</f>
        <v>2026</v>
      </c>
      <c r="D288" s="229">
        <f>Table13[[#This Row],[Date]]-DAY(Table13[[#This Row],[Date]])+1</f>
        <v>46023</v>
      </c>
      <c r="E288" s="9">
        <f t="shared" si="20"/>
        <v>31</v>
      </c>
      <c r="F288" s="199" t="str">
        <f>IFERROR(_xlfn.XLOOKUP($A288,Input_Raw!$A:$A,Input_Raw!$FC:$FC),"")</f>
        <v/>
      </c>
      <c r="G288" s="200" t="str">
        <f>IFERROR(_xlfn.XLOOKUP($A288,Input_Raw!$A:$A,Input_Raw!$CY:$CY),"")</f>
        <v/>
      </c>
      <c r="H288" s="200" t="str">
        <f>IFERROR(_xlfn.XLOOKUP($A288,Input_Raw!$A:$A,Input_Raw!$DA:$DA),"")</f>
        <v/>
      </c>
      <c r="I288" s="200" t="str">
        <f>IFERROR(_xlfn.XLOOKUP($A288,Input_Raw!$A:$A,Input_Raw!$CX:$CX),"")</f>
        <v/>
      </c>
      <c r="J288" s="200" t="str">
        <f>IFERROR(_xlfn.XLOOKUP($A288,Input_Raw!$A:$A,Input_Raw!$CZ:$CZ),"")</f>
        <v/>
      </c>
      <c r="K288" s="201" t="str">
        <f>IFERROR(_xlfn.XLOOKUP($A288,Input_Raw!$A:$A,Input_Raw!$DB:$DB),"")</f>
        <v/>
      </c>
      <c r="L288" s="201" t="str">
        <f>IFERROR(_xlfn.XLOOKUP($A288,Input_Raw!$A:$A,Input_Raw!$DC:$DC),"")</f>
        <v/>
      </c>
      <c r="M288" s="200" t="str">
        <f>IFERROR(_xlfn.XLOOKUP($A288,Input_Raw!$A:$A,Input_Raw!$DF:$DF),"")</f>
        <v/>
      </c>
      <c r="N288" s="200" t="str">
        <f>IFERROR(_xlfn.XLOOKUP($A288,Input_Raw!$A:$A,Input_Raw!$DG:$DG),"")</f>
        <v/>
      </c>
      <c r="O288" s="230" t="str">
        <f>IFERROR(1-(SUMIF(Plant_BD!$B:$B,$A288,Plant_BD!$AL:$AL)/($AA288+SUMIF(Plant_BD!$B:$B,$A288,Plant_BD!$AL:$AL))),"")</f>
        <v/>
      </c>
      <c r="P288" s="230"/>
      <c r="Q288" s="231" t="str">
        <f>IFERROR(1-(SUMIF(Grid_BD!$B:$B,$A288,Grid_BD!$V:$V)/($AA288+SUMIF(Grid_BD!$B:$B,$A288,Grid_BD!$V:$V))),"")</f>
        <v/>
      </c>
      <c r="R288" s="230" t="str">
        <f>IFERROR(1-(SUMIF(Grid_BD!$B:$B,$A288,Grid_BD!$V:$V)/($AA288+SUMIF(Grid_BD!$B:$B,$A288,Grid_BD!$V:$V))),"")</f>
        <v/>
      </c>
      <c r="S288" s="9"/>
      <c r="T288" s="231"/>
      <c r="U288" s="232" t="str">
        <f t="shared" si="21"/>
        <v/>
      </c>
      <c r="V288" s="232" t="str">
        <f>IFERROR(_xlfn.XLOOKUP($A288,Input_Raw!$A:$A,Input_Raw!$FG:$FG),"")</f>
        <v/>
      </c>
      <c r="W288" s="233" t="str">
        <f t="shared" si="22"/>
        <v/>
      </c>
      <c r="X288" s="29" t="str">
        <f>IFERROR(_xlfn.XLOOKUP($A288,Input_Raw!$A:$A,Input_Raw!$DP:$DP),"")</f>
        <v/>
      </c>
      <c r="Y288" s="29" t="str">
        <f>IFERROR(_xlfn.XLOOKUP($A288,Input_Raw!$A:$A,Input_Raw!EW:EW),"")</f>
        <v/>
      </c>
      <c r="Z288" s="29" t="str">
        <f>IFERROR(_xlfn.XLOOKUP($A288,Input_Raw!$A:$A,Input_Raw!EX:EX),"")</f>
        <v/>
      </c>
      <c r="AA288" s="29" t="str">
        <f>IFERROR(_xlfn.XLOOKUP($A288,Input_Raw!$A:$A,Input_Raw!FA:FA),"")</f>
        <v/>
      </c>
      <c r="AB288" s="9" t="str">
        <f>IFERROR(_xlfn.XLOOKUP($A288,Input_Raw!$A:$A,Input_Raw!FD:FD),"")</f>
        <v/>
      </c>
      <c r="AC288" s="185">
        <f>IFERROR(_xlfn.XLOOKUP($D288,'Modelling New'!$D:$D,'Modelling New'!P:P),"")</f>
        <v>5.5161290322580649</v>
      </c>
      <c r="AD288" s="29">
        <f>IFERROR(_xlfn.XLOOKUP($D288,'Modelling New'!$D:$D,'Modelling New'!T:T)*1000,"")</f>
        <v>613939.49222257547</v>
      </c>
      <c r="AE288" s="233">
        <f>IFERROR(_xlfn.XLOOKUP($D288,'Modelling New'!$D:$D,'Modelling New'!O:O),"")</f>
        <v>0.85614594057129279</v>
      </c>
      <c r="AF288" s="233">
        <f>IFERROR(_xlfn.XLOOKUP($D288,'Modelling New'!$D:$D,'Modelling New'!W:W),"")</f>
        <v>0.19677547827646649</v>
      </c>
      <c r="AG288" s="233">
        <f>IFERROR(_xlfn.XLOOKUP($D288,'Modelling New'!$D:$D,'Modelling New'!AE:AE),"")</f>
        <v>0.995</v>
      </c>
      <c r="AH288" s="234">
        <f>IFERROR(_xlfn.XLOOKUP($D288,'Modelling New'!$D:$D,'Modelling New'!AF:AF),"")</f>
        <v>0.995</v>
      </c>
      <c r="AI288" s="9"/>
      <c r="AJ288" s="9"/>
      <c r="AK288" s="258"/>
      <c r="AL288" s="258"/>
      <c r="AM288" s="258"/>
      <c r="AN288" s="235"/>
      <c r="AO288" s="233"/>
      <c r="AP288" s="233"/>
      <c r="AQ288" s="233"/>
      <c r="AR288" s="236">
        <f>_xlfn.XLOOKUP(D288,'Modelling New'!$D:$D,'Modelling New'!$N:$N)</f>
        <v>130</v>
      </c>
      <c r="AS288" s="236" t="str">
        <f t="shared" si="23"/>
        <v/>
      </c>
    </row>
    <row r="289" spans="1:45">
      <c r="A289" s="18">
        <f t="shared" si="24"/>
        <v>46032</v>
      </c>
      <c r="B289" s="29">
        <f>YEAR(Table13[[#This Row],[Date]])+IF(MONTH(Table13[[#This Row],[Date]])&gt;=4,1,0)</f>
        <v>2026</v>
      </c>
      <c r="C289" s="9">
        <f>YEAR(Table13[[#This Row],[Date]])</f>
        <v>2026</v>
      </c>
      <c r="D289" s="229">
        <f>Table13[[#This Row],[Date]]-DAY(Table13[[#This Row],[Date]])+1</f>
        <v>46023</v>
      </c>
      <c r="E289" s="9">
        <f t="shared" si="20"/>
        <v>31</v>
      </c>
      <c r="F289" s="199" t="str">
        <f>IFERROR(_xlfn.XLOOKUP($A289,Input_Raw!$A:$A,Input_Raw!$FC:$FC),"")</f>
        <v/>
      </c>
      <c r="G289" s="185" t="str">
        <f>IFERROR(_xlfn.XLOOKUP($A289,Input_Raw!$A:$A,Input_Raw!$CY:$CY),"")</f>
        <v/>
      </c>
      <c r="H289" s="185" t="str">
        <f>IFERROR(_xlfn.XLOOKUP($A289,Input_Raw!$A:$A,Input_Raw!$DA:$DA),"")</f>
        <v/>
      </c>
      <c r="I289" s="185" t="str">
        <f>IFERROR(_xlfn.XLOOKUP($A289,Input_Raw!$A:$A,Input_Raw!$CX:$CX),"")</f>
        <v/>
      </c>
      <c r="J289" s="185" t="str">
        <f>IFERROR(_xlfn.XLOOKUP($A289,Input_Raw!$A:$A,Input_Raw!$CZ:$CZ),"")</f>
        <v/>
      </c>
      <c r="K289" s="201" t="str">
        <f>IFERROR(_xlfn.XLOOKUP($A289,Input_Raw!$A:$A,Input_Raw!$DB:$DB),"")</f>
        <v/>
      </c>
      <c r="L289" s="201" t="str">
        <f>IFERROR(_xlfn.XLOOKUP($A289,Input_Raw!$A:$A,Input_Raw!$DC:$DC),"")</f>
        <v/>
      </c>
      <c r="M289" s="200" t="str">
        <f>IFERROR(_xlfn.XLOOKUP($A289,Input_Raw!$A:$A,Input_Raw!$DF:$DF),"")</f>
        <v/>
      </c>
      <c r="N289" s="200" t="str">
        <f>IFERROR(_xlfn.XLOOKUP($A289,Input_Raw!$A:$A,Input_Raw!$DG:$DG),"")</f>
        <v/>
      </c>
      <c r="O289" s="230" t="str">
        <f>IFERROR(1-(SUMIF(Plant_BD!$B:$B,$A289,Plant_BD!$AL:$AL)/($AA289+SUMIF(Plant_BD!$B:$B,$A289,Plant_BD!$AL:$AL))),"")</f>
        <v/>
      </c>
      <c r="P289" s="230"/>
      <c r="Q289" s="231" t="str">
        <f>IFERROR(1-(SUMIF(Grid_BD!$B:$B,$A289,Grid_BD!$V:$V)/($AA289+SUMIF(Grid_BD!$B:$B,$A289,Grid_BD!$V:$V))),"")</f>
        <v/>
      </c>
      <c r="R289" s="230" t="str">
        <f>IFERROR(1-(SUMIF(Grid_BD!$B:$B,$A289,Grid_BD!$V:$V)/($AA289+SUMIF(Grid_BD!$B:$B,$A289,Grid_BD!$V:$V))),"")</f>
        <v/>
      </c>
      <c r="S289" s="9"/>
      <c r="T289" s="231"/>
      <c r="U289" s="232" t="str">
        <f t="shared" si="21"/>
        <v/>
      </c>
      <c r="V289" s="232" t="str">
        <f>IFERROR(_xlfn.XLOOKUP($A289,Input_Raw!$A:$A,Input_Raw!$FG:$FG),"")</f>
        <v/>
      </c>
      <c r="W289" s="233" t="str">
        <f t="shared" si="22"/>
        <v/>
      </c>
      <c r="X289" s="29" t="str">
        <f>IFERROR(_xlfn.XLOOKUP($A289,Input_Raw!$A:$A,Input_Raw!$DP:$DP),"")</f>
        <v/>
      </c>
      <c r="Y289" s="29" t="str">
        <f>IFERROR(_xlfn.XLOOKUP($A289,Input_Raw!$A:$A,Input_Raw!EW:EW),"")</f>
        <v/>
      </c>
      <c r="Z289" s="29" t="str">
        <f>IFERROR(_xlfn.XLOOKUP($A289,Input_Raw!$A:$A,Input_Raw!EX:EX),"")</f>
        <v/>
      </c>
      <c r="AA289" s="29" t="str">
        <f>IFERROR(_xlfn.XLOOKUP($A289,Input_Raw!$A:$A,Input_Raw!FA:FA),"")</f>
        <v/>
      </c>
      <c r="AB289" s="9" t="str">
        <f>IFERROR(_xlfn.XLOOKUP($A289,Input_Raw!$A:$A,Input_Raw!FD:FD),"")</f>
        <v/>
      </c>
      <c r="AC289" s="185">
        <f>IFERROR(_xlfn.XLOOKUP($D289,'Modelling New'!$D:$D,'Modelling New'!P:P),"")</f>
        <v>5.5161290322580649</v>
      </c>
      <c r="AD289" s="29">
        <f>IFERROR(_xlfn.XLOOKUP($D289,'Modelling New'!$D:$D,'Modelling New'!T:T)*1000,"")</f>
        <v>613939.49222257547</v>
      </c>
      <c r="AE289" s="233">
        <f>IFERROR(_xlfn.XLOOKUP($D289,'Modelling New'!$D:$D,'Modelling New'!O:O),"")</f>
        <v>0.85614594057129279</v>
      </c>
      <c r="AF289" s="233">
        <f>IFERROR(_xlfn.XLOOKUP($D289,'Modelling New'!$D:$D,'Modelling New'!W:W),"")</f>
        <v>0.19677547827646649</v>
      </c>
      <c r="AG289" s="233">
        <f>IFERROR(_xlfn.XLOOKUP($D289,'Modelling New'!$D:$D,'Modelling New'!AE:AE),"")</f>
        <v>0.995</v>
      </c>
      <c r="AH289" s="234">
        <f>IFERROR(_xlfn.XLOOKUP($D289,'Modelling New'!$D:$D,'Modelling New'!AF:AF),"")</f>
        <v>0.995</v>
      </c>
      <c r="AI289" s="9"/>
      <c r="AJ289" s="9"/>
      <c r="AK289" s="258"/>
      <c r="AL289" s="258"/>
      <c r="AM289" s="258"/>
      <c r="AN289" s="235"/>
      <c r="AO289" s="233"/>
      <c r="AP289" s="233"/>
      <c r="AQ289" s="233"/>
      <c r="AR289" s="236">
        <f>_xlfn.XLOOKUP(D289,'Modelling New'!$D:$D,'Modelling New'!$N:$N)</f>
        <v>130</v>
      </c>
      <c r="AS289" s="236" t="str">
        <f t="shared" si="23"/>
        <v/>
      </c>
    </row>
    <row r="290" spans="1:45">
      <c r="A290" s="18">
        <f t="shared" si="24"/>
        <v>46033</v>
      </c>
      <c r="B290" s="29">
        <f>YEAR(Table13[[#This Row],[Date]])+IF(MONTH(Table13[[#This Row],[Date]])&gt;=4,1,0)</f>
        <v>2026</v>
      </c>
      <c r="C290" s="9">
        <f>YEAR(Table13[[#This Row],[Date]])</f>
        <v>2026</v>
      </c>
      <c r="D290" s="229">
        <f>Table13[[#This Row],[Date]]-DAY(Table13[[#This Row],[Date]])+1</f>
        <v>46023</v>
      </c>
      <c r="E290" s="9">
        <f t="shared" si="20"/>
        <v>31</v>
      </c>
      <c r="F290" s="199" t="str">
        <f>IFERROR(_xlfn.XLOOKUP($A290,Input_Raw!$A:$A,Input_Raw!$FC:$FC),"")</f>
        <v/>
      </c>
      <c r="G290" s="200" t="str">
        <f>IFERROR(_xlfn.XLOOKUP($A290,Input_Raw!$A:$A,Input_Raw!$CY:$CY),"")</f>
        <v/>
      </c>
      <c r="H290" s="200" t="str">
        <f>IFERROR(_xlfn.XLOOKUP($A290,Input_Raw!$A:$A,Input_Raw!$DA:$DA),"")</f>
        <v/>
      </c>
      <c r="I290" s="200" t="str">
        <f>IFERROR(_xlfn.XLOOKUP($A290,Input_Raw!$A:$A,Input_Raw!$CX:$CX),"")</f>
        <v/>
      </c>
      <c r="J290" s="200" t="str">
        <f>IFERROR(_xlfn.XLOOKUP($A290,Input_Raw!$A:$A,Input_Raw!$CZ:$CZ),"")</f>
        <v/>
      </c>
      <c r="K290" s="201" t="str">
        <f>IFERROR(_xlfn.XLOOKUP($A290,Input_Raw!$A:$A,Input_Raw!$DB:$DB),"")</f>
        <v/>
      </c>
      <c r="L290" s="201" t="str">
        <f>IFERROR(_xlfn.XLOOKUP($A290,Input_Raw!$A:$A,Input_Raw!$DC:$DC),"")</f>
        <v/>
      </c>
      <c r="M290" s="200" t="str">
        <f>IFERROR(_xlfn.XLOOKUP($A290,Input_Raw!$A:$A,Input_Raw!$DF:$DF),"")</f>
        <v/>
      </c>
      <c r="N290" s="200" t="str">
        <f>IFERROR(_xlfn.XLOOKUP($A290,Input_Raw!$A:$A,Input_Raw!$DG:$DG),"")</f>
        <v/>
      </c>
      <c r="O290" s="230" t="str">
        <f>IFERROR(1-(SUMIF(Plant_BD!$B:$B,$A290,Plant_BD!$AL:$AL)/($AA290+SUMIF(Plant_BD!$B:$B,$A290,Plant_BD!$AL:$AL))),"")</f>
        <v/>
      </c>
      <c r="P290" s="230"/>
      <c r="Q290" s="231" t="str">
        <f>IFERROR(1-(SUMIF(Grid_BD!$B:$B,$A290,Grid_BD!$V:$V)/($AA290+SUMIF(Grid_BD!$B:$B,$A290,Grid_BD!$V:$V))),"")</f>
        <v/>
      </c>
      <c r="R290" s="230" t="str">
        <f>IFERROR(1-(SUMIF(Grid_BD!$B:$B,$A290,Grid_BD!$V:$V)/($AA290+SUMIF(Grid_BD!$B:$B,$A290,Grid_BD!$V:$V))),"")</f>
        <v/>
      </c>
      <c r="S290" s="9"/>
      <c r="T290" s="231"/>
      <c r="U290" s="232" t="str">
        <f t="shared" si="21"/>
        <v/>
      </c>
      <c r="V290" s="232" t="str">
        <f>IFERROR(_xlfn.XLOOKUP($A290,Input_Raw!$A:$A,Input_Raw!$FG:$FG),"")</f>
        <v/>
      </c>
      <c r="W290" s="233" t="str">
        <f t="shared" si="22"/>
        <v/>
      </c>
      <c r="X290" s="29" t="str">
        <f>IFERROR(_xlfn.XLOOKUP($A290,Input_Raw!$A:$A,Input_Raw!$DP:$DP),"")</f>
        <v/>
      </c>
      <c r="Y290" s="29" t="str">
        <f>IFERROR(_xlfn.XLOOKUP($A290,Input_Raw!$A:$A,Input_Raw!EW:EW),"")</f>
        <v/>
      </c>
      <c r="Z290" s="29" t="str">
        <f>IFERROR(_xlfn.XLOOKUP($A290,Input_Raw!$A:$A,Input_Raw!EX:EX),"")</f>
        <v/>
      </c>
      <c r="AA290" s="29" t="str">
        <f>IFERROR(_xlfn.XLOOKUP($A290,Input_Raw!$A:$A,Input_Raw!FA:FA),"")</f>
        <v/>
      </c>
      <c r="AB290" s="9" t="str">
        <f>IFERROR(_xlfn.XLOOKUP($A290,Input_Raw!$A:$A,Input_Raw!FD:FD),"")</f>
        <v/>
      </c>
      <c r="AC290" s="185">
        <f>IFERROR(_xlfn.XLOOKUP($D290,'Modelling New'!$D:$D,'Modelling New'!P:P),"")</f>
        <v>5.5161290322580649</v>
      </c>
      <c r="AD290" s="29">
        <f>IFERROR(_xlfn.XLOOKUP($D290,'Modelling New'!$D:$D,'Modelling New'!T:T)*1000,"")</f>
        <v>613939.49222257547</v>
      </c>
      <c r="AE290" s="233">
        <f>IFERROR(_xlfn.XLOOKUP($D290,'Modelling New'!$D:$D,'Modelling New'!O:O),"")</f>
        <v>0.85614594057129279</v>
      </c>
      <c r="AF290" s="233">
        <f>IFERROR(_xlfn.XLOOKUP($D290,'Modelling New'!$D:$D,'Modelling New'!W:W),"")</f>
        <v>0.19677547827646649</v>
      </c>
      <c r="AG290" s="233">
        <f>IFERROR(_xlfn.XLOOKUP($D290,'Modelling New'!$D:$D,'Modelling New'!AE:AE),"")</f>
        <v>0.995</v>
      </c>
      <c r="AH290" s="234">
        <f>IFERROR(_xlfn.XLOOKUP($D290,'Modelling New'!$D:$D,'Modelling New'!AF:AF),"")</f>
        <v>0.995</v>
      </c>
      <c r="AI290" s="9"/>
      <c r="AJ290" s="9"/>
      <c r="AK290" s="258"/>
      <c r="AL290" s="258"/>
      <c r="AM290" s="258"/>
      <c r="AN290" s="235"/>
      <c r="AO290" s="233"/>
      <c r="AP290" s="233"/>
      <c r="AQ290" s="233"/>
      <c r="AR290" s="236">
        <f>_xlfn.XLOOKUP(D290,'Modelling New'!$D:$D,'Modelling New'!$N:$N)</f>
        <v>130</v>
      </c>
      <c r="AS290" s="236" t="str">
        <f t="shared" si="23"/>
        <v/>
      </c>
    </row>
    <row r="291" spans="1:45">
      <c r="A291" s="18">
        <f t="shared" si="24"/>
        <v>46034</v>
      </c>
      <c r="B291" s="29">
        <f>YEAR(Table13[[#This Row],[Date]])+IF(MONTH(Table13[[#This Row],[Date]])&gt;=4,1,0)</f>
        <v>2026</v>
      </c>
      <c r="C291" s="9">
        <f>YEAR(Table13[[#This Row],[Date]])</f>
        <v>2026</v>
      </c>
      <c r="D291" s="229">
        <f>Table13[[#This Row],[Date]]-DAY(Table13[[#This Row],[Date]])+1</f>
        <v>46023</v>
      </c>
      <c r="E291" s="9">
        <f t="shared" si="20"/>
        <v>31</v>
      </c>
      <c r="F291" s="199" t="str">
        <f>IFERROR(_xlfn.XLOOKUP($A291,Input_Raw!$A:$A,Input_Raw!$FC:$FC),"")</f>
        <v/>
      </c>
      <c r="G291" s="185" t="str">
        <f>IFERROR(_xlfn.XLOOKUP($A291,Input_Raw!$A:$A,Input_Raw!$CY:$CY),"")</f>
        <v/>
      </c>
      <c r="H291" s="185" t="str">
        <f>IFERROR(_xlfn.XLOOKUP($A291,Input_Raw!$A:$A,Input_Raw!$DA:$DA),"")</f>
        <v/>
      </c>
      <c r="I291" s="185" t="str">
        <f>IFERROR(_xlfn.XLOOKUP($A291,Input_Raw!$A:$A,Input_Raw!$CX:$CX),"")</f>
        <v/>
      </c>
      <c r="J291" s="185" t="str">
        <f>IFERROR(_xlfn.XLOOKUP($A291,Input_Raw!$A:$A,Input_Raw!$CZ:$CZ),"")</f>
        <v/>
      </c>
      <c r="K291" s="201" t="str">
        <f>IFERROR(_xlfn.XLOOKUP($A291,Input_Raw!$A:$A,Input_Raw!$DB:$DB),"")</f>
        <v/>
      </c>
      <c r="L291" s="201" t="str">
        <f>IFERROR(_xlfn.XLOOKUP($A291,Input_Raw!$A:$A,Input_Raw!$DC:$DC),"")</f>
        <v/>
      </c>
      <c r="M291" s="200" t="str">
        <f>IFERROR(_xlfn.XLOOKUP($A291,Input_Raw!$A:$A,Input_Raw!$DF:$DF),"")</f>
        <v/>
      </c>
      <c r="N291" s="200" t="str">
        <f>IFERROR(_xlfn.XLOOKUP($A291,Input_Raw!$A:$A,Input_Raw!$DG:$DG),"")</f>
        <v/>
      </c>
      <c r="O291" s="230" t="str">
        <f>IFERROR(1-(SUMIF(Plant_BD!$B:$B,$A291,Plant_BD!$AL:$AL)/($AA291+SUMIF(Plant_BD!$B:$B,$A291,Plant_BD!$AL:$AL))),"")</f>
        <v/>
      </c>
      <c r="P291" s="230"/>
      <c r="Q291" s="231" t="str">
        <f>IFERROR(1-(SUMIF(Grid_BD!$B:$B,$A291,Grid_BD!$V:$V)/($AA291+SUMIF(Grid_BD!$B:$B,$A291,Grid_BD!$V:$V))),"")</f>
        <v/>
      </c>
      <c r="R291" s="230" t="str">
        <f>IFERROR(1-(SUMIF(Grid_BD!$B:$B,$A291,Grid_BD!$V:$V)/($AA291+SUMIF(Grid_BD!$B:$B,$A291,Grid_BD!$V:$V))),"")</f>
        <v/>
      </c>
      <c r="S291" s="9"/>
      <c r="T291" s="231"/>
      <c r="U291" s="232" t="str">
        <f t="shared" si="21"/>
        <v/>
      </c>
      <c r="V291" s="232" t="str">
        <f>IFERROR(_xlfn.XLOOKUP($A291,Input_Raw!$A:$A,Input_Raw!$FG:$FG),"")</f>
        <v/>
      </c>
      <c r="W291" s="233" t="str">
        <f t="shared" si="22"/>
        <v/>
      </c>
      <c r="X291" s="29" t="str">
        <f>IFERROR(_xlfn.XLOOKUP($A291,Input_Raw!$A:$A,Input_Raw!$DP:$DP),"")</f>
        <v/>
      </c>
      <c r="Y291" s="29" t="str">
        <f>IFERROR(_xlfn.XLOOKUP($A291,Input_Raw!$A:$A,Input_Raw!EW:EW),"")</f>
        <v/>
      </c>
      <c r="Z291" s="29" t="str">
        <f>IFERROR(_xlfn.XLOOKUP($A291,Input_Raw!$A:$A,Input_Raw!EX:EX),"")</f>
        <v/>
      </c>
      <c r="AA291" s="29" t="str">
        <f>IFERROR(_xlfn.XLOOKUP($A291,Input_Raw!$A:$A,Input_Raw!FA:FA),"")</f>
        <v/>
      </c>
      <c r="AB291" s="9" t="str">
        <f>IFERROR(_xlfn.XLOOKUP($A291,Input_Raw!$A:$A,Input_Raw!FD:FD),"")</f>
        <v/>
      </c>
      <c r="AC291" s="185">
        <f>IFERROR(_xlfn.XLOOKUP($D291,'Modelling New'!$D:$D,'Modelling New'!P:P),"")</f>
        <v>5.5161290322580649</v>
      </c>
      <c r="AD291" s="29">
        <f>IFERROR(_xlfn.XLOOKUP($D291,'Modelling New'!$D:$D,'Modelling New'!T:T)*1000,"")</f>
        <v>613939.49222257547</v>
      </c>
      <c r="AE291" s="233">
        <f>IFERROR(_xlfn.XLOOKUP($D291,'Modelling New'!$D:$D,'Modelling New'!O:O),"")</f>
        <v>0.85614594057129279</v>
      </c>
      <c r="AF291" s="233">
        <f>IFERROR(_xlfn.XLOOKUP($D291,'Modelling New'!$D:$D,'Modelling New'!W:W),"")</f>
        <v>0.19677547827646649</v>
      </c>
      <c r="AG291" s="233">
        <f>IFERROR(_xlfn.XLOOKUP($D291,'Modelling New'!$D:$D,'Modelling New'!AE:AE),"")</f>
        <v>0.995</v>
      </c>
      <c r="AH291" s="234">
        <f>IFERROR(_xlfn.XLOOKUP($D291,'Modelling New'!$D:$D,'Modelling New'!AF:AF),"")</f>
        <v>0.995</v>
      </c>
      <c r="AI291" s="9"/>
      <c r="AJ291" s="9"/>
      <c r="AK291" s="258"/>
      <c r="AL291" s="258"/>
      <c r="AM291" s="258"/>
      <c r="AN291" s="235"/>
      <c r="AO291" s="233"/>
      <c r="AP291" s="233"/>
      <c r="AQ291" s="233"/>
      <c r="AR291" s="236">
        <f>_xlfn.XLOOKUP(D291,'Modelling New'!$D:$D,'Modelling New'!$N:$N)</f>
        <v>130</v>
      </c>
      <c r="AS291" s="236" t="str">
        <f t="shared" si="23"/>
        <v/>
      </c>
    </row>
    <row r="292" spans="1:45">
      <c r="A292" s="18">
        <f t="shared" si="24"/>
        <v>46035</v>
      </c>
      <c r="B292" s="29">
        <f>YEAR(Table13[[#This Row],[Date]])+IF(MONTH(Table13[[#This Row],[Date]])&gt;=4,1,0)</f>
        <v>2026</v>
      </c>
      <c r="C292" s="9">
        <f>YEAR(Table13[[#This Row],[Date]])</f>
        <v>2026</v>
      </c>
      <c r="D292" s="229">
        <f>Table13[[#This Row],[Date]]-DAY(Table13[[#This Row],[Date]])+1</f>
        <v>46023</v>
      </c>
      <c r="E292" s="9">
        <f t="shared" si="20"/>
        <v>31</v>
      </c>
      <c r="F292" s="199" t="str">
        <f>IFERROR(_xlfn.XLOOKUP($A292,Input_Raw!$A:$A,Input_Raw!$FC:$FC),"")</f>
        <v/>
      </c>
      <c r="G292" s="200" t="str">
        <f>IFERROR(_xlfn.XLOOKUP($A292,Input_Raw!$A:$A,Input_Raw!$CY:$CY),"")</f>
        <v/>
      </c>
      <c r="H292" s="200" t="str">
        <f>IFERROR(_xlfn.XLOOKUP($A292,Input_Raw!$A:$A,Input_Raw!$DA:$DA),"")</f>
        <v/>
      </c>
      <c r="I292" s="200" t="str">
        <f>IFERROR(_xlfn.XLOOKUP($A292,Input_Raw!$A:$A,Input_Raw!$CX:$CX),"")</f>
        <v/>
      </c>
      <c r="J292" s="200" t="str">
        <f>IFERROR(_xlfn.XLOOKUP($A292,Input_Raw!$A:$A,Input_Raw!$CZ:$CZ),"")</f>
        <v/>
      </c>
      <c r="K292" s="201" t="str">
        <f>IFERROR(_xlfn.XLOOKUP($A292,Input_Raw!$A:$A,Input_Raw!$DB:$DB),"")</f>
        <v/>
      </c>
      <c r="L292" s="201" t="str">
        <f>IFERROR(_xlfn.XLOOKUP($A292,Input_Raw!$A:$A,Input_Raw!$DC:$DC),"")</f>
        <v/>
      </c>
      <c r="M292" s="200" t="str">
        <f>IFERROR(_xlfn.XLOOKUP($A292,Input_Raw!$A:$A,Input_Raw!$DF:$DF),"")</f>
        <v/>
      </c>
      <c r="N292" s="200" t="str">
        <f>IFERROR(_xlfn.XLOOKUP($A292,Input_Raw!$A:$A,Input_Raw!$DG:$DG),"")</f>
        <v/>
      </c>
      <c r="O292" s="230" t="str">
        <f>IFERROR(1-(SUMIF(Plant_BD!$B:$B,$A292,Plant_BD!$AL:$AL)/($AA292+SUMIF(Plant_BD!$B:$B,$A292,Plant_BD!$AL:$AL))),"")</f>
        <v/>
      </c>
      <c r="P292" s="230"/>
      <c r="Q292" s="231" t="str">
        <f>IFERROR(1-(SUMIF(Grid_BD!$B:$B,$A292,Grid_BD!$V:$V)/($AA292+SUMIF(Grid_BD!$B:$B,$A292,Grid_BD!$V:$V))),"")</f>
        <v/>
      </c>
      <c r="R292" s="230" t="str">
        <f>IFERROR(1-(SUMIF(Grid_BD!$B:$B,$A292,Grid_BD!$V:$V)/($AA292+SUMIF(Grid_BD!$B:$B,$A292,Grid_BD!$V:$V))),"")</f>
        <v/>
      </c>
      <c r="S292" s="9"/>
      <c r="T292" s="231"/>
      <c r="U292" s="232" t="str">
        <f t="shared" si="21"/>
        <v/>
      </c>
      <c r="V292" s="232" t="str">
        <f>IFERROR(_xlfn.XLOOKUP($A292,Input_Raw!$A:$A,Input_Raw!$FG:$FG),"")</f>
        <v/>
      </c>
      <c r="W292" s="233" t="str">
        <f t="shared" si="22"/>
        <v/>
      </c>
      <c r="X292" s="29" t="str">
        <f>IFERROR(_xlfn.XLOOKUP($A292,Input_Raw!$A:$A,Input_Raw!$DP:$DP),"")</f>
        <v/>
      </c>
      <c r="Y292" s="29" t="str">
        <f>IFERROR(_xlfn.XLOOKUP($A292,Input_Raw!$A:$A,Input_Raw!EW:EW),"")</f>
        <v/>
      </c>
      <c r="Z292" s="29" t="str">
        <f>IFERROR(_xlfn.XLOOKUP($A292,Input_Raw!$A:$A,Input_Raw!EX:EX),"")</f>
        <v/>
      </c>
      <c r="AA292" s="29" t="str">
        <f>IFERROR(_xlfn.XLOOKUP($A292,Input_Raw!$A:$A,Input_Raw!FA:FA),"")</f>
        <v/>
      </c>
      <c r="AB292" s="9" t="str">
        <f>IFERROR(_xlfn.XLOOKUP($A292,Input_Raw!$A:$A,Input_Raw!FD:FD),"")</f>
        <v/>
      </c>
      <c r="AC292" s="185">
        <f>IFERROR(_xlfn.XLOOKUP($D292,'Modelling New'!$D:$D,'Modelling New'!P:P),"")</f>
        <v>5.5161290322580649</v>
      </c>
      <c r="AD292" s="29">
        <f>IFERROR(_xlfn.XLOOKUP($D292,'Modelling New'!$D:$D,'Modelling New'!T:T)*1000,"")</f>
        <v>613939.49222257547</v>
      </c>
      <c r="AE292" s="233">
        <f>IFERROR(_xlfn.XLOOKUP($D292,'Modelling New'!$D:$D,'Modelling New'!O:O),"")</f>
        <v>0.85614594057129279</v>
      </c>
      <c r="AF292" s="233">
        <f>IFERROR(_xlfn.XLOOKUP($D292,'Modelling New'!$D:$D,'Modelling New'!W:W),"")</f>
        <v>0.19677547827646649</v>
      </c>
      <c r="AG292" s="233">
        <f>IFERROR(_xlfn.XLOOKUP($D292,'Modelling New'!$D:$D,'Modelling New'!AE:AE),"")</f>
        <v>0.995</v>
      </c>
      <c r="AH292" s="234">
        <f>IFERROR(_xlfn.XLOOKUP($D292,'Modelling New'!$D:$D,'Modelling New'!AF:AF),"")</f>
        <v>0.995</v>
      </c>
      <c r="AI292" s="9"/>
      <c r="AJ292" s="9"/>
      <c r="AK292" s="258"/>
      <c r="AL292" s="258"/>
      <c r="AM292" s="258"/>
      <c r="AN292" s="235"/>
      <c r="AO292" s="233"/>
      <c r="AP292" s="233"/>
      <c r="AQ292" s="233"/>
      <c r="AR292" s="236">
        <f>_xlfn.XLOOKUP(D292,'Modelling New'!$D:$D,'Modelling New'!$N:$N)</f>
        <v>130</v>
      </c>
      <c r="AS292" s="236" t="str">
        <f t="shared" si="23"/>
        <v/>
      </c>
    </row>
    <row r="293" spans="1:45">
      <c r="A293" s="18">
        <f t="shared" si="24"/>
        <v>46036</v>
      </c>
      <c r="B293" s="29">
        <f>YEAR(Table13[[#This Row],[Date]])+IF(MONTH(Table13[[#This Row],[Date]])&gt;=4,1,0)</f>
        <v>2026</v>
      </c>
      <c r="C293" s="9">
        <f>YEAR(Table13[[#This Row],[Date]])</f>
        <v>2026</v>
      </c>
      <c r="D293" s="229">
        <f>Table13[[#This Row],[Date]]-DAY(Table13[[#This Row],[Date]])+1</f>
        <v>46023</v>
      </c>
      <c r="E293" s="9">
        <f t="shared" si="20"/>
        <v>31</v>
      </c>
      <c r="F293" s="199" t="str">
        <f>IFERROR(_xlfn.XLOOKUP($A293,Input_Raw!$A:$A,Input_Raw!$FC:$FC),"")</f>
        <v/>
      </c>
      <c r="G293" s="185" t="str">
        <f>IFERROR(_xlfn.XLOOKUP($A293,Input_Raw!$A:$A,Input_Raw!$CY:$CY),"")</f>
        <v/>
      </c>
      <c r="H293" s="185" t="str">
        <f>IFERROR(_xlfn.XLOOKUP($A293,Input_Raw!$A:$A,Input_Raw!$DA:$DA),"")</f>
        <v/>
      </c>
      <c r="I293" s="185" t="str">
        <f>IFERROR(_xlfn.XLOOKUP($A293,Input_Raw!$A:$A,Input_Raw!$CX:$CX),"")</f>
        <v/>
      </c>
      <c r="J293" s="185" t="str">
        <f>IFERROR(_xlfn.XLOOKUP($A293,Input_Raw!$A:$A,Input_Raw!$CZ:$CZ),"")</f>
        <v/>
      </c>
      <c r="K293" s="201" t="str">
        <f>IFERROR(_xlfn.XLOOKUP($A293,Input_Raw!$A:$A,Input_Raw!$DB:$DB),"")</f>
        <v/>
      </c>
      <c r="L293" s="201" t="str">
        <f>IFERROR(_xlfn.XLOOKUP($A293,Input_Raw!$A:$A,Input_Raw!$DC:$DC),"")</f>
        <v/>
      </c>
      <c r="M293" s="200" t="str">
        <f>IFERROR(_xlfn.XLOOKUP($A293,Input_Raw!$A:$A,Input_Raw!$DF:$DF),"")</f>
        <v/>
      </c>
      <c r="N293" s="200" t="str">
        <f>IFERROR(_xlfn.XLOOKUP($A293,Input_Raw!$A:$A,Input_Raw!$DG:$DG),"")</f>
        <v/>
      </c>
      <c r="O293" s="230" t="str">
        <f>IFERROR(1-(SUMIF(Plant_BD!$B:$B,$A293,Plant_BD!$AL:$AL)/($AA293+SUMIF(Plant_BD!$B:$B,$A293,Plant_BD!$AL:$AL))),"")</f>
        <v/>
      </c>
      <c r="P293" s="230"/>
      <c r="Q293" s="231" t="str">
        <f>IFERROR(1-(SUMIF(Grid_BD!$B:$B,$A293,Grid_BD!$V:$V)/($AA293+SUMIF(Grid_BD!$B:$B,$A293,Grid_BD!$V:$V))),"")</f>
        <v/>
      </c>
      <c r="R293" s="230" t="str">
        <f>IFERROR(1-(SUMIF(Grid_BD!$B:$B,$A293,Grid_BD!$V:$V)/($AA293+SUMIF(Grid_BD!$B:$B,$A293,Grid_BD!$V:$V))),"")</f>
        <v/>
      </c>
      <c r="S293" s="9"/>
      <c r="T293" s="231"/>
      <c r="U293" s="232" t="str">
        <f t="shared" si="21"/>
        <v/>
      </c>
      <c r="V293" s="232" t="str">
        <f>IFERROR(_xlfn.XLOOKUP($A293,Input_Raw!$A:$A,Input_Raw!$FG:$FG),"")</f>
        <v/>
      </c>
      <c r="W293" s="233" t="str">
        <f t="shared" si="22"/>
        <v/>
      </c>
      <c r="X293" s="29" t="str">
        <f>IFERROR(_xlfn.XLOOKUP($A293,Input_Raw!$A:$A,Input_Raw!$DP:$DP),"")</f>
        <v/>
      </c>
      <c r="Y293" s="29" t="str">
        <f>IFERROR(_xlfn.XLOOKUP($A293,Input_Raw!$A:$A,Input_Raw!EW:EW),"")</f>
        <v/>
      </c>
      <c r="Z293" s="29" t="str">
        <f>IFERROR(_xlfn.XLOOKUP($A293,Input_Raw!$A:$A,Input_Raw!EX:EX),"")</f>
        <v/>
      </c>
      <c r="AA293" s="29" t="str">
        <f>IFERROR(_xlfn.XLOOKUP($A293,Input_Raw!$A:$A,Input_Raw!FA:FA),"")</f>
        <v/>
      </c>
      <c r="AB293" s="9" t="str">
        <f>IFERROR(_xlfn.XLOOKUP($A293,Input_Raw!$A:$A,Input_Raw!FD:FD),"")</f>
        <v/>
      </c>
      <c r="AC293" s="185">
        <f>IFERROR(_xlfn.XLOOKUP($D293,'Modelling New'!$D:$D,'Modelling New'!P:P),"")</f>
        <v>5.5161290322580649</v>
      </c>
      <c r="AD293" s="29">
        <f>IFERROR(_xlfn.XLOOKUP($D293,'Modelling New'!$D:$D,'Modelling New'!T:T)*1000,"")</f>
        <v>613939.49222257547</v>
      </c>
      <c r="AE293" s="233">
        <f>IFERROR(_xlfn.XLOOKUP($D293,'Modelling New'!$D:$D,'Modelling New'!O:O),"")</f>
        <v>0.85614594057129279</v>
      </c>
      <c r="AF293" s="233">
        <f>IFERROR(_xlfn.XLOOKUP($D293,'Modelling New'!$D:$D,'Modelling New'!W:W),"")</f>
        <v>0.19677547827646649</v>
      </c>
      <c r="AG293" s="233">
        <f>IFERROR(_xlfn.XLOOKUP($D293,'Modelling New'!$D:$D,'Modelling New'!AE:AE),"")</f>
        <v>0.995</v>
      </c>
      <c r="AH293" s="234">
        <f>IFERROR(_xlfn.XLOOKUP($D293,'Modelling New'!$D:$D,'Modelling New'!AF:AF),"")</f>
        <v>0.995</v>
      </c>
      <c r="AI293" s="9"/>
      <c r="AJ293" s="9"/>
      <c r="AK293" s="258"/>
      <c r="AL293" s="258"/>
      <c r="AM293" s="258"/>
      <c r="AN293" s="235"/>
      <c r="AO293" s="233"/>
      <c r="AP293" s="233"/>
      <c r="AQ293" s="233"/>
      <c r="AR293" s="236">
        <f>_xlfn.XLOOKUP(D293,'Modelling New'!$D:$D,'Modelling New'!$N:$N)</f>
        <v>130</v>
      </c>
      <c r="AS293" s="236" t="str">
        <f t="shared" si="23"/>
        <v/>
      </c>
    </row>
    <row r="294" spans="1:45">
      <c r="A294" s="18">
        <f t="shared" si="24"/>
        <v>46037</v>
      </c>
      <c r="B294" s="29">
        <f>YEAR(Table13[[#This Row],[Date]])+IF(MONTH(Table13[[#This Row],[Date]])&gt;=4,1,0)</f>
        <v>2026</v>
      </c>
      <c r="C294" s="9">
        <f>YEAR(Table13[[#This Row],[Date]])</f>
        <v>2026</v>
      </c>
      <c r="D294" s="229">
        <f>Table13[[#This Row],[Date]]-DAY(Table13[[#This Row],[Date]])+1</f>
        <v>46023</v>
      </c>
      <c r="E294" s="9">
        <f t="shared" si="20"/>
        <v>31</v>
      </c>
      <c r="F294" s="199" t="str">
        <f>IFERROR(_xlfn.XLOOKUP($A294,Input_Raw!$A:$A,Input_Raw!$FC:$FC),"")</f>
        <v/>
      </c>
      <c r="G294" s="200" t="str">
        <f>IFERROR(_xlfn.XLOOKUP($A294,Input_Raw!$A:$A,Input_Raw!$CY:$CY),"")</f>
        <v/>
      </c>
      <c r="H294" s="200" t="str">
        <f>IFERROR(_xlfn.XLOOKUP($A294,Input_Raw!$A:$A,Input_Raw!$DA:$DA),"")</f>
        <v/>
      </c>
      <c r="I294" s="200" t="str">
        <f>IFERROR(_xlfn.XLOOKUP($A294,Input_Raw!$A:$A,Input_Raw!$CX:$CX),"")</f>
        <v/>
      </c>
      <c r="J294" s="200" t="str">
        <f>IFERROR(_xlfn.XLOOKUP($A294,Input_Raw!$A:$A,Input_Raw!$CZ:$CZ),"")</f>
        <v/>
      </c>
      <c r="K294" s="201" t="str">
        <f>IFERROR(_xlfn.XLOOKUP($A294,Input_Raw!$A:$A,Input_Raw!$DB:$DB),"")</f>
        <v/>
      </c>
      <c r="L294" s="201" t="str">
        <f>IFERROR(_xlfn.XLOOKUP($A294,Input_Raw!$A:$A,Input_Raw!$DC:$DC),"")</f>
        <v/>
      </c>
      <c r="M294" s="200" t="str">
        <f>IFERROR(_xlfn.XLOOKUP($A294,Input_Raw!$A:$A,Input_Raw!$DF:$DF),"")</f>
        <v/>
      </c>
      <c r="N294" s="200" t="str">
        <f>IFERROR(_xlfn.XLOOKUP($A294,Input_Raw!$A:$A,Input_Raw!$DG:$DG),"")</f>
        <v/>
      </c>
      <c r="O294" s="230" t="str">
        <f>IFERROR(1-(SUMIF(Plant_BD!$B:$B,$A294,Plant_BD!$AL:$AL)/($AA294+SUMIF(Plant_BD!$B:$B,$A294,Plant_BD!$AL:$AL))),"")</f>
        <v/>
      </c>
      <c r="P294" s="230"/>
      <c r="Q294" s="231" t="str">
        <f>IFERROR(1-(SUMIF(Grid_BD!$B:$B,$A294,Grid_BD!$V:$V)/($AA294+SUMIF(Grid_BD!$B:$B,$A294,Grid_BD!$V:$V))),"")</f>
        <v/>
      </c>
      <c r="R294" s="230" t="str">
        <f>IFERROR(1-(SUMIF(Grid_BD!$B:$B,$A294,Grid_BD!$V:$V)/($AA294+SUMIF(Grid_BD!$B:$B,$A294,Grid_BD!$V:$V))),"")</f>
        <v/>
      </c>
      <c r="S294" s="9"/>
      <c r="T294" s="231"/>
      <c r="U294" s="232" t="str">
        <f t="shared" si="21"/>
        <v/>
      </c>
      <c r="V294" s="232" t="str">
        <f>IFERROR(_xlfn.XLOOKUP($A294,Input_Raw!$A:$A,Input_Raw!$FG:$FG),"")</f>
        <v/>
      </c>
      <c r="W294" s="233" t="str">
        <f t="shared" si="22"/>
        <v/>
      </c>
      <c r="X294" s="29" t="str">
        <f>IFERROR(_xlfn.XLOOKUP($A294,Input_Raw!$A:$A,Input_Raw!$DP:$DP),"")</f>
        <v/>
      </c>
      <c r="Y294" s="29" t="str">
        <f>IFERROR(_xlfn.XLOOKUP($A294,Input_Raw!$A:$A,Input_Raw!EW:EW),"")</f>
        <v/>
      </c>
      <c r="Z294" s="29" t="str">
        <f>IFERROR(_xlfn.XLOOKUP($A294,Input_Raw!$A:$A,Input_Raw!EX:EX),"")</f>
        <v/>
      </c>
      <c r="AA294" s="29" t="str">
        <f>IFERROR(_xlfn.XLOOKUP($A294,Input_Raw!$A:$A,Input_Raw!FA:FA),"")</f>
        <v/>
      </c>
      <c r="AB294" s="9" t="str">
        <f>IFERROR(_xlfn.XLOOKUP($A294,Input_Raw!$A:$A,Input_Raw!FD:FD),"")</f>
        <v/>
      </c>
      <c r="AC294" s="185">
        <f>IFERROR(_xlfn.XLOOKUP($D294,'Modelling New'!$D:$D,'Modelling New'!P:P),"")</f>
        <v>5.5161290322580649</v>
      </c>
      <c r="AD294" s="29">
        <f>IFERROR(_xlfn.XLOOKUP($D294,'Modelling New'!$D:$D,'Modelling New'!T:T)*1000,"")</f>
        <v>613939.49222257547</v>
      </c>
      <c r="AE294" s="233">
        <f>IFERROR(_xlfn.XLOOKUP($D294,'Modelling New'!$D:$D,'Modelling New'!O:O),"")</f>
        <v>0.85614594057129279</v>
      </c>
      <c r="AF294" s="233">
        <f>IFERROR(_xlfn.XLOOKUP($D294,'Modelling New'!$D:$D,'Modelling New'!W:W),"")</f>
        <v>0.19677547827646649</v>
      </c>
      <c r="AG294" s="233">
        <f>IFERROR(_xlfn.XLOOKUP($D294,'Modelling New'!$D:$D,'Modelling New'!AE:AE),"")</f>
        <v>0.995</v>
      </c>
      <c r="AH294" s="234">
        <f>IFERROR(_xlfn.XLOOKUP($D294,'Modelling New'!$D:$D,'Modelling New'!AF:AF),"")</f>
        <v>0.995</v>
      </c>
      <c r="AI294" s="9"/>
      <c r="AJ294" s="9"/>
      <c r="AK294" s="258"/>
      <c r="AL294" s="258"/>
      <c r="AM294" s="258"/>
      <c r="AN294" s="235"/>
      <c r="AO294" s="233"/>
      <c r="AP294" s="233"/>
      <c r="AQ294" s="233"/>
      <c r="AR294" s="236">
        <f>_xlfn.XLOOKUP(D294,'Modelling New'!$D:$D,'Modelling New'!$N:$N)</f>
        <v>130</v>
      </c>
      <c r="AS294" s="236" t="str">
        <f t="shared" si="23"/>
        <v/>
      </c>
    </row>
    <row r="295" spans="1:45">
      <c r="A295" s="18">
        <f t="shared" si="24"/>
        <v>46038</v>
      </c>
      <c r="B295" s="29">
        <f>YEAR(Table13[[#This Row],[Date]])+IF(MONTH(Table13[[#This Row],[Date]])&gt;=4,1,0)</f>
        <v>2026</v>
      </c>
      <c r="C295" s="9">
        <f>YEAR(Table13[[#This Row],[Date]])</f>
        <v>2026</v>
      </c>
      <c r="D295" s="229">
        <f>Table13[[#This Row],[Date]]-DAY(Table13[[#This Row],[Date]])+1</f>
        <v>46023</v>
      </c>
      <c r="E295" s="9">
        <f t="shared" si="20"/>
        <v>31</v>
      </c>
      <c r="F295" s="199" t="str">
        <f>IFERROR(_xlfn.XLOOKUP($A295,Input_Raw!$A:$A,Input_Raw!$FC:$FC),"")</f>
        <v/>
      </c>
      <c r="G295" s="185" t="str">
        <f>IFERROR(_xlfn.XLOOKUP($A295,Input_Raw!$A:$A,Input_Raw!$CY:$CY),"")</f>
        <v/>
      </c>
      <c r="H295" s="185" t="str">
        <f>IFERROR(_xlfn.XLOOKUP($A295,Input_Raw!$A:$A,Input_Raw!$DA:$DA),"")</f>
        <v/>
      </c>
      <c r="I295" s="185" t="str">
        <f>IFERROR(_xlfn.XLOOKUP($A295,Input_Raw!$A:$A,Input_Raw!$CX:$CX),"")</f>
        <v/>
      </c>
      <c r="J295" s="185" t="str">
        <f>IFERROR(_xlfn.XLOOKUP($A295,Input_Raw!$A:$A,Input_Raw!$CZ:$CZ),"")</f>
        <v/>
      </c>
      <c r="K295" s="201" t="str">
        <f>IFERROR(_xlfn.XLOOKUP($A295,Input_Raw!$A:$A,Input_Raw!$DB:$DB),"")</f>
        <v/>
      </c>
      <c r="L295" s="201" t="str">
        <f>IFERROR(_xlfn.XLOOKUP($A295,Input_Raw!$A:$A,Input_Raw!$DC:$DC),"")</f>
        <v/>
      </c>
      <c r="M295" s="200" t="str">
        <f>IFERROR(_xlfn.XLOOKUP($A295,Input_Raw!$A:$A,Input_Raw!$DF:$DF),"")</f>
        <v/>
      </c>
      <c r="N295" s="200" t="str">
        <f>IFERROR(_xlfn.XLOOKUP($A295,Input_Raw!$A:$A,Input_Raw!$DG:$DG),"")</f>
        <v/>
      </c>
      <c r="O295" s="230" t="str">
        <f>IFERROR(1-(SUMIF(Plant_BD!$B:$B,$A295,Plant_BD!$AL:$AL)/($AA295+SUMIF(Plant_BD!$B:$B,$A295,Plant_BD!$AL:$AL))),"")</f>
        <v/>
      </c>
      <c r="P295" s="230"/>
      <c r="Q295" s="231" t="str">
        <f>IFERROR(1-(SUMIF(Grid_BD!$B:$B,$A295,Grid_BD!$V:$V)/($AA295+SUMIF(Grid_BD!$B:$B,$A295,Grid_BD!$V:$V))),"")</f>
        <v/>
      </c>
      <c r="R295" s="230" t="str">
        <f>IFERROR(1-(SUMIF(Grid_BD!$B:$B,$A295,Grid_BD!$V:$V)/($AA295+SUMIF(Grid_BD!$B:$B,$A295,Grid_BD!$V:$V))),"")</f>
        <v/>
      </c>
      <c r="S295" s="9"/>
      <c r="T295" s="231"/>
      <c r="U295" s="232" t="str">
        <f t="shared" si="21"/>
        <v/>
      </c>
      <c r="V295" s="232" t="str">
        <f>IFERROR(_xlfn.XLOOKUP($A295,Input_Raw!$A:$A,Input_Raw!$FG:$FG),"")</f>
        <v/>
      </c>
      <c r="W295" s="233" t="str">
        <f t="shared" si="22"/>
        <v/>
      </c>
      <c r="X295" s="29" t="str">
        <f>IFERROR(_xlfn.XLOOKUP($A295,Input_Raw!$A:$A,Input_Raw!$DP:$DP),"")</f>
        <v/>
      </c>
      <c r="Y295" s="29" t="str">
        <f>IFERROR(_xlfn.XLOOKUP($A295,Input_Raw!$A:$A,Input_Raw!EW:EW),"")</f>
        <v/>
      </c>
      <c r="Z295" s="29" t="str">
        <f>IFERROR(_xlfn.XLOOKUP($A295,Input_Raw!$A:$A,Input_Raw!EX:EX),"")</f>
        <v/>
      </c>
      <c r="AA295" s="29" t="str">
        <f>IFERROR(_xlfn.XLOOKUP($A295,Input_Raw!$A:$A,Input_Raw!FA:FA),"")</f>
        <v/>
      </c>
      <c r="AB295" s="9" t="str">
        <f>IFERROR(_xlfn.XLOOKUP($A295,Input_Raw!$A:$A,Input_Raw!FD:FD),"")</f>
        <v/>
      </c>
      <c r="AC295" s="185">
        <f>IFERROR(_xlfn.XLOOKUP($D295,'Modelling New'!$D:$D,'Modelling New'!P:P),"")</f>
        <v>5.5161290322580649</v>
      </c>
      <c r="AD295" s="29">
        <f>IFERROR(_xlfn.XLOOKUP($D295,'Modelling New'!$D:$D,'Modelling New'!T:T)*1000,"")</f>
        <v>613939.49222257547</v>
      </c>
      <c r="AE295" s="233">
        <f>IFERROR(_xlfn.XLOOKUP($D295,'Modelling New'!$D:$D,'Modelling New'!O:O),"")</f>
        <v>0.85614594057129279</v>
      </c>
      <c r="AF295" s="233">
        <f>IFERROR(_xlfn.XLOOKUP($D295,'Modelling New'!$D:$D,'Modelling New'!W:W),"")</f>
        <v>0.19677547827646649</v>
      </c>
      <c r="AG295" s="233">
        <f>IFERROR(_xlfn.XLOOKUP($D295,'Modelling New'!$D:$D,'Modelling New'!AE:AE),"")</f>
        <v>0.995</v>
      </c>
      <c r="AH295" s="234">
        <f>IFERROR(_xlfn.XLOOKUP($D295,'Modelling New'!$D:$D,'Modelling New'!AF:AF),"")</f>
        <v>0.995</v>
      </c>
      <c r="AI295" s="9"/>
      <c r="AJ295" s="9"/>
      <c r="AK295" s="258"/>
      <c r="AL295" s="258"/>
      <c r="AM295" s="258"/>
      <c r="AN295" s="235"/>
      <c r="AO295" s="233"/>
      <c r="AP295" s="233"/>
      <c r="AQ295" s="233"/>
      <c r="AR295" s="236">
        <f>_xlfn.XLOOKUP(D295,'Modelling New'!$D:$D,'Modelling New'!$N:$N)</f>
        <v>130</v>
      </c>
      <c r="AS295" s="236" t="str">
        <f t="shared" si="23"/>
        <v/>
      </c>
    </row>
    <row r="296" spans="1:45">
      <c r="A296" s="18">
        <f t="shared" si="24"/>
        <v>46039</v>
      </c>
      <c r="B296" s="29">
        <f>YEAR(Table13[[#This Row],[Date]])+IF(MONTH(Table13[[#This Row],[Date]])&gt;=4,1,0)</f>
        <v>2026</v>
      </c>
      <c r="C296" s="9">
        <f>YEAR(Table13[[#This Row],[Date]])</f>
        <v>2026</v>
      </c>
      <c r="D296" s="229">
        <f>Table13[[#This Row],[Date]]-DAY(Table13[[#This Row],[Date]])+1</f>
        <v>46023</v>
      </c>
      <c r="E296" s="9">
        <f t="shared" ref="E296:E359" si="25">DAY(EOMONTH(A296,0))</f>
        <v>31</v>
      </c>
      <c r="F296" s="199" t="str">
        <f>IFERROR(_xlfn.XLOOKUP($A296,Input_Raw!$A:$A,Input_Raw!$FC:$FC),"")</f>
        <v/>
      </c>
      <c r="G296" s="200" t="str">
        <f>IFERROR(_xlfn.XLOOKUP($A296,Input_Raw!$A:$A,Input_Raw!$CY:$CY),"")</f>
        <v/>
      </c>
      <c r="H296" s="200" t="str">
        <f>IFERROR(_xlfn.XLOOKUP($A296,Input_Raw!$A:$A,Input_Raw!$DA:$DA),"")</f>
        <v/>
      </c>
      <c r="I296" s="200" t="str">
        <f>IFERROR(_xlfn.XLOOKUP($A296,Input_Raw!$A:$A,Input_Raw!$CX:$CX),"")</f>
        <v/>
      </c>
      <c r="J296" s="200" t="str">
        <f>IFERROR(_xlfn.XLOOKUP($A296,Input_Raw!$A:$A,Input_Raw!$CZ:$CZ),"")</f>
        <v/>
      </c>
      <c r="K296" s="201" t="str">
        <f>IFERROR(_xlfn.XLOOKUP($A296,Input_Raw!$A:$A,Input_Raw!$DB:$DB),"")</f>
        <v/>
      </c>
      <c r="L296" s="201" t="str">
        <f>IFERROR(_xlfn.XLOOKUP($A296,Input_Raw!$A:$A,Input_Raw!$DC:$DC),"")</f>
        <v/>
      </c>
      <c r="M296" s="200" t="str">
        <f>IFERROR(_xlfn.XLOOKUP($A296,Input_Raw!$A:$A,Input_Raw!$DF:$DF),"")</f>
        <v/>
      </c>
      <c r="N296" s="200" t="str">
        <f>IFERROR(_xlfn.XLOOKUP($A296,Input_Raw!$A:$A,Input_Raw!$DG:$DG),"")</f>
        <v/>
      </c>
      <c r="O296" s="230" t="str">
        <f>IFERROR(1-(SUMIF(Plant_BD!$B:$B,$A296,Plant_BD!$AL:$AL)/($AA296+SUMIF(Plant_BD!$B:$B,$A296,Plant_BD!$AL:$AL))),"")</f>
        <v/>
      </c>
      <c r="P296" s="230"/>
      <c r="Q296" s="231" t="str">
        <f>IFERROR(1-(SUMIF(Grid_BD!$B:$B,$A296,Grid_BD!$V:$V)/($AA296+SUMIF(Grid_BD!$B:$B,$A296,Grid_BD!$V:$V))),"")</f>
        <v/>
      </c>
      <c r="R296" s="230" t="str">
        <f>IFERROR(1-(SUMIF(Grid_BD!$B:$B,$A296,Grid_BD!$V:$V)/($AA296+SUMIF(Grid_BD!$B:$B,$A296,Grid_BD!$V:$V))),"")</f>
        <v/>
      </c>
      <c r="S296" s="9"/>
      <c r="T296" s="231"/>
      <c r="U296" s="232" t="str">
        <f t="shared" ref="U296:U359" si="26">IFERROR(AA296/I296/AB296/1000,"")</f>
        <v/>
      </c>
      <c r="V296" s="232" t="str">
        <f>IFERROR(_xlfn.XLOOKUP($A296,Input_Raw!$A:$A,Input_Raw!$FG:$FG),"")</f>
        <v/>
      </c>
      <c r="W296" s="233" t="str">
        <f t="shared" ref="W296:W359" si="27">IFERROR(AA296/(24*AR296*1000),"")</f>
        <v/>
      </c>
      <c r="X296" s="29" t="str">
        <f>IFERROR(_xlfn.XLOOKUP($A296,Input_Raw!$A:$A,Input_Raw!$DP:$DP),"")</f>
        <v/>
      </c>
      <c r="Y296" s="29" t="str">
        <f>IFERROR(_xlfn.XLOOKUP($A296,Input_Raw!$A:$A,Input_Raw!EW:EW),"")</f>
        <v/>
      </c>
      <c r="Z296" s="29" t="str">
        <f>IFERROR(_xlfn.XLOOKUP($A296,Input_Raw!$A:$A,Input_Raw!EX:EX),"")</f>
        <v/>
      </c>
      <c r="AA296" s="29" t="str">
        <f>IFERROR(_xlfn.XLOOKUP($A296,Input_Raw!$A:$A,Input_Raw!FA:FA),"")</f>
        <v/>
      </c>
      <c r="AB296" s="9" t="str">
        <f>IFERROR(_xlfn.XLOOKUP($A296,Input_Raw!$A:$A,Input_Raw!FD:FD),"")</f>
        <v/>
      </c>
      <c r="AC296" s="185">
        <f>IFERROR(_xlfn.XLOOKUP($D296,'Modelling New'!$D:$D,'Modelling New'!P:P),"")</f>
        <v>5.5161290322580649</v>
      </c>
      <c r="AD296" s="29">
        <f>IFERROR(_xlfn.XLOOKUP($D296,'Modelling New'!$D:$D,'Modelling New'!T:T)*1000,"")</f>
        <v>613939.49222257547</v>
      </c>
      <c r="AE296" s="233">
        <f>IFERROR(_xlfn.XLOOKUP($D296,'Modelling New'!$D:$D,'Modelling New'!O:O),"")</f>
        <v>0.85614594057129279</v>
      </c>
      <c r="AF296" s="233">
        <f>IFERROR(_xlfn.XLOOKUP($D296,'Modelling New'!$D:$D,'Modelling New'!W:W),"")</f>
        <v>0.19677547827646649</v>
      </c>
      <c r="AG296" s="233">
        <f>IFERROR(_xlfn.XLOOKUP($D296,'Modelling New'!$D:$D,'Modelling New'!AE:AE),"")</f>
        <v>0.995</v>
      </c>
      <c r="AH296" s="234">
        <f>IFERROR(_xlfn.XLOOKUP($D296,'Modelling New'!$D:$D,'Modelling New'!AF:AF),"")</f>
        <v>0.995</v>
      </c>
      <c r="AI296" s="9"/>
      <c r="AJ296" s="9"/>
      <c r="AK296" s="258"/>
      <c r="AL296" s="258"/>
      <c r="AM296" s="258"/>
      <c r="AN296" s="235"/>
      <c r="AO296" s="233"/>
      <c r="AP296" s="233"/>
      <c r="AQ296" s="233"/>
      <c r="AR296" s="236">
        <f>_xlfn.XLOOKUP(D296,'Modelling New'!$D:$D,'Modelling New'!$N:$N)</f>
        <v>130</v>
      </c>
      <c r="AS296" s="236" t="str">
        <f t="shared" ref="AS296:AS359" si="28">IFERROR((AD296/AR296)*AB296,"")</f>
        <v/>
      </c>
    </row>
    <row r="297" spans="1:45">
      <c r="A297" s="18">
        <f t="shared" si="24"/>
        <v>46040</v>
      </c>
      <c r="B297" s="29">
        <f>YEAR(Table13[[#This Row],[Date]])+IF(MONTH(Table13[[#This Row],[Date]])&gt;=4,1,0)</f>
        <v>2026</v>
      </c>
      <c r="C297" s="9">
        <f>YEAR(Table13[[#This Row],[Date]])</f>
        <v>2026</v>
      </c>
      <c r="D297" s="229">
        <f>Table13[[#This Row],[Date]]-DAY(Table13[[#This Row],[Date]])+1</f>
        <v>46023</v>
      </c>
      <c r="E297" s="9">
        <f t="shared" si="25"/>
        <v>31</v>
      </c>
      <c r="F297" s="199" t="str">
        <f>IFERROR(_xlfn.XLOOKUP($A297,Input_Raw!$A:$A,Input_Raw!$FC:$FC),"")</f>
        <v/>
      </c>
      <c r="G297" s="185" t="str">
        <f>IFERROR(_xlfn.XLOOKUP($A297,Input_Raw!$A:$A,Input_Raw!$CY:$CY),"")</f>
        <v/>
      </c>
      <c r="H297" s="185" t="str">
        <f>IFERROR(_xlfn.XLOOKUP($A297,Input_Raw!$A:$A,Input_Raw!$DA:$DA),"")</f>
        <v/>
      </c>
      <c r="I297" s="185" t="str">
        <f>IFERROR(_xlfn.XLOOKUP($A297,Input_Raw!$A:$A,Input_Raw!$CX:$CX),"")</f>
        <v/>
      </c>
      <c r="J297" s="185" t="str">
        <f>IFERROR(_xlfn.XLOOKUP($A297,Input_Raw!$A:$A,Input_Raw!$CZ:$CZ),"")</f>
        <v/>
      </c>
      <c r="K297" s="201" t="str">
        <f>IFERROR(_xlfn.XLOOKUP($A297,Input_Raw!$A:$A,Input_Raw!$DB:$DB),"")</f>
        <v/>
      </c>
      <c r="L297" s="201" t="str">
        <f>IFERROR(_xlfn.XLOOKUP($A297,Input_Raw!$A:$A,Input_Raw!$DC:$DC),"")</f>
        <v/>
      </c>
      <c r="M297" s="200" t="str">
        <f>IFERROR(_xlfn.XLOOKUP($A297,Input_Raw!$A:$A,Input_Raw!$DF:$DF),"")</f>
        <v/>
      </c>
      <c r="N297" s="200" t="str">
        <f>IFERROR(_xlfn.XLOOKUP($A297,Input_Raw!$A:$A,Input_Raw!$DG:$DG),"")</f>
        <v/>
      </c>
      <c r="O297" s="230" t="str">
        <f>IFERROR(1-(SUMIF(Plant_BD!$B:$B,$A297,Plant_BD!$AL:$AL)/($AA297+SUMIF(Plant_BD!$B:$B,$A297,Plant_BD!$AL:$AL))),"")</f>
        <v/>
      </c>
      <c r="P297" s="230"/>
      <c r="Q297" s="231" t="str">
        <f>IFERROR(1-(SUMIF(Grid_BD!$B:$B,$A297,Grid_BD!$V:$V)/($AA297+SUMIF(Grid_BD!$B:$B,$A297,Grid_BD!$V:$V))),"")</f>
        <v/>
      </c>
      <c r="R297" s="230" t="str">
        <f>IFERROR(1-(SUMIF(Grid_BD!$B:$B,$A297,Grid_BD!$V:$V)/($AA297+SUMIF(Grid_BD!$B:$B,$A297,Grid_BD!$V:$V))),"")</f>
        <v/>
      </c>
      <c r="S297" s="9"/>
      <c r="T297" s="231"/>
      <c r="U297" s="232" t="str">
        <f t="shared" si="26"/>
        <v/>
      </c>
      <c r="V297" s="232" t="str">
        <f>IFERROR(_xlfn.XLOOKUP($A297,Input_Raw!$A:$A,Input_Raw!$FG:$FG),"")</f>
        <v/>
      </c>
      <c r="W297" s="233" t="str">
        <f t="shared" si="27"/>
        <v/>
      </c>
      <c r="X297" s="29" t="str">
        <f>IFERROR(_xlfn.XLOOKUP($A297,Input_Raw!$A:$A,Input_Raw!$DP:$DP),"")</f>
        <v/>
      </c>
      <c r="Y297" s="29" t="str">
        <f>IFERROR(_xlfn.XLOOKUP($A297,Input_Raw!$A:$A,Input_Raw!EW:EW),"")</f>
        <v/>
      </c>
      <c r="Z297" s="29" t="str">
        <f>IFERROR(_xlfn.XLOOKUP($A297,Input_Raw!$A:$A,Input_Raw!EX:EX),"")</f>
        <v/>
      </c>
      <c r="AA297" s="29" t="str">
        <f>IFERROR(_xlfn.XLOOKUP($A297,Input_Raw!$A:$A,Input_Raw!FA:FA),"")</f>
        <v/>
      </c>
      <c r="AB297" s="9" t="str">
        <f>IFERROR(_xlfn.XLOOKUP($A297,Input_Raw!$A:$A,Input_Raw!FD:FD),"")</f>
        <v/>
      </c>
      <c r="AC297" s="185">
        <f>IFERROR(_xlfn.XLOOKUP($D297,'Modelling New'!$D:$D,'Modelling New'!P:P),"")</f>
        <v>5.5161290322580649</v>
      </c>
      <c r="AD297" s="29">
        <f>IFERROR(_xlfn.XLOOKUP($D297,'Modelling New'!$D:$D,'Modelling New'!T:T)*1000,"")</f>
        <v>613939.49222257547</v>
      </c>
      <c r="AE297" s="233">
        <f>IFERROR(_xlfn.XLOOKUP($D297,'Modelling New'!$D:$D,'Modelling New'!O:O),"")</f>
        <v>0.85614594057129279</v>
      </c>
      <c r="AF297" s="233">
        <f>IFERROR(_xlfn.XLOOKUP($D297,'Modelling New'!$D:$D,'Modelling New'!W:W),"")</f>
        <v>0.19677547827646649</v>
      </c>
      <c r="AG297" s="233">
        <f>IFERROR(_xlfn.XLOOKUP($D297,'Modelling New'!$D:$D,'Modelling New'!AE:AE),"")</f>
        <v>0.995</v>
      </c>
      <c r="AH297" s="234">
        <f>IFERROR(_xlfn.XLOOKUP($D297,'Modelling New'!$D:$D,'Modelling New'!AF:AF),"")</f>
        <v>0.995</v>
      </c>
      <c r="AI297" s="9"/>
      <c r="AJ297" s="9"/>
      <c r="AK297" s="258"/>
      <c r="AL297" s="258"/>
      <c r="AM297" s="258"/>
      <c r="AN297" s="235"/>
      <c r="AO297" s="233"/>
      <c r="AP297" s="233"/>
      <c r="AQ297" s="233"/>
      <c r="AR297" s="236">
        <f>_xlfn.XLOOKUP(D297,'Modelling New'!$D:$D,'Modelling New'!$N:$N)</f>
        <v>130</v>
      </c>
      <c r="AS297" s="236" t="str">
        <f t="shared" si="28"/>
        <v/>
      </c>
    </row>
    <row r="298" spans="1:45">
      <c r="A298" s="18">
        <f t="shared" ref="A298:A361" si="29">A297+1</f>
        <v>46041</v>
      </c>
      <c r="B298" s="29">
        <f>YEAR(Table13[[#This Row],[Date]])+IF(MONTH(Table13[[#This Row],[Date]])&gt;=4,1,0)</f>
        <v>2026</v>
      </c>
      <c r="C298" s="9">
        <f>YEAR(Table13[[#This Row],[Date]])</f>
        <v>2026</v>
      </c>
      <c r="D298" s="229">
        <f>Table13[[#This Row],[Date]]-DAY(Table13[[#This Row],[Date]])+1</f>
        <v>46023</v>
      </c>
      <c r="E298" s="9">
        <f t="shared" si="25"/>
        <v>31</v>
      </c>
      <c r="F298" s="199" t="str">
        <f>IFERROR(_xlfn.XLOOKUP($A298,Input_Raw!$A:$A,Input_Raw!$FC:$FC),"")</f>
        <v/>
      </c>
      <c r="G298" s="200" t="str">
        <f>IFERROR(_xlfn.XLOOKUP($A298,Input_Raw!$A:$A,Input_Raw!$CY:$CY),"")</f>
        <v/>
      </c>
      <c r="H298" s="200" t="str">
        <f>IFERROR(_xlfn.XLOOKUP($A298,Input_Raw!$A:$A,Input_Raw!$DA:$DA),"")</f>
        <v/>
      </c>
      <c r="I298" s="200" t="str">
        <f>IFERROR(_xlfn.XLOOKUP($A298,Input_Raw!$A:$A,Input_Raw!$CX:$CX),"")</f>
        <v/>
      </c>
      <c r="J298" s="200" t="str">
        <f>IFERROR(_xlfn.XLOOKUP($A298,Input_Raw!$A:$A,Input_Raw!$CZ:$CZ),"")</f>
        <v/>
      </c>
      <c r="K298" s="201" t="str">
        <f>IFERROR(_xlfn.XLOOKUP($A298,Input_Raw!$A:$A,Input_Raw!$DB:$DB),"")</f>
        <v/>
      </c>
      <c r="L298" s="201" t="str">
        <f>IFERROR(_xlfn.XLOOKUP($A298,Input_Raw!$A:$A,Input_Raw!$DC:$DC),"")</f>
        <v/>
      </c>
      <c r="M298" s="200" t="str">
        <f>IFERROR(_xlfn.XLOOKUP($A298,Input_Raw!$A:$A,Input_Raw!$DF:$DF),"")</f>
        <v/>
      </c>
      <c r="N298" s="200" t="str">
        <f>IFERROR(_xlfn.XLOOKUP($A298,Input_Raw!$A:$A,Input_Raw!$DG:$DG),"")</f>
        <v/>
      </c>
      <c r="O298" s="230" t="str">
        <f>IFERROR(1-(SUMIF(Plant_BD!$B:$B,$A298,Plant_BD!$AL:$AL)/($AA298+SUMIF(Plant_BD!$B:$B,$A298,Plant_BD!$AL:$AL))),"")</f>
        <v/>
      </c>
      <c r="P298" s="230"/>
      <c r="Q298" s="231" t="str">
        <f>IFERROR(1-(SUMIF(Grid_BD!$B:$B,$A298,Grid_BD!$V:$V)/($AA298+SUMIF(Grid_BD!$B:$B,$A298,Grid_BD!$V:$V))),"")</f>
        <v/>
      </c>
      <c r="R298" s="230" t="str">
        <f>IFERROR(1-(SUMIF(Grid_BD!$B:$B,$A298,Grid_BD!$V:$V)/($AA298+SUMIF(Grid_BD!$B:$B,$A298,Grid_BD!$V:$V))),"")</f>
        <v/>
      </c>
      <c r="S298" s="9"/>
      <c r="T298" s="231"/>
      <c r="U298" s="232" t="str">
        <f t="shared" si="26"/>
        <v/>
      </c>
      <c r="V298" s="232" t="str">
        <f>IFERROR(_xlfn.XLOOKUP($A298,Input_Raw!$A:$A,Input_Raw!$FG:$FG),"")</f>
        <v/>
      </c>
      <c r="W298" s="233" t="str">
        <f t="shared" si="27"/>
        <v/>
      </c>
      <c r="X298" s="29" t="str">
        <f>IFERROR(_xlfn.XLOOKUP($A298,Input_Raw!$A:$A,Input_Raw!$DP:$DP),"")</f>
        <v/>
      </c>
      <c r="Y298" s="29" t="str">
        <f>IFERROR(_xlfn.XLOOKUP($A298,Input_Raw!$A:$A,Input_Raw!EW:EW),"")</f>
        <v/>
      </c>
      <c r="Z298" s="29" t="str">
        <f>IFERROR(_xlfn.XLOOKUP($A298,Input_Raw!$A:$A,Input_Raw!EX:EX),"")</f>
        <v/>
      </c>
      <c r="AA298" s="29" t="str">
        <f>IFERROR(_xlfn.XLOOKUP($A298,Input_Raw!$A:$A,Input_Raw!FA:FA),"")</f>
        <v/>
      </c>
      <c r="AB298" s="9" t="str">
        <f>IFERROR(_xlfn.XLOOKUP($A298,Input_Raw!$A:$A,Input_Raw!FD:FD),"")</f>
        <v/>
      </c>
      <c r="AC298" s="185">
        <f>IFERROR(_xlfn.XLOOKUP($D298,'Modelling New'!$D:$D,'Modelling New'!P:P),"")</f>
        <v>5.5161290322580649</v>
      </c>
      <c r="AD298" s="29">
        <f>IFERROR(_xlfn.XLOOKUP($D298,'Modelling New'!$D:$D,'Modelling New'!T:T)*1000,"")</f>
        <v>613939.49222257547</v>
      </c>
      <c r="AE298" s="233">
        <f>IFERROR(_xlfn.XLOOKUP($D298,'Modelling New'!$D:$D,'Modelling New'!O:O),"")</f>
        <v>0.85614594057129279</v>
      </c>
      <c r="AF298" s="233">
        <f>IFERROR(_xlfn.XLOOKUP($D298,'Modelling New'!$D:$D,'Modelling New'!W:W),"")</f>
        <v>0.19677547827646649</v>
      </c>
      <c r="AG298" s="233">
        <f>IFERROR(_xlfn.XLOOKUP($D298,'Modelling New'!$D:$D,'Modelling New'!AE:AE),"")</f>
        <v>0.995</v>
      </c>
      <c r="AH298" s="234">
        <f>IFERROR(_xlfn.XLOOKUP($D298,'Modelling New'!$D:$D,'Modelling New'!AF:AF),"")</f>
        <v>0.995</v>
      </c>
      <c r="AI298" s="9"/>
      <c r="AJ298" s="9"/>
      <c r="AK298" s="258"/>
      <c r="AL298" s="258"/>
      <c r="AM298" s="258"/>
      <c r="AN298" s="235"/>
      <c r="AO298" s="233"/>
      <c r="AP298" s="233"/>
      <c r="AQ298" s="233"/>
      <c r="AR298" s="236">
        <f>_xlfn.XLOOKUP(D298,'Modelling New'!$D:$D,'Modelling New'!$N:$N)</f>
        <v>130</v>
      </c>
      <c r="AS298" s="236" t="str">
        <f t="shared" si="28"/>
        <v/>
      </c>
    </row>
    <row r="299" spans="1:45">
      <c r="A299" s="18">
        <f t="shared" si="29"/>
        <v>46042</v>
      </c>
      <c r="B299" s="29">
        <f>YEAR(Table13[[#This Row],[Date]])+IF(MONTH(Table13[[#This Row],[Date]])&gt;=4,1,0)</f>
        <v>2026</v>
      </c>
      <c r="C299" s="9">
        <f>YEAR(Table13[[#This Row],[Date]])</f>
        <v>2026</v>
      </c>
      <c r="D299" s="229">
        <f>Table13[[#This Row],[Date]]-DAY(Table13[[#This Row],[Date]])+1</f>
        <v>46023</v>
      </c>
      <c r="E299" s="9">
        <f t="shared" si="25"/>
        <v>31</v>
      </c>
      <c r="F299" s="199" t="str">
        <f>IFERROR(_xlfn.XLOOKUP($A299,Input_Raw!$A:$A,Input_Raw!$FC:$FC),"")</f>
        <v/>
      </c>
      <c r="G299" s="185" t="str">
        <f>IFERROR(_xlfn.XLOOKUP($A299,Input_Raw!$A:$A,Input_Raw!$CY:$CY),"")</f>
        <v/>
      </c>
      <c r="H299" s="185" t="str">
        <f>IFERROR(_xlfn.XLOOKUP($A299,Input_Raw!$A:$A,Input_Raw!$DA:$DA),"")</f>
        <v/>
      </c>
      <c r="I299" s="185" t="str">
        <f>IFERROR(_xlfn.XLOOKUP($A299,Input_Raw!$A:$A,Input_Raw!$CX:$CX),"")</f>
        <v/>
      </c>
      <c r="J299" s="185" t="str">
        <f>IFERROR(_xlfn.XLOOKUP($A299,Input_Raw!$A:$A,Input_Raw!$CZ:$CZ),"")</f>
        <v/>
      </c>
      <c r="K299" s="201" t="str">
        <f>IFERROR(_xlfn.XLOOKUP($A299,Input_Raw!$A:$A,Input_Raw!$DB:$DB),"")</f>
        <v/>
      </c>
      <c r="L299" s="201" t="str">
        <f>IFERROR(_xlfn.XLOOKUP($A299,Input_Raw!$A:$A,Input_Raw!$DC:$DC),"")</f>
        <v/>
      </c>
      <c r="M299" s="200" t="str">
        <f>IFERROR(_xlfn.XLOOKUP($A299,Input_Raw!$A:$A,Input_Raw!$DF:$DF),"")</f>
        <v/>
      </c>
      <c r="N299" s="200" t="str">
        <f>IFERROR(_xlfn.XLOOKUP($A299,Input_Raw!$A:$A,Input_Raw!$DG:$DG),"")</f>
        <v/>
      </c>
      <c r="O299" s="230" t="str">
        <f>IFERROR(1-(SUMIF(Plant_BD!$B:$B,$A299,Plant_BD!$AL:$AL)/($AA299+SUMIF(Plant_BD!$B:$B,$A299,Plant_BD!$AL:$AL))),"")</f>
        <v/>
      </c>
      <c r="P299" s="230"/>
      <c r="Q299" s="231" t="str">
        <f>IFERROR(1-(SUMIF(Grid_BD!$B:$B,$A299,Grid_BD!$V:$V)/($AA299+SUMIF(Grid_BD!$B:$B,$A299,Grid_BD!$V:$V))),"")</f>
        <v/>
      </c>
      <c r="R299" s="230" t="str">
        <f>IFERROR(1-(SUMIF(Grid_BD!$B:$B,$A299,Grid_BD!$V:$V)/($AA299+SUMIF(Grid_BD!$B:$B,$A299,Grid_BD!$V:$V))),"")</f>
        <v/>
      </c>
      <c r="S299" s="9"/>
      <c r="T299" s="231"/>
      <c r="U299" s="232" t="str">
        <f t="shared" si="26"/>
        <v/>
      </c>
      <c r="V299" s="232" t="str">
        <f>IFERROR(_xlfn.XLOOKUP($A299,Input_Raw!$A:$A,Input_Raw!$FG:$FG),"")</f>
        <v/>
      </c>
      <c r="W299" s="233" t="str">
        <f t="shared" si="27"/>
        <v/>
      </c>
      <c r="X299" s="29" t="str">
        <f>IFERROR(_xlfn.XLOOKUP($A299,Input_Raw!$A:$A,Input_Raw!$DP:$DP),"")</f>
        <v/>
      </c>
      <c r="Y299" s="29" t="str">
        <f>IFERROR(_xlfn.XLOOKUP($A299,Input_Raw!$A:$A,Input_Raw!EW:EW),"")</f>
        <v/>
      </c>
      <c r="Z299" s="29" t="str">
        <f>IFERROR(_xlfn.XLOOKUP($A299,Input_Raw!$A:$A,Input_Raw!EX:EX),"")</f>
        <v/>
      </c>
      <c r="AA299" s="29" t="str">
        <f>IFERROR(_xlfn.XLOOKUP($A299,Input_Raw!$A:$A,Input_Raw!FA:FA),"")</f>
        <v/>
      </c>
      <c r="AB299" s="9" t="str">
        <f>IFERROR(_xlfn.XLOOKUP($A299,Input_Raw!$A:$A,Input_Raw!FD:FD),"")</f>
        <v/>
      </c>
      <c r="AC299" s="185">
        <f>IFERROR(_xlfn.XLOOKUP($D299,'Modelling New'!$D:$D,'Modelling New'!P:P),"")</f>
        <v>5.5161290322580649</v>
      </c>
      <c r="AD299" s="29">
        <f>IFERROR(_xlfn.XLOOKUP($D299,'Modelling New'!$D:$D,'Modelling New'!T:T)*1000,"")</f>
        <v>613939.49222257547</v>
      </c>
      <c r="AE299" s="233">
        <f>IFERROR(_xlfn.XLOOKUP($D299,'Modelling New'!$D:$D,'Modelling New'!O:O),"")</f>
        <v>0.85614594057129279</v>
      </c>
      <c r="AF299" s="233">
        <f>IFERROR(_xlfn.XLOOKUP($D299,'Modelling New'!$D:$D,'Modelling New'!W:W),"")</f>
        <v>0.19677547827646649</v>
      </c>
      <c r="AG299" s="233">
        <f>IFERROR(_xlfn.XLOOKUP($D299,'Modelling New'!$D:$D,'Modelling New'!AE:AE),"")</f>
        <v>0.995</v>
      </c>
      <c r="AH299" s="234">
        <f>IFERROR(_xlfn.XLOOKUP($D299,'Modelling New'!$D:$D,'Modelling New'!AF:AF),"")</f>
        <v>0.995</v>
      </c>
      <c r="AI299" s="9"/>
      <c r="AJ299" s="9"/>
      <c r="AK299" s="258"/>
      <c r="AL299" s="258"/>
      <c r="AM299" s="258"/>
      <c r="AN299" s="235"/>
      <c r="AO299" s="233"/>
      <c r="AP299" s="233"/>
      <c r="AQ299" s="233"/>
      <c r="AR299" s="236">
        <f>_xlfn.XLOOKUP(D299,'Modelling New'!$D:$D,'Modelling New'!$N:$N)</f>
        <v>130</v>
      </c>
      <c r="AS299" s="236" t="str">
        <f t="shared" si="28"/>
        <v/>
      </c>
    </row>
    <row r="300" spans="1:45">
      <c r="A300" s="18">
        <f t="shared" si="29"/>
        <v>46043</v>
      </c>
      <c r="B300" s="29">
        <f>YEAR(Table13[[#This Row],[Date]])+IF(MONTH(Table13[[#This Row],[Date]])&gt;=4,1,0)</f>
        <v>2026</v>
      </c>
      <c r="C300" s="9">
        <f>YEAR(Table13[[#This Row],[Date]])</f>
        <v>2026</v>
      </c>
      <c r="D300" s="229">
        <f>Table13[[#This Row],[Date]]-DAY(Table13[[#This Row],[Date]])+1</f>
        <v>46023</v>
      </c>
      <c r="E300" s="9">
        <f t="shared" si="25"/>
        <v>31</v>
      </c>
      <c r="F300" s="199" t="str">
        <f>IFERROR(_xlfn.XLOOKUP($A300,Input_Raw!$A:$A,Input_Raw!$FC:$FC),"")</f>
        <v/>
      </c>
      <c r="G300" s="200" t="str">
        <f>IFERROR(_xlfn.XLOOKUP($A300,Input_Raw!$A:$A,Input_Raw!$CY:$CY),"")</f>
        <v/>
      </c>
      <c r="H300" s="200" t="str">
        <f>IFERROR(_xlfn.XLOOKUP($A300,Input_Raw!$A:$A,Input_Raw!$DA:$DA),"")</f>
        <v/>
      </c>
      <c r="I300" s="200" t="str">
        <f>IFERROR(_xlfn.XLOOKUP($A300,Input_Raw!$A:$A,Input_Raw!$CX:$CX),"")</f>
        <v/>
      </c>
      <c r="J300" s="200" t="str">
        <f>IFERROR(_xlfn.XLOOKUP($A300,Input_Raw!$A:$A,Input_Raw!$CZ:$CZ),"")</f>
        <v/>
      </c>
      <c r="K300" s="201" t="str">
        <f>IFERROR(_xlfn.XLOOKUP($A300,Input_Raw!$A:$A,Input_Raw!$DB:$DB),"")</f>
        <v/>
      </c>
      <c r="L300" s="201" t="str">
        <f>IFERROR(_xlfn.XLOOKUP($A300,Input_Raw!$A:$A,Input_Raw!$DC:$DC),"")</f>
        <v/>
      </c>
      <c r="M300" s="200" t="str">
        <f>IFERROR(_xlfn.XLOOKUP($A300,Input_Raw!$A:$A,Input_Raw!$DF:$DF),"")</f>
        <v/>
      </c>
      <c r="N300" s="200" t="str">
        <f>IFERROR(_xlfn.XLOOKUP($A300,Input_Raw!$A:$A,Input_Raw!$DG:$DG),"")</f>
        <v/>
      </c>
      <c r="O300" s="230" t="str">
        <f>IFERROR(1-(SUMIF(Plant_BD!$B:$B,$A300,Plant_BD!$AL:$AL)/($AA300+SUMIF(Plant_BD!$B:$B,$A300,Plant_BD!$AL:$AL))),"")</f>
        <v/>
      </c>
      <c r="P300" s="230"/>
      <c r="Q300" s="231" t="str">
        <f>IFERROR(1-(SUMIF(Grid_BD!$B:$B,$A300,Grid_BD!$V:$V)/($AA300+SUMIF(Grid_BD!$B:$B,$A300,Grid_BD!$V:$V))),"")</f>
        <v/>
      </c>
      <c r="R300" s="230" t="str">
        <f>IFERROR(1-(SUMIF(Grid_BD!$B:$B,$A300,Grid_BD!$V:$V)/($AA300+SUMIF(Grid_BD!$B:$B,$A300,Grid_BD!$V:$V))),"")</f>
        <v/>
      </c>
      <c r="S300" s="9"/>
      <c r="T300" s="231"/>
      <c r="U300" s="232" t="str">
        <f t="shared" si="26"/>
        <v/>
      </c>
      <c r="V300" s="232" t="str">
        <f>IFERROR(_xlfn.XLOOKUP($A300,Input_Raw!$A:$A,Input_Raw!$FG:$FG),"")</f>
        <v/>
      </c>
      <c r="W300" s="233" t="str">
        <f t="shared" si="27"/>
        <v/>
      </c>
      <c r="X300" s="29" t="str">
        <f>IFERROR(_xlfn.XLOOKUP($A300,Input_Raw!$A:$A,Input_Raw!$DP:$DP),"")</f>
        <v/>
      </c>
      <c r="Y300" s="29" t="str">
        <f>IFERROR(_xlfn.XLOOKUP($A300,Input_Raw!$A:$A,Input_Raw!EW:EW),"")</f>
        <v/>
      </c>
      <c r="Z300" s="29" t="str">
        <f>IFERROR(_xlfn.XLOOKUP($A300,Input_Raw!$A:$A,Input_Raw!EX:EX),"")</f>
        <v/>
      </c>
      <c r="AA300" s="29" t="str">
        <f>IFERROR(_xlfn.XLOOKUP($A300,Input_Raw!$A:$A,Input_Raw!FA:FA),"")</f>
        <v/>
      </c>
      <c r="AB300" s="9" t="str">
        <f>IFERROR(_xlfn.XLOOKUP($A300,Input_Raw!$A:$A,Input_Raw!FD:FD),"")</f>
        <v/>
      </c>
      <c r="AC300" s="185">
        <f>IFERROR(_xlfn.XLOOKUP($D300,'Modelling New'!$D:$D,'Modelling New'!P:P),"")</f>
        <v>5.5161290322580649</v>
      </c>
      <c r="AD300" s="29">
        <f>IFERROR(_xlfn.XLOOKUP($D300,'Modelling New'!$D:$D,'Modelling New'!T:T)*1000,"")</f>
        <v>613939.49222257547</v>
      </c>
      <c r="AE300" s="233">
        <f>IFERROR(_xlfn.XLOOKUP($D300,'Modelling New'!$D:$D,'Modelling New'!O:O),"")</f>
        <v>0.85614594057129279</v>
      </c>
      <c r="AF300" s="233">
        <f>IFERROR(_xlfn.XLOOKUP($D300,'Modelling New'!$D:$D,'Modelling New'!W:W),"")</f>
        <v>0.19677547827646649</v>
      </c>
      <c r="AG300" s="233">
        <f>IFERROR(_xlfn.XLOOKUP($D300,'Modelling New'!$D:$D,'Modelling New'!AE:AE),"")</f>
        <v>0.995</v>
      </c>
      <c r="AH300" s="234">
        <f>IFERROR(_xlfn.XLOOKUP($D300,'Modelling New'!$D:$D,'Modelling New'!AF:AF),"")</f>
        <v>0.995</v>
      </c>
      <c r="AI300" s="9"/>
      <c r="AJ300" s="9"/>
      <c r="AK300" s="258"/>
      <c r="AL300" s="258"/>
      <c r="AM300" s="258"/>
      <c r="AN300" s="235"/>
      <c r="AO300" s="233"/>
      <c r="AP300" s="233"/>
      <c r="AQ300" s="233"/>
      <c r="AR300" s="236">
        <f>_xlfn.XLOOKUP(D300,'Modelling New'!$D:$D,'Modelling New'!$N:$N)</f>
        <v>130</v>
      </c>
      <c r="AS300" s="236" t="str">
        <f t="shared" si="28"/>
        <v/>
      </c>
    </row>
    <row r="301" spans="1:45">
      <c r="A301" s="18">
        <f t="shared" si="29"/>
        <v>46044</v>
      </c>
      <c r="B301" s="29">
        <f>YEAR(Table13[[#This Row],[Date]])+IF(MONTH(Table13[[#This Row],[Date]])&gt;=4,1,0)</f>
        <v>2026</v>
      </c>
      <c r="C301" s="9">
        <f>YEAR(Table13[[#This Row],[Date]])</f>
        <v>2026</v>
      </c>
      <c r="D301" s="229">
        <f>Table13[[#This Row],[Date]]-DAY(Table13[[#This Row],[Date]])+1</f>
        <v>46023</v>
      </c>
      <c r="E301" s="9">
        <f t="shared" si="25"/>
        <v>31</v>
      </c>
      <c r="F301" s="199" t="str">
        <f>IFERROR(_xlfn.XLOOKUP($A301,Input_Raw!$A:$A,Input_Raw!$FC:$FC),"")</f>
        <v/>
      </c>
      <c r="G301" s="185" t="str">
        <f>IFERROR(_xlfn.XLOOKUP($A301,Input_Raw!$A:$A,Input_Raw!$CY:$CY),"")</f>
        <v/>
      </c>
      <c r="H301" s="185" t="str">
        <f>IFERROR(_xlfn.XLOOKUP($A301,Input_Raw!$A:$A,Input_Raw!$DA:$DA),"")</f>
        <v/>
      </c>
      <c r="I301" s="185" t="str">
        <f>IFERROR(_xlfn.XLOOKUP($A301,Input_Raw!$A:$A,Input_Raw!$CX:$CX),"")</f>
        <v/>
      </c>
      <c r="J301" s="185" t="str">
        <f>IFERROR(_xlfn.XLOOKUP($A301,Input_Raw!$A:$A,Input_Raw!$CZ:$CZ),"")</f>
        <v/>
      </c>
      <c r="K301" s="201" t="str">
        <f>IFERROR(_xlfn.XLOOKUP($A301,Input_Raw!$A:$A,Input_Raw!$DB:$DB),"")</f>
        <v/>
      </c>
      <c r="L301" s="201" t="str">
        <f>IFERROR(_xlfn.XLOOKUP($A301,Input_Raw!$A:$A,Input_Raw!$DC:$DC),"")</f>
        <v/>
      </c>
      <c r="M301" s="200" t="str">
        <f>IFERROR(_xlfn.XLOOKUP($A301,Input_Raw!$A:$A,Input_Raw!$DF:$DF),"")</f>
        <v/>
      </c>
      <c r="N301" s="200" t="str">
        <f>IFERROR(_xlfn.XLOOKUP($A301,Input_Raw!$A:$A,Input_Raw!$DG:$DG),"")</f>
        <v/>
      </c>
      <c r="O301" s="230" t="str">
        <f>IFERROR(1-(SUMIF(Plant_BD!$B:$B,$A301,Plant_BD!$AL:$AL)/($AA301+SUMIF(Plant_BD!$B:$B,$A301,Plant_BD!$AL:$AL))),"")</f>
        <v/>
      </c>
      <c r="P301" s="230"/>
      <c r="Q301" s="231" t="str">
        <f>IFERROR(1-(SUMIF(Grid_BD!$B:$B,$A301,Grid_BD!$V:$V)/($AA301+SUMIF(Grid_BD!$B:$B,$A301,Grid_BD!$V:$V))),"")</f>
        <v/>
      </c>
      <c r="R301" s="230" t="str">
        <f>IFERROR(1-(SUMIF(Grid_BD!$B:$B,$A301,Grid_BD!$V:$V)/($AA301+SUMIF(Grid_BD!$B:$B,$A301,Grid_BD!$V:$V))),"")</f>
        <v/>
      </c>
      <c r="S301" s="9"/>
      <c r="T301" s="231"/>
      <c r="U301" s="232" t="str">
        <f t="shared" si="26"/>
        <v/>
      </c>
      <c r="V301" s="232" t="str">
        <f>IFERROR(_xlfn.XLOOKUP($A301,Input_Raw!$A:$A,Input_Raw!$FG:$FG),"")</f>
        <v/>
      </c>
      <c r="W301" s="233" t="str">
        <f t="shared" si="27"/>
        <v/>
      </c>
      <c r="X301" s="29" t="str">
        <f>IFERROR(_xlfn.XLOOKUP($A301,Input_Raw!$A:$A,Input_Raw!$DP:$DP),"")</f>
        <v/>
      </c>
      <c r="Y301" s="29" t="str">
        <f>IFERROR(_xlfn.XLOOKUP($A301,Input_Raw!$A:$A,Input_Raw!EW:EW),"")</f>
        <v/>
      </c>
      <c r="Z301" s="29" t="str">
        <f>IFERROR(_xlfn.XLOOKUP($A301,Input_Raw!$A:$A,Input_Raw!EX:EX),"")</f>
        <v/>
      </c>
      <c r="AA301" s="29" t="str">
        <f>IFERROR(_xlfn.XLOOKUP($A301,Input_Raw!$A:$A,Input_Raw!FA:FA),"")</f>
        <v/>
      </c>
      <c r="AB301" s="9" t="str">
        <f>IFERROR(_xlfn.XLOOKUP($A301,Input_Raw!$A:$A,Input_Raw!FD:FD),"")</f>
        <v/>
      </c>
      <c r="AC301" s="185">
        <f>IFERROR(_xlfn.XLOOKUP($D301,'Modelling New'!$D:$D,'Modelling New'!P:P),"")</f>
        <v>5.5161290322580649</v>
      </c>
      <c r="AD301" s="29">
        <f>IFERROR(_xlfn.XLOOKUP($D301,'Modelling New'!$D:$D,'Modelling New'!T:T)*1000,"")</f>
        <v>613939.49222257547</v>
      </c>
      <c r="AE301" s="233">
        <f>IFERROR(_xlfn.XLOOKUP($D301,'Modelling New'!$D:$D,'Modelling New'!O:O),"")</f>
        <v>0.85614594057129279</v>
      </c>
      <c r="AF301" s="233">
        <f>IFERROR(_xlfn.XLOOKUP($D301,'Modelling New'!$D:$D,'Modelling New'!W:W),"")</f>
        <v>0.19677547827646649</v>
      </c>
      <c r="AG301" s="233">
        <f>IFERROR(_xlfn.XLOOKUP($D301,'Modelling New'!$D:$D,'Modelling New'!AE:AE),"")</f>
        <v>0.995</v>
      </c>
      <c r="AH301" s="234">
        <f>IFERROR(_xlfn.XLOOKUP($D301,'Modelling New'!$D:$D,'Modelling New'!AF:AF),"")</f>
        <v>0.995</v>
      </c>
      <c r="AI301" s="9"/>
      <c r="AJ301" s="9"/>
      <c r="AK301" s="258"/>
      <c r="AL301" s="258"/>
      <c r="AM301" s="258"/>
      <c r="AN301" s="235"/>
      <c r="AO301" s="233"/>
      <c r="AP301" s="233"/>
      <c r="AQ301" s="233"/>
      <c r="AR301" s="236">
        <f>_xlfn.XLOOKUP(D301,'Modelling New'!$D:$D,'Modelling New'!$N:$N)</f>
        <v>130</v>
      </c>
      <c r="AS301" s="236" t="str">
        <f t="shared" si="28"/>
        <v/>
      </c>
    </row>
    <row r="302" spans="1:45">
      <c r="A302" s="18">
        <f t="shared" si="29"/>
        <v>46045</v>
      </c>
      <c r="B302" s="29">
        <f>YEAR(Table13[[#This Row],[Date]])+IF(MONTH(Table13[[#This Row],[Date]])&gt;=4,1,0)</f>
        <v>2026</v>
      </c>
      <c r="C302" s="9">
        <f>YEAR(Table13[[#This Row],[Date]])</f>
        <v>2026</v>
      </c>
      <c r="D302" s="229">
        <f>Table13[[#This Row],[Date]]-DAY(Table13[[#This Row],[Date]])+1</f>
        <v>46023</v>
      </c>
      <c r="E302" s="9">
        <f t="shared" si="25"/>
        <v>31</v>
      </c>
      <c r="F302" s="199" t="str">
        <f>IFERROR(_xlfn.XLOOKUP($A302,Input_Raw!$A:$A,Input_Raw!$FC:$FC),"")</f>
        <v/>
      </c>
      <c r="G302" s="200" t="str">
        <f>IFERROR(_xlfn.XLOOKUP($A302,Input_Raw!$A:$A,Input_Raw!$CY:$CY),"")</f>
        <v/>
      </c>
      <c r="H302" s="200" t="str">
        <f>IFERROR(_xlfn.XLOOKUP($A302,Input_Raw!$A:$A,Input_Raw!$DA:$DA),"")</f>
        <v/>
      </c>
      <c r="I302" s="200" t="str">
        <f>IFERROR(_xlfn.XLOOKUP($A302,Input_Raw!$A:$A,Input_Raw!$CX:$CX),"")</f>
        <v/>
      </c>
      <c r="J302" s="200" t="str">
        <f>IFERROR(_xlfn.XLOOKUP($A302,Input_Raw!$A:$A,Input_Raw!$CZ:$CZ),"")</f>
        <v/>
      </c>
      <c r="K302" s="201" t="str">
        <f>IFERROR(_xlfn.XLOOKUP($A302,Input_Raw!$A:$A,Input_Raw!$DB:$DB),"")</f>
        <v/>
      </c>
      <c r="L302" s="201" t="str">
        <f>IFERROR(_xlfn.XLOOKUP($A302,Input_Raw!$A:$A,Input_Raw!$DC:$DC),"")</f>
        <v/>
      </c>
      <c r="M302" s="200" t="str">
        <f>IFERROR(_xlfn.XLOOKUP($A302,Input_Raw!$A:$A,Input_Raw!$DF:$DF),"")</f>
        <v/>
      </c>
      <c r="N302" s="200" t="str">
        <f>IFERROR(_xlfn.XLOOKUP($A302,Input_Raw!$A:$A,Input_Raw!$DG:$DG),"")</f>
        <v/>
      </c>
      <c r="O302" s="230" t="str">
        <f>IFERROR(1-(SUMIF(Plant_BD!$B:$B,$A302,Plant_BD!$AL:$AL)/($AA302+SUMIF(Plant_BD!$B:$B,$A302,Plant_BD!$AL:$AL))),"")</f>
        <v/>
      </c>
      <c r="P302" s="230"/>
      <c r="Q302" s="231" t="str">
        <f>IFERROR(1-(SUMIF(Grid_BD!$B:$B,$A302,Grid_BD!$V:$V)/($AA302+SUMIF(Grid_BD!$B:$B,$A302,Grid_BD!$V:$V))),"")</f>
        <v/>
      </c>
      <c r="R302" s="230" t="str">
        <f>IFERROR(1-(SUMIF(Grid_BD!$B:$B,$A302,Grid_BD!$V:$V)/($AA302+SUMIF(Grid_BD!$B:$B,$A302,Grid_BD!$V:$V))),"")</f>
        <v/>
      </c>
      <c r="S302" s="9"/>
      <c r="T302" s="231"/>
      <c r="U302" s="232" t="str">
        <f t="shared" si="26"/>
        <v/>
      </c>
      <c r="V302" s="232" t="str">
        <f>IFERROR(_xlfn.XLOOKUP($A302,Input_Raw!$A:$A,Input_Raw!$FG:$FG),"")</f>
        <v/>
      </c>
      <c r="W302" s="233" t="str">
        <f t="shared" si="27"/>
        <v/>
      </c>
      <c r="X302" s="29" t="str">
        <f>IFERROR(_xlfn.XLOOKUP($A302,Input_Raw!$A:$A,Input_Raw!$DP:$DP),"")</f>
        <v/>
      </c>
      <c r="Y302" s="29" t="str">
        <f>IFERROR(_xlfn.XLOOKUP($A302,Input_Raw!$A:$A,Input_Raw!EW:EW),"")</f>
        <v/>
      </c>
      <c r="Z302" s="29" t="str">
        <f>IFERROR(_xlfn.XLOOKUP($A302,Input_Raw!$A:$A,Input_Raw!EX:EX),"")</f>
        <v/>
      </c>
      <c r="AA302" s="29" t="str">
        <f>IFERROR(_xlfn.XLOOKUP($A302,Input_Raw!$A:$A,Input_Raw!FA:FA),"")</f>
        <v/>
      </c>
      <c r="AB302" s="9" t="str">
        <f>IFERROR(_xlfn.XLOOKUP($A302,Input_Raw!$A:$A,Input_Raw!FD:FD),"")</f>
        <v/>
      </c>
      <c r="AC302" s="185">
        <f>IFERROR(_xlfn.XLOOKUP($D302,'Modelling New'!$D:$D,'Modelling New'!P:P),"")</f>
        <v>5.5161290322580649</v>
      </c>
      <c r="AD302" s="29">
        <f>IFERROR(_xlfn.XLOOKUP($D302,'Modelling New'!$D:$D,'Modelling New'!T:T)*1000,"")</f>
        <v>613939.49222257547</v>
      </c>
      <c r="AE302" s="233">
        <f>IFERROR(_xlfn.XLOOKUP($D302,'Modelling New'!$D:$D,'Modelling New'!O:O),"")</f>
        <v>0.85614594057129279</v>
      </c>
      <c r="AF302" s="233">
        <f>IFERROR(_xlfn.XLOOKUP($D302,'Modelling New'!$D:$D,'Modelling New'!W:W),"")</f>
        <v>0.19677547827646649</v>
      </c>
      <c r="AG302" s="233">
        <f>IFERROR(_xlfn.XLOOKUP($D302,'Modelling New'!$D:$D,'Modelling New'!AE:AE),"")</f>
        <v>0.995</v>
      </c>
      <c r="AH302" s="234">
        <f>IFERROR(_xlfn.XLOOKUP($D302,'Modelling New'!$D:$D,'Modelling New'!AF:AF),"")</f>
        <v>0.995</v>
      </c>
      <c r="AI302" s="9"/>
      <c r="AJ302" s="9"/>
      <c r="AK302" s="258"/>
      <c r="AL302" s="258"/>
      <c r="AM302" s="258"/>
      <c r="AN302" s="235"/>
      <c r="AO302" s="233"/>
      <c r="AP302" s="233"/>
      <c r="AQ302" s="233"/>
      <c r="AR302" s="236">
        <f>_xlfn.XLOOKUP(D302,'Modelling New'!$D:$D,'Modelling New'!$N:$N)</f>
        <v>130</v>
      </c>
      <c r="AS302" s="236" t="str">
        <f t="shared" si="28"/>
        <v/>
      </c>
    </row>
    <row r="303" spans="1:45">
      <c r="A303" s="18">
        <f t="shared" si="29"/>
        <v>46046</v>
      </c>
      <c r="B303" s="29">
        <f>YEAR(Table13[[#This Row],[Date]])+IF(MONTH(Table13[[#This Row],[Date]])&gt;=4,1,0)</f>
        <v>2026</v>
      </c>
      <c r="C303" s="9">
        <f>YEAR(Table13[[#This Row],[Date]])</f>
        <v>2026</v>
      </c>
      <c r="D303" s="229">
        <f>Table13[[#This Row],[Date]]-DAY(Table13[[#This Row],[Date]])+1</f>
        <v>46023</v>
      </c>
      <c r="E303" s="9">
        <f t="shared" si="25"/>
        <v>31</v>
      </c>
      <c r="F303" s="199" t="str">
        <f>IFERROR(_xlfn.XLOOKUP($A303,Input_Raw!$A:$A,Input_Raw!$FC:$FC),"")</f>
        <v/>
      </c>
      <c r="G303" s="185" t="str">
        <f>IFERROR(_xlfn.XLOOKUP($A303,Input_Raw!$A:$A,Input_Raw!$CY:$CY),"")</f>
        <v/>
      </c>
      <c r="H303" s="185" t="str">
        <f>IFERROR(_xlfn.XLOOKUP($A303,Input_Raw!$A:$A,Input_Raw!$DA:$DA),"")</f>
        <v/>
      </c>
      <c r="I303" s="185" t="str">
        <f>IFERROR(_xlfn.XLOOKUP($A303,Input_Raw!$A:$A,Input_Raw!$CX:$CX),"")</f>
        <v/>
      </c>
      <c r="J303" s="185" t="str">
        <f>IFERROR(_xlfn.XLOOKUP($A303,Input_Raw!$A:$A,Input_Raw!$CZ:$CZ),"")</f>
        <v/>
      </c>
      <c r="K303" s="201" t="str">
        <f>IFERROR(_xlfn.XLOOKUP($A303,Input_Raw!$A:$A,Input_Raw!$DB:$DB),"")</f>
        <v/>
      </c>
      <c r="L303" s="201" t="str">
        <f>IFERROR(_xlfn.XLOOKUP($A303,Input_Raw!$A:$A,Input_Raw!$DC:$DC),"")</f>
        <v/>
      </c>
      <c r="M303" s="200" t="str">
        <f>IFERROR(_xlfn.XLOOKUP($A303,Input_Raw!$A:$A,Input_Raw!$DF:$DF),"")</f>
        <v/>
      </c>
      <c r="N303" s="200" t="str">
        <f>IFERROR(_xlfn.XLOOKUP($A303,Input_Raw!$A:$A,Input_Raw!$DG:$DG),"")</f>
        <v/>
      </c>
      <c r="O303" s="230" t="str">
        <f>IFERROR(1-(SUMIF(Plant_BD!$B:$B,$A303,Plant_BD!$AL:$AL)/($AA303+SUMIF(Plant_BD!$B:$B,$A303,Plant_BD!$AL:$AL))),"")</f>
        <v/>
      </c>
      <c r="P303" s="230"/>
      <c r="Q303" s="231" t="str">
        <f>IFERROR(1-(SUMIF(Grid_BD!$B:$B,$A303,Grid_BD!$V:$V)/($AA303+SUMIF(Grid_BD!$B:$B,$A303,Grid_BD!$V:$V))),"")</f>
        <v/>
      </c>
      <c r="R303" s="230" t="str">
        <f>IFERROR(1-(SUMIF(Grid_BD!$B:$B,$A303,Grid_BD!$V:$V)/($AA303+SUMIF(Grid_BD!$B:$B,$A303,Grid_BD!$V:$V))),"")</f>
        <v/>
      </c>
      <c r="S303" s="9"/>
      <c r="T303" s="231"/>
      <c r="U303" s="232" t="str">
        <f t="shared" si="26"/>
        <v/>
      </c>
      <c r="V303" s="232" t="str">
        <f>IFERROR(_xlfn.XLOOKUP($A303,Input_Raw!$A:$A,Input_Raw!$FG:$FG),"")</f>
        <v/>
      </c>
      <c r="W303" s="233" t="str">
        <f t="shared" si="27"/>
        <v/>
      </c>
      <c r="X303" s="29" t="str">
        <f>IFERROR(_xlfn.XLOOKUP($A303,Input_Raw!$A:$A,Input_Raw!$DP:$DP),"")</f>
        <v/>
      </c>
      <c r="Y303" s="29" t="str">
        <f>IFERROR(_xlfn.XLOOKUP($A303,Input_Raw!$A:$A,Input_Raw!EW:EW),"")</f>
        <v/>
      </c>
      <c r="Z303" s="29" t="str">
        <f>IFERROR(_xlfn.XLOOKUP($A303,Input_Raw!$A:$A,Input_Raw!EX:EX),"")</f>
        <v/>
      </c>
      <c r="AA303" s="29" t="str">
        <f>IFERROR(_xlfn.XLOOKUP($A303,Input_Raw!$A:$A,Input_Raw!FA:FA),"")</f>
        <v/>
      </c>
      <c r="AB303" s="9" t="str">
        <f>IFERROR(_xlfn.XLOOKUP($A303,Input_Raw!$A:$A,Input_Raw!FD:FD),"")</f>
        <v/>
      </c>
      <c r="AC303" s="185">
        <f>IFERROR(_xlfn.XLOOKUP($D303,'Modelling New'!$D:$D,'Modelling New'!P:P),"")</f>
        <v>5.5161290322580649</v>
      </c>
      <c r="AD303" s="29">
        <f>IFERROR(_xlfn.XLOOKUP($D303,'Modelling New'!$D:$D,'Modelling New'!T:T)*1000,"")</f>
        <v>613939.49222257547</v>
      </c>
      <c r="AE303" s="233">
        <f>IFERROR(_xlfn.XLOOKUP($D303,'Modelling New'!$D:$D,'Modelling New'!O:O),"")</f>
        <v>0.85614594057129279</v>
      </c>
      <c r="AF303" s="233">
        <f>IFERROR(_xlfn.XLOOKUP($D303,'Modelling New'!$D:$D,'Modelling New'!W:W),"")</f>
        <v>0.19677547827646649</v>
      </c>
      <c r="AG303" s="233">
        <f>IFERROR(_xlfn.XLOOKUP($D303,'Modelling New'!$D:$D,'Modelling New'!AE:AE),"")</f>
        <v>0.995</v>
      </c>
      <c r="AH303" s="234">
        <f>IFERROR(_xlfn.XLOOKUP($D303,'Modelling New'!$D:$D,'Modelling New'!AF:AF),"")</f>
        <v>0.995</v>
      </c>
      <c r="AI303" s="9"/>
      <c r="AJ303" s="9"/>
      <c r="AK303" s="258"/>
      <c r="AL303" s="258"/>
      <c r="AM303" s="258"/>
      <c r="AN303" s="235"/>
      <c r="AO303" s="233"/>
      <c r="AP303" s="233"/>
      <c r="AQ303" s="233"/>
      <c r="AR303" s="236">
        <f>_xlfn.XLOOKUP(D303,'Modelling New'!$D:$D,'Modelling New'!$N:$N)</f>
        <v>130</v>
      </c>
      <c r="AS303" s="236" t="str">
        <f t="shared" si="28"/>
        <v/>
      </c>
    </row>
    <row r="304" spans="1:45">
      <c r="A304" s="18">
        <f t="shared" si="29"/>
        <v>46047</v>
      </c>
      <c r="B304" s="29">
        <f>YEAR(Table13[[#This Row],[Date]])+IF(MONTH(Table13[[#This Row],[Date]])&gt;=4,1,0)</f>
        <v>2026</v>
      </c>
      <c r="C304" s="9">
        <f>YEAR(Table13[[#This Row],[Date]])</f>
        <v>2026</v>
      </c>
      <c r="D304" s="229">
        <f>Table13[[#This Row],[Date]]-DAY(Table13[[#This Row],[Date]])+1</f>
        <v>46023</v>
      </c>
      <c r="E304" s="9">
        <f t="shared" si="25"/>
        <v>31</v>
      </c>
      <c r="F304" s="199" t="str">
        <f>IFERROR(_xlfn.XLOOKUP($A304,Input_Raw!$A:$A,Input_Raw!$FC:$FC),"")</f>
        <v/>
      </c>
      <c r="G304" s="200" t="str">
        <f>IFERROR(_xlfn.XLOOKUP($A304,Input_Raw!$A:$A,Input_Raw!$CY:$CY),"")</f>
        <v/>
      </c>
      <c r="H304" s="200" t="str">
        <f>IFERROR(_xlfn.XLOOKUP($A304,Input_Raw!$A:$A,Input_Raw!$DA:$DA),"")</f>
        <v/>
      </c>
      <c r="I304" s="200" t="str">
        <f>IFERROR(_xlfn.XLOOKUP($A304,Input_Raw!$A:$A,Input_Raw!$CX:$CX),"")</f>
        <v/>
      </c>
      <c r="J304" s="200" t="str">
        <f>IFERROR(_xlfn.XLOOKUP($A304,Input_Raw!$A:$A,Input_Raw!$CZ:$CZ),"")</f>
        <v/>
      </c>
      <c r="K304" s="201" t="str">
        <f>IFERROR(_xlfn.XLOOKUP($A304,Input_Raw!$A:$A,Input_Raw!$DB:$DB),"")</f>
        <v/>
      </c>
      <c r="L304" s="201" t="str">
        <f>IFERROR(_xlfn.XLOOKUP($A304,Input_Raw!$A:$A,Input_Raw!$DC:$DC),"")</f>
        <v/>
      </c>
      <c r="M304" s="200" t="str">
        <f>IFERROR(_xlfn.XLOOKUP($A304,Input_Raw!$A:$A,Input_Raw!$DF:$DF),"")</f>
        <v/>
      </c>
      <c r="N304" s="200" t="str">
        <f>IFERROR(_xlfn.XLOOKUP($A304,Input_Raw!$A:$A,Input_Raw!$DG:$DG),"")</f>
        <v/>
      </c>
      <c r="O304" s="230" t="str">
        <f>IFERROR(1-(SUMIF(Plant_BD!$B:$B,$A304,Plant_BD!$AL:$AL)/($AA304+SUMIF(Plant_BD!$B:$B,$A304,Plant_BD!$AL:$AL))),"")</f>
        <v/>
      </c>
      <c r="P304" s="230"/>
      <c r="Q304" s="231" t="str">
        <f>IFERROR(1-(SUMIF(Grid_BD!$B:$B,$A304,Grid_BD!$V:$V)/($AA304+SUMIF(Grid_BD!$B:$B,$A304,Grid_BD!$V:$V))),"")</f>
        <v/>
      </c>
      <c r="R304" s="230" t="str">
        <f>IFERROR(1-(SUMIF(Grid_BD!$B:$B,$A304,Grid_BD!$V:$V)/($AA304+SUMIF(Grid_BD!$B:$B,$A304,Grid_BD!$V:$V))),"")</f>
        <v/>
      </c>
      <c r="S304" s="9"/>
      <c r="T304" s="231"/>
      <c r="U304" s="232" t="str">
        <f t="shared" si="26"/>
        <v/>
      </c>
      <c r="V304" s="232" t="str">
        <f>IFERROR(_xlfn.XLOOKUP($A304,Input_Raw!$A:$A,Input_Raw!$FG:$FG),"")</f>
        <v/>
      </c>
      <c r="W304" s="233" t="str">
        <f t="shared" si="27"/>
        <v/>
      </c>
      <c r="X304" s="29" t="str">
        <f>IFERROR(_xlfn.XLOOKUP($A304,Input_Raw!$A:$A,Input_Raw!$DP:$DP),"")</f>
        <v/>
      </c>
      <c r="Y304" s="29" t="str">
        <f>IFERROR(_xlfn.XLOOKUP($A304,Input_Raw!$A:$A,Input_Raw!EW:EW),"")</f>
        <v/>
      </c>
      <c r="Z304" s="29" t="str">
        <f>IFERROR(_xlfn.XLOOKUP($A304,Input_Raw!$A:$A,Input_Raw!EX:EX),"")</f>
        <v/>
      </c>
      <c r="AA304" s="29" t="str">
        <f>IFERROR(_xlfn.XLOOKUP($A304,Input_Raw!$A:$A,Input_Raw!FA:FA),"")</f>
        <v/>
      </c>
      <c r="AB304" s="9" t="str">
        <f>IFERROR(_xlfn.XLOOKUP($A304,Input_Raw!$A:$A,Input_Raw!FD:FD),"")</f>
        <v/>
      </c>
      <c r="AC304" s="185">
        <f>IFERROR(_xlfn.XLOOKUP($D304,'Modelling New'!$D:$D,'Modelling New'!P:P),"")</f>
        <v>5.5161290322580649</v>
      </c>
      <c r="AD304" s="29">
        <f>IFERROR(_xlfn.XLOOKUP($D304,'Modelling New'!$D:$D,'Modelling New'!T:T)*1000,"")</f>
        <v>613939.49222257547</v>
      </c>
      <c r="AE304" s="233">
        <f>IFERROR(_xlfn.XLOOKUP($D304,'Modelling New'!$D:$D,'Modelling New'!O:O),"")</f>
        <v>0.85614594057129279</v>
      </c>
      <c r="AF304" s="233">
        <f>IFERROR(_xlfn.XLOOKUP($D304,'Modelling New'!$D:$D,'Modelling New'!W:W),"")</f>
        <v>0.19677547827646649</v>
      </c>
      <c r="AG304" s="233">
        <f>IFERROR(_xlfn.XLOOKUP($D304,'Modelling New'!$D:$D,'Modelling New'!AE:AE),"")</f>
        <v>0.995</v>
      </c>
      <c r="AH304" s="234">
        <f>IFERROR(_xlfn.XLOOKUP($D304,'Modelling New'!$D:$D,'Modelling New'!AF:AF),"")</f>
        <v>0.995</v>
      </c>
      <c r="AI304" s="9"/>
      <c r="AJ304" s="9"/>
      <c r="AK304" s="258"/>
      <c r="AL304" s="258"/>
      <c r="AM304" s="258"/>
      <c r="AN304" s="235"/>
      <c r="AO304" s="233"/>
      <c r="AP304" s="233"/>
      <c r="AQ304" s="233"/>
      <c r="AR304" s="236">
        <f>_xlfn.XLOOKUP(D304,'Modelling New'!$D:$D,'Modelling New'!$N:$N)</f>
        <v>130</v>
      </c>
      <c r="AS304" s="236" t="str">
        <f t="shared" si="28"/>
        <v/>
      </c>
    </row>
    <row r="305" spans="1:45">
      <c r="A305" s="18">
        <f t="shared" si="29"/>
        <v>46048</v>
      </c>
      <c r="B305" s="29">
        <f>YEAR(Table13[[#This Row],[Date]])+IF(MONTH(Table13[[#This Row],[Date]])&gt;=4,1,0)</f>
        <v>2026</v>
      </c>
      <c r="C305" s="9">
        <f>YEAR(Table13[[#This Row],[Date]])</f>
        <v>2026</v>
      </c>
      <c r="D305" s="229">
        <f>Table13[[#This Row],[Date]]-DAY(Table13[[#This Row],[Date]])+1</f>
        <v>46023</v>
      </c>
      <c r="E305" s="9">
        <f t="shared" si="25"/>
        <v>31</v>
      </c>
      <c r="F305" s="199" t="str">
        <f>IFERROR(_xlfn.XLOOKUP($A305,Input_Raw!$A:$A,Input_Raw!$FC:$FC),"")</f>
        <v/>
      </c>
      <c r="G305" s="185" t="str">
        <f>IFERROR(_xlfn.XLOOKUP($A305,Input_Raw!$A:$A,Input_Raw!$CY:$CY),"")</f>
        <v/>
      </c>
      <c r="H305" s="185" t="str">
        <f>IFERROR(_xlfn.XLOOKUP($A305,Input_Raw!$A:$A,Input_Raw!$DA:$DA),"")</f>
        <v/>
      </c>
      <c r="I305" s="185" t="str">
        <f>IFERROR(_xlfn.XLOOKUP($A305,Input_Raw!$A:$A,Input_Raw!$CX:$CX),"")</f>
        <v/>
      </c>
      <c r="J305" s="185" t="str">
        <f>IFERROR(_xlfn.XLOOKUP($A305,Input_Raw!$A:$A,Input_Raw!$CZ:$CZ),"")</f>
        <v/>
      </c>
      <c r="K305" s="201" t="str">
        <f>IFERROR(_xlfn.XLOOKUP($A305,Input_Raw!$A:$A,Input_Raw!$DB:$DB),"")</f>
        <v/>
      </c>
      <c r="L305" s="201" t="str">
        <f>IFERROR(_xlfn.XLOOKUP($A305,Input_Raw!$A:$A,Input_Raw!$DC:$DC),"")</f>
        <v/>
      </c>
      <c r="M305" s="200" t="str">
        <f>IFERROR(_xlfn.XLOOKUP($A305,Input_Raw!$A:$A,Input_Raw!$DF:$DF),"")</f>
        <v/>
      </c>
      <c r="N305" s="200" t="str">
        <f>IFERROR(_xlfn.XLOOKUP($A305,Input_Raw!$A:$A,Input_Raw!$DG:$DG),"")</f>
        <v/>
      </c>
      <c r="O305" s="230" t="str">
        <f>IFERROR(1-(SUMIF(Plant_BD!$B:$B,$A305,Plant_BD!$AL:$AL)/($AA305+SUMIF(Plant_BD!$B:$B,$A305,Plant_BD!$AL:$AL))),"")</f>
        <v/>
      </c>
      <c r="P305" s="230"/>
      <c r="Q305" s="231" t="str">
        <f>IFERROR(1-(SUMIF(Grid_BD!$B:$B,$A305,Grid_BD!$V:$V)/($AA305+SUMIF(Grid_BD!$B:$B,$A305,Grid_BD!$V:$V))),"")</f>
        <v/>
      </c>
      <c r="R305" s="230" t="str">
        <f>IFERROR(1-(SUMIF(Grid_BD!$B:$B,$A305,Grid_BD!$V:$V)/($AA305+SUMIF(Grid_BD!$B:$B,$A305,Grid_BD!$V:$V))),"")</f>
        <v/>
      </c>
      <c r="S305" s="9"/>
      <c r="T305" s="231"/>
      <c r="U305" s="232" t="str">
        <f t="shared" si="26"/>
        <v/>
      </c>
      <c r="V305" s="232" t="str">
        <f>IFERROR(_xlfn.XLOOKUP($A305,Input_Raw!$A:$A,Input_Raw!$FG:$FG),"")</f>
        <v/>
      </c>
      <c r="W305" s="233" t="str">
        <f t="shared" si="27"/>
        <v/>
      </c>
      <c r="X305" s="29" t="str">
        <f>IFERROR(_xlfn.XLOOKUP($A305,Input_Raw!$A:$A,Input_Raw!$DP:$DP),"")</f>
        <v/>
      </c>
      <c r="Y305" s="29" t="str">
        <f>IFERROR(_xlfn.XLOOKUP($A305,Input_Raw!$A:$A,Input_Raw!EW:EW),"")</f>
        <v/>
      </c>
      <c r="Z305" s="29" t="str">
        <f>IFERROR(_xlfn.XLOOKUP($A305,Input_Raw!$A:$A,Input_Raw!EX:EX),"")</f>
        <v/>
      </c>
      <c r="AA305" s="29" t="str">
        <f>IFERROR(_xlfn.XLOOKUP($A305,Input_Raw!$A:$A,Input_Raw!FA:FA),"")</f>
        <v/>
      </c>
      <c r="AB305" s="9" t="str">
        <f>IFERROR(_xlfn.XLOOKUP($A305,Input_Raw!$A:$A,Input_Raw!FD:FD),"")</f>
        <v/>
      </c>
      <c r="AC305" s="185">
        <f>IFERROR(_xlfn.XLOOKUP($D305,'Modelling New'!$D:$D,'Modelling New'!P:P),"")</f>
        <v>5.5161290322580649</v>
      </c>
      <c r="AD305" s="29">
        <f>IFERROR(_xlfn.XLOOKUP($D305,'Modelling New'!$D:$D,'Modelling New'!T:T)*1000,"")</f>
        <v>613939.49222257547</v>
      </c>
      <c r="AE305" s="233">
        <f>IFERROR(_xlfn.XLOOKUP($D305,'Modelling New'!$D:$D,'Modelling New'!O:O),"")</f>
        <v>0.85614594057129279</v>
      </c>
      <c r="AF305" s="233">
        <f>IFERROR(_xlfn.XLOOKUP($D305,'Modelling New'!$D:$D,'Modelling New'!W:W),"")</f>
        <v>0.19677547827646649</v>
      </c>
      <c r="AG305" s="233">
        <f>IFERROR(_xlfn.XLOOKUP($D305,'Modelling New'!$D:$D,'Modelling New'!AE:AE),"")</f>
        <v>0.995</v>
      </c>
      <c r="AH305" s="234">
        <f>IFERROR(_xlfn.XLOOKUP($D305,'Modelling New'!$D:$D,'Modelling New'!AF:AF),"")</f>
        <v>0.995</v>
      </c>
      <c r="AI305" s="9"/>
      <c r="AJ305" s="9"/>
      <c r="AK305" s="258"/>
      <c r="AL305" s="258"/>
      <c r="AM305" s="258"/>
      <c r="AN305" s="235"/>
      <c r="AO305" s="233"/>
      <c r="AP305" s="233"/>
      <c r="AQ305" s="233"/>
      <c r="AR305" s="236">
        <f>_xlfn.XLOOKUP(D305,'Modelling New'!$D:$D,'Modelling New'!$N:$N)</f>
        <v>130</v>
      </c>
      <c r="AS305" s="236" t="str">
        <f t="shared" si="28"/>
        <v/>
      </c>
    </row>
    <row r="306" spans="1:45">
      <c r="A306" s="18">
        <f t="shared" si="29"/>
        <v>46049</v>
      </c>
      <c r="B306" s="29">
        <f>YEAR(Table13[[#This Row],[Date]])+IF(MONTH(Table13[[#This Row],[Date]])&gt;=4,1,0)</f>
        <v>2026</v>
      </c>
      <c r="C306" s="9">
        <f>YEAR(Table13[[#This Row],[Date]])</f>
        <v>2026</v>
      </c>
      <c r="D306" s="229">
        <f>Table13[[#This Row],[Date]]-DAY(Table13[[#This Row],[Date]])+1</f>
        <v>46023</v>
      </c>
      <c r="E306" s="9">
        <f t="shared" si="25"/>
        <v>31</v>
      </c>
      <c r="F306" s="199" t="str">
        <f>IFERROR(_xlfn.XLOOKUP($A306,Input_Raw!$A:$A,Input_Raw!$FC:$FC),"")</f>
        <v/>
      </c>
      <c r="G306" s="200" t="str">
        <f>IFERROR(_xlfn.XLOOKUP($A306,Input_Raw!$A:$A,Input_Raw!$CY:$CY),"")</f>
        <v/>
      </c>
      <c r="H306" s="200" t="str">
        <f>IFERROR(_xlfn.XLOOKUP($A306,Input_Raw!$A:$A,Input_Raw!$DA:$DA),"")</f>
        <v/>
      </c>
      <c r="I306" s="200" t="str">
        <f>IFERROR(_xlfn.XLOOKUP($A306,Input_Raw!$A:$A,Input_Raw!$CX:$CX),"")</f>
        <v/>
      </c>
      <c r="J306" s="200" t="str">
        <f>IFERROR(_xlfn.XLOOKUP($A306,Input_Raw!$A:$A,Input_Raw!$CZ:$CZ),"")</f>
        <v/>
      </c>
      <c r="K306" s="201" t="str">
        <f>IFERROR(_xlfn.XLOOKUP($A306,Input_Raw!$A:$A,Input_Raw!$DB:$DB),"")</f>
        <v/>
      </c>
      <c r="L306" s="201" t="str">
        <f>IFERROR(_xlfn.XLOOKUP($A306,Input_Raw!$A:$A,Input_Raw!$DC:$DC),"")</f>
        <v/>
      </c>
      <c r="M306" s="200" t="str">
        <f>IFERROR(_xlfn.XLOOKUP($A306,Input_Raw!$A:$A,Input_Raw!$DF:$DF),"")</f>
        <v/>
      </c>
      <c r="N306" s="200" t="str">
        <f>IFERROR(_xlfn.XLOOKUP($A306,Input_Raw!$A:$A,Input_Raw!$DG:$DG),"")</f>
        <v/>
      </c>
      <c r="O306" s="230" t="str">
        <f>IFERROR(1-(SUMIF(Plant_BD!$B:$B,$A306,Plant_BD!$AL:$AL)/($AA306+SUMIF(Plant_BD!$B:$B,$A306,Plant_BD!$AL:$AL))),"")</f>
        <v/>
      </c>
      <c r="P306" s="230"/>
      <c r="Q306" s="231" t="str">
        <f>IFERROR(1-(SUMIF(Grid_BD!$B:$B,$A306,Grid_BD!$V:$V)/($AA306+SUMIF(Grid_BD!$B:$B,$A306,Grid_BD!$V:$V))),"")</f>
        <v/>
      </c>
      <c r="R306" s="230" t="str">
        <f>IFERROR(1-(SUMIF(Grid_BD!$B:$B,$A306,Grid_BD!$V:$V)/($AA306+SUMIF(Grid_BD!$B:$B,$A306,Grid_BD!$V:$V))),"")</f>
        <v/>
      </c>
      <c r="S306" s="9"/>
      <c r="T306" s="231"/>
      <c r="U306" s="232" t="str">
        <f t="shared" si="26"/>
        <v/>
      </c>
      <c r="V306" s="232" t="str">
        <f>IFERROR(_xlfn.XLOOKUP($A306,Input_Raw!$A:$A,Input_Raw!$FG:$FG),"")</f>
        <v/>
      </c>
      <c r="W306" s="233" t="str">
        <f t="shared" si="27"/>
        <v/>
      </c>
      <c r="X306" s="29" t="str">
        <f>IFERROR(_xlfn.XLOOKUP($A306,Input_Raw!$A:$A,Input_Raw!$DP:$DP),"")</f>
        <v/>
      </c>
      <c r="Y306" s="29" t="str">
        <f>IFERROR(_xlfn.XLOOKUP($A306,Input_Raw!$A:$A,Input_Raw!EW:EW),"")</f>
        <v/>
      </c>
      <c r="Z306" s="29" t="str">
        <f>IFERROR(_xlfn.XLOOKUP($A306,Input_Raw!$A:$A,Input_Raw!EX:EX),"")</f>
        <v/>
      </c>
      <c r="AA306" s="29" t="str">
        <f>IFERROR(_xlfn.XLOOKUP($A306,Input_Raw!$A:$A,Input_Raw!FA:FA),"")</f>
        <v/>
      </c>
      <c r="AB306" s="9" t="str">
        <f>IFERROR(_xlfn.XLOOKUP($A306,Input_Raw!$A:$A,Input_Raw!FD:FD),"")</f>
        <v/>
      </c>
      <c r="AC306" s="185">
        <f>IFERROR(_xlfn.XLOOKUP($D306,'Modelling New'!$D:$D,'Modelling New'!P:P),"")</f>
        <v>5.5161290322580649</v>
      </c>
      <c r="AD306" s="29">
        <f>IFERROR(_xlfn.XLOOKUP($D306,'Modelling New'!$D:$D,'Modelling New'!T:T)*1000,"")</f>
        <v>613939.49222257547</v>
      </c>
      <c r="AE306" s="233">
        <f>IFERROR(_xlfn.XLOOKUP($D306,'Modelling New'!$D:$D,'Modelling New'!O:O),"")</f>
        <v>0.85614594057129279</v>
      </c>
      <c r="AF306" s="233">
        <f>IFERROR(_xlfn.XLOOKUP($D306,'Modelling New'!$D:$D,'Modelling New'!W:W),"")</f>
        <v>0.19677547827646649</v>
      </c>
      <c r="AG306" s="233">
        <f>IFERROR(_xlfn.XLOOKUP($D306,'Modelling New'!$D:$D,'Modelling New'!AE:AE),"")</f>
        <v>0.995</v>
      </c>
      <c r="AH306" s="234">
        <f>IFERROR(_xlfn.XLOOKUP($D306,'Modelling New'!$D:$D,'Modelling New'!AF:AF),"")</f>
        <v>0.995</v>
      </c>
      <c r="AI306" s="9"/>
      <c r="AJ306" s="9"/>
      <c r="AK306" s="258"/>
      <c r="AL306" s="258"/>
      <c r="AM306" s="258"/>
      <c r="AN306" s="235"/>
      <c r="AO306" s="233"/>
      <c r="AP306" s="233"/>
      <c r="AQ306" s="233"/>
      <c r="AR306" s="236">
        <f>_xlfn.XLOOKUP(D306,'Modelling New'!$D:$D,'Modelling New'!$N:$N)</f>
        <v>130</v>
      </c>
      <c r="AS306" s="236" t="str">
        <f t="shared" si="28"/>
        <v/>
      </c>
    </row>
    <row r="307" spans="1:45">
      <c r="A307" s="18">
        <f t="shared" si="29"/>
        <v>46050</v>
      </c>
      <c r="B307" s="29">
        <f>YEAR(Table13[[#This Row],[Date]])+IF(MONTH(Table13[[#This Row],[Date]])&gt;=4,1,0)</f>
        <v>2026</v>
      </c>
      <c r="C307" s="9">
        <f>YEAR(Table13[[#This Row],[Date]])</f>
        <v>2026</v>
      </c>
      <c r="D307" s="229">
        <f>Table13[[#This Row],[Date]]-DAY(Table13[[#This Row],[Date]])+1</f>
        <v>46023</v>
      </c>
      <c r="E307" s="9">
        <f t="shared" si="25"/>
        <v>31</v>
      </c>
      <c r="F307" s="199" t="str">
        <f>IFERROR(_xlfn.XLOOKUP($A307,Input_Raw!$A:$A,Input_Raw!$FC:$FC),"")</f>
        <v/>
      </c>
      <c r="G307" s="185" t="str">
        <f>IFERROR(_xlfn.XLOOKUP($A307,Input_Raw!$A:$A,Input_Raw!$CY:$CY),"")</f>
        <v/>
      </c>
      <c r="H307" s="185" t="str">
        <f>IFERROR(_xlfn.XLOOKUP($A307,Input_Raw!$A:$A,Input_Raw!$DA:$DA),"")</f>
        <v/>
      </c>
      <c r="I307" s="185" t="str">
        <f>IFERROR(_xlfn.XLOOKUP($A307,Input_Raw!$A:$A,Input_Raw!$CX:$CX),"")</f>
        <v/>
      </c>
      <c r="J307" s="185" t="str">
        <f>IFERROR(_xlfn.XLOOKUP($A307,Input_Raw!$A:$A,Input_Raw!$CZ:$CZ),"")</f>
        <v/>
      </c>
      <c r="K307" s="201" t="str">
        <f>IFERROR(_xlfn.XLOOKUP($A307,Input_Raw!$A:$A,Input_Raw!$DB:$DB),"")</f>
        <v/>
      </c>
      <c r="L307" s="201" t="str">
        <f>IFERROR(_xlfn.XLOOKUP($A307,Input_Raw!$A:$A,Input_Raw!$DC:$DC),"")</f>
        <v/>
      </c>
      <c r="M307" s="200" t="str">
        <f>IFERROR(_xlfn.XLOOKUP($A307,Input_Raw!$A:$A,Input_Raw!$DF:$DF),"")</f>
        <v/>
      </c>
      <c r="N307" s="200" t="str">
        <f>IFERROR(_xlfn.XLOOKUP($A307,Input_Raw!$A:$A,Input_Raw!$DG:$DG),"")</f>
        <v/>
      </c>
      <c r="O307" s="230" t="str">
        <f>IFERROR(1-(SUMIF(Plant_BD!$B:$B,$A307,Plant_BD!$AL:$AL)/($AA307+SUMIF(Plant_BD!$B:$B,$A307,Plant_BD!$AL:$AL))),"")</f>
        <v/>
      </c>
      <c r="P307" s="230"/>
      <c r="Q307" s="231" t="str">
        <f>IFERROR(1-(SUMIF(Grid_BD!$B:$B,$A307,Grid_BD!$V:$V)/($AA307+SUMIF(Grid_BD!$B:$B,$A307,Grid_BD!$V:$V))),"")</f>
        <v/>
      </c>
      <c r="R307" s="230" t="str">
        <f>IFERROR(1-(SUMIF(Grid_BD!$B:$B,$A307,Grid_BD!$V:$V)/($AA307+SUMIF(Grid_BD!$B:$B,$A307,Grid_BD!$V:$V))),"")</f>
        <v/>
      </c>
      <c r="S307" s="9"/>
      <c r="T307" s="231"/>
      <c r="U307" s="232" t="str">
        <f t="shared" si="26"/>
        <v/>
      </c>
      <c r="V307" s="232" t="str">
        <f>IFERROR(_xlfn.XLOOKUP($A307,Input_Raw!$A:$A,Input_Raw!$FG:$FG),"")</f>
        <v/>
      </c>
      <c r="W307" s="233" t="str">
        <f t="shared" si="27"/>
        <v/>
      </c>
      <c r="X307" s="29" t="str">
        <f>IFERROR(_xlfn.XLOOKUP($A307,Input_Raw!$A:$A,Input_Raw!$DP:$DP),"")</f>
        <v/>
      </c>
      <c r="Y307" s="29" t="str">
        <f>IFERROR(_xlfn.XLOOKUP($A307,Input_Raw!$A:$A,Input_Raw!EW:EW),"")</f>
        <v/>
      </c>
      <c r="Z307" s="29" t="str">
        <f>IFERROR(_xlfn.XLOOKUP($A307,Input_Raw!$A:$A,Input_Raw!EX:EX),"")</f>
        <v/>
      </c>
      <c r="AA307" s="29" t="str">
        <f>IFERROR(_xlfn.XLOOKUP($A307,Input_Raw!$A:$A,Input_Raw!FA:FA),"")</f>
        <v/>
      </c>
      <c r="AB307" s="9" t="str">
        <f>IFERROR(_xlfn.XLOOKUP($A307,Input_Raw!$A:$A,Input_Raw!FD:FD),"")</f>
        <v/>
      </c>
      <c r="AC307" s="185">
        <f>IFERROR(_xlfn.XLOOKUP($D307,'Modelling New'!$D:$D,'Modelling New'!P:P),"")</f>
        <v>5.5161290322580649</v>
      </c>
      <c r="AD307" s="29">
        <f>IFERROR(_xlfn.XLOOKUP($D307,'Modelling New'!$D:$D,'Modelling New'!T:T)*1000,"")</f>
        <v>613939.49222257547</v>
      </c>
      <c r="AE307" s="233">
        <f>IFERROR(_xlfn.XLOOKUP($D307,'Modelling New'!$D:$D,'Modelling New'!O:O),"")</f>
        <v>0.85614594057129279</v>
      </c>
      <c r="AF307" s="233">
        <f>IFERROR(_xlfn.XLOOKUP($D307,'Modelling New'!$D:$D,'Modelling New'!W:W),"")</f>
        <v>0.19677547827646649</v>
      </c>
      <c r="AG307" s="233">
        <f>IFERROR(_xlfn.XLOOKUP($D307,'Modelling New'!$D:$D,'Modelling New'!AE:AE),"")</f>
        <v>0.995</v>
      </c>
      <c r="AH307" s="234">
        <f>IFERROR(_xlfn.XLOOKUP($D307,'Modelling New'!$D:$D,'Modelling New'!AF:AF),"")</f>
        <v>0.995</v>
      </c>
      <c r="AI307" s="9"/>
      <c r="AJ307" s="9"/>
      <c r="AK307" s="258"/>
      <c r="AL307" s="258"/>
      <c r="AM307" s="258"/>
      <c r="AN307" s="235"/>
      <c r="AO307" s="233"/>
      <c r="AP307" s="233"/>
      <c r="AQ307" s="233"/>
      <c r="AR307" s="236">
        <f>_xlfn.XLOOKUP(D307,'Modelling New'!$D:$D,'Modelling New'!$N:$N)</f>
        <v>130</v>
      </c>
      <c r="AS307" s="236" t="str">
        <f t="shared" si="28"/>
        <v/>
      </c>
    </row>
    <row r="308" spans="1:45">
      <c r="A308" s="18">
        <f t="shared" si="29"/>
        <v>46051</v>
      </c>
      <c r="B308" s="29">
        <f>YEAR(Table13[[#This Row],[Date]])+IF(MONTH(Table13[[#This Row],[Date]])&gt;=4,1,0)</f>
        <v>2026</v>
      </c>
      <c r="C308" s="9">
        <f>YEAR(Table13[[#This Row],[Date]])</f>
        <v>2026</v>
      </c>
      <c r="D308" s="229">
        <f>Table13[[#This Row],[Date]]-DAY(Table13[[#This Row],[Date]])+1</f>
        <v>46023</v>
      </c>
      <c r="E308" s="9">
        <f t="shared" si="25"/>
        <v>31</v>
      </c>
      <c r="F308" s="199" t="str">
        <f>IFERROR(_xlfn.XLOOKUP($A308,Input_Raw!$A:$A,Input_Raw!$FC:$FC),"")</f>
        <v/>
      </c>
      <c r="G308" s="200" t="str">
        <f>IFERROR(_xlfn.XLOOKUP($A308,Input_Raw!$A:$A,Input_Raw!$CY:$CY),"")</f>
        <v/>
      </c>
      <c r="H308" s="200" t="str">
        <f>IFERROR(_xlfn.XLOOKUP($A308,Input_Raw!$A:$A,Input_Raw!$DA:$DA),"")</f>
        <v/>
      </c>
      <c r="I308" s="200" t="str">
        <f>IFERROR(_xlfn.XLOOKUP($A308,Input_Raw!$A:$A,Input_Raw!$CX:$CX),"")</f>
        <v/>
      </c>
      <c r="J308" s="200" t="str">
        <f>IFERROR(_xlfn.XLOOKUP($A308,Input_Raw!$A:$A,Input_Raw!$CZ:$CZ),"")</f>
        <v/>
      </c>
      <c r="K308" s="201" t="str">
        <f>IFERROR(_xlfn.XLOOKUP($A308,Input_Raw!$A:$A,Input_Raw!$DB:$DB),"")</f>
        <v/>
      </c>
      <c r="L308" s="201" t="str">
        <f>IFERROR(_xlfn.XLOOKUP($A308,Input_Raw!$A:$A,Input_Raw!$DC:$DC),"")</f>
        <v/>
      </c>
      <c r="M308" s="200" t="str">
        <f>IFERROR(_xlfn.XLOOKUP($A308,Input_Raw!$A:$A,Input_Raw!$DF:$DF),"")</f>
        <v/>
      </c>
      <c r="N308" s="200" t="str">
        <f>IFERROR(_xlfn.XLOOKUP($A308,Input_Raw!$A:$A,Input_Raw!$DG:$DG),"")</f>
        <v/>
      </c>
      <c r="O308" s="230" t="str">
        <f>IFERROR(1-(SUMIF(Plant_BD!$B:$B,$A308,Plant_BD!$AL:$AL)/($AA308+SUMIF(Plant_BD!$B:$B,$A308,Plant_BD!$AL:$AL))),"")</f>
        <v/>
      </c>
      <c r="P308" s="230"/>
      <c r="Q308" s="231" t="str">
        <f>IFERROR(1-(SUMIF(Grid_BD!$B:$B,$A308,Grid_BD!$V:$V)/($AA308+SUMIF(Grid_BD!$B:$B,$A308,Grid_BD!$V:$V))),"")</f>
        <v/>
      </c>
      <c r="R308" s="230" t="str">
        <f>IFERROR(1-(SUMIF(Grid_BD!$B:$B,$A308,Grid_BD!$V:$V)/($AA308+SUMIF(Grid_BD!$B:$B,$A308,Grid_BD!$V:$V))),"")</f>
        <v/>
      </c>
      <c r="S308" s="9"/>
      <c r="T308" s="231"/>
      <c r="U308" s="232" t="str">
        <f t="shared" si="26"/>
        <v/>
      </c>
      <c r="V308" s="232" t="str">
        <f>IFERROR(_xlfn.XLOOKUP($A308,Input_Raw!$A:$A,Input_Raw!$FG:$FG),"")</f>
        <v/>
      </c>
      <c r="W308" s="233" t="str">
        <f t="shared" si="27"/>
        <v/>
      </c>
      <c r="X308" s="29" t="str">
        <f>IFERROR(_xlfn.XLOOKUP($A308,Input_Raw!$A:$A,Input_Raw!$DP:$DP),"")</f>
        <v/>
      </c>
      <c r="Y308" s="29" t="str">
        <f>IFERROR(_xlfn.XLOOKUP($A308,Input_Raw!$A:$A,Input_Raw!EW:EW),"")</f>
        <v/>
      </c>
      <c r="Z308" s="29" t="str">
        <f>IFERROR(_xlfn.XLOOKUP($A308,Input_Raw!$A:$A,Input_Raw!EX:EX),"")</f>
        <v/>
      </c>
      <c r="AA308" s="29" t="str">
        <f>IFERROR(_xlfn.XLOOKUP($A308,Input_Raw!$A:$A,Input_Raw!FA:FA),"")</f>
        <v/>
      </c>
      <c r="AB308" s="9" t="str">
        <f>IFERROR(_xlfn.XLOOKUP($A308,Input_Raw!$A:$A,Input_Raw!FD:FD),"")</f>
        <v/>
      </c>
      <c r="AC308" s="185">
        <f>IFERROR(_xlfn.XLOOKUP($D308,'Modelling New'!$D:$D,'Modelling New'!P:P),"")</f>
        <v>5.5161290322580649</v>
      </c>
      <c r="AD308" s="29">
        <f>IFERROR(_xlfn.XLOOKUP($D308,'Modelling New'!$D:$D,'Modelling New'!T:T)*1000,"")</f>
        <v>613939.49222257547</v>
      </c>
      <c r="AE308" s="233">
        <f>IFERROR(_xlfn.XLOOKUP($D308,'Modelling New'!$D:$D,'Modelling New'!O:O),"")</f>
        <v>0.85614594057129279</v>
      </c>
      <c r="AF308" s="233">
        <f>IFERROR(_xlfn.XLOOKUP($D308,'Modelling New'!$D:$D,'Modelling New'!W:W),"")</f>
        <v>0.19677547827646649</v>
      </c>
      <c r="AG308" s="233">
        <f>IFERROR(_xlfn.XLOOKUP($D308,'Modelling New'!$D:$D,'Modelling New'!AE:AE),"")</f>
        <v>0.995</v>
      </c>
      <c r="AH308" s="234">
        <f>IFERROR(_xlfn.XLOOKUP($D308,'Modelling New'!$D:$D,'Modelling New'!AF:AF),"")</f>
        <v>0.995</v>
      </c>
      <c r="AI308" s="9"/>
      <c r="AJ308" s="9"/>
      <c r="AK308" s="258"/>
      <c r="AL308" s="258"/>
      <c r="AM308" s="258"/>
      <c r="AN308" s="235"/>
      <c r="AO308" s="233"/>
      <c r="AP308" s="233"/>
      <c r="AQ308" s="233"/>
      <c r="AR308" s="236">
        <f>_xlfn.XLOOKUP(D308,'Modelling New'!$D:$D,'Modelling New'!$N:$N)</f>
        <v>130</v>
      </c>
      <c r="AS308" s="236" t="str">
        <f t="shared" si="28"/>
        <v/>
      </c>
    </row>
    <row r="309" spans="1:45">
      <c r="A309" s="18">
        <f t="shared" si="29"/>
        <v>46052</v>
      </c>
      <c r="B309" s="29">
        <f>YEAR(Table13[[#This Row],[Date]])+IF(MONTH(Table13[[#This Row],[Date]])&gt;=4,1,0)</f>
        <v>2026</v>
      </c>
      <c r="C309" s="9">
        <f>YEAR(Table13[[#This Row],[Date]])</f>
        <v>2026</v>
      </c>
      <c r="D309" s="229">
        <f>Table13[[#This Row],[Date]]-DAY(Table13[[#This Row],[Date]])+1</f>
        <v>46023</v>
      </c>
      <c r="E309" s="9">
        <f t="shared" si="25"/>
        <v>31</v>
      </c>
      <c r="F309" s="199" t="str">
        <f>IFERROR(_xlfn.XLOOKUP($A309,Input_Raw!$A:$A,Input_Raw!$FC:$FC),"")</f>
        <v/>
      </c>
      <c r="G309" s="185" t="str">
        <f>IFERROR(_xlfn.XLOOKUP($A309,Input_Raw!$A:$A,Input_Raw!$CY:$CY),"")</f>
        <v/>
      </c>
      <c r="H309" s="185" t="str">
        <f>IFERROR(_xlfn.XLOOKUP($A309,Input_Raw!$A:$A,Input_Raw!$DA:$DA),"")</f>
        <v/>
      </c>
      <c r="I309" s="185" t="str">
        <f>IFERROR(_xlfn.XLOOKUP($A309,Input_Raw!$A:$A,Input_Raw!$CX:$CX),"")</f>
        <v/>
      </c>
      <c r="J309" s="185" t="str">
        <f>IFERROR(_xlfn.XLOOKUP($A309,Input_Raw!$A:$A,Input_Raw!$CZ:$CZ),"")</f>
        <v/>
      </c>
      <c r="K309" s="201" t="str">
        <f>IFERROR(_xlfn.XLOOKUP($A309,Input_Raw!$A:$A,Input_Raw!$DB:$DB),"")</f>
        <v/>
      </c>
      <c r="L309" s="201" t="str">
        <f>IFERROR(_xlfn.XLOOKUP($A309,Input_Raw!$A:$A,Input_Raw!$DC:$DC),"")</f>
        <v/>
      </c>
      <c r="M309" s="200" t="str">
        <f>IFERROR(_xlfn.XLOOKUP($A309,Input_Raw!$A:$A,Input_Raw!$DF:$DF),"")</f>
        <v/>
      </c>
      <c r="N309" s="200" t="str">
        <f>IFERROR(_xlfn.XLOOKUP($A309,Input_Raw!$A:$A,Input_Raw!$DG:$DG),"")</f>
        <v/>
      </c>
      <c r="O309" s="230" t="str">
        <f>IFERROR(1-(SUMIF(Plant_BD!$B:$B,$A309,Plant_BD!$AL:$AL)/($AA309+SUMIF(Plant_BD!$B:$B,$A309,Plant_BD!$AL:$AL))),"")</f>
        <v/>
      </c>
      <c r="P309" s="230"/>
      <c r="Q309" s="231" t="str">
        <f>IFERROR(1-(SUMIF(Grid_BD!$B:$B,$A309,Grid_BD!$V:$V)/($AA309+SUMIF(Grid_BD!$B:$B,$A309,Grid_BD!$V:$V))),"")</f>
        <v/>
      </c>
      <c r="R309" s="230" t="str">
        <f>IFERROR(1-(SUMIF(Grid_BD!$B:$B,$A309,Grid_BD!$V:$V)/($AA309+SUMIF(Grid_BD!$B:$B,$A309,Grid_BD!$V:$V))),"")</f>
        <v/>
      </c>
      <c r="S309" s="9"/>
      <c r="T309" s="231"/>
      <c r="U309" s="232" t="str">
        <f t="shared" si="26"/>
        <v/>
      </c>
      <c r="V309" s="232" t="str">
        <f>IFERROR(_xlfn.XLOOKUP($A309,Input_Raw!$A:$A,Input_Raw!$FG:$FG),"")</f>
        <v/>
      </c>
      <c r="W309" s="233" t="str">
        <f t="shared" si="27"/>
        <v/>
      </c>
      <c r="X309" s="29" t="str">
        <f>IFERROR(_xlfn.XLOOKUP($A309,Input_Raw!$A:$A,Input_Raw!$DP:$DP),"")</f>
        <v/>
      </c>
      <c r="Y309" s="29" t="str">
        <f>IFERROR(_xlfn.XLOOKUP($A309,Input_Raw!$A:$A,Input_Raw!EW:EW),"")</f>
        <v/>
      </c>
      <c r="Z309" s="29" t="str">
        <f>IFERROR(_xlfn.XLOOKUP($A309,Input_Raw!$A:$A,Input_Raw!EX:EX),"")</f>
        <v/>
      </c>
      <c r="AA309" s="29" t="str">
        <f>IFERROR(_xlfn.XLOOKUP($A309,Input_Raw!$A:$A,Input_Raw!FA:FA),"")</f>
        <v/>
      </c>
      <c r="AB309" s="9" t="str">
        <f>IFERROR(_xlfn.XLOOKUP($A309,Input_Raw!$A:$A,Input_Raw!FD:FD),"")</f>
        <v/>
      </c>
      <c r="AC309" s="185">
        <f>IFERROR(_xlfn.XLOOKUP($D309,'Modelling New'!$D:$D,'Modelling New'!P:P),"")</f>
        <v>5.5161290322580649</v>
      </c>
      <c r="AD309" s="29">
        <f>IFERROR(_xlfn.XLOOKUP($D309,'Modelling New'!$D:$D,'Modelling New'!T:T)*1000,"")</f>
        <v>613939.49222257547</v>
      </c>
      <c r="AE309" s="233">
        <f>IFERROR(_xlfn.XLOOKUP($D309,'Modelling New'!$D:$D,'Modelling New'!O:O),"")</f>
        <v>0.85614594057129279</v>
      </c>
      <c r="AF309" s="233">
        <f>IFERROR(_xlfn.XLOOKUP($D309,'Modelling New'!$D:$D,'Modelling New'!W:W),"")</f>
        <v>0.19677547827646649</v>
      </c>
      <c r="AG309" s="233">
        <f>IFERROR(_xlfn.XLOOKUP($D309,'Modelling New'!$D:$D,'Modelling New'!AE:AE),"")</f>
        <v>0.995</v>
      </c>
      <c r="AH309" s="234">
        <f>IFERROR(_xlfn.XLOOKUP($D309,'Modelling New'!$D:$D,'Modelling New'!AF:AF),"")</f>
        <v>0.995</v>
      </c>
      <c r="AI309" s="9"/>
      <c r="AJ309" s="9"/>
      <c r="AK309" s="258"/>
      <c r="AL309" s="258"/>
      <c r="AM309" s="258"/>
      <c r="AN309" s="235"/>
      <c r="AO309" s="233"/>
      <c r="AP309" s="233"/>
      <c r="AQ309" s="233"/>
      <c r="AR309" s="236">
        <f>_xlfn.XLOOKUP(D309,'Modelling New'!$D:$D,'Modelling New'!$N:$N)</f>
        <v>130</v>
      </c>
      <c r="AS309" s="236" t="str">
        <f t="shared" si="28"/>
        <v/>
      </c>
    </row>
    <row r="310" spans="1:45">
      <c r="A310" s="18">
        <f t="shared" si="29"/>
        <v>46053</v>
      </c>
      <c r="B310" s="29">
        <f>YEAR(Table13[[#This Row],[Date]])+IF(MONTH(Table13[[#This Row],[Date]])&gt;=4,1,0)</f>
        <v>2026</v>
      </c>
      <c r="C310" s="9">
        <f>YEAR(Table13[[#This Row],[Date]])</f>
        <v>2026</v>
      </c>
      <c r="D310" s="229">
        <f>Table13[[#This Row],[Date]]-DAY(Table13[[#This Row],[Date]])+1</f>
        <v>46023</v>
      </c>
      <c r="E310" s="9">
        <f t="shared" si="25"/>
        <v>31</v>
      </c>
      <c r="F310" s="199" t="str">
        <f>IFERROR(_xlfn.XLOOKUP($A310,Input_Raw!$A:$A,Input_Raw!$FC:$FC),"")</f>
        <v/>
      </c>
      <c r="G310" s="200" t="str">
        <f>IFERROR(_xlfn.XLOOKUP($A310,Input_Raw!$A:$A,Input_Raw!$CY:$CY),"")</f>
        <v/>
      </c>
      <c r="H310" s="200" t="str">
        <f>IFERROR(_xlfn.XLOOKUP($A310,Input_Raw!$A:$A,Input_Raw!$DA:$DA),"")</f>
        <v/>
      </c>
      <c r="I310" s="200" t="str">
        <f>IFERROR(_xlfn.XLOOKUP($A310,Input_Raw!$A:$A,Input_Raw!$CX:$CX),"")</f>
        <v/>
      </c>
      <c r="J310" s="200" t="str">
        <f>IFERROR(_xlfn.XLOOKUP($A310,Input_Raw!$A:$A,Input_Raw!$CZ:$CZ),"")</f>
        <v/>
      </c>
      <c r="K310" s="201" t="str">
        <f>IFERROR(_xlfn.XLOOKUP($A310,Input_Raw!$A:$A,Input_Raw!$DB:$DB),"")</f>
        <v/>
      </c>
      <c r="L310" s="201" t="str">
        <f>IFERROR(_xlfn.XLOOKUP($A310,Input_Raw!$A:$A,Input_Raw!$DC:$DC),"")</f>
        <v/>
      </c>
      <c r="M310" s="200" t="str">
        <f>IFERROR(_xlfn.XLOOKUP($A310,Input_Raw!$A:$A,Input_Raw!$DF:$DF),"")</f>
        <v/>
      </c>
      <c r="N310" s="200" t="str">
        <f>IFERROR(_xlfn.XLOOKUP($A310,Input_Raw!$A:$A,Input_Raw!$DG:$DG),"")</f>
        <v/>
      </c>
      <c r="O310" s="230" t="str">
        <f>IFERROR(1-(SUMIF(Plant_BD!$B:$B,$A310,Plant_BD!$AL:$AL)/($AA310+SUMIF(Plant_BD!$B:$B,$A310,Plant_BD!$AL:$AL))),"")</f>
        <v/>
      </c>
      <c r="P310" s="230"/>
      <c r="Q310" s="231" t="str">
        <f>IFERROR(1-(SUMIF(Grid_BD!$B:$B,$A310,Grid_BD!$V:$V)/($AA310+SUMIF(Grid_BD!$B:$B,$A310,Grid_BD!$V:$V))),"")</f>
        <v/>
      </c>
      <c r="R310" s="230" t="str">
        <f>IFERROR(1-(SUMIF(Grid_BD!$B:$B,$A310,Grid_BD!$V:$V)/($AA310+SUMIF(Grid_BD!$B:$B,$A310,Grid_BD!$V:$V))),"")</f>
        <v/>
      </c>
      <c r="S310" s="9"/>
      <c r="T310" s="231"/>
      <c r="U310" s="232" t="str">
        <f t="shared" si="26"/>
        <v/>
      </c>
      <c r="V310" s="232" t="str">
        <f>IFERROR(_xlfn.XLOOKUP($A310,Input_Raw!$A:$A,Input_Raw!$FG:$FG),"")</f>
        <v/>
      </c>
      <c r="W310" s="233" t="str">
        <f t="shared" si="27"/>
        <v/>
      </c>
      <c r="X310" s="29" t="str">
        <f>IFERROR(_xlfn.XLOOKUP($A310,Input_Raw!$A:$A,Input_Raw!$DP:$DP),"")</f>
        <v/>
      </c>
      <c r="Y310" s="29" t="str">
        <f>IFERROR(_xlfn.XLOOKUP($A310,Input_Raw!$A:$A,Input_Raw!EW:EW),"")</f>
        <v/>
      </c>
      <c r="Z310" s="29" t="str">
        <f>IFERROR(_xlfn.XLOOKUP($A310,Input_Raw!$A:$A,Input_Raw!EX:EX),"")</f>
        <v/>
      </c>
      <c r="AA310" s="29" t="str">
        <f>IFERROR(_xlfn.XLOOKUP($A310,Input_Raw!$A:$A,Input_Raw!FA:FA),"")</f>
        <v/>
      </c>
      <c r="AB310" s="9" t="str">
        <f>IFERROR(_xlfn.XLOOKUP($A310,Input_Raw!$A:$A,Input_Raw!FD:FD),"")</f>
        <v/>
      </c>
      <c r="AC310" s="185">
        <f>IFERROR(_xlfn.XLOOKUP($D310,'Modelling New'!$D:$D,'Modelling New'!P:P),"")</f>
        <v>5.5161290322580649</v>
      </c>
      <c r="AD310" s="29">
        <f>IFERROR(_xlfn.XLOOKUP($D310,'Modelling New'!$D:$D,'Modelling New'!T:T)*1000,"")</f>
        <v>613939.49222257547</v>
      </c>
      <c r="AE310" s="233">
        <f>IFERROR(_xlfn.XLOOKUP($D310,'Modelling New'!$D:$D,'Modelling New'!O:O),"")</f>
        <v>0.85614594057129279</v>
      </c>
      <c r="AF310" s="233">
        <f>IFERROR(_xlfn.XLOOKUP($D310,'Modelling New'!$D:$D,'Modelling New'!W:W),"")</f>
        <v>0.19677547827646649</v>
      </c>
      <c r="AG310" s="233">
        <f>IFERROR(_xlfn.XLOOKUP($D310,'Modelling New'!$D:$D,'Modelling New'!AE:AE),"")</f>
        <v>0.995</v>
      </c>
      <c r="AH310" s="234">
        <f>IFERROR(_xlfn.XLOOKUP($D310,'Modelling New'!$D:$D,'Modelling New'!AF:AF),"")</f>
        <v>0.995</v>
      </c>
      <c r="AI310" s="9"/>
      <c r="AJ310" s="9"/>
      <c r="AK310" s="258"/>
      <c r="AL310" s="258"/>
      <c r="AM310" s="258"/>
      <c r="AN310" s="235"/>
      <c r="AO310" s="233"/>
      <c r="AP310" s="233"/>
      <c r="AQ310" s="233"/>
      <c r="AR310" s="236">
        <f>_xlfn.XLOOKUP(D310,'Modelling New'!$D:$D,'Modelling New'!$N:$N)</f>
        <v>130</v>
      </c>
      <c r="AS310" s="236" t="str">
        <f t="shared" si="28"/>
        <v/>
      </c>
    </row>
    <row r="311" spans="1:45">
      <c r="A311" s="18">
        <f t="shared" si="29"/>
        <v>46054</v>
      </c>
      <c r="B311" s="29">
        <f>YEAR(Table13[[#This Row],[Date]])+IF(MONTH(Table13[[#This Row],[Date]])&gt;=4,1,0)</f>
        <v>2026</v>
      </c>
      <c r="C311" s="9">
        <f>YEAR(Table13[[#This Row],[Date]])</f>
        <v>2026</v>
      </c>
      <c r="D311" s="229">
        <f>Table13[[#This Row],[Date]]-DAY(Table13[[#This Row],[Date]])+1</f>
        <v>46054</v>
      </c>
      <c r="E311" s="9">
        <f t="shared" si="25"/>
        <v>28</v>
      </c>
      <c r="F311" s="199" t="str">
        <f>IFERROR(_xlfn.XLOOKUP($A311,Input_Raw!$A:$A,Input_Raw!$FC:$FC),"")</f>
        <v/>
      </c>
      <c r="G311" s="185" t="str">
        <f>IFERROR(_xlfn.XLOOKUP($A311,Input_Raw!$A:$A,Input_Raw!$CY:$CY),"")</f>
        <v/>
      </c>
      <c r="H311" s="185" t="str">
        <f>IFERROR(_xlfn.XLOOKUP($A311,Input_Raw!$A:$A,Input_Raw!$DA:$DA),"")</f>
        <v/>
      </c>
      <c r="I311" s="185" t="str">
        <f>IFERROR(_xlfn.XLOOKUP($A311,Input_Raw!$A:$A,Input_Raw!$CX:$CX),"")</f>
        <v/>
      </c>
      <c r="J311" s="185" t="str">
        <f>IFERROR(_xlfn.XLOOKUP($A311,Input_Raw!$A:$A,Input_Raw!$CZ:$CZ),"")</f>
        <v/>
      </c>
      <c r="K311" s="201" t="str">
        <f>IFERROR(_xlfn.XLOOKUP($A311,Input_Raw!$A:$A,Input_Raw!$DB:$DB),"")</f>
        <v/>
      </c>
      <c r="L311" s="201" t="str">
        <f>IFERROR(_xlfn.XLOOKUP($A311,Input_Raw!$A:$A,Input_Raw!$DC:$DC),"")</f>
        <v/>
      </c>
      <c r="M311" s="200" t="str">
        <f>IFERROR(_xlfn.XLOOKUP($A311,Input_Raw!$A:$A,Input_Raw!$DF:$DF),"")</f>
        <v/>
      </c>
      <c r="N311" s="200" t="str">
        <f>IFERROR(_xlfn.XLOOKUP($A311,Input_Raw!$A:$A,Input_Raw!$DG:$DG),"")</f>
        <v/>
      </c>
      <c r="O311" s="230" t="str">
        <f>IFERROR(1-(SUMIF(Plant_BD!$B:$B,$A311,Plant_BD!$AL:$AL)/($AA311+SUMIF(Plant_BD!$B:$B,$A311,Plant_BD!$AL:$AL))),"")</f>
        <v/>
      </c>
      <c r="P311" s="230"/>
      <c r="Q311" s="231" t="str">
        <f>IFERROR(1-(SUMIF(Grid_BD!$B:$B,$A311,Grid_BD!$V:$V)/($AA311+SUMIF(Grid_BD!$B:$B,$A311,Grid_BD!$V:$V))),"")</f>
        <v/>
      </c>
      <c r="R311" s="230" t="str">
        <f>IFERROR(1-(SUMIF(Grid_BD!$B:$B,$A311,Grid_BD!$V:$V)/($AA311+SUMIF(Grid_BD!$B:$B,$A311,Grid_BD!$V:$V))),"")</f>
        <v/>
      </c>
      <c r="S311" s="9"/>
      <c r="T311" s="231"/>
      <c r="U311" s="232" t="str">
        <f t="shared" si="26"/>
        <v/>
      </c>
      <c r="V311" s="232" t="str">
        <f>IFERROR(_xlfn.XLOOKUP($A311,Input_Raw!$A:$A,Input_Raw!$FG:$FG),"")</f>
        <v/>
      </c>
      <c r="W311" s="233" t="str">
        <f t="shared" si="27"/>
        <v/>
      </c>
      <c r="X311" s="29" t="str">
        <f>IFERROR(_xlfn.XLOOKUP($A311,Input_Raw!$A:$A,Input_Raw!$DP:$DP),"")</f>
        <v/>
      </c>
      <c r="Y311" s="29" t="str">
        <f>IFERROR(_xlfn.XLOOKUP($A311,Input_Raw!$A:$A,Input_Raw!EW:EW),"")</f>
        <v/>
      </c>
      <c r="Z311" s="29" t="str">
        <f>IFERROR(_xlfn.XLOOKUP($A311,Input_Raw!$A:$A,Input_Raw!EX:EX),"")</f>
        <v/>
      </c>
      <c r="AA311" s="29" t="str">
        <f>IFERROR(_xlfn.XLOOKUP($A311,Input_Raw!$A:$A,Input_Raw!FA:FA),"")</f>
        <v/>
      </c>
      <c r="AB311" s="9" t="str">
        <f>IFERROR(_xlfn.XLOOKUP($A311,Input_Raw!$A:$A,Input_Raw!FD:FD),"")</f>
        <v/>
      </c>
      <c r="AC311" s="185">
        <f>IFERROR(_xlfn.XLOOKUP($D311,'Modelling New'!$D:$D,'Modelling New'!P:P),"")</f>
        <v>6.3107142857142851</v>
      </c>
      <c r="AD311" s="29">
        <f>IFERROR(_xlfn.XLOOKUP($D311,'Modelling New'!$D:$D,'Modelling New'!T:T)*1000,"")</f>
        <v>682247.66019581049</v>
      </c>
      <c r="AE311" s="233">
        <f>IFERROR(_xlfn.XLOOKUP($D311,'Modelling New'!$D:$D,'Modelling New'!O:O),"")</f>
        <v>0.8316109218354748</v>
      </c>
      <c r="AF311" s="233">
        <f>IFERROR(_xlfn.XLOOKUP($D311,'Modelling New'!$D:$D,'Modelling New'!W:W),"")</f>
        <v>0.21866912185763154</v>
      </c>
      <c r="AG311" s="233">
        <f>IFERROR(_xlfn.XLOOKUP($D311,'Modelling New'!$D:$D,'Modelling New'!AE:AE),"")</f>
        <v>0.995</v>
      </c>
      <c r="AH311" s="234">
        <f>IFERROR(_xlfn.XLOOKUP($D311,'Modelling New'!$D:$D,'Modelling New'!AF:AF),"")</f>
        <v>0.995</v>
      </c>
      <c r="AI311" s="9"/>
      <c r="AJ311" s="9"/>
      <c r="AK311" s="258"/>
      <c r="AL311" s="258"/>
      <c r="AM311" s="258"/>
      <c r="AN311" s="235"/>
      <c r="AO311" s="233"/>
      <c r="AP311" s="233"/>
      <c r="AQ311" s="233"/>
      <c r="AR311" s="236">
        <f>_xlfn.XLOOKUP(D311,'Modelling New'!$D:$D,'Modelling New'!$N:$N)</f>
        <v>130</v>
      </c>
      <c r="AS311" s="236" t="str">
        <f t="shared" si="28"/>
        <v/>
      </c>
    </row>
    <row r="312" spans="1:45">
      <c r="A312" s="18">
        <f t="shared" si="29"/>
        <v>46055</v>
      </c>
      <c r="B312" s="29">
        <f>YEAR(Table13[[#This Row],[Date]])+IF(MONTH(Table13[[#This Row],[Date]])&gt;=4,1,0)</f>
        <v>2026</v>
      </c>
      <c r="C312" s="9">
        <f>YEAR(Table13[[#This Row],[Date]])</f>
        <v>2026</v>
      </c>
      <c r="D312" s="229">
        <f>Table13[[#This Row],[Date]]-DAY(Table13[[#This Row],[Date]])+1</f>
        <v>46054</v>
      </c>
      <c r="E312" s="9">
        <f t="shared" si="25"/>
        <v>28</v>
      </c>
      <c r="F312" s="199" t="str">
        <f>IFERROR(_xlfn.XLOOKUP($A312,Input_Raw!$A:$A,Input_Raw!$FC:$FC),"")</f>
        <v/>
      </c>
      <c r="G312" s="200" t="str">
        <f>IFERROR(_xlfn.XLOOKUP($A312,Input_Raw!$A:$A,Input_Raw!$CY:$CY),"")</f>
        <v/>
      </c>
      <c r="H312" s="200" t="str">
        <f>IFERROR(_xlfn.XLOOKUP($A312,Input_Raw!$A:$A,Input_Raw!$DA:$DA),"")</f>
        <v/>
      </c>
      <c r="I312" s="200" t="str">
        <f>IFERROR(_xlfn.XLOOKUP($A312,Input_Raw!$A:$A,Input_Raw!$CX:$CX),"")</f>
        <v/>
      </c>
      <c r="J312" s="200" t="str">
        <f>IFERROR(_xlfn.XLOOKUP($A312,Input_Raw!$A:$A,Input_Raw!$CZ:$CZ),"")</f>
        <v/>
      </c>
      <c r="K312" s="201" t="str">
        <f>IFERROR(_xlfn.XLOOKUP($A312,Input_Raw!$A:$A,Input_Raw!$DB:$DB),"")</f>
        <v/>
      </c>
      <c r="L312" s="201" t="str">
        <f>IFERROR(_xlfn.XLOOKUP($A312,Input_Raw!$A:$A,Input_Raw!$DC:$DC),"")</f>
        <v/>
      </c>
      <c r="M312" s="200" t="str">
        <f>IFERROR(_xlfn.XLOOKUP($A312,Input_Raw!$A:$A,Input_Raw!$DF:$DF),"")</f>
        <v/>
      </c>
      <c r="N312" s="200" t="str">
        <f>IFERROR(_xlfn.XLOOKUP($A312,Input_Raw!$A:$A,Input_Raw!$DG:$DG),"")</f>
        <v/>
      </c>
      <c r="O312" s="230" t="str">
        <f>IFERROR(1-(SUMIF(Plant_BD!$B:$B,$A312,Plant_BD!$AL:$AL)/($AA312+SUMIF(Plant_BD!$B:$B,$A312,Plant_BD!$AL:$AL))),"")</f>
        <v/>
      </c>
      <c r="P312" s="230"/>
      <c r="Q312" s="231" t="str">
        <f>IFERROR(1-(SUMIF(Grid_BD!$B:$B,$A312,Grid_BD!$V:$V)/($AA312+SUMIF(Grid_BD!$B:$B,$A312,Grid_BD!$V:$V))),"")</f>
        <v/>
      </c>
      <c r="R312" s="230" t="str">
        <f>IFERROR(1-(SUMIF(Grid_BD!$B:$B,$A312,Grid_BD!$V:$V)/($AA312+SUMIF(Grid_BD!$B:$B,$A312,Grid_BD!$V:$V))),"")</f>
        <v/>
      </c>
      <c r="S312" s="9"/>
      <c r="T312" s="231"/>
      <c r="U312" s="232" t="str">
        <f t="shared" si="26"/>
        <v/>
      </c>
      <c r="V312" s="232" t="str">
        <f>IFERROR(_xlfn.XLOOKUP($A312,Input_Raw!$A:$A,Input_Raw!$FG:$FG),"")</f>
        <v/>
      </c>
      <c r="W312" s="233" t="str">
        <f t="shared" si="27"/>
        <v/>
      </c>
      <c r="X312" s="29" t="str">
        <f>IFERROR(_xlfn.XLOOKUP($A312,Input_Raw!$A:$A,Input_Raw!$DP:$DP),"")</f>
        <v/>
      </c>
      <c r="Y312" s="29" t="str">
        <f>IFERROR(_xlfn.XLOOKUP($A312,Input_Raw!$A:$A,Input_Raw!EW:EW),"")</f>
        <v/>
      </c>
      <c r="Z312" s="29" t="str">
        <f>IFERROR(_xlfn.XLOOKUP($A312,Input_Raw!$A:$A,Input_Raw!EX:EX),"")</f>
        <v/>
      </c>
      <c r="AA312" s="29" t="str">
        <f>IFERROR(_xlfn.XLOOKUP($A312,Input_Raw!$A:$A,Input_Raw!FA:FA),"")</f>
        <v/>
      </c>
      <c r="AB312" s="9" t="str">
        <f>IFERROR(_xlfn.XLOOKUP($A312,Input_Raw!$A:$A,Input_Raw!FD:FD),"")</f>
        <v/>
      </c>
      <c r="AC312" s="185">
        <f>IFERROR(_xlfn.XLOOKUP($D312,'Modelling New'!$D:$D,'Modelling New'!P:P),"")</f>
        <v>6.3107142857142851</v>
      </c>
      <c r="AD312" s="29">
        <f>IFERROR(_xlfn.XLOOKUP($D312,'Modelling New'!$D:$D,'Modelling New'!T:T)*1000,"")</f>
        <v>682247.66019581049</v>
      </c>
      <c r="AE312" s="233">
        <f>IFERROR(_xlfn.XLOOKUP($D312,'Modelling New'!$D:$D,'Modelling New'!O:O),"")</f>
        <v>0.8316109218354748</v>
      </c>
      <c r="AF312" s="233">
        <f>IFERROR(_xlfn.XLOOKUP($D312,'Modelling New'!$D:$D,'Modelling New'!W:W),"")</f>
        <v>0.21866912185763154</v>
      </c>
      <c r="AG312" s="233">
        <f>IFERROR(_xlfn.XLOOKUP($D312,'Modelling New'!$D:$D,'Modelling New'!AE:AE),"")</f>
        <v>0.995</v>
      </c>
      <c r="AH312" s="234">
        <f>IFERROR(_xlfn.XLOOKUP($D312,'Modelling New'!$D:$D,'Modelling New'!AF:AF),"")</f>
        <v>0.995</v>
      </c>
      <c r="AI312" s="9"/>
      <c r="AJ312" s="9"/>
      <c r="AK312" s="258"/>
      <c r="AL312" s="258"/>
      <c r="AM312" s="258"/>
      <c r="AN312" s="235"/>
      <c r="AO312" s="233"/>
      <c r="AP312" s="233"/>
      <c r="AQ312" s="233"/>
      <c r="AR312" s="236">
        <f>_xlfn.XLOOKUP(D312,'Modelling New'!$D:$D,'Modelling New'!$N:$N)</f>
        <v>130</v>
      </c>
      <c r="AS312" s="236" t="str">
        <f t="shared" si="28"/>
        <v/>
      </c>
    </row>
    <row r="313" spans="1:45">
      <c r="A313" s="18">
        <f t="shared" si="29"/>
        <v>46056</v>
      </c>
      <c r="B313" s="29">
        <f>YEAR(Table13[[#This Row],[Date]])+IF(MONTH(Table13[[#This Row],[Date]])&gt;=4,1,0)</f>
        <v>2026</v>
      </c>
      <c r="C313" s="9">
        <f>YEAR(Table13[[#This Row],[Date]])</f>
        <v>2026</v>
      </c>
      <c r="D313" s="229">
        <f>Table13[[#This Row],[Date]]-DAY(Table13[[#This Row],[Date]])+1</f>
        <v>46054</v>
      </c>
      <c r="E313" s="9">
        <f t="shared" si="25"/>
        <v>28</v>
      </c>
      <c r="F313" s="199" t="str">
        <f>IFERROR(_xlfn.XLOOKUP($A313,Input_Raw!$A:$A,Input_Raw!$FC:$FC),"")</f>
        <v/>
      </c>
      <c r="G313" s="185" t="str">
        <f>IFERROR(_xlfn.XLOOKUP($A313,Input_Raw!$A:$A,Input_Raw!$CY:$CY),"")</f>
        <v/>
      </c>
      <c r="H313" s="185" t="str">
        <f>IFERROR(_xlfn.XLOOKUP($A313,Input_Raw!$A:$A,Input_Raw!$DA:$DA),"")</f>
        <v/>
      </c>
      <c r="I313" s="185" t="str">
        <f>IFERROR(_xlfn.XLOOKUP($A313,Input_Raw!$A:$A,Input_Raw!$CX:$CX),"")</f>
        <v/>
      </c>
      <c r="J313" s="185" t="str">
        <f>IFERROR(_xlfn.XLOOKUP($A313,Input_Raw!$A:$A,Input_Raw!$CZ:$CZ),"")</f>
        <v/>
      </c>
      <c r="K313" s="201" t="str">
        <f>IFERROR(_xlfn.XLOOKUP($A313,Input_Raw!$A:$A,Input_Raw!$DB:$DB),"")</f>
        <v/>
      </c>
      <c r="L313" s="201" t="str">
        <f>IFERROR(_xlfn.XLOOKUP($A313,Input_Raw!$A:$A,Input_Raw!$DC:$DC),"")</f>
        <v/>
      </c>
      <c r="M313" s="200" t="str">
        <f>IFERROR(_xlfn.XLOOKUP($A313,Input_Raw!$A:$A,Input_Raw!$DF:$DF),"")</f>
        <v/>
      </c>
      <c r="N313" s="200" t="str">
        <f>IFERROR(_xlfn.XLOOKUP($A313,Input_Raw!$A:$A,Input_Raw!$DG:$DG),"")</f>
        <v/>
      </c>
      <c r="O313" s="230" t="str">
        <f>IFERROR(1-(SUMIF(Plant_BD!$B:$B,$A313,Plant_BD!$AL:$AL)/($AA313+SUMIF(Plant_BD!$B:$B,$A313,Plant_BD!$AL:$AL))),"")</f>
        <v/>
      </c>
      <c r="P313" s="230"/>
      <c r="Q313" s="231" t="str">
        <f>IFERROR(1-(SUMIF(Grid_BD!$B:$B,$A313,Grid_BD!$V:$V)/($AA313+SUMIF(Grid_BD!$B:$B,$A313,Grid_BD!$V:$V))),"")</f>
        <v/>
      </c>
      <c r="R313" s="230" t="str">
        <f>IFERROR(1-(SUMIF(Grid_BD!$B:$B,$A313,Grid_BD!$V:$V)/($AA313+SUMIF(Grid_BD!$B:$B,$A313,Grid_BD!$V:$V))),"")</f>
        <v/>
      </c>
      <c r="S313" s="9"/>
      <c r="T313" s="231"/>
      <c r="U313" s="232" t="str">
        <f t="shared" si="26"/>
        <v/>
      </c>
      <c r="V313" s="232" t="str">
        <f>IFERROR(_xlfn.XLOOKUP($A313,Input_Raw!$A:$A,Input_Raw!$FG:$FG),"")</f>
        <v/>
      </c>
      <c r="W313" s="233" t="str">
        <f t="shared" si="27"/>
        <v/>
      </c>
      <c r="X313" s="29" t="str">
        <f>IFERROR(_xlfn.XLOOKUP($A313,Input_Raw!$A:$A,Input_Raw!$DP:$DP),"")</f>
        <v/>
      </c>
      <c r="Y313" s="29" t="str">
        <f>IFERROR(_xlfn.XLOOKUP($A313,Input_Raw!$A:$A,Input_Raw!EW:EW),"")</f>
        <v/>
      </c>
      <c r="Z313" s="29" t="str">
        <f>IFERROR(_xlfn.XLOOKUP($A313,Input_Raw!$A:$A,Input_Raw!EX:EX),"")</f>
        <v/>
      </c>
      <c r="AA313" s="29" t="str">
        <f>IFERROR(_xlfn.XLOOKUP($A313,Input_Raw!$A:$A,Input_Raw!FA:FA),"")</f>
        <v/>
      </c>
      <c r="AB313" s="9" t="str">
        <f>IFERROR(_xlfn.XLOOKUP($A313,Input_Raw!$A:$A,Input_Raw!FD:FD),"")</f>
        <v/>
      </c>
      <c r="AC313" s="185">
        <f>IFERROR(_xlfn.XLOOKUP($D313,'Modelling New'!$D:$D,'Modelling New'!P:P),"")</f>
        <v>6.3107142857142851</v>
      </c>
      <c r="AD313" s="29">
        <f>IFERROR(_xlfn.XLOOKUP($D313,'Modelling New'!$D:$D,'Modelling New'!T:T)*1000,"")</f>
        <v>682247.66019581049</v>
      </c>
      <c r="AE313" s="233">
        <f>IFERROR(_xlfn.XLOOKUP($D313,'Modelling New'!$D:$D,'Modelling New'!O:O),"")</f>
        <v>0.8316109218354748</v>
      </c>
      <c r="AF313" s="233">
        <f>IFERROR(_xlfn.XLOOKUP($D313,'Modelling New'!$D:$D,'Modelling New'!W:W),"")</f>
        <v>0.21866912185763154</v>
      </c>
      <c r="AG313" s="233">
        <f>IFERROR(_xlfn.XLOOKUP($D313,'Modelling New'!$D:$D,'Modelling New'!AE:AE),"")</f>
        <v>0.995</v>
      </c>
      <c r="AH313" s="234">
        <f>IFERROR(_xlfn.XLOOKUP($D313,'Modelling New'!$D:$D,'Modelling New'!AF:AF),"")</f>
        <v>0.995</v>
      </c>
      <c r="AI313" s="9"/>
      <c r="AJ313" s="9"/>
      <c r="AK313" s="258"/>
      <c r="AL313" s="258"/>
      <c r="AM313" s="258"/>
      <c r="AN313" s="235"/>
      <c r="AO313" s="233"/>
      <c r="AP313" s="233"/>
      <c r="AQ313" s="233"/>
      <c r="AR313" s="236">
        <f>_xlfn.XLOOKUP(D313,'Modelling New'!$D:$D,'Modelling New'!$N:$N)</f>
        <v>130</v>
      </c>
      <c r="AS313" s="236" t="str">
        <f t="shared" si="28"/>
        <v/>
      </c>
    </row>
    <row r="314" spans="1:45">
      <c r="A314" s="18">
        <f t="shared" si="29"/>
        <v>46057</v>
      </c>
      <c r="B314" s="29">
        <f>YEAR(Table13[[#This Row],[Date]])+IF(MONTH(Table13[[#This Row],[Date]])&gt;=4,1,0)</f>
        <v>2026</v>
      </c>
      <c r="C314" s="9">
        <f>YEAR(Table13[[#This Row],[Date]])</f>
        <v>2026</v>
      </c>
      <c r="D314" s="229">
        <f>Table13[[#This Row],[Date]]-DAY(Table13[[#This Row],[Date]])+1</f>
        <v>46054</v>
      </c>
      <c r="E314" s="9">
        <f t="shared" si="25"/>
        <v>28</v>
      </c>
      <c r="F314" s="199" t="str">
        <f>IFERROR(_xlfn.XLOOKUP($A314,Input_Raw!$A:$A,Input_Raw!$FC:$FC),"")</f>
        <v/>
      </c>
      <c r="G314" s="200" t="str">
        <f>IFERROR(_xlfn.XLOOKUP($A314,Input_Raw!$A:$A,Input_Raw!$CY:$CY),"")</f>
        <v/>
      </c>
      <c r="H314" s="200" t="str">
        <f>IFERROR(_xlfn.XLOOKUP($A314,Input_Raw!$A:$A,Input_Raw!$DA:$DA),"")</f>
        <v/>
      </c>
      <c r="I314" s="200" t="str">
        <f>IFERROR(_xlfn.XLOOKUP($A314,Input_Raw!$A:$A,Input_Raw!$CX:$CX),"")</f>
        <v/>
      </c>
      <c r="J314" s="200" t="str">
        <f>IFERROR(_xlfn.XLOOKUP($A314,Input_Raw!$A:$A,Input_Raw!$CZ:$CZ),"")</f>
        <v/>
      </c>
      <c r="K314" s="201" t="str">
        <f>IFERROR(_xlfn.XLOOKUP($A314,Input_Raw!$A:$A,Input_Raw!$DB:$DB),"")</f>
        <v/>
      </c>
      <c r="L314" s="201" t="str">
        <f>IFERROR(_xlfn.XLOOKUP($A314,Input_Raw!$A:$A,Input_Raw!$DC:$DC),"")</f>
        <v/>
      </c>
      <c r="M314" s="200" t="str">
        <f>IFERROR(_xlfn.XLOOKUP($A314,Input_Raw!$A:$A,Input_Raw!$DF:$DF),"")</f>
        <v/>
      </c>
      <c r="N314" s="200" t="str">
        <f>IFERROR(_xlfn.XLOOKUP($A314,Input_Raw!$A:$A,Input_Raw!$DG:$DG),"")</f>
        <v/>
      </c>
      <c r="O314" s="230" t="str">
        <f>IFERROR(1-(SUMIF(Plant_BD!$B:$B,$A314,Plant_BD!$AL:$AL)/($AA314+SUMIF(Plant_BD!$B:$B,$A314,Plant_BD!$AL:$AL))),"")</f>
        <v/>
      </c>
      <c r="P314" s="230"/>
      <c r="Q314" s="231" t="str">
        <f>IFERROR(1-(SUMIF(Grid_BD!$B:$B,$A314,Grid_BD!$V:$V)/($AA314+SUMIF(Grid_BD!$B:$B,$A314,Grid_BD!$V:$V))),"")</f>
        <v/>
      </c>
      <c r="R314" s="230" t="str">
        <f>IFERROR(1-(SUMIF(Grid_BD!$B:$B,$A314,Grid_BD!$V:$V)/($AA314+SUMIF(Grid_BD!$B:$B,$A314,Grid_BD!$V:$V))),"")</f>
        <v/>
      </c>
      <c r="S314" s="9"/>
      <c r="T314" s="231"/>
      <c r="U314" s="232" t="str">
        <f t="shared" si="26"/>
        <v/>
      </c>
      <c r="V314" s="232" t="str">
        <f>IFERROR(_xlfn.XLOOKUP($A314,Input_Raw!$A:$A,Input_Raw!$FG:$FG),"")</f>
        <v/>
      </c>
      <c r="W314" s="233" t="str">
        <f t="shared" si="27"/>
        <v/>
      </c>
      <c r="X314" s="29" t="str">
        <f>IFERROR(_xlfn.XLOOKUP($A314,Input_Raw!$A:$A,Input_Raw!$DP:$DP),"")</f>
        <v/>
      </c>
      <c r="Y314" s="29" t="str">
        <f>IFERROR(_xlfn.XLOOKUP($A314,Input_Raw!$A:$A,Input_Raw!EW:EW),"")</f>
        <v/>
      </c>
      <c r="Z314" s="29" t="str">
        <f>IFERROR(_xlfn.XLOOKUP($A314,Input_Raw!$A:$A,Input_Raw!EX:EX),"")</f>
        <v/>
      </c>
      <c r="AA314" s="29" t="str">
        <f>IFERROR(_xlfn.XLOOKUP($A314,Input_Raw!$A:$A,Input_Raw!FA:FA),"")</f>
        <v/>
      </c>
      <c r="AB314" s="9" t="str">
        <f>IFERROR(_xlfn.XLOOKUP($A314,Input_Raw!$A:$A,Input_Raw!FD:FD),"")</f>
        <v/>
      </c>
      <c r="AC314" s="185">
        <f>IFERROR(_xlfn.XLOOKUP($D314,'Modelling New'!$D:$D,'Modelling New'!P:P),"")</f>
        <v>6.3107142857142851</v>
      </c>
      <c r="AD314" s="29">
        <f>IFERROR(_xlfn.XLOOKUP($D314,'Modelling New'!$D:$D,'Modelling New'!T:T)*1000,"")</f>
        <v>682247.66019581049</v>
      </c>
      <c r="AE314" s="233">
        <f>IFERROR(_xlfn.XLOOKUP($D314,'Modelling New'!$D:$D,'Modelling New'!O:O),"")</f>
        <v>0.8316109218354748</v>
      </c>
      <c r="AF314" s="233">
        <f>IFERROR(_xlfn.XLOOKUP($D314,'Modelling New'!$D:$D,'Modelling New'!W:W),"")</f>
        <v>0.21866912185763154</v>
      </c>
      <c r="AG314" s="233">
        <f>IFERROR(_xlfn.XLOOKUP($D314,'Modelling New'!$D:$D,'Modelling New'!AE:AE),"")</f>
        <v>0.995</v>
      </c>
      <c r="AH314" s="234">
        <f>IFERROR(_xlfn.XLOOKUP($D314,'Modelling New'!$D:$D,'Modelling New'!AF:AF),"")</f>
        <v>0.995</v>
      </c>
      <c r="AI314" s="9"/>
      <c r="AJ314" s="9"/>
      <c r="AK314" s="258"/>
      <c r="AL314" s="258"/>
      <c r="AM314" s="258"/>
      <c r="AN314" s="235"/>
      <c r="AO314" s="233"/>
      <c r="AP314" s="233"/>
      <c r="AQ314" s="233"/>
      <c r="AR314" s="236">
        <f>_xlfn.XLOOKUP(D314,'Modelling New'!$D:$D,'Modelling New'!$N:$N)</f>
        <v>130</v>
      </c>
      <c r="AS314" s="236" t="str">
        <f t="shared" si="28"/>
        <v/>
      </c>
    </row>
    <row r="315" spans="1:45">
      <c r="A315" s="18">
        <f t="shared" si="29"/>
        <v>46058</v>
      </c>
      <c r="B315" s="29">
        <f>YEAR(Table13[[#This Row],[Date]])+IF(MONTH(Table13[[#This Row],[Date]])&gt;=4,1,0)</f>
        <v>2026</v>
      </c>
      <c r="C315" s="9">
        <f>YEAR(Table13[[#This Row],[Date]])</f>
        <v>2026</v>
      </c>
      <c r="D315" s="229">
        <f>Table13[[#This Row],[Date]]-DAY(Table13[[#This Row],[Date]])+1</f>
        <v>46054</v>
      </c>
      <c r="E315" s="9">
        <f t="shared" si="25"/>
        <v>28</v>
      </c>
      <c r="F315" s="199" t="str">
        <f>IFERROR(_xlfn.XLOOKUP($A315,Input_Raw!$A:$A,Input_Raw!$FC:$FC),"")</f>
        <v/>
      </c>
      <c r="G315" s="185" t="str">
        <f>IFERROR(_xlfn.XLOOKUP($A315,Input_Raw!$A:$A,Input_Raw!$CY:$CY),"")</f>
        <v/>
      </c>
      <c r="H315" s="185" t="str">
        <f>IFERROR(_xlfn.XLOOKUP($A315,Input_Raw!$A:$A,Input_Raw!$DA:$DA),"")</f>
        <v/>
      </c>
      <c r="I315" s="185" t="str">
        <f>IFERROR(_xlfn.XLOOKUP($A315,Input_Raw!$A:$A,Input_Raw!$CX:$CX),"")</f>
        <v/>
      </c>
      <c r="J315" s="185" t="str">
        <f>IFERROR(_xlfn.XLOOKUP($A315,Input_Raw!$A:$A,Input_Raw!$CZ:$CZ),"")</f>
        <v/>
      </c>
      <c r="K315" s="201" t="str">
        <f>IFERROR(_xlfn.XLOOKUP($A315,Input_Raw!$A:$A,Input_Raw!$DB:$DB),"")</f>
        <v/>
      </c>
      <c r="L315" s="201" t="str">
        <f>IFERROR(_xlfn.XLOOKUP($A315,Input_Raw!$A:$A,Input_Raw!$DC:$DC),"")</f>
        <v/>
      </c>
      <c r="M315" s="200" t="str">
        <f>IFERROR(_xlfn.XLOOKUP($A315,Input_Raw!$A:$A,Input_Raw!$DF:$DF),"")</f>
        <v/>
      </c>
      <c r="N315" s="200" t="str">
        <f>IFERROR(_xlfn.XLOOKUP($A315,Input_Raw!$A:$A,Input_Raw!$DG:$DG),"")</f>
        <v/>
      </c>
      <c r="O315" s="230" t="str">
        <f>IFERROR(1-(SUMIF(Plant_BD!$B:$B,$A315,Plant_BD!$AL:$AL)/($AA315+SUMIF(Plant_BD!$B:$B,$A315,Plant_BD!$AL:$AL))),"")</f>
        <v/>
      </c>
      <c r="P315" s="230"/>
      <c r="Q315" s="231" t="str">
        <f>IFERROR(1-(SUMIF(Grid_BD!$B:$B,$A315,Grid_BD!$V:$V)/($AA315+SUMIF(Grid_BD!$B:$B,$A315,Grid_BD!$V:$V))),"")</f>
        <v/>
      </c>
      <c r="R315" s="230" t="str">
        <f>IFERROR(1-(SUMIF(Grid_BD!$B:$B,$A315,Grid_BD!$V:$V)/($AA315+SUMIF(Grid_BD!$B:$B,$A315,Grid_BD!$V:$V))),"")</f>
        <v/>
      </c>
      <c r="S315" s="9"/>
      <c r="T315" s="231"/>
      <c r="U315" s="232" t="str">
        <f t="shared" si="26"/>
        <v/>
      </c>
      <c r="V315" s="232" t="str">
        <f>IFERROR(_xlfn.XLOOKUP($A315,Input_Raw!$A:$A,Input_Raw!$FG:$FG),"")</f>
        <v/>
      </c>
      <c r="W315" s="233" t="str">
        <f t="shared" si="27"/>
        <v/>
      </c>
      <c r="X315" s="29" t="str">
        <f>IFERROR(_xlfn.XLOOKUP($A315,Input_Raw!$A:$A,Input_Raw!$DP:$DP),"")</f>
        <v/>
      </c>
      <c r="Y315" s="29" t="str">
        <f>IFERROR(_xlfn.XLOOKUP($A315,Input_Raw!$A:$A,Input_Raw!EW:EW),"")</f>
        <v/>
      </c>
      <c r="Z315" s="29" t="str">
        <f>IFERROR(_xlfn.XLOOKUP($A315,Input_Raw!$A:$A,Input_Raw!EX:EX),"")</f>
        <v/>
      </c>
      <c r="AA315" s="29" t="str">
        <f>IFERROR(_xlfn.XLOOKUP($A315,Input_Raw!$A:$A,Input_Raw!FA:FA),"")</f>
        <v/>
      </c>
      <c r="AB315" s="9" t="str">
        <f>IFERROR(_xlfn.XLOOKUP($A315,Input_Raw!$A:$A,Input_Raw!FD:FD),"")</f>
        <v/>
      </c>
      <c r="AC315" s="185">
        <f>IFERROR(_xlfn.XLOOKUP($D315,'Modelling New'!$D:$D,'Modelling New'!P:P),"")</f>
        <v>6.3107142857142851</v>
      </c>
      <c r="AD315" s="29">
        <f>IFERROR(_xlfn.XLOOKUP($D315,'Modelling New'!$D:$D,'Modelling New'!T:T)*1000,"")</f>
        <v>682247.66019581049</v>
      </c>
      <c r="AE315" s="233">
        <f>IFERROR(_xlfn.XLOOKUP($D315,'Modelling New'!$D:$D,'Modelling New'!O:O),"")</f>
        <v>0.8316109218354748</v>
      </c>
      <c r="AF315" s="233">
        <f>IFERROR(_xlfn.XLOOKUP($D315,'Modelling New'!$D:$D,'Modelling New'!W:W),"")</f>
        <v>0.21866912185763154</v>
      </c>
      <c r="AG315" s="233">
        <f>IFERROR(_xlfn.XLOOKUP($D315,'Modelling New'!$D:$D,'Modelling New'!AE:AE),"")</f>
        <v>0.995</v>
      </c>
      <c r="AH315" s="234">
        <f>IFERROR(_xlfn.XLOOKUP($D315,'Modelling New'!$D:$D,'Modelling New'!AF:AF),"")</f>
        <v>0.995</v>
      </c>
      <c r="AI315" s="9"/>
      <c r="AJ315" s="9"/>
      <c r="AK315" s="258"/>
      <c r="AL315" s="258"/>
      <c r="AM315" s="258"/>
      <c r="AN315" s="235"/>
      <c r="AO315" s="233"/>
      <c r="AP315" s="233"/>
      <c r="AQ315" s="233"/>
      <c r="AR315" s="236">
        <f>_xlfn.XLOOKUP(D315,'Modelling New'!$D:$D,'Modelling New'!$N:$N)</f>
        <v>130</v>
      </c>
      <c r="AS315" s="236" t="str">
        <f t="shared" si="28"/>
        <v/>
      </c>
    </row>
    <row r="316" spans="1:45">
      <c r="A316" s="18">
        <f t="shared" si="29"/>
        <v>46059</v>
      </c>
      <c r="B316" s="29">
        <f>YEAR(Table13[[#This Row],[Date]])+IF(MONTH(Table13[[#This Row],[Date]])&gt;=4,1,0)</f>
        <v>2026</v>
      </c>
      <c r="C316" s="9">
        <f>YEAR(Table13[[#This Row],[Date]])</f>
        <v>2026</v>
      </c>
      <c r="D316" s="229">
        <f>Table13[[#This Row],[Date]]-DAY(Table13[[#This Row],[Date]])+1</f>
        <v>46054</v>
      </c>
      <c r="E316" s="9">
        <f t="shared" si="25"/>
        <v>28</v>
      </c>
      <c r="F316" s="199" t="str">
        <f>IFERROR(_xlfn.XLOOKUP($A316,Input_Raw!$A:$A,Input_Raw!$FC:$FC),"")</f>
        <v/>
      </c>
      <c r="G316" s="200" t="str">
        <f>IFERROR(_xlfn.XLOOKUP($A316,Input_Raw!$A:$A,Input_Raw!$CY:$CY),"")</f>
        <v/>
      </c>
      <c r="H316" s="200" t="str">
        <f>IFERROR(_xlfn.XLOOKUP($A316,Input_Raw!$A:$A,Input_Raw!$DA:$DA),"")</f>
        <v/>
      </c>
      <c r="I316" s="200" t="str">
        <f>IFERROR(_xlfn.XLOOKUP($A316,Input_Raw!$A:$A,Input_Raw!$CX:$CX),"")</f>
        <v/>
      </c>
      <c r="J316" s="200" t="str">
        <f>IFERROR(_xlfn.XLOOKUP($A316,Input_Raw!$A:$A,Input_Raw!$CZ:$CZ),"")</f>
        <v/>
      </c>
      <c r="K316" s="201" t="str">
        <f>IFERROR(_xlfn.XLOOKUP($A316,Input_Raw!$A:$A,Input_Raw!$DB:$DB),"")</f>
        <v/>
      </c>
      <c r="L316" s="201" t="str">
        <f>IFERROR(_xlfn.XLOOKUP($A316,Input_Raw!$A:$A,Input_Raw!$DC:$DC),"")</f>
        <v/>
      </c>
      <c r="M316" s="200" t="str">
        <f>IFERROR(_xlfn.XLOOKUP($A316,Input_Raw!$A:$A,Input_Raw!$DF:$DF),"")</f>
        <v/>
      </c>
      <c r="N316" s="200" t="str">
        <f>IFERROR(_xlfn.XLOOKUP($A316,Input_Raw!$A:$A,Input_Raw!$DG:$DG),"")</f>
        <v/>
      </c>
      <c r="O316" s="230" t="str">
        <f>IFERROR(1-(SUMIF(Plant_BD!$B:$B,$A316,Plant_BD!$AL:$AL)/($AA316+SUMIF(Plant_BD!$B:$B,$A316,Plant_BD!$AL:$AL))),"")</f>
        <v/>
      </c>
      <c r="P316" s="230"/>
      <c r="Q316" s="231" t="str">
        <f>IFERROR(1-(SUMIF(Grid_BD!$B:$B,$A316,Grid_BD!$V:$V)/($AA316+SUMIF(Grid_BD!$B:$B,$A316,Grid_BD!$V:$V))),"")</f>
        <v/>
      </c>
      <c r="R316" s="230" t="str">
        <f>IFERROR(1-(SUMIF(Grid_BD!$B:$B,$A316,Grid_BD!$V:$V)/($AA316+SUMIF(Grid_BD!$B:$B,$A316,Grid_BD!$V:$V))),"")</f>
        <v/>
      </c>
      <c r="S316" s="9"/>
      <c r="T316" s="231"/>
      <c r="U316" s="232" t="str">
        <f t="shared" si="26"/>
        <v/>
      </c>
      <c r="V316" s="232" t="str">
        <f>IFERROR(_xlfn.XLOOKUP($A316,Input_Raw!$A:$A,Input_Raw!$FG:$FG),"")</f>
        <v/>
      </c>
      <c r="W316" s="233" t="str">
        <f t="shared" si="27"/>
        <v/>
      </c>
      <c r="X316" s="29" t="str">
        <f>IFERROR(_xlfn.XLOOKUP($A316,Input_Raw!$A:$A,Input_Raw!$DP:$DP),"")</f>
        <v/>
      </c>
      <c r="Y316" s="29" t="str">
        <f>IFERROR(_xlfn.XLOOKUP($A316,Input_Raw!$A:$A,Input_Raw!EW:EW),"")</f>
        <v/>
      </c>
      <c r="Z316" s="29" t="str">
        <f>IFERROR(_xlfn.XLOOKUP($A316,Input_Raw!$A:$A,Input_Raw!EX:EX),"")</f>
        <v/>
      </c>
      <c r="AA316" s="29" t="str">
        <f>IFERROR(_xlfn.XLOOKUP($A316,Input_Raw!$A:$A,Input_Raw!FA:FA),"")</f>
        <v/>
      </c>
      <c r="AB316" s="9" t="str">
        <f>IFERROR(_xlfn.XLOOKUP($A316,Input_Raw!$A:$A,Input_Raw!FD:FD),"")</f>
        <v/>
      </c>
      <c r="AC316" s="185">
        <f>IFERROR(_xlfn.XLOOKUP($D316,'Modelling New'!$D:$D,'Modelling New'!P:P),"")</f>
        <v>6.3107142857142851</v>
      </c>
      <c r="AD316" s="29">
        <f>IFERROR(_xlfn.XLOOKUP($D316,'Modelling New'!$D:$D,'Modelling New'!T:T)*1000,"")</f>
        <v>682247.66019581049</v>
      </c>
      <c r="AE316" s="233">
        <f>IFERROR(_xlfn.XLOOKUP($D316,'Modelling New'!$D:$D,'Modelling New'!O:O),"")</f>
        <v>0.8316109218354748</v>
      </c>
      <c r="AF316" s="233">
        <f>IFERROR(_xlfn.XLOOKUP($D316,'Modelling New'!$D:$D,'Modelling New'!W:W),"")</f>
        <v>0.21866912185763154</v>
      </c>
      <c r="AG316" s="233">
        <f>IFERROR(_xlfn.XLOOKUP($D316,'Modelling New'!$D:$D,'Modelling New'!AE:AE),"")</f>
        <v>0.995</v>
      </c>
      <c r="AH316" s="234">
        <f>IFERROR(_xlfn.XLOOKUP($D316,'Modelling New'!$D:$D,'Modelling New'!AF:AF),"")</f>
        <v>0.995</v>
      </c>
      <c r="AI316" s="9"/>
      <c r="AJ316" s="9"/>
      <c r="AK316" s="258"/>
      <c r="AL316" s="258"/>
      <c r="AM316" s="258"/>
      <c r="AN316" s="235"/>
      <c r="AO316" s="233"/>
      <c r="AP316" s="233"/>
      <c r="AQ316" s="233"/>
      <c r="AR316" s="236">
        <f>_xlfn.XLOOKUP(D316,'Modelling New'!$D:$D,'Modelling New'!$N:$N)</f>
        <v>130</v>
      </c>
      <c r="AS316" s="236" t="str">
        <f t="shared" si="28"/>
        <v/>
      </c>
    </row>
    <row r="317" spans="1:45">
      <c r="A317" s="18">
        <f t="shared" si="29"/>
        <v>46060</v>
      </c>
      <c r="B317" s="29">
        <f>YEAR(Table13[[#This Row],[Date]])+IF(MONTH(Table13[[#This Row],[Date]])&gt;=4,1,0)</f>
        <v>2026</v>
      </c>
      <c r="C317" s="9">
        <f>YEAR(Table13[[#This Row],[Date]])</f>
        <v>2026</v>
      </c>
      <c r="D317" s="229">
        <f>Table13[[#This Row],[Date]]-DAY(Table13[[#This Row],[Date]])+1</f>
        <v>46054</v>
      </c>
      <c r="E317" s="9">
        <f t="shared" si="25"/>
        <v>28</v>
      </c>
      <c r="F317" s="199" t="str">
        <f>IFERROR(_xlfn.XLOOKUP($A317,Input_Raw!$A:$A,Input_Raw!$FC:$FC),"")</f>
        <v/>
      </c>
      <c r="G317" s="185" t="str">
        <f>IFERROR(_xlfn.XLOOKUP($A317,Input_Raw!$A:$A,Input_Raw!$CY:$CY),"")</f>
        <v/>
      </c>
      <c r="H317" s="185" t="str">
        <f>IFERROR(_xlfn.XLOOKUP($A317,Input_Raw!$A:$A,Input_Raw!$DA:$DA),"")</f>
        <v/>
      </c>
      <c r="I317" s="185" t="str">
        <f>IFERROR(_xlfn.XLOOKUP($A317,Input_Raw!$A:$A,Input_Raw!$CX:$CX),"")</f>
        <v/>
      </c>
      <c r="J317" s="185" t="str">
        <f>IFERROR(_xlfn.XLOOKUP($A317,Input_Raw!$A:$A,Input_Raw!$CZ:$CZ),"")</f>
        <v/>
      </c>
      <c r="K317" s="201" t="str">
        <f>IFERROR(_xlfn.XLOOKUP($A317,Input_Raw!$A:$A,Input_Raw!$DB:$DB),"")</f>
        <v/>
      </c>
      <c r="L317" s="201" t="str">
        <f>IFERROR(_xlfn.XLOOKUP($A317,Input_Raw!$A:$A,Input_Raw!$DC:$DC),"")</f>
        <v/>
      </c>
      <c r="M317" s="200" t="str">
        <f>IFERROR(_xlfn.XLOOKUP($A317,Input_Raw!$A:$A,Input_Raw!$DF:$DF),"")</f>
        <v/>
      </c>
      <c r="N317" s="200" t="str">
        <f>IFERROR(_xlfn.XLOOKUP($A317,Input_Raw!$A:$A,Input_Raw!$DG:$DG),"")</f>
        <v/>
      </c>
      <c r="O317" s="230" t="str">
        <f>IFERROR(1-(SUMIF(Plant_BD!$B:$B,$A317,Plant_BD!$AL:$AL)/($AA317+SUMIF(Plant_BD!$B:$B,$A317,Plant_BD!$AL:$AL))),"")</f>
        <v/>
      </c>
      <c r="P317" s="230"/>
      <c r="Q317" s="231" t="str">
        <f>IFERROR(1-(SUMIF(Grid_BD!$B:$B,$A317,Grid_BD!$V:$V)/($AA317+SUMIF(Grid_BD!$B:$B,$A317,Grid_BD!$V:$V))),"")</f>
        <v/>
      </c>
      <c r="R317" s="230" t="str">
        <f>IFERROR(1-(SUMIF(Grid_BD!$B:$B,$A317,Grid_BD!$V:$V)/($AA317+SUMIF(Grid_BD!$B:$B,$A317,Grid_BD!$V:$V))),"")</f>
        <v/>
      </c>
      <c r="S317" s="9"/>
      <c r="T317" s="231"/>
      <c r="U317" s="232" t="str">
        <f t="shared" si="26"/>
        <v/>
      </c>
      <c r="V317" s="232" t="str">
        <f>IFERROR(_xlfn.XLOOKUP($A317,Input_Raw!$A:$A,Input_Raw!$FG:$FG),"")</f>
        <v/>
      </c>
      <c r="W317" s="233" t="str">
        <f t="shared" si="27"/>
        <v/>
      </c>
      <c r="X317" s="29" t="str">
        <f>IFERROR(_xlfn.XLOOKUP($A317,Input_Raw!$A:$A,Input_Raw!$DP:$DP),"")</f>
        <v/>
      </c>
      <c r="Y317" s="29" t="str">
        <f>IFERROR(_xlfn.XLOOKUP($A317,Input_Raw!$A:$A,Input_Raw!EW:EW),"")</f>
        <v/>
      </c>
      <c r="Z317" s="29" t="str">
        <f>IFERROR(_xlfn.XLOOKUP($A317,Input_Raw!$A:$A,Input_Raw!EX:EX),"")</f>
        <v/>
      </c>
      <c r="AA317" s="29" t="str">
        <f>IFERROR(_xlfn.XLOOKUP($A317,Input_Raw!$A:$A,Input_Raw!FA:FA),"")</f>
        <v/>
      </c>
      <c r="AB317" s="9" t="str">
        <f>IFERROR(_xlfn.XLOOKUP($A317,Input_Raw!$A:$A,Input_Raw!FD:FD),"")</f>
        <v/>
      </c>
      <c r="AC317" s="185">
        <f>IFERROR(_xlfn.XLOOKUP($D317,'Modelling New'!$D:$D,'Modelling New'!P:P),"")</f>
        <v>6.3107142857142851</v>
      </c>
      <c r="AD317" s="29">
        <f>IFERROR(_xlfn.XLOOKUP($D317,'Modelling New'!$D:$D,'Modelling New'!T:T)*1000,"")</f>
        <v>682247.66019581049</v>
      </c>
      <c r="AE317" s="233">
        <f>IFERROR(_xlfn.XLOOKUP($D317,'Modelling New'!$D:$D,'Modelling New'!O:O),"")</f>
        <v>0.8316109218354748</v>
      </c>
      <c r="AF317" s="233">
        <f>IFERROR(_xlfn.XLOOKUP($D317,'Modelling New'!$D:$D,'Modelling New'!W:W),"")</f>
        <v>0.21866912185763154</v>
      </c>
      <c r="AG317" s="233">
        <f>IFERROR(_xlfn.XLOOKUP($D317,'Modelling New'!$D:$D,'Modelling New'!AE:AE),"")</f>
        <v>0.995</v>
      </c>
      <c r="AH317" s="234">
        <f>IFERROR(_xlfn.XLOOKUP($D317,'Modelling New'!$D:$D,'Modelling New'!AF:AF),"")</f>
        <v>0.995</v>
      </c>
      <c r="AI317" s="9"/>
      <c r="AJ317" s="9"/>
      <c r="AK317" s="258"/>
      <c r="AL317" s="258"/>
      <c r="AM317" s="258"/>
      <c r="AN317" s="235"/>
      <c r="AO317" s="233"/>
      <c r="AP317" s="233"/>
      <c r="AQ317" s="233"/>
      <c r="AR317" s="236">
        <f>_xlfn.XLOOKUP(D317,'Modelling New'!$D:$D,'Modelling New'!$N:$N)</f>
        <v>130</v>
      </c>
      <c r="AS317" s="236" t="str">
        <f t="shared" si="28"/>
        <v/>
      </c>
    </row>
    <row r="318" spans="1:45">
      <c r="A318" s="18">
        <f t="shared" si="29"/>
        <v>46061</v>
      </c>
      <c r="B318" s="29">
        <f>YEAR(Table13[[#This Row],[Date]])+IF(MONTH(Table13[[#This Row],[Date]])&gt;=4,1,0)</f>
        <v>2026</v>
      </c>
      <c r="C318" s="9">
        <f>YEAR(Table13[[#This Row],[Date]])</f>
        <v>2026</v>
      </c>
      <c r="D318" s="229">
        <f>Table13[[#This Row],[Date]]-DAY(Table13[[#This Row],[Date]])+1</f>
        <v>46054</v>
      </c>
      <c r="E318" s="9">
        <f t="shared" si="25"/>
        <v>28</v>
      </c>
      <c r="F318" s="199" t="str">
        <f>IFERROR(_xlfn.XLOOKUP($A318,Input_Raw!$A:$A,Input_Raw!$FC:$FC),"")</f>
        <v/>
      </c>
      <c r="G318" s="200" t="str">
        <f>IFERROR(_xlfn.XLOOKUP($A318,Input_Raw!$A:$A,Input_Raw!$CY:$CY),"")</f>
        <v/>
      </c>
      <c r="H318" s="200" t="str">
        <f>IFERROR(_xlfn.XLOOKUP($A318,Input_Raw!$A:$A,Input_Raw!$DA:$DA),"")</f>
        <v/>
      </c>
      <c r="I318" s="200" t="str">
        <f>IFERROR(_xlfn.XLOOKUP($A318,Input_Raw!$A:$A,Input_Raw!$CX:$CX),"")</f>
        <v/>
      </c>
      <c r="J318" s="200" t="str">
        <f>IFERROR(_xlfn.XLOOKUP($A318,Input_Raw!$A:$A,Input_Raw!$CZ:$CZ),"")</f>
        <v/>
      </c>
      <c r="K318" s="201" t="str">
        <f>IFERROR(_xlfn.XLOOKUP($A318,Input_Raw!$A:$A,Input_Raw!$DB:$DB),"")</f>
        <v/>
      </c>
      <c r="L318" s="201" t="str">
        <f>IFERROR(_xlfn.XLOOKUP($A318,Input_Raw!$A:$A,Input_Raw!$DC:$DC),"")</f>
        <v/>
      </c>
      <c r="M318" s="200" t="str">
        <f>IFERROR(_xlfn.XLOOKUP($A318,Input_Raw!$A:$A,Input_Raw!$DF:$DF),"")</f>
        <v/>
      </c>
      <c r="N318" s="200" t="str">
        <f>IFERROR(_xlfn.XLOOKUP($A318,Input_Raw!$A:$A,Input_Raw!$DG:$DG),"")</f>
        <v/>
      </c>
      <c r="O318" s="230" t="str">
        <f>IFERROR(1-(SUMIF(Plant_BD!$B:$B,$A318,Plant_BD!$AL:$AL)/($AA318+SUMIF(Plant_BD!$B:$B,$A318,Plant_BD!$AL:$AL))),"")</f>
        <v/>
      </c>
      <c r="P318" s="230"/>
      <c r="Q318" s="231" t="str">
        <f>IFERROR(1-(SUMIF(Grid_BD!$B:$B,$A318,Grid_BD!$V:$V)/($AA318+SUMIF(Grid_BD!$B:$B,$A318,Grid_BD!$V:$V))),"")</f>
        <v/>
      </c>
      <c r="R318" s="230" t="str">
        <f>IFERROR(1-(SUMIF(Grid_BD!$B:$B,$A318,Grid_BD!$V:$V)/($AA318+SUMIF(Grid_BD!$B:$B,$A318,Grid_BD!$V:$V))),"")</f>
        <v/>
      </c>
      <c r="S318" s="9"/>
      <c r="T318" s="231"/>
      <c r="U318" s="232" t="str">
        <f t="shared" si="26"/>
        <v/>
      </c>
      <c r="V318" s="232" t="str">
        <f>IFERROR(_xlfn.XLOOKUP($A318,Input_Raw!$A:$A,Input_Raw!$FG:$FG),"")</f>
        <v/>
      </c>
      <c r="W318" s="233" t="str">
        <f t="shared" si="27"/>
        <v/>
      </c>
      <c r="X318" s="29" t="str">
        <f>IFERROR(_xlfn.XLOOKUP($A318,Input_Raw!$A:$A,Input_Raw!$DP:$DP),"")</f>
        <v/>
      </c>
      <c r="Y318" s="29" t="str">
        <f>IFERROR(_xlfn.XLOOKUP($A318,Input_Raw!$A:$A,Input_Raw!EW:EW),"")</f>
        <v/>
      </c>
      <c r="Z318" s="29" t="str">
        <f>IFERROR(_xlfn.XLOOKUP($A318,Input_Raw!$A:$A,Input_Raw!EX:EX),"")</f>
        <v/>
      </c>
      <c r="AA318" s="29" t="str">
        <f>IFERROR(_xlfn.XLOOKUP($A318,Input_Raw!$A:$A,Input_Raw!FA:FA),"")</f>
        <v/>
      </c>
      <c r="AB318" s="9" t="str">
        <f>IFERROR(_xlfn.XLOOKUP($A318,Input_Raw!$A:$A,Input_Raw!FD:FD),"")</f>
        <v/>
      </c>
      <c r="AC318" s="185">
        <f>IFERROR(_xlfn.XLOOKUP($D318,'Modelling New'!$D:$D,'Modelling New'!P:P),"")</f>
        <v>6.3107142857142851</v>
      </c>
      <c r="AD318" s="29">
        <f>IFERROR(_xlfn.XLOOKUP($D318,'Modelling New'!$D:$D,'Modelling New'!T:T)*1000,"")</f>
        <v>682247.66019581049</v>
      </c>
      <c r="AE318" s="233">
        <f>IFERROR(_xlfn.XLOOKUP($D318,'Modelling New'!$D:$D,'Modelling New'!O:O),"")</f>
        <v>0.8316109218354748</v>
      </c>
      <c r="AF318" s="233">
        <f>IFERROR(_xlfn.XLOOKUP($D318,'Modelling New'!$D:$D,'Modelling New'!W:W),"")</f>
        <v>0.21866912185763154</v>
      </c>
      <c r="AG318" s="233">
        <f>IFERROR(_xlfn.XLOOKUP($D318,'Modelling New'!$D:$D,'Modelling New'!AE:AE),"")</f>
        <v>0.995</v>
      </c>
      <c r="AH318" s="234">
        <f>IFERROR(_xlfn.XLOOKUP($D318,'Modelling New'!$D:$D,'Modelling New'!AF:AF),"")</f>
        <v>0.995</v>
      </c>
      <c r="AI318" s="9"/>
      <c r="AJ318" s="9"/>
      <c r="AK318" s="258"/>
      <c r="AL318" s="258"/>
      <c r="AM318" s="258"/>
      <c r="AN318" s="235"/>
      <c r="AO318" s="233"/>
      <c r="AP318" s="233"/>
      <c r="AQ318" s="233"/>
      <c r="AR318" s="236">
        <f>_xlfn.XLOOKUP(D318,'Modelling New'!$D:$D,'Modelling New'!$N:$N)</f>
        <v>130</v>
      </c>
      <c r="AS318" s="236" t="str">
        <f t="shared" si="28"/>
        <v/>
      </c>
    </row>
    <row r="319" spans="1:45">
      <c r="A319" s="18">
        <f t="shared" si="29"/>
        <v>46062</v>
      </c>
      <c r="B319" s="29">
        <f>YEAR(Table13[[#This Row],[Date]])+IF(MONTH(Table13[[#This Row],[Date]])&gt;=4,1,0)</f>
        <v>2026</v>
      </c>
      <c r="C319" s="9">
        <f>YEAR(Table13[[#This Row],[Date]])</f>
        <v>2026</v>
      </c>
      <c r="D319" s="229">
        <f>Table13[[#This Row],[Date]]-DAY(Table13[[#This Row],[Date]])+1</f>
        <v>46054</v>
      </c>
      <c r="E319" s="9">
        <f t="shared" si="25"/>
        <v>28</v>
      </c>
      <c r="F319" s="199" t="str">
        <f>IFERROR(_xlfn.XLOOKUP($A319,Input_Raw!$A:$A,Input_Raw!$FC:$FC),"")</f>
        <v/>
      </c>
      <c r="G319" s="185" t="str">
        <f>IFERROR(_xlfn.XLOOKUP($A319,Input_Raw!$A:$A,Input_Raw!$CY:$CY),"")</f>
        <v/>
      </c>
      <c r="H319" s="185" t="str">
        <f>IFERROR(_xlfn.XLOOKUP($A319,Input_Raw!$A:$A,Input_Raw!$DA:$DA),"")</f>
        <v/>
      </c>
      <c r="I319" s="185" t="str">
        <f>IFERROR(_xlfn.XLOOKUP($A319,Input_Raw!$A:$A,Input_Raw!$CX:$CX),"")</f>
        <v/>
      </c>
      <c r="J319" s="185" t="str">
        <f>IFERROR(_xlfn.XLOOKUP($A319,Input_Raw!$A:$A,Input_Raw!$CZ:$CZ),"")</f>
        <v/>
      </c>
      <c r="K319" s="201" t="str">
        <f>IFERROR(_xlfn.XLOOKUP($A319,Input_Raw!$A:$A,Input_Raw!$DB:$DB),"")</f>
        <v/>
      </c>
      <c r="L319" s="201" t="str">
        <f>IFERROR(_xlfn.XLOOKUP($A319,Input_Raw!$A:$A,Input_Raw!$DC:$DC),"")</f>
        <v/>
      </c>
      <c r="M319" s="200" t="str">
        <f>IFERROR(_xlfn.XLOOKUP($A319,Input_Raw!$A:$A,Input_Raw!$DF:$DF),"")</f>
        <v/>
      </c>
      <c r="N319" s="200" t="str">
        <f>IFERROR(_xlfn.XLOOKUP($A319,Input_Raw!$A:$A,Input_Raw!$DG:$DG),"")</f>
        <v/>
      </c>
      <c r="O319" s="230" t="str">
        <f>IFERROR(1-(SUMIF(Plant_BD!$B:$B,$A319,Plant_BD!$AL:$AL)/($AA319+SUMIF(Plant_BD!$B:$B,$A319,Plant_BD!$AL:$AL))),"")</f>
        <v/>
      </c>
      <c r="P319" s="230"/>
      <c r="Q319" s="231" t="str">
        <f>IFERROR(1-(SUMIF(Grid_BD!$B:$B,$A319,Grid_BD!$V:$V)/($AA319+SUMIF(Grid_BD!$B:$B,$A319,Grid_BD!$V:$V))),"")</f>
        <v/>
      </c>
      <c r="R319" s="230" t="str">
        <f>IFERROR(1-(SUMIF(Grid_BD!$B:$B,$A319,Grid_BD!$V:$V)/($AA319+SUMIF(Grid_BD!$B:$B,$A319,Grid_BD!$V:$V))),"")</f>
        <v/>
      </c>
      <c r="S319" s="9"/>
      <c r="T319" s="231"/>
      <c r="U319" s="232" t="str">
        <f t="shared" si="26"/>
        <v/>
      </c>
      <c r="V319" s="232" t="str">
        <f>IFERROR(_xlfn.XLOOKUP($A319,Input_Raw!$A:$A,Input_Raw!$FG:$FG),"")</f>
        <v/>
      </c>
      <c r="W319" s="233" t="str">
        <f t="shared" si="27"/>
        <v/>
      </c>
      <c r="X319" s="29" t="str">
        <f>IFERROR(_xlfn.XLOOKUP($A319,Input_Raw!$A:$A,Input_Raw!$DP:$DP),"")</f>
        <v/>
      </c>
      <c r="Y319" s="29" t="str">
        <f>IFERROR(_xlfn.XLOOKUP($A319,Input_Raw!$A:$A,Input_Raw!EW:EW),"")</f>
        <v/>
      </c>
      <c r="Z319" s="29" t="str">
        <f>IFERROR(_xlfn.XLOOKUP($A319,Input_Raw!$A:$A,Input_Raw!EX:EX),"")</f>
        <v/>
      </c>
      <c r="AA319" s="29" t="str">
        <f>IFERROR(_xlfn.XLOOKUP($A319,Input_Raw!$A:$A,Input_Raw!FA:FA),"")</f>
        <v/>
      </c>
      <c r="AB319" s="9" t="str">
        <f>IFERROR(_xlfn.XLOOKUP($A319,Input_Raw!$A:$A,Input_Raw!FD:FD),"")</f>
        <v/>
      </c>
      <c r="AC319" s="185">
        <f>IFERROR(_xlfn.XLOOKUP($D319,'Modelling New'!$D:$D,'Modelling New'!P:P),"")</f>
        <v>6.3107142857142851</v>
      </c>
      <c r="AD319" s="29">
        <f>IFERROR(_xlfn.XLOOKUP($D319,'Modelling New'!$D:$D,'Modelling New'!T:T)*1000,"")</f>
        <v>682247.66019581049</v>
      </c>
      <c r="AE319" s="233">
        <f>IFERROR(_xlfn.XLOOKUP($D319,'Modelling New'!$D:$D,'Modelling New'!O:O),"")</f>
        <v>0.8316109218354748</v>
      </c>
      <c r="AF319" s="233">
        <f>IFERROR(_xlfn.XLOOKUP($D319,'Modelling New'!$D:$D,'Modelling New'!W:W),"")</f>
        <v>0.21866912185763154</v>
      </c>
      <c r="AG319" s="233">
        <f>IFERROR(_xlfn.XLOOKUP($D319,'Modelling New'!$D:$D,'Modelling New'!AE:AE),"")</f>
        <v>0.995</v>
      </c>
      <c r="AH319" s="234">
        <f>IFERROR(_xlfn.XLOOKUP($D319,'Modelling New'!$D:$D,'Modelling New'!AF:AF),"")</f>
        <v>0.995</v>
      </c>
      <c r="AI319" s="9"/>
      <c r="AJ319" s="9"/>
      <c r="AK319" s="258"/>
      <c r="AL319" s="258"/>
      <c r="AM319" s="258"/>
      <c r="AN319" s="235"/>
      <c r="AO319" s="233"/>
      <c r="AP319" s="233"/>
      <c r="AQ319" s="233"/>
      <c r="AR319" s="236">
        <f>_xlfn.XLOOKUP(D319,'Modelling New'!$D:$D,'Modelling New'!$N:$N)</f>
        <v>130</v>
      </c>
      <c r="AS319" s="236" t="str">
        <f t="shared" si="28"/>
        <v/>
      </c>
    </row>
    <row r="320" spans="1:45">
      <c r="A320" s="18">
        <f t="shared" si="29"/>
        <v>46063</v>
      </c>
      <c r="B320" s="29">
        <f>YEAR(Table13[[#This Row],[Date]])+IF(MONTH(Table13[[#This Row],[Date]])&gt;=4,1,0)</f>
        <v>2026</v>
      </c>
      <c r="C320" s="9">
        <f>YEAR(Table13[[#This Row],[Date]])</f>
        <v>2026</v>
      </c>
      <c r="D320" s="229">
        <f>Table13[[#This Row],[Date]]-DAY(Table13[[#This Row],[Date]])+1</f>
        <v>46054</v>
      </c>
      <c r="E320" s="9">
        <f t="shared" si="25"/>
        <v>28</v>
      </c>
      <c r="F320" s="199" t="str">
        <f>IFERROR(_xlfn.XLOOKUP($A320,Input_Raw!$A:$A,Input_Raw!$FC:$FC),"")</f>
        <v/>
      </c>
      <c r="G320" s="200" t="str">
        <f>IFERROR(_xlfn.XLOOKUP($A320,Input_Raw!$A:$A,Input_Raw!$CY:$CY),"")</f>
        <v/>
      </c>
      <c r="H320" s="200" t="str">
        <f>IFERROR(_xlfn.XLOOKUP($A320,Input_Raw!$A:$A,Input_Raw!$DA:$DA),"")</f>
        <v/>
      </c>
      <c r="I320" s="200" t="str">
        <f>IFERROR(_xlfn.XLOOKUP($A320,Input_Raw!$A:$A,Input_Raw!$CX:$CX),"")</f>
        <v/>
      </c>
      <c r="J320" s="200" t="str">
        <f>IFERROR(_xlfn.XLOOKUP($A320,Input_Raw!$A:$A,Input_Raw!$CZ:$CZ),"")</f>
        <v/>
      </c>
      <c r="K320" s="201" t="str">
        <f>IFERROR(_xlfn.XLOOKUP($A320,Input_Raw!$A:$A,Input_Raw!$DB:$DB),"")</f>
        <v/>
      </c>
      <c r="L320" s="201" t="str">
        <f>IFERROR(_xlfn.XLOOKUP($A320,Input_Raw!$A:$A,Input_Raw!$DC:$DC),"")</f>
        <v/>
      </c>
      <c r="M320" s="200" t="str">
        <f>IFERROR(_xlfn.XLOOKUP($A320,Input_Raw!$A:$A,Input_Raw!$DF:$DF),"")</f>
        <v/>
      </c>
      <c r="N320" s="200" t="str">
        <f>IFERROR(_xlfn.XLOOKUP($A320,Input_Raw!$A:$A,Input_Raw!$DG:$DG),"")</f>
        <v/>
      </c>
      <c r="O320" s="230" t="str">
        <f>IFERROR(1-(SUMIF(Plant_BD!$B:$B,$A320,Plant_BD!$AL:$AL)/($AA320+SUMIF(Plant_BD!$B:$B,$A320,Plant_BD!$AL:$AL))),"")</f>
        <v/>
      </c>
      <c r="P320" s="230"/>
      <c r="Q320" s="231" t="str">
        <f>IFERROR(1-(SUMIF(Grid_BD!$B:$B,$A320,Grid_BD!$V:$V)/($AA320+SUMIF(Grid_BD!$B:$B,$A320,Grid_BD!$V:$V))),"")</f>
        <v/>
      </c>
      <c r="R320" s="230" t="str">
        <f>IFERROR(1-(SUMIF(Grid_BD!$B:$B,$A320,Grid_BD!$V:$V)/($AA320+SUMIF(Grid_BD!$B:$B,$A320,Grid_BD!$V:$V))),"")</f>
        <v/>
      </c>
      <c r="S320" s="9"/>
      <c r="T320" s="231"/>
      <c r="U320" s="232" t="str">
        <f t="shared" si="26"/>
        <v/>
      </c>
      <c r="V320" s="232" t="str">
        <f>IFERROR(_xlfn.XLOOKUP($A320,Input_Raw!$A:$A,Input_Raw!$FG:$FG),"")</f>
        <v/>
      </c>
      <c r="W320" s="233" t="str">
        <f t="shared" si="27"/>
        <v/>
      </c>
      <c r="X320" s="29" t="str">
        <f>IFERROR(_xlfn.XLOOKUP($A320,Input_Raw!$A:$A,Input_Raw!$DP:$DP),"")</f>
        <v/>
      </c>
      <c r="Y320" s="29" t="str">
        <f>IFERROR(_xlfn.XLOOKUP($A320,Input_Raw!$A:$A,Input_Raw!EW:EW),"")</f>
        <v/>
      </c>
      <c r="Z320" s="29" t="str">
        <f>IFERROR(_xlfn.XLOOKUP($A320,Input_Raw!$A:$A,Input_Raw!EX:EX),"")</f>
        <v/>
      </c>
      <c r="AA320" s="29" t="str">
        <f>IFERROR(_xlfn.XLOOKUP($A320,Input_Raw!$A:$A,Input_Raw!FA:FA),"")</f>
        <v/>
      </c>
      <c r="AB320" s="9" t="str">
        <f>IFERROR(_xlfn.XLOOKUP($A320,Input_Raw!$A:$A,Input_Raw!FD:FD),"")</f>
        <v/>
      </c>
      <c r="AC320" s="185">
        <f>IFERROR(_xlfn.XLOOKUP($D320,'Modelling New'!$D:$D,'Modelling New'!P:P),"")</f>
        <v>6.3107142857142851</v>
      </c>
      <c r="AD320" s="29">
        <f>IFERROR(_xlfn.XLOOKUP($D320,'Modelling New'!$D:$D,'Modelling New'!T:T)*1000,"")</f>
        <v>682247.66019581049</v>
      </c>
      <c r="AE320" s="233">
        <f>IFERROR(_xlfn.XLOOKUP($D320,'Modelling New'!$D:$D,'Modelling New'!O:O),"")</f>
        <v>0.8316109218354748</v>
      </c>
      <c r="AF320" s="233">
        <f>IFERROR(_xlfn.XLOOKUP($D320,'Modelling New'!$D:$D,'Modelling New'!W:W),"")</f>
        <v>0.21866912185763154</v>
      </c>
      <c r="AG320" s="233">
        <f>IFERROR(_xlfn.XLOOKUP($D320,'Modelling New'!$D:$D,'Modelling New'!AE:AE),"")</f>
        <v>0.995</v>
      </c>
      <c r="AH320" s="234">
        <f>IFERROR(_xlfn.XLOOKUP($D320,'Modelling New'!$D:$D,'Modelling New'!AF:AF),"")</f>
        <v>0.995</v>
      </c>
      <c r="AI320" s="9"/>
      <c r="AJ320" s="9"/>
      <c r="AK320" s="258"/>
      <c r="AL320" s="258"/>
      <c r="AM320" s="258"/>
      <c r="AN320" s="235"/>
      <c r="AO320" s="233"/>
      <c r="AP320" s="233"/>
      <c r="AQ320" s="233"/>
      <c r="AR320" s="236">
        <f>_xlfn.XLOOKUP(D320,'Modelling New'!$D:$D,'Modelling New'!$N:$N)</f>
        <v>130</v>
      </c>
      <c r="AS320" s="236" t="str">
        <f t="shared" si="28"/>
        <v/>
      </c>
    </row>
    <row r="321" spans="1:45">
      <c r="A321" s="18">
        <f t="shared" si="29"/>
        <v>46064</v>
      </c>
      <c r="B321" s="29">
        <f>YEAR(Table13[[#This Row],[Date]])+IF(MONTH(Table13[[#This Row],[Date]])&gt;=4,1,0)</f>
        <v>2026</v>
      </c>
      <c r="C321" s="9">
        <f>YEAR(Table13[[#This Row],[Date]])</f>
        <v>2026</v>
      </c>
      <c r="D321" s="229">
        <f>Table13[[#This Row],[Date]]-DAY(Table13[[#This Row],[Date]])+1</f>
        <v>46054</v>
      </c>
      <c r="E321" s="9">
        <f t="shared" si="25"/>
        <v>28</v>
      </c>
      <c r="F321" s="199" t="str">
        <f>IFERROR(_xlfn.XLOOKUP($A321,Input_Raw!$A:$A,Input_Raw!$FC:$FC),"")</f>
        <v/>
      </c>
      <c r="G321" s="185" t="str">
        <f>IFERROR(_xlfn.XLOOKUP($A321,Input_Raw!$A:$A,Input_Raw!$CY:$CY),"")</f>
        <v/>
      </c>
      <c r="H321" s="185" t="str">
        <f>IFERROR(_xlfn.XLOOKUP($A321,Input_Raw!$A:$A,Input_Raw!$DA:$DA),"")</f>
        <v/>
      </c>
      <c r="I321" s="185" t="str">
        <f>IFERROR(_xlfn.XLOOKUP($A321,Input_Raw!$A:$A,Input_Raw!$CX:$CX),"")</f>
        <v/>
      </c>
      <c r="J321" s="185" t="str">
        <f>IFERROR(_xlfn.XLOOKUP($A321,Input_Raw!$A:$A,Input_Raw!$CZ:$CZ),"")</f>
        <v/>
      </c>
      <c r="K321" s="201" t="str">
        <f>IFERROR(_xlfn.XLOOKUP($A321,Input_Raw!$A:$A,Input_Raw!$DB:$DB),"")</f>
        <v/>
      </c>
      <c r="L321" s="201" t="str">
        <f>IFERROR(_xlfn.XLOOKUP($A321,Input_Raw!$A:$A,Input_Raw!$DC:$DC),"")</f>
        <v/>
      </c>
      <c r="M321" s="200" t="str">
        <f>IFERROR(_xlfn.XLOOKUP($A321,Input_Raw!$A:$A,Input_Raw!$DF:$DF),"")</f>
        <v/>
      </c>
      <c r="N321" s="200" t="str">
        <f>IFERROR(_xlfn.XLOOKUP($A321,Input_Raw!$A:$A,Input_Raw!$DG:$DG),"")</f>
        <v/>
      </c>
      <c r="O321" s="230" t="str">
        <f>IFERROR(1-(SUMIF(Plant_BD!$B:$B,$A321,Plant_BD!$AL:$AL)/($AA321+SUMIF(Plant_BD!$B:$B,$A321,Plant_BD!$AL:$AL))),"")</f>
        <v/>
      </c>
      <c r="P321" s="230"/>
      <c r="Q321" s="231" t="str">
        <f>IFERROR(1-(SUMIF(Grid_BD!$B:$B,$A321,Grid_BD!$V:$V)/($AA321+SUMIF(Grid_BD!$B:$B,$A321,Grid_BD!$V:$V))),"")</f>
        <v/>
      </c>
      <c r="R321" s="230" t="str">
        <f>IFERROR(1-(SUMIF(Grid_BD!$B:$B,$A321,Grid_BD!$V:$V)/($AA321+SUMIF(Grid_BD!$B:$B,$A321,Grid_BD!$V:$V))),"")</f>
        <v/>
      </c>
      <c r="S321" s="9"/>
      <c r="T321" s="231"/>
      <c r="U321" s="232" t="str">
        <f t="shared" si="26"/>
        <v/>
      </c>
      <c r="V321" s="232" t="str">
        <f>IFERROR(_xlfn.XLOOKUP($A321,Input_Raw!$A:$A,Input_Raw!$FG:$FG),"")</f>
        <v/>
      </c>
      <c r="W321" s="233" t="str">
        <f t="shared" si="27"/>
        <v/>
      </c>
      <c r="X321" s="29" t="str">
        <f>IFERROR(_xlfn.XLOOKUP($A321,Input_Raw!$A:$A,Input_Raw!$DP:$DP),"")</f>
        <v/>
      </c>
      <c r="Y321" s="29" t="str">
        <f>IFERROR(_xlfn.XLOOKUP($A321,Input_Raw!$A:$A,Input_Raw!EW:EW),"")</f>
        <v/>
      </c>
      <c r="Z321" s="29" t="str">
        <f>IFERROR(_xlfn.XLOOKUP($A321,Input_Raw!$A:$A,Input_Raw!EX:EX),"")</f>
        <v/>
      </c>
      <c r="AA321" s="29" t="str">
        <f>IFERROR(_xlfn.XLOOKUP($A321,Input_Raw!$A:$A,Input_Raw!FA:FA),"")</f>
        <v/>
      </c>
      <c r="AB321" s="9" t="str">
        <f>IFERROR(_xlfn.XLOOKUP($A321,Input_Raw!$A:$A,Input_Raw!FD:FD),"")</f>
        <v/>
      </c>
      <c r="AC321" s="185">
        <f>IFERROR(_xlfn.XLOOKUP($D321,'Modelling New'!$D:$D,'Modelling New'!P:P),"")</f>
        <v>6.3107142857142851</v>
      </c>
      <c r="AD321" s="29">
        <f>IFERROR(_xlfn.XLOOKUP($D321,'Modelling New'!$D:$D,'Modelling New'!T:T)*1000,"")</f>
        <v>682247.66019581049</v>
      </c>
      <c r="AE321" s="233">
        <f>IFERROR(_xlfn.XLOOKUP($D321,'Modelling New'!$D:$D,'Modelling New'!O:O),"")</f>
        <v>0.8316109218354748</v>
      </c>
      <c r="AF321" s="233">
        <f>IFERROR(_xlfn.XLOOKUP($D321,'Modelling New'!$D:$D,'Modelling New'!W:W),"")</f>
        <v>0.21866912185763154</v>
      </c>
      <c r="AG321" s="233">
        <f>IFERROR(_xlfn.XLOOKUP($D321,'Modelling New'!$D:$D,'Modelling New'!AE:AE),"")</f>
        <v>0.995</v>
      </c>
      <c r="AH321" s="234">
        <f>IFERROR(_xlfn.XLOOKUP($D321,'Modelling New'!$D:$D,'Modelling New'!AF:AF),"")</f>
        <v>0.995</v>
      </c>
      <c r="AI321" s="9"/>
      <c r="AJ321" s="9"/>
      <c r="AK321" s="258"/>
      <c r="AL321" s="258"/>
      <c r="AM321" s="258"/>
      <c r="AN321" s="235"/>
      <c r="AO321" s="233"/>
      <c r="AP321" s="233"/>
      <c r="AQ321" s="233"/>
      <c r="AR321" s="236">
        <f>_xlfn.XLOOKUP(D321,'Modelling New'!$D:$D,'Modelling New'!$N:$N)</f>
        <v>130</v>
      </c>
      <c r="AS321" s="236" t="str">
        <f t="shared" si="28"/>
        <v/>
      </c>
    </row>
    <row r="322" spans="1:45">
      <c r="A322" s="18">
        <f t="shared" si="29"/>
        <v>46065</v>
      </c>
      <c r="B322" s="29">
        <f>YEAR(Table13[[#This Row],[Date]])+IF(MONTH(Table13[[#This Row],[Date]])&gt;=4,1,0)</f>
        <v>2026</v>
      </c>
      <c r="C322" s="9">
        <f>YEAR(Table13[[#This Row],[Date]])</f>
        <v>2026</v>
      </c>
      <c r="D322" s="229">
        <f>Table13[[#This Row],[Date]]-DAY(Table13[[#This Row],[Date]])+1</f>
        <v>46054</v>
      </c>
      <c r="E322" s="9">
        <f t="shared" si="25"/>
        <v>28</v>
      </c>
      <c r="F322" s="199" t="str">
        <f>IFERROR(_xlfn.XLOOKUP($A322,Input_Raw!$A:$A,Input_Raw!$FC:$FC),"")</f>
        <v/>
      </c>
      <c r="G322" s="200" t="str">
        <f>IFERROR(_xlfn.XLOOKUP($A322,Input_Raw!$A:$A,Input_Raw!$CY:$CY),"")</f>
        <v/>
      </c>
      <c r="H322" s="200" t="str">
        <f>IFERROR(_xlfn.XLOOKUP($A322,Input_Raw!$A:$A,Input_Raw!$DA:$DA),"")</f>
        <v/>
      </c>
      <c r="I322" s="200" t="str">
        <f>IFERROR(_xlfn.XLOOKUP($A322,Input_Raw!$A:$A,Input_Raw!$CX:$CX),"")</f>
        <v/>
      </c>
      <c r="J322" s="200" t="str">
        <f>IFERROR(_xlfn.XLOOKUP($A322,Input_Raw!$A:$A,Input_Raw!$CZ:$CZ),"")</f>
        <v/>
      </c>
      <c r="K322" s="201" t="str">
        <f>IFERROR(_xlfn.XLOOKUP($A322,Input_Raw!$A:$A,Input_Raw!$DB:$DB),"")</f>
        <v/>
      </c>
      <c r="L322" s="201" t="str">
        <f>IFERROR(_xlfn.XLOOKUP($A322,Input_Raw!$A:$A,Input_Raw!$DC:$DC),"")</f>
        <v/>
      </c>
      <c r="M322" s="200" t="str">
        <f>IFERROR(_xlfn.XLOOKUP($A322,Input_Raw!$A:$A,Input_Raw!$DF:$DF),"")</f>
        <v/>
      </c>
      <c r="N322" s="200" t="str">
        <f>IFERROR(_xlfn.XLOOKUP($A322,Input_Raw!$A:$A,Input_Raw!$DG:$DG),"")</f>
        <v/>
      </c>
      <c r="O322" s="230" t="str">
        <f>IFERROR(1-(SUMIF(Plant_BD!$B:$B,$A322,Plant_BD!$AL:$AL)/($AA322+SUMIF(Plant_BD!$B:$B,$A322,Plant_BD!$AL:$AL))),"")</f>
        <v/>
      </c>
      <c r="P322" s="230"/>
      <c r="Q322" s="231" t="str">
        <f>IFERROR(1-(SUMIF(Grid_BD!$B:$B,$A322,Grid_BD!$V:$V)/($AA322+SUMIF(Grid_BD!$B:$B,$A322,Grid_BD!$V:$V))),"")</f>
        <v/>
      </c>
      <c r="R322" s="230" t="str">
        <f>IFERROR(1-(SUMIF(Grid_BD!$B:$B,$A322,Grid_BD!$V:$V)/($AA322+SUMIF(Grid_BD!$B:$B,$A322,Grid_BD!$V:$V))),"")</f>
        <v/>
      </c>
      <c r="S322" s="9"/>
      <c r="T322" s="231"/>
      <c r="U322" s="232" t="str">
        <f t="shared" si="26"/>
        <v/>
      </c>
      <c r="V322" s="232" t="str">
        <f>IFERROR(_xlfn.XLOOKUP($A322,Input_Raw!$A:$A,Input_Raw!$FG:$FG),"")</f>
        <v/>
      </c>
      <c r="W322" s="233" t="str">
        <f t="shared" si="27"/>
        <v/>
      </c>
      <c r="X322" s="29" t="str">
        <f>IFERROR(_xlfn.XLOOKUP($A322,Input_Raw!$A:$A,Input_Raw!$DP:$DP),"")</f>
        <v/>
      </c>
      <c r="Y322" s="29" t="str">
        <f>IFERROR(_xlfn.XLOOKUP($A322,Input_Raw!$A:$A,Input_Raw!EW:EW),"")</f>
        <v/>
      </c>
      <c r="Z322" s="29" t="str">
        <f>IFERROR(_xlfn.XLOOKUP($A322,Input_Raw!$A:$A,Input_Raw!EX:EX),"")</f>
        <v/>
      </c>
      <c r="AA322" s="29" t="str">
        <f>IFERROR(_xlfn.XLOOKUP($A322,Input_Raw!$A:$A,Input_Raw!FA:FA),"")</f>
        <v/>
      </c>
      <c r="AB322" s="9" t="str">
        <f>IFERROR(_xlfn.XLOOKUP($A322,Input_Raw!$A:$A,Input_Raw!FD:FD),"")</f>
        <v/>
      </c>
      <c r="AC322" s="185">
        <f>IFERROR(_xlfn.XLOOKUP($D322,'Modelling New'!$D:$D,'Modelling New'!P:P),"")</f>
        <v>6.3107142857142851</v>
      </c>
      <c r="AD322" s="29">
        <f>IFERROR(_xlfn.XLOOKUP($D322,'Modelling New'!$D:$D,'Modelling New'!T:T)*1000,"")</f>
        <v>682247.66019581049</v>
      </c>
      <c r="AE322" s="233">
        <f>IFERROR(_xlfn.XLOOKUP($D322,'Modelling New'!$D:$D,'Modelling New'!O:O),"")</f>
        <v>0.8316109218354748</v>
      </c>
      <c r="AF322" s="233">
        <f>IFERROR(_xlfn.XLOOKUP($D322,'Modelling New'!$D:$D,'Modelling New'!W:W),"")</f>
        <v>0.21866912185763154</v>
      </c>
      <c r="AG322" s="233">
        <f>IFERROR(_xlfn.XLOOKUP($D322,'Modelling New'!$D:$D,'Modelling New'!AE:AE),"")</f>
        <v>0.995</v>
      </c>
      <c r="AH322" s="234">
        <f>IFERROR(_xlfn.XLOOKUP($D322,'Modelling New'!$D:$D,'Modelling New'!AF:AF),"")</f>
        <v>0.995</v>
      </c>
      <c r="AI322" s="9"/>
      <c r="AJ322" s="9"/>
      <c r="AK322" s="258"/>
      <c r="AL322" s="258"/>
      <c r="AM322" s="258"/>
      <c r="AN322" s="235"/>
      <c r="AO322" s="233"/>
      <c r="AP322" s="233"/>
      <c r="AQ322" s="233"/>
      <c r="AR322" s="236">
        <f>_xlfn.XLOOKUP(D322,'Modelling New'!$D:$D,'Modelling New'!$N:$N)</f>
        <v>130</v>
      </c>
      <c r="AS322" s="236" t="str">
        <f t="shared" si="28"/>
        <v/>
      </c>
    </row>
    <row r="323" spans="1:45">
      <c r="A323" s="18">
        <f t="shared" si="29"/>
        <v>46066</v>
      </c>
      <c r="B323" s="29">
        <f>YEAR(Table13[[#This Row],[Date]])+IF(MONTH(Table13[[#This Row],[Date]])&gt;=4,1,0)</f>
        <v>2026</v>
      </c>
      <c r="C323" s="9">
        <f>YEAR(Table13[[#This Row],[Date]])</f>
        <v>2026</v>
      </c>
      <c r="D323" s="229">
        <f>Table13[[#This Row],[Date]]-DAY(Table13[[#This Row],[Date]])+1</f>
        <v>46054</v>
      </c>
      <c r="E323" s="9">
        <f t="shared" si="25"/>
        <v>28</v>
      </c>
      <c r="F323" s="199" t="str">
        <f>IFERROR(_xlfn.XLOOKUP($A323,Input_Raw!$A:$A,Input_Raw!$FC:$FC),"")</f>
        <v/>
      </c>
      <c r="G323" s="185" t="str">
        <f>IFERROR(_xlfn.XLOOKUP($A323,Input_Raw!$A:$A,Input_Raw!$CY:$CY),"")</f>
        <v/>
      </c>
      <c r="H323" s="185" t="str">
        <f>IFERROR(_xlfn.XLOOKUP($A323,Input_Raw!$A:$A,Input_Raw!$DA:$DA),"")</f>
        <v/>
      </c>
      <c r="I323" s="185" t="str">
        <f>IFERROR(_xlfn.XLOOKUP($A323,Input_Raw!$A:$A,Input_Raw!$CX:$CX),"")</f>
        <v/>
      </c>
      <c r="J323" s="185" t="str">
        <f>IFERROR(_xlfn.XLOOKUP($A323,Input_Raw!$A:$A,Input_Raw!$CZ:$CZ),"")</f>
        <v/>
      </c>
      <c r="K323" s="201" t="str">
        <f>IFERROR(_xlfn.XLOOKUP($A323,Input_Raw!$A:$A,Input_Raw!$DB:$DB),"")</f>
        <v/>
      </c>
      <c r="L323" s="201" t="str">
        <f>IFERROR(_xlfn.XLOOKUP($A323,Input_Raw!$A:$A,Input_Raw!$DC:$DC),"")</f>
        <v/>
      </c>
      <c r="M323" s="200" t="str">
        <f>IFERROR(_xlfn.XLOOKUP($A323,Input_Raw!$A:$A,Input_Raw!$DF:$DF),"")</f>
        <v/>
      </c>
      <c r="N323" s="200" t="str">
        <f>IFERROR(_xlfn.XLOOKUP($A323,Input_Raw!$A:$A,Input_Raw!$DG:$DG),"")</f>
        <v/>
      </c>
      <c r="O323" s="230" t="str">
        <f>IFERROR(1-(SUMIF(Plant_BD!$B:$B,$A323,Plant_BD!$AL:$AL)/($AA323+SUMIF(Plant_BD!$B:$B,$A323,Plant_BD!$AL:$AL))),"")</f>
        <v/>
      </c>
      <c r="P323" s="230"/>
      <c r="Q323" s="231" t="str">
        <f>IFERROR(1-(SUMIF(Grid_BD!$B:$B,$A323,Grid_BD!$V:$V)/($AA323+SUMIF(Grid_BD!$B:$B,$A323,Grid_BD!$V:$V))),"")</f>
        <v/>
      </c>
      <c r="R323" s="230" t="str">
        <f>IFERROR(1-(SUMIF(Grid_BD!$B:$B,$A323,Grid_BD!$V:$V)/($AA323+SUMIF(Grid_BD!$B:$B,$A323,Grid_BD!$V:$V))),"")</f>
        <v/>
      </c>
      <c r="S323" s="9"/>
      <c r="T323" s="231"/>
      <c r="U323" s="232" t="str">
        <f t="shared" si="26"/>
        <v/>
      </c>
      <c r="V323" s="232" t="str">
        <f>IFERROR(_xlfn.XLOOKUP($A323,Input_Raw!$A:$A,Input_Raw!$FG:$FG),"")</f>
        <v/>
      </c>
      <c r="W323" s="233" t="str">
        <f t="shared" si="27"/>
        <v/>
      </c>
      <c r="X323" s="29" t="str">
        <f>IFERROR(_xlfn.XLOOKUP($A323,Input_Raw!$A:$A,Input_Raw!$DP:$DP),"")</f>
        <v/>
      </c>
      <c r="Y323" s="29" t="str">
        <f>IFERROR(_xlfn.XLOOKUP($A323,Input_Raw!$A:$A,Input_Raw!EW:EW),"")</f>
        <v/>
      </c>
      <c r="Z323" s="29" t="str">
        <f>IFERROR(_xlfn.XLOOKUP($A323,Input_Raw!$A:$A,Input_Raw!EX:EX),"")</f>
        <v/>
      </c>
      <c r="AA323" s="29" t="str">
        <f>IFERROR(_xlfn.XLOOKUP($A323,Input_Raw!$A:$A,Input_Raw!FA:FA),"")</f>
        <v/>
      </c>
      <c r="AB323" s="9" t="str">
        <f>IFERROR(_xlfn.XLOOKUP($A323,Input_Raw!$A:$A,Input_Raw!FD:FD),"")</f>
        <v/>
      </c>
      <c r="AC323" s="185">
        <f>IFERROR(_xlfn.XLOOKUP($D323,'Modelling New'!$D:$D,'Modelling New'!P:P),"")</f>
        <v>6.3107142857142851</v>
      </c>
      <c r="AD323" s="29">
        <f>IFERROR(_xlfn.XLOOKUP($D323,'Modelling New'!$D:$D,'Modelling New'!T:T)*1000,"")</f>
        <v>682247.66019581049</v>
      </c>
      <c r="AE323" s="233">
        <f>IFERROR(_xlfn.XLOOKUP($D323,'Modelling New'!$D:$D,'Modelling New'!O:O),"")</f>
        <v>0.8316109218354748</v>
      </c>
      <c r="AF323" s="233">
        <f>IFERROR(_xlfn.XLOOKUP($D323,'Modelling New'!$D:$D,'Modelling New'!W:W),"")</f>
        <v>0.21866912185763154</v>
      </c>
      <c r="AG323" s="233">
        <f>IFERROR(_xlfn.XLOOKUP($D323,'Modelling New'!$D:$D,'Modelling New'!AE:AE),"")</f>
        <v>0.995</v>
      </c>
      <c r="AH323" s="234">
        <f>IFERROR(_xlfn.XLOOKUP($D323,'Modelling New'!$D:$D,'Modelling New'!AF:AF),"")</f>
        <v>0.995</v>
      </c>
      <c r="AI323" s="9"/>
      <c r="AJ323" s="9"/>
      <c r="AK323" s="258"/>
      <c r="AL323" s="258"/>
      <c r="AM323" s="258"/>
      <c r="AN323" s="235"/>
      <c r="AO323" s="233"/>
      <c r="AP323" s="233"/>
      <c r="AQ323" s="233"/>
      <c r="AR323" s="236">
        <f>_xlfn.XLOOKUP(D323,'Modelling New'!$D:$D,'Modelling New'!$N:$N)</f>
        <v>130</v>
      </c>
      <c r="AS323" s="236" t="str">
        <f t="shared" si="28"/>
        <v/>
      </c>
    </row>
    <row r="324" spans="1:45">
      <c r="A324" s="18">
        <f t="shared" si="29"/>
        <v>46067</v>
      </c>
      <c r="B324" s="29">
        <f>YEAR(Table13[[#This Row],[Date]])+IF(MONTH(Table13[[#This Row],[Date]])&gt;=4,1,0)</f>
        <v>2026</v>
      </c>
      <c r="C324" s="9">
        <f>YEAR(Table13[[#This Row],[Date]])</f>
        <v>2026</v>
      </c>
      <c r="D324" s="229">
        <f>Table13[[#This Row],[Date]]-DAY(Table13[[#This Row],[Date]])+1</f>
        <v>46054</v>
      </c>
      <c r="E324" s="9">
        <f t="shared" si="25"/>
        <v>28</v>
      </c>
      <c r="F324" s="199" t="str">
        <f>IFERROR(_xlfn.XLOOKUP($A324,Input_Raw!$A:$A,Input_Raw!$FC:$FC),"")</f>
        <v/>
      </c>
      <c r="G324" s="200" t="str">
        <f>IFERROR(_xlfn.XLOOKUP($A324,Input_Raw!$A:$A,Input_Raw!$CY:$CY),"")</f>
        <v/>
      </c>
      <c r="H324" s="200" t="str">
        <f>IFERROR(_xlfn.XLOOKUP($A324,Input_Raw!$A:$A,Input_Raw!$DA:$DA),"")</f>
        <v/>
      </c>
      <c r="I324" s="200" t="str">
        <f>IFERROR(_xlfn.XLOOKUP($A324,Input_Raw!$A:$A,Input_Raw!$CX:$CX),"")</f>
        <v/>
      </c>
      <c r="J324" s="200" t="str">
        <f>IFERROR(_xlfn.XLOOKUP($A324,Input_Raw!$A:$A,Input_Raw!$CZ:$CZ),"")</f>
        <v/>
      </c>
      <c r="K324" s="201" t="str">
        <f>IFERROR(_xlfn.XLOOKUP($A324,Input_Raw!$A:$A,Input_Raw!$DB:$DB),"")</f>
        <v/>
      </c>
      <c r="L324" s="201" t="str">
        <f>IFERROR(_xlfn.XLOOKUP($A324,Input_Raw!$A:$A,Input_Raw!$DC:$DC),"")</f>
        <v/>
      </c>
      <c r="M324" s="200" t="str">
        <f>IFERROR(_xlfn.XLOOKUP($A324,Input_Raw!$A:$A,Input_Raw!$DF:$DF),"")</f>
        <v/>
      </c>
      <c r="N324" s="200" t="str">
        <f>IFERROR(_xlfn.XLOOKUP($A324,Input_Raw!$A:$A,Input_Raw!$DG:$DG),"")</f>
        <v/>
      </c>
      <c r="O324" s="230" t="str">
        <f>IFERROR(1-(SUMIF(Plant_BD!$B:$B,$A324,Plant_BD!$AL:$AL)/($AA324+SUMIF(Plant_BD!$B:$B,$A324,Plant_BD!$AL:$AL))),"")</f>
        <v/>
      </c>
      <c r="P324" s="230"/>
      <c r="Q324" s="231" t="str">
        <f>IFERROR(1-(SUMIF(Grid_BD!$B:$B,$A324,Grid_BD!$V:$V)/($AA324+SUMIF(Grid_BD!$B:$B,$A324,Grid_BD!$V:$V))),"")</f>
        <v/>
      </c>
      <c r="R324" s="230" t="str">
        <f>IFERROR(1-(SUMIF(Grid_BD!$B:$B,$A324,Grid_BD!$V:$V)/($AA324+SUMIF(Grid_BD!$B:$B,$A324,Grid_BD!$V:$V))),"")</f>
        <v/>
      </c>
      <c r="S324" s="9"/>
      <c r="T324" s="231"/>
      <c r="U324" s="232" t="str">
        <f t="shared" si="26"/>
        <v/>
      </c>
      <c r="V324" s="232" t="str">
        <f>IFERROR(_xlfn.XLOOKUP($A324,Input_Raw!$A:$A,Input_Raw!$FG:$FG),"")</f>
        <v/>
      </c>
      <c r="W324" s="233" t="str">
        <f t="shared" si="27"/>
        <v/>
      </c>
      <c r="X324" s="29" t="str">
        <f>IFERROR(_xlfn.XLOOKUP($A324,Input_Raw!$A:$A,Input_Raw!$DP:$DP),"")</f>
        <v/>
      </c>
      <c r="Y324" s="29" t="str">
        <f>IFERROR(_xlfn.XLOOKUP($A324,Input_Raw!$A:$A,Input_Raw!EW:EW),"")</f>
        <v/>
      </c>
      <c r="Z324" s="29" t="str">
        <f>IFERROR(_xlfn.XLOOKUP($A324,Input_Raw!$A:$A,Input_Raw!EX:EX),"")</f>
        <v/>
      </c>
      <c r="AA324" s="29" t="str">
        <f>IFERROR(_xlfn.XLOOKUP($A324,Input_Raw!$A:$A,Input_Raw!FA:FA),"")</f>
        <v/>
      </c>
      <c r="AB324" s="9" t="str">
        <f>IFERROR(_xlfn.XLOOKUP($A324,Input_Raw!$A:$A,Input_Raw!FD:FD),"")</f>
        <v/>
      </c>
      <c r="AC324" s="185">
        <f>IFERROR(_xlfn.XLOOKUP($D324,'Modelling New'!$D:$D,'Modelling New'!P:P),"")</f>
        <v>6.3107142857142851</v>
      </c>
      <c r="AD324" s="29">
        <f>IFERROR(_xlfn.XLOOKUP($D324,'Modelling New'!$D:$D,'Modelling New'!T:T)*1000,"")</f>
        <v>682247.66019581049</v>
      </c>
      <c r="AE324" s="233">
        <f>IFERROR(_xlfn.XLOOKUP($D324,'Modelling New'!$D:$D,'Modelling New'!O:O),"")</f>
        <v>0.8316109218354748</v>
      </c>
      <c r="AF324" s="233">
        <f>IFERROR(_xlfn.XLOOKUP($D324,'Modelling New'!$D:$D,'Modelling New'!W:W),"")</f>
        <v>0.21866912185763154</v>
      </c>
      <c r="AG324" s="233">
        <f>IFERROR(_xlfn.XLOOKUP($D324,'Modelling New'!$D:$D,'Modelling New'!AE:AE),"")</f>
        <v>0.995</v>
      </c>
      <c r="AH324" s="234">
        <f>IFERROR(_xlfn.XLOOKUP($D324,'Modelling New'!$D:$D,'Modelling New'!AF:AF),"")</f>
        <v>0.995</v>
      </c>
      <c r="AI324" s="9"/>
      <c r="AJ324" s="9"/>
      <c r="AK324" s="258"/>
      <c r="AL324" s="258"/>
      <c r="AM324" s="258"/>
      <c r="AN324" s="235"/>
      <c r="AO324" s="233"/>
      <c r="AP324" s="233"/>
      <c r="AQ324" s="233"/>
      <c r="AR324" s="236">
        <f>_xlfn.XLOOKUP(D324,'Modelling New'!$D:$D,'Modelling New'!$N:$N)</f>
        <v>130</v>
      </c>
      <c r="AS324" s="236" t="str">
        <f t="shared" si="28"/>
        <v/>
      </c>
    </row>
    <row r="325" spans="1:45">
      <c r="A325" s="18">
        <f t="shared" si="29"/>
        <v>46068</v>
      </c>
      <c r="B325" s="29">
        <f>YEAR(Table13[[#This Row],[Date]])+IF(MONTH(Table13[[#This Row],[Date]])&gt;=4,1,0)</f>
        <v>2026</v>
      </c>
      <c r="C325" s="9">
        <f>YEAR(Table13[[#This Row],[Date]])</f>
        <v>2026</v>
      </c>
      <c r="D325" s="229">
        <f>Table13[[#This Row],[Date]]-DAY(Table13[[#This Row],[Date]])+1</f>
        <v>46054</v>
      </c>
      <c r="E325" s="9">
        <f t="shared" si="25"/>
        <v>28</v>
      </c>
      <c r="F325" s="199" t="str">
        <f>IFERROR(_xlfn.XLOOKUP($A325,Input_Raw!$A:$A,Input_Raw!$FC:$FC),"")</f>
        <v/>
      </c>
      <c r="G325" s="185" t="str">
        <f>IFERROR(_xlfn.XLOOKUP($A325,Input_Raw!$A:$A,Input_Raw!$CY:$CY),"")</f>
        <v/>
      </c>
      <c r="H325" s="185" t="str">
        <f>IFERROR(_xlfn.XLOOKUP($A325,Input_Raw!$A:$A,Input_Raw!$DA:$DA),"")</f>
        <v/>
      </c>
      <c r="I325" s="185" t="str">
        <f>IFERROR(_xlfn.XLOOKUP($A325,Input_Raw!$A:$A,Input_Raw!$CX:$CX),"")</f>
        <v/>
      </c>
      <c r="J325" s="185" t="str">
        <f>IFERROR(_xlfn.XLOOKUP($A325,Input_Raw!$A:$A,Input_Raw!$CZ:$CZ),"")</f>
        <v/>
      </c>
      <c r="K325" s="201" t="str">
        <f>IFERROR(_xlfn.XLOOKUP($A325,Input_Raw!$A:$A,Input_Raw!$DB:$DB),"")</f>
        <v/>
      </c>
      <c r="L325" s="201" t="str">
        <f>IFERROR(_xlfn.XLOOKUP($A325,Input_Raw!$A:$A,Input_Raw!$DC:$DC),"")</f>
        <v/>
      </c>
      <c r="M325" s="200" t="str">
        <f>IFERROR(_xlfn.XLOOKUP($A325,Input_Raw!$A:$A,Input_Raw!$DF:$DF),"")</f>
        <v/>
      </c>
      <c r="N325" s="200" t="str">
        <f>IFERROR(_xlfn.XLOOKUP($A325,Input_Raw!$A:$A,Input_Raw!$DG:$DG),"")</f>
        <v/>
      </c>
      <c r="O325" s="230" t="str">
        <f>IFERROR(1-(SUMIF(Plant_BD!$B:$B,$A325,Plant_BD!$AL:$AL)/($AA325+SUMIF(Plant_BD!$B:$B,$A325,Plant_BD!$AL:$AL))),"")</f>
        <v/>
      </c>
      <c r="P325" s="230"/>
      <c r="Q325" s="231" t="str">
        <f>IFERROR(1-(SUMIF(Grid_BD!$B:$B,$A325,Grid_BD!$V:$V)/($AA325+SUMIF(Grid_BD!$B:$B,$A325,Grid_BD!$V:$V))),"")</f>
        <v/>
      </c>
      <c r="R325" s="230" t="str">
        <f>IFERROR(1-(SUMIF(Grid_BD!$B:$B,$A325,Grid_BD!$V:$V)/($AA325+SUMIF(Grid_BD!$B:$B,$A325,Grid_BD!$V:$V))),"")</f>
        <v/>
      </c>
      <c r="S325" s="9"/>
      <c r="T325" s="231"/>
      <c r="U325" s="232" t="str">
        <f t="shared" si="26"/>
        <v/>
      </c>
      <c r="V325" s="232" t="str">
        <f>IFERROR(_xlfn.XLOOKUP($A325,Input_Raw!$A:$A,Input_Raw!$FG:$FG),"")</f>
        <v/>
      </c>
      <c r="W325" s="233" t="str">
        <f t="shared" si="27"/>
        <v/>
      </c>
      <c r="X325" s="29" t="str">
        <f>IFERROR(_xlfn.XLOOKUP($A325,Input_Raw!$A:$A,Input_Raw!$DP:$DP),"")</f>
        <v/>
      </c>
      <c r="Y325" s="29" t="str">
        <f>IFERROR(_xlfn.XLOOKUP($A325,Input_Raw!$A:$A,Input_Raw!EW:EW),"")</f>
        <v/>
      </c>
      <c r="Z325" s="29" t="str">
        <f>IFERROR(_xlfn.XLOOKUP($A325,Input_Raw!$A:$A,Input_Raw!EX:EX),"")</f>
        <v/>
      </c>
      <c r="AA325" s="29" t="str">
        <f>IFERROR(_xlfn.XLOOKUP($A325,Input_Raw!$A:$A,Input_Raw!FA:FA),"")</f>
        <v/>
      </c>
      <c r="AB325" s="9" t="str">
        <f>IFERROR(_xlfn.XLOOKUP($A325,Input_Raw!$A:$A,Input_Raw!FD:FD),"")</f>
        <v/>
      </c>
      <c r="AC325" s="185">
        <f>IFERROR(_xlfn.XLOOKUP($D325,'Modelling New'!$D:$D,'Modelling New'!P:P),"")</f>
        <v>6.3107142857142851</v>
      </c>
      <c r="AD325" s="29">
        <f>IFERROR(_xlfn.XLOOKUP($D325,'Modelling New'!$D:$D,'Modelling New'!T:T)*1000,"")</f>
        <v>682247.66019581049</v>
      </c>
      <c r="AE325" s="233">
        <f>IFERROR(_xlfn.XLOOKUP($D325,'Modelling New'!$D:$D,'Modelling New'!O:O),"")</f>
        <v>0.8316109218354748</v>
      </c>
      <c r="AF325" s="233">
        <f>IFERROR(_xlfn.XLOOKUP($D325,'Modelling New'!$D:$D,'Modelling New'!W:W),"")</f>
        <v>0.21866912185763154</v>
      </c>
      <c r="AG325" s="233">
        <f>IFERROR(_xlfn.XLOOKUP($D325,'Modelling New'!$D:$D,'Modelling New'!AE:AE),"")</f>
        <v>0.995</v>
      </c>
      <c r="AH325" s="234">
        <f>IFERROR(_xlfn.XLOOKUP($D325,'Modelling New'!$D:$D,'Modelling New'!AF:AF),"")</f>
        <v>0.995</v>
      </c>
      <c r="AI325" s="9"/>
      <c r="AJ325" s="9"/>
      <c r="AK325" s="258"/>
      <c r="AL325" s="258"/>
      <c r="AM325" s="258"/>
      <c r="AN325" s="235"/>
      <c r="AO325" s="233"/>
      <c r="AP325" s="233"/>
      <c r="AQ325" s="233"/>
      <c r="AR325" s="236">
        <f>_xlfn.XLOOKUP(D325,'Modelling New'!$D:$D,'Modelling New'!$N:$N)</f>
        <v>130</v>
      </c>
      <c r="AS325" s="236" t="str">
        <f t="shared" si="28"/>
        <v/>
      </c>
    </row>
    <row r="326" spans="1:45">
      <c r="A326" s="18">
        <f t="shared" si="29"/>
        <v>46069</v>
      </c>
      <c r="B326" s="29">
        <f>YEAR(Table13[[#This Row],[Date]])+IF(MONTH(Table13[[#This Row],[Date]])&gt;=4,1,0)</f>
        <v>2026</v>
      </c>
      <c r="C326" s="9">
        <f>YEAR(Table13[[#This Row],[Date]])</f>
        <v>2026</v>
      </c>
      <c r="D326" s="229">
        <f>Table13[[#This Row],[Date]]-DAY(Table13[[#This Row],[Date]])+1</f>
        <v>46054</v>
      </c>
      <c r="E326" s="9">
        <f t="shared" si="25"/>
        <v>28</v>
      </c>
      <c r="F326" s="199" t="str">
        <f>IFERROR(_xlfn.XLOOKUP($A326,Input_Raw!$A:$A,Input_Raw!$FC:$FC),"")</f>
        <v/>
      </c>
      <c r="G326" s="200" t="str">
        <f>IFERROR(_xlfn.XLOOKUP($A326,Input_Raw!$A:$A,Input_Raw!$CY:$CY),"")</f>
        <v/>
      </c>
      <c r="H326" s="200" t="str">
        <f>IFERROR(_xlfn.XLOOKUP($A326,Input_Raw!$A:$A,Input_Raw!$DA:$DA),"")</f>
        <v/>
      </c>
      <c r="I326" s="200" t="str">
        <f>IFERROR(_xlfn.XLOOKUP($A326,Input_Raw!$A:$A,Input_Raw!$CX:$CX),"")</f>
        <v/>
      </c>
      <c r="J326" s="200" t="str">
        <f>IFERROR(_xlfn.XLOOKUP($A326,Input_Raw!$A:$A,Input_Raw!$CZ:$CZ),"")</f>
        <v/>
      </c>
      <c r="K326" s="201" t="str">
        <f>IFERROR(_xlfn.XLOOKUP($A326,Input_Raw!$A:$A,Input_Raw!$DB:$DB),"")</f>
        <v/>
      </c>
      <c r="L326" s="201" t="str">
        <f>IFERROR(_xlfn.XLOOKUP($A326,Input_Raw!$A:$A,Input_Raw!$DC:$DC),"")</f>
        <v/>
      </c>
      <c r="M326" s="200" t="str">
        <f>IFERROR(_xlfn.XLOOKUP($A326,Input_Raw!$A:$A,Input_Raw!$DF:$DF),"")</f>
        <v/>
      </c>
      <c r="N326" s="200" t="str">
        <f>IFERROR(_xlfn.XLOOKUP($A326,Input_Raw!$A:$A,Input_Raw!$DG:$DG),"")</f>
        <v/>
      </c>
      <c r="O326" s="230" t="str">
        <f>IFERROR(1-(SUMIF(Plant_BD!$B:$B,$A326,Plant_BD!$AL:$AL)/($AA326+SUMIF(Plant_BD!$B:$B,$A326,Plant_BD!$AL:$AL))),"")</f>
        <v/>
      </c>
      <c r="P326" s="230"/>
      <c r="Q326" s="231" t="str">
        <f>IFERROR(1-(SUMIF(Grid_BD!$B:$B,$A326,Grid_BD!$V:$V)/($AA326+SUMIF(Grid_BD!$B:$B,$A326,Grid_BD!$V:$V))),"")</f>
        <v/>
      </c>
      <c r="R326" s="230" t="str">
        <f>IFERROR(1-(SUMIF(Grid_BD!$B:$B,$A326,Grid_BD!$V:$V)/($AA326+SUMIF(Grid_BD!$B:$B,$A326,Grid_BD!$V:$V))),"")</f>
        <v/>
      </c>
      <c r="S326" s="9"/>
      <c r="T326" s="231"/>
      <c r="U326" s="232" t="str">
        <f t="shared" si="26"/>
        <v/>
      </c>
      <c r="V326" s="232" t="str">
        <f>IFERROR(_xlfn.XLOOKUP($A326,Input_Raw!$A:$A,Input_Raw!$FG:$FG),"")</f>
        <v/>
      </c>
      <c r="W326" s="233" t="str">
        <f t="shared" si="27"/>
        <v/>
      </c>
      <c r="X326" s="29" t="str">
        <f>IFERROR(_xlfn.XLOOKUP($A326,Input_Raw!$A:$A,Input_Raw!$DP:$DP),"")</f>
        <v/>
      </c>
      <c r="Y326" s="29" t="str">
        <f>IFERROR(_xlfn.XLOOKUP($A326,Input_Raw!$A:$A,Input_Raw!EW:EW),"")</f>
        <v/>
      </c>
      <c r="Z326" s="29" t="str">
        <f>IFERROR(_xlfn.XLOOKUP($A326,Input_Raw!$A:$A,Input_Raw!EX:EX),"")</f>
        <v/>
      </c>
      <c r="AA326" s="29" t="str">
        <f>IFERROR(_xlfn.XLOOKUP($A326,Input_Raw!$A:$A,Input_Raw!FA:FA),"")</f>
        <v/>
      </c>
      <c r="AB326" s="9" t="str">
        <f>IFERROR(_xlfn.XLOOKUP($A326,Input_Raw!$A:$A,Input_Raw!FD:FD),"")</f>
        <v/>
      </c>
      <c r="AC326" s="185">
        <f>IFERROR(_xlfn.XLOOKUP($D326,'Modelling New'!$D:$D,'Modelling New'!P:P),"")</f>
        <v>6.3107142857142851</v>
      </c>
      <c r="AD326" s="29">
        <f>IFERROR(_xlfn.XLOOKUP($D326,'Modelling New'!$D:$D,'Modelling New'!T:T)*1000,"")</f>
        <v>682247.66019581049</v>
      </c>
      <c r="AE326" s="233">
        <f>IFERROR(_xlfn.XLOOKUP($D326,'Modelling New'!$D:$D,'Modelling New'!O:O),"")</f>
        <v>0.8316109218354748</v>
      </c>
      <c r="AF326" s="233">
        <f>IFERROR(_xlfn.XLOOKUP($D326,'Modelling New'!$D:$D,'Modelling New'!W:W),"")</f>
        <v>0.21866912185763154</v>
      </c>
      <c r="AG326" s="233">
        <f>IFERROR(_xlfn.XLOOKUP($D326,'Modelling New'!$D:$D,'Modelling New'!AE:AE),"")</f>
        <v>0.995</v>
      </c>
      <c r="AH326" s="234">
        <f>IFERROR(_xlfn.XLOOKUP($D326,'Modelling New'!$D:$D,'Modelling New'!AF:AF),"")</f>
        <v>0.995</v>
      </c>
      <c r="AI326" s="9"/>
      <c r="AJ326" s="9"/>
      <c r="AK326" s="258"/>
      <c r="AL326" s="258"/>
      <c r="AM326" s="258"/>
      <c r="AN326" s="235"/>
      <c r="AO326" s="233"/>
      <c r="AP326" s="233"/>
      <c r="AQ326" s="233"/>
      <c r="AR326" s="236">
        <f>_xlfn.XLOOKUP(D326,'Modelling New'!$D:$D,'Modelling New'!$N:$N)</f>
        <v>130</v>
      </c>
      <c r="AS326" s="236" t="str">
        <f t="shared" si="28"/>
        <v/>
      </c>
    </row>
    <row r="327" spans="1:45">
      <c r="A327" s="18">
        <f t="shared" si="29"/>
        <v>46070</v>
      </c>
      <c r="B327" s="29">
        <f>YEAR(Table13[[#This Row],[Date]])+IF(MONTH(Table13[[#This Row],[Date]])&gt;=4,1,0)</f>
        <v>2026</v>
      </c>
      <c r="C327" s="9">
        <f>YEAR(Table13[[#This Row],[Date]])</f>
        <v>2026</v>
      </c>
      <c r="D327" s="229">
        <f>Table13[[#This Row],[Date]]-DAY(Table13[[#This Row],[Date]])+1</f>
        <v>46054</v>
      </c>
      <c r="E327" s="9">
        <f t="shared" si="25"/>
        <v>28</v>
      </c>
      <c r="F327" s="199" t="str">
        <f>IFERROR(_xlfn.XLOOKUP($A327,Input_Raw!$A:$A,Input_Raw!$FC:$FC),"")</f>
        <v/>
      </c>
      <c r="G327" s="185" t="str">
        <f>IFERROR(_xlfn.XLOOKUP($A327,Input_Raw!$A:$A,Input_Raw!$CY:$CY),"")</f>
        <v/>
      </c>
      <c r="H327" s="185" t="str">
        <f>IFERROR(_xlfn.XLOOKUP($A327,Input_Raw!$A:$A,Input_Raw!$DA:$DA),"")</f>
        <v/>
      </c>
      <c r="I327" s="185" t="str">
        <f>IFERROR(_xlfn.XLOOKUP($A327,Input_Raw!$A:$A,Input_Raw!$CX:$CX),"")</f>
        <v/>
      </c>
      <c r="J327" s="185" t="str">
        <f>IFERROR(_xlfn.XLOOKUP($A327,Input_Raw!$A:$A,Input_Raw!$CZ:$CZ),"")</f>
        <v/>
      </c>
      <c r="K327" s="201" t="str">
        <f>IFERROR(_xlfn.XLOOKUP($A327,Input_Raw!$A:$A,Input_Raw!$DB:$DB),"")</f>
        <v/>
      </c>
      <c r="L327" s="201" t="str">
        <f>IFERROR(_xlfn.XLOOKUP($A327,Input_Raw!$A:$A,Input_Raw!$DC:$DC),"")</f>
        <v/>
      </c>
      <c r="M327" s="200" t="str">
        <f>IFERROR(_xlfn.XLOOKUP($A327,Input_Raw!$A:$A,Input_Raw!$DF:$DF),"")</f>
        <v/>
      </c>
      <c r="N327" s="200" t="str">
        <f>IFERROR(_xlfn.XLOOKUP($A327,Input_Raw!$A:$A,Input_Raw!$DG:$DG),"")</f>
        <v/>
      </c>
      <c r="O327" s="230" t="str">
        <f>IFERROR(1-(SUMIF(Plant_BD!$B:$B,$A327,Plant_BD!$AL:$AL)/($AA327+SUMIF(Plant_BD!$B:$B,$A327,Plant_BD!$AL:$AL))),"")</f>
        <v/>
      </c>
      <c r="P327" s="230"/>
      <c r="Q327" s="231" t="str">
        <f>IFERROR(1-(SUMIF(Grid_BD!$B:$B,$A327,Grid_BD!$V:$V)/($AA327+SUMIF(Grid_BD!$B:$B,$A327,Grid_BD!$V:$V))),"")</f>
        <v/>
      </c>
      <c r="R327" s="230" t="str">
        <f>IFERROR(1-(SUMIF(Grid_BD!$B:$B,$A327,Grid_BD!$V:$V)/($AA327+SUMIF(Grid_BD!$B:$B,$A327,Grid_BD!$V:$V))),"")</f>
        <v/>
      </c>
      <c r="S327" s="9"/>
      <c r="T327" s="231"/>
      <c r="U327" s="232" t="str">
        <f t="shared" si="26"/>
        <v/>
      </c>
      <c r="V327" s="232" t="str">
        <f>IFERROR(_xlfn.XLOOKUP($A327,Input_Raw!$A:$A,Input_Raw!$FG:$FG),"")</f>
        <v/>
      </c>
      <c r="W327" s="233" t="str">
        <f t="shared" si="27"/>
        <v/>
      </c>
      <c r="X327" s="29" t="str">
        <f>IFERROR(_xlfn.XLOOKUP($A327,Input_Raw!$A:$A,Input_Raw!$DP:$DP),"")</f>
        <v/>
      </c>
      <c r="Y327" s="29" t="str">
        <f>IFERROR(_xlfn.XLOOKUP($A327,Input_Raw!$A:$A,Input_Raw!EW:EW),"")</f>
        <v/>
      </c>
      <c r="Z327" s="29" t="str">
        <f>IFERROR(_xlfn.XLOOKUP($A327,Input_Raw!$A:$A,Input_Raw!EX:EX),"")</f>
        <v/>
      </c>
      <c r="AA327" s="29" t="str">
        <f>IFERROR(_xlfn.XLOOKUP($A327,Input_Raw!$A:$A,Input_Raw!FA:FA),"")</f>
        <v/>
      </c>
      <c r="AB327" s="9" t="str">
        <f>IFERROR(_xlfn.XLOOKUP($A327,Input_Raw!$A:$A,Input_Raw!FD:FD),"")</f>
        <v/>
      </c>
      <c r="AC327" s="185">
        <f>IFERROR(_xlfn.XLOOKUP($D327,'Modelling New'!$D:$D,'Modelling New'!P:P),"")</f>
        <v>6.3107142857142851</v>
      </c>
      <c r="AD327" s="29">
        <f>IFERROR(_xlfn.XLOOKUP($D327,'Modelling New'!$D:$D,'Modelling New'!T:T)*1000,"")</f>
        <v>682247.66019581049</v>
      </c>
      <c r="AE327" s="233">
        <f>IFERROR(_xlfn.XLOOKUP($D327,'Modelling New'!$D:$D,'Modelling New'!O:O),"")</f>
        <v>0.8316109218354748</v>
      </c>
      <c r="AF327" s="233">
        <f>IFERROR(_xlfn.XLOOKUP($D327,'Modelling New'!$D:$D,'Modelling New'!W:W),"")</f>
        <v>0.21866912185763154</v>
      </c>
      <c r="AG327" s="233">
        <f>IFERROR(_xlfn.XLOOKUP($D327,'Modelling New'!$D:$D,'Modelling New'!AE:AE),"")</f>
        <v>0.995</v>
      </c>
      <c r="AH327" s="234">
        <f>IFERROR(_xlfn.XLOOKUP($D327,'Modelling New'!$D:$D,'Modelling New'!AF:AF),"")</f>
        <v>0.995</v>
      </c>
      <c r="AI327" s="9"/>
      <c r="AJ327" s="9"/>
      <c r="AK327" s="258"/>
      <c r="AL327" s="258"/>
      <c r="AM327" s="258"/>
      <c r="AN327" s="235"/>
      <c r="AO327" s="233"/>
      <c r="AP327" s="233"/>
      <c r="AQ327" s="233"/>
      <c r="AR327" s="236">
        <f>_xlfn.XLOOKUP(D327,'Modelling New'!$D:$D,'Modelling New'!$N:$N)</f>
        <v>130</v>
      </c>
      <c r="AS327" s="236" t="str">
        <f t="shared" si="28"/>
        <v/>
      </c>
    </row>
    <row r="328" spans="1:45">
      <c r="A328" s="18">
        <f t="shared" si="29"/>
        <v>46071</v>
      </c>
      <c r="B328" s="29">
        <f>YEAR(Table13[[#This Row],[Date]])+IF(MONTH(Table13[[#This Row],[Date]])&gt;=4,1,0)</f>
        <v>2026</v>
      </c>
      <c r="C328" s="9">
        <f>YEAR(Table13[[#This Row],[Date]])</f>
        <v>2026</v>
      </c>
      <c r="D328" s="229">
        <f>Table13[[#This Row],[Date]]-DAY(Table13[[#This Row],[Date]])+1</f>
        <v>46054</v>
      </c>
      <c r="E328" s="9">
        <f t="shared" si="25"/>
        <v>28</v>
      </c>
      <c r="F328" s="199" t="str">
        <f>IFERROR(_xlfn.XLOOKUP($A328,Input_Raw!$A:$A,Input_Raw!$FC:$FC),"")</f>
        <v/>
      </c>
      <c r="G328" s="200" t="str">
        <f>IFERROR(_xlfn.XLOOKUP($A328,Input_Raw!$A:$A,Input_Raw!$CY:$CY),"")</f>
        <v/>
      </c>
      <c r="H328" s="200" t="str">
        <f>IFERROR(_xlfn.XLOOKUP($A328,Input_Raw!$A:$A,Input_Raw!$DA:$DA),"")</f>
        <v/>
      </c>
      <c r="I328" s="200" t="str">
        <f>IFERROR(_xlfn.XLOOKUP($A328,Input_Raw!$A:$A,Input_Raw!$CX:$CX),"")</f>
        <v/>
      </c>
      <c r="J328" s="200" t="str">
        <f>IFERROR(_xlfn.XLOOKUP($A328,Input_Raw!$A:$A,Input_Raw!$CZ:$CZ),"")</f>
        <v/>
      </c>
      <c r="K328" s="201" t="str">
        <f>IFERROR(_xlfn.XLOOKUP($A328,Input_Raw!$A:$A,Input_Raw!$DB:$DB),"")</f>
        <v/>
      </c>
      <c r="L328" s="201" t="str">
        <f>IFERROR(_xlfn.XLOOKUP($A328,Input_Raw!$A:$A,Input_Raw!$DC:$DC),"")</f>
        <v/>
      </c>
      <c r="M328" s="200" t="str">
        <f>IFERROR(_xlfn.XLOOKUP($A328,Input_Raw!$A:$A,Input_Raw!$DF:$DF),"")</f>
        <v/>
      </c>
      <c r="N328" s="200" t="str">
        <f>IFERROR(_xlfn.XLOOKUP($A328,Input_Raw!$A:$A,Input_Raw!$DG:$DG),"")</f>
        <v/>
      </c>
      <c r="O328" s="230" t="str">
        <f>IFERROR(1-(SUMIF(Plant_BD!$B:$B,$A328,Plant_BD!$AL:$AL)/($AA328+SUMIF(Plant_BD!$B:$B,$A328,Plant_BD!$AL:$AL))),"")</f>
        <v/>
      </c>
      <c r="P328" s="230"/>
      <c r="Q328" s="231" t="str">
        <f>IFERROR(1-(SUMIF(Grid_BD!$B:$B,$A328,Grid_BD!$V:$V)/($AA328+SUMIF(Grid_BD!$B:$B,$A328,Grid_BD!$V:$V))),"")</f>
        <v/>
      </c>
      <c r="R328" s="230" t="str">
        <f>IFERROR(1-(SUMIF(Grid_BD!$B:$B,$A328,Grid_BD!$V:$V)/($AA328+SUMIF(Grid_BD!$B:$B,$A328,Grid_BD!$V:$V))),"")</f>
        <v/>
      </c>
      <c r="S328" s="9"/>
      <c r="T328" s="231"/>
      <c r="U328" s="232" t="str">
        <f t="shared" si="26"/>
        <v/>
      </c>
      <c r="V328" s="232" t="str">
        <f>IFERROR(_xlfn.XLOOKUP($A328,Input_Raw!$A:$A,Input_Raw!$FG:$FG),"")</f>
        <v/>
      </c>
      <c r="W328" s="233" t="str">
        <f t="shared" si="27"/>
        <v/>
      </c>
      <c r="X328" s="29" t="str">
        <f>IFERROR(_xlfn.XLOOKUP($A328,Input_Raw!$A:$A,Input_Raw!$DP:$DP),"")</f>
        <v/>
      </c>
      <c r="Y328" s="29" t="str">
        <f>IFERROR(_xlfn.XLOOKUP($A328,Input_Raw!$A:$A,Input_Raw!EW:EW),"")</f>
        <v/>
      </c>
      <c r="Z328" s="29" t="str">
        <f>IFERROR(_xlfn.XLOOKUP($A328,Input_Raw!$A:$A,Input_Raw!EX:EX),"")</f>
        <v/>
      </c>
      <c r="AA328" s="29" t="str">
        <f>IFERROR(_xlfn.XLOOKUP($A328,Input_Raw!$A:$A,Input_Raw!FA:FA),"")</f>
        <v/>
      </c>
      <c r="AB328" s="9" t="str">
        <f>IFERROR(_xlfn.XLOOKUP($A328,Input_Raw!$A:$A,Input_Raw!FD:FD),"")</f>
        <v/>
      </c>
      <c r="AC328" s="185">
        <f>IFERROR(_xlfn.XLOOKUP($D328,'Modelling New'!$D:$D,'Modelling New'!P:P),"")</f>
        <v>6.3107142857142851</v>
      </c>
      <c r="AD328" s="29">
        <f>IFERROR(_xlfn.XLOOKUP($D328,'Modelling New'!$D:$D,'Modelling New'!T:T)*1000,"")</f>
        <v>682247.66019581049</v>
      </c>
      <c r="AE328" s="233">
        <f>IFERROR(_xlfn.XLOOKUP($D328,'Modelling New'!$D:$D,'Modelling New'!O:O),"")</f>
        <v>0.8316109218354748</v>
      </c>
      <c r="AF328" s="233">
        <f>IFERROR(_xlfn.XLOOKUP($D328,'Modelling New'!$D:$D,'Modelling New'!W:W),"")</f>
        <v>0.21866912185763154</v>
      </c>
      <c r="AG328" s="233">
        <f>IFERROR(_xlfn.XLOOKUP($D328,'Modelling New'!$D:$D,'Modelling New'!AE:AE),"")</f>
        <v>0.995</v>
      </c>
      <c r="AH328" s="234">
        <f>IFERROR(_xlfn.XLOOKUP($D328,'Modelling New'!$D:$D,'Modelling New'!AF:AF),"")</f>
        <v>0.995</v>
      </c>
      <c r="AI328" s="9"/>
      <c r="AJ328" s="9"/>
      <c r="AK328" s="258"/>
      <c r="AL328" s="258"/>
      <c r="AM328" s="258"/>
      <c r="AN328" s="235"/>
      <c r="AO328" s="233"/>
      <c r="AP328" s="233"/>
      <c r="AQ328" s="233"/>
      <c r="AR328" s="236">
        <f>_xlfn.XLOOKUP(D328,'Modelling New'!$D:$D,'Modelling New'!$N:$N)</f>
        <v>130</v>
      </c>
      <c r="AS328" s="236" t="str">
        <f t="shared" si="28"/>
        <v/>
      </c>
    </row>
    <row r="329" spans="1:45">
      <c r="A329" s="18">
        <f t="shared" si="29"/>
        <v>46072</v>
      </c>
      <c r="B329" s="29">
        <f>YEAR(Table13[[#This Row],[Date]])+IF(MONTH(Table13[[#This Row],[Date]])&gt;=4,1,0)</f>
        <v>2026</v>
      </c>
      <c r="C329" s="9">
        <f>YEAR(Table13[[#This Row],[Date]])</f>
        <v>2026</v>
      </c>
      <c r="D329" s="229">
        <f>Table13[[#This Row],[Date]]-DAY(Table13[[#This Row],[Date]])+1</f>
        <v>46054</v>
      </c>
      <c r="E329" s="9">
        <f t="shared" si="25"/>
        <v>28</v>
      </c>
      <c r="F329" s="199" t="str">
        <f>IFERROR(_xlfn.XLOOKUP($A329,Input_Raw!$A:$A,Input_Raw!$FC:$FC),"")</f>
        <v/>
      </c>
      <c r="G329" s="185" t="str">
        <f>IFERROR(_xlfn.XLOOKUP($A329,Input_Raw!$A:$A,Input_Raw!$CY:$CY),"")</f>
        <v/>
      </c>
      <c r="H329" s="185" t="str">
        <f>IFERROR(_xlfn.XLOOKUP($A329,Input_Raw!$A:$A,Input_Raw!$DA:$DA),"")</f>
        <v/>
      </c>
      <c r="I329" s="185" t="str">
        <f>IFERROR(_xlfn.XLOOKUP($A329,Input_Raw!$A:$A,Input_Raw!$CX:$CX),"")</f>
        <v/>
      </c>
      <c r="J329" s="185" t="str">
        <f>IFERROR(_xlfn.XLOOKUP($A329,Input_Raw!$A:$A,Input_Raw!$CZ:$CZ),"")</f>
        <v/>
      </c>
      <c r="K329" s="201" t="str">
        <f>IFERROR(_xlfn.XLOOKUP($A329,Input_Raw!$A:$A,Input_Raw!$DB:$DB),"")</f>
        <v/>
      </c>
      <c r="L329" s="201" t="str">
        <f>IFERROR(_xlfn.XLOOKUP($A329,Input_Raw!$A:$A,Input_Raw!$DC:$DC),"")</f>
        <v/>
      </c>
      <c r="M329" s="200" t="str">
        <f>IFERROR(_xlfn.XLOOKUP($A329,Input_Raw!$A:$A,Input_Raw!$DF:$DF),"")</f>
        <v/>
      </c>
      <c r="N329" s="200" t="str">
        <f>IFERROR(_xlfn.XLOOKUP($A329,Input_Raw!$A:$A,Input_Raw!$DG:$DG),"")</f>
        <v/>
      </c>
      <c r="O329" s="230" t="str">
        <f>IFERROR(1-(SUMIF(Plant_BD!$B:$B,$A329,Plant_BD!$AL:$AL)/($AA329+SUMIF(Plant_BD!$B:$B,$A329,Plant_BD!$AL:$AL))),"")</f>
        <v/>
      </c>
      <c r="P329" s="230"/>
      <c r="Q329" s="231" t="str">
        <f>IFERROR(1-(SUMIF(Grid_BD!$B:$B,$A329,Grid_BD!$V:$V)/($AA329+SUMIF(Grid_BD!$B:$B,$A329,Grid_BD!$V:$V))),"")</f>
        <v/>
      </c>
      <c r="R329" s="230" t="str">
        <f>IFERROR(1-(SUMIF(Grid_BD!$B:$B,$A329,Grid_BD!$V:$V)/($AA329+SUMIF(Grid_BD!$B:$B,$A329,Grid_BD!$V:$V))),"")</f>
        <v/>
      </c>
      <c r="S329" s="9"/>
      <c r="T329" s="231"/>
      <c r="U329" s="232" t="str">
        <f t="shared" si="26"/>
        <v/>
      </c>
      <c r="V329" s="232" t="str">
        <f>IFERROR(_xlfn.XLOOKUP($A329,Input_Raw!$A:$A,Input_Raw!$FG:$FG),"")</f>
        <v/>
      </c>
      <c r="W329" s="233" t="str">
        <f t="shared" si="27"/>
        <v/>
      </c>
      <c r="X329" s="29" t="str">
        <f>IFERROR(_xlfn.XLOOKUP($A329,Input_Raw!$A:$A,Input_Raw!$DP:$DP),"")</f>
        <v/>
      </c>
      <c r="Y329" s="29" t="str">
        <f>IFERROR(_xlfn.XLOOKUP($A329,Input_Raw!$A:$A,Input_Raw!EW:EW),"")</f>
        <v/>
      </c>
      <c r="Z329" s="29" t="str">
        <f>IFERROR(_xlfn.XLOOKUP($A329,Input_Raw!$A:$A,Input_Raw!EX:EX),"")</f>
        <v/>
      </c>
      <c r="AA329" s="29" t="str">
        <f>IFERROR(_xlfn.XLOOKUP($A329,Input_Raw!$A:$A,Input_Raw!FA:FA),"")</f>
        <v/>
      </c>
      <c r="AB329" s="9" t="str">
        <f>IFERROR(_xlfn.XLOOKUP($A329,Input_Raw!$A:$A,Input_Raw!FD:FD),"")</f>
        <v/>
      </c>
      <c r="AC329" s="185">
        <f>IFERROR(_xlfn.XLOOKUP($D329,'Modelling New'!$D:$D,'Modelling New'!P:P),"")</f>
        <v>6.3107142857142851</v>
      </c>
      <c r="AD329" s="29">
        <f>IFERROR(_xlfn.XLOOKUP($D329,'Modelling New'!$D:$D,'Modelling New'!T:T)*1000,"")</f>
        <v>682247.66019581049</v>
      </c>
      <c r="AE329" s="233">
        <f>IFERROR(_xlfn.XLOOKUP($D329,'Modelling New'!$D:$D,'Modelling New'!O:O),"")</f>
        <v>0.8316109218354748</v>
      </c>
      <c r="AF329" s="233">
        <f>IFERROR(_xlfn.XLOOKUP($D329,'Modelling New'!$D:$D,'Modelling New'!W:W),"")</f>
        <v>0.21866912185763154</v>
      </c>
      <c r="AG329" s="233">
        <f>IFERROR(_xlfn.XLOOKUP($D329,'Modelling New'!$D:$D,'Modelling New'!AE:AE),"")</f>
        <v>0.995</v>
      </c>
      <c r="AH329" s="234">
        <f>IFERROR(_xlfn.XLOOKUP($D329,'Modelling New'!$D:$D,'Modelling New'!AF:AF),"")</f>
        <v>0.995</v>
      </c>
      <c r="AI329" s="9"/>
      <c r="AJ329" s="9"/>
      <c r="AK329" s="258"/>
      <c r="AL329" s="258"/>
      <c r="AM329" s="258"/>
      <c r="AN329" s="235"/>
      <c r="AO329" s="233"/>
      <c r="AP329" s="233"/>
      <c r="AQ329" s="233"/>
      <c r="AR329" s="236">
        <f>_xlfn.XLOOKUP(D329,'Modelling New'!$D:$D,'Modelling New'!$N:$N)</f>
        <v>130</v>
      </c>
      <c r="AS329" s="236" t="str">
        <f t="shared" si="28"/>
        <v/>
      </c>
    </row>
    <row r="330" spans="1:45">
      <c r="A330" s="18">
        <f t="shared" si="29"/>
        <v>46073</v>
      </c>
      <c r="B330" s="29">
        <f>YEAR(Table13[[#This Row],[Date]])+IF(MONTH(Table13[[#This Row],[Date]])&gt;=4,1,0)</f>
        <v>2026</v>
      </c>
      <c r="C330" s="9">
        <f>YEAR(Table13[[#This Row],[Date]])</f>
        <v>2026</v>
      </c>
      <c r="D330" s="229">
        <f>Table13[[#This Row],[Date]]-DAY(Table13[[#This Row],[Date]])+1</f>
        <v>46054</v>
      </c>
      <c r="E330" s="9">
        <f t="shared" si="25"/>
        <v>28</v>
      </c>
      <c r="F330" s="199" t="str">
        <f>IFERROR(_xlfn.XLOOKUP($A330,Input_Raw!$A:$A,Input_Raw!$FC:$FC),"")</f>
        <v/>
      </c>
      <c r="G330" s="200" t="str">
        <f>IFERROR(_xlfn.XLOOKUP($A330,Input_Raw!$A:$A,Input_Raw!$CY:$CY),"")</f>
        <v/>
      </c>
      <c r="H330" s="200" t="str">
        <f>IFERROR(_xlfn.XLOOKUP($A330,Input_Raw!$A:$A,Input_Raw!$DA:$DA),"")</f>
        <v/>
      </c>
      <c r="I330" s="200" t="str">
        <f>IFERROR(_xlfn.XLOOKUP($A330,Input_Raw!$A:$A,Input_Raw!$CX:$CX),"")</f>
        <v/>
      </c>
      <c r="J330" s="200" t="str">
        <f>IFERROR(_xlfn.XLOOKUP($A330,Input_Raw!$A:$A,Input_Raw!$CZ:$CZ),"")</f>
        <v/>
      </c>
      <c r="K330" s="201" t="str">
        <f>IFERROR(_xlfn.XLOOKUP($A330,Input_Raw!$A:$A,Input_Raw!$DB:$DB),"")</f>
        <v/>
      </c>
      <c r="L330" s="201" t="str">
        <f>IFERROR(_xlfn.XLOOKUP($A330,Input_Raw!$A:$A,Input_Raw!$DC:$DC),"")</f>
        <v/>
      </c>
      <c r="M330" s="200" t="str">
        <f>IFERROR(_xlfn.XLOOKUP($A330,Input_Raw!$A:$A,Input_Raw!$DF:$DF),"")</f>
        <v/>
      </c>
      <c r="N330" s="200" t="str">
        <f>IFERROR(_xlfn.XLOOKUP($A330,Input_Raw!$A:$A,Input_Raw!$DG:$DG),"")</f>
        <v/>
      </c>
      <c r="O330" s="230" t="str">
        <f>IFERROR(1-(SUMIF(Plant_BD!$B:$B,$A330,Plant_BD!$AL:$AL)/($AA330+SUMIF(Plant_BD!$B:$B,$A330,Plant_BD!$AL:$AL))),"")</f>
        <v/>
      </c>
      <c r="P330" s="230"/>
      <c r="Q330" s="231" t="str">
        <f>IFERROR(1-(SUMIF(Grid_BD!$B:$B,$A330,Grid_BD!$V:$V)/($AA330+SUMIF(Grid_BD!$B:$B,$A330,Grid_BD!$V:$V))),"")</f>
        <v/>
      </c>
      <c r="R330" s="230" t="str">
        <f>IFERROR(1-(SUMIF(Grid_BD!$B:$B,$A330,Grid_BD!$V:$V)/($AA330+SUMIF(Grid_BD!$B:$B,$A330,Grid_BD!$V:$V))),"")</f>
        <v/>
      </c>
      <c r="S330" s="9"/>
      <c r="T330" s="231"/>
      <c r="U330" s="232" t="str">
        <f t="shared" si="26"/>
        <v/>
      </c>
      <c r="V330" s="232" t="str">
        <f>IFERROR(_xlfn.XLOOKUP($A330,Input_Raw!$A:$A,Input_Raw!$FG:$FG),"")</f>
        <v/>
      </c>
      <c r="W330" s="233" t="str">
        <f t="shared" si="27"/>
        <v/>
      </c>
      <c r="X330" s="29" t="str">
        <f>IFERROR(_xlfn.XLOOKUP($A330,Input_Raw!$A:$A,Input_Raw!$DP:$DP),"")</f>
        <v/>
      </c>
      <c r="Y330" s="29" t="str">
        <f>IFERROR(_xlfn.XLOOKUP($A330,Input_Raw!$A:$A,Input_Raw!EW:EW),"")</f>
        <v/>
      </c>
      <c r="Z330" s="29" t="str">
        <f>IFERROR(_xlfn.XLOOKUP($A330,Input_Raw!$A:$A,Input_Raw!EX:EX),"")</f>
        <v/>
      </c>
      <c r="AA330" s="29" t="str">
        <f>IFERROR(_xlfn.XLOOKUP($A330,Input_Raw!$A:$A,Input_Raw!FA:FA),"")</f>
        <v/>
      </c>
      <c r="AB330" s="9" t="str">
        <f>IFERROR(_xlfn.XLOOKUP($A330,Input_Raw!$A:$A,Input_Raw!FD:FD),"")</f>
        <v/>
      </c>
      <c r="AC330" s="185">
        <f>IFERROR(_xlfn.XLOOKUP($D330,'Modelling New'!$D:$D,'Modelling New'!P:P),"")</f>
        <v>6.3107142857142851</v>
      </c>
      <c r="AD330" s="29">
        <f>IFERROR(_xlfn.XLOOKUP($D330,'Modelling New'!$D:$D,'Modelling New'!T:T)*1000,"")</f>
        <v>682247.66019581049</v>
      </c>
      <c r="AE330" s="233">
        <f>IFERROR(_xlfn.XLOOKUP($D330,'Modelling New'!$D:$D,'Modelling New'!O:O),"")</f>
        <v>0.8316109218354748</v>
      </c>
      <c r="AF330" s="233">
        <f>IFERROR(_xlfn.XLOOKUP($D330,'Modelling New'!$D:$D,'Modelling New'!W:W),"")</f>
        <v>0.21866912185763154</v>
      </c>
      <c r="AG330" s="233">
        <f>IFERROR(_xlfn.XLOOKUP($D330,'Modelling New'!$D:$D,'Modelling New'!AE:AE),"")</f>
        <v>0.995</v>
      </c>
      <c r="AH330" s="234">
        <f>IFERROR(_xlfn.XLOOKUP($D330,'Modelling New'!$D:$D,'Modelling New'!AF:AF),"")</f>
        <v>0.995</v>
      </c>
      <c r="AI330" s="9"/>
      <c r="AJ330" s="9"/>
      <c r="AK330" s="258"/>
      <c r="AL330" s="258"/>
      <c r="AM330" s="258"/>
      <c r="AN330" s="235"/>
      <c r="AO330" s="233"/>
      <c r="AP330" s="233"/>
      <c r="AQ330" s="233"/>
      <c r="AR330" s="236">
        <f>_xlfn.XLOOKUP(D330,'Modelling New'!$D:$D,'Modelling New'!$N:$N)</f>
        <v>130</v>
      </c>
      <c r="AS330" s="236" t="str">
        <f t="shared" si="28"/>
        <v/>
      </c>
    </row>
    <row r="331" spans="1:45">
      <c r="A331" s="18">
        <f t="shared" si="29"/>
        <v>46074</v>
      </c>
      <c r="B331" s="29">
        <f>YEAR(Table13[[#This Row],[Date]])+IF(MONTH(Table13[[#This Row],[Date]])&gt;=4,1,0)</f>
        <v>2026</v>
      </c>
      <c r="C331" s="9">
        <f>YEAR(Table13[[#This Row],[Date]])</f>
        <v>2026</v>
      </c>
      <c r="D331" s="229">
        <f>Table13[[#This Row],[Date]]-DAY(Table13[[#This Row],[Date]])+1</f>
        <v>46054</v>
      </c>
      <c r="E331" s="9">
        <f t="shared" si="25"/>
        <v>28</v>
      </c>
      <c r="F331" s="199" t="str">
        <f>IFERROR(_xlfn.XLOOKUP($A331,Input_Raw!$A:$A,Input_Raw!$FC:$FC),"")</f>
        <v/>
      </c>
      <c r="G331" s="185" t="str">
        <f>IFERROR(_xlfn.XLOOKUP($A331,Input_Raw!$A:$A,Input_Raw!$CY:$CY),"")</f>
        <v/>
      </c>
      <c r="H331" s="185" t="str">
        <f>IFERROR(_xlfn.XLOOKUP($A331,Input_Raw!$A:$A,Input_Raw!$DA:$DA),"")</f>
        <v/>
      </c>
      <c r="I331" s="185" t="str">
        <f>IFERROR(_xlfn.XLOOKUP($A331,Input_Raw!$A:$A,Input_Raw!$CX:$CX),"")</f>
        <v/>
      </c>
      <c r="J331" s="185" t="str">
        <f>IFERROR(_xlfn.XLOOKUP($A331,Input_Raw!$A:$A,Input_Raw!$CZ:$CZ),"")</f>
        <v/>
      </c>
      <c r="K331" s="201" t="str">
        <f>IFERROR(_xlfn.XLOOKUP($A331,Input_Raw!$A:$A,Input_Raw!$DB:$DB),"")</f>
        <v/>
      </c>
      <c r="L331" s="201" t="str">
        <f>IFERROR(_xlfn.XLOOKUP($A331,Input_Raw!$A:$A,Input_Raw!$DC:$DC),"")</f>
        <v/>
      </c>
      <c r="M331" s="200" t="str">
        <f>IFERROR(_xlfn.XLOOKUP($A331,Input_Raw!$A:$A,Input_Raw!$DF:$DF),"")</f>
        <v/>
      </c>
      <c r="N331" s="200" t="str">
        <f>IFERROR(_xlfn.XLOOKUP($A331,Input_Raw!$A:$A,Input_Raw!$DG:$DG),"")</f>
        <v/>
      </c>
      <c r="O331" s="230" t="str">
        <f>IFERROR(1-(SUMIF(Plant_BD!$B:$B,$A331,Plant_BD!$AL:$AL)/($AA331+SUMIF(Plant_BD!$B:$B,$A331,Plant_BD!$AL:$AL))),"")</f>
        <v/>
      </c>
      <c r="P331" s="230"/>
      <c r="Q331" s="231" t="str">
        <f>IFERROR(1-(SUMIF(Grid_BD!$B:$B,$A331,Grid_BD!$V:$V)/($AA331+SUMIF(Grid_BD!$B:$B,$A331,Grid_BD!$V:$V))),"")</f>
        <v/>
      </c>
      <c r="R331" s="230" t="str">
        <f>IFERROR(1-(SUMIF(Grid_BD!$B:$B,$A331,Grid_BD!$V:$V)/($AA331+SUMIF(Grid_BD!$B:$B,$A331,Grid_BD!$V:$V))),"")</f>
        <v/>
      </c>
      <c r="S331" s="9"/>
      <c r="T331" s="231"/>
      <c r="U331" s="232" t="str">
        <f t="shared" si="26"/>
        <v/>
      </c>
      <c r="V331" s="232" t="str">
        <f>IFERROR(_xlfn.XLOOKUP($A331,Input_Raw!$A:$A,Input_Raw!$FG:$FG),"")</f>
        <v/>
      </c>
      <c r="W331" s="233" t="str">
        <f t="shared" si="27"/>
        <v/>
      </c>
      <c r="X331" s="29" t="str">
        <f>IFERROR(_xlfn.XLOOKUP($A331,Input_Raw!$A:$A,Input_Raw!$DP:$DP),"")</f>
        <v/>
      </c>
      <c r="Y331" s="29" t="str">
        <f>IFERROR(_xlfn.XLOOKUP($A331,Input_Raw!$A:$A,Input_Raw!EW:EW),"")</f>
        <v/>
      </c>
      <c r="Z331" s="29" t="str">
        <f>IFERROR(_xlfn.XLOOKUP($A331,Input_Raw!$A:$A,Input_Raw!EX:EX),"")</f>
        <v/>
      </c>
      <c r="AA331" s="29" t="str">
        <f>IFERROR(_xlfn.XLOOKUP($A331,Input_Raw!$A:$A,Input_Raw!FA:FA),"")</f>
        <v/>
      </c>
      <c r="AB331" s="9" t="str">
        <f>IFERROR(_xlfn.XLOOKUP($A331,Input_Raw!$A:$A,Input_Raw!FD:FD),"")</f>
        <v/>
      </c>
      <c r="AC331" s="185">
        <f>IFERROR(_xlfn.XLOOKUP($D331,'Modelling New'!$D:$D,'Modelling New'!P:P),"")</f>
        <v>6.3107142857142851</v>
      </c>
      <c r="AD331" s="29">
        <f>IFERROR(_xlfn.XLOOKUP($D331,'Modelling New'!$D:$D,'Modelling New'!T:T)*1000,"")</f>
        <v>682247.66019581049</v>
      </c>
      <c r="AE331" s="233">
        <f>IFERROR(_xlfn.XLOOKUP($D331,'Modelling New'!$D:$D,'Modelling New'!O:O),"")</f>
        <v>0.8316109218354748</v>
      </c>
      <c r="AF331" s="233">
        <f>IFERROR(_xlfn.XLOOKUP($D331,'Modelling New'!$D:$D,'Modelling New'!W:W),"")</f>
        <v>0.21866912185763154</v>
      </c>
      <c r="AG331" s="233">
        <f>IFERROR(_xlfn.XLOOKUP($D331,'Modelling New'!$D:$D,'Modelling New'!AE:AE),"")</f>
        <v>0.995</v>
      </c>
      <c r="AH331" s="234">
        <f>IFERROR(_xlfn.XLOOKUP($D331,'Modelling New'!$D:$D,'Modelling New'!AF:AF),"")</f>
        <v>0.995</v>
      </c>
      <c r="AI331" s="9"/>
      <c r="AJ331" s="9"/>
      <c r="AK331" s="258"/>
      <c r="AL331" s="258"/>
      <c r="AM331" s="258"/>
      <c r="AN331" s="235"/>
      <c r="AO331" s="233"/>
      <c r="AP331" s="233"/>
      <c r="AQ331" s="233"/>
      <c r="AR331" s="236">
        <f>_xlfn.XLOOKUP(D331,'Modelling New'!$D:$D,'Modelling New'!$N:$N)</f>
        <v>130</v>
      </c>
      <c r="AS331" s="236" t="str">
        <f t="shared" si="28"/>
        <v/>
      </c>
    </row>
    <row r="332" spans="1:45">
      <c r="A332" s="18">
        <f t="shared" si="29"/>
        <v>46075</v>
      </c>
      <c r="B332" s="29">
        <f>YEAR(Table13[[#This Row],[Date]])+IF(MONTH(Table13[[#This Row],[Date]])&gt;=4,1,0)</f>
        <v>2026</v>
      </c>
      <c r="C332" s="9">
        <f>YEAR(Table13[[#This Row],[Date]])</f>
        <v>2026</v>
      </c>
      <c r="D332" s="229">
        <f>Table13[[#This Row],[Date]]-DAY(Table13[[#This Row],[Date]])+1</f>
        <v>46054</v>
      </c>
      <c r="E332" s="9">
        <f t="shared" si="25"/>
        <v>28</v>
      </c>
      <c r="F332" s="199" t="str">
        <f>IFERROR(_xlfn.XLOOKUP($A332,Input_Raw!$A:$A,Input_Raw!$FC:$FC),"")</f>
        <v/>
      </c>
      <c r="G332" s="200" t="str">
        <f>IFERROR(_xlfn.XLOOKUP($A332,Input_Raw!$A:$A,Input_Raw!$CY:$CY),"")</f>
        <v/>
      </c>
      <c r="H332" s="200" t="str">
        <f>IFERROR(_xlfn.XLOOKUP($A332,Input_Raw!$A:$A,Input_Raw!$DA:$DA),"")</f>
        <v/>
      </c>
      <c r="I332" s="200" t="str">
        <f>IFERROR(_xlfn.XLOOKUP($A332,Input_Raw!$A:$A,Input_Raw!$CX:$CX),"")</f>
        <v/>
      </c>
      <c r="J332" s="200" t="str">
        <f>IFERROR(_xlfn.XLOOKUP($A332,Input_Raw!$A:$A,Input_Raw!$CZ:$CZ),"")</f>
        <v/>
      </c>
      <c r="K332" s="201" t="str">
        <f>IFERROR(_xlfn.XLOOKUP($A332,Input_Raw!$A:$A,Input_Raw!$DB:$DB),"")</f>
        <v/>
      </c>
      <c r="L332" s="201" t="str">
        <f>IFERROR(_xlfn.XLOOKUP($A332,Input_Raw!$A:$A,Input_Raw!$DC:$DC),"")</f>
        <v/>
      </c>
      <c r="M332" s="200" t="str">
        <f>IFERROR(_xlfn.XLOOKUP($A332,Input_Raw!$A:$A,Input_Raw!$DF:$DF),"")</f>
        <v/>
      </c>
      <c r="N332" s="200" t="str">
        <f>IFERROR(_xlfn.XLOOKUP($A332,Input_Raw!$A:$A,Input_Raw!$DG:$DG),"")</f>
        <v/>
      </c>
      <c r="O332" s="230" t="str">
        <f>IFERROR(1-(SUMIF(Plant_BD!$B:$B,$A332,Plant_BD!$AL:$AL)/($AA332+SUMIF(Plant_BD!$B:$B,$A332,Plant_BD!$AL:$AL))),"")</f>
        <v/>
      </c>
      <c r="P332" s="230"/>
      <c r="Q332" s="231" t="str">
        <f>IFERROR(1-(SUMIF(Grid_BD!$B:$B,$A332,Grid_BD!$V:$V)/($AA332+SUMIF(Grid_BD!$B:$B,$A332,Grid_BD!$V:$V))),"")</f>
        <v/>
      </c>
      <c r="R332" s="230" t="str">
        <f>IFERROR(1-(SUMIF(Grid_BD!$B:$B,$A332,Grid_BD!$V:$V)/($AA332+SUMIF(Grid_BD!$B:$B,$A332,Grid_BD!$V:$V))),"")</f>
        <v/>
      </c>
      <c r="S332" s="9"/>
      <c r="T332" s="231"/>
      <c r="U332" s="232" t="str">
        <f t="shared" si="26"/>
        <v/>
      </c>
      <c r="V332" s="232" t="str">
        <f>IFERROR(_xlfn.XLOOKUP($A332,Input_Raw!$A:$A,Input_Raw!$FG:$FG),"")</f>
        <v/>
      </c>
      <c r="W332" s="233" t="str">
        <f t="shared" si="27"/>
        <v/>
      </c>
      <c r="X332" s="29" t="str">
        <f>IFERROR(_xlfn.XLOOKUP($A332,Input_Raw!$A:$A,Input_Raw!$DP:$DP),"")</f>
        <v/>
      </c>
      <c r="Y332" s="29" t="str">
        <f>IFERROR(_xlfn.XLOOKUP($A332,Input_Raw!$A:$A,Input_Raw!EW:EW),"")</f>
        <v/>
      </c>
      <c r="Z332" s="29" t="str">
        <f>IFERROR(_xlfn.XLOOKUP($A332,Input_Raw!$A:$A,Input_Raw!EX:EX),"")</f>
        <v/>
      </c>
      <c r="AA332" s="29" t="str">
        <f>IFERROR(_xlfn.XLOOKUP($A332,Input_Raw!$A:$A,Input_Raw!FA:FA),"")</f>
        <v/>
      </c>
      <c r="AB332" s="9" t="str">
        <f>IFERROR(_xlfn.XLOOKUP($A332,Input_Raw!$A:$A,Input_Raw!FD:FD),"")</f>
        <v/>
      </c>
      <c r="AC332" s="185">
        <f>IFERROR(_xlfn.XLOOKUP($D332,'Modelling New'!$D:$D,'Modelling New'!P:P),"")</f>
        <v>6.3107142857142851</v>
      </c>
      <c r="AD332" s="29">
        <f>IFERROR(_xlfn.XLOOKUP($D332,'Modelling New'!$D:$D,'Modelling New'!T:T)*1000,"")</f>
        <v>682247.66019581049</v>
      </c>
      <c r="AE332" s="233">
        <f>IFERROR(_xlfn.XLOOKUP($D332,'Modelling New'!$D:$D,'Modelling New'!O:O),"")</f>
        <v>0.8316109218354748</v>
      </c>
      <c r="AF332" s="233">
        <f>IFERROR(_xlfn.XLOOKUP($D332,'Modelling New'!$D:$D,'Modelling New'!W:W),"")</f>
        <v>0.21866912185763154</v>
      </c>
      <c r="AG332" s="233">
        <f>IFERROR(_xlfn.XLOOKUP($D332,'Modelling New'!$D:$D,'Modelling New'!AE:AE),"")</f>
        <v>0.995</v>
      </c>
      <c r="AH332" s="234">
        <f>IFERROR(_xlfn.XLOOKUP($D332,'Modelling New'!$D:$D,'Modelling New'!AF:AF),"")</f>
        <v>0.995</v>
      </c>
      <c r="AI332" s="9"/>
      <c r="AJ332" s="9"/>
      <c r="AK332" s="258"/>
      <c r="AL332" s="258"/>
      <c r="AM332" s="258"/>
      <c r="AN332" s="235"/>
      <c r="AO332" s="233"/>
      <c r="AP332" s="233"/>
      <c r="AQ332" s="233"/>
      <c r="AR332" s="236">
        <f>_xlfn.XLOOKUP(D332,'Modelling New'!$D:$D,'Modelling New'!$N:$N)</f>
        <v>130</v>
      </c>
      <c r="AS332" s="236" t="str">
        <f t="shared" si="28"/>
        <v/>
      </c>
    </row>
    <row r="333" spans="1:45">
      <c r="A333" s="18">
        <f t="shared" si="29"/>
        <v>46076</v>
      </c>
      <c r="B333" s="29">
        <f>YEAR(Table13[[#This Row],[Date]])+IF(MONTH(Table13[[#This Row],[Date]])&gt;=4,1,0)</f>
        <v>2026</v>
      </c>
      <c r="C333" s="9">
        <f>YEAR(Table13[[#This Row],[Date]])</f>
        <v>2026</v>
      </c>
      <c r="D333" s="229">
        <f>Table13[[#This Row],[Date]]-DAY(Table13[[#This Row],[Date]])+1</f>
        <v>46054</v>
      </c>
      <c r="E333" s="9">
        <f t="shared" si="25"/>
        <v>28</v>
      </c>
      <c r="F333" s="199" t="str">
        <f>IFERROR(_xlfn.XLOOKUP($A333,Input_Raw!$A:$A,Input_Raw!$FC:$FC),"")</f>
        <v/>
      </c>
      <c r="G333" s="185" t="str">
        <f>IFERROR(_xlfn.XLOOKUP($A333,Input_Raw!$A:$A,Input_Raw!$CY:$CY),"")</f>
        <v/>
      </c>
      <c r="H333" s="185" t="str">
        <f>IFERROR(_xlfn.XLOOKUP($A333,Input_Raw!$A:$A,Input_Raw!$DA:$DA),"")</f>
        <v/>
      </c>
      <c r="I333" s="185" t="str">
        <f>IFERROR(_xlfn.XLOOKUP($A333,Input_Raw!$A:$A,Input_Raw!$CX:$CX),"")</f>
        <v/>
      </c>
      <c r="J333" s="185" t="str">
        <f>IFERROR(_xlfn.XLOOKUP($A333,Input_Raw!$A:$A,Input_Raw!$CZ:$CZ),"")</f>
        <v/>
      </c>
      <c r="K333" s="201" t="str">
        <f>IFERROR(_xlfn.XLOOKUP($A333,Input_Raw!$A:$A,Input_Raw!$DB:$DB),"")</f>
        <v/>
      </c>
      <c r="L333" s="201" t="str">
        <f>IFERROR(_xlfn.XLOOKUP($A333,Input_Raw!$A:$A,Input_Raw!$DC:$DC),"")</f>
        <v/>
      </c>
      <c r="M333" s="200" t="str">
        <f>IFERROR(_xlfn.XLOOKUP($A333,Input_Raw!$A:$A,Input_Raw!$DF:$DF),"")</f>
        <v/>
      </c>
      <c r="N333" s="200" t="str">
        <f>IFERROR(_xlfn.XLOOKUP($A333,Input_Raw!$A:$A,Input_Raw!$DG:$DG),"")</f>
        <v/>
      </c>
      <c r="O333" s="230" t="str">
        <f>IFERROR(1-(SUMIF(Plant_BD!$B:$B,$A333,Plant_BD!$AL:$AL)/($AA333+SUMIF(Plant_BD!$B:$B,$A333,Plant_BD!$AL:$AL))),"")</f>
        <v/>
      </c>
      <c r="P333" s="230"/>
      <c r="Q333" s="231" t="str">
        <f>IFERROR(1-(SUMIF(Grid_BD!$B:$B,$A333,Grid_BD!$V:$V)/($AA333+SUMIF(Grid_BD!$B:$B,$A333,Grid_BD!$V:$V))),"")</f>
        <v/>
      </c>
      <c r="R333" s="230" t="str">
        <f>IFERROR(1-(SUMIF(Grid_BD!$B:$B,$A333,Grid_BD!$V:$V)/($AA333+SUMIF(Grid_BD!$B:$B,$A333,Grid_BD!$V:$V))),"")</f>
        <v/>
      </c>
      <c r="S333" s="9"/>
      <c r="T333" s="231"/>
      <c r="U333" s="232" t="str">
        <f t="shared" si="26"/>
        <v/>
      </c>
      <c r="V333" s="232" t="str">
        <f>IFERROR(_xlfn.XLOOKUP($A333,Input_Raw!$A:$A,Input_Raw!$FG:$FG),"")</f>
        <v/>
      </c>
      <c r="W333" s="233" t="str">
        <f t="shared" si="27"/>
        <v/>
      </c>
      <c r="X333" s="29" t="str">
        <f>IFERROR(_xlfn.XLOOKUP($A333,Input_Raw!$A:$A,Input_Raw!$DP:$DP),"")</f>
        <v/>
      </c>
      <c r="Y333" s="29" t="str">
        <f>IFERROR(_xlfn.XLOOKUP($A333,Input_Raw!$A:$A,Input_Raw!EW:EW),"")</f>
        <v/>
      </c>
      <c r="Z333" s="29" t="str">
        <f>IFERROR(_xlfn.XLOOKUP($A333,Input_Raw!$A:$A,Input_Raw!EX:EX),"")</f>
        <v/>
      </c>
      <c r="AA333" s="29" t="str">
        <f>IFERROR(_xlfn.XLOOKUP($A333,Input_Raw!$A:$A,Input_Raw!FA:FA),"")</f>
        <v/>
      </c>
      <c r="AB333" s="9" t="str">
        <f>IFERROR(_xlfn.XLOOKUP($A333,Input_Raw!$A:$A,Input_Raw!FD:FD),"")</f>
        <v/>
      </c>
      <c r="AC333" s="185">
        <f>IFERROR(_xlfn.XLOOKUP($D333,'Modelling New'!$D:$D,'Modelling New'!P:P),"")</f>
        <v>6.3107142857142851</v>
      </c>
      <c r="AD333" s="29">
        <f>IFERROR(_xlfn.XLOOKUP($D333,'Modelling New'!$D:$D,'Modelling New'!T:T)*1000,"")</f>
        <v>682247.66019581049</v>
      </c>
      <c r="AE333" s="233">
        <f>IFERROR(_xlfn.XLOOKUP($D333,'Modelling New'!$D:$D,'Modelling New'!O:O),"")</f>
        <v>0.8316109218354748</v>
      </c>
      <c r="AF333" s="233">
        <f>IFERROR(_xlfn.XLOOKUP($D333,'Modelling New'!$D:$D,'Modelling New'!W:W),"")</f>
        <v>0.21866912185763154</v>
      </c>
      <c r="AG333" s="233">
        <f>IFERROR(_xlfn.XLOOKUP($D333,'Modelling New'!$D:$D,'Modelling New'!AE:AE),"")</f>
        <v>0.995</v>
      </c>
      <c r="AH333" s="234">
        <f>IFERROR(_xlfn.XLOOKUP($D333,'Modelling New'!$D:$D,'Modelling New'!AF:AF),"")</f>
        <v>0.995</v>
      </c>
      <c r="AI333" s="9"/>
      <c r="AJ333" s="9"/>
      <c r="AK333" s="258"/>
      <c r="AL333" s="258"/>
      <c r="AM333" s="258"/>
      <c r="AN333" s="235"/>
      <c r="AO333" s="233"/>
      <c r="AP333" s="233"/>
      <c r="AQ333" s="233"/>
      <c r="AR333" s="236">
        <f>_xlfn.XLOOKUP(D333,'Modelling New'!$D:$D,'Modelling New'!$N:$N)</f>
        <v>130</v>
      </c>
      <c r="AS333" s="236" t="str">
        <f t="shared" si="28"/>
        <v/>
      </c>
    </row>
    <row r="334" spans="1:45">
      <c r="A334" s="18">
        <f t="shared" si="29"/>
        <v>46077</v>
      </c>
      <c r="B334" s="29">
        <f>YEAR(Table13[[#This Row],[Date]])+IF(MONTH(Table13[[#This Row],[Date]])&gt;=4,1,0)</f>
        <v>2026</v>
      </c>
      <c r="C334" s="9">
        <f>YEAR(Table13[[#This Row],[Date]])</f>
        <v>2026</v>
      </c>
      <c r="D334" s="229">
        <f>Table13[[#This Row],[Date]]-DAY(Table13[[#This Row],[Date]])+1</f>
        <v>46054</v>
      </c>
      <c r="E334" s="9">
        <f t="shared" si="25"/>
        <v>28</v>
      </c>
      <c r="F334" s="199" t="str">
        <f>IFERROR(_xlfn.XLOOKUP($A334,Input_Raw!$A:$A,Input_Raw!$FC:$FC),"")</f>
        <v/>
      </c>
      <c r="G334" s="200" t="str">
        <f>IFERROR(_xlfn.XLOOKUP($A334,Input_Raw!$A:$A,Input_Raw!$CY:$CY),"")</f>
        <v/>
      </c>
      <c r="H334" s="200" t="str">
        <f>IFERROR(_xlfn.XLOOKUP($A334,Input_Raw!$A:$A,Input_Raw!$DA:$DA),"")</f>
        <v/>
      </c>
      <c r="I334" s="200" t="str">
        <f>IFERROR(_xlfn.XLOOKUP($A334,Input_Raw!$A:$A,Input_Raw!$CX:$CX),"")</f>
        <v/>
      </c>
      <c r="J334" s="200" t="str">
        <f>IFERROR(_xlfn.XLOOKUP($A334,Input_Raw!$A:$A,Input_Raw!$CZ:$CZ),"")</f>
        <v/>
      </c>
      <c r="K334" s="201" t="str">
        <f>IFERROR(_xlfn.XLOOKUP($A334,Input_Raw!$A:$A,Input_Raw!$DB:$DB),"")</f>
        <v/>
      </c>
      <c r="L334" s="201" t="str">
        <f>IFERROR(_xlfn.XLOOKUP($A334,Input_Raw!$A:$A,Input_Raw!$DC:$DC),"")</f>
        <v/>
      </c>
      <c r="M334" s="200" t="str">
        <f>IFERROR(_xlfn.XLOOKUP($A334,Input_Raw!$A:$A,Input_Raw!$DF:$DF),"")</f>
        <v/>
      </c>
      <c r="N334" s="200" t="str">
        <f>IFERROR(_xlfn.XLOOKUP($A334,Input_Raw!$A:$A,Input_Raw!$DG:$DG),"")</f>
        <v/>
      </c>
      <c r="O334" s="230" t="str">
        <f>IFERROR(1-(SUMIF(Plant_BD!$B:$B,$A334,Plant_BD!$AL:$AL)/($AA334+SUMIF(Plant_BD!$B:$B,$A334,Plant_BD!$AL:$AL))),"")</f>
        <v/>
      </c>
      <c r="P334" s="230"/>
      <c r="Q334" s="231" t="str">
        <f>IFERROR(1-(SUMIF(Grid_BD!$B:$B,$A334,Grid_BD!$V:$V)/($AA334+SUMIF(Grid_BD!$B:$B,$A334,Grid_BD!$V:$V))),"")</f>
        <v/>
      </c>
      <c r="R334" s="230" t="str">
        <f>IFERROR(1-(SUMIF(Grid_BD!$B:$B,$A334,Grid_BD!$V:$V)/($AA334+SUMIF(Grid_BD!$B:$B,$A334,Grid_BD!$V:$V))),"")</f>
        <v/>
      </c>
      <c r="S334" s="9"/>
      <c r="T334" s="231"/>
      <c r="U334" s="232" t="str">
        <f t="shared" si="26"/>
        <v/>
      </c>
      <c r="V334" s="232" t="str">
        <f>IFERROR(_xlfn.XLOOKUP($A334,Input_Raw!$A:$A,Input_Raw!$FG:$FG),"")</f>
        <v/>
      </c>
      <c r="W334" s="233" t="str">
        <f t="shared" si="27"/>
        <v/>
      </c>
      <c r="X334" s="29" t="str">
        <f>IFERROR(_xlfn.XLOOKUP($A334,Input_Raw!$A:$A,Input_Raw!$DP:$DP),"")</f>
        <v/>
      </c>
      <c r="Y334" s="29" t="str">
        <f>IFERROR(_xlfn.XLOOKUP($A334,Input_Raw!$A:$A,Input_Raw!EW:EW),"")</f>
        <v/>
      </c>
      <c r="Z334" s="29" t="str">
        <f>IFERROR(_xlfn.XLOOKUP($A334,Input_Raw!$A:$A,Input_Raw!EX:EX),"")</f>
        <v/>
      </c>
      <c r="AA334" s="29" t="str">
        <f>IFERROR(_xlfn.XLOOKUP($A334,Input_Raw!$A:$A,Input_Raw!FA:FA),"")</f>
        <v/>
      </c>
      <c r="AB334" s="9" t="str">
        <f>IFERROR(_xlfn.XLOOKUP($A334,Input_Raw!$A:$A,Input_Raw!FD:FD),"")</f>
        <v/>
      </c>
      <c r="AC334" s="185">
        <f>IFERROR(_xlfn.XLOOKUP($D334,'Modelling New'!$D:$D,'Modelling New'!P:P),"")</f>
        <v>6.3107142857142851</v>
      </c>
      <c r="AD334" s="29">
        <f>IFERROR(_xlfn.XLOOKUP($D334,'Modelling New'!$D:$D,'Modelling New'!T:T)*1000,"")</f>
        <v>682247.66019581049</v>
      </c>
      <c r="AE334" s="233">
        <f>IFERROR(_xlfn.XLOOKUP($D334,'Modelling New'!$D:$D,'Modelling New'!O:O),"")</f>
        <v>0.8316109218354748</v>
      </c>
      <c r="AF334" s="233">
        <f>IFERROR(_xlfn.XLOOKUP($D334,'Modelling New'!$D:$D,'Modelling New'!W:W),"")</f>
        <v>0.21866912185763154</v>
      </c>
      <c r="AG334" s="233">
        <f>IFERROR(_xlfn.XLOOKUP($D334,'Modelling New'!$D:$D,'Modelling New'!AE:AE),"")</f>
        <v>0.995</v>
      </c>
      <c r="AH334" s="234">
        <f>IFERROR(_xlfn.XLOOKUP($D334,'Modelling New'!$D:$D,'Modelling New'!AF:AF),"")</f>
        <v>0.995</v>
      </c>
      <c r="AI334" s="9"/>
      <c r="AJ334" s="9"/>
      <c r="AK334" s="258"/>
      <c r="AL334" s="258"/>
      <c r="AM334" s="258"/>
      <c r="AN334" s="235"/>
      <c r="AO334" s="233"/>
      <c r="AP334" s="233"/>
      <c r="AQ334" s="233"/>
      <c r="AR334" s="236">
        <f>_xlfn.XLOOKUP(D334,'Modelling New'!$D:$D,'Modelling New'!$N:$N)</f>
        <v>130</v>
      </c>
      <c r="AS334" s="236" t="str">
        <f t="shared" si="28"/>
        <v/>
      </c>
    </row>
    <row r="335" spans="1:45">
      <c r="A335" s="18">
        <f t="shared" si="29"/>
        <v>46078</v>
      </c>
      <c r="B335" s="29">
        <f>YEAR(Table13[[#This Row],[Date]])+IF(MONTH(Table13[[#This Row],[Date]])&gt;=4,1,0)</f>
        <v>2026</v>
      </c>
      <c r="C335" s="9">
        <f>YEAR(Table13[[#This Row],[Date]])</f>
        <v>2026</v>
      </c>
      <c r="D335" s="229">
        <f>Table13[[#This Row],[Date]]-DAY(Table13[[#This Row],[Date]])+1</f>
        <v>46054</v>
      </c>
      <c r="E335" s="9">
        <f t="shared" si="25"/>
        <v>28</v>
      </c>
      <c r="F335" s="199" t="str">
        <f>IFERROR(_xlfn.XLOOKUP($A335,Input_Raw!$A:$A,Input_Raw!$FC:$FC),"")</f>
        <v/>
      </c>
      <c r="G335" s="185" t="str">
        <f>IFERROR(_xlfn.XLOOKUP($A335,Input_Raw!$A:$A,Input_Raw!$CY:$CY),"")</f>
        <v/>
      </c>
      <c r="H335" s="185" t="str">
        <f>IFERROR(_xlfn.XLOOKUP($A335,Input_Raw!$A:$A,Input_Raw!$DA:$DA),"")</f>
        <v/>
      </c>
      <c r="I335" s="185" t="str">
        <f>IFERROR(_xlfn.XLOOKUP($A335,Input_Raw!$A:$A,Input_Raw!$CX:$CX),"")</f>
        <v/>
      </c>
      <c r="J335" s="185" t="str">
        <f>IFERROR(_xlfn.XLOOKUP($A335,Input_Raw!$A:$A,Input_Raw!$CZ:$CZ),"")</f>
        <v/>
      </c>
      <c r="K335" s="201" t="str">
        <f>IFERROR(_xlfn.XLOOKUP($A335,Input_Raw!$A:$A,Input_Raw!$DB:$DB),"")</f>
        <v/>
      </c>
      <c r="L335" s="201" t="str">
        <f>IFERROR(_xlfn.XLOOKUP($A335,Input_Raw!$A:$A,Input_Raw!$DC:$DC),"")</f>
        <v/>
      </c>
      <c r="M335" s="200" t="str">
        <f>IFERROR(_xlfn.XLOOKUP($A335,Input_Raw!$A:$A,Input_Raw!$DF:$DF),"")</f>
        <v/>
      </c>
      <c r="N335" s="200" t="str">
        <f>IFERROR(_xlfn.XLOOKUP($A335,Input_Raw!$A:$A,Input_Raw!$DG:$DG),"")</f>
        <v/>
      </c>
      <c r="O335" s="230" t="str">
        <f>IFERROR(1-(SUMIF(Plant_BD!$B:$B,$A335,Plant_BD!$AL:$AL)/($AA335+SUMIF(Plant_BD!$B:$B,$A335,Plant_BD!$AL:$AL))),"")</f>
        <v/>
      </c>
      <c r="P335" s="230"/>
      <c r="Q335" s="231" t="str">
        <f>IFERROR(1-(SUMIF(Grid_BD!$B:$B,$A335,Grid_BD!$V:$V)/($AA335+SUMIF(Grid_BD!$B:$B,$A335,Grid_BD!$V:$V))),"")</f>
        <v/>
      </c>
      <c r="R335" s="230" t="str">
        <f>IFERROR(1-(SUMIF(Grid_BD!$B:$B,$A335,Grid_BD!$V:$V)/($AA335+SUMIF(Grid_BD!$B:$B,$A335,Grid_BD!$V:$V))),"")</f>
        <v/>
      </c>
      <c r="S335" s="9"/>
      <c r="T335" s="231"/>
      <c r="U335" s="232" t="str">
        <f t="shared" si="26"/>
        <v/>
      </c>
      <c r="V335" s="232" t="str">
        <f>IFERROR(_xlfn.XLOOKUP($A335,Input_Raw!$A:$A,Input_Raw!$FG:$FG),"")</f>
        <v/>
      </c>
      <c r="W335" s="233" t="str">
        <f t="shared" si="27"/>
        <v/>
      </c>
      <c r="X335" s="29" t="str">
        <f>IFERROR(_xlfn.XLOOKUP($A335,Input_Raw!$A:$A,Input_Raw!$DP:$DP),"")</f>
        <v/>
      </c>
      <c r="Y335" s="29" t="str">
        <f>IFERROR(_xlfn.XLOOKUP($A335,Input_Raw!$A:$A,Input_Raw!EW:EW),"")</f>
        <v/>
      </c>
      <c r="Z335" s="29" t="str">
        <f>IFERROR(_xlfn.XLOOKUP($A335,Input_Raw!$A:$A,Input_Raw!EX:EX),"")</f>
        <v/>
      </c>
      <c r="AA335" s="29" t="str">
        <f>IFERROR(_xlfn.XLOOKUP($A335,Input_Raw!$A:$A,Input_Raw!FA:FA),"")</f>
        <v/>
      </c>
      <c r="AB335" s="9" t="str">
        <f>IFERROR(_xlfn.XLOOKUP($A335,Input_Raw!$A:$A,Input_Raw!FD:FD),"")</f>
        <v/>
      </c>
      <c r="AC335" s="185">
        <f>IFERROR(_xlfn.XLOOKUP($D335,'Modelling New'!$D:$D,'Modelling New'!P:P),"")</f>
        <v>6.3107142857142851</v>
      </c>
      <c r="AD335" s="29">
        <f>IFERROR(_xlfn.XLOOKUP($D335,'Modelling New'!$D:$D,'Modelling New'!T:T)*1000,"")</f>
        <v>682247.66019581049</v>
      </c>
      <c r="AE335" s="233">
        <f>IFERROR(_xlfn.XLOOKUP($D335,'Modelling New'!$D:$D,'Modelling New'!O:O),"")</f>
        <v>0.8316109218354748</v>
      </c>
      <c r="AF335" s="233">
        <f>IFERROR(_xlfn.XLOOKUP($D335,'Modelling New'!$D:$D,'Modelling New'!W:W),"")</f>
        <v>0.21866912185763154</v>
      </c>
      <c r="AG335" s="233">
        <f>IFERROR(_xlfn.XLOOKUP($D335,'Modelling New'!$D:$D,'Modelling New'!AE:AE),"")</f>
        <v>0.995</v>
      </c>
      <c r="AH335" s="234">
        <f>IFERROR(_xlfn.XLOOKUP($D335,'Modelling New'!$D:$D,'Modelling New'!AF:AF),"")</f>
        <v>0.995</v>
      </c>
      <c r="AI335" s="9"/>
      <c r="AJ335" s="9"/>
      <c r="AK335" s="258"/>
      <c r="AL335" s="258"/>
      <c r="AM335" s="258"/>
      <c r="AN335" s="235"/>
      <c r="AO335" s="233"/>
      <c r="AP335" s="233"/>
      <c r="AQ335" s="233"/>
      <c r="AR335" s="236">
        <f>_xlfn.XLOOKUP(D335,'Modelling New'!$D:$D,'Modelling New'!$N:$N)</f>
        <v>130</v>
      </c>
      <c r="AS335" s="236" t="str">
        <f t="shared" si="28"/>
        <v/>
      </c>
    </row>
    <row r="336" spans="1:45">
      <c r="A336" s="18">
        <f t="shared" si="29"/>
        <v>46079</v>
      </c>
      <c r="B336" s="29">
        <f>YEAR(Table13[[#This Row],[Date]])+IF(MONTH(Table13[[#This Row],[Date]])&gt;=4,1,0)</f>
        <v>2026</v>
      </c>
      <c r="C336" s="9">
        <f>YEAR(Table13[[#This Row],[Date]])</f>
        <v>2026</v>
      </c>
      <c r="D336" s="229">
        <f>Table13[[#This Row],[Date]]-DAY(Table13[[#This Row],[Date]])+1</f>
        <v>46054</v>
      </c>
      <c r="E336" s="9">
        <f t="shared" si="25"/>
        <v>28</v>
      </c>
      <c r="F336" s="199" t="str">
        <f>IFERROR(_xlfn.XLOOKUP($A336,Input_Raw!$A:$A,Input_Raw!$FC:$FC),"")</f>
        <v/>
      </c>
      <c r="G336" s="200" t="str">
        <f>IFERROR(_xlfn.XLOOKUP($A336,Input_Raw!$A:$A,Input_Raw!$CY:$CY),"")</f>
        <v/>
      </c>
      <c r="H336" s="200" t="str">
        <f>IFERROR(_xlfn.XLOOKUP($A336,Input_Raw!$A:$A,Input_Raw!$DA:$DA),"")</f>
        <v/>
      </c>
      <c r="I336" s="200" t="str">
        <f>IFERROR(_xlfn.XLOOKUP($A336,Input_Raw!$A:$A,Input_Raw!$CX:$CX),"")</f>
        <v/>
      </c>
      <c r="J336" s="200" t="str">
        <f>IFERROR(_xlfn.XLOOKUP($A336,Input_Raw!$A:$A,Input_Raw!$CZ:$CZ),"")</f>
        <v/>
      </c>
      <c r="K336" s="201" t="str">
        <f>IFERROR(_xlfn.XLOOKUP($A336,Input_Raw!$A:$A,Input_Raw!$DB:$DB),"")</f>
        <v/>
      </c>
      <c r="L336" s="201" t="str">
        <f>IFERROR(_xlfn.XLOOKUP($A336,Input_Raw!$A:$A,Input_Raw!$DC:$DC),"")</f>
        <v/>
      </c>
      <c r="M336" s="200" t="str">
        <f>IFERROR(_xlfn.XLOOKUP($A336,Input_Raw!$A:$A,Input_Raw!$DF:$DF),"")</f>
        <v/>
      </c>
      <c r="N336" s="200" t="str">
        <f>IFERROR(_xlfn.XLOOKUP($A336,Input_Raw!$A:$A,Input_Raw!$DG:$DG),"")</f>
        <v/>
      </c>
      <c r="O336" s="230" t="str">
        <f>IFERROR(1-(SUMIF(Plant_BD!$B:$B,$A336,Plant_BD!$AL:$AL)/($AA336+SUMIF(Plant_BD!$B:$B,$A336,Plant_BD!$AL:$AL))),"")</f>
        <v/>
      </c>
      <c r="P336" s="230"/>
      <c r="Q336" s="231" t="str">
        <f>IFERROR(1-(SUMIF(Grid_BD!$B:$B,$A336,Grid_BD!$V:$V)/($AA336+SUMIF(Grid_BD!$B:$B,$A336,Grid_BD!$V:$V))),"")</f>
        <v/>
      </c>
      <c r="R336" s="230" t="str">
        <f>IFERROR(1-(SUMIF(Grid_BD!$B:$B,$A336,Grid_BD!$V:$V)/($AA336+SUMIF(Grid_BD!$B:$B,$A336,Grid_BD!$V:$V))),"")</f>
        <v/>
      </c>
      <c r="S336" s="9"/>
      <c r="T336" s="231"/>
      <c r="U336" s="232" t="str">
        <f t="shared" si="26"/>
        <v/>
      </c>
      <c r="V336" s="232" t="str">
        <f>IFERROR(_xlfn.XLOOKUP($A336,Input_Raw!$A:$A,Input_Raw!$FG:$FG),"")</f>
        <v/>
      </c>
      <c r="W336" s="233" t="str">
        <f t="shared" si="27"/>
        <v/>
      </c>
      <c r="X336" s="29" t="str">
        <f>IFERROR(_xlfn.XLOOKUP($A336,Input_Raw!$A:$A,Input_Raw!$DP:$DP),"")</f>
        <v/>
      </c>
      <c r="Y336" s="29" t="str">
        <f>IFERROR(_xlfn.XLOOKUP($A336,Input_Raw!$A:$A,Input_Raw!EW:EW),"")</f>
        <v/>
      </c>
      <c r="Z336" s="29" t="str">
        <f>IFERROR(_xlfn.XLOOKUP($A336,Input_Raw!$A:$A,Input_Raw!EX:EX),"")</f>
        <v/>
      </c>
      <c r="AA336" s="29" t="str">
        <f>IFERROR(_xlfn.XLOOKUP($A336,Input_Raw!$A:$A,Input_Raw!FA:FA),"")</f>
        <v/>
      </c>
      <c r="AB336" s="9" t="str">
        <f>IFERROR(_xlfn.XLOOKUP($A336,Input_Raw!$A:$A,Input_Raw!FD:FD),"")</f>
        <v/>
      </c>
      <c r="AC336" s="185">
        <f>IFERROR(_xlfn.XLOOKUP($D336,'Modelling New'!$D:$D,'Modelling New'!P:P),"")</f>
        <v>6.3107142857142851</v>
      </c>
      <c r="AD336" s="29">
        <f>IFERROR(_xlfn.XLOOKUP($D336,'Modelling New'!$D:$D,'Modelling New'!T:T)*1000,"")</f>
        <v>682247.66019581049</v>
      </c>
      <c r="AE336" s="233">
        <f>IFERROR(_xlfn.XLOOKUP($D336,'Modelling New'!$D:$D,'Modelling New'!O:O),"")</f>
        <v>0.8316109218354748</v>
      </c>
      <c r="AF336" s="233">
        <f>IFERROR(_xlfn.XLOOKUP($D336,'Modelling New'!$D:$D,'Modelling New'!W:W),"")</f>
        <v>0.21866912185763154</v>
      </c>
      <c r="AG336" s="233">
        <f>IFERROR(_xlfn.XLOOKUP($D336,'Modelling New'!$D:$D,'Modelling New'!AE:AE),"")</f>
        <v>0.995</v>
      </c>
      <c r="AH336" s="234">
        <f>IFERROR(_xlfn.XLOOKUP($D336,'Modelling New'!$D:$D,'Modelling New'!AF:AF),"")</f>
        <v>0.995</v>
      </c>
      <c r="AI336" s="9"/>
      <c r="AJ336" s="9"/>
      <c r="AK336" s="258"/>
      <c r="AL336" s="258"/>
      <c r="AM336" s="258"/>
      <c r="AN336" s="235"/>
      <c r="AO336" s="233"/>
      <c r="AP336" s="233"/>
      <c r="AQ336" s="233"/>
      <c r="AR336" s="236">
        <f>_xlfn.XLOOKUP(D336,'Modelling New'!$D:$D,'Modelling New'!$N:$N)</f>
        <v>130</v>
      </c>
      <c r="AS336" s="236" t="str">
        <f t="shared" si="28"/>
        <v/>
      </c>
    </row>
    <row r="337" spans="1:45">
      <c r="A337" s="18">
        <f t="shared" si="29"/>
        <v>46080</v>
      </c>
      <c r="B337" s="29">
        <f>YEAR(Table13[[#This Row],[Date]])+IF(MONTH(Table13[[#This Row],[Date]])&gt;=4,1,0)</f>
        <v>2026</v>
      </c>
      <c r="C337" s="9">
        <f>YEAR(Table13[[#This Row],[Date]])</f>
        <v>2026</v>
      </c>
      <c r="D337" s="229">
        <f>Table13[[#This Row],[Date]]-DAY(Table13[[#This Row],[Date]])+1</f>
        <v>46054</v>
      </c>
      <c r="E337" s="9">
        <f t="shared" si="25"/>
        <v>28</v>
      </c>
      <c r="F337" s="199" t="str">
        <f>IFERROR(_xlfn.XLOOKUP($A337,Input_Raw!$A:$A,Input_Raw!$FC:$FC),"")</f>
        <v/>
      </c>
      <c r="G337" s="185" t="str">
        <f>IFERROR(_xlfn.XLOOKUP($A337,Input_Raw!$A:$A,Input_Raw!$CY:$CY),"")</f>
        <v/>
      </c>
      <c r="H337" s="185" t="str">
        <f>IFERROR(_xlfn.XLOOKUP($A337,Input_Raw!$A:$A,Input_Raw!$DA:$DA),"")</f>
        <v/>
      </c>
      <c r="I337" s="185" t="str">
        <f>IFERROR(_xlfn.XLOOKUP($A337,Input_Raw!$A:$A,Input_Raw!$CX:$CX),"")</f>
        <v/>
      </c>
      <c r="J337" s="185" t="str">
        <f>IFERROR(_xlfn.XLOOKUP($A337,Input_Raw!$A:$A,Input_Raw!$CZ:$CZ),"")</f>
        <v/>
      </c>
      <c r="K337" s="201" t="str">
        <f>IFERROR(_xlfn.XLOOKUP($A337,Input_Raw!$A:$A,Input_Raw!$DB:$DB),"")</f>
        <v/>
      </c>
      <c r="L337" s="201" t="str">
        <f>IFERROR(_xlfn.XLOOKUP($A337,Input_Raw!$A:$A,Input_Raw!$DC:$DC),"")</f>
        <v/>
      </c>
      <c r="M337" s="200" t="str">
        <f>IFERROR(_xlfn.XLOOKUP($A337,Input_Raw!$A:$A,Input_Raw!$DF:$DF),"")</f>
        <v/>
      </c>
      <c r="N337" s="200" t="str">
        <f>IFERROR(_xlfn.XLOOKUP($A337,Input_Raw!$A:$A,Input_Raw!$DG:$DG),"")</f>
        <v/>
      </c>
      <c r="O337" s="230" t="str">
        <f>IFERROR(1-(SUMIF(Plant_BD!$B:$B,$A337,Plant_BD!$AL:$AL)/($AA337+SUMIF(Plant_BD!$B:$B,$A337,Plant_BD!$AL:$AL))),"")</f>
        <v/>
      </c>
      <c r="P337" s="230"/>
      <c r="Q337" s="231" t="str">
        <f>IFERROR(1-(SUMIF(Grid_BD!$B:$B,$A337,Grid_BD!$V:$V)/($AA337+SUMIF(Grid_BD!$B:$B,$A337,Grid_BD!$V:$V))),"")</f>
        <v/>
      </c>
      <c r="R337" s="230" t="str">
        <f>IFERROR(1-(SUMIF(Grid_BD!$B:$B,$A337,Grid_BD!$V:$V)/($AA337+SUMIF(Grid_BD!$B:$B,$A337,Grid_BD!$V:$V))),"")</f>
        <v/>
      </c>
      <c r="S337" s="9"/>
      <c r="T337" s="231"/>
      <c r="U337" s="232" t="str">
        <f t="shared" si="26"/>
        <v/>
      </c>
      <c r="V337" s="232" t="str">
        <f>IFERROR(_xlfn.XLOOKUP($A337,Input_Raw!$A:$A,Input_Raw!$FG:$FG),"")</f>
        <v/>
      </c>
      <c r="W337" s="233" t="str">
        <f t="shared" si="27"/>
        <v/>
      </c>
      <c r="X337" s="29" t="str">
        <f>IFERROR(_xlfn.XLOOKUP($A337,Input_Raw!$A:$A,Input_Raw!$DP:$DP),"")</f>
        <v/>
      </c>
      <c r="Y337" s="29" t="str">
        <f>IFERROR(_xlfn.XLOOKUP($A337,Input_Raw!$A:$A,Input_Raw!EW:EW),"")</f>
        <v/>
      </c>
      <c r="Z337" s="29" t="str">
        <f>IFERROR(_xlfn.XLOOKUP($A337,Input_Raw!$A:$A,Input_Raw!EX:EX),"")</f>
        <v/>
      </c>
      <c r="AA337" s="29" t="str">
        <f>IFERROR(_xlfn.XLOOKUP($A337,Input_Raw!$A:$A,Input_Raw!FA:FA),"")</f>
        <v/>
      </c>
      <c r="AB337" s="9" t="str">
        <f>IFERROR(_xlfn.XLOOKUP($A337,Input_Raw!$A:$A,Input_Raw!FD:FD),"")</f>
        <v/>
      </c>
      <c r="AC337" s="185">
        <f>IFERROR(_xlfn.XLOOKUP($D337,'Modelling New'!$D:$D,'Modelling New'!P:P),"")</f>
        <v>6.3107142857142851</v>
      </c>
      <c r="AD337" s="29">
        <f>IFERROR(_xlfn.XLOOKUP($D337,'Modelling New'!$D:$D,'Modelling New'!T:T)*1000,"")</f>
        <v>682247.66019581049</v>
      </c>
      <c r="AE337" s="233">
        <f>IFERROR(_xlfn.XLOOKUP($D337,'Modelling New'!$D:$D,'Modelling New'!O:O),"")</f>
        <v>0.8316109218354748</v>
      </c>
      <c r="AF337" s="233">
        <f>IFERROR(_xlfn.XLOOKUP($D337,'Modelling New'!$D:$D,'Modelling New'!W:W),"")</f>
        <v>0.21866912185763154</v>
      </c>
      <c r="AG337" s="233">
        <f>IFERROR(_xlfn.XLOOKUP($D337,'Modelling New'!$D:$D,'Modelling New'!AE:AE),"")</f>
        <v>0.995</v>
      </c>
      <c r="AH337" s="234">
        <f>IFERROR(_xlfn.XLOOKUP($D337,'Modelling New'!$D:$D,'Modelling New'!AF:AF),"")</f>
        <v>0.995</v>
      </c>
      <c r="AI337" s="9"/>
      <c r="AJ337" s="9"/>
      <c r="AK337" s="258"/>
      <c r="AL337" s="258"/>
      <c r="AM337" s="258"/>
      <c r="AN337" s="235"/>
      <c r="AO337" s="233"/>
      <c r="AP337" s="233"/>
      <c r="AQ337" s="233"/>
      <c r="AR337" s="236">
        <f>_xlfn.XLOOKUP(D337,'Modelling New'!$D:$D,'Modelling New'!$N:$N)</f>
        <v>130</v>
      </c>
      <c r="AS337" s="236" t="str">
        <f t="shared" si="28"/>
        <v/>
      </c>
    </row>
    <row r="338" spans="1:45">
      <c r="A338" s="18">
        <f t="shared" si="29"/>
        <v>46081</v>
      </c>
      <c r="B338" s="29">
        <f>YEAR(Table13[[#This Row],[Date]])+IF(MONTH(Table13[[#This Row],[Date]])&gt;=4,1,0)</f>
        <v>2026</v>
      </c>
      <c r="C338" s="9">
        <f>YEAR(Table13[[#This Row],[Date]])</f>
        <v>2026</v>
      </c>
      <c r="D338" s="229">
        <f>Table13[[#This Row],[Date]]-DAY(Table13[[#This Row],[Date]])+1</f>
        <v>46054</v>
      </c>
      <c r="E338" s="9">
        <f t="shared" si="25"/>
        <v>28</v>
      </c>
      <c r="F338" s="199" t="str">
        <f>IFERROR(_xlfn.XLOOKUP($A338,Input_Raw!$A:$A,Input_Raw!$FC:$FC),"")</f>
        <v/>
      </c>
      <c r="G338" s="200" t="str">
        <f>IFERROR(_xlfn.XLOOKUP($A338,Input_Raw!$A:$A,Input_Raw!$CY:$CY),"")</f>
        <v/>
      </c>
      <c r="H338" s="200" t="str">
        <f>IFERROR(_xlfn.XLOOKUP($A338,Input_Raw!$A:$A,Input_Raw!$DA:$DA),"")</f>
        <v/>
      </c>
      <c r="I338" s="200" t="str">
        <f>IFERROR(_xlfn.XLOOKUP($A338,Input_Raw!$A:$A,Input_Raw!$CX:$CX),"")</f>
        <v/>
      </c>
      <c r="J338" s="200" t="str">
        <f>IFERROR(_xlfn.XLOOKUP($A338,Input_Raw!$A:$A,Input_Raw!$CZ:$CZ),"")</f>
        <v/>
      </c>
      <c r="K338" s="201" t="str">
        <f>IFERROR(_xlfn.XLOOKUP($A338,Input_Raw!$A:$A,Input_Raw!$DB:$DB),"")</f>
        <v/>
      </c>
      <c r="L338" s="201" t="str">
        <f>IFERROR(_xlfn.XLOOKUP($A338,Input_Raw!$A:$A,Input_Raw!$DC:$DC),"")</f>
        <v/>
      </c>
      <c r="M338" s="200" t="str">
        <f>IFERROR(_xlfn.XLOOKUP($A338,Input_Raw!$A:$A,Input_Raw!$DF:$DF),"")</f>
        <v/>
      </c>
      <c r="N338" s="200" t="str">
        <f>IFERROR(_xlfn.XLOOKUP($A338,Input_Raw!$A:$A,Input_Raw!$DG:$DG),"")</f>
        <v/>
      </c>
      <c r="O338" s="230" t="str">
        <f>IFERROR(1-(SUMIF(Plant_BD!$B:$B,$A338,Plant_BD!$AL:$AL)/($AA338+SUMIF(Plant_BD!$B:$B,$A338,Plant_BD!$AL:$AL))),"")</f>
        <v/>
      </c>
      <c r="P338" s="230"/>
      <c r="Q338" s="231" t="str">
        <f>IFERROR(1-(SUMIF(Grid_BD!$B:$B,$A338,Grid_BD!$V:$V)/($AA338+SUMIF(Grid_BD!$B:$B,$A338,Grid_BD!$V:$V))),"")</f>
        <v/>
      </c>
      <c r="R338" s="230" t="str">
        <f>IFERROR(1-(SUMIF(Grid_BD!$B:$B,$A338,Grid_BD!$V:$V)/($AA338+SUMIF(Grid_BD!$B:$B,$A338,Grid_BD!$V:$V))),"")</f>
        <v/>
      </c>
      <c r="S338" s="9"/>
      <c r="T338" s="231"/>
      <c r="U338" s="232" t="str">
        <f t="shared" si="26"/>
        <v/>
      </c>
      <c r="V338" s="232" t="str">
        <f>IFERROR(_xlfn.XLOOKUP($A338,Input_Raw!$A:$A,Input_Raw!$FG:$FG),"")</f>
        <v/>
      </c>
      <c r="W338" s="233" t="str">
        <f t="shared" si="27"/>
        <v/>
      </c>
      <c r="X338" s="29" t="str">
        <f>IFERROR(_xlfn.XLOOKUP($A338,Input_Raw!$A:$A,Input_Raw!$DP:$DP),"")</f>
        <v/>
      </c>
      <c r="Y338" s="29" t="str">
        <f>IFERROR(_xlfn.XLOOKUP($A338,Input_Raw!$A:$A,Input_Raw!EW:EW),"")</f>
        <v/>
      </c>
      <c r="Z338" s="29" t="str">
        <f>IFERROR(_xlfn.XLOOKUP($A338,Input_Raw!$A:$A,Input_Raw!EX:EX),"")</f>
        <v/>
      </c>
      <c r="AA338" s="29" t="str">
        <f>IFERROR(_xlfn.XLOOKUP($A338,Input_Raw!$A:$A,Input_Raw!FA:FA),"")</f>
        <v/>
      </c>
      <c r="AB338" s="9" t="str">
        <f>IFERROR(_xlfn.XLOOKUP($A338,Input_Raw!$A:$A,Input_Raw!FD:FD),"")</f>
        <v/>
      </c>
      <c r="AC338" s="185">
        <f>IFERROR(_xlfn.XLOOKUP($D338,'Modelling New'!$D:$D,'Modelling New'!P:P),"")</f>
        <v>6.3107142857142851</v>
      </c>
      <c r="AD338" s="29">
        <f>IFERROR(_xlfn.XLOOKUP($D338,'Modelling New'!$D:$D,'Modelling New'!T:T)*1000,"")</f>
        <v>682247.66019581049</v>
      </c>
      <c r="AE338" s="233">
        <f>IFERROR(_xlfn.XLOOKUP($D338,'Modelling New'!$D:$D,'Modelling New'!O:O),"")</f>
        <v>0.8316109218354748</v>
      </c>
      <c r="AF338" s="233">
        <f>IFERROR(_xlfn.XLOOKUP($D338,'Modelling New'!$D:$D,'Modelling New'!W:W),"")</f>
        <v>0.21866912185763154</v>
      </c>
      <c r="AG338" s="233">
        <f>IFERROR(_xlfn.XLOOKUP($D338,'Modelling New'!$D:$D,'Modelling New'!AE:AE),"")</f>
        <v>0.995</v>
      </c>
      <c r="AH338" s="234">
        <f>IFERROR(_xlfn.XLOOKUP($D338,'Modelling New'!$D:$D,'Modelling New'!AF:AF),"")</f>
        <v>0.995</v>
      </c>
      <c r="AI338" s="9"/>
      <c r="AJ338" s="9"/>
      <c r="AK338" s="258"/>
      <c r="AL338" s="258"/>
      <c r="AM338" s="258"/>
      <c r="AN338" s="235"/>
      <c r="AO338" s="233"/>
      <c r="AP338" s="233"/>
      <c r="AQ338" s="233"/>
      <c r="AR338" s="236">
        <f>_xlfn.XLOOKUP(D338,'Modelling New'!$D:$D,'Modelling New'!$N:$N)</f>
        <v>130</v>
      </c>
      <c r="AS338" s="236" t="str">
        <f t="shared" si="28"/>
        <v/>
      </c>
    </row>
    <row r="339" spans="1:45">
      <c r="A339" s="18">
        <f t="shared" si="29"/>
        <v>46082</v>
      </c>
      <c r="B339" s="29">
        <f>YEAR(Table13[[#This Row],[Date]])+IF(MONTH(Table13[[#This Row],[Date]])&gt;=4,1,0)</f>
        <v>2026</v>
      </c>
      <c r="C339" s="9">
        <f>YEAR(Table13[[#This Row],[Date]])</f>
        <v>2026</v>
      </c>
      <c r="D339" s="229">
        <f>Table13[[#This Row],[Date]]-DAY(Table13[[#This Row],[Date]])+1</f>
        <v>46082</v>
      </c>
      <c r="E339" s="9">
        <f t="shared" si="25"/>
        <v>31</v>
      </c>
      <c r="F339" s="199" t="str">
        <f>IFERROR(_xlfn.XLOOKUP($A339,Input_Raw!$A:$A,Input_Raw!$FC:$FC),"")</f>
        <v/>
      </c>
      <c r="G339" s="185" t="str">
        <f>IFERROR(_xlfn.XLOOKUP($A339,Input_Raw!$A:$A,Input_Raw!$CY:$CY),"")</f>
        <v/>
      </c>
      <c r="H339" s="185" t="str">
        <f>IFERROR(_xlfn.XLOOKUP($A339,Input_Raw!$A:$A,Input_Raw!$DA:$DA),"")</f>
        <v/>
      </c>
      <c r="I339" s="185" t="str">
        <f>IFERROR(_xlfn.XLOOKUP($A339,Input_Raw!$A:$A,Input_Raw!$CX:$CX),"")</f>
        <v/>
      </c>
      <c r="J339" s="185" t="str">
        <f>IFERROR(_xlfn.XLOOKUP($A339,Input_Raw!$A:$A,Input_Raw!$CZ:$CZ),"")</f>
        <v/>
      </c>
      <c r="K339" s="201" t="str">
        <f>IFERROR(_xlfn.XLOOKUP($A339,Input_Raw!$A:$A,Input_Raw!$DB:$DB),"")</f>
        <v/>
      </c>
      <c r="L339" s="201" t="str">
        <f>IFERROR(_xlfn.XLOOKUP($A339,Input_Raw!$A:$A,Input_Raw!$DC:$DC),"")</f>
        <v/>
      </c>
      <c r="M339" s="200" t="str">
        <f>IFERROR(_xlfn.XLOOKUP($A339,Input_Raw!$A:$A,Input_Raw!$DF:$DF),"")</f>
        <v/>
      </c>
      <c r="N339" s="200" t="str">
        <f>IFERROR(_xlfn.XLOOKUP($A339,Input_Raw!$A:$A,Input_Raw!$DG:$DG),"")</f>
        <v/>
      </c>
      <c r="O339" s="230" t="str">
        <f>IFERROR(1-(SUMIF(Plant_BD!$B:$B,$A339,Plant_BD!$AL:$AL)/($AA339+SUMIF(Plant_BD!$B:$B,$A339,Plant_BD!$AL:$AL))),"")</f>
        <v/>
      </c>
      <c r="P339" s="230"/>
      <c r="Q339" s="231" t="str">
        <f>IFERROR(1-(SUMIF(Grid_BD!$B:$B,$A339,Grid_BD!$V:$V)/($AA339+SUMIF(Grid_BD!$B:$B,$A339,Grid_BD!$V:$V))),"")</f>
        <v/>
      </c>
      <c r="R339" s="230" t="str">
        <f>IFERROR(1-(SUMIF(Grid_BD!$B:$B,$A339,Grid_BD!$V:$V)/($AA339+SUMIF(Grid_BD!$B:$B,$A339,Grid_BD!$V:$V))),"")</f>
        <v/>
      </c>
      <c r="S339" s="9"/>
      <c r="T339" s="231"/>
      <c r="U339" s="232" t="str">
        <f t="shared" si="26"/>
        <v/>
      </c>
      <c r="V339" s="232" t="str">
        <f>IFERROR(_xlfn.XLOOKUP($A339,Input_Raw!$A:$A,Input_Raw!$FG:$FG),"")</f>
        <v/>
      </c>
      <c r="W339" s="233" t="str">
        <f t="shared" si="27"/>
        <v/>
      </c>
      <c r="X339" s="29" t="str">
        <f>IFERROR(_xlfn.XLOOKUP($A339,Input_Raw!$A:$A,Input_Raw!$DP:$DP),"")</f>
        <v/>
      </c>
      <c r="Y339" s="29" t="str">
        <f>IFERROR(_xlfn.XLOOKUP($A339,Input_Raw!$A:$A,Input_Raw!EW:EW),"")</f>
        <v/>
      </c>
      <c r="Z339" s="29" t="str">
        <f>IFERROR(_xlfn.XLOOKUP($A339,Input_Raw!$A:$A,Input_Raw!EX:EX),"")</f>
        <v/>
      </c>
      <c r="AA339" s="29" t="str">
        <f>IFERROR(_xlfn.XLOOKUP($A339,Input_Raw!$A:$A,Input_Raw!FA:FA),"")</f>
        <v/>
      </c>
      <c r="AB339" s="9" t="str">
        <f>IFERROR(_xlfn.XLOOKUP($A339,Input_Raw!$A:$A,Input_Raw!FD:FD),"")</f>
        <v/>
      </c>
      <c r="AC339" s="185">
        <f>IFERROR(_xlfn.XLOOKUP($D339,'Modelling New'!$D:$D,'Modelling New'!P:P),"")</f>
        <v>6.9225806451612906</v>
      </c>
      <c r="AD339" s="29">
        <f>IFERROR(_xlfn.XLOOKUP($D339,'Modelling New'!$D:$D,'Modelling New'!T:T)*1000,"")</f>
        <v>725267.69661039393</v>
      </c>
      <c r="AE339" s="233">
        <f>IFERROR(_xlfn.XLOOKUP($D339,'Modelling New'!$D:$D,'Modelling New'!O:O),"")</f>
        <v>0.80591076761496216</v>
      </c>
      <c r="AF339" s="233">
        <f>IFERROR(_xlfn.XLOOKUP($D339,'Modelling New'!$D:$D,'Modelling New'!W:W),"")</f>
        <v>0.23245759506743396</v>
      </c>
      <c r="AG339" s="233">
        <f>IFERROR(_xlfn.XLOOKUP($D339,'Modelling New'!$D:$D,'Modelling New'!AE:AE),"")</f>
        <v>0.995</v>
      </c>
      <c r="AH339" s="234">
        <f>IFERROR(_xlfn.XLOOKUP($D339,'Modelling New'!$D:$D,'Modelling New'!AF:AF),"")</f>
        <v>0.995</v>
      </c>
      <c r="AI339" s="9"/>
      <c r="AJ339" s="9"/>
      <c r="AK339" s="258"/>
      <c r="AL339" s="258"/>
      <c r="AM339" s="258"/>
      <c r="AN339" s="235"/>
      <c r="AO339" s="233"/>
      <c r="AP339" s="233"/>
      <c r="AQ339" s="233"/>
      <c r="AR339" s="236">
        <f>_xlfn.XLOOKUP(D339,'Modelling New'!$D:$D,'Modelling New'!$N:$N)</f>
        <v>130</v>
      </c>
      <c r="AS339" s="236" t="str">
        <f t="shared" si="28"/>
        <v/>
      </c>
    </row>
    <row r="340" spans="1:45">
      <c r="A340" s="18">
        <f t="shared" si="29"/>
        <v>46083</v>
      </c>
      <c r="B340" s="29">
        <f>YEAR(Table13[[#This Row],[Date]])+IF(MONTH(Table13[[#This Row],[Date]])&gt;=4,1,0)</f>
        <v>2026</v>
      </c>
      <c r="C340" s="9">
        <f>YEAR(Table13[[#This Row],[Date]])</f>
        <v>2026</v>
      </c>
      <c r="D340" s="229">
        <f>Table13[[#This Row],[Date]]-DAY(Table13[[#This Row],[Date]])+1</f>
        <v>46082</v>
      </c>
      <c r="E340" s="9">
        <f t="shared" si="25"/>
        <v>31</v>
      </c>
      <c r="F340" s="199" t="str">
        <f>IFERROR(_xlfn.XLOOKUP($A340,Input_Raw!$A:$A,Input_Raw!$FC:$FC),"")</f>
        <v/>
      </c>
      <c r="G340" s="200" t="str">
        <f>IFERROR(_xlfn.XLOOKUP($A340,Input_Raw!$A:$A,Input_Raw!$CY:$CY),"")</f>
        <v/>
      </c>
      <c r="H340" s="200" t="str">
        <f>IFERROR(_xlfn.XLOOKUP($A340,Input_Raw!$A:$A,Input_Raw!$DA:$DA),"")</f>
        <v/>
      </c>
      <c r="I340" s="200" t="str">
        <f>IFERROR(_xlfn.XLOOKUP($A340,Input_Raw!$A:$A,Input_Raw!$CX:$CX),"")</f>
        <v/>
      </c>
      <c r="J340" s="200" t="str">
        <f>IFERROR(_xlfn.XLOOKUP($A340,Input_Raw!$A:$A,Input_Raw!$CZ:$CZ),"")</f>
        <v/>
      </c>
      <c r="K340" s="201" t="str">
        <f>IFERROR(_xlfn.XLOOKUP($A340,Input_Raw!$A:$A,Input_Raw!$DB:$DB),"")</f>
        <v/>
      </c>
      <c r="L340" s="201" t="str">
        <f>IFERROR(_xlfn.XLOOKUP($A340,Input_Raw!$A:$A,Input_Raw!$DC:$DC),"")</f>
        <v/>
      </c>
      <c r="M340" s="200" t="str">
        <f>IFERROR(_xlfn.XLOOKUP($A340,Input_Raw!$A:$A,Input_Raw!$DF:$DF),"")</f>
        <v/>
      </c>
      <c r="N340" s="200" t="str">
        <f>IFERROR(_xlfn.XLOOKUP($A340,Input_Raw!$A:$A,Input_Raw!$DG:$DG),"")</f>
        <v/>
      </c>
      <c r="O340" s="230" t="str">
        <f>IFERROR(1-(SUMIF(Plant_BD!$B:$B,$A340,Plant_BD!$AL:$AL)/($AA340+SUMIF(Plant_BD!$B:$B,$A340,Plant_BD!$AL:$AL))),"")</f>
        <v/>
      </c>
      <c r="P340" s="230"/>
      <c r="Q340" s="231" t="str">
        <f>IFERROR(1-(SUMIF(Grid_BD!$B:$B,$A340,Grid_BD!$V:$V)/($AA340+SUMIF(Grid_BD!$B:$B,$A340,Grid_BD!$V:$V))),"")</f>
        <v/>
      </c>
      <c r="R340" s="230" t="str">
        <f>IFERROR(1-(SUMIF(Grid_BD!$B:$B,$A340,Grid_BD!$V:$V)/($AA340+SUMIF(Grid_BD!$B:$B,$A340,Grid_BD!$V:$V))),"")</f>
        <v/>
      </c>
      <c r="S340" s="9"/>
      <c r="T340" s="231"/>
      <c r="U340" s="232" t="str">
        <f t="shared" si="26"/>
        <v/>
      </c>
      <c r="V340" s="232" t="str">
        <f>IFERROR(_xlfn.XLOOKUP($A340,Input_Raw!$A:$A,Input_Raw!$FG:$FG),"")</f>
        <v/>
      </c>
      <c r="W340" s="233" t="str">
        <f t="shared" si="27"/>
        <v/>
      </c>
      <c r="X340" s="29" t="str">
        <f>IFERROR(_xlfn.XLOOKUP($A340,Input_Raw!$A:$A,Input_Raw!$DP:$DP),"")</f>
        <v/>
      </c>
      <c r="Y340" s="29" t="str">
        <f>IFERROR(_xlfn.XLOOKUP($A340,Input_Raw!$A:$A,Input_Raw!EW:EW),"")</f>
        <v/>
      </c>
      <c r="Z340" s="29" t="str">
        <f>IFERROR(_xlfn.XLOOKUP($A340,Input_Raw!$A:$A,Input_Raw!EX:EX),"")</f>
        <v/>
      </c>
      <c r="AA340" s="29" t="str">
        <f>IFERROR(_xlfn.XLOOKUP($A340,Input_Raw!$A:$A,Input_Raw!FA:FA),"")</f>
        <v/>
      </c>
      <c r="AB340" s="9" t="str">
        <f>IFERROR(_xlfn.XLOOKUP($A340,Input_Raw!$A:$A,Input_Raw!FD:FD),"")</f>
        <v/>
      </c>
      <c r="AC340" s="185">
        <f>IFERROR(_xlfn.XLOOKUP($D340,'Modelling New'!$D:$D,'Modelling New'!P:P),"")</f>
        <v>6.9225806451612906</v>
      </c>
      <c r="AD340" s="29">
        <f>IFERROR(_xlfn.XLOOKUP($D340,'Modelling New'!$D:$D,'Modelling New'!T:T)*1000,"")</f>
        <v>725267.69661039393</v>
      </c>
      <c r="AE340" s="233">
        <f>IFERROR(_xlfn.XLOOKUP($D340,'Modelling New'!$D:$D,'Modelling New'!O:O),"")</f>
        <v>0.80591076761496216</v>
      </c>
      <c r="AF340" s="233">
        <f>IFERROR(_xlfn.XLOOKUP($D340,'Modelling New'!$D:$D,'Modelling New'!W:W),"")</f>
        <v>0.23245759506743396</v>
      </c>
      <c r="AG340" s="233">
        <f>IFERROR(_xlfn.XLOOKUP($D340,'Modelling New'!$D:$D,'Modelling New'!AE:AE),"")</f>
        <v>0.995</v>
      </c>
      <c r="AH340" s="234">
        <f>IFERROR(_xlfn.XLOOKUP($D340,'Modelling New'!$D:$D,'Modelling New'!AF:AF),"")</f>
        <v>0.995</v>
      </c>
      <c r="AI340" s="9"/>
      <c r="AJ340" s="9"/>
      <c r="AK340" s="258"/>
      <c r="AL340" s="258"/>
      <c r="AM340" s="258"/>
      <c r="AN340" s="235"/>
      <c r="AO340" s="233"/>
      <c r="AP340" s="233"/>
      <c r="AQ340" s="233"/>
      <c r="AR340" s="236">
        <f>_xlfn.XLOOKUP(D340,'Modelling New'!$D:$D,'Modelling New'!$N:$N)</f>
        <v>130</v>
      </c>
      <c r="AS340" s="236" t="str">
        <f t="shared" si="28"/>
        <v/>
      </c>
    </row>
    <row r="341" spans="1:45">
      <c r="A341" s="18">
        <f t="shared" si="29"/>
        <v>46084</v>
      </c>
      <c r="B341" s="29">
        <f>YEAR(Table13[[#This Row],[Date]])+IF(MONTH(Table13[[#This Row],[Date]])&gt;=4,1,0)</f>
        <v>2026</v>
      </c>
      <c r="C341" s="9">
        <f>YEAR(Table13[[#This Row],[Date]])</f>
        <v>2026</v>
      </c>
      <c r="D341" s="229">
        <f>Table13[[#This Row],[Date]]-DAY(Table13[[#This Row],[Date]])+1</f>
        <v>46082</v>
      </c>
      <c r="E341" s="9">
        <f t="shared" si="25"/>
        <v>31</v>
      </c>
      <c r="F341" s="199" t="str">
        <f>IFERROR(_xlfn.XLOOKUP($A341,Input_Raw!$A:$A,Input_Raw!$FC:$FC),"")</f>
        <v/>
      </c>
      <c r="G341" s="185" t="str">
        <f>IFERROR(_xlfn.XLOOKUP($A341,Input_Raw!$A:$A,Input_Raw!$CY:$CY),"")</f>
        <v/>
      </c>
      <c r="H341" s="185" t="str">
        <f>IFERROR(_xlfn.XLOOKUP($A341,Input_Raw!$A:$A,Input_Raw!$DA:$DA),"")</f>
        <v/>
      </c>
      <c r="I341" s="185" t="str">
        <f>IFERROR(_xlfn.XLOOKUP($A341,Input_Raw!$A:$A,Input_Raw!$CX:$CX),"")</f>
        <v/>
      </c>
      <c r="J341" s="185" t="str">
        <f>IFERROR(_xlfn.XLOOKUP($A341,Input_Raw!$A:$A,Input_Raw!$CZ:$CZ),"")</f>
        <v/>
      </c>
      <c r="K341" s="201" t="str">
        <f>IFERROR(_xlfn.XLOOKUP($A341,Input_Raw!$A:$A,Input_Raw!$DB:$DB),"")</f>
        <v/>
      </c>
      <c r="L341" s="201" t="str">
        <f>IFERROR(_xlfn.XLOOKUP($A341,Input_Raw!$A:$A,Input_Raw!$DC:$DC),"")</f>
        <v/>
      </c>
      <c r="M341" s="200" t="str">
        <f>IFERROR(_xlfn.XLOOKUP($A341,Input_Raw!$A:$A,Input_Raw!$DF:$DF),"")</f>
        <v/>
      </c>
      <c r="N341" s="200" t="str">
        <f>IFERROR(_xlfn.XLOOKUP($A341,Input_Raw!$A:$A,Input_Raw!$DG:$DG),"")</f>
        <v/>
      </c>
      <c r="O341" s="230" t="str">
        <f>IFERROR(1-(SUMIF(Plant_BD!$B:$B,$A341,Plant_BD!$AL:$AL)/($AA341+SUMIF(Plant_BD!$B:$B,$A341,Plant_BD!$AL:$AL))),"")</f>
        <v/>
      </c>
      <c r="P341" s="230"/>
      <c r="Q341" s="231" t="str">
        <f>IFERROR(1-(SUMIF(Grid_BD!$B:$B,$A341,Grid_BD!$V:$V)/($AA341+SUMIF(Grid_BD!$B:$B,$A341,Grid_BD!$V:$V))),"")</f>
        <v/>
      </c>
      <c r="R341" s="230" t="str">
        <f>IFERROR(1-(SUMIF(Grid_BD!$B:$B,$A341,Grid_BD!$V:$V)/($AA341+SUMIF(Grid_BD!$B:$B,$A341,Grid_BD!$V:$V))),"")</f>
        <v/>
      </c>
      <c r="S341" s="9"/>
      <c r="T341" s="231"/>
      <c r="U341" s="232" t="str">
        <f t="shared" si="26"/>
        <v/>
      </c>
      <c r="V341" s="232" t="str">
        <f>IFERROR(_xlfn.XLOOKUP($A341,Input_Raw!$A:$A,Input_Raw!$FG:$FG),"")</f>
        <v/>
      </c>
      <c r="W341" s="233" t="str">
        <f t="shared" si="27"/>
        <v/>
      </c>
      <c r="X341" s="29" t="str">
        <f>IFERROR(_xlfn.XLOOKUP($A341,Input_Raw!$A:$A,Input_Raw!$DP:$DP),"")</f>
        <v/>
      </c>
      <c r="Y341" s="29" t="str">
        <f>IFERROR(_xlfn.XLOOKUP($A341,Input_Raw!$A:$A,Input_Raw!EW:EW),"")</f>
        <v/>
      </c>
      <c r="Z341" s="29" t="str">
        <f>IFERROR(_xlfn.XLOOKUP($A341,Input_Raw!$A:$A,Input_Raw!EX:EX),"")</f>
        <v/>
      </c>
      <c r="AA341" s="29" t="str">
        <f>IFERROR(_xlfn.XLOOKUP($A341,Input_Raw!$A:$A,Input_Raw!FA:FA),"")</f>
        <v/>
      </c>
      <c r="AB341" s="9" t="str">
        <f>IFERROR(_xlfn.XLOOKUP($A341,Input_Raw!$A:$A,Input_Raw!FD:FD),"")</f>
        <v/>
      </c>
      <c r="AC341" s="185">
        <f>IFERROR(_xlfn.XLOOKUP($D341,'Modelling New'!$D:$D,'Modelling New'!P:P),"")</f>
        <v>6.9225806451612906</v>
      </c>
      <c r="AD341" s="29">
        <f>IFERROR(_xlfn.XLOOKUP($D341,'Modelling New'!$D:$D,'Modelling New'!T:T)*1000,"")</f>
        <v>725267.69661039393</v>
      </c>
      <c r="AE341" s="233">
        <f>IFERROR(_xlfn.XLOOKUP($D341,'Modelling New'!$D:$D,'Modelling New'!O:O),"")</f>
        <v>0.80591076761496216</v>
      </c>
      <c r="AF341" s="233">
        <f>IFERROR(_xlfn.XLOOKUP($D341,'Modelling New'!$D:$D,'Modelling New'!W:W),"")</f>
        <v>0.23245759506743396</v>
      </c>
      <c r="AG341" s="233">
        <f>IFERROR(_xlfn.XLOOKUP($D341,'Modelling New'!$D:$D,'Modelling New'!AE:AE),"")</f>
        <v>0.995</v>
      </c>
      <c r="AH341" s="234">
        <f>IFERROR(_xlfn.XLOOKUP($D341,'Modelling New'!$D:$D,'Modelling New'!AF:AF),"")</f>
        <v>0.995</v>
      </c>
      <c r="AI341" s="9"/>
      <c r="AJ341" s="9"/>
      <c r="AK341" s="258"/>
      <c r="AL341" s="258"/>
      <c r="AM341" s="258"/>
      <c r="AN341" s="235"/>
      <c r="AO341" s="233"/>
      <c r="AP341" s="233"/>
      <c r="AQ341" s="233"/>
      <c r="AR341" s="236">
        <f>_xlfn.XLOOKUP(D341,'Modelling New'!$D:$D,'Modelling New'!$N:$N)</f>
        <v>130</v>
      </c>
      <c r="AS341" s="236" t="str">
        <f t="shared" si="28"/>
        <v/>
      </c>
    </row>
    <row r="342" spans="1:45">
      <c r="A342" s="18">
        <f t="shared" si="29"/>
        <v>46085</v>
      </c>
      <c r="B342" s="29">
        <f>YEAR(Table13[[#This Row],[Date]])+IF(MONTH(Table13[[#This Row],[Date]])&gt;=4,1,0)</f>
        <v>2026</v>
      </c>
      <c r="C342" s="9">
        <f>YEAR(Table13[[#This Row],[Date]])</f>
        <v>2026</v>
      </c>
      <c r="D342" s="229">
        <f>Table13[[#This Row],[Date]]-DAY(Table13[[#This Row],[Date]])+1</f>
        <v>46082</v>
      </c>
      <c r="E342" s="9">
        <f t="shared" si="25"/>
        <v>31</v>
      </c>
      <c r="F342" s="199" t="str">
        <f>IFERROR(_xlfn.XLOOKUP($A342,Input_Raw!$A:$A,Input_Raw!$FC:$FC),"")</f>
        <v/>
      </c>
      <c r="G342" s="200" t="str">
        <f>IFERROR(_xlfn.XLOOKUP($A342,Input_Raw!$A:$A,Input_Raw!$CY:$CY),"")</f>
        <v/>
      </c>
      <c r="H342" s="200" t="str">
        <f>IFERROR(_xlfn.XLOOKUP($A342,Input_Raw!$A:$A,Input_Raw!$DA:$DA),"")</f>
        <v/>
      </c>
      <c r="I342" s="200" t="str">
        <f>IFERROR(_xlfn.XLOOKUP($A342,Input_Raw!$A:$A,Input_Raw!$CX:$CX),"")</f>
        <v/>
      </c>
      <c r="J342" s="200" t="str">
        <f>IFERROR(_xlfn.XLOOKUP($A342,Input_Raw!$A:$A,Input_Raw!$CZ:$CZ),"")</f>
        <v/>
      </c>
      <c r="K342" s="201" t="str">
        <f>IFERROR(_xlfn.XLOOKUP($A342,Input_Raw!$A:$A,Input_Raw!$DB:$DB),"")</f>
        <v/>
      </c>
      <c r="L342" s="201" t="str">
        <f>IFERROR(_xlfn.XLOOKUP($A342,Input_Raw!$A:$A,Input_Raw!$DC:$DC),"")</f>
        <v/>
      </c>
      <c r="M342" s="200" t="str">
        <f>IFERROR(_xlfn.XLOOKUP($A342,Input_Raw!$A:$A,Input_Raw!$DF:$DF),"")</f>
        <v/>
      </c>
      <c r="N342" s="200" t="str">
        <f>IFERROR(_xlfn.XLOOKUP($A342,Input_Raw!$A:$A,Input_Raw!$DG:$DG),"")</f>
        <v/>
      </c>
      <c r="O342" s="230" t="str">
        <f>IFERROR(1-(SUMIF(Plant_BD!$B:$B,$A342,Plant_BD!$AL:$AL)/($AA342+SUMIF(Plant_BD!$B:$B,$A342,Plant_BD!$AL:$AL))),"")</f>
        <v/>
      </c>
      <c r="P342" s="230"/>
      <c r="Q342" s="231" t="str">
        <f>IFERROR(1-(SUMIF(Grid_BD!$B:$B,$A342,Grid_BD!$V:$V)/($AA342+SUMIF(Grid_BD!$B:$B,$A342,Grid_BD!$V:$V))),"")</f>
        <v/>
      </c>
      <c r="R342" s="230" t="str">
        <f>IFERROR(1-(SUMIF(Grid_BD!$B:$B,$A342,Grid_BD!$V:$V)/($AA342+SUMIF(Grid_BD!$B:$B,$A342,Grid_BD!$V:$V))),"")</f>
        <v/>
      </c>
      <c r="S342" s="9"/>
      <c r="T342" s="231"/>
      <c r="U342" s="232" t="str">
        <f t="shared" si="26"/>
        <v/>
      </c>
      <c r="V342" s="232" t="str">
        <f>IFERROR(_xlfn.XLOOKUP($A342,Input_Raw!$A:$A,Input_Raw!$FG:$FG),"")</f>
        <v/>
      </c>
      <c r="W342" s="233" t="str">
        <f t="shared" si="27"/>
        <v/>
      </c>
      <c r="X342" s="29" t="str">
        <f>IFERROR(_xlfn.XLOOKUP($A342,Input_Raw!$A:$A,Input_Raw!$DP:$DP),"")</f>
        <v/>
      </c>
      <c r="Y342" s="29" t="str">
        <f>IFERROR(_xlfn.XLOOKUP($A342,Input_Raw!$A:$A,Input_Raw!EW:EW),"")</f>
        <v/>
      </c>
      <c r="Z342" s="29" t="str">
        <f>IFERROR(_xlfn.XLOOKUP($A342,Input_Raw!$A:$A,Input_Raw!EX:EX),"")</f>
        <v/>
      </c>
      <c r="AA342" s="29" t="str">
        <f>IFERROR(_xlfn.XLOOKUP($A342,Input_Raw!$A:$A,Input_Raw!FA:FA),"")</f>
        <v/>
      </c>
      <c r="AB342" s="9" t="str">
        <f>IFERROR(_xlfn.XLOOKUP($A342,Input_Raw!$A:$A,Input_Raw!FD:FD),"")</f>
        <v/>
      </c>
      <c r="AC342" s="185">
        <f>IFERROR(_xlfn.XLOOKUP($D342,'Modelling New'!$D:$D,'Modelling New'!P:P),"")</f>
        <v>6.9225806451612906</v>
      </c>
      <c r="AD342" s="29">
        <f>IFERROR(_xlfn.XLOOKUP($D342,'Modelling New'!$D:$D,'Modelling New'!T:T)*1000,"")</f>
        <v>725267.69661039393</v>
      </c>
      <c r="AE342" s="233">
        <f>IFERROR(_xlfn.XLOOKUP($D342,'Modelling New'!$D:$D,'Modelling New'!O:O),"")</f>
        <v>0.80591076761496216</v>
      </c>
      <c r="AF342" s="233">
        <f>IFERROR(_xlfn.XLOOKUP($D342,'Modelling New'!$D:$D,'Modelling New'!W:W),"")</f>
        <v>0.23245759506743396</v>
      </c>
      <c r="AG342" s="233">
        <f>IFERROR(_xlfn.XLOOKUP($D342,'Modelling New'!$D:$D,'Modelling New'!AE:AE),"")</f>
        <v>0.995</v>
      </c>
      <c r="AH342" s="234">
        <f>IFERROR(_xlfn.XLOOKUP($D342,'Modelling New'!$D:$D,'Modelling New'!AF:AF),"")</f>
        <v>0.995</v>
      </c>
      <c r="AI342" s="9"/>
      <c r="AJ342" s="9"/>
      <c r="AK342" s="258"/>
      <c r="AL342" s="258"/>
      <c r="AM342" s="258"/>
      <c r="AN342" s="235"/>
      <c r="AO342" s="233"/>
      <c r="AP342" s="233"/>
      <c r="AQ342" s="233"/>
      <c r="AR342" s="236">
        <f>_xlfn.XLOOKUP(D342,'Modelling New'!$D:$D,'Modelling New'!$N:$N)</f>
        <v>130</v>
      </c>
      <c r="AS342" s="236" t="str">
        <f t="shared" si="28"/>
        <v/>
      </c>
    </row>
    <row r="343" spans="1:45">
      <c r="A343" s="18">
        <f t="shared" si="29"/>
        <v>46086</v>
      </c>
      <c r="B343" s="29">
        <f>YEAR(Table13[[#This Row],[Date]])+IF(MONTH(Table13[[#This Row],[Date]])&gt;=4,1,0)</f>
        <v>2026</v>
      </c>
      <c r="C343" s="9">
        <f>YEAR(Table13[[#This Row],[Date]])</f>
        <v>2026</v>
      </c>
      <c r="D343" s="229">
        <f>Table13[[#This Row],[Date]]-DAY(Table13[[#This Row],[Date]])+1</f>
        <v>46082</v>
      </c>
      <c r="E343" s="9">
        <f t="shared" si="25"/>
        <v>31</v>
      </c>
      <c r="F343" s="199" t="str">
        <f>IFERROR(_xlfn.XLOOKUP($A343,Input_Raw!$A:$A,Input_Raw!$FC:$FC),"")</f>
        <v/>
      </c>
      <c r="G343" s="185" t="str">
        <f>IFERROR(_xlfn.XLOOKUP($A343,Input_Raw!$A:$A,Input_Raw!$CY:$CY),"")</f>
        <v/>
      </c>
      <c r="H343" s="185" t="str">
        <f>IFERROR(_xlfn.XLOOKUP($A343,Input_Raw!$A:$A,Input_Raw!$DA:$DA),"")</f>
        <v/>
      </c>
      <c r="I343" s="185" t="str">
        <f>IFERROR(_xlfn.XLOOKUP($A343,Input_Raw!$A:$A,Input_Raw!$CX:$CX),"")</f>
        <v/>
      </c>
      <c r="J343" s="185" t="str">
        <f>IFERROR(_xlfn.XLOOKUP($A343,Input_Raw!$A:$A,Input_Raw!$CZ:$CZ),"")</f>
        <v/>
      </c>
      <c r="K343" s="201" t="str">
        <f>IFERROR(_xlfn.XLOOKUP($A343,Input_Raw!$A:$A,Input_Raw!$DB:$DB),"")</f>
        <v/>
      </c>
      <c r="L343" s="201" t="str">
        <f>IFERROR(_xlfn.XLOOKUP($A343,Input_Raw!$A:$A,Input_Raw!$DC:$DC),"")</f>
        <v/>
      </c>
      <c r="M343" s="200" t="str">
        <f>IFERROR(_xlfn.XLOOKUP($A343,Input_Raw!$A:$A,Input_Raw!$DF:$DF),"")</f>
        <v/>
      </c>
      <c r="N343" s="200" t="str">
        <f>IFERROR(_xlfn.XLOOKUP($A343,Input_Raw!$A:$A,Input_Raw!$DG:$DG),"")</f>
        <v/>
      </c>
      <c r="O343" s="230" t="str">
        <f>IFERROR(1-(SUMIF(Plant_BD!$B:$B,$A343,Plant_BD!$AL:$AL)/($AA343+SUMIF(Plant_BD!$B:$B,$A343,Plant_BD!$AL:$AL))),"")</f>
        <v/>
      </c>
      <c r="P343" s="230"/>
      <c r="Q343" s="231" t="str">
        <f>IFERROR(1-(SUMIF(Grid_BD!$B:$B,$A343,Grid_BD!$V:$V)/($AA343+SUMIF(Grid_BD!$B:$B,$A343,Grid_BD!$V:$V))),"")</f>
        <v/>
      </c>
      <c r="R343" s="230" t="str">
        <f>IFERROR(1-(SUMIF(Grid_BD!$B:$B,$A343,Grid_BD!$V:$V)/($AA343+SUMIF(Grid_BD!$B:$B,$A343,Grid_BD!$V:$V))),"")</f>
        <v/>
      </c>
      <c r="S343" s="9"/>
      <c r="T343" s="231"/>
      <c r="U343" s="232" t="str">
        <f t="shared" si="26"/>
        <v/>
      </c>
      <c r="V343" s="232" t="str">
        <f>IFERROR(_xlfn.XLOOKUP($A343,Input_Raw!$A:$A,Input_Raw!$FG:$FG),"")</f>
        <v/>
      </c>
      <c r="W343" s="233" t="str">
        <f t="shared" si="27"/>
        <v/>
      </c>
      <c r="X343" s="29" t="str">
        <f>IFERROR(_xlfn.XLOOKUP($A343,Input_Raw!$A:$A,Input_Raw!$DP:$DP),"")</f>
        <v/>
      </c>
      <c r="Y343" s="29" t="str">
        <f>IFERROR(_xlfn.XLOOKUP($A343,Input_Raw!$A:$A,Input_Raw!EW:EW),"")</f>
        <v/>
      </c>
      <c r="Z343" s="29" t="str">
        <f>IFERROR(_xlfn.XLOOKUP($A343,Input_Raw!$A:$A,Input_Raw!EX:EX),"")</f>
        <v/>
      </c>
      <c r="AA343" s="29" t="str">
        <f>IFERROR(_xlfn.XLOOKUP($A343,Input_Raw!$A:$A,Input_Raw!FA:FA),"")</f>
        <v/>
      </c>
      <c r="AB343" s="9" t="str">
        <f>IFERROR(_xlfn.XLOOKUP($A343,Input_Raw!$A:$A,Input_Raw!FD:FD),"")</f>
        <v/>
      </c>
      <c r="AC343" s="185">
        <f>IFERROR(_xlfn.XLOOKUP($D343,'Modelling New'!$D:$D,'Modelling New'!P:P),"")</f>
        <v>6.9225806451612906</v>
      </c>
      <c r="AD343" s="29">
        <f>IFERROR(_xlfn.XLOOKUP($D343,'Modelling New'!$D:$D,'Modelling New'!T:T)*1000,"")</f>
        <v>725267.69661039393</v>
      </c>
      <c r="AE343" s="233">
        <f>IFERROR(_xlfn.XLOOKUP($D343,'Modelling New'!$D:$D,'Modelling New'!O:O),"")</f>
        <v>0.80591076761496216</v>
      </c>
      <c r="AF343" s="233">
        <f>IFERROR(_xlfn.XLOOKUP($D343,'Modelling New'!$D:$D,'Modelling New'!W:W),"")</f>
        <v>0.23245759506743396</v>
      </c>
      <c r="AG343" s="233">
        <f>IFERROR(_xlfn.XLOOKUP($D343,'Modelling New'!$D:$D,'Modelling New'!AE:AE),"")</f>
        <v>0.995</v>
      </c>
      <c r="AH343" s="234">
        <f>IFERROR(_xlfn.XLOOKUP($D343,'Modelling New'!$D:$D,'Modelling New'!AF:AF),"")</f>
        <v>0.995</v>
      </c>
      <c r="AI343" s="9"/>
      <c r="AJ343" s="9"/>
      <c r="AK343" s="258"/>
      <c r="AL343" s="258"/>
      <c r="AM343" s="258"/>
      <c r="AN343" s="235"/>
      <c r="AO343" s="233"/>
      <c r="AP343" s="233"/>
      <c r="AQ343" s="233"/>
      <c r="AR343" s="236">
        <f>_xlfn.XLOOKUP(D343,'Modelling New'!$D:$D,'Modelling New'!$N:$N)</f>
        <v>130</v>
      </c>
      <c r="AS343" s="236" t="str">
        <f t="shared" si="28"/>
        <v/>
      </c>
    </row>
    <row r="344" spans="1:45">
      <c r="A344" s="18">
        <f t="shared" si="29"/>
        <v>46087</v>
      </c>
      <c r="B344" s="29">
        <f>YEAR(Table13[[#This Row],[Date]])+IF(MONTH(Table13[[#This Row],[Date]])&gt;=4,1,0)</f>
        <v>2026</v>
      </c>
      <c r="C344" s="9">
        <f>YEAR(Table13[[#This Row],[Date]])</f>
        <v>2026</v>
      </c>
      <c r="D344" s="229">
        <f>Table13[[#This Row],[Date]]-DAY(Table13[[#This Row],[Date]])+1</f>
        <v>46082</v>
      </c>
      <c r="E344" s="9">
        <f t="shared" si="25"/>
        <v>31</v>
      </c>
      <c r="F344" s="199" t="str">
        <f>IFERROR(_xlfn.XLOOKUP($A344,Input_Raw!$A:$A,Input_Raw!$FC:$FC),"")</f>
        <v/>
      </c>
      <c r="G344" s="200" t="str">
        <f>IFERROR(_xlfn.XLOOKUP($A344,Input_Raw!$A:$A,Input_Raw!$CY:$CY),"")</f>
        <v/>
      </c>
      <c r="H344" s="200" t="str">
        <f>IFERROR(_xlfn.XLOOKUP($A344,Input_Raw!$A:$A,Input_Raw!$DA:$DA),"")</f>
        <v/>
      </c>
      <c r="I344" s="200" t="str">
        <f>IFERROR(_xlfn.XLOOKUP($A344,Input_Raw!$A:$A,Input_Raw!$CX:$CX),"")</f>
        <v/>
      </c>
      <c r="J344" s="200" t="str">
        <f>IFERROR(_xlfn.XLOOKUP($A344,Input_Raw!$A:$A,Input_Raw!$CZ:$CZ),"")</f>
        <v/>
      </c>
      <c r="K344" s="201" t="str">
        <f>IFERROR(_xlfn.XLOOKUP($A344,Input_Raw!$A:$A,Input_Raw!$DB:$DB),"")</f>
        <v/>
      </c>
      <c r="L344" s="201" t="str">
        <f>IFERROR(_xlfn.XLOOKUP($A344,Input_Raw!$A:$A,Input_Raw!$DC:$DC),"")</f>
        <v/>
      </c>
      <c r="M344" s="200" t="str">
        <f>IFERROR(_xlfn.XLOOKUP($A344,Input_Raw!$A:$A,Input_Raw!$DF:$DF),"")</f>
        <v/>
      </c>
      <c r="N344" s="200" t="str">
        <f>IFERROR(_xlfn.XLOOKUP($A344,Input_Raw!$A:$A,Input_Raw!$DG:$DG),"")</f>
        <v/>
      </c>
      <c r="O344" s="230" t="str">
        <f>IFERROR(1-(SUMIF(Plant_BD!$B:$B,$A344,Plant_BD!$AL:$AL)/($AA344+SUMIF(Plant_BD!$B:$B,$A344,Plant_BD!$AL:$AL))),"")</f>
        <v/>
      </c>
      <c r="P344" s="230"/>
      <c r="Q344" s="231" t="str">
        <f>IFERROR(1-(SUMIF(Grid_BD!$B:$B,$A344,Grid_BD!$V:$V)/($AA344+SUMIF(Grid_BD!$B:$B,$A344,Grid_BD!$V:$V))),"")</f>
        <v/>
      </c>
      <c r="R344" s="230" t="str">
        <f>IFERROR(1-(SUMIF(Grid_BD!$B:$B,$A344,Grid_BD!$V:$V)/($AA344+SUMIF(Grid_BD!$B:$B,$A344,Grid_BD!$V:$V))),"")</f>
        <v/>
      </c>
      <c r="S344" s="9"/>
      <c r="T344" s="231"/>
      <c r="U344" s="232" t="str">
        <f t="shared" si="26"/>
        <v/>
      </c>
      <c r="V344" s="232" t="str">
        <f>IFERROR(_xlfn.XLOOKUP($A344,Input_Raw!$A:$A,Input_Raw!$FG:$FG),"")</f>
        <v/>
      </c>
      <c r="W344" s="233" t="str">
        <f t="shared" si="27"/>
        <v/>
      </c>
      <c r="X344" s="29" t="str">
        <f>IFERROR(_xlfn.XLOOKUP($A344,Input_Raw!$A:$A,Input_Raw!$DP:$DP),"")</f>
        <v/>
      </c>
      <c r="Y344" s="29" t="str">
        <f>IFERROR(_xlfn.XLOOKUP($A344,Input_Raw!$A:$A,Input_Raw!EW:EW),"")</f>
        <v/>
      </c>
      <c r="Z344" s="29" t="str">
        <f>IFERROR(_xlfn.XLOOKUP($A344,Input_Raw!$A:$A,Input_Raw!EX:EX),"")</f>
        <v/>
      </c>
      <c r="AA344" s="29" t="str">
        <f>IFERROR(_xlfn.XLOOKUP($A344,Input_Raw!$A:$A,Input_Raw!FA:FA),"")</f>
        <v/>
      </c>
      <c r="AB344" s="9" t="str">
        <f>IFERROR(_xlfn.XLOOKUP($A344,Input_Raw!$A:$A,Input_Raw!FD:FD),"")</f>
        <v/>
      </c>
      <c r="AC344" s="185">
        <f>IFERROR(_xlfn.XLOOKUP($D344,'Modelling New'!$D:$D,'Modelling New'!P:P),"")</f>
        <v>6.9225806451612906</v>
      </c>
      <c r="AD344" s="29">
        <f>IFERROR(_xlfn.XLOOKUP($D344,'Modelling New'!$D:$D,'Modelling New'!T:T)*1000,"")</f>
        <v>725267.69661039393</v>
      </c>
      <c r="AE344" s="233">
        <f>IFERROR(_xlfn.XLOOKUP($D344,'Modelling New'!$D:$D,'Modelling New'!O:O),"")</f>
        <v>0.80591076761496216</v>
      </c>
      <c r="AF344" s="233">
        <f>IFERROR(_xlfn.XLOOKUP($D344,'Modelling New'!$D:$D,'Modelling New'!W:W),"")</f>
        <v>0.23245759506743396</v>
      </c>
      <c r="AG344" s="233">
        <f>IFERROR(_xlfn.XLOOKUP($D344,'Modelling New'!$D:$D,'Modelling New'!AE:AE),"")</f>
        <v>0.995</v>
      </c>
      <c r="AH344" s="234">
        <f>IFERROR(_xlfn.XLOOKUP($D344,'Modelling New'!$D:$D,'Modelling New'!AF:AF),"")</f>
        <v>0.995</v>
      </c>
      <c r="AI344" s="9"/>
      <c r="AJ344" s="9"/>
      <c r="AK344" s="258"/>
      <c r="AL344" s="258"/>
      <c r="AM344" s="258"/>
      <c r="AN344" s="235"/>
      <c r="AO344" s="233"/>
      <c r="AP344" s="233"/>
      <c r="AQ344" s="233"/>
      <c r="AR344" s="236">
        <f>_xlfn.XLOOKUP(D344,'Modelling New'!$D:$D,'Modelling New'!$N:$N)</f>
        <v>130</v>
      </c>
      <c r="AS344" s="236" t="str">
        <f t="shared" si="28"/>
        <v/>
      </c>
    </row>
    <row r="345" spans="1:45">
      <c r="A345" s="18">
        <f t="shared" si="29"/>
        <v>46088</v>
      </c>
      <c r="B345" s="29">
        <f>YEAR(Table13[[#This Row],[Date]])+IF(MONTH(Table13[[#This Row],[Date]])&gt;=4,1,0)</f>
        <v>2026</v>
      </c>
      <c r="C345" s="9">
        <f>YEAR(Table13[[#This Row],[Date]])</f>
        <v>2026</v>
      </c>
      <c r="D345" s="229">
        <f>Table13[[#This Row],[Date]]-DAY(Table13[[#This Row],[Date]])+1</f>
        <v>46082</v>
      </c>
      <c r="E345" s="9">
        <f t="shared" si="25"/>
        <v>31</v>
      </c>
      <c r="F345" s="199" t="str">
        <f>IFERROR(_xlfn.XLOOKUP($A345,Input_Raw!$A:$A,Input_Raw!$FC:$FC),"")</f>
        <v/>
      </c>
      <c r="G345" s="185" t="str">
        <f>IFERROR(_xlfn.XLOOKUP($A345,Input_Raw!$A:$A,Input_Raw!$CY:$CY),"")</f>
        <v/>
      </c>
      <c r="H345" s="185" t="str">
        <f>IFERROR(_xlfn.XLOOKUP($A345,Input_Raw!$A:$A,Input_Raw!$DA:$DA),"")</f>
        <v/>
      </c>
      <c r="I345" s="185" t="str">
        <f>IFERROR(_xlfn.XLOOKUP($A345,Input_Raw!$A:$A,Input_Raw!$CX:$CX),"")</f>
        <v/>
      </c>
      <c r="J345" s="185" t="str">
        <f>IFERROR(_xlfn.XLOOKUP($A345,Input_Raw!$A:$A,Input_Raw!$CZ:$CZ),"")</f>
        <v/>
      </c>
      <c r="K345" s="201" t="str">
        <f>IFERROR(_xlfn.XLOOKUP($A345,Input_Raw!$A:$A,Input_Raw!$DB:$DB),"")</f>
        <v/>
      </c>
      <c r="L345" s="201" t="str">
        <f>IFERROR(_xlfn.XLOOKUP($A345,Input_Raw!$A:$A,Input_Raw!$DC:$DC),"")</f>
        <v/>
      </c>
      <c r="M345" s="200" t="str">
        <f>IFERROR(_xlfn.XLOOKUP($A345,Input_Raw!$A:$A,Input_Raw!$DF:$DF),"")</f>
        <v/>
      </c>
      <c r="N345" s="200" t="str">
        <f>IFERROR(_xlfn.XLOOKUP($A345,Input_Raw!$A:$A,Input_Raw!$DG:$DG),"")</f>
        <v/>
      </c>
      <c r="O345" s="230" t="str">
        <f>IFERROR(1-(SUMIF(Plant_BD!$B:$B,$A345,Plant_BD!$AL:$AL)/($AA345+SUMIF(Plant_BD!$B:$B,$A345,Plant_BD!$AL:$AL))),"")</f>
        <v/>
      </c>
      <c r="P345" s="230"/>
      <c r="Q345" s="231" t="str">
        <f>IFERROR(1-(SUMIF(Grid_BD!$B:$B,$A345,Grid_BD!$V:$V)/($AA345+SUMIF(Grid_BD!$B:$B,$A345,Grid_BD!$V:$V))),"")</f>
        <v/>
      </c>
      <c r="R345" s="230" t="str">
        <f>IFERROR(1-(SUMIF(Grid_BD!$B:$B,$A345,Grid_BD!$V:$V)/($AA345+SUMIF(Grid_BD!$B:$B,$A345,Grid_BD!$V:$V))),"")</f>
        <v/>
      </c>
      <c r="S345" s="9"/>
      <c r="T345" s="231"/>
      <c r="U345" s="232" t="str">
        <f t="shared" si="26"/>
        <v/>
      </c>
      <c r="V345" s="232" t="str">
        <f>IFERROR(_xlfn.XLOOKUP($A345,Input_Raw!$A:$A,Input_Raw!$FG:$FG),"")</f>
        <v/>
      </c>
      <c r="W345" s="233" t="str">
        <f t="shared" si="27"/>
        <v/>
      </c>
      <c r="X345" s="29" t="str">
        <f>IFERROR(_xlfn.XLOOKUP($A345,Input_Raw!$A:$A,Input_Raw!$DP:$DP),"")</f>
        <v/>
      </c>
      <c r="Y345" s="29" t="str">
        <f>IFERROR(_xlfn.XLOOKUP($A345,Input_Raw!$A:$A,Input_Raw!EW:EW),"")</f>
        <v/>
      </c>
      <c r="Z345" s="29" t="str">
        <f>IFERROR(_xlfn.XLOOKUP($A345,Input_Raw!$A:$A,Input_Raw!EX:EX),"")</f>
        <v/>
      </c>
      <c r="AA345" s="29" t="str">
        <f>IFERROR(_xlfn.XLOOKUP($A345,Input_Raw!$A:$A,Input_Raw!FA:FA),"")</f>
        <v/>
      </c>
      <c r="AB345" s="9" t="str">
        <f>IFERROR(_xlfn.XLOOKUP($A345,Input_Raw!$A:$A,Input_Raw!FD:FD),"")</f>
        <v/>
      </c>
      <c r="AC345" s="185">
        <f>IFERROR(_xlfn.XLOOKUP($D345,'Modelling New'!$D:$D,'Modelling New'!P:P),"")</f>
        <v>6.9225806451612906</v>
      </c>
      <c r="AD345" s="29">
        <f>IFERROR(_xlfn.XLOOKUP($D345,'Modelling New'!$D:$D,'Modelling New'!T:T)*1000,"")</f>
        <v>725267.69661039393</v>
      </c>
      <c r="AE345" s="233">
        <f>IFERROR(_xlfn.XLOOKUP($D345,'Modelling New'!$D:$D,'Modelling New'!O:O),"")</f>
        <v>0.80591076761496216</v>
      </c>
      <c r="AF345" s="233">
        <f>IFERROR(_xlfn.XLOOKUP($D345,'Modelling New'!$D:$D,'Modelling New'!W:W),"")</f>
        <v>0.23245759506743396</v>
      </c>
      <c r="AG345" s="233">
        <f>IFERROR(_xlfn.XLOOKUP($D345,'Modelling New'!$D:$D,'Modelling New'!AE:AE),"")</f>
        <v>0.995</v>
      </c>
      <c r="AH345" s="234">
        <f>IFERROR(_xlfn.XLOOKUP($D345,'Modelling New'!$D:$D,'Modelling New'!AF:AF),"")</f>
        <v>0.995</v>
      </c>
      <c r="AI345" s="9"/>
      <c r="AJ345" s="9"/>
      <c r="AK345" s="258"/>
      <c r="AL345" s="258"/>
      <c r="AM345" s="258"/>
      <c r="AN345" s="235"/>
      <c r="AO345" s="233"/>
      <c r="AP345" s="233"/>
      <c r="AQ345" s="233"/>
      <c r="AR345" s="236">
        <f>_xlfn.XLOOKUP(D345,'Modelling New'!$D:$D,'Modelling New'!$N:$N)</f>
        <v>130</v>
      </c>
      <c r="AS345" s="236" t="str">
        <f t="shared" si="28"/>
        <v/>
      </c>
    </row>
    <row r="346" spans="1:45">
      <c r="A346" s="18">
        <f t="shared" si="29"/>
        <v>46089</v>
      </c>
      <c r="B346" s="29">
        <f>YEAR(Table13[[#This Row],[Date]])+IF(MONTH(Table13[[#This Row],[Date]])&gt;=4,1,0)</f>
        <v>2026</v>
      </c>
      <c r="C346" s="9">
        <f>YEAR(Table13[[#This Row],[Date]])</f>
        <v>2026</v>
      </c>
      <c r="D346" s="229">
        <f>Table13[[#This Row],[Date]]-DAY(Table13[[#This Row],[Date]])+1</f>
        <v>46082</v>
      </c>
      <c r="E346" s="9">
        <f t="shared" si="25"/>
        <v>31</v>
      </c>
      <c r="F346" s="199" t="str">
        <f>IFERROR(_xlfn.XLOOKUP($A346,Input_Raw!$A:$A,Input_Raw!$FC:$FC),"")</f>
        <v/>
      </c>
      <c r="G346" s="200" t="str">
        <f>IFERROR(_xlfn.XLOOKUP($A346,Input_Raw!$A:$A,Input_Raw!$CY:$CY),"")</f>
        <v/>
      </c>
      <c r="H346" s="200" t="str">
        <f>IFERROR(_xlfn.XLOOKUP($A346,Input_Raw!$A:$A,Input_Raw!$DA:$DA),"")</f>
        <v/>
      </c>
      <c r="I346" s="200" t="str">
        <f>IFERROR(_xlfn.XLOOKUP($A346,Input_Raw!$A:$A,Input_Raw!$CX:$CX),"")</f>
        <v/>
      </c>
      <c r="J346" s="200" t="str">
        <f>IFERROR(_xlfn.XLOOKUP($A346,Input_Raw!$A:$A,Input_Raw!$CZ:$CZ),"")</f>
        <v/>
      </c>
      <c r="K346" s="201" t="str">
        <f>IFERROR(_xlfn.XLOOKUP($A346,Input_Raw!$A:$A,Input_Raw!$DB:$DB),"")</f>
        <v/>
      </c>
      <c r="L346" s="201" t="str">
        <f>IFERROR(_xlfn.XLOOKUP($A346,Input_Raw!$A:$A,Input_Raw!$DC:$DC),"")</f>
        <v/>
      </c>
      <c r="M346" s="200" t="str">
        <f>IFERROR(_xlfn.XLOOKUP($A346,Input_Raw!$A:$A,Input_Raw!$DF:$DF),"")</f>
        <v/>
      </c>
      <c r="N346" s="200" t="str">
        <f>IFERROR(_xlfn.XLOOKUP($A346,Input_Raw!$A:$A,Input_Raw!$DG:$DG),"")</f>
        <v/>
      </c>
      <c r="O346" s="230" t="str">
        <f>IFERROR(1-(SUMIF(Plant_BD!$B:$B,$A346,Plant_BD!$AL:$AL)/($AA346+SUMIF(Plant_BD!$B:$B,$A346,Plant_BD!$AL:$AL))),"")</f>
        <v/>
      </c>
      <c r="P346" s="230"/>
      <c r="Q346" s="231" t="str">
        <f>IFERROR(1-(SUMIF(Grid_BD!$B:$B,$A346,Grid_BD!$V:$V)/($AA346+SUMIF(Grid_BD!$B:$B,$A346,Grid_BD!$V:$V))),"")</f>
        <v/>
      </c>
      <c r="R346" s="230" t="str">
        <f>IFERROR(1-(SUMIF(Grid_BD!$B:$B,$A346,Grid_BD!$V:$V)/($AA346+SUMIF(Grid_BD!$B:$B,$A346,Grid_BD!$V:$V))),"")</f>
        <v/>
      </c>
      <c r="S346" s="9"/>
      <c r="T346" s="231"/>
      <c r="U346" s="232" t="str">
        <f t="shared" si="26"/>
        <v/>
      </c>
      <c r="V346" s="232" t="str">
        <f>IFERROR(_xlfn.XLOOKUP($A346,Input_Raw!$A:$A,Input_Raw!$FG:$FG),"")</f>
        <v/>
      </c>
      <c r="W346" s="233" t="str">
        <f t="shared" si="27"/>
        <v/>
      </c>
      <c r="X346" s="29" t="str">
        <f>IFERROR(_xlfn.XLOOKUP($A346,Input_Raw!$A:$A,Input_Raw!$DP:$DP),"")</f>
        <v/>
      </c>
      <c r="Y346" s="29" t="str">
        <f>IFERROR(_xlfn.XLOOKUP($A346,Input_Raw!$A:$A,Input_Raw!EW:EW),"")</f>
        <v/>
      </c>
      <c r="Z346" s="29" t="str">
        <f>IFERROR(_xlfn.XLOOKUP($A346,Input_Raw!$A:$A,Input_Raw!EX:EX),"")</f>
        <v/>
      </c>
      <c r="AA346" s="29" t="str">
        <f>IFERROR(_xlfn.XLOOKUP($A346,Input_Raw!$A:$A,Input_Raw!FA:FA),"")</f>
        <v/>
      </c>
      <c r="AB346" s="9" t="str">
        <f>IFERROR(_xlfn.XLOOKUP($A346,Input_Raw!$A:$A,Input_Raw!FD:FD),"")</f>
        <v/>
      </c>
      <c r="AC346" s="185">
        <f>IFERROR(_xlfn.XLOOKUP($D346,'Modelling New'!$D:$D,'Modelling New'!P:P),"")</f>
        <v>6.9225806451612906</v>
      </c>
      <c r="AD346" s="29">
        <f>IFERROR(_xlfn.XLOOKUP($D346,'Modelling New'!$D:$D,'Modelling New'!T:T)*1000,"")</f>
        <v>725267.69661039393</v>
      </c>
      <c r="AE346" s="233">
        <f>IFERROR(_xlfn.XLOOKUP($D346,'Modelling New'!$D:$D,'Modelling New'!O:O),"")</f>
        <v>0.80591076761496216</v>
      </c>
      <c r="AF346" s="233">
        <f>IFERROR(_xlfn.XLOOKUP($D346,'Modelling New'!$D:$D,'Modelling New'!W:W),"")</f>
        <v>0.23245759506743396</v>
      </c>
      <c r="AG346" s="233">
        <f>IFERROR(_xlfn.XLOOKUP($D346,'Modelling New'!$D:$D,'Modelling New'!AE:AE),"")</f>
        <v>0.995</v>
      </c>
      <c r="AH346" s="234">
        <f>IFERROR(_xlfn.XLOOKUP($D346,'Modelling New'!$D:$D,'Modelling New'!AF:AF),"")</f>
        <v>0.995</v>
      </c>
      <c r="AI346" s="9"/>
      <c r="AJ346" s="9"/>
      <c r="AK346" s="258"/>
      <c r="AL346" s="258"/>
      <c r="AM346" s="258"/>
      <c r="AN346" s="235"/>
      <c r="AO346" s="233"/>
      <c r="AP346" s="233"/>
      <c r="AQ346" s="233"/>
      <c r="AR346" s="236">
        <f>_xlfn.XLOOKUP(D346,'Modelling New'!$D:$D,'Modelling New'!$N:$N)</f>
        <v>130</v>
      </c>
      <c r="AS346" s="236" t="str">
        <f t="shared" si="28"/>
        <v/>
      </c>
    </row>
    <row r="347" spans="1:45">
      <c r="A347" s="18">
        <f t="shared" si="29"/>
        <v>46090</v>
      </c>
      <c r="B347" s="29">
        <f>YEAR(Table13[[#This Row],[Date]])+IF(MONTH(Table13[[#This Row],[Date]])&gt;=4,1,0)</f>
        <v>2026</v>
      </c>
      <c r="C347" s="9">
        <f>YEAR(Table13[[#This Row],[Date]])</f>
        <v>2026</v>
      </c>
      <c r="D347" s="229">
        <f>Table13[[#This Row],[Date]]-DAY(Table13[[#This Row],[Date]])+1</f>
        <v>46082</v>
      </c>
      <c r="E347" s="9">
        <f t="shared" si="25"/>
        <v>31</v>
      </c>
      <c r="F347" s="199" t="str">
        <f>IFERROR(_xlfn.XLOOKUP($A347,Input_Raw!$A:$A,Input_Raw!$FC:$FC),"")</f>
        <v/>
      </c>
      <c r="G347" s="185" t="str">
        <f>IFERROR(_xlfn.XLOOKUP($A347,Input_Raw!$A:$A,Input_Raw!$CY:$CY),"")</f>
        <v/>
      </c>
      <c r="H347" s="185" t="str">
        <f>IFERROR(_xlfn.XLOOKUP($A347,Input_Raw!$A:$A,Input_Raw!$DA:$DA),"")</f>
        <v/>
      </c>
      <c r="I347" s="185" t="str">
        <f>IFERROR(_xlfn.XLOOKUP($A347,Input_Raw!$A:$A,Input_Raw!$CX:$CX),"")</f>
        <v/>
      </c>
      <c r="J347" s="185" t="str">
        <f>IFERROR(_xlfn.XLOOKUP($A347,Input_Raw!$A:$A,Input_Raw!$CZ:$CZ),"")</f>
        <v/>
      </c>
      <c r="K347" s="201" t="str">
        <f>IFERROR(_xlfn.XLOOKUP($A347,Input_Raw!$A:$A,Input_Raw!$DB:$DB),"")</f>
        <v/>
      </c>
      <c r="L347" s="201" t="str">
        <f>IFERROR(_xlfn.XLOOKUP($A347,Input_Raw!$A:$A,Input_Raw!$DC:$DC),"")</f>
        <v/>
      </c>
      <c r="M347" s="200" t="str">
        <f>IFERROR(_xlfn.XLOOKUP($A347,Input_Raw!$A:$A,Input_Raw!$DF:$DF),"")</f>
        <v/>
      </c>
      <c r="N347" s="200" t="str">
        <f>IFERROR(_xlfn.XLOOKUP($A347,Input_Raw!$A:$A,Input_Raw!$DG:$DG),"")</f>
        <v/>
      </c>
      <c r="O347" s="230" t="str">
        <f>IFERROR(1-(SUMIF(Plant_BD!$B:$B,$A347,Plant_BD!$AL:$AL)/($AA347+SUMIF(Plant_BD!$B:$B,$A347,Plant_BD!$AL:$AL))),"")</f>
        <v/>
      </c>
      <c r="P347" s="230"/>
      <c r="Q347" s="231" t="str">
        <f>IFERROR(1-(SUMIF(Grid_BD!$B:$B,$A347,Grid_BD!$V:$V)/($AA347+SUMIF(Grid_BD!$B:$B,$A347,Grid_BD!$V:$V))),"")</f>
        <v/>
      </c>
      <c r="R347" s="230" t="str">
        <f>IFERROR(1-(SUMIF(Grid_BD!$B:$B,$A347,Grid_BD!$V:$V)/($AA347+SUMIF(Grid_BD!$B:$B,$A347,Grid_BD!$V:$V))),"")</f>
        <v/>
      </c>
      <c r="S347" s="9"/>
      <c r="T347" s="231"/>
      <c r="U347" s="232" t="str">
        <f t="shared" si="26"/>
        <v/>
      </c>
      <c r="V347" s="232" t="str">
        <f>IFERROR(_xlfn.XLOOKUP($A347,Input_Raw!$A:$A,Input_Raw!$FG:$FG),"")</f>
        <v/>
      </c>
      <c r="W347" s="233" t="str">
        <f t="shared" si="27"/>
        <v/>
      </c>
      <c r="X347" s="29" t="str">
        <f>IFERROR(_xlfn.XLOOKUP($A347,Input_Raw!$A:$A,Input_Raw!$DP:$DP),"")</f>
        <v/>
      </c>
      <c r="Y347" s="29" t="str">
        <f>IFERROR(_xlfn.XLOOKUP($A347,Input_Raw!$A:$A,Input_Raw!EW:EW),"")</f>
        <v/>
      </c>
      <c r="Z347" s="29" t="str">
        <f>IFERROR(_xlfn.XLOOKUP($A347,Input_Raw!$A:$A,Input_Raw!EX:EX),"")</f>
        <v/>
      </c>
      <c r="AA347" s="29" t="str">
        <f>IFERROR(_xlfn.XLOOKUP($A347,Input_Raw!$A:$A,Input_Raw!FA:FA),"")</f>
        <v/>
      </c>
      <c r="AB347" s="9" t="str">
        <f>IFERROR(_xlfn.XLOOKUP($A347,Input_Raw!$A:$A,Input_Raw!FD:FD),"")</f>
        <v/>
      </c>
      <c r="AC347" s="185">
        <f>IFERROR(_xlfn.XLOOKUP($D347,'Modelling New'!$D:$D,'Modelling New'!P:P),"")</f>
        <v>6.9225806451612906</v>
      </c>
      <c r="AD347" s="29">
        <f>IFERROR(_xlfn.XLOOKUP($D347,'Modelling New'!$D:$D,'Modelling New'!T:T)*1000,"")</f>
        <v>725267.69661039393</v>
      </c>
      <c r="AE347" s="233">
        <f>IFERROR(_xlfn.XLOOKUP($D347,'Modelling New'!$D:$D,'Modelling New'!O:O),"")</f>
        <v>0.80591076761496216</v>
      </c>
      <c r="AF347" s="233">
        <f>IFERROR(_xlfn.XLOOKUP($D347,'Modelling New'!$D:$D,'Modelling New'!W:W),"")</f>
        <v>0.23245759506743396</v>
      </c>
      <c r="AG347" s="233">
        <f>IFERROR(_xlfn.XLOOKUP($D347,'Modelling New'!$D:$D,'Modelling New'!AE:AE),"")</f>
        <v>0.995</v>
      </c>
      <c r="AH347" s="234">
        <f>IFERROR(_xlfn.XLOOKUP($D347,'Modelling New'!$D:$D,'Modelling New'!AF:AF),"")</f>
        <v>0.995</v>
      </c>
      <c r="AI347" s="9"/>
      <c r="AJ347" s="9"/>
      <c r="AK347" s="258"/>
      <c r="AL347" s="258"/>
      <c r="AM347" s="258"/>
      <c r="AN347" s="235"/>
      <c r="AO347" s="233"/>
      <c r="AP347" s="233"/>
      <c r="AQ347" s="233"/>
      <c r="AR347" s="236">
        <f>_xlfn.XLOOKUP(D347,'Modelling New'!$D:$D,'Modelling New'!$N:$N)</f>
        <v>130</v>
      </c>
      <c r="AS347" s="236" t="str">
        <f t="shared" si="28"/>
        <v/>
      </c>
    </row>
    <row r="348" spans="1:45">
      <c r="A348" s="18">
        <f t="shared" si="29"/>
        <v>46091</v>
      </c>
      <c r="B348" s="29">
        <f>YEAR(Table13[[#This Row],[Date]])+IF(MONTH(Table13[[#This Row],[Date]])&gt;=4,1,0)</f>
        <v>2026</v>
      </c>
      <c r="C348" s="9">
        <f>YEAR(Table13[[#This Row],[Date]])</f>
        <v>2026</v>
      </c>
      <c r="D348" s="229">
        <f>Table13[[#This Row],[Date]]-DAY(Table13[[#This Row],[Date]])+1</f>
        <v>46082</v>
      </c>
      <c r="E348" s="9">
        <f t="shared" si="25"/>
        <v>31</v>
      </c>
      <c r="F348" s="199" t="str">
        <f>IFERROR(_xlfn.XLOOKUP($A348,Input_Raw!$A:$A,Input_Raw!$FC:$FC),"")</f>
        <v/>
      </c>
      <c r="G348" s="200" t="str">
        <f>IFERROR(_xlfn.XLOOKUP($A348,Input_Raw!$A:$A,Input_Raw!$CY:$CY),"")</f>
        <v/>
      </c>
      <c r="H348" s="200" t="str">
        <f>IFERROR(_xlfn.XLOOKUP($A348,Input_Raw!$A:$A,Input_Raw!$DA:$DA),"")</f>
        <v/>
      </c>
      <c r="I348" s="200" t="str">
        <f>IFERROR(_xlfn.XLOOKUP($A348,Input_Raw!$A:$A,Input_Raw!$CX:$CX),"")</f>
        <v/>
      </c>
      <c r="J348" s="200" t="str">
        <f>IFERROR(_xlfn.XLOOKUP($A348,Input_Raw!$A:$A,Input_Raw!$CZ:$CZ),"")</f>
        <v/>
      </c>
      <c r="K348" s="201" t="str">
        <f>IFERROR(_xlfn.XLOOKUP($A348,Input_Raw!$A:$A,Input_Raw!$DB:$DB),"")</f>
        <v/>
      </c>
      <c r="L348" s="201" t="str">
        <f>IFERROR(_xlfn.XLOOKUP($A348,Input_Raw!$A:$A,Input_Raw!$DC:$DC),"")</f>
        <v/>
      </c>
      <c r="M348" s="200" t="str">
        <f>IFERROR(_xlfn.XLOOKUP($A348,Input_Raw!$A:$A,Input_Raw!$DF:$DF),"")</f>
        <v/>
      </c>
      <c r="N348" s="200" t="str">
        <f>IFERROR(_xlfn.XLOOKUP($A348,Input_Raw!$A:$A,Input_Raw!$DG:$DG),"")</f>
        <v/>
      </c>
      <c r="O348" s="230" t="str">
        <f>IFERROR(1-(SUMIF(Plant_BD!$B:$B,$A348,Plant_BD!$AL:$AL)/($AA348+SUMIF(Plant_BD!$B:$B,$A348,Plant_BD!$AL:$AL))),"")</f>
        <v/>
      </c>
      <c r="P348" s="230"/>
      <c r="Q348" s="231" t="str">
        <f>IFERROR(1-(SUMIF(Grid_BD!$B:$B,$A348,Grid_BD!$V:$V)/($AA348+SUMIF(Grid_BD!$B:$B,$A348,Grid_BD!$V:$V))),"")</f>
        <v/>
      </c>
      <c r="R348" s="230" t="str">
        <f>IFERROR(1-(SUMIF(Grid_BD!$B:$B,$A348,Grid_BD!$V:$V)/($AA348+SUMIF(Grid_BD!$B:$B,$A348,Grid_BD!$V:$V))),"")</f>
        <v/>
      </c>
      <c r="S348" s="9"/>
      <c r="T348" s="231"/>
      <c r="U348" s="232" t="str">
        <f t="shared" si="26"/>
        <v/>
      </c>
      <c r="V348" s="232" t="str">
        <f>IFERROR(_xlfn.XLOOKUP($A348,Input_Raw!$A:$A,Input_Raw!$FG:$FG),"")</f>
        <v/>
      </c>
      <c r="W348" s="233" t="str">
        <f t="shared" si="27"/>
        <v/>
      </c>
      <c r="X348" s="29" t="str">
        <f>IFERROR(_xlfn.XLOOKUP($A348,Input_Raw!$A:$A,Input_Raw!$DP:$DP),"")</f>
        <v/>
      </c>
      <c r="Y348" s="29" t="str">
        <f>IFERROR(_xlfn.XLOOKUP($A348,Input_Raw!$A:$A,Input_Raw!EW:EW),"")</f>
        <v/>
      </c>
      <c r="Z348" s="29" t="str">
        <f>IFERROR(_xlfn.XLOOKUP($A348,Input_Raw!$A:$A,Input_Raw!EX:EX),"")</f>
        <v/>
      </c>
      <c r="AA348" s="29" t="str">
        <f>IFERROR(_xlfn.XLOOKUP($A348,Input_Raw!$A:$A,Input_Raw!FA:FA),"")</f>
        <v/>
      </c>
      <c r="AB348" s="9" t="str">
        <f>IFERROR(_xlfn.XLOOKUP($A348,Input_Raw!$A:$A,Input_Raw!FD:FD),"")</f>
        <v/>
      </c>
      <c r="AC348" s="185">
        <f>IFERROR(_xlfn.XLOOKUP($D348,'Modelling New'!$D:$D,'Modelling New'!P:P),"")</f>
        <v>6.9225806451612906</v>
      </c>
      <c r="AD348" s="29">
        <f>IFERROR(_xlfn.XLOOKUP($D348,'Modelling New'!$D:$D,'Modelling New'!T:T)*1000,"")</f>
        <v>725267.69661039393</v>
      </c>
      <c r="AE348" s="233">
        <f>IFERROR(_xlfn.XLOOKUP($D348,'Modelling New'!$D:$D,'Modelling New'!O:O),"")</f>
        <v>0.80591076761496216</v>
      </c>
      <c r="AF348" s="233">
        <f>IFERROR(_xlfn.XLOOKUP($D348,'Modelling New'!$D:$D,'Modelling New'!W:W),"")</f>
        <v>0.23245759506743396</v>
      </c>
      <c r="AG348" s="233">
        <f>IFERROR(_xlfn.XLOOKUP($D348,'Modelling New'!$D:$D,'Modelling New'!AE:AE),"")</f>
        <v>0.995</v>
      </c>
      <c r="AH348" s="234">
        <f>IFERROR(_xlfn.XLOOKUP($D348,'Modelling New'!$D:$D,'Modelling New'!AF:AF),"")</f>
        <v>0.995</v>
      </c>
      <c r="AI348" s="9"/>
      <c r="AJ348" s="9"/>
      <c r="AK348" s="258"/>
      <c r="AL348" s="258"/>
      <c r="AM348" s="258"/>
      <c r="AN348" s="235"/>
      <c r="AO348" s="233"/>
      <c r="AP348" s="233"/>
      <c r="AQ348" s="233"/>
      <c r="AR348" s="236">
        <f>_xlfn.XLOOKUP(D348,'Modelling New'!$D:$D,'Modelling New'!$N:$N)</f>
        <v>130</v>
      </c>
      <c r="AS348" s="236" t="str">
        <f t="shared" si="28"/>
        <v/>
      </c>
    </row>
    <row r="349" spans="1:45">
      <c r="A349" s="18">
        <f t="shared" si="29"/>
        <v>46092</v>
      </c>
      <c r="B349" s="29">
        <f>YEAR(Table13[[#This Row],[Date]])+IF(MONTH(Table13[[#This Row],[Date]])&gt;=4,1,0)</f>
        <v>2026</v>
      </c>
      <c r="C349" s="9">
        <f>YEAR(Table13[[#This Row],[Date]])</f>
        <v>2026</v>
      </c>
      <c r="D349" s="229">
        <f>Table13[[#This Row],[Date]]-DAY(Table13[[#This Row],[Date]])+1</f>
        <v>46082</v>
      </c>
      <c r="E349" s="9">
        <f t="shared" si="25"/>
        <v>31</v>
      </c>
      <c r="F349" s="199" t="str">
        <f>IFERROR(_xlfn.XLOOKUP($A349,Input_Raw!$A:$A,Input_Raw!$FC:$FC),"")</f>
        <v/>
      </c>
      <c r="G349" s="185" t="str">
        <f>IFERROR(_xlfn.XLOOKUP($A349,Input_Raw!$A:$A,Input_Raw!$CY:$CY),"")</f>
        <v/>
      </c>
      <c r="H349" s="185" t="str">
        <f>IFERROR(_xlfn.XLOOKUP($A349,Input_Raw!$A:$A,Input_Raw!$DA:$DA),"")</f>
        <v/>
      </c>
      <c r="I349" s="185" t="str">
        <f>IFERROR(_xlfn.XLOOKUP($A349,Input_Raw!$A:$A,Input_Raw!$CX:$CX),"")</f>
        <v/>
      </c>
      <c r="J349" s="185" t="str">
        <f>IFERROR(_xlfn.XLOOKUP($A349,Input_Raw!$A:$A,Input_Raw!$CZ:$CZ),"")</f>
        <v/>
      </c>
      <c r="K349" s="201" t="str">
        <f>IFERROR(_xlfn.XLOOKUP($A349,Input_Raw!$A:$A,Input_Raw!$DB:$DB),"")</f>
        <v/>
      </c>
      <c r="L349" s="201" t="str">
        <f>IFERROR(_xlfn.XLOOKUP($A349,Input_Raw!$A:$A,Input_Raw!$DC:$DC),"")</f>
        <v/>
      </c>
      <c r="M349" s="200" t="str">
        <f>IFERROR(_xlfn.XLOOKUP($A349,Input_Raw!$A:$A,Input_Raw!$DF:$DF),"")</f>
        <v/>
      </c>
      <c r="N349" s="200" t="str">
        <f>IFERROR(_xlfn.XLOOKUP($A349,Input_Raw!$A:$A,Input_Raw!$DG:$DG),"")</f>
        <v/>
      </c>
      <c r="O349" s="230" t="str">
        <f>IFERROR(1-(SUMIF(Plant_BD!$B:$B,$A349,Plant_BD!$AL:$AL)/($AA349+SUMIF(Plant_BD!$B:$B,$A349,Plant_BD!$AL:$AL))),"")</f>
        <v/>
      </c>
      <c r="P349" s="230"/>
      <c r="Q349" s="231" t="str">
        <f>IFERROR(1-(SUMIF(Grid_BD!$B:$B,$A349,Grid_BD!$V:$V)/($AA349+SUMIF(Grid_BD!$B:$B,$A349,Grid_BD!$V:$V))),"")</f>
        <v/>
      </c>
      <c r="R349" s="230" t="str">
        <f>IFERROR(1-(SUMIF(Grid_BD!$B:$B,$A349,Grid_BD!$V:$V)/($AA349+SUMIF(Grid_BD!$B:$B,$A349,Grid_BD!$V:$V))),"")</f>
        <v/>
      </c>
      <c r="S349" s="9"/>
      <c r="T349" s="231"/>
      <c r="U349" s="232" t="str">
        <f t="shared" si="26"/>
        <v/>
      </c>
      <c r="V349" s="232" t="str">
        <f>IFERROR(_xlfn.XLOOKUP($A349,Input_Raw!$A:$A,Input_Raw!$FG:$FG),"")</f>
        <v/>
      </c>
      <c r="W349" s="233" t="str">
        <f t="shared" si="27"/>
        <v/>
      </c>
      <c r="X349" s="29" t="str">
        <f>IFERROR(_xlfn.XLOOKUP($A349,Input_Raw!$A:$A,Input_Raw!$DP:$DP),"")</f>
        <v/>
      </c>
      <c r="Y349" s="29" t="str">
        <f>IFERROR(_xlfn.XLOOKUP($A349,Input_Raw!$A:$A,Input_Raw!EW:EW),"")</f>
        <v/>
      </c>
      <c r="Z349" s="29" t="str">
        <f>IFERROR(_xlfn.XLOOKUP($A349,Input_Raw!$A:$A,Input_Raw!EX:EX),"")</f>
        <v/>
      </c>
      <c r="AA349" s="29" t="str">
        <f>IFERROR(_xlfn.XLOOKUP($A349,Input_Raw!$A:$A,Input_Raw!FA:FA),"")</f>
        <v/>
      </c>
      <c r="AB349" s="9" t="str">
        <f>IFERROR(_xlfn.XLOOKUP($A349,Input_Raw!$A:$A,Input_Raw!FD:FD),"")</f>
        <v/>
      </c>
      <c r="AC349" s="185">
        <f>IFERROR(_xlfn.XLOOKUP($D349,'Modelling New'!$D:$D,'Modelling New'!P:P),"")</f>
        <v>6.9225806451612906</v>
      </c>
      <c r="AD349" s="29">
        <f>IFERROR(_xlfn.XLOOKUP($D349,'Modelling New'!$D:$D,'Modelling New'!T:T)*1000,"")</f>
        <v>725267.69661039393</v>
      </c>
      <c r="AE349" s="233">
        <f>IFERROR(_xlfn.XLOOKUP($D349,'Modelling New'!$D:$D,'Modelling New'!O:O),"")</f>
        <v>0.80591076761496216</v>
      </c>
      <c r="AF349" s="233">
        <f>IFERROR(_xlfn.XLOOKUP($D349,'Modelling New'!$D:$D,'Modelling New'!W:W),"")</f>
        <v>0.23245759506743396</v>
      </c>
      <c r="AG349" s="233">
        <f>IFERROR(_xlfn.XLOOKUP($D349,'Modelling New'!$D:$D,'Modelling New'!AE:AE),"")</f>
        <v>0.995</v>
      </c>
      <c r="AH349" s="234">
        <f>IFERROR(_xlfn.XLOOKUP($D349,'Modelling New'!$D:$D,'Modelling New'!AF:AF),"")</f>
        <v>0.995</v>
      </c>
      <c r="AI349" s="9"/>
      <c r="AJ349" s="9"/>
      <c r="AK349" s="258"/>
      <c r="AL349" s="258"/>
      <c r="AM349" s="258"/>
      <c r="AN349" s="235"/>
      <c r="AO349" s="233"/>
      <c r="AP349" s="233"/>
      <c r="AQ349" s="233"/>
      <c r="AR349" s="236">
        <f>_xlfn.XLOOKUP(D349,'Modelling New'!$D:$D,'Modelling New'!$N:$N)</f>
        <v>130</v>
      </c>
      <c r="AS349" s="236" t="str">
        <f t="shared" si="28"/>
        <v/>
      </c>
    </row>
    <row r="350" spans="1:45">
      <c r="A350" s="18">
        <f t="shared" si="29"/>
        <v>46093</v>
      </c>
      <c r="B350" s="29">
        <f>YEAR(Table13[[#This Row],[Date]])+IF(MONTH(Table13[[#This Row],[Date]])&gt;=4,1,0)</f>
        <v>2026</v>
      </c>
      <c r="C350" s="9">
        <f>YEAR(Table13[[#This Row],[Date]])</f>
        <v>2026</v>
      </c>
      <c r="D350" s="229">
        <f>Table13[[#This Row],[Date]]-DAY(Table13[[#This Row],[Date]])+1</f>
        <v>46082</v>
      </c>
      <c r="E350" s="9">
        <f t="shared" si="25"/>
        <v>31</v>
      </c>
      <c r="F350" s="199" t="str">
        <f>IFERROR(_xlfn.XLOOKUP($A350,Input_Raw!$A:$A,Input_Raw!$FC:$FC),"")</f>
        <v/>
      </c>
      <c r="G350" s="200" t="str">
        <f>IFERROR(_xlfn.XLOOKUP($A350,Input_Raw!$A:$A,Input_Raw!$CY:$CY),"")</f>
        <v/>
      </c>
      <c r="H350" s="200" t="str">
        <f>IFERROR(_xlfn.XLOOKUP($A350,Input_Raw!$A:$A,Input_Raw!$DA:$DA),"")</f>
        <v/>
      </c>
      <c r="I350" s="200" t="str">
        <f>IFERROR(_xlfn.XLOOKUP($A350,Input_Raw!$A:$A,Input_Raw!$CX:$CX),"")</f>
        <v/>
      </c>
      <c r="J350" s="200" t="str">
        <f>IFERROR(_xlfn.XLOOKUP($A350,Input_Raw!$A:$A,Input_Raw!$CZ:$CZ),"")</f>
        <v/>
      </c>
      <c r="K350" s="201" t="str">
        <f>IFERROR(_xlfn.XLOOKUP($A350,Input_Raw!$A:$A,Input_Raw!$DB:$DB),"")</f>
        <v/>
      </c>
      <c r="L350" s="201" t="str">
        <f>IFERROR(_xlfn.XLOOKUP($A350,Input_Raw!$A:$A,Input_Raw!$DC:$DC),"")</f>
        <v/>
      </c>
      <c r="M350" s="200" t="str">
        <f>IFERROR(_xlfn.XLOOKUP($A350,Input_Raw!$A:$A,Input_Raw!$DF:$DF),"")</f>
        <v/>
      </c>
      <c r="N350" s="200" t="str">
        <f>IFERROR(_xlfn.XLOOKUP($A350,Input_Raw!$A:$A,Input_Raw!$DG:$DG),"")</f>
        <v/>
      </c>
      <c r="O350" s="230" t="str">
        <f>IFERROR(1-(SUMIF(Plant_BD!$B:$B,$A350,Plant_BD!$AL:$AL)/($AA350+SUMIF(Plant_BD!$B:$B,$A350,Plant_BD!$AL:$AL))),"")</f>
        <v/>
      </c>
      <c r="P350" s="230"/>
      <c r="Q350" s="231" t="str">
        <f>IFERROR(1-(SUMIF(Grid_BD!$B:$B,$A350,Grid_BD!$V:$V)/($AA350+SUMIF(Grid_BD!$B:$B,$A350,Grid_BD!$V:$V))),"")</f>
        <v/>
      </c>
      <c r="R350" s="230" t="str">
        <f>IFERROR(1-(SUMIF(Grid_BD!$B:$B,$A350,Grid_BD!$V:$V)/($AA350+SUMIF(Grid_BD!$B:$B,$A350,Grid_BD!$V:$V))),"")</f>
        <v/>
      </c>
      <c r="S350" s="9"/>
      <c r="T350" s="231"/>
      <c r="U350" s="232" t="str">
        <f t="shared" si="26"/>
        <v/>
      </c>
      <c r="V350" s="232" t="str">
        <f>IFERROR(_xlfn.XLOOKUP($A350,Input_Raw!$A:$A,Input_Raw!$FG:$FG),"")</f>
        <v/>
      </c>
      <c r="W350" s="233" t="str">
        <f t="shared" si="27"/>
        <v/>
      </c>
      <c r="X350" s="29" t="str">
        <f>IFERROR(_xlfn.XLOOKUP($A350,Input_Raw!$A:$A,Input_Raw!$DP:$DP),"")</f>
        <v/>
      </c>
      <c r="Y350" s="29" t="str">
        <f>IFERROR(_xlfn.XLOOKUP($A350,Input_Raw!$A:$A,Input_Raw!EW:EW),"")</f>
        <v/>
      </c>
      <c r="Z350" s="29" t="str">
        <f>IFERROR(_xlfn.XLOOKUP($A350,Input_Raw!$A:$A,Input_Raw!EX:EX),"")</f>
        <v/>
      </c>
      <c r="AA350" s="29" t="str">
        <f>IFERROR(_xlfn.XLOOKUP($A350,Input_Raw!$A:$A,Input_Raw!FA:FA),"")</f>
        <v/>
      </c>
      <c r="AB350" s="9" t="str">
        <f>IFERROR(_xlfn.XLOOKUP($A350,Input_Raw!$A:$A,Input_Raw!FD:FD),"")</f>
        <v/>
      </c>
      <c r="AC350" s="185">
        <f>IFERROR(_xlfn.XLOOKUP($D350,'Modelling New'!$D:$D,'Modelling New'!P:P),"")</f>
        <v>6.9225806451612906</v>
      </c>
      <c r="AD350" s="29">
        <f>IFERROR(_xlfn.XLOOKUP($D350,'Modelling New'!$D:$D,'Modelling New'!T:T)*1000,"")</f>
        <v>725267.69661039393</v>
      </c>
      <c r="AE350" s="233">
        <f>IFERROR(_xlfn.XLOOKUP($D350,'Modelling New'!$D:$D,'Modelling New'!O:O),"")</f>
        <v>0.80591076761496216</v>
      </c>
      <c r="AF350" s="233">
        <f>IFERROR(_xlfn.XLOOKUP($D350,'Modelling New'!$D:$D,'Modelling New'!W:W),"")</f>
        <v>0.23245759506743396</v>
      </c>
      <c r="AG350" s="233">
        <f>IFERROR(_xlfn.XLOOKUP($D350,'Modelling New'!$D:$D,'Modelling New'!AE:AE),"")</f>
        <v>0.995</v>
      </c>
      <c r="AH350" s="234">
        <f>IFERROR(_xlfn.XLOOKUP($D350,'Modelling New'!$D:$D,'Modelling New'!AF:AF),"")</f>
        <v>0.995</v>
      </c>
      <c r="AI350" s="9"/>
      <c r="AJ350" s="9"/>
      <c r="AK350" s="258"/>
      <c r="AL350" s="258"/>
      <c r="AM350" s="258"/>
      <c r="AN350" s="235"/>
      <c r="AO350" s="233"/>
      <c r="AP350" s="233"/>
      <c r="AQ350" s="233"/>
      <c r="AR350" s="236">
        <f>_xlfn.XLOOKUP(D350,'Modelling New'!$D:$D,'Modelling New'!$N:$N)</f>
        <v>130</v>
      </c>
      <c r="AS350" s="236" t="str">
        <f t="shared" si="28"/>
        <v/>
      </c>
    </row>
    <row r="351" spans="1:45">
      <c r="A351" s="18">
        <f t="shared" si="29"/>
        <v>46094</v>
      </c>
      <c r="B351" s="29">
        <f>YEAR(Table13[[#This Row],[Date]])+IF(MONTH(Table13[[#This Row],[Date]])&gt;=4,1,0)</f>
        <v>2026</v>
      </c>
      <c r="C351" s="9">
        <f>YEAR(Table13[[#This Row],[Date]])</f>
        <v>2026</v>
      </c>
      <c r="D351" s="229">
        <f>Table13[[#This Row],[Date]]-DAY(Table13[[#This Row],[Date]])+1</f>
        <v>46082</v>
      </c>
      <c r="E351" s="9">
        <f t="shared" si="25"/>
        <v>31</v>
      </c>
      <c r="F351" s="199" t="str">
        <f>IFERROR(_xlfn.XLOOKUP($A351,Input_Raw!$A:$A,Input_Raw!$FC:$FC),"")</f>
        <v/>
      </c>
      <c r="G351" s="185" t="str">
        <f>IFERROR(_xlfn.XLOOKUP($A351,Input_Raw!$A:$A,Input_Raw!$CY:$CY),"")</f>
        <v/>
      </c>
      <c r="H351" s="185" t="str">
        <f>IFERROR(_xlfn.XLOOKUP($A351,Input_Raw!$A:$A,Input_Raw!$DA:$DA),"")</f>
        <v/>
      </c>
      <c r="I351" s="185" t="str">
        <f>IFERROR(_xlfn.XLOOKUP($A351,Input_Raw!$A:$A,Input_Raw!$CX:$CX),"")</f>
        <v/>
      </c>
      <c r="J351" s="185" t="str">
        <f>IFERROR(_xlfn.XLOOKUP($A351,Input_Raw!$A:$A,Input_Raw!$CZ:$CZ),"")</f>
        <v/>
      </c>
      <c r="K351" s="201" t="str">
        <f>IFERROR(_xlfn.XLOOKUP($A351,Input_Raw!$A:$A,Input_Raw!$DB:$DB),"")</f>
        <v/>
      </c>
      <c r="L351" s="201" t="str">
        <f>IFERROR(_xlfn.XLOOKUP($A351,Input_Raw!$A:$A,Input_Raw!$DC:$DC),"")</f>
        <v/>
      </c>
      <c r="M351" s="200" t="str">
        <f>IFERROR(_xlfn.XLOOKUP($A351,Input_Raw!$A:$A,Input_Raw!$DF:$DF),"")</f>
        <v/>
      </c>
      <c r="N351" s="200" t="str">
        <f>IFERROR(_xlfn.XLOOKUP($A351,Input_Raw!$A:$A,Input_Raw!$DG:$DG),"")</f>
        <v/>
      </c>
      <c r="O351" s="230" t="str">
        <f>IFERROR(1-(SUMIF(Plant_BD!$B:$B,$A351,Plant_BD!$AL:$AL)/($AA351+SUMIF(Plant_BD!$B:$B,$A351,Plant_BD!$AL:$AL))),"")</f>
        <v/>
      </c>
      <c r="P351" s="230"/>
      <c r="Q351" s="231" t="str">
        <f>IFERROR(1-(SUMIF(Grid_BD!$B:$B,$A351,Grid_BD!$V:$V)/($AA351+SUMIF(Grid_BD!$B:$B,$A351,Grid_BD!$V:$V))),"")</f>
        <v/>
      </c>
      <c r="R351" s="230" t="str">
        <f>IFERROR(1-(SUMIF(Grid_BD!$B:$B,$A351,Grid_BD!$V:$V)/($AA351+SUMIF(Grid_BD!$B:$B,$A351,Grid_BD!$V:$V))),"")</f>
        <v/>
      </c>
      <c r="S351" s="9"/>
      <c r="T351" s="231"/>
      <c r="U351" s="232" t="str">
        <f t="shared" si="26"/>
        <v/>
      </c>
      <c r="V351" s="232" t="str">
        <f>IFERROR(_xlfn.XLOOKUP($A351,Input_Raw!$A:$A,Input_Raw!$FG:$FG),"")</f>
        <v/>
      </c>
      <c r="W351" s="233" t="str">
        <f t="shared" si="27"/>
        <v/>
      </c>
      <c r="X351" s="29" t="str">
        <f>IFERROR(_xlfn.XLOOKUP($A351,Input_Raw!$A:$A,Input_Raw!$DP:$DP),"")</f>
        <v/>
      </c>
      <c r="Y351" s="29" t="str">
        <f>IFERROR(_xlfn.XLOOKUP($A351,Input_Raw!$A:$A,Input_Raw!EW:EW),"")</f>
        <v/>
      </c>
      <c r="Z351" s="29" t="str">
        <f>IFERROR(_xlfn.XLOOKUP($A351,Input_Raw!$A:$A,Input_Raw!EX:EX),"")</f>
        <v/>
      </c>
      <c r="AA351" s="29" t="str">
        <f>IFERROR(_xlfn.XLOOKUP($A351,Input_Raw!$A:$A,Input_Raw!FA:FA),"")</f>
        <v/>
      </c>
      <c r="AB351" s="9" t="str">
        <f>IFERROR(_xlfn.XLOOKUP($A351,Input_Raw!$A:$A,Input_Raw!FD:FD),"")</f>
        <v/>
      </c>
      <c r="AC351" s="185">
        <f>IFERROR(_xlfn.XLOOKUP($D351,'Modelling New'!$D:$D,'Modelling New'!P:P),"")</f>
        <v>6.9225806451612906</v>
      </c>
      <c r="AD351" s="29">
        <f>IFERROR(_xlfn.XLOOKUP($D351,'Modelling New'!$D:$D,'Modelling New'!T:T)*1000,"")</f>
        <v>725267.69661039393</v>
      </c>
      <c r="AE351" s="233">
        <f>IFERROR(_xlfn.XLOOKUP($D351,'Modelling New'!$D:$D,'Modelling New'!O:O),"")</f>
        <v>0.80591076761496216</v>
      </c>
      <c r="AF351" s="233">
        <f>IFERROR(_xlfn.XLOOKUP($D351,'Modelling New'!$D:$D,'Modelling New'!W:W),"")</f>
        <v>0.23245759506743396</v>
      </c>
      <c r="AG351" s="233">
        <f>IFERROR(_xlfn.XLOOKUP($D351,'Modelling New'!$D:$D,'Modelling New'!AE:AE),"")</f>
        <v>0.995</v>
      </c>
      <c r="AH351" s="234">
        <f>IFERROR(_xlfn.XLOOKUP($D351,'Modelling New'!$D:$D,'Modelling New'!AF:AF),"")</f>
        <v>0.995</v>
      </c>
      <c r="AI351" s="9"/>
      <c r="AJ351" s="9"/>
      <c r="AK351" s="258"/>
      <c r="AL351" s="258"/>
      <c r="AM351" s="258"/>
      <c r="AN351" s="235"/>
      <c r="AO351" s="233"/>
      <c r="AP351" s="233"/>
      <c r="AQ351" s="233"/>
      <c r="AR351" s="236">
        <f>_xlfn.XLOOKUP(D351,'Modelling New'!$D:$D,'Modelling New'!$N:$N)</f>
        <v>130</v>
      </c>
      <c r="AS351" s="236" t="str">
        <f t="shared" si="28"/>
        <v/>
      </c>
    </row>
    <row r="352" spans="1:45">
      <c r="A352" s="18">
        <f t="shared" si="29"/>
        <v>46095</v>
      </c>
      <c r="B352" s="29">
        <f>YEAR(Table13[[#This Row],[Date]])+IF(MONTH(Table13[[#This Row],[Date]])&gt;=4,1,0)</f>
        <v>2026</v>
      </c>
      <c r="C352" s="9">
        <f>YEAR(Table13[[#This Row],[Date]])</f>
        <v>2026</v>
      </c>
      <c r="D352" s="229">
        <f>Table13[[#This Row],[Date]]-DAY(Table13[[#This Row],[Date]])+1</f>
        <v>46082</v>
      </c>
      <c r="E352" s="9">
        <f t="shared" si="25"/>
        <v>31</v>
      </c>
      <c r="F352" s="199" t="str">
        <f>IFERROR(_xlfn.XLOOKUP($A352,Input_Raw!$A:$A,Input_Raw!$FC:$FC),"")</f>
        <v/>
      </c>
      <c r="G352" s="200" t="str">
        <f>IFERROR(_xlfn.XLOOKUP($A352,Input_Raw!$A:$A,Input_Raw!$CY:$CY),"")</f>
        <v/>
      </c>
      <c r="H352" s="200" t="str">
        <f>IFERROR(_xlfn.XLOOKUP($A352,Input_Raw!$A:$A,Input_Raw!$DA:$DA),"")</f>
        <v/>
      </c>
      <c r="I352" s="200" t="str">
        <f>IFERROR(_xlfn.XLOOKUP($A352,Input_Raw!$A:$A,Input_Raw!$CX:$CX),"")</f>
        <v/>
      </c>
      <c r="J352" s="200" t="str">
        <f>IFERROR(_xlfn.XLOOKUP($A352,Input_Raw!$A:$A,Input_Raw!$CZ:$CZ),"")</f>
        <v/>
      </c>
      <c r="K352" s="201" t="str">
        <f>IFERROR(_xlfn.XLOOKUP($A352,Input_Raw!$A:$A,Input_Raw!$DB:$DB),"")</f>
        <v/>
      </c>
      <c r="L352" s="201" t="str">
        <f>IFERROR(_xlfn.XLOOKUP($A352,Input_Raw!$A:$A,Input_Raw!$DC:$DC),"")</f>
        <v/>
      </c>
      <c r="M352" s="200" t="str">
        <f>IFERROR(_xlfn.XLOOKUP($A352,Input_Raw!$A:$A,Input_Raw!$DF:$DF),"")</f>
        <v/>
      </c>
      <c r="N352" s="200" t="str">
        <f>IFERROR(_xlfn.XLOOKUP($A352,Input_Raw!$A:$A,Input_Raw!$DG:$DG),"")</f>
        <v/>
      </c>
      <c r="O352" s="230" t="str">
        <f>IFERROR(1-(SUMIF(Plant_BD!$B:$B,$A352,Plant_BD!$AL:$AL)/($AA352+SUMIF(Plant_BD!$B:$B,$A352,Plant_BD!$AL:$AL))),"")</f>
        <v/>
      </c>
      <c r="P352" s="230"/>
      <c r="Q352" s="231" t="str">
        <f>IFERROR(1-(SUMIF(Grid_BD!$B:$B,$A352,Grid_BD!$V:$V)/($AA352+SUMIF(Grid_BD!$B:$B,$A352,Grid_BD!$V:$V))),"")</f>
        <v/>
      </c>
      <c r="R352" s="230" t="str">
        <f>IFERROR(1-(SUMIF(Grid_BD!$B:$B,$A352,Grid_BD!$V:$V)/($AA352+SUMIF(Grid_BD!$B:$B,$A352,Grid_BD!$V:$V))),"")</f>
        <v/>
      </c>
      <c r="S352" s="9"/>
      <c r="T352" s="231"/>
      <c r="U352" s="232" t="str">
        <f t="shared" si="26"/>
        <v/>
      </c>
      <c r="V352" s="232" t="str">
        <f>IFERROR(_xlfn.XLOOKUP($A352,Input_Raw!$A:$A,Input_Raw!$FG:$FG),"")</f>
        <v/>
      </c>
      <c r="W352" s="233" t="str">
        <f t="shared" si="27"/>
        <v/>
      </c>
      <c r="X352" s="29" t="str">
        <f>IFERROR(_xlfn.XLOOKUP($A352,Input_Raw!$A:$A,Input_Raw!$DP:$DP),"")</f>
        <v/>
      </c>
      <c r="Y352" s="29" t="str">
        <f>IFERROR(_xlfn.XLOOKUP($A352,Input_Raw!$A:$A,Input_Raw!EW:EW),"")</f>
        <v/>
      </c>
      <c r="Z352" s="29" t="str">
        <f>IFERROR(_xlfn.XLOOKUP($A352,Input_Raw!$A:$A,Input_Raw!EX:EX),"")</f>
        <v/>
      </c>
      <c r="AA352" s="29" t="str">
        <f>IFERROR(_xlfn.XLOOKUP($A352,Input_Raw!$A:$A,Input_Raw!FA:FA),"")</f>
        <v/>
      </c>
      <c r="AB352" s="9" t="str">
        <f>IFERROR(_xlfn.XLOOKUP($A352,Input_Raw!$A:$A,Input_Raw!FD:FD),"")</f>
        <v/>
      </c>
      <c r="AC352" s="185">
        <f>IFERROR(_xlfn.XLOOKUP($D352,'Modelling New'!$D:$D,'Modelling New'!P:P),"")</f>
        <v>6.9225806451612906</v>
      </c>
      <c r="AD352" s="29">
        <f>IFERROR(_xlfn.XLOOKUP($D352,'Modelling New'!$D:$D,'Modelling New'!T:T)*1000,"")</f>
        <v>725267.69661039393</v>
      </c>
      <c r="AE352" s="233">
        <f>IFERROR(_xlfn.XLOOKUP($D352,'Modelling New'!$D:$D,'Modelling New'!O:O),"")</f>
        <v>0.80591076761496216</v>
      </c>
      <c r="AF352" s="233">
        <f>IFERROR(_xlfn.XLOOKUP($D352,'Modelling New'!$D:$D,'Modelling New'!W:W),"")</f>
        <v>0.23245759506743396</v>
      </c>
      <c r="AG352" s="233">
        <f>IFERROR(_xlfn.XLOOKUP($D352,'Modelling New'!$D:$D,'Modelling New'!AE:AE),"")</f>
        <v>0.995</v>
      </c>
      <c r="AH352" s="234">
        <f>IFERROR(_xlfn.XLOOKUP($D352,'Modelling New'!$D:$D,'Modelling New'!AF:AF),"")</f>
        <v>0.995</v>
      </c>
      <c r="AI352" s="9"/>
      <c r="AJ352" s="9"/>
      <c r="AK352" s="258"/>
      <c r="AL352" s="258"/>
      <c r="AM352" s="258"/>
      <c r="AN352" s="235"/>
      <c r="AO352" s="233"/>
      <c r="AP352" s="233"/>
      <c r="AQ352" s="233"/>
      <c r="AR352" s="236">
        <f>_xlfn.XLOOKUP(D352,'Modelling New'!$D:$D,'Modelling New'!$N:$N)</f>
        <v>130</v>
      </c>
      <c r="AS352" s="236" t="str">
        <f t="shared" si="28"/>
        <v/>
      </c>
    </row>
    <row r="353" spans="1:45">
      <c r="A353" s="18">
        <f t="shared" si="29"/>
        <v>46096</v>
      </c>
      <c r="B353" s="29">
        <f>YEAR(Table13[[#This Row],[Date]])+IF(MONTH(Table13[[#This Row],[Date]])&gt;=4,1,0)</f>
        <v>2026</v>
      </c>
      <c r="C353" s="9">
        <f>YEAR(Table13[[#This Row],[Date]])</f>
        <v>2026</v>
      </c>
      <c r="D353" s="229">
        <f>Table13[[#This Row],[Date]]-DAY(Table13[[#This Row],[Date]])+1</f>
        <v>46082</v>
      </c>
      <c r="E353" s="9">
        <f t="shared" si="25"/>
        <v>31</v>
      </c>
      <c r="F353" s="199" t="str">
        <f>IFERROR(_xlfn.XLOOKUP($A353,Input_Raw!$A:$A,Input_Raw!$FC:$FC),"")</f>
        <v/>
      </c>
      <c r="G353" s="185" t="str">
        <f>IFERROR(_xlfn.XLOOKUP($A353,Input_Raw!$A:$A,Input_Raw!$CY:$CY),"")</f>
        <v/>
      </c>
      <c r="H353" s="185" t="str">
        <f>IFERROR(_xlfn.XLOOKUP($A353,Input_Raw!$A:$A,Input_Raw!$DA:$DA),"")</f>
        <v/>
      </c>
      <c r="I353" s="185" t="str">
        <f>IFERROR(_xlfn.XLOOKUP($A353,Input_Raw!$A:$A,Input_Raw!$CX:$CX),"")</f>
        <v/>
      </c>
      <c r="J353" s="185" t="str">
        <f>IFERROR(_xlfn.XLOOKUP($A353,Input_Raw!$A:$A,Input_Raw!$CZ:$CZ),"")</f>
        <v/>
      </c>
      <c r="K353" s="201" t="str">
        <f>IFERROR(_xlfn.XLOOKUP($A353,Input_Raw!$A:$A,Input_Raw!$DB:$DB),"")</f>
        <v/>
      </c>
      <c r="L353" s="201" t="str">
        <f>IFERROR(_xlfn.XLOOKUP($A353,Input_Raw!$A:$A,Input_Raw!$DC:$DC),"")</f>
        <v/>
      </c>
      <c r="M353" s="200" t="str">
        <f>IFERROR(_xlfn.XLOOKUP($A353,Input_Raw!$A:$A,Input_Raw!$DF:$DF),"")</f>
        <v/>
      </c>
      <c r="N353" s="200" t="str">
        <f>IFERROR(_xlfn.XLOOKUP($A353,Input_Raw!$A:$A,Input_Raw!$DG:$DG),"")</f>
        <v/>
      </c>
      <c r="O353" s="230" t="str">
        <f>IFERROR(1-(SUMIF(Plant_BD!$B:$B,$A353,Plant_BD!$AL:$AL)/($AA353+SUMIF(Plant_BD!$B:$B,$A353,Plant_BD!$AL:$AL))),"")</f>
        <v/>
      </c>
      <c r="P353" s="230"/>
      <c r="Q353" s="231" t="str">
        <f>IFERROR(1-(SUMIF(Grid_BD!$B:$B,$A353,Grid_BD!$V:$V)/($AA353+SUMIF(Grid_BD!$B:$B,$A353,Grid_BD!$V:$V))),"")</f>
        <v/>
      </c>
      <c r="R353" s="230" t="str">
        <f>IFERROR(1-(SUMIF(Grid_BD!$B:$B,$A353,Grid_BD!$V:$V)/($AA353+SUMIF(Grid_BD!$B:$B,$A353,Grid_BD!$V:$V))),"")</f>
        <v/>
      </c>
      <c r="S353" s="9"/>
      <c r="T353" s="231"/>
      <c r="U353" s="232" t="str">
        <f t="shared" si="26"/>
        <v/>
      </c>
      <c r="V353" s="232" t="str">
        <f>IFERROR(_xlfn.XLOOKUP($A353,Input_Raw!$A:$A,Input_Raw!$FG:$FG),"")</f>
        <v/>
      </c>
      <c r="W353" s="233" t="str">
        <f t="shared" si="27"/>
        <v/>
      </c>
      <c r="X353" s="29" t="str">
        <f>IFERROR(_xlfn.XLOOKUP($A353,Input_Raw!$A:$A,Input_Raw!$DP:$DP),"")</f>
        <v/>
      </c>
      <c r="Y353" s="29" t="str">
        <f>IFERROR(_xlfn.XLOOKUP($A353,Input_Raw!$A:$A,Input_Raw!EW:EW),"")</f>
        <v/>
      </c>
      <c r="Z353" s="29" t="str">
        <f>IFERROR(_xlfn.XLOOKUP($A353,Input_Raw!$A:$A,Input_Raw!EX:EX),"")</f>
        <v/>
      </c>
      <c r="AA353" s="29" t="str">
        <f>IFERROR(_xlfn.XLOOKUP($A353,Input_Raw!$A:$A,Input_Raw!FA:FA),"")</f>
        <v/>
      </c>
      <c r="AB353" s="9" t="str">
        <f>IFERROR(_xlfn.XLOOKUP($A353,Input_Raw!$A:$A,Input_Raw!FD:FD),"")</f>
        <v/>
      </c>
      <c r="AC353" s="185">
        <f>IFERROR(_xlfn.XLOOKUP($D353,'Modelling New'!$D:$D,'Modelling New'!P:P),"")</f>
        <v>6.9225806451612906</v>
      </c>
      <c r="AD353" s="29">
        <f>IFERROR(_xlfn.XLOOKUP($D353,'Modelling New'!$D:$D,'Modelling New'!T:T)*1000,"")</f>
        <v>725267.69661039393</v>
      </c>
      <c r="AE353" s="233">
        <f>IFERROR(_xlfn.XLOOKUP($D353,'Modelling New'!$D:$D,'Modelling New'!O:O),"")</f>
        <v>0.80591076761496216</v>
      </c>
      <c r="AF353" s="233">
        <f>IFERROR(_xlfn.XLOOKUP($D353,'Modelling New'!$D:$D,'Modelling New'!W:W),"")</f>
        <v>0.23245759506743396</v>
      </c>
      <c r="AG353" s="233">
        <f>IFERROR(_xlfn.XLOOKUP($D353,'Modelling New'!$D:$D,'Modelling New'!AE:AE),"")</f>
        <v>0.995</v>
      </c>
      <c r="AH353" s="234">
        <f>IFERROR(_xlfn.XLOOKUP($D353,'Modelling New'!$D:$D,'Modelling New'!AF:AF),"")</f>
        <v>0.995</v>
      </c>
      <c r="AI353" s="9"/>
      <c r="AJ353" s="9"/>
      <c r="AK353" s="258"/>
      <c r="AL353" s="258"/>
      <c r="AM353" s="258"/>
      <c r="AN353" s="235"/>
      <c r="AO353" s="233"/>
      <c r="AP353" s="233"/>
      <c r="AQ353" s="233"/>
      <c r="AR353" s="236">
        <f>_xlfn.XLOOKUP(D353,'Modelling New'!$D:$D,'Modelling New'!$N:$N)</f>
        <v>130</v>
      </c>
      <c r="AS353" s="236" t="str">
        <f t="shared" si="28"/>
        <v/>
      </c>
    </row>
    <row r="354" spans="1:45">
      <c r="A354" s="18">
        <f t="shared" si="29"/>
        <v>46097</v>
      </c>
      <c r="B354" s="29">
        <f>YEAR(Table13[[#This Row],[Date]])+IF(MONTH(Table13[[#This Row],[Date]])&gt;=4,1,0)</f>
        <v>2026</v>
      </c>
      <c r="C354" s="9">
        <f>YEAR(Table13[[#This Row],[Date]])</f>
        <v>2026</v>
      </c>
      <c r="D354" s="229">
        <f>Table13[[#This Row],[Date]]-DAY(Table13[[#This Row],[Date]])+1</f>
        <v>46082</v>
      </c>
      <c r="E354" s="9">
        <f t="shared" si="25"/>
        <v>31</v>
      </c>
      <c r="F354" s="199" t="str">
        <f>IFERROR(_xlfn.XLOOKUP($A354,Input_Raw!$A:$A,Input_Raw!$FC:$FC),"")</f>
        <v/>
      </c>
      <c r="G354" s="200" t="str">
        <f>IFERROR(_xlfn.XLOOKUP($A354,Input_Raw!$A:$A,Input_Raw!$CY:$CY),"")</f>
        <v/>
      </c>
      <c r="H354" s="200" t="str">
        <f>IFERROR(_xlfn.XLOOKUP($A354,Input_Raw!$A:$A,Input_Raw!$DA:$DA),"")</f>
        <v/>
      </c>
      <c r="I354" s="200" t="str">
        <f>IFERROR(_xlfn.XLOOKUP($A354,Input_Raw!$A:$A,Input_Raw!$CX:$CX),"")</f>
        <v/>
      </c>
      <c r="J354" s="200" t="str">
        <f>IFERROR(_xlfn.XLOOKUP($A354,Input_Raw!$A:$A,Input_Raw!$CZ:$CZ),"")</f>
        <v/>
      </c>
      <c r="K354" s="201" t="str">
        <f>IFERROR(_xlfn.XLOOKUP($A354,Input_Raw!$A:$A,Input_Raw!$DB:$DB),"")</f>
        <v/>
      </c>
      <c r="L354" s="201" t="str">
        <f>IFERROR(_xlfn.XLOOKUP($A354,Input_Raw!$A:$A,Input_Raw!$DC:$DC),"")</f>
        <v/>
      </c>
      <c r="M354" s="200" t="str">
        <f>IFERROR(_xlfn.XLOOKUP($A354,Input_Raw!$A:$A,Input_Raw!$DF:$DF),"")</f>
        <v/>
      </c>
      <c r="N354" s="200" t="str">
        <f>IFERROR(_xlfn.XLOOKUP($A354,Input_Raw!$A:$A,Input_Raw!$DG:$DG),"")</f>
        <v/>
      </c>
      <c r="O354" s="230" t="str">
        <f>IFERROR(1-(SUMIF(Plant_BD!$B:$B,$A354,Plant_BD!$AL:$AL)/($AA354+SUMIF(Plant_BD!$B:$B,$A354,Plant_BD!$AL:$AL))),"")</f>
        <v/>
      </c>
      <c r="P354" s="230"/>
      <c r="Q354" s="231" t="str">
        <f>IFERROR(1-(SUMIF(Grid_BD!$B:$B,$A354,Grid_BD!$V:$V)/($AA354+SUMIF(Grid_BD!$B:$B,$A354,Grid_BD!$V:$V))),"")</f>
        <v/>
      </c>
      <c r="R354" s="230" t="str">
        <f>IFERROR(1-(SUMIF(Grid_BD!$B:$B,$A354,Grid_BD!$V:$V)/($AA354+SUMIF(Grid_BD!$B:$B,$A354,Grid_BD!$V:$V))),"")</f>
        <v/>
      </c>
      <c r="S354" s="9"/>
      <c r="T354" s="231"/>
      <c r="U354" s="232" t="str">
        <f t="shared" si="26"/>
        <v/>
      </c>
      <c r="V354" s="232" t="str">
        <f>IFERROR(_xlfn.XLOOKUP($A354,Input_Raw!$A:$A,Input_Raw!$FG:$FG),"")</f>
        <v/>
      </c>
      <c r="W354" s="233" t="str">
        <f t="shared" si="27"/>
        <v/>
      </c>
      <c r="X354" s="29" t="str">
        <f>IFERROR(_xlfn.XLOOKUP($A354,Input_Raw!$A:$A,Input_Raw!$DP:$DP),"")</f>
        <v/>
      </c>
      <c r="Y354" s="29" t="str">
        <f>IFERROR(_xlfn.XLOOKUP($A354,Input_Raw!$A:$A,Input_Raw!EW:EW),"")</f>
        <v/>
      </c>
      <c r="Z354" s="29" t="str">
        <f>IFERROR(_xlfn.XLOOKUP($A354,Input_Raw!$A:$A,Input_Raw!EX:EX),"")</f>
        <v/>
      </c>
      <c r="AA354" s="29" t="str">
        <f>IFERROR(_xlfn.XLOOKUP($A354,Input_Raw!$A:$A,Input_Raw!FA:FA),"")</f>
        <v/>
      </c>
      <c r="AB354" s="9" t="str">
        <f>IFERROR(_xlfn.XLOOKUP($A354,Input_Raw!$A:$A,Input_Raw!FD:FD),"")</f>
        <v/>
      </c>
      <c r="AC354" s="185">
        <f>IFERROR(_xlfn.XLOOKUP($D354,'Modelling New'!$D:$D,'Modelling New'!P:P),"")</f>
        <v>6.9225806451612906</v>
      </c>
      <c r="AD354" s="29">
        <f>IFERROR(_xlfn.XLOOKUP($D354,'Modelling New'!$D:$D,'Modelling New'!T:T)*1000,"")</f>
        <v>725267.69661039393</v>
      </c>
      <c r="AE354" s="233">
        <f>IFERROR(_xlfn.XLOOKUP($D354,'Modelling New'!$D:$D,'Modelling New'!O:O),"")</f>
        <v>0.80591076761496216</v>
      </c>
      <c r="AF354" s="233">
        <f>IFERROR(_xlfn.XLOOKUP($D354,'Modelling New'!$D:$D,'Modelling New'!W:W),"")</f>
        <v>0.23245759506743396</v>
      </c>
      <c r="AG354" s="233">
        <f>IFERROR(_xlfn.XLOOKUP($D354,'Modelling New'!$D:$D,'Modelling New'!AE:AE),"")</f>
        <v>0.995</v>
      </c>
      <c r="AH354" s="234">
        <f>IFERROR(_xlfn.XLOOKUP($D354,'Modelling New'!$D:$D,'Modelling New'!AF:AF),"")</f>
        <v>0.995</v>
      </c>
      <c r="AI354" s="9"/>
      <c r="AJ354" s="9"/>
      <c r="AK354" s="258"/>
      <c r="AL354" s="258"/>
      <c r="AM354" s="258"/>
      <c r="AN354" s="235"/>
      <c r="AO354" s="233"/>
      <c r="AP354" s="233"/>
      <c r="AQ354" s="233"/>
      <c r="AR354" s="236">
        <f>_xlfn.XLOOKUP(D354,'Modelling New'!$D:$D,'Modelling New'!$N:$N)</f>
        <v>130</v>
      </c>
      <c r="AS354" s="236" t="str">
        <f t="shared" si="28"/>
        <v/>
      </c>
    </row>
    <row r="355" spans="1:45">
      <c r="A355" s="18">
        <f t="shared" si="29"/>
        <v>46098</v>
      </c>
      <c r="B355" s="29">
        <f>YEAR(Table13[[#This Row],[Date]])+IF(MONTH(Table13[[#This Row],[Date]])&gt;=4,1,0)</f>
        <v>2026</v>
      </c>
      <c r="C355" s="9">
        <f>YEAR(Table13[[#This Row],[Date]])</f>
        <v>2026</v>
      </c>
      <c r="D355" s="229">
        <f>Table13[[#This Row],[Date]]-DAY(Table13[[#This Row],[Date]])+1</f>
        <v>46082</v>
      </c>
      <c r="E355" s="9">
        <f t="shared" si="25"/>
        <v>31</v>
      </c>
      <c r="F355" s="199" t="str">
        <f>IFERROR(_xlfn.XLOOKUP($A355,Input_Raw!$A:$A,Input_Raw!$FC:$FC),"")</f>
        <v/>
      </c>
      <c r="G355" s="185" t="str">
        <f>IFERROR(_xlfn.XLOOKUP($A355,Input_Raw!$A:$A,Input_Raw!$CY:$CY),"")</f>
        <v/>
      </c>
      <c r="H355" s="185" t="str">
        <f>IFERROR(_xlfn.XLOOKUP($A355,Input_Raw!$A:$A,Input_Raw!$DA:$DA),"")</f>
        <v/>
      </c>
      <c r="I355" s="185" t="str">
        <f>IFERROR(_xlfn.XLOOKUP($A355,Input_Raw!$A:$A,Input_Raw!$CX:$CX),"")</f>
        <v/>
      </c>
      <c r="J355" s="185" t="str">
        <f>IFERROR(_xlfn.XLOOKUP($A355,Input_Raw!$A:$A,Input_Raw!$CZ:$CZ),"")</f>
        <v/>
      </c>
      <c r="K355" s="201" t="str">
        <f>IFERROR(_xlfn.XLOOKUP($A355,Input_Raw!$A:$A,Input_Raw!$DB:$DB),"")</f>
        <v/>
      </c>
      <c r="L355" s="201" t="str">
        <f>IFERROR(_xlfn.XLOOKUP($A355,Input_Raw!$A:$A,Input_Raw!$DC:$DC),"")</f>
        <v/>
      </c>
      <c r="M355" s="200" t="str">
        <f>IFERROR(_xlfn.XLOOKUP($A355,Input_Raw!$A:$A,Input_Raw!$DF:$DF),"")</f>
        <v/>
      </c>
      <c r="N355" s="200" t="str">
        <f>IFERROR(_xlfn.XLOOKUP($A355,Input_Raw!$A:$A,Input_Raw!$DG:$DG),"")</f>
        <v/>
      </c>
      <c r="O355" s="230" t="str">
        <f>IFERROR(1-(SUMIF(Plant_BD!$B:$B,$A355,Plant_BD!$AL:$AL)/($AA355+SUMIF(Plant_BD!$B:$B,$A355,Plant_BD!$AL:$AL))),"")</f>
        <v/>
      </c>
      <c r="P355" s="230"/>
      <c r="Q355" s="231" t="str">
        <f>IFERROR(1-(SUMIF(Grid_BD!$B:$B,$A355,Grid_BD!$V:$V)/($AA355+SUMIF(Grid_BD!$B:$B,$A355,Grid_BD!$V:$V))),"")</f>
        <v/>
      </c>
      <c r="R355" s="230" t="str">
        <f>IFERROR(1-(SUMIF(Grid_BD!$B:$B,$A355,Grid_BD!$V:$V)/($AA355+SUMIF(Grid_BD!$B:$B,$A355,Grid_BD!$V:$V))),"")</f>
        <v/>
      </c>
      <c r="S355" s="9"/>
      <c r="T355" s="231"/>
      <c r="U355" s="232" t="str">
        <f t="shared" si="26"/>
        <v/>
      </c>
      <c r="V355" s="232" t="str">
        <f>IFERROR(_xlfn.XLOOKUP($A355,Input_Raw!$A:$A,Input_Raw!$FG:$FG),"")</f>
        <v/>
      </c>
      <c r="W355" s="233" t="str">
        <f t="shared" si="27"/>
        <v/>
      </c>
      <c r="X355" s="29" t="str">
        <f>IFERROR(_xlfn.XLOOKUP($A355,Input_Raw!$A:$A,Input_Raw!$DP:$DP),"")</f>
        <v/>
      </c>
      <c r="Y355" s="29" t="str">
        <f>IFERROR(_xlfn.XLOOKUP($A355,Input_Raw!$A:$A,Input_Raw!EW:EW),"")</f>
        <v/>
      </c>
      <c r="Z355" s="29" t="str">
        <f>IFERROR(_xlfn.XLOOKUP($A355,Input_Raw!$A:$A,Input_Raw!EX:EX),"")</f>
        <v/>
      </c>
      <c r="AA355" s="29" t="str">
        <f>IFERROR(_xlfn.XLOOKUP($A355,Input_Raw!$A:$A,Input_Raw!FA:FA),"")</f>
        <v/>
      </c>
      <c r="AB355" s="9" t="str">
        <f>IFERROR(_xlfn.XLOOKUP($A355,Input_Raw!$A:$A,Input_Raw!FD:FD),"")</f>
        <v/>
      </c>
      <c r="AC355" s="185">
        <f>IFERROR(_xlfn.XLOOKUP($D355,'Modelling New'!$D:$D,'Modelling New'!P:P),"")</f>
        <v>6.9225806451612906</v>
      </c>
      <c r="AD355" s="29">
        <f>IFERROR(_xlfn.XLOOKUP($D355,'Modelling New'!$D:$D,'Modelling New'!T:T)*1000,"")</f>
        <v>725267.69661039393</v>
      </c>
      <c r="AE355" s="233">
        <f>IFERROR(_xlfn.XLOOKUP($D355,'Modelling New'!$D:$D,'Modelling New'!O:O),"")</f>
        <v>0.80591076761496216</v>
      </c>
      <c r="AF355" s="233">
        <f>IFERROR(_xlfn.XLOOKUP($D355,'Modelling New'!$D:$D,'Modelling New'!W:W),"")</f>
        <v>0.23245759506743396</v>
      </c>
      <c r="AG355" s="233">
        <f>IFERROR(_xlfn.XLOOKUP($D355,'Modelling New'!$D:$D,'Modelling New'!AE:AE),"")</f>
        <v>0.995</v>
      </c>
      <c r="AH355" s="234">
        <f>IFERROR(_xlfn.XLOOKUP($D355,'Modelling New'!$D:$D,'Modelling New'!AF:AF),"")</f>
        <v>0.995</v>
      </c>
      <c r="AI355" s="9"/>
      <c r="AJ355" s="9"/>
      <c r="AK355" s="258"/>
      <c r="AL355" s="258"/>
      <c r="AM355" s="258"/>
      <c r="AN355" s="235"/>
      <c r="AO355" s="233"/>
      <c r="AP355" s="233"/>
      <c r="AQ355" s="233"/>
      <c r="AR355" s="236">
        <f>_xlfn.XLOOKUP(D355,'Modelling New'!$D:$D,'Modelling New'!$N:$N)</f>
        <v>130</v>
      </c>
      <c r="AS355" s="236" t="str">
        <f t="shared" si="28"/>
        <v/>
      </c>
    </row>
    <row r="356" spans="1:45">
      <c r="A356" s="18">
        <f t="shared" si="29"/>
        <v>46099</v>
      </c>
      <c r="B356" s="29">
        <f>YEAR(Table13[[#This Row],[Date]])+IF(MONTH(Table13[[#This Row],[Date]])&gt;=4,1,0)</f>
        <v>2026</v>
      </c>
      <c r="C356" s="9">
        <f>YEAR(Table13[[#This Row],[Date]])</f>
        <v>2026</v>
      </c>
      <c r="D356" s="229">
        <f>Table13[[#This Row],[Date]]-DAY(Table13[[#This Row],[Date]])+1</f>
        <v>46082</v>
      </c>
      <c r="E356" s="9">
        <f t="shared" si="25"/>
        <v>31</v>
      </c>
      <c r="F356" s="199" t="str">
        <f>IFERROR(_xlfn.XLOOKUP($A356,Input_Raw!$A:$A,Input_Raw!$FC:$FC),"")</f>
        <v/>
      </c>
      <c r="G356" s="200" t="str">
        <f>IFERROR(_xlfn.XLOOKUP($A356,Input_Raw!$A:$A,Input_Raw!$CY:$CY),"")</f>
        <v/>
      </c>
      <c r="H356" s="200" t="str">
        <f>IFERROR(_xlfn.XLOOKUP($A356,Input_Raw!$A:$A,Input_Raw!$DA:$DA),"")</f>
        <v/>
      </c>
      <c r="I356" s="200" t="str">
        <f>IFERROR(_xlfn.XLOOKUP($A356,Input_Raw!$A:$A,Input_Raw!$CX:$CX),"")</f>
        <v/>
      </c>
      <c r="J356" s="200" t="str">
        <f>IFERROR(_xlfn.XLOOKUP($A356,Input_Raw!$A:$A,Input_Raw!$CZ:$CZ),"")</f>
        <v/>
      </c>
      <c r="K356" s="201" t="str">
        <f>IFERROR(_xlfn.XLOOKUP($A356,Input_Raw!$A:$A,Input_Raw!$DB:$DB),"")</f>
        <v/>
      </c>
      <c r="L356" s="201" t="str">
        <f>IFERROR(_xlfn.XLOOKUP($A356,Input_Raw!$A:$A,Input_Raw!$DC:$DC),"")</f>
        <v/>
      </c>
      <c r="M356" s="200" t="str">
        <f>IFERROR(_xlfn.XLOOKUP($A356,Input_Raw!$A:$A,Input_Raw!$DF:$DF),"")</f>
        <v/>
      </c>
      <c r="N356" s="200" t="str">
        <f>IFERROR(_xlfn.XLOOKUP($A356,Input_Raw!$A:$A,Input_Raw!$DG:$DG),"")</f>
        <v/>
      </c>
      <c r="O356" s="230" t="str">
        <f>IFERROR(1-(SUMIF(Plant_BD!$B:$B,$A356,Plant_BD!$AL:$AL)/($AA356+SUMIF(Plant_BD!$B:$B,$A356,Plant_BD!$AL:$AL))),"")</f>
        <v/>
      </c>
      <c r="P356" s="230"/>
      <c r="Q356" s="231" t="str">
        <f>IFERROR(1-(SUMIF(Grid_BD!$B:$B,$A356,Grid_BD!$V:$V)/($AA356+SUMIF(Grid_BD!$B:$B,$A356,Grid_BD!$V:$V))),"")</f>
        <v/>
      </c>
      <c r="R356" s="230" t="str">
        <f>IFERROR(1-(SUMIF(Grid_BD!$B:$B,$A356,Grid_BD!$V:$V)/($AA356+SUMIF(Grid_BD!$B:$B,$A356,Grid_BD!$V:$V))),"")</f>
        <v/>
      </c>
      <c r="S356" s="9"/>
      <c r="T356" s="231"/>
      <c r="U356" s="232" t="str">
        <f t="shared" si="26"/>
        <v/>
      </c>
      <c r="V356" s="232" t="str">
        <f>IFERROR(_xlfn.XLOOKUP($A356,Input_Raw!$A:$A,Input_Raw!$FG:$FG),"")</f>
        <v/>
      </c>
      <c r="W356" s="233" t="str">
        <f t="shared" si="27"/>
        <v/>
      </c>
      <c r="X356" s="29" t="str">
        <f>IFERROR(_xlfn.XLOOKUP($A356,Input_Raw!$A:$A,Input_Raw!$DP:$DP),"")</f>
        <v/>
      </c>
      <c r="Y356" s="29" t="str">
        <f>IFERROR(_xlfn.XLOOKUP($A356,Input_Raw!$A:$A,Input_Raw!EW:EW),"")</f>
        <v/>
      </c>
      <c r="Z356" s="29" t="str">
        <f>IFERROR(_xlfn.XLOOKUP($A356,Input_Raw!$A:$A,Input_Raw!EX:EX),"")</f>
        <v/>
      </c>
      <c r="AA356" s="29" t="str">
        <f>IFERROR(_xlfn.XLOOKUP($A356,Input_Raw!$A:$A,Input_Raw!FA:FA),"")</f>
        <v/>
      </c>
      <c r="AB356" s="9" t="str">
        <f>IFERROR(_xlfn.XLOOKUP($A356,Input_Raw!$A:$A,Input_Raw!FD:FD),"")</f>
        <v/>
      </c>
      <c r="AC356" s="185">
        <f>IFERROR(_xlfn.XLOOKUP($D356,'Modelling New'!$D:$D,'Modelling New'!P:P),"")</f>
        <v>6.9225806451612906</v>
      </c>
      <c r="AD356" s="29">
        <f>IFERROR(_xlfn.XLOOKUP($D356,'Modelling New'!$D:$D,'Modelling New'!T:T)*1000,"")</f>
        <v>725267.69661039393</v>
      </c>
      <c r="AE356" s="233">
        <f>IFERROR(_xlfn.XLOOKUP($D356,'Modelling New'!$D:$D,'Modelling New'!O:O),"")</f>
        <v>0.80591076761496216</v>
      </c>
      <c r="AF356" s="233">
        <f>IFERROR(_xlfn.XLOOKUP($D356,'Modelling New'!$D:$D,'Modelling New'!W:W),"")</f>
        <v>0.23245759506743396</v>
      </c>
      <c r="AG356" s="233">
        <f>IFERROR(_xlfn.XLOOKUP($D356,'Modelling New'!$D:$D,'Modelling New'!AE:AE),"")</f>
        <v>0.995</v>
      </c>
      <c r="AH356" s="234">
        <f>IFERROR(_xlfn.XLOOKUP($D356,'Modelling New'!$D:$D,'Modelling New'!AF:AF),"")</f>
        <v>0.995</v>
      </c>
      <c r="AI356" s="9"/>
      <c r="AJ356" s="9"/>
      <c r="AK356" s="258"/>
      <c r="AL356" s="258"/>
      <c r="AM356" s="258"/>
      <c r="AN356" s="235"/>
      <c r="AO356" s="233"/>
      <c r="AP356" s="233"/>
      <c r="AQ356" s="233"/>
      <c r="AR356" s="236">
        <f>_xlfn.XLOOKUP(D356,'Modelling New'!$D:$D,'Modelling New'!$N:$N)</f>
        <v>130</v>
      </c>
      <c r="AS356" s="236" t="str">
        <f t="shared" si="28"/>
        <v/>
      </c>
    </row>
    <row r="357" spans="1:45">
      <c r="A357" s="18">
        <f t="shared" si="29"/>
        <v>46100</v>
      </c>
      <c r="B357" s="29">
        <f>YEAR(Table13[[#This Row],[Date]])+IF(MONTH(Table13[[#This Row],[Date]])&gt;=4,1,0)</f>
        <v>2026</v>
      </c>
      <c r="C357" s="9">
        <f>YEAR(Table13[[#This Row],[Date]])</f>
        <v>2026</v>
      </c>
      <c r="D357" s="229">
        <f>Table13[[#This Row],[Date]]-DAY(Table13[[#This Row],[Date]])+1</f>
        <v>46082</v>
      </c>
      <c r="E357" s="9">
        <f t="shared" si="25"/>
        <v>31</v>
      </c>
      <c r="F357" s="199" t="str">
        <f>IFERROR(_xlfn.XLOOKUP($A357,Input_Raw!$A:$A,Input_Raw!$FC:$FC),"")</f>
        <v/>
      </c>
      <c r="G357" s="185" t="str">
        <f>IFERROR(_xlfn.XLOOKUP($A357,Input_Raw!$A:$A,Input_Raw!$CY:$CY),"")</f>
        <v/>
      </c>
      <c r="H357" s="185" t="str">
        <f>IFERROR(_xlfn.XLOOKUP($A357,Input_Raw!$A:$A,Input_Raw!$DA:$DA),"")</f>
        <v/>
      </c>
      <c r="I357" s="185" t="str">
        <f>IFERROR(_xlfn.XLOOKUP($A357,Input_Raw!$A:$A,Input_Raw!$CX:$CX),"")</f>
        <v/>
      </c>
      <c r="J357" s="185" t="str">
        <f>IFERROR(_xlfn.XLOOKUP($A357,Input_Raw!$A:$A,Input_Raw!$CZ:$CZ),"")</f>
        <v/>
      </c>
      <c r="K357" s="201" t="str">
        <f>IFERROR(_xlfn.XLOOKUP($A357,Input_Raw!$A:$A,Input_Raw!$DB:$DB),"")</f>
        <v/>
      </c>
      <c r="L357" s="201" t="str">
        <f>IFERROR(_xlfn.XLOOKUP($A357,Input_Raw!$A:$A,Input_Raw!$DC:$DC),"")</f>
        <v/>
      </c>
      <c r="M357" s="200" t="str">
        <f>IFERROR(_xlfn.XLOOKUP($A357,Input_Raw!$A:$A,Input_Raw!$DF:$DF),"")</f>
        <v/>
      </c>
      <c r="N357" s="200" t="str">
        <f>IFERROR(_xlfn.XLOOKUP($A357,Input_Raw!$A:$A,Input_Raw!$DG:$DG),"")</f>
        <v/>
      </c>
      <c r="O357" s="230" t="str">
        <f>IFERROR(1-(SUMIF(Plant_BD!$B:$B,$A357,Plant_BD!$AL:$AL)/($AA357+SUMIF(Plant_BD!$B:$B,$A357,Plant_BD!$AL:$AL))),"")</f>
        <v/>
      </c>
      <c r="P357" s="230"/>
      <c r="Q357" s="231" t="str">
        <f>IFERROR(1-(SUMIF(Grid_BD!$B:$B,$A357,Grid_BD!$V:$V)/($AA357+SUMIF(Grid_BD!$B:$B,$A357,Grid_BD!$V:$V))),"")</f>
        <v/>
      </c>
      <c r="R357" s="230" t="str">
        <f>IFERROR(1-(SUMIF(Grid_BD!$B:$B,$A357,Grid_BD!$V:$V)/($AA357+SUMIF(Grid_BD!$B:$B,$A357,Grid_BD!$V:$V))),"")</f>
        <v/>
      </c>
      <c r="S357" s="9"/>
      <c r="T357" s="231"/>
      <c r="U357" s="232" t="str">
        <f t="shared" si="26"/>
        <v/>
      </c>
      <c r="V357" s="232" t="str">
        <f>IFERROR(_xlfn.XLOOKUP($A357,Input_Raw!$A:$A,Input_Raw!$FG:$FG),"")</f>
        <v/>
      </c>
      <c r="W357" s="233" t="str">
        <f t="shared" si="27"/>
        <v/>
      </c>
      <c r="X357" s="29" t="str">
        <f>IFERROR(_xlfn.XLOOKUP($A357,Input_Raw!$A:$A,Input_Raw!$DP:$DP),"")</f>
        <v/>
      </c>
      <c r="Y357" s="29" t="str">
        <f>IFERROR(_xlfn.XLOOKUP($A357,Input_Raw!$A:$A,Input_Raw!EW:EW),"")</f>
        <v/>
      </c>
      <c r="Z357" s="29" t="str">
        <f>IFERROR(_xlfn.XLOOKUP($A357,Input_Raw!$A:$A,Input_Raw!EX:EX),"")</f>
        <v/>
      </c>
      <c r="AA357" s="29" t="str">
        <f>IFERROR(_xlfn.XLOOKUP($A357,Input_Raw!$A:$A,Input_Raw!FA:FA),"")</f>
        <v/>
      </c>
      <c r="AB357" s="9" t="str">
        <f>IFERROR(_xlfn.XLOOKUP($A357,Input_Raw!$A:$A,Input_Raw!FD:FD),"")</f>
        <v/>
      </c>
      <c r="AC357" s="185">
        <f>IFERROR(_xlfn.XLOOKUP($D357,'Modelling New'!$D:$D,'Modelling New'!P:P),"")</f>
        <v>6.9225806451612906</v>
      </c>
      <c r="AD357" s="29">
        <f>IFERROR(_xlfn.XLOOKUP($D357,'Modelling New'!$D:$D,'Modelling New'!T:T)*1000,"")</f>
        <v>725267.69661039393</v>
      </c>
      <c r="AE357" s="233">
        <f>IFERROR(_xlfn.XLOOKUP($D357,'Modelling New'!$D:$D,'Modelling New'!O:O),"")</f>
        <v>0.80591076761496216</v>
      </c>
      <c r="AF357" s="233">
        <f>IFERROR(_xlfn.XLOOKUP($D357,'Modelling New'!$D:$D,'Modelling New'!W:W),"")</f>
        <v>0.23245759506743396</v>
      </c>
      <c r="AG357" s="233">
        <f>IFERROR(_xlfn.XLOOKUP($D357,'Modelling New'!$D:$D,'Modelling New'!AE:AE),"")</f>
        <v>0.995</v>
      </c>
      <c r="AH357" s="234">
        <f>IFERROR(_xlfn.XLOOKUP($D357,'Modelling New'!$D:$D,'Modelling New'!AF:AF),"")</f>
        <v>0.995</v>
      </c>
      <c r="AI357" s="9"/>
      <c r="AJ357" s="9"/>
      <c r="AK357" s="258"/>
      <c r="AL357" s="258"/>
      <c r="AM357" s="258"/>
      <c r="AN357" s="235"/>
      <c r="AO357" s="233"/>
      <c r="AP357" s="233"/>
      <c r="AQ357" s="233"/>
      <c r="AR357" s="236">
        <f>_xlfn.XLOOKUP(D357,'Modelling New'!$D:$D,'Modelling New'!$N:$N)</f>
        <v>130</v>
      </c>
      <c r="AS357" s="236" t="str">
        <f t="shared" si="28"/>
        <v/>
      </c>
    </row>
    <row r="358" spans="1:45">
      <c r="A358" s="18">
        <f t="shared" si="29"/>
        <v>46101</v>
      </c>
      <c r="B358" s="29">
        <f>YEAR(Table13[[#This Row],[Date]])+IF(MONTH(Table13[[#This Row],[Date]])&gt;=4,1,0)</f>
        <v>2026</v>
      </c>
      <c r="C358" s="9">
        <f>YEAR(Table13[[#This Row],[Date]])</f>
        <v>2026</v>
      </c>
      <c r="D358" s="229">
        <f>Table13[[#This Row],[Date]]-DAY(Table13[[#This Row],[Date]])+1</f>
        <v>46082</v>
      </c>
      <c r="E358" s="9">
        <f t="shared" si="25"/>
        <v>31</v>
      </c>
      <c r="F358" s="199" t="str">
        <f>IFERROR(_xlfn.XLOOKUP($A358,Input_Raw!$A:$A,Input_Raw!$FC:$FC),"")</f>
        <v/>
      </c>
      <c r="G358" s="200" t="str">
        <f>IFERROR(_xlfn.XLOOKUP($A358,Input_Raw!$A:$A,Input_Raw!$CY:$CY),"")</f>
        <v/>
      </c>
      <c r="H358" s="200" t="str">
        <f>IFERROR(_xlfn.XLOOKUP($A358,Input_Raw!$A:$A,Input_Raw!$DA:$DA),"")</f>
        <v/>
      </c>
      <c r="I358" s="200" t="str">
        <f>IFERROR(_xlfn.XLOOKUP($A358,Input_Raw!$A:$A,Input_Raw!$CX:$CX),"")</f>
        <v/>
      </c>
      <c r="J358" s="200" t="str">
        <f>IFERROR(_xlfn.XLOOKUP($A358,Input_Raw!$A:$A,Input_Raw!$CZ:$CZ),"")</f>
        <v/>
      </c>
      <c r="K358" s="201" t="str">
        <f>IFERROR(_xlfn.XLOOKUP($A358,Input_Raw!$A:$A,Input_Raw!$DB:$DB),"")</f>
        <v/>
      </c>
      <c r="L358" s="201" t="str">
        <f>IFERROR(_xlfn.XLOOKUP($A358,Input_Raw!$A:$A,Input_Raw!$DC:$DC),"")</f>
        <v/>
      </c>
      <c r="M358" s="200" t="str">
        <f>IFERROR(_xlfn.XLOOKUP($A358,Input_Raw!$A:$A,Input_Raw!$DF:$DF),"")</f>
        <v/>
      </c>
      <c r="N358" s="200" t="str">
        <f>IFERROR(_xlfn.XLOOKUP($A358,Input_Raw!$A:$A,Input_Raw!$DG:$DG),"")</f>
        <v/>
      </c>
      <c r="O358" s="230" t="str">
        <f>IFERROR(1-(SUMIF(Plant_BD!$B:$B,$A358,Plant_BD!$AL:$AL)/($AA358+SUMIF(Plant_BD!$B:$B,$A358,Plant_BD!$AL:$AL))),"")</f>
        <v/>
      </c>
      <c r="P358" s="230"/>
      <c r="Q358" s="231" t="str">
        <f>IFERROR(1-(SUMIF(Grid_BD!$B:$B,$A358,Grid_BD!$V:$V)/($AA358+SUMIF(Grid_BD!$B:$B,$A358,Grid_BD!$V:$V))),"")</f>
        <v/>
      </c>
      <c r="R358" s="230" t="str">
        <f>IFERROR(1-(SUMIF(Grid_BD!$B:$B,$A358,Grid_BD!$V:$V)/($AA358+SUMIF(Grid_BD!$B:$B,$A358,Grid_BD!$V:$V))),"")</f>
        <v/>
      </c>
      <c r="S358" s="9"/>
      <c r="T358" s="231"/>
      <c r="U358" s="232" t="str">
        <f t="shared" si="26"/>
        <v/>
      </c>
      <c r="V358" s="232" t="str">
        <f>IFERROR(_xlfn.XLOOKUP($A358,Input_Raw!$A:$A,Input_Raw!$FG:$FG),"")</f>
        <v/>
      </c>
      <c r="W358" s="233" t="str">
        <f t="shared" si="27"/>
        <v/>
      </c>
      <c r="X358" s="29" t="str">
        <f>IFERROR(_xlfn.XLOOKUP($A358,Input_Raw!$A:$A,Input_Raw!$DP:$DP),"")</f>
        <v/>
      </c>
      <c r="Y358" s="29" t="str">
        <f>IFERROR(_xlfn.XLOOKUP($A358,Input_Raw!$A:$A,Input_Raw!EW:EW),"")</f>
        <v/>
      </c>
      <c r="Z358" s="29" t="str">
        <f>IFERROR(_xlfn.XLOOKUP($A358,Input_Raw!$A:$A,Input_Raw!EX:EX),"")</f>
        <v/>
      </c>
      <c r="AA358" s="29" t="str">
        <f>IFERROR(_xlfn.XLOOKUP($A358,Input_Raw!$A:$A,Input_Raw!FA:FA),"")</f>
        <v/>
      </c>
      <c r="AB358" s="9" t="str">
        <f>IFERROR(_xlfn.XLOOKUP($A358,Input_Raw!$A:$A,Input_Raw!FD:FD),"")</f>
        <v/>
      </c>
      <c r="AC358" s="185">
        <f>IFERROR(_xlfn.XLOOKUP($D358,'Modelling New'!$D:$D,'Modelling New'!P:P),"")</f>
        <v>6.9225806451612906</v>
      </c>
      <c r="AD358" s="29">
        <f>IFERROR(_xlfn.XLOOKUP($D358,'Modelling New'!$D:$D,'Modelling New'!T:T)*1000,"")</f>
        <v>725267.69661039393</v>
      </c>
      <c r="AE358" s="233">
        <f>IFERROR(_xlfn.XLOOKUP($D358,'Modelling New'!$D:$D,'Modelling New'!O:O),"")</f>
        <v>0.80591076761496216</v>
      </c>
      <c r="AF358" s="233">
        <f>IFERROR(_xlfn.XLOOKUP($D358,'Modelling New'!$D:$D,'Modelling New'!W:W),"")</f>
        <v>0.23245759506743396</v>
      </c>
      <c r="AG358" s="233">
        <f>IFERROR(_xlfn.XLOOKUP($D358,'Modelling New'!$D:$D,'Modelling New'!AE:AE),"")</f>
        <v>0.995</v>
      </c>
      <c r="AH358" s="234">
        <f>IFERROR(_xlfn.XLOOKUP($D358,'Modelling New'!$D:$D,'Modelling New'!AF:AF),"")</f>
        <v>0.995</v>
      </c>
      <c r="AI358" s="9"/>
      <c r="AJ358" s="9"/>
      <c r="AK358" s="258"/>
      <c r="AL358" s="258"/>
      <c r="AM358" s="258"/>
      <c r="AN358" s="235"/>
      <c r="AO358" s="233"/>
      <c r="AP358" s="233"/>
      <c r="AQ358" s="233"/>
      <c r="AR358" s="236">
        <f>_xlfn.XLOOKUP(D358,'Modelling New'!$D:$D,'Modelling New'!$N:$N)</f>
        <v>130</v>
      </c>
      <c r="AS358" s="236" t="str">
        <f t="shared" si="28"/>
        <v/>
      </c>
    </row>
    <row r="359" spans="1:45">
      <c r="A359" s="18">
        <f t="shared" si="29"/>
        <v>46102</v>
      </c>
      <c r="B359" s="29">
        <f>YEAR(Table13[[#This Row],[Date]])+IF(MONTH(Table13[[#This Row],[Date]])&gt;=4,1,0)</f>
        <v>2026</v>
      </c>
      <c r="C359" s="9">
        <f>YEAR(Table13[[#This Row],[Date]])</f>
        <v>2026</v>
      </c>
      <c r="D359" s="229">
        <f>Table13[[#This Row],[Date]]-DAY(Table13[[#This Row],[Date]])+1</f>
        <v>46082</v>
      </c>
      <c r="E359" s="9">
        <f t="shared" si="25"/>
        <v>31</v>
      </c>
      <c r="F359" s="199" t="str">
        <f>IFERROR(_xlfn.XLOOKUP($A359,Input_Raw!$A:$A,Input_Raw!$FC:$FC),"")</f>
        <v/>
      </c>
      <c r="G359" s="185" t="str">
        <f>IFERROR(_xlfn.XLOOKUP($A359,Input_Raw!$A:$A,Input_Raw!$CY:$CY),"")</f>
        <v/>
      </c>
      <c r="H359" s="185" t="str">
        <f>IFERROR(_xlfn.XLOOKUP($A359,Input_Raw!$A:$A,Input_Raw!$DA:$DA),"")</f>
        <v/>
      </c>
      <c r="I359" s="185" t="str">
        <f>IFERROR(_xlfn.XLOOKUP($A359,Input_Raw!$A:$A,Input_Raw!$CX:$CX),"")</f>
        <v/>
      </c>
      <c r="J359" s="185" t="str">
        <f>IFERROR(_xlfn.XLOOKUP($A359,Input_Raw!$A:$A,Input_Raw!$CZ:$CZ),"")</f>
        <v/>
      </c>
      <c r="K359" s="201" t="str">
        <f>IFERROR(_xlfn.XLOOKUP($A359,Input_Raw!$A:$A,Input_Raw!$DB:$DB),"")</f>
        <v/>
      </c>
      <c r="L359" s="201" t="str">
        <f>IFERROR(_xlfn.XLOOKUP($A359,Input_Raw!$A:$A,Input_Raw!$DC:$DC),"")</f>
        <v/>
      </c>
      <c r="M359" s="200" t="str">
        <f>IFERROR(_xlfn.XLOOKUP($A359,Input_Raw!$A:$A,Input_Raw!$DF:$DF),"")</f>
        <v/>
      </c>
      <c r="N359" s="200" t="str">
        <f>IFERROR(_xlfn.XLOOKUP($A359,Input_Raw!$A:$A,Input_Raw!$DG:$DG),"")</f>
        <v/>
      </c>
      <c r="O359" s="230" t="str">
        <f>IFERROR(1-(SUMIF(Plant_BD!$B:$B,$A359,Plant_BD!$AL:$AL)/($AA359+SUMIF(Plant_BD!$B:$B,$A359,Plant_BD!$AL:$AL))),"")</f>
        <v/>
      </c>
      <c r="P359" s="230"/>
      <c r="Q359" s="231" t="str">
        <f>IFERROR(1-(SUMIF(Grid_BD!$B:$B,$A359,Grid_BD!$V:$V)/($AA359+SUMIF(Grid_BD!$B:$B,$A359,Grid_BD!$V:$V))),"")</f>
        <v/>
      </c>
      <c r="R359" s="230" t="str">
        <f>IFERROR(1-(SUMIF(Grid_BD!$B:$B,$A359,Grid_BD!$V:$V)/($AA359+SUMIF(Grid_BD!$B:$B,$A359,Grid_BD!$V:$V))),"")</f>
        <v/>
      </c>
      <c r="S359" s="9"/>
      <c r="T359" s="231"/>
      <c r="U359" s="232" t="str">
        <f t="shared" si="26"/>
        <v/>
      </c>
      <c r="V359" s="232" t="str">
        <f>IFERROR(_xlfn.XLOOKUP($A359,Input_Raw!$A:$A,Input_Raw!$FG:$FG),"")</f>
        <v/>
      </c>
      <c r="W359" s="233" t="str">
        <f t="shared" si="27"/>
        <v/>
      </c>
      <c r="X359" s="29" t="str">
        <f>IFERROR(_xlfn.XLOOKUP($A359,Input_Raw!$A:$A,Input_Raw!$DP:$DP),"")</f>
        <v/>
      </c>
      <c r="Y359" s="29" t="str">
        <f>IFERROR(_xlfn.XLOOKUP($A359,Input_Raw!$A:$A,Input_Raw!EW:EW),"")</f>
        <v/>
      </c>
      <c r="Z359" s="29" t="str">
        <f>IFERROR(_xlfn.XLOOKUP($A359,Input_Raw!$A:$A,Input_Raw!EX:EX),"")</f>
        <v/>
      </c>
      <c r="AA359" s="29" t="str">
        <f>IFERROR(_xlfn.XLOOKUP($A359,Input_Raw!$A:$A,Input_Raw!FA:FA),"")</f>
        <v/>
      </c>
      <c r="AB359" s="9" t="str">
        <f>IFERROR(_xlfn.XLOOKUP($A359,Input_Raw!$A:$A,Input_Raw!FD:FD),"")</f>
        <v/>
      </c>
      <c r="AC359" s="185">
        <f>IFERROR(_xlfn.XLOOKUP($D359,'Modelling New'!$D:$D,'Modelling New'!P:P),"")</f>
        <v>6.9225806451612906</v>
      </c>
      <c r="AD359" s="29">
        <f>IFERROR(_xlfn.XLOOKUP($D359,'Modelling New'!$D:$D,'Modelling New'!T:T)*1000,"")</f>
        <v>725267.69661039393</v>
      </c>
      <c r="AE359" s="233">
        <f>IFERROR(_xlfn.XLOOKUP($D359,'Modelling New'!$D:$D,'Modelling New'!O:O),"")</f>
        <v>0.80591076761496216</v>
      </c>
      <c r="AF359" s="233">
        <f>IFERROR(_xlfn.XLOOKUP($D359,'Modelling New'!$D:$D,'Modelling New'!W:W),"")</f>
        <v>0.23245759506743396</v>
      </c>
      <c r="AG359" s="233">
        <f>IFERROR(_xlfn.XLOOKUP($D359,'Modelling New'!$D:$D,'Modelling New'!AE:AE),"")</f>
        <v>0.995</v>
      </c>
      <c r="AH359" s="234">
        <f>IFERROR(_xlfn.XLOOKUP($D359,'Modelling New'!$D:$D,'Modelling New'!AF:AF),"")</f>
        <v>0.995</v>
      </c>
      <c r="AI359" s="9"/>
      <c r="AJ359" s="9"/>
      <c r="AK359" s="258"/>
      <c r="AL359" s="258"/>
      <c r="AM359" s="258"/>
      <c r="AN359" s="235"/>
      <c r="AO359" s="233"/>
      <c r="AP359" s="233"/>
      <c r="AQ359" s="233"/>
      <c r="AR359" s="236">
        <f>_xlfn.XLOOKUP(D359,'Modelling New'!$D:$D,'Modelling New'!$N:$N)</f>
        <v>130</v>
      </c>
      <c r="AS359" s="236" t="str">
        <f t="shared" si="28"/>
        <v/>
      </c>
    </row>
    <row r="360" spans="1:45">
      <c r="A360" s="18">
        <f t="shared" si="29"/>
        <v>46103</v>
      </c>
      <c r="B360" s="29">
        <f>YEAR(Table13[[#This Row],[Date]])+IF(MONTH(Table13[[#This Row],[Date]])&gt;=4,1,0)</f>
        <v>2026</v>
      </c>
      <c r="C360" s="9">
        <f>YEAR(Table13[[#This Row],[Date]])</f>
        <v>2026</v>
      </c>
      <c r="D360" s="229">
        <f>Table13[[#This Row],[Date]]-DAY(Table13[[#This Row],[Date]])+1</f>
        <v>46082</v>
      </c>
      <c r="E360" s="9">
        <f t="shared" ref="E360:E369" si="30">DAY(EOMONTH(A360,0))</f>
        <v>31</v>
      </c>
      <c r="F360" s="199" t="str">
        <f>IFERROR(_xlfn.XLOOKUP($A360,Input_Raw!$A:$A,Input_Raw!$FC:$FC),"")</f>
        <v/>
      </c>
      <c r="G360" s="200" t="str">
        <f>IFERROR(_xlfn.XLOOKUP($A360,Input_Raw!$A:$A,Input_Raw!$CY:$CY),"")</f>
        <v/>
      </c>
      <c r="H360" s="200" t="str">
        <f>IFERROR(_xlfn.XLOOKUP($A360,Input_Raw!$A:$A,Input_Raw!$DA:$DA),"")</f>
        <v/>
      </c>
      <c r="I360" s="200" t="str">
        <f>IFERROR(_xlfn.XLOOKUP($A360,Input_Raw!$A:$A,Input_Raw!$CX:$CX),"")</f>
        <v/>
      </c>
      <c r="J360" s="200" t="str">
        <f>IFERROR(_xlfn.XLOOKUP($A360,Input_Raw!$A:$A,Input_Raw!$CZ:$CZ),"")</f>
        <v/>
      </c>
      <c r="K360" s="201" t="str">
        <f>IFERROR(_xlfn.XLOOKUP($A360,Input_Raw!$A:$A,Input_Raw!$DB:$DB),"")</f>
        <v/>
      </c>
      <c r="L360" s="201" t="str">
        <f>IFERROR(_xlfn.XLOOKUP($A360,Input_Raw!$A:$A,Input_Raw!$DC:$DC),"")</f>
        <v/>
      </c>
      <c r="M360" s="200" t="str">
        <f>IFERROR(_xlfn.XLOOKUP($A360,Input_Raw!$A:$A,Input_Raw!$DF:$DF),"")</f>
        <v/>
      </c>
      <c r="N360" s="200" t="str">
        <f>IFERROR(_xlfn.XLOOKUP($A360,Input_Raw!$A:$A,Input_Raw!$DG:$DG),"")</f>
        <v/>
      </c>
      <c r="O360" s="230" t="str">
        <f>IFERROR(1-(SUMIF(Plant_BD!$B:$B,$A360,Plant_BD!$AL:$AL)/($AA360+SUMIF(Plant_BD!$B:$B,$A360,Plant_BD!$AL:$AL))),"")</f>
        <v/>
      </c>
      <c r="P360" s="230"/>
      <c r="Q360" s="231" t="str">
        <f>IFERROR(1-(SUMIF(Grid_BD!$B:$B,$A360,Grid_BD!$V:$V)/($AA360+SUMIF(Grid_BD!$B:$B,$A360,Grid_BD!$V:$V))),"")</f>
        <v/>
      </c>
      <c r="R360" s="230" t="str">
        <f>IFERROR(1-(SUMIF(Grid_BD!$B:$B,$A360,Grid_BD!$V:$V)/($AA360+SUMIF(Grid_BD!$B:$B,$A360,Grid_BD!$V:$V))),"")</f>
        <v/>
      </c>
      <c r="S360" s="9"/>
      <c r="T360" s="231"/>
      <c r="U360" s="232" t="str">
        <f t="shared" ref="U360:U369" si="31">IFERROR(AA360/I360/AB360/1000,"")</f>
        <v/>
      </c>
      <c r="V360" s="232" t="str">
        <f>IFERROR(_xlfn.XLOOKUP($A360,Input_Raw!$A:$A,Input_Raw!$FG:$FG),"")</f>
        <v/>
      </c>
      <c r="W360" s="233" t="str">
        <f t="shared" ref="W360:W369" si="32">IFERROR(AA360/(24*AR360*1000),"")</f>
        <v/>
      </c>
      <c r="X360" s="29" t="str">
        <f>IFERROR(_xlfn.XLOOKUP($A360,Input_Raw!$A:$A,Input_Raw!$DP:$DP),"")</f>
        <v/>
      </c>
      <c r="Y360" s="29" t="str">
        <f>IFERROR(_xlfn.XLOOKUP($A360,Input_Raw!$A:$A,Input_Raw!EW:EW),"")</f>
        <v/>
      </c>
      <c r="Z360" s="29" t="str">
        <f>IFERROR(_xlfn.XLOOKUP($A360,Input_Raw!$A:$A,Input_Raw!EX:EX),"")</f>
        <v/>
      </c>
      <c r="AA360" s="29" t="str">
        <f>IFERROR(_xlfn.XLOOKUP($A360,Input_Raw!$A:$A,Input_Raw!FA:FA),"")</f>
        <v/>
      </c>
      <c r="AB360" s="9" t="str">
        <f>IFERROR(_xlfn.XLOOKUP($A360,Input_Raw!$A:$A,Input_Raw!FD:FD),"")</f>
        <v/>
      </c>
      <c r="AC360" s="185">
        <f>IFERROR(_xlfn.XLOOKUP($D360,'Modelling New'!$D:$D,'Modelling New'!P:P),"")</f>
        <v>6.9225806451612906</v>
      </c>
      <c r="AD360" s="29">
        <f>IFERROR(_xlfn.XLOOKUP($D360,'Modelling New'!$D:$D,'Modelling New'!T:T)*1000,"")</f>
        <v>725267.69661039393</v>
      </c>
      <c r="AE360" s="233">
        <f>IFERROR(_xlfn.XLOOKUP($D360,'Modelling New'!$D:$D,'Modelling New'!O:O),"")</f>
        <v>0.80591076761496216</v>
      </c>
      <c r="AF360" s="233">
        <f>IFERROR(_xlfn.XLOOKUP($D360,'Modelling New'!$D:$D,'Modelling New'!W:W),"")</f>
        <v>0.23245759506743396</v>
      </c>
      <c r="AG360" s="233">
        <f>IFERROR(_xlfn.XLOOKUP($D360,'Modelling New'!$D:$D,'Modelling New'!AE:AE),"")</f>
        <v>0.995</v>
      </c>
      <c r="AH360" s="234">
        <f>IFERROR(_xlfn.XLOOKUP($D360,'Modelling New'!$D:$D,'Modelling New'!AF:AF),"")</f>
        <v>0.995</v>
      </c>
      <c r="AI360" s="9"/>
      <c r="AJ360" s="9"/>
      <c r="AK360" s="258"/>
      <c r="AL360" s="258"/>
      <c r="AM360" s="258"/>
      <c r="AN360" s="235"/>
      <c r="AO360" s="233"/>
      <c r="AP360" s="233"/>
      <c r="AQ360" s="233"/>
      <c r="AR360" s="236">
        <f>_xlfn.XLOOKUP(D360,'Modelling New'!$D:$D,'Modelling New'!$N:$N)</f>
        <v>130</v>
      </c>
      <c r="AS360" s="236" t="str">
        <f t="shared" ref="AS360:AS369" si="33">IFERROR((AD360/AR360)*AB360,"")</f>
        <v/>
      </c>
    </row>
    <row r="361" spans="1:45">
      <c r="A361" s="18">
        <f t="shared" si="29"/>
        <v>46104</v>
      </c>
      <c r="B361" s="29">
        <f>YEAR(Table13[[#This Row],[Date]])+IF(MONTH(Table13[[#This Row],[Date]])&gt;=4,1,0)</f>
        <v>2026</v>
      </c>
      <c r="C361" s="9">
        <f>YEAR(Table13[[#This Row],[Date]])</f>
        <v>2026</v>
      </c>
      <c r="D361" s="229">
        <f>Table13[[#This Row],[Date]]-DAY(Table13[[#This Row],[Date]])+1</f>
        <v>46082</v>
      </c>
      <c r="E361" s="9">
        <f t="shared" si="30"/>
        <v>31</v>
      </c>
      <c r="F361" s="199" t="str">
        <f>IFERROR(_xlfn.XLOOKUP($A361,Input_Raw!$A:$A,Input_Raw!$FC:$FC),"")</f>
        <v/>
      </c>
      <c r="G361" s="185" t="str">
        <f>IFERROR(_xlfn.XLOOKUP($A361,Input_Raw!$A:$A,Input_Raw!$CY:$CY),"")</f>
        <v/>
      </c>
      <c r="H361" s="185" t="str">
        <f>IFERROR(_xlfn.XLOOKUP($A361,Input_Raw!$A:$A,Input_Raw!$DA:$DA),"")</f>
        <v/>
      </c>
      <c r="I361" s="185" t="str">
        <f>IFERROR(_xlfn.XLOOKUP($A361,Input_Raw!$A:$A,Input_Raw!$CX:$CX),"")</f>
        <v/>
      </c>
      <c r="J361" s="185" t="str">
        <f>IFERROR(_xlfn.XLOOKUP($A361,Input_Raw!$A:$A,Input_Raw!$CZ:$CZ),"")</f>
        <v/>
      </c>
      <c r="K361" s="201" t="str">
        <f>IFERROR(_xlfn.XLOOKUP($A361,Input_Raw!$A:$A,Input_Raw!$DB:$DB),"")</f>
        <v/>
      </c>
      <c r="L361" s="201" t="str">
        <f>IFERROR(_xlfn.XLOOKUP($A361,Input_Raw!$A:$A,Input_Raw!$DC:$DC),"")</f>
        <v/>
      </c>
      <c r="M361" s="200" t="str">
        <f>IFERROR(_xlfn.XLOOKUP($A361,Input_Raw!$A:$A,Input_Raw!$DF:$DF),"")</f>
        <v/>
      </c>
      <c r="N361" s="200" t="str">
        <f>IFERROR(_xlfn.XLOOKUP($A361,Input_Raw!$A:$A,Input_Raw!$DG:$DG),"")</f>
        <v/>
      </c>
      <c r="O361" s="230" t="str">
        <f>IFERROR(1-(SUMIF(Plant_BD!$B:$B,$A361,Plant_BD!$AL:$AL)/($AA361+SUMIF(Plant_BD!$B:$B,$A361,Plant_BD!$AL:$AL))),"")</f>
        <v/>
      </c>
      <c r="P361" s="230"/>
      <c r="Q361" s="231" t="str">
        <f>IFERROR(1-(SUMIF(Grid_BD!$B:$B,$A361,Grid_BD!$V:$V)/($AA361+SUMIF(Grid_BD!$B:$B,$A361,Grid_BD!$V:$V))),"")</f>
        <v/>
      </c>
      <c r="R361" s="230" t="str">
        <f>IFERROR(1-(SUMIF(Grid_BD!$B:$B,$A361,Grid_BD!$V:$V)/($AA361+SUMIF(Grid_BD!$B:$B,$A361,Grid_BD!$V:$V))),"")</f>
        <v/>
      </c>
      <c r="S361" s="9"/>
      <c r="T361" s="231"/>
      <c r="U361" s="232" t="str">
        <f t="shared" si="31"/>
        <v/>
      </c>
      <c r="V361" s="232" t="str">
        <f>IFERROR(_xlfn.XLOOKUP($A361,Input_Raw!$A:$A,Input_Raw!$FG:$FG),"")</f>
        <v/>
      </c>
      <c r="W361" s="233" t="str">
        <f t="shared" si="32"/>
        <v/>
      </c>
      <c r="X361" s="29" t="str">
        <f>IFERROR(_xlfn.XLOOKUP($A361,Input_Raw!$A:$A,Input_Raw!$DP:$DP),"")</f>
        <v/>
      </c>
      <c r="Y361" s="29" t="str">
        <f>IFERROR(_xlfn.XLOOKUP($A361,Input_Raw!$A:$A,Input_Raw!EW:EW),"")</f>
        <v/>
      </c>
      <c r="Z361" s="29" t="str">
        <f>IFERROR(_xlfn.XLOOKUP($A361,Input_Raw!$A:$A,Input_Raw!EX:EX),"")</f>
        <v/>
      </c>
      <c r="AA361" s="29" t="str">
        <f>IFERROR(_xlfn.XLOOKUP($A361,Input_Raw!$A:$A,Input_Raw!FA:FA),"")</f>
        <v/>
      </c>
      <c r="AB361" s="9" t="str">
        <f>IFERROR(_xlfn.XLOOKUP($A361,Input_Raw!$A:$A,Input_Raw!FD:FD),"")</f>
        <v/>
      </c>
      <c r="AC361" s="185">
        <f>IFERROR(_xlfn.XLOOKUP($D361,'Modelling New'!$D:$D,'Modelling New'!P:P),"")</f>
        <v>6.9225806451612906</v>
      </c>
      <c r="AD361" s="29">
        <f>IFERROR(_xlfn.XLOOKUP($D361,'Modelling New'!$D:$D,'Modelling New'!T:T)*1000,"")</f>
        <v>725267.69661039393</v>
      </c>
      <c r="AE361" s="233">
        <f>IFERROR(_xlfn.XLOOKUP($D361,'Modelling New'!$D:$D,'Modelling New'!O:O),"")</f>
        <v>0.80591076761496216</v>
      </c>
      <c r="AF361" s="233">
        <f>IFERROR(_xlfn.XLOOKUP($D361,'Modelling New'!$D:$D,'Modelling New'!W:W),"")</f>
        <v>0.23245759506743396</v>
      </c>
      <c r="AG361" s="233">
        <f>IFERROR(_xlfn.XLOOKUP($D361,'Modelling New'!$D:$D,'Modelling New'!AE:AE),"")</f>
        <v>0.995</v>
      </c>
      <c r="AH361" s="234">
        <f>IFERROR(_xlfn.XLOOKUP($D361,'Modelling New'!$D:$D,'Modelling New'!AF:AF),"")</f>
        <v>0.995</v>
      </c>
      <c r="AI361" s="9"/>
      <c r="AJ361" s="9"/>
      <c r="AK361" s="258"/>
      <c r="AL361" s="258"/>
      <c r="AM361" s="258"/>
      <c r="AN361" s="235"/>
      <c r="AO361" s="233"/>
      <c r="AP361" s="233"/>
      <c r="AQ361" s="233"/>
      <c r="AR361" s="236">
        <f>_xlfn.XLOOKUP(D361,'Modelling New'!$D:$D,'Modelling New'!$N:$N)</f>
        <v>130</v>
      </c>
      <c r="AS361" s="236" t="str">
        <f t="shared" si="33"/>
        <v/>
      </c>
    </row>
    <row r="362" spans="1:45">
      <c r="A362" s="18">
        <f t="shared" ref="A362:A369" si="34">A361+1</f>
        <v>46105</v>
      </c>
      <c r="B362" s="29">
        <f>YEAR(Table13[[#This Row],[Date]])+IF(MONTH(Table13[[#This Row],[Date]])&gt;=4,1,0)</f>
        <v>2026</v>
      </c>
      <c r="C362" s="9">
        <f>YEAR(Table13[[#This Row],[Date]])</f>
        <v>2026</v>
      </c>
      <c r="D362" s="229">
        <f>Table13[[#This Row],[Date]]-DAY(Table13[[#This Row],[Date]])+1</f>
        <v>46082</v>
      </c>
      <c r="E362" s="9">
        <f t="shared" si="30"/>
        <v>31</v>
      </c>
      <c r="F362" s="199" t="str">
        <f>IFERROR(_xlfn.XLOOKUP($A362,Input_Raw!$A:$A,Input_Raw!$FC:$FC),"")</f>
        <v/>
      </c>
      <c r="G362" s="200" t="str">
        <f>IFERROR(_xlfn.XLOOKUP($A362,Input_Raw!$A:$A,Input_Raw!$CY:$CY),"")</f>
        <v/>
      </c>
      <c r="H362" s="200" t="str">
        <f>IFERROR(_xlfn.XLOOKUP($A362,Input_Raw!$A:$A,Input_Raw!$DA:$DA),"")</f>
        <v/>
      </c>
      <c r="I362" s="200" t="str">
        <f>IFERROR(_xlfn.XLOOKUP($A362,Input_Raw!$A:$A,Input_Raw!$CX:$CX),"")</f>
        <v/>
      </c>
      <c r="J362" s="200" t="str">
        <f>IFERROR(_xlfn.XLOOKUP($A362,Input_Raw!$A:$A,Input_Raw!$CZ:$CZ),"")</f>
        <v/>
      </c>
      <c r="K362" s="201" t="str">
        <f>IFERROR(_xlfn.XLOOKUP($A362,Input_Raw!$A:$A,Input_Raw!$DB:$DB),"")</f>
        <v/>
      </c>
      <c r="L362" s="201" t="str">
        <f>IFERROR(_xlfn.XLOOKUP($A362,Input_Raw!$A:$A,Input_Raw!$DC:$DC),"")</f>
        <v/>
      </c>
      <c r="M362" s="200" t="str">
        <f>IFERROR(_xlfn.XLOOKUP($A362,Input_Raw!$A:$A,Input_Raw!$DF:$DF),"")</f>
        <v/>
      </c>
      <c r="N362" s="200" t="str">
        <f>IFERROR(_xlfn.XLOOKUP($A362,Input_Raw!$A:$A,Input_Raw!$DG:$DG),"")</f>
        <v/>
      </c>
      <c r="O362" s="230" t="str">
        <f>IFERROR(1-(SUMIF(Plant_BD!$B:$B,$A362,Plant_BD!$AL:$AL)/($AA362+SUMIF(Plant_BD!$B:$B,$A362,Plant_BD!$AL:$AL))),"")</f>
        <v/>
      </c>
      <c r="P362" s="230"/>
      <c r="Q362" s="231" t="str">
        <f>IFERROR(1-(SUMIF(Grid_BD!$B:$B,$A362,Grid_BD!$V:$V)/($AA362+SUMIF(Grid_BD!$B:$B,$A362,Grid_BD!$V:$V))),"")</f>
        <v/>
      </c>
      <c r="R362" s="230" t="str">
        <f>IFERROR(1-(SUMIF(Grid_BD!$B:$B,$A362,Grid_BD!$V:$V)/($AA362+SUMIF(Grid_BD!$B:$B,$A362,Grid_BD!$V:$V))),"")</f>
        <v/>
      </c>
      <c r="S362" s="9"/>
      <c r="T362" s="231"/>
      <c r="U362" s="232" t="str">
        <f t="shared" si="31"/>
        <v/>
      </c>
      <c r="V362" s="232" t="str">
        <f>IFERROR(_xlfn.XLOOKUP($A362,Input_Raw!$A:$A,Input_Raw!$FG:$FG),"")</f>
        <v/>
      </c>
      <c r="W362" s="233" t="str">
        <f t="shared" si="32"/>
        <v/>
      </c>
      <c r="X362" s="29" t="str">
        <f>IFERROR(_xlfn.XLOOKUP($A362,Input_Raw!$A:$A,Input_Raw!$DP:$DP),"")</f>
        <v/>
      </c>
      <c r="Y362" s="29" t="str">
        <f>IFERROR(_xlfn.XLOOKUP($A362,Input_Raw!$A:$A,Input_Raw!EW:EW),"")</f>
        <v/>
      </c>
      <c r="Z362" s="29" t="str">
        <f>IFERROR(_xlfn.XLOOKUP($A362,Input_Raw!$A:$A,Input_Raw!EX:EX),"")</f>
        <v/>
      </c>
      <c r="AA362" s="29" t="str">
        <f>IFERROR(_xlfn.XLOOKUP($A362,Input_Raw!$A:$A,Input_Raw!FA:FA),"")</f>
        <v/>
      </c>
      <c r="AB362" s="9" t="str">
        <f>IFERROR(_xlfn.XLOOKUP($A362,Input_Raw!$A:$A,Input_Raw!FD:FD),"")</f>
        <v/>
      </c>
      <c r="AC362" s="185">
        <f>IFERROR(_xlfn.XLOOKUP($D362,'Modelling New'!$D:$D,'Modelling New'!P:P),"")</f>
        <v>6.9225806451612906</v>
      </c>
      <c r="AD362" s="29">
        <f>IFERROR(_xlfn.XLOOKUP($D362,'Modelling New'!$D:$D,'Modelling New'!T:T)*1000,"")</f>
        <v>725267.69661039393</v>
      </c>
      <c r="AE362" s="233">
        <f>IFERROR(_xlfn.XLOOKUP($D362,'Modelling New'!$D:$D,'Modelling New'!O:O),"")</f>
        <v>0.80591076761496216</v>
      </c>
      <c r="AF362" s="233">
        <f>IFERROR(_xlfn.XLOOKUP($D362,'Modelling New'!$D:$D,'Modelling New'!W:W),"")</f>
        <v>0.23245759506743396</v>
      </c>
      <c r="AG362" s="233">
        <f>IFERROR(_xlfn.XLOOKUP($D362,'Modelling New'!$D:$D,'Modelling New'!AE:AE),"")</f>
        <v>0.995</v>
      </c>
      <c r="AH362" s="234">
        <f>IFERROR(_xlfn.XLOOKUP($D362,'Modelling New'!$D:$D,'Modelling New'!AF:AF),"")</f>
        <v>0.995</v>
      </c>
      <c r="AI362" s="9"/>
      <c r="AJ362" s="9"/>
      <c r="AK362" s="258"/>
      <c r="AL362" s="258"/>
      <c r="AM362" s="258"/>
      <c r="AN362" s="235"/>
      <c r="AO362" s="233"/>
      <c r="AP362" s="233"/>
      <c r="AQ362" s="233"/>
      <c r="AR362" s="236">
        <f>_xlfn.XLOOKUP(D362,'Modelling New'!$D:$D,'Modelling New'!$N:$N)</f>
        <v>130</v>
      </c>
      <c r="AS362" s="236" t="str">
        <f t="shared" si="33"/>
        <v/>
      </c>
    </row>
    <row r="363" spans="1:45">
      <c r="A363" s="18">
        <f t="shared" si="34"/>
        <v>46106</v>
      </c>
      <c r="B363" s="29">
        <f>YEAR(Table13[[#This Row],[Date]])+IF(MONTH(Table13[[#This Row],[Date]])&gt;=4,1,0)</f>
        <v>2026</v>
      </c>
      <c r="C363" s="9">
        <f>YEAR(Table13[[#This Row],[Date]])</f>
        <v>2026</v>
      </c>
      <c r="D363" s="229">
        <f>Table13[[#This Row],[Date]]-DAY(Table13[[#This Row],[Date]])+1</f>
        <v>46082</v>
      </c>
      <c r="E363" s="9">
        <f t="shared" si="30"/>
        <v>31</v>
      </c>
      <c r="F363" s="199" t="str">
        <f>IFERROR(_xlfn.XLOOKUP($A363,Input_Raw!$A:$A,Input_Raw!$FC:$FC),"")</f>
        <v/>
      </c>
      <c r="G363" s="185" t="str">
        <f>IFERROR(_xlfn.XLOOKUP($A363,Input_Raw!$A:$A,Input_Raw!$CY:$CY),"")</f>
        <v/>
      </c>
      <c r="H363" s="185" t="str">
        <f>IFERROR(_xlfn.XLOOKUP($A363,Input_Raw!$A:$A,Input_Raw!$DA:$DA),"")</f>
        <v/>
      </c>
      <c r="I363" s="185" t="str">
        <f>IFERROR(_xlfn.XLOOKUP($A363,Input_Raw!$A:$A,Input_Raw!$CX:$CX),"")</f>
        <v/>
      </c>
      <c r="J363" s="185" t="str">
        <f>IFERROR(_xlfn.XLOOKUP($A363,Input_Raw!$A:$A,Input_Raw!$CZ:$CZ),"")</f>
        <v/>
      </c>
      <c r="K363" s="201" t="str">
        <f>IFERROR(_xlfn.XLOOKUP($A363,Input_Raw!$A:$A,Input_Raw!$DB:$DB),"")</f>
        <v/>
      </c>
      <c r="L363" s="201" t="str">
        <f>IFERROR(_xlfn.XLOOKUP($A363,Input_Raw!$A:$A,Input_Raw!$DC:$DC),"")</f>
        <v/>
      </c>
      <c r="M363" s="200" t="str">
        <f>IFERROR(_xlfn.XLOOKUP($A363,Input_Raw!$A:$A,Input_Raw!$DF:$DF),"")</f>
        <v/>
      </c>
      <c r="N363" s="200" t="str">
        <f>IFERROR(_xlfn.XLOOKUP($A363,Input_Raw!$A:$A,Input_Raw!$DG:$DG),"")</f>
        <v/>
      </c>
      <c r="O363" s="230" t="str">
        <f>IFERROR(1-(SUMIF(Plant_BD!$B:$B,$A363,Plant_BD!$AL:$AL)/($AA363+SUMIF(Plant_BD!$B:$B,$A363,Plant_BD!$AL:$AL))),"")</f>
        <v/>
      </c>
      <c r="P363" s="230"/>
      <c r="Q363" s="231" t="str">
        <f>IFERROR(1-(SUMIF(Grid_BD!$B:$B,$A363,Grid_BD!$V:$V)/($AA363+SUMIF(Grid_BD!$B:$B,$A363,Grid_BD!$V:$V))),"")</f>
        <v/>
      </c>
      <c r="R363" s="230" t="str">
        <f>IFERROR(1-(SUMIF(Grid_BD!$B:$B,$A363,Grid_BD!$V:$V)/($AA363+SUMIF(Grid_BD!$B:$B,$A363,Grid_BD!$V:$V))),"")</f>
        <v/>
      </c>
      <c r="S363" s="9"/>
      <c r="T363" s="231"/>
      <c r="U363" s="232" t="str">
        <f t="shared" si="31"/>
        <v/>
      </c>
      <c r="V363" s="232" t="str">
        <f>IFERROR(_xlfn.XLOOKUP($A363,Input_Raw!$A:$A,Input_Raw!$FG:$FG),"")</f>
        <v/>
      </c>
      <c r="W363" s="233" t="str">
        <f t="shared" si="32"/>
        <v/>
      </c>
      <c r="X363" s="29" t="str">
        <f>IFERROR(_xlfn.XLOOKUP($A363,Input_Raw!$A:$A,Input_Raw!$DP:$DP),"")</f>
        <v/>
      </c>
      <c r="Y363" s="29" t="str">
        <f>IFERROR(_xlfn.XLOOKUP($A363,Input_Raw!$A:$A,Input_Raw!EW:EW),"")</f>
        <v/>
      </c>
      <c r="Z363" s="29" t="str">
        <f>IFERROR(_xlfn.XLOOKUP($A363,Input_Raw!$A:$A,Input_Raw!EX:EX),"")</f>
        <v/>
      </c>
      <c r="AA363" s="29" t="str">
        <f>IFERROR(_xlfn.XLOOKUP($A363,Input_Raw!$A:$A,Input_Raw!FA:FA),"")</f>
        <v/>
      </c>
      <c r="AB363" s="9" t="str">
        <f>IFERROR(_xlfn.XLOOKUP($A363,Input_Raw!$A:$A,Input_Raw!FD:FD),"")</f>
        <v/>
      </c>
      <c r="AC363" s="185">
        <f>IFERROR(_xlfn.XLOOKUP($D363,'Modelling New'!$D:$D,'Modelling New'!P:P),"")</f>
        <v>6.9225806451612906</v>
      </c>
      <c r="AD363" s="29">
        <f>IFERROR(_xlfn.XLOOKUP($D363,'Modelling New'!$D:$D,'Modelling New'!T:T)*1000,"")</f>
        <v>725267.69661039393</v>
      </c>
      <c r="AE363" s="233">
        <f>IFERROR(_xlfn.XLOOKUP($D363,'Modelling New'!$D:$D,'Modelling New'!O:O),"")</f>
        <v>0.80591076761496216</v>
      </c>
      <c r="AF363" s="233">
        <f>IFERROR(_xlfn.XLOOKUP($D363,'Modelling New'!$D:$D,'Modelling New'!W:W),"")</f>
        <v>0.23245759506743396</v>
      </c>
      <c r="AG363" s="233">
        <f>IFERROR(_xlfn.XLOOKUP($D363,'Modelling New'!$D:$D,'Modelling New'!AE:AE),"")</f>
        <v>0.995</v>
      </c>
      <c r="AH363" s="234">
        <f>IFERROR(_xlfn.XLOOKUP($D363,'Modelling New'!$D:$D,'Modelling New'!AF:AF),"")</f>
        <v>0.995</v>
      </c>
      <c r="AI363" s="9"/>
      <c r="AJ363" s="9"/>
      <c r="AK363" s="258"/>
      <c r="AL363" s="258"/>
      <c r="AM363" s="258"/>
      <c r="AN363" s="235"/>
      <c r="AO363" s="233"/>
      <c r="AP363" s="233"/>
      <c r="AQ363" s="233"/>
      <c r="AR363" s="236">
        <f>_xlfn.XLOOKUP(D363,'Modelling New'!$D:$D,'Modelling New'!$N:$N)</f>
        <v>130</v>
      </c>
      <c r="AS363" s="236" t="str">
        <f t="shared" si="33"/>
        <v/>
      </c>
    </row>
    <row r="364" spans="1:45">
      <c r="A364" s="18">
        <f t="shared" si="34"/>
        <v>46107</v>
      </c>
      <c r="B364" s="29">
        <f>YEAR(Table13[[#This Row],[Date]])+IF(MONTH(Table13[[#This Row],[Date]])&gt;=4,1,0)</f>
        <v>2026</v>
      </c>
      <c r="C364" s="9">
        <f>YEAR(Table13[[#This Row],[Date]])</f>
        <v>2026</v>
      </c>
      <c r="D364" s="229">
        <f>Table13[[#This Row],[Date]]-DAY(Table13[[#This Row],[Date]])+1</f>
        <v>46082</v>
      </c>
      <c r="E364" s="9">
        <f t="shared" si="30"/>
        <v>31</v>
      </c>
      <c r="F364" s="199" t="str">
        <f>IFERROR(_xlfn.XLOOKUP($A364,Input_Raw!$A:$A,Input_Raw!$FC:$FC),"")</f>
        <v/>
      </c>
      <c r="G364" s="200" t="str">
        <f>IFERROR(_xlfn.XLOOKUP($A364,Input_Raw!$A:$A,Input_Raw!$CY:$CY),"")</f>
        <v/>
      </c>
      <c r="H364" s="200" t="str">
        <f>IFERROR(_xlfn.XLOOKUP($A364,Input_Raw!$A:$A,Input_Raw!$DA:$DA),"")</f>
        <v/>
      </c>
      <c r="I364" s="200" t="str">
        <f>IFERROR(_xlfn.XLOOKUP($A364,Input_Raw!$A:$A,Input_Raw!$CX:$CX),"")</f>
        <v/>
      </c>
      <c r="J364" s="200" t="str">
        <f>IFERROR(_xlfn.XLOOKUP($A364,Input_Raw!$A:$A,Input_Raw!$CZ:$CZ),"")</f>
        <v/>
      </c>
      <c r="K364" s="201" t="str">
        <f>IFERROR(_xlfn.XLOOKUP($A364,Input_Raw!$A:$A,Input_Raw!$DB:$DB),"")</f>
        <v/>
      </c>
      <c r="L364" s="201" t="str">
        <f>IFERROR(_xlfn.XLOOKUP($A364,Input_Raw!$A:$A,Input_Raw!$DC:$DC),"")</f>
        <v/>
      </c>
      <c r="M364" s="200" t="str">
        <f>IFERROR(_xlfn.XLOOKUP($A364,Input_Raw!$A:$A,Input_Raw!$DF:$DF),"")</f>
        <v/>
      </c>
      <c r="N364" s="200" t="str">
        <f>IFERROR(_xlfn.XLOOKUP($A364,Input_Raw!$A:$A,Input_Raw!$DG:$DG),"")</f>
        <v/>
      </c>
      <c r="O364" s="230" t="str">
        <f>IFERROR(1-(SUMIF(Plant_BD!$B:$B,$A364,Plant_BD!$AL:$AL)/($AA364+SUMIF(Plant_BD!$B:$B,$A364,Plant_BD!$AL:$AL))),"")</f>
        <v/>
      </c>
      <c r="P364" s="230"/>
      <c r="Q364" s="231" t="str">
        <f>IFERROR(1-(SUMIF(Grid_BD!$B:$B,$A364,Grid_BD!$V:$V)/($AA364+SUMIF(Grid_BD!$B:$B,$A364,Grid_BD!$V:$V))),"")</f>
        <v/>
      </c>
      <c r="R364" s="230" t="str">
        <f>IFERROR(1-(SUMIF(Grid_BD!$B:$B,$A364,Grid_BD!$V:$V)/($AA364+SUMIF(Grid_BD!$B:$B,$A364,Grid_BD!$V:$V))),"")</f>
        <v/>
      </c>
      <c r="S364" s="9"/>
      <c r="T364" s="231"/>
      <c r="U364" s="232" t="str">
        <f t="shared" si="31"/>
        <v/>
      </c>
      <c r="V364" s="232" t="str">
        <f>IFERROR(_xlfn.XLOOKUP($A364,Input_Raw!$A:$A,Input_Raw!$FG:$FG),"")</f>
        <v/>
      </c>
      <c r="W364" s="233" t="str">
        <f t="shared" si="32"/>
        <v/>
      </c>
      <c r="X364" s="29" t="str">
        <f>IFERROR(_xlfn.XLOOKUP($A364,Input_Raw!$A:$A,Input_Raw!$DP:$DP),"")</f>
        <v/>
      </c>
      <c r="Y364" s="29" t="str">
        <f>IFERROR(_xlfn.XLOOKUP($A364,Input_Raw!$A:$A,Input_Raw!EW:EW),"")</f>
        <v/>
      </c>
      <c r="Z364" s="29" t="str">
        <f>IFERROR(_xlfn.XLOOKUP($A364,Input_Raw!$A:$A,Input_Raw!EX:EX),"")</f>
        <v/>
      </c>
      <c r="AA364" s="29" t="str">
        <f>IFERROR(_xlfn.XLOOKUP($A364,Input_Raw!$A:$A,Input_Raw!FA:FA),"")</f>
        <v/>
      </c>
      <c r="AB364" s="9" t="str">
        <f>IFERROR(_xlfn.XLOOKUP($A364,Input_Raw!$A:$A,Input_Raw!FD:FD),"")</f>
        <v/>
      </c>
      <c r="AC364" s="185">
        <f>IFERROR(_xlfn.XLOOKUP($D364,'Modelling New'!$D:$D,'Modelling New'!P:P),"")</f>
        <v>6.9225806451612906</v>
      </c>
      <c r="AD364" s="29">
        <f>IFERROR(_xlfn.XLOOKUP($D364,'Modelling New'!$D:$D,'Modelling New'!T:T)*1000,"")</f>
        <v>725267.69661039393</v>
      </c>
      <c r="AE364" s="233">
        <f>IFERROR(_xlfn.XLOOKUP($D364,'Modelling New'!$D:$D,'Modelling New'!O:O),"")</f>
        <v>0.80591076761496216</v>
      </c>
      <c r="AF364" s="233">
        <f>IFERROR(_xlfn.XLOOKUP($D364,'Modelling New'!$D:$D,'Modelling New'!W:W),"")</f>
        <v>0.23245759506743396</v>
      </c>
      <c r="AG364" s="233">
        <f>IFERROR(_xlfn.XLOOKUP($D364,'Modelling New'!$D:$D,'Modelling New'!AE:AE),"")</f>
        <v>0.995</v>
      </c>
      <c r="AH364" s="234">
        <f>IFERROR(_xlfn.XLOOKUP($D364,'Modelling New'!$D:$D,'Modelling New'!AF:AF),"")</f>
        <v>0.995</v>
      </c>
      <c r="AI364" s="9"/>
      <c r="AJ364" s="9"/>
      <c r="AK364" s="258"/>
      <c r="AL364" s="258"/>
      <c r="AM364" s="258"/>
      <c r="AN364" s="235"/>
      <c r="AO364" s="233"/>
      <c r="AP364" s="233"/>
      <c r="AQ364" s="233"/>
      <c r="AR364" s="236">
        <f>_xlfn.XLOOKUP(D364,'Modelling New'!$D:$D,'Modelling New'!$N:$N)</f>
        <v>130</v>
      </c>
      <c r="AS364" s="236" t="str">
        <f t="shared" si="33"/>
        <v/>
      </c>
    </row>
    <row r="365" spans="1:45">
      <c r="A365" s="18">
        <f t="shared" si="34"/>
        <v>46108</v>
      </c>
      <c r="B365" s="29">
        <f>YEAR(Table13[[#This Row],[Date]])+IF(MONTH(Table13[[#This Row],[Date]])&gt;=4,1,0)</f>
        <v>2026</v>
      </c>
      <c r="C365" s="9">
        <f>YEAR(Table13[[#This Row],[Date]])</f>
        <v>2026</v>
      </c>
      <c r="D365" s="229">
        <f>Table13[[#This Row],[Date]]-DAY(Table13[[#This Row],[Date]])+1</f>
        <v>46082</v>
      </c>
      <c r="E365" s="9">
        <f t="shared" si="30"/>
        <v>31</v>
      </c>
      <c r="F365" s="199" t="str">
        <f>IFERROR(_xlfn.XLOOKUP($A365,Input_Raw!$A:$A,Input_Raw!$FC:$FC),"")</f>
        <v/>
      </c>
      <c r="G365" s="185" t="str">
        <f>IFERROR(_xlfn.XLOOKUP($A365,Input_Raw!$A:$A,Input_Raw!$CY:$CY),"")</f>
        <v/>
      </c>
      <c r="H365" s="185" t="str">
        <f>IFERROR(_xlfn.XLOOKUP($A365,Input_Raw!$A:$A,Input_Raw!$DA:$DA),"")</f>
        <v/>
      </c>
      <c r="I365" s="185" t="str">
        <f>IFERROR(_xlfn.XLOOKUP($A365,Input_Raw!$A:$A,Input_Raw!$CX:$CX),"")</f>
        <v/>
      </c>
      <c r="J365" s="185" t="str">
        <f>IFERROR(_xlfn.XLOOKUP($A365,Input_Raw!$A:$A,Input_Raw!$CZ:$CZ),"")</f>
        <v/>
      </c>
      <c r="K365" s="201" t="str">
        <f>IFERROR(_xlfn.XLOOKUP($A365,Input_Raw!$A:$A,Input_Raw!$DB:$DB),"")</f>
        <v/>
      </c>
      <c r="L365" s="201" t="str">
        <f>IFERROR(_xlfn.XLOOKUP($A365,Input_Raw!$A:$A,Input_Raw!$DC:$DC),"")</f>
        <v/>
      </c>
      <c r="M365" s="200" t="str">
        <f>IFERROR(_xlfn.XLOOKUP($A365,Input_Raw!$A:$A,Input_Raw!$DF:$DF),"")</f>
        <v/>
      </c>
      <c r="N365" s="200" t="str">
        <f>IFERROR(_xlfn.XLOOKUP($A365,Input_Raw!$A:$A,Input_Raw!$DG:$DG),"")</f>
        <v/>
      </c>
      <c r="O365" s="230" t="str">
        <f>IFERROR(1-(SUMIF(Plant_BD!$B:$B,$A365,Plant_BD!$AL:$AL)/($AA365+SUMIF(Plant_BD!$B:$B,$A365,Plant_BD!$AL:$AL))),"")</f>
        <v/>
      </c>
      <c r="P365" s="230"/>
      <c r="Q365" s="231" t="str">
        <f>IFERROR(1-(SUMIF(Grid_BD!$B:$B,$A365,Grid_BD!$V:$V)/($AA365+SUMIF(Grid_BD!$B:$B,$A365,Grid_BD!$V:$V))),"")</f>
        <v/>
      </c>
      <c r="R365" s="230" t="str">
        <f>IFERROR(1-(SUMIF(Grid_BD!$B:$B,$A365,Grid_BD!$V:$V)/($AA365+SUMIF(Grid_BD!$B:$B,$A365,Grid_BD!$V:$V))),"")</f>
        <v/>
      </c>
      <c r="S365" s="9"/>
      <c r="T365" s="231"/>
      <c r="U365" s="232" t="str">
        <f t="shared" si="31"/>
        <v/>
      </c>
      <c r="V365" s="232" t="str">
        <f>IFERROR(_xlfn.XLOOKUP($A365,Input_Raw!$A:$A,Input_Raw!$FG:$FG),"")</f>
        <v/>
      </c>
      <c r="W365" s="233" t="str">
        <f t="shared" si="32"/>
        <v/>
      </c>
      <c r="X365" s="29" t="str">
        <f>IFERROR(_xlfn.XLOOKUP($A365,Input_Raw!$A:$A,Input_Raw!$DP:$DP),"")</f>
        <v/>
      </c>
      <c r="Y365" s="29" t="str">
        <f>IFERROR(_xlfn.XLOOKUP($A365,Input_Raw!$A:$A,Input_Raw!EW:EW),"")</f>
        <v/>
      </c>
      <c r="Z365" s="29" t="str">
        <f>IFERROR(_xlfn.XLOOKUP($A365,Input_Raw!$A:$A,Input_Raw!EX:EX),"")</f>
        <v/>
      </c>
      <c r="AA365" s="29" t="str">
        <f>IFERROR(_xlfn.XLOOKUP($A365,Input_Raw!$A:$A,Input_Raw!FA:FA),"")</f>
        <v/>
      </c>
      <c r="AB365" s="9" t="str">
        <f>IFERROR(_xlfn.XLOOKUP($A365,Input_Raw!$A:$A,Input_Raw!FD:FD),"")</f>
        <v/>
      </c>
      <c r="AC365" s="185">
        <f>IFERROR(_xlfn.XLOOKUP($D365,'Modelling New'!$D:$D,'Modelling New'!P:P),"")</f>
        <v>6.9225806451612906</v>
      </c>
      <c r="AD365" s="29">
        <f>IFERROR(_xlfn.XLOOKUP($D365,'Modelling New'!$D:$D,'Modelling New'!T:T)*1000,"")</f>
        <v>725267.69661039393</v>
      </c>
      <c r="AE365" s="233">
        <f>IFERROR(_xlfn.XLOOKUP($D365,'Modelling New'!$D:$D,'Modelling New'!O:O),"")</f>
        <v>0.80591076761496216</v>
      </c>
      <c r="AF365" s="233">
        <f>IFERROR(_xlfn.XLOOKUP($D365,'Modelling New'!$D:$D,'Modelling New'!W:W),"")</f>
        <v>0.23245759506743396</v>
      </c>
      <c r="AG365" s="233">
        <f>IFERROR(_xlfn.XLOOKUP($D365,'Modelling New'!$D:$D,'Modelling New'!AE:AE),"")</f>
        <v>0.995</v>
      </c>
      <c r="AH365" s="234">
        <f>IFERROR(_xlfn.XLOOKUP($D365,'Modelling New'!$D:$D,'Modelling New'!AF:AF),"")</f>
        <v>0.995</v>
      </c>
      <c r="AI365" s="9"/>
      <c r="AJ365" s="9"/>
      <c r="AK365" s="258"/>
      <c r="AL365" s="258"/>
      <c r="AM365" s="258"/>
      <c r="AN365" s="235"/>
      <c r="AO365" s="233"/>
      <c r="AP365" s="233"/>
      <c r="AQ365" s="233"/>
      <c r="AR365" s="236">
        <f>_xlfn.XLOOKUP(D365,'Modelling New'!$D:$D,'Modelling New'!$N:$N)</f>
        <v>130</v>
      </c>
      <c r="AS365" s="236" t="str">
        <f t="shared" si="33"/>
        <v/>
      </c>
    </row>
    <row r="366" spans="1:45">
      <c r="A366" s="18">
        <f t="shared" si="34"/>
        <v>46109</v>
      </c>
      <c r="B366" s="29">
        <f>YEAR(Table13[[#This Row],[Date]])+IF(MONTH(Table13[[#This Row],[Date]])&gt;=4,1,0)</f>
        <v>2026</v>
      </c>
      <c r="C366" s="9">
        <f>YEAR(Table13[[#This Row],[Date]])</f>
        <v>2026</v>
      </c>
      <c r="D366" s="229">
        <f>Table13[[#This Row],[Date]]-DAY(Table13[[#This Row],[Date]])+1</f>
        <v>46082</v>
      </c>
      <c r="E366" s="9">
        <f t="shared" si="30"/>
        <v>31</v>
      </c>
      <c r="F366" s="199" t="str">
        <f>IFERROR(_xlfn.XLOOKUP($A366,Input_Raw!$A:$A,Input_Raw!$FC:$FC),"")</f>
        <v/>
      </c>
      <c r="G366" s="200" t="str">
        <f>IFERROR(_xlfn.XLOOKUP($A366,Input_Raw!$A:$A,Input_Raw!$CY:$CY),"")</f>
        <v/>
      </c>
      <c r="H366" s="200" t="str">
        <f>IFERROR(_xlfn.XLOOKUP($A366,Input_Raw!$A:$A,Input_Raw!$DA:$DA),"")</f>
        <v/>
      </c>
      <c r="I366" s="200" t="str">
        <f>IFERROR(_xlfn.XLOOKUP($A366,Input_Raw!$A:$A,Input_Raw!$CX:$CX),"")</f>
        <v/>
      </c>
      <c r="J366" s="200" t="str">
        <f>IFERROR(_xlfn.XLOOKUP($A366,Input_Raw!$A:$A,Input_Raw!$CZ:$CZ),"")</f>
        <v/>
      </c>
      <c r="K366" s="201" t="str">
        <f>IFERROR(_xlfn.XLOOKUP($A366,Input_Raw!$A:$A,Input_Raw!$DB:$DB),"")</f>
        <v/>
      </c>
      <c r="L366" s="201" t="str">
        <f>IFERROR(_xlfn.XLOOKUP($A366,Input_Raw!$A:$A,Input_Raw!$DC:$DC),"")</f>
        <v/>
      </c>
      <c r="M366" s="200" t="str">
        <f>IFERROR(_xlfn.XLOOKUP($A366,Input_Raw!$A:$A,Input_Raw!$DF:$DF),"")</f>
        <v/>
      </c>
      <c r="N366" s="200" t="str">
        <f>IFERROR(_xlfn.XLOOKUP($A366,Input_Raw!$A:$A,Input_Raw!$DG:$DG),"")</f>
        <v/>
      </c>
      <c r="O366" s="230" t="str">
        <f>IFERROR(1-(SUMIF(Plant_BD!$B:$B,$A366,Plant_BD!$AL:$AL)/($AA366+SUMIF(Plant_BD!$B:$B,$A366,Plant_BD!$AL:$AL))),"")</f>
        <v/>
      </c>
      <c r="P366" s="230"/>
      <c r="Q366" s="231" t="str">
        <f>IFERROR(1-(SUMIF(Grid_BD!$B:$B,$A366,Grid_BD!$V:$V)/($AA366+SUMIF(Grid_BD!$B:$B,$A366,Grid_BD!$V:$V))),"")</f>
        <v/>
      </c>
      <c r="R366" s="230" t="str">
        <f>IFERROR(1-(SUMIF(Grid_BD!$B:$B,$A366,Grid_BD!$V:$V)/($AA366+SUMIF(Grid_BD!$B:$B,$A366,Grid_BD!$V:$V))),"")</f>
        <v/>
      </c>
      <c r="S366" s="9"/>
      <c r="T366" s="231"/>
      <c r="U366" s="232" t="str">
        <f t="shared" si="31"/>
        <v/>
      </c>
      <c r="V366" s="232" t="str">
        <f>IFERROR(_xlfn.XLOOKUP($A366,Input_Raw!$A:$A,Input_Raw!$FG:$FG),"")</f>
        <v/>
      </c>
      <c r="W366" s="233" t="str">
        <f t="shared" si="32"/>
        <v/>
      </c>
      <c r="X366" s="29" t="str">
        <f>IFERROR(_xlfn.XLOOKUP($A366,Input_Raw!$A:$A,Input_Raw!$DP:$DP),"")</f>
        <v/>
      </c>
      <c r="Y366" s="29" t="str">
        <f>IFERROR(_xlfn.XLOOKUP($A366,Input_Raw!$A:$A,Input_Raw!EW:EW),"")</f>
        <v/>
      </c>
      <c r="Z366" s="29" t="str">
        <f>IFERROR(_xlfn.XLOOKUP($A366,Input_Raw!$A:$A,Input_Raw!EX:EX),"")</f>
        <v/>
      </c>
      <c r="AA366" s="29" t="str">
        <f>IFERROR(_xlfn.XLOOKUP($A366,Input_Raw!$A:$A,Input_Raw!FA:FA),"")</f>
        <v/>
      </c>
      <c r="AB366" s="9" t="str">
        <f>IFERROR(_xlfn.XLOOKUP($A366,Input_Raw!$A:$A,Input_Raw!FD:FD),"")</f>
        <v/>
      </c>
      <c r="AC366" s="185">
        <f>IFERROR(_xlfn.XLOOKUP($D366,'Modelling New'!$D:$D,'Modelling New'!P:P),"")</f>
        <v>6.9225806451612906</v>
      </c>
      <c r="AD366" s="29">
        <f>IFERROR(_xlfn.XLOOKUP($D366,'Modelling New'!$D:$D,'Modelling New'!T:T)*1000,"")</f>
        <v>725267.69661039393</v>
      </c>
      <c r="AE366" s="233">
        <f>IFERROR(_xlfn.XLOOKUP($D366,'Modelling New'!$D:$D,'Modelling New'!O:O),"")</f>
        <v>0.80591076761496216</v>
      </c>
      <c r="AF366" s="233">
        <f>IFERROR(_xlfn.XLOOKUP($D366,'Modelling New'!$D:$D,'Modelling New'!W:W),"")</f>
        <v>0.23245759506743396</v>
      </c>
      <c r="AG366" s="233">
        <f>IFERROR(_xlfn.XLOOKUP($D366,'Modelling New'!$D:$D,'Modelling New'!AE:AE),"")</f>
        <v>0.995</v>
      </c>
      <c r="AH366" s="234">
        <f>IFERROR(_xlfn.XLOOKUP($D366,'Modelling New'!$D:$D,'Modelling New'!AF:AF),"")</f>
        <v>0.995</v>
      </c>
      <c r="AI366" s="9"/>
      <c r="AJ366" s="9"/>
      <c r="AK366" s="258"/>
      <c r="AL366" s="258"/>
      <c r="AM366" s="258"/>
      <c r="AN366" s="235"/>
      <c r="AO366" s="233"/>
      <c r="AP366" s="233"/>
      <c r="AQ366" s="233"/>
      <c r="AR366" s="236">
        <f>_xlfn.XLOOKUP(D366,'Modelling New'!$D:$D,'Modelling New'!$N:$N)</f>
        <v>130</v>
      </c>
      <c r="AS366" s="236" t="str">
        <f t="shared" si="33"/>
        <v/>
      </c>
    </row>
    <row r="367" spans="1:45">
      <c r="A367" s="18">
        <f t="shared" si="34"/>
        <v>46110</v>
      </c>
      <c r="B367" s="29">
        <f>YEAR(Table13[[#This Row],[Date]])+IF(MONTH(Table13[[#This Row],[Date]])&gt;=4,1,0)</f>
        <v>2026</v>
      </c>
      <c r="C367" s="9">
        <f>YEAR(Table13[[#This Row],[Date]])</f>
        <v>2026</v>
      </c>
      <c r="D367" s="229">
        <f>Table13[[#This Row],[Date]]-DAY(Table13[[#This Row],[Date]])+1</f>
        <v>46082</v>
      </c>
      <c r="E367" s="9">
        <f t="shared" si="30"/>
        <v>31</v>
      </c>
      <c r="F367" s="199" t="str">
        <f>IFERROR(_xlfn.XLOOKUP($A367,Input_Raw!$A:$A,Input_Raw!$FC:$FC),"")</f>
        <v/>
      </c>
      <c r="G367" s="185" t="str">
        <f>IFERROR(_xlfn.XLOOKUP($A367,Input_Raw!$A:$A,Input_Raw!$CY:$CY),"")</f>
        <v/>
      </c>
      <c r="H367" s="185" t="str">
        <f>IFERROR(_xlfn.XLOOKUP($A367,Input_Raw!$A:$A,Input_Raw!$DA:$DA),"")</f>
        <v/>
      </c>
      <c r="I367" s="185" t="str">
        <f>IFERROR(_xlfn.XLOOKUP($A367,Input_Raw!$A:$A,Input_Raw!$CX:$CX),"")</f>
        <v/>
      </c>
      <c r="J367" s="185" t="str">
        <f>IFERROR(_xlfn.XLOOKUP($A367,Input_Raw!$A:$A,Input_Raw!$CZ:$CZ),"")</f>
        <v/>
      </c>
      <c r="K367" s="201" t="str">
        <f>IFERROR(_xlfn.XLOOKUP($A367,Input_Raw!$A:$A,Input_Raw!$DB:$DB),"")</f>
        <v/>
      </c>
      <c r="L367" s="201" t="str">
        <f>IFERROR(_xlfn.XLOOKUP($A367,Input_Raw!$A:$A,Input_Raw!$DC:$DC),"")</f>
        <v/>
      </c>
      <c r="M367" s="200" t="str">
        <f>IFERROR(_xlfn.XLOOKUP($A367,Input_Raw!$A:$A,Input_Raw!$DF:$DF),"")</f>
        <v/>
      </c>
      <c r="N367" s="200" t="str">
        <f>IFERROR(_xlfn.XLOOKUP($A367,Input_Raw!$A:$A,Input_Raw!$DG:$DG),"")</f>
        <v/>
      </c>
      <c r="O367" s="230" t="str">
        <f>IFERROR(1-(SUMIF(Plant_BD!$B:$B,$A367,Plant_BD!$AL:$AL)/($AA367+SUMIF(Plant_BD!$B:$B,$A367,Plant_BD!$AL:$AL))),"")</f>
        <v/>
      </c>
      <c r="P367" s="230"/>
      <c r="Q367" s="231" t="str">
        <f>IFERROR(1-(SUMIF(Grid_BD!$B:$B,$A367,Grid_BD!$V:$V)/($AA367+SUMIF(Grid_BD!$B:$B,$A367,Grid_BD!$V:$V))),"")</f>
        <v/>
      </c>
      <c r="R367" s="230" t="str">
        <f>IFERROR(1-(SUMIF(Grid_BD!$B:$B,$A367,Grid_BD!$V:$V)/($AA367+SUMIF(Grid_BD!$B:$B,$A367,Grid_BD!$V:$V))),"")</f>
        <v/>
      </c>
      <c r="S367" s="9"/>
      <c r="T367" s="231"/>
      <c r="U367" s="232" t="str">
        <f t="shared" si="31"/>
        <v/>
      </c>
      <c r="V367" s="232" t="str">
        <f>IFERROR(_xlfn.XLOOKUP($A367,Input_Raw!$A:$A,Input_Raw!$FG:$FG),"")</f>
        <v/>
      </c>
      <c r="W367" s="233" t="str">
        <f t="shared" si="32"/>
        <v/>
      </c>
      <c r="X367" s="29" t="str">
        <f>IFERROR(_xlfn.XLOOKUP($A367,Input_Raw!$A:$A,Input_Raw!$DP:$DP),"")</f>
        <v/>
      </c>
      <c r="Y367" s="29" t="str">
        <f>IFERROR(_xlfn.XLOOKUP($A367,Input_Raw!$A:$A,Input_Raw!EW:EW),"")</f>
        <v/>
      </c>
      <c r="Z367" s="29" t="str">
        <f>IFERROR(_xlfn.XLOOKUP($A367,Input_Raw!$A:$A,Input_Raw!EX:EX),"")</f>
        <v/>
      </c>
      <c r="AA367" s="29" t="str">
        <f>IFERROR(_xlfn.XLOOKUP($A367,Input_Raw!$A:$A,Input_Raw!FA:FA),"")</f>
        <v/>
      </c>
      <c r="AB367" s="9" t="str">
        <f>IFERROR(_xlfn.XLOOKUP($A367,Input_Raw!$A:$A,Input_Raw!FD:FD),"")</f>
        <v/>
      </c>
      <c r="AC367" s="185">
        <f>IFERROR(_xlfn.XLOOKUP($D367,'Modelling New'!$D:$D,'Modelling New'!P:P),"")</f>
        <v>6.9225806451612906</v>
      </c>
      <c r="AD367" s="29">
        <f>IFERROR(_xlfn.XLOOKUP($D367,'Modelling New'!$D:$D,'Modelling New'!T:T)*1000,"")</f>
        <v>725267.69661039393</v>
      </c>
      <c r="AE367" s="233">
        <f>IFERROR(_xlfn.XLOOKUP($D367,'Modelling New'!$D:$D,'Modelling New'!O:O),"")</f>
        <v>0.80591076761496216</v>
      </c>
      <c r="AF367" s="233">
        <f>IFERROR(_xlfn.XLOOKUP($D367,'Modelling New'!$D:$D,'Modelling New'!W:W),"")</f>
        <v>0.23245759506743396</v>
      </c>
      <c r="AG367" s="233">
        <f>IFERROR(_xlfn.XLOOKUP($D367,'Modelling New'!$D:$D,'Modelling New'!AE:AE),"")</f>
        <v>0.995</v>
      </c>
      <c r="AH367" s="234">
        <f>IFERROR(_xlfn.XLOOKUP($D367,'Modelling New'!$D:$D,'Modelling New'!AF:AF),"")</f>
        <v>0.995</v>
      </c>
      <c r="AI367" s="9"/>
      <c r="AJ367" s="9"/>
      <c r="AK367" s="258"/>
      <c r="AL367" s="258"/>
      <c r="AM367" s="258"/>
      <c r="AN367" s="235"/>
      <c r="AO367" s="233"/>
      <c r="AP367" s="233"/>
      <c r="AQ367" s="233"/>
      <c r="AR367" s="236">
        <f>_xlfn.XLOOKUP(D367,'Modelling New'!$D:$D,'Modelling New'!$N:$N)</f>
        <v>130</v>
      </c>
      <c r="AS367" s="236" t="str">
        <f t="shared" si="33"/>
        <v/>
      </c>
    </row>
    <row r="368" spans="1:45">
      <c r="A368" s="18">
        <f t="shared" si="34"/>
        <v>46111</v>
      </c>
      <c r="B368" s="29">
        <f>YEAR(Table13[[#This Row],[Date]])+IF(MONTH(Table13[[#This Row],[Date]])&gt;=4,1,0)</f>
        <v>2026</v>
      </c>
      <c r="C368" s="9">
        <f>YEAR(Table13[[#This Row],[Date]])</f>
        <v>2026</v>
      </c>
      <c r="D368" s="229">
        <f>Table13[[#This Row],[Date]]-DAY(Table13[[#This Row],[Date]])+1</f>
        <v>46082</v>
      </c>
      <c r="E368" s="9">
        <f t="shared" si="30"/>
        <v>31</v>
      </c>
      <c r="F368" s="199" t="str">
        <f>IFERROR(_xlfn.XLOOKUP($A368,Input_Raw!$A:$A,Input_Raw!$FC:$FC),"")</f>
        <v/>
      </c>
      <c r="G368" s="200" t="str">
        <f>IFERROR(_xlfn.XLOOKUP($A368,Input_Raw!$A:$A,Input_Raw!$CY:$CY),"")</f>
        <v/>
      </c>
      <c r="H368" s="200" t="str">
        <f>IFERROR(_xlfn.XLOOKUP($A368,Input_Raw!$A:$A,Input_Raw!$DA:$DA),"")</f>
        <v/>
      </c>
      <c r="I368" s="200" t="str">
        <f>IFERROR(_xlfn.XLOOKUP($A368,Input_Raw!$A:$A,Input_Raw!$CX:$CX),"")</f>
        <v/>
      </c>
      <c r="J368" s="200" t="str">
        <f>IFERROR(_xlfn.XLOOKUP($A368,Input_Raw!$A:$A,Input_Raw!$CZ:$CZ),"")</f>
        <v/>
      </c>
      <c r="K368" s="201" t="str">
        <f>IFERROR(_xlfn.XLOOKUP($A368,Input_Raw!$A:$A,Input_Raw!$DB:$DB),"")</f>
        <v/>
      </c>
      <c r="L368" s="201" t="str">
        <f>IFERROR(_xlfn.XLOOKUP($A368,Input_Raw!$A:$A,Input_Raw!$DC:$DC),"")</f>
        <v/>
      </c>
      <c r="M368" s="200" t="str">
        <f>IFERROR(_xlfn.XLOOKUP($A368,Input_Raw!$A:$A,Input_Raw!$DF:$DF),"")</f>
        <v/>
      </c>
      <c r="N368" s="200" t="str">
        <f>IFERROR(_xlfn.XLOOKUP($A368,Input_Raw!$A:$A,Input_Raw!$DG:$DG),"")</f>
        <v/>
      </c>
      <c r="O368" s="230" t="str">
        <f>IFERROR(1-(SUMIF(Plant_BD!$B:$B,$A368,Plant_BD!$AL:$AL)/($AA368+SUMIF(Plant_BD!$B:$B,$A368,Plant_BD!$AL:$AL))),"")</f>
        <v/>
      </c>
      <c r="P368" s="230"/>
      <c r="Q368" s="231" t="str">
        <f>IFERROR(1-(SUMIF(Grid_BD!$B:$B,$A368,Grid_BD!$V:$V)/($AA368+SUMIF(Grid_BD!$B:$B,$A368,Grid_BD!$V:$V))),"")</f>
        <v/>
      </c>
      <c r="R368" s="230" t="str">
        <f>IFERROR(1-(SUMIF(Grid_BD!$B:$B,$A368,Grid_BD!$V:$V)/($AA368+SUMIF(Grid_BD!$B:$B,$A368,Grid_BD!$V:$V))),"")</f>
        <v/>
      </c>
      <c r="S368" s="9"/>
      <c r="T368" s="231"/>
      <c r="U368" s="232" t="str">
        <f t="shared" si="31"/>
        <v/>
      </c>
      <c r="V368" s="232" t="str">
        <f>IFERROR(_xlfn.XLOOKUP($A368,Input_Raw!$A:$A,Input_Raw!$FG:$FG),"")</f>
        <v/>
      </c>
      <c r="W368" s="233" t="str">
        <f t="shared" si="32"/>
        <v/>
      </c>
      <c r="X368" s="29" t="str">
        <f>IFERROR(_xlfn.XLOOKUP($A368,Input_Raw!$A:$A,Input_Raw!$DP:$DP),"")</f>
        <v/>
      </c>
      <c r="Y368" s="29" t="str">
        <f>IFERROR(_xlfn.XLOOKUP($A368,Input_Raw!$A:$A,Input_Raw!EW:EW),"")</f>
        <v/>
      </c>
      <c r="Z368" s="29" t="str">
        <f>IFERROR(_xlfn.XLOOKUP($A368,Input_Raw!$A:$A,Input_Raw!EX:EX),"")</f>
        <v/>
      </c>
      <c r="AA368" s="29" t="str">
        <f>IFERROR(_xlfn.XLOOKUP($A368,Input_Raw!$A:$A,Input_Raw!FA:FA),"")</f>
        <v/>
      </c>
      <c r="AB368" s="9" t="str">
        <f>IFERROR(_xlfn.XLOOKUP($A368,Input_Raw!$A:$A,Input_Raw!FD:FD),"")</f>
        <v/>
      </c>
      <c r="AC368" s="185">
        <f>IFERROR(_xlfn.XLOOKUP($D368,'Modelling New'!$D:$D,'Modelling New'!P:P),"")</f>
        <v>6.9225806451612906</v>
      </c>
      <c r="AD368" s="29">
        <f>IFERROR(_xlfn.XLOOKUP($D368,'Modelling New'!$D:$D,'Modelling New'!T:T)*1000,"")</f>
        <v>725267.69661039393</v>
      </c>
      <c r="AE368" s="233">
        <f>IFERROR(_xlfn.XLOOKUP($D368,'Modelling New'!$D:$D,'Modelling New'!O:O),"")</f>
        <v>0.80591076761496216</v>
      </c>
      <c r="AF368" s="233">
        <f>IFERROR(_xlfn.XLOOKUP($D368,'Modelling New'!$D:$D,'Modelling New'!W:W),"")</f>
        <v>0.23245759506743396</v>
      </c>
      <c r="AG368" s="233">
        <f>IFERROR(_xlfn.XLOOKUP($D368,'Modelling New'!$D:$D,'Modelling New'!AE:AE),"")</f>
        <v>0.995</v>
      </c>
      <c r="AH368" s="234">
        <f>IFERROR(_xlfn.XLOOKUP($D368,'Modelling New'!$D:$D,'Modelling New'!AF:AF),"")</f>
        <v>0.995</v>
      </c>
      <c r="AI368" s="9"/>
      <c r="AJ368" s="9"/>
      <c r="AK368" s="258"/>
      <c r="AL368" s="258"/>
      <c r="AM368" s="258"/>
      <c r="AN368" s="235"/>
      <c r="AO368" s="233"/>
      <c r="AP368" s="233"/>
      <c r="AQ368" s="233"/>
      <c r="AR368" s="236">
        <f>_xlfn.XLOOKUP(D368,'Modelling New'!$D:$D,'Modelling New'!$N:$N)</f>
        <v>130</v>
      </c>
      <c r="AS368" s="236" t="str">
        <f t="shared" si="33"/>
        <v/>
      </c>
    </row>
    <row r="369" spans="1:45">
      <c r="A369" s="18">
        <f t="shared" si="34"/>
        <v>46112</v>
      </c>
      <c r="B369" s="29">
        <f>YEAR(Table13[[#This Row],[Date]])+IF(MONTH(Table13[[#This Row],[Date]])&gt;=4,1,0)</f>
        <v>2026</v>
      </c>
      <c r="C369" s="9">
        <f>YEAR(Table13[[#This Row],[Date]])</f>
        <v>2026</v>
      </c>
      <c r="D369" s="229">
        <f>Table13[[#This Row],[Date]]-DAY(Table13[[#This Row],[Date]])+1</f>
        <v>46082</v>
      </c>
      <c r="E369" s="9">
        <f t="shared" si="30"/>
        <v>31</v>
      </c>
      <c r="F369" s="199" t="str">
        <f>IFERROR(_xlfn.XLOOKUP($A369,Input_Raw!$A:$A,Input_Raw!$FC:$FC),"")</f>
        <v/>
      </c>
      <c r="G369" s="185" t="str">
        <f>IFERROR(_xlfn.XLOOKUP($A369,Input_Raw!$A:$A,Input_Raw!$CY:$CY),"")</f>
        <v/>
      </c>
      <c r="H369" s="185" t="str">
        <f>IFERROR(_xlfn.XLOOKUP($A369,Input_Raw!$A:$A,Input_Raw!$DA:$DA),"")</f>
        <v/>
      </c>
      <c r="I369" s="185" t="str">
        <f>IFERROR(_xlfn.XLOOKUP($A369,Input_Raw!$A:$A,Input_Raw!$CX:$CX),"")</f>
        <v/>
      </c>
      <c r="J369" s="185" t="str">
        <f>IFERROR(_xlfn.XLOOKUP($A369,Input_Raw!$A:$A,Input_Raw!$CZ:$CZ),"")</f>
        <v/>
      </c>
      <c r="K369" s="201" t="str">
        <f>IFERROR(_xlfn.XLOOKUP($A369,Input_Raw!$A:$A,Input_Raw!$DB:$DB),"")</f>
        <v/>
      </c>
      <c r="L369" s="201" t="str">
        <f>IFERROR(_xlfn.XLOOKUP($A369,Input_Raw!$A:$A,Input_Raw!$DC:$DC),"")</f>
        <v/>
      </c>
      <c r="M369" s="200" t="str">
        <f>IFERROR(_xlfn.XLOOKUP($A369,Input_Raw!$A:$A,Input_Raw!$DF:$DF),"")</f>
        <v/>
      </c>
      <c r="N369" s="200" t="str">
        <f>IFERROR(_xlfn.XLOOKUP($A369,Input_Raw!$A:$A,Input_Raw!$DG:$DG),"")</f>
        <v/>
      </c>
      <c r="O369" s="230" t="str">
        <f>IFERROR(1-(SUMIF(Plant_BD!$B:$B,$A369,Plant_BD!$AL:$AL)/($AA369+SUMIF(Plant_BD!$B:$B,$A369,Plant_BD!$AL:$AL))),"")</f>
        <v/>
      </c>
      <c r="P369" s="230"/>
      <c r="Q369" s="231" t="str">
        <f>IFERROR(1-(SUMIF(Grid_BD!$B:$B,$A369,Grid_BD!$V:$V)/($AA369+SUMIF(Grid_BD!$B:$B,$A369,Grid_BD!$V:$V))),"")</f>
        <v/>
      </c>
      <c r="R369" s="230" t="str">
        <f>IFERROR(1-(SUMIF(Grid_BD!$B:$B,$A369,Grid_BD!$V:$V)/($AA369+SUMIF(Grid_BD!$B:$B,$A369,Grid_BD!$V:$V))),"")</f>
        <v/>
      </c>
      <c r="S369" s="9"/>
      <c r="T369" s="231"/>
      <c r="U369" s="232" t="str">
        <f t="shared" si="31"/>
        <v/>
      </c>
      <c r="V369" s="232" t="str">
        <f>IFERROR(_xlfn.XLOOKUP($A369,Input_Raw!$A:$A,Input_Raw!$FG:$FG),"")</f>
        <v/>
      </c>
      <c r="W369" s="233" t="str">
        <f t="shared" si="32"/>
        <v/>
      </c>
      <c r="X369" s="29" t="str">
        <f>IFERROR(_xlfn.XLOOKUP($A369,Input_Raw!$A:$A,Input_Raw!$DP:$DP),"")</f>
        <v/>
      </c>
      <c r="Y369" s="29" t="str">
        <f>IFERROR(_xlfn.XLOOKUP($A369,Input_Raw!$A:$A,Input_Raw!EW:EW),"")</f>
        <v/>
      </c>
      <c r="Z369" s="29" t="str">
        <f>IFERROR(_xlfn.XLOOKUP($A369,Input_Raw!$A:$A,Input_Raw!EX:EX),"")</f>
        <v/>
      </c>
      <c r="AA369" s="29" t="str">
        <f>IFERROR(_xlfn.XLOOKUP($A369,Input_Raw!$A:$A,Input_Raw!FA:FA),"")</f>
        <v/>
      </c>
      <c r="AB369" s="9" t="str">
        <f>IFERROR(_xlfn.XLOOKUP($A369,Input_Raw!$A:$A,Input_Raw!FD:FD),"")</f>
        <v/>
      </c>
      <c r="AC369" s="185">
        <f>IFERROR(_xlfn.XLOOKUP($D369,'Modelling New'!$D:$D,'Modelling New'!P:P),"")</f>
        <v>6.9225806451612906</v>
      </c>
      <c r="AD369" s="29">
        <f>IFERROR(_xlfn.XLOOKUP($D369,'Modelling New'!$D:$D,'Modelling New'!T:T)*1000,"")</f>
        <v>725267.69661039393</v>
      </c>
      <c r="AE369" s="233">
        <f>IFERROR(_xlfn.XLOOKUP($D369,'Modelling New'!$D:$D,'Modelling New'!O:O),"")</f>
        <v>0.80591076761496216</v>
      </c>
      <c r="AF369" s="233">
        <f>IFERROR(_xlfn.XLOOKUP($D369,'Modelling New'!$D:$D,'Modelling New'!W:W),"")</f>
        <v>0.23245759506743396</v>
      </c>
      <c r="AG369" s="233">
        <f>IFERROR(_xlfn.XLOOKUP($D369,'Modelling New'!$D:$D,'Modelling New'!AE:AE),"")</f>
        <v>0.995</v>
      </c>
      <c r="AH369" s="234">
        <f>IFERROR(_xlfn.XLOOKUP($D369,'Modelling New'!$D:$D,'Modelling New'!AF:AF),"")</f>
        <v>0.995</v>
      </c>
      <c r="AI369" s="9"/>
      <c r="AJ369" s="9"/>
      <c r="AK369" s="258"/>
      <c r="AL369" s="258"/>
      <c r="AM369" s="258"/>
      <c r="AN369" s="235"/>
      <c r="AO369" s="233"/>
      <c r="AP369" s="233"/>
      <c r="AQ369" s="233"/>
      <c r="AR369" s="236">
        <f>_xlfn.XLOOKUP(D369,'Modelling New'!$D:$D,'Modelling New'!$N:$N)</f>
        <v>130</v>
      </c>
      <c r="AS369" s="236" t="str">
        <f t="shared" si="33"/>
        <v/>
      </c>
    </row>
    <row r="370" spans="1:45">
      <c r="AR370" s="236"/>
      <c r="AS370" s="236"/>
    </row>
    <row r="371" spans="1:45">
      <c r="AR371" s="236"/>
      <c r="AS371" s="236"/>
    </row>
    <row r="372" spans="1:45">
      <c r="AR372" s="236"/>
      <c r="AS372" s="236"/>
    </row>
    <row r="373" spans="1:45">
      <c r="AR373" s="236"/>
      <c r="AS373" s="236"/>
    </row>
    <row r="374" spans="1:45">
      <c r="AR374" s="236"/>
      <c r="AS374" s="236"/>
    </row>
    <row r="375" spans="1:45">
      <c r="AR375" s="236"/>
      <c r="AS375" s="236"/>
    </row>
    <row r="376" spans="1:45">
      <c r="AR376" s="236"/>
      <c r="AS376" s="236"/>
    </row>
    <row r="377" spans="1:45">
      <c r="AR377" s="236"/>
      <c r="AS377" s="236"/>
    </row>
    <row r="378" spans="1:45">
      <c r="AR378" s="236"/>
      <c r="AS378" s="236"/>
    </row>
    <row r="379" spans="1:45">
      <c r="AR379" s="236"/>
      <c r="AS379" s="236"/>
    </row>
    <row r="380" spans="1:45">
      <c r="AR380" s="236"/>
      <c r="AS380" s="236"/>
    </row>
    <row r="381" spans="1:45">
      <c r="AR381" s="236"/>
      <c r="AS381" s="236"/>
    </row>
    <row r="382" spans="1:45">
      <c r="AR382" s="236"/>
      <c r="AS382" s="236"/>
    </row>
    <row r="383" spans="1:45">
      <c r="AR383" s="236"/>
      <c r="AS383" s="236"/>
    </row>
    <row r="384" spans="1:45">
      <c r="AR384" s="236"/>
      <c r="AS384" s="236"/>
    </row>
    <row r="385" spans="44:45">
      <c r="AR385" s="236"/>
      <c r="AS385" s="236"/>
    </row>
    <row r="386" spans="44:45">
      <c r="AR386" s="236"/>
      <c r="AS386" s="236"/>
    </row>
    <row r="387" spans="44:45">
      <c r="AR387" s="236"/>
      <c r="AS387" s="236"/>
    </row>
    <row r="388" spans="44:45">
      <c r="AR388" s="236"/>
      <c r="AS388" s="236"/>
    </row>
    <row r="389" spans="44:45">
      <c r="AR389" s="236"/>
      <c r="AS389" s="236"/>
    </row>
    <row r="390" spans="44:45">
      <c r="AR390" s="236"/>
      <c r="AS390" s="236"/>
    </row>
    <row r="391" spans="44:45">
      <c r="AR391" s="236"/>
      <c r="AS391" s="236"/>
    </row>
    <row r="392" spans="44:45">
      <c r="AR392" s="236"/>
      <c r="AS392" s="236"/>
    </row>
    <row r="393" spans="44:45">
      <c r="AR393" s="236"/>
      <c r="AS393" s="236"/>
    </row>
    <row r="394" spans="44:45">
      <c r="AR394" s="236"/>
      <c r="AS394" s="236"/>
    </row>
    <row r="395" spans="44:45">
      <c r="AR395" s="236"/>
      <c r="AS395" s="236"/>
    </row>
    <row r="396" spans="44:45">
      <c r="AR396" s="236"/>
      <c r="AS396" s="236"/>
    </row>
    <row r="397" spans="44:45">
      <c r="AR397" s="236"/>
      <c r="AS397" s="236"/>
    </row>
    <row r="398" spans="44:45">
      <c r="AR398" s="236"/>
      <c r="AS398" s="236"/>
    </row>
    <row r="399" spans="44:45">
      <c r="AR399" s="236"/>
      <c r="AS399" s="236"/>
    </row>
    <row r="400" spans="44:45">
      <c r="AR400" s="236"/>
      <c r="AS400" s="236"/>
    </row>
    <row r="401" spans="44:45">
      <c r="AR401" s="236"/>
      <c r="AS401" s="236"/>
    </row>
    <row r="402" spans="44:45">
      <c r="AR402" s="236"/>
      <c r="AS402" s="236"/>
    </row>
    <row r="403" spans="44:45">
      <c r="AR403" s="236"/>
      <c r="AS403" s="236"/>
    </row>
    <row r="404" spans="44:45">
      <c r="AR404" s="236"/>
      <c r="AS404" s="236"/>
    </row>
    <row r="405" spans="44:45">
      <c r="AR405" s="236"/>
      <c r="AS405" s="236"/>
    </row>
    <row r="406" spans="44:45">
      <c r="AR406" s="236"/>
      <c r="AS406" s="236"/>
    </row>
    <row r="407" spans="44:45">
      <c r="AR407" s="236"/>
      <c r="AS407" s="236"/>
    </row>
    <row r="408" spans="44:45">
      <c r="AR408" s="236"/>
      <c r="AS408" s="236"/>
    </row>
    <row r="409" spans="44:45">
      <c r="AR409" s="236"/>
      <c r="AS409" s="236"/>
    </row>
    <row r="410" spans="44:45">
      <c r="AR410" s="236"/>
      <c r="AS410" s="236"/>
    </row>
    <row r="411" spans="44:45">
      <c r="AR411" s="236"/>
      <c r="AS411" s="236"/>
    </row>
    <row r="412" spans="44:45">
      <c r="AR412" s="236"/>
      <c r="AS412" s="236"/>
    </row>
    <row r="413" spans="44:45">
      <c r="AR413" s="236"/>
      <c r="AS413" s="236"/>
    </row>
    <row r="414" spans="44:45">
      <c r="AR414" s="236"/>
      <c r="AS414" s="236"/>
    </row>
    <row r="415" spans="44:45">
      <c r="AR415" s="236"/>
      <c r="AS415" s="236"/>
    </row>
    <row r="416" spans="44:45">
      <c r="AR416" s="236"/>
      <c r="AS416" s="236"/>
    </row>
    <row r="417" spans="44:45">
      <c r="AR417" s="236"/>
      <c r="AS417" s="236"/>
    </row>
    <row r="418" spans="44:45">
      <c r="AR418" s="236"/>
      <c r="AS418" s="236"/>
    </row>
    <row r="419" spans="44:45">
      <c r="AR419" s="236"/>
      <c r="AS419" s="236"/>
    </row>
    <row r="420" spans="44:45">
      <c r="AR420" s="236"/>
      <c r="AS420" s="236"/>
    </row>
    <row r="421" spans="44:45">
      <c r="AR421" s="236"/>
      <c r="AS421" s="236"/>
    </row>
    <row r="422" spans="44:45">
      <c r="AR422" s="236"/>
      <c r="AS422" s="236"/>
    </row>
    <row r="423" spans="44:45">
      <c r="AR423" s="236"/>
      <c r="AS423" s="236"/>
    </row>
    <row r="424" spans="44:45">
      <c r="AR424" s="236"/>
      <c r="AS424" s="236"/>
    </row>
    <row r="425" spans="44:45">
      <c r="AR425" s="236"/>
      <c r="AS425" s="236"/>
    </row>
    <row r="426" spans="44:45">
      <c r="AR426" s="236"/>
      <c r="AS426" s="236"/>
    </row>
    <row r="427" spans="44:45">
      <c r="AR427" s="236"/>
      <c r="AS427" s="236"/>
    </row>
    <row r="428" spans="44:45">
      <c r="AR428" s="236"/>
      <c r="AS428" s="236"/>
    </row>
    <row r="429" spans="44:45">
      <c r="AR429" s="236"/>
      <c r="AS429" s="236"/>
    </row>
    <row r="430" spans="44:45">
      <c r="AR430" s="236"/>
      <c r="AS430" s="236"/>
    </row>
    <row r="431" spans="44:45">
      <c r="AR431" s="236"/>
      <c r="AS431" s="236"/>
    </row>
    <row r="432" spans="44:45">
      <c r="AR432" s="236"/>
      <c r="AS432" s="236"/>
    </row>
    <row r="433" spans="44:45">
      <c r="AR433" s="236"/>
      <c r="AS433" s="236"/>
    </row>
    <row r="434" spans="44:45">
      <c r="AR434" s="236"/>
      <c r="AS434" s="236"/>
    </row>
    <row r="435" spans="44:45">
      <c r="AR435" s="236"/>
      <c r="AS435" s="236"/>
    </row>
    <row r="436" spans="44:45">
      <c r="AR436" s="236"/>
      <c r="AS436" s="236"/>
    </row>
    <row r="437" spans="44:45">
      <c r="AR437" s="236"/>
      <c r="AS437" s="236"/>
    </row>
    <row r="438" spans="44:45">
      <c r="AR438" s="236"/>
      <c r="AS438" s="236"/>
    </row>
    <row r="439" spans="44:45">
      <c r="AR439" s="236"/>
      <c r="AS439" s="236"/>
    </row>
    <row r="440" spans="44:45">
      <c r="AR440" s="236"/>
      <c r="AS440" s="236"/>
    </row>
    <row r="441" spans="44:45">
      <c r="AR441" s="236"/>
      <c r="AS441" s="236"/>
    </row>
    <row r="442" spans="44:45">
      <c r="AR442" s="236"/>
      <c r="AS442" s="236"/>
    </row>
    <row r="443" spans="44:45">
      <c r="AR443" s="236"/>
      <c r="AS443" s="236"/>
    </row>
    <row r="444" spans="44:45">
      <c r="AR444" s="236"/>
      <c r="AS444" s="236"/>
    </row>
    <row r="445" spans="44:45">
      <c r="AR445" s="236"/>
      <c r="AS445" s="236"/>
    </row>
    <row r="446" spans="44:45">
      <c r="AR446" s="236"/>
      <c r="AS446" s="236"/>
    </row>
    <row r="447" spans="44:45">
      <c r="AR447" s="236"/>
      <c r="AS447" s="236"/>
    </row>
    <row r="448" spans="44:45">
      <c r="AR448" s="236"/>
      <c r="AS448" s="236"/>
    </row>
    <row r="449" spans="44:45">
      <c r="AR449" s="236"/>
      <c r="AS449" s="236"/>
    </row>
    <row r="450" spans="44:45">
      <c r="AR450" s="236"/>
      <c r="AS450" s="236"/>
    </row>
    <row r="451" spans="44:45">
      <c r="AR451" s="236"/>
      <c r="AS451" s="236"/>
    </row>
    <row r="452" spans="44:45">
      <c r="AR452" s="236"/>
      <c r="AS452" s="236"/>
    </row>
    <row r="453" spans="44:45">
      <c r="AR453" s="236"/>
      <c r="AS453" s="236"/>
    </row>
    <row r="454" spans="44:45">
      <c r="AR454" s="236"/>
      <c r="AS454" s="236"/>
    </row>
    <row r="455" spans="44:45">
      <c r="AR455" s="236"/>
      <c r="AS455" s="236"/>
    </row>
    <row r="456" spans="44:45">
      <c r="AR456" s="236"/>
      <c r="AS456" s="236"/>
    </row>
    <row r="457" spans="44:45">
      <c r="AR457" s="236"/>
      <c r="AS457" s="236"/>
    </row>
    <row r="458" spans="44:45">
      <c r="AR458" s="236"/>
      <c r="AS458" s="236"/>
    </row>
    <row r="459" spans="44:45">
      <c r="AR459" s="236"/>
      <c r="AS459" s="236"/>
    </row>
    <row r="460" spans="44:45">
      <c r="AR460" s="236"/>
      <c r="AS460" s="236"/>
    </row>
    <row r="461" spans="44:45">
      <c r="AR461" s="236"/>
      <c r="AS461" s="236"/>
    </row>
    <row r="462" spans="44:45">
      <c r="AR462" s="236"/>
      <c r="AS462" s="236"/>
    </row>
    <row r="463" spans="44:45">
      <c r="AR463" s="236"/>
      <c r="AS463" s="236"/>
    </row>
    <row r="464" spans="44:45">
      <c r="AR464" s="236"/>
      <c r="AS464" s="236"/>
    </row>
    <row r="465" spans="44:45">
      <c r="AR465" s="236"/>
      <c r="AS465" s="236"/>
    </row>
    <row r="466" spans="44:45">
      <c r="AR466" s="236"/>
      <c r="AS466" s="236"/>
    </row>
    <row r="467" spans="44:45">
      <c r="AR467" s="236"/>
      <c r="AS467" s="236"/>
    </row>
    <row r="468" spans="44:45">
      <c r="AR468" s="236"/>
      <c r="AS468" s="236"/>
    </row>
    <row r="469" spans="44:45">
      <c r="AR469" s="236"/>
      <c r="AS469" s="236"/>
    </row>
    <row r="470" spans="44:45">
      <c r="AR470" s="236"/>
      <c r="AS470" s="236"/>
    </row>
    <row r="471" spans="44:45">
      <c r="AR471" s="236"/>
      <c r="AS471" s="236"/>
    </row>
    <row r="472" spans="44:45">
      <c r="AR472" s="236"/>
      <c r="AS472" s="236"/>
    </row>
    <row r="473" spans="44:45">
      <c r="AR473" s="236"/>
      <c r="AS473" s="236"/>
    </row>
    <row r="474" spans="44:45">
      <c r="AR474" s="236"/>
      <c r="AS474" s="236"/>
    </row>
    <row r="475" spans="44:45">
      <c r="AR475" s="236"/>
      <c r="AS475" s="236"/>
    </row>
    <row r="476" spans="44:45">
      <c r="AR476" s="236"/>
      <c r="AS476" s="236"/>
    </row>
    <row r="477" spans="44:45">
      <c r="AR477" s="236"/>
      <c r="AS477" s="236"/>
    </row>
    <row r="478" spans="44:45">
      <c r="AR478" s="236"/>
      <c r="AS478" s="236"/>
    </row>
    <row r="479" spans="44:45">
      <c r="AR479" s="236"/>
      <c r="AS479" s="236"/>
    </row>
    <row r="480" spans="44:45">
      <c r="AR480" s="236"/>
      <c r="AS480" s="236"/>
    </row>
    <row r="481" spans="44:45">
      <c r="AR481" s="236"/>
      <c r="AS481" s="236"/>
    </row>
    <row r="482" spans="44:45">
      <c r="AR482" s="236"/>
      <c r="AS482" s="236"/>
    </row>
    <row r="483" spans="44:45">
      <c r="AR483" s="236"/>
      <c r="AS483" s="236"/>
    </row>
    <row r="484" spans="44:45">
      <c r="AR484" s="236"/>
      <c r="AS484" s="236"/>
    </row>
    <row r="485" spans="44:45">
      <c r="AR485" s="236"/>
      <c r="AS485" s="236"/>
    </row>
    <row r="486" spans="44:45">
      <c r="AR486" s="236"/>
      <c r="AS486" s="236"/>
    </row>
    <row r="487" spans="44:45">
      <c r="AR487" s="236"/>
      <c r="AS487" s="236"/>
    </row>
    <row r="488" spans="44:45">
      <c r="AR488" s="236"/>
      <c r="AS488" s="236"/>
    </row>
    <row r="489" spans="44:45">
      <c r="AR489" s="236"/>
      <c r="AS489" s="236"/>
    </row>
    <row r="490" spans="44:45">
      <c r="AR490" s="236"/>
      <c r="AS490" s="236"/>
    </row>
    <row r="491" spans="44:45">
      <c r="AR491" s="236"/>
      <c r="AS491" s="236"/>
    </row>
    <row r="492" spans="44:45">
      <c r="AR492" s="236"/>
      <c r="AS492" s="236"/>
    </row>
    <row r="493" spans="44:45">
      <c r="AR493" s="236"/>
      <c r="AS493" s="236"/>
    </row>
    <row r="494" spans="44:45">
      <c r="AR494" s="236"/>
      <c r="AS494" s="236"/>
    </row>
    <row r="495" spans="44:45">
      <c r="AR495" s="236"/>
      <c r="AS495" s="236"/>
    </row>
    <row r="496" spans="44:45">
      <c r="AR496" s="236"/>
      <c r="AS496" s="236"/>
    </row>
    <row r="497" spans="44:45">
      <c r="AR497" s="236"/>
      <c r="AS497" s="236"/>
    </row>
    <row r="498" spans="44:45">
      <c r="AR498" s="236"/>
      <c r="AS498" s="236"/>
    </row>
    <row r="499" spans="44:45">
      <c r="AR499" s="236"/>
      <c r="AS499" s="236"/>
    </row>
    <row r="500" spans="44:45">
      <c r="AR500" s="236"/>
      <c r="AS500" s="236"/>
    </row>
    <row r="501" spans="44:45">
      <c r="AR501" s="236"/>
      <c r="AS501" s="236"/>
    </row>
    <row r="502" spans="44:45">
      <c r="AR502" s="236"/>
      <c r="AS502" s="236"/>
    </row>
    <row r="503" spans="44:45">
      <c r="AR503" s="236"/>
      <c r="AS503" s="236"/>
    </row>
    <row r="504" spans="44:45">
      <c r="AR504" s="236"/>
      <c r="AS504" s="236"/>
    </row>
    <row r="505" spans="44:45">
      <c r="AR505" s="236"/>
      <c r="AS505" s="236"/>
    </row>
    <row r="506" spans="44:45">
      <c r="AR506" s="236"/>
      <c r="AS506" s="236"/>
    </row>
    <row r="507" spans="44:45">
      <c r="AR507" s="236"/>
      <c r="AS507" s="236"/>
    </row>
    <row r="508" spans="44:45">
      <c r="AR508" s="236"/>
      <c r="AS508" s="236"/>
    </row>
    <row r="509" spans="44:45">
      <c r="AR509" s="236"/>
      <c r="AS509" s="236"/>
    </row>
    <row r="510" spans="44:45">
      <c r="AR510" s="236"/>
      <c r="AS510" s="236"/>
    </row>
    <row r="511" spans="44:45">
      <c r="AR511" s="236"/>
      <c r="AS511" s="236"/>
    </row>
    <row r="512" spans="44:45">
      <c r="AR512" s="236"/>
      <c r="AS512" s="236"/>
    </row>
    <row r="513" spans="44:45">
      <c r="AR513" s="236"/>
      <c r="AS513" s="236"/>
    </row>
    <row r="514" spans="44:45">
      <c r="AR514" s="236"/>
      <c r="AS514" s="236"/>
    </row>
    <row r="515" spans="44:45">
      <c r="AR515" s="236"/>
      <c r="AS515" s="236"/>
    </row>
    <row r="516" spans="44:45">
      <c r="AR516" s="236"/>
      <c r="AS516" s="236"/>
    </row>
    <row r="517" spans="44:45">
      <c r="AR517" s="236"/>
      <c r="AS517" s="236"/>
    </row>
    <row r="518" spans="44:45">
      <c r="AR518" s="236"/>
      <c r="AS518" s="236"/>
    </row>
    <row r="519" spans="44:45">
      <c r="AR519" s="236"/>
      <c r="AS519" s="236"/>
    </row>
    <row r="520" spans="44:45">
      <c r="AR520" s="236"/>
      <c r="AS520" s="236"/>
    </row>
    <row r="521" spans="44:45">
      <c r="AR521" s="236"/>
      <c r="AS521" s="236"/>
    </row>
    <row r="522" spans="44:45">
      <c r="AR522" s="236"/>
      <c r="AS522" s="236"/>
    </row>
    <row r="523" spans="44:45">
      <c r="AR523" s="236"/>
      <c r="AS523" s="236"/>
    </row>
    <row r="524" spans="44:45">
      <c r="AR524" s="236"/>
      <c r="AS524" s="236"/>
    </row>
    <row r="525" spans="44:45">
      <c r="AR525" s="236"/>
      <c r="AS525" s="236"/>
    </row>
    <row r="526" spans="44:45">
      <c r="AR526" s="236"/>
      <c r="AS526" s="236"/>
    </row>
    <row r="527" spans="44:45">
      <c r="AR527" s="236"/>
      <c r="AS527" s="236"/>
    </row>
    <row r="528" spans="44:45">
      <c r="AR528" s="236"/>
      <c r="AS528" s="236"/>
    </row>
    <row r="529" spans="44:45">
      <c r="AR529" s="236"/>
      <c r="AS529" s="236"/>
    </row>
    <row r="530" spans="44:45">
      <c r="AR530" s="236"/>
      <c r="AS530" s="236"/>
    </row>
    <row r="531" spans="44:45">
      <c r="AR531" s="236"/>
      <c r="AS531" s="236"/>
    </row>
    <row r="532" spans="44:45">
      <c r="AR532" s="236"/>
      <c r="AS532" s="236"/>
    </row>
    <row r="533" spans="44:45">
      <c r="AR533" s="236"/>
      <c r="AS533" s="236"/>
    </row>
    <row r="534" spans="44:45">
      <c r="AR534" s="236"/>
      <c r="AS534" s="236"/>
    </row>
    <row r="535" spans="44:45">
      <c r="AR535" s="236"/>
      <c r="AS535" s="236"/>
    </row>
    <row r="536" spans="44:45">
      <c r="AR536" s="236"/>
      <c r="AS536" s="236"/>
    </row>
    <row r="537" spans="44:45">
      <c r="AR537" s="236"/>
      <c r="AS537" s="236"/>
    </row>
    <row r="538" spans="44:45">
      <c r="AR538" s="236"/>
      <c r="AS538" s="236"/>
    </row>
    <row r="539" spans="44:45">
      <c r="AR539" s="236"/>
      <c r="AS539" s="236"/>
    </row>
    <row r="540" spans="44:45">
      <c r="AR540" s="236"/>
      <c r="AS540" s="236"/>
    </row>
    <row r="541" spans="44:45">
      <c r="AR541" s="236"/>
      <c r="AS541" s="236"/>
    </row>
    <row r="542" spans="44:45">
      <c r="AR542" s="236"/>
      <c r="AS542" s="236"/>
    </row>
    <row r="543" spans="44:45">
      <c r="AR543" s="236"/>
      <c r="AS543" s="236"/>
    </row>
    <row r="544" spans="44:45">
      <c r="AR544" s="236"/>
      <c r="AS544" s="236"/>
    </row>
    <row r="545" spans="44:45">
      <c r="AR545" s="236"/>
      <c r="AS545" s="236"/>
    </row>
    <row r="546" spans="44:45">
      <c r="AR546" s="236"/>
      <c r="AS546" s="236"/>
    </row>
    <row r="547" spans="44:45">
      <c r="AR547" s="236"/>
      <c r="AS547" s="236"/>
    </row>
    <row r="548" spans="44:45">
      <c r="AR548" s="236"/>
      <c r="AS548" s="236"/>
    </row>
    <row r="549" spans="44:45">
      <c r="AR549" s="236"/>
      <c r="AS549" s="236"/>
    </row>
    <row r="550" spans="44:45">
      <c r="AR550" s="236"/>
      <c r="AS550" s="236"/>
    </row>
    <row r="551" spans="44:45">
      <c r="AR551" s="236"/>
      <c r="AS551" s="236"/>
    </row>
    <row r="552" spans="44:45">
      <c r="AR552" s="236"/>
      <c r="AS552" s="236"/>
    </row>
    <row r="553" spans="44:45">
      <c r="AR553" s="236"/>
      <c r="AS553" s="236"/>
    </row>
    <row r="554" spans="44:45">
      <c r="AR554" s="236"/>
      <c r="AS554" s="236"/>
    </row>
    <row r="555" spans="44:45">
      <c r="AR555" s="236"/>
      <c r="AS555" s="236"/>
    </row>
    <row r="556" spans="44:45">
      <c r="AR556" s="236"/>
      <c r="AS556" s="236"/>
    </row>
    <row r="557" spans="44:45">
      <c r="AR557" s="236"/>
      <c r="AS557" s="236"/>
    </row>
    <row r="558" spans="44:45">
      <c r="AR558" s="236"/>
      <c r="AS558" s="236"/>
    </row>
    <row r="559" spans="44:45">
      <c r="AR559" s="236"/>
      <c r="AS559" s="236"/>
    </row>
    <row r="560" spans="44:45">
      <c r="AR560" s="236"/>
      <c r="AS560" s="236"/>
    </row>
    <row r="561" spans="44:45">
      <c r="AR561" s="236"/>
      <c r="AS561" s="236"/>
    </row>
    <row r="562" spans="44:45">
      <c r="AR562" s="236"/>
      <c r="AS562" s="236"/>
    </row>
    <row r="563" spans="44:45">
      <c r="AR563" s="236"/>
      <c r="AS563" s="236"/>
    </row>
    <row r="564" spans="44:45">
      <c r="AR564" s="236"/>
      <c r="AS564" s="236"/>
    </row>
    <row r="565" spans="44:45">
      <c r="AR565" s="236"/>
      <c r="AS565" s="236"/>
    </row>
    <row r="566" spans="44:45">
      <c r="AR566" s="236"/>
      <c r="AS566" s="236"/>
    </row>
    <row r="567" spans="44:45">
      <c r="AR567" s="236"/>
      <c r="AS567" s="236"/>
    </row>
    <row r="568" spans="44:45">
      <c r="AR568" s="236"/>
      <c r="AS568" s="236"/>
    </row>
    <row r="569" spans="44:45">
      <c r="AR569" s="236"/>
      <c r="AS569" s="236"/>
    </row>
    <row r="570" spans="44:45">
      <c r="AR570" s="236"/>
      <c r="AS570" s="236"/>
    </row>
    <row r="571" spans="44:45">
      <c r="AR571" s="236"/>
      <c r="AS571" s="236"/>
    </row>
    <row r="572" spans="44:45">
      <c r="AR572" s="236"/>
      <c r="AS572" s="236"/>
    </row>
    <row r="573" spans="44:45">
      <c r="AR573" s="236"/>
      <c r="AS573" s="236"/>
    </row>
    <row r="574" spans="44:45">
      <c r="AR574" s="236"/>
      <c r="AS574" s="236"/>
    </row>
    <row r="575" spans="44:45">
      <c r="AR575" s="236"/>
      <c r="AS575" s="236"/>
    </row>
    <row r="576" spans="44:45">
      <c r="AR576" s="236"/>
      <c r="AS576" s="236"/>
    </row>
    <row r="577" spans="44:45">
      <c r="AR577" s="236"/>
      <c r="AS577" s="236"/>
    </row>
    <row r="578" spans="44:45">
      <c r="AR578" s="236"/>
      <c r="AS578" s="236"/>
    </row>
    <row r="579" spans="44:45">
      <c r="AR579" s="236"/>
      <c r="AS579" s="236"/>
    </row>
    <row r="580" spans="44:45">
      <c r="AR580" s="236"/>
      <c r="AS580" s="236"/>
    </row>
    <row r="581" spans="44:45">
      <c r="AR581" s="236"/>
      <c r="AS581" s="236"/>
    </row>
    <row r="582" spans="44:45">
      <c r="AR582" s="236"/>
      <c r="AS582" s="236"/>
    </row>
    <row r="583" spans="44:45">
      <c r="AR583" s="236"/>
      <c r="AS583" s="236"/>
    </row>
    <row r="584" spans="44:45">
      <c r="AR584" s="236"/>
      <c r="AS584" s="236"/>
    </row>
    <row r="585" spans="44:45">
      <c r="AR585" s="236"/>
      <c r="AS585" s="236"/>
    </row>
    <row r="586" spans="44:45">
      <c r="AR586" s="236"/>
      <c r="AS586" s="236"/>
    </row>
    <row r="587" spans="44:45">
      <c r="AR587" s="236"/>
      <c r="AS587" s="236"/>
    </row>
    <row r="588" spans="44:45">
      <c r="AR588" s="236"/>
      <c r="AS588" s="236"/>
    </row>
    <row r="589" spans="44:45">
      <c r="AR589" s="236"/>
      <c r="AS589" s="236"/>
    </row>
    <row r="590" spans="44:45">
      <c r="AR590" s="236"/>
      <c r="AS590" s="236"/>
    </row>
    <row r="591" spans="44:45">
      <c r="AR591" s="236"/>
      <c r="AS591" s="236"/>
    </row>
    <row r="592" spans="44:45">
      <c r="AR592" s="236"/>
      <c r="AS592" s="236"/>
    </row>
    <row r="593" spans="44:45">
      <c r="AR593" s="236"/>
      <c r="AS593" s="236"/>
    </row>
    <row r="594" spans="44:45">
      <c r="AR594" s="236"/>
      <c r="AS594" s="236"/>
    </row>
    <row r="595" spans="44:45">
      <c r="AR595" s="236"/>
      <c r="AS595" s="236"/>
    </row>
    <row r="596" spans="44:45">
      <c r="AR596" s="236"/>
      <c r="AS596" s="236"/>
    </row>
    <row r="597" spans="44:45">
      <c r="AR597" s="236"/>
      <c r="AS597" s="236"/>
    </row>
    <row r="598" spans="44:45">
      <c r="AR598" s="236"/>
      <c r="AS598" s="236"/>
    </row>
    <row r="599" spans="44:45">
      <c r="AR599" s="236"/>
      <c r="AS599" s="236"/>
    </row>
    <row r="600" spans="44:45">
      <c r="AR600" s="236"/>
      <c r="AS600" s="236"/>
    </row>
    <row r="601" spans="44:45">
      <c r="AR601" s="236"/>
      <c r="AS601" s="236"/>
    </row>
    <row r="602" spans="44:45">
      <c r="AR602" s="236"/>
      <c r="AS602" s="236"/>
    </row>
    <row r="603" spans="44:45">
      <c r="AR603" s="236"/>
      <c r="AS603" s="236"/>
    </row>
    <row r="604" spans="44:45">
      <c r="AR604" s="236"/>
      <c r="AS604" s="236"/>
    </row>
    <row r="605" spans="44:45">
      <c r="AR605" s="236"/>
      <c r="AS605" s="236"/>
    </row>
    <row r="606" spans="44:45">
      <c r="AR606" s="236"/>
      <c r="AS606" s="236"/>
    </row>
    <row r="607" spans="44:45">
      <c r="AR607" s="236"/>
      <c r="AS607" s="236"/>
    </row>
    <row r="608" spans="44:45">
      <c r="AR608" s="236"/>
      <c r="AS608" s="236"/>
    </row>
    <row r="609" spans="44:45">
      <c r="AR609" s="236"/>
      <c r="AS609" s="236"/>
    </row>
    <row r="610" spans="44:45">
      <c r="AR610" s="236"/>
      <c r="AS610" s="236"/>
    </row>
    <row r="611" spans="44:45">
      <c r="AR611" s="236"/>
      <c r="AS611" s="236"/>
    </row>
    <row r="612" spans="44:45">
      <c r="AR612" s="236"/>
      <c r="AS612" s="236"/>
    </row>
    <row r="613" spans="44:45">
      <c r="AR613" s="236"/>
      <c r="AS613" s="236"/>
    </row>
    <row r="614" spans="44:45">
      <c r="AR614" s="236"/>
      <c r="AS614" s="236"/>
    </row>
    <row r="615" spans="44:45">
      <c r="AR615" s="236"/>
      <c r="AS615" s="236"/>
    </row>
    <row r="616" spans="44:45">
      <c r="AR616" s="236"/>
      <c r="AS616" s="236"/>
    </row>
    <row r="617" spans="44:45">
      <c r="AR617" s="236"/>
      <c r="AS617" s="236"/>
    </row>
    <row r="618" spans="44:45">
      <c r="AR618" s="236"/>
      <c r="AS618" s="236"/>
    </row>
    <row r="619" spans="44:45">
      <c r="AR619" s="236"/>
      <c r="AS619" s="236"/>
    </row>
    <row r="620" spans="44:45">
      <c r="AR620" s="236"/>
      <c r="AS620" s="236"/>
    </row>
    <row r="621" spans="44:45">
      <c r="AR621" s="236"/>
      <c r="AS621" s="236"/>
    </row>
    <row r="622" spans="44:45">
      <c r="AR622" s="236"/>
      <c r="AS622" s="236"/>
    </row>
    <row r="623" spans="44:45">
      <c r="AR623" s="236"/>
      <c r="AS623" s="236"/>
    </row>
    <row r="624" spans="44:45">
      <c r="AR624" s="236"/>
      <c r="AS624" s="236"/>
    </row>
    <row r="625" spans="44:45">
      <c r="AR625" s="236"/>
      <c r="AS625" s="236"/>
    </row>
    <row r="626" spans="44:45">
      <c r="AR626" s="236"/>
      <c r="AS626" s="236"/>
    </row>
    <row r="627" spans="44:45">
      <c r="AR627" s="236"/>
      <c r="AS627" s="236"/>
    </row>
    <row r="628" spans="44:45">
      <c r="AR628" s="236"/>
      <c r="AS628" s="236"/>
    </row>
    <row r="629" spans="44:45">
      <c r="AR629" s="236"/>
      <c r="AS629" s="236"/>
    </row>
    <row r="630" spans="44:45">
      <c r="AR630" s="236"/>
      <c r="AS630" s="236"/>
    </row>
    <row r="631" spans="44:45">
      <c r="AR631" s="236"/>
      <c r="AS631" s="236"/>
    </row>
    <row r="632" spans="44:45">
      <c r="AR632" s="236"/>
      <c r="AS632" s="236"/>
    </row>
    <row r="633" spans="44:45">
      <c r="AR633" s="236"/>
      <c r="AS633" s="236"/>
    </row>
    <row r="634" spans="44:45">
      <c r="AR634" s="236"/>
      <c r="AS634" s="236"/>
    </row>
    <row r="635" spans="44:45">
      <c r="AR635" s="236"/>
      <c r="AS635" s="236"/>
    </row>
    <row r="636" spans="44:45">
      <c r="AR636" s="236"/>
      <c r="AS636" s="236"/>
    </row>
    <row r="637" spans="44:45">
      <c r="AR637" s="236"/>
      <c r="AS637" s="236"/>
    </row>
    <row r="638" spans="44:45">
      <c r="AR638" s="236"/>
      <c r="AS638" s="236"/>
    </row>
    <row r="639" spans="44:45">
      <c r="AR639" s="236"/>
      <c r="AS639" s="236"/>
    </row>
    <row r="640" spans="44:45">
      <c r="AR640" s="236"/>
      <c r="AS640" s="236"/>
    </row>
    <row r="641" spans="44:45">
      <c r="AR641" s="236"/>
      <c r="AS641" s="236"/>
    </row>
    <row r="642" spans="44:45">
      <c r="AR642" s="236"/>
      <c r="AS642" s="236"/>
    </row>
    <row r="643" spans="44:45">
      <c r="AR643" s="236"/>
      <c r="AS643" s="236"/>
    </row>
    <row r="644" spans="44:45">
      <c r="AR644" s="236"/>
      <c r="AS644" s="236"/>
    </row>
    <row r="645" spans="44:45">
      <c r="AR645" s="236"/>
      <c r="AS645" s="236"/>
    </row>
    <row r="646" spans="44:45">
      <c r="AR646" s="236"/>
      <c r="AS646" s="236"/>
    </row>
    <row r="647" spans="44:45">
      <c r="AR647" s="236"/>
      <c r="AS647" s="236"/>
    </row>
    <row r="648" spans="44:45">
      <c r="AR648" s="236"/>
      <c r="AS648" s="236"/>
    </row>
    <row r="649" spans="44:45">
      <c r="AR649" s="236"/>
      <c r="AS649" s="236"/>
    </row>
    <row r="650" spans="44:45">
      <c r="AR650" s="236"/>
      <c r="AS650" s="236"/>
    </row>
    <row r="651" spans="44:45">
      <c r="AR651" s="236"/>
      <c r="AS651" s="236"/>
    </row>
    <row r="652" spans="44:45">
      <c r="AR652" s="236"/>
      <c r="AS652" s="236"/>
    </row>
    <row r="653" spans="44:45">
      <c r="AR653" s="236"/>
      <c r="AS653" s="236"/>
    </row>
    <row r="654" spans="44:45">
      <c r="AR654" s="236"/>
      <c r="AS654" s="236"/>
    </row>
    <row r="655" spans="44:45">
      <c r="AR655" s="236"/>
      <c r="AS655" s="236"/>
    </row>
    <row r="656" spans="44:45">
      <c r="AR656" s="236"/>
      <c r="AS656" s="236"/>
    </row>
    <row r="657" spans="44:45">
      <c r="AR657" s="236"/>
      <c r="AS657" s="236"/>
    </row>
    <row r="658" spans="44:45">
      <c r="AR658" s="236"/>
      <c r="AS658" s="236"/>
    </row>
    <row r="659" spans="44:45">
      <c r="AR659" s="236"/>
      <c r="AS659" s="236"/>
    </row>
    <row r="660" spans="44:45">
      <c r="AR660" s="236"/>
      <c r="AS660" s="236"/>
    </row>
    <row r="661" spans="44:45">
      <c r="AR661" s="236"/>
      <c r="AS661" s="236"/>
    </row>
    <row r="662" spans="44:45">
      <c r="AR662" s="236"/>
      <c r="AS662" s="236"/>
    </row>
    <row r="663" spans="44:45">
      <c r="AR663" s="236"/>
      <c r="AS663" s="236"/>
    </row>
    <row r="664" spans="44:45">
      <c r="AR664" s="236"/>
      <c r="AS664" s="236"/>
    </row>
    <row r="665" spans="44:45">
      <c r="AR665" s="236"/>
      <c r="AS665" s="236"/>
    </row>
    <row r="666" spans="44:45">
      <c r="AR666" s="236"/>
      <c r="AS666" s="236"/>
    </row>
    <row r="667" spans="44:45">
      <c r="AR667" s="236"/>
      <c r="AS667" s="236"/>
    </row>
    <row r="668" spans="44:45">
      <c r="AR668" s="236"/>
      <c r="AS668" s="236"/>
    </row>
    <row r="669" spans="44:45">
      <c r="AR669" s="236"/>
      <c r="AS669" s="236"/>
    </row>
    <row r="670" spans="44:45">
      <c r="AR670" s="236"/>
      <c r="AS670" s="236"/>
    </row>
    <row r="671" spans="44:45">
      <c r="AR671" s="236"/>
      <c r="AS671" s="236"/>
    </row>
    <row r="672" spans="44:45">
      <c r="AR672" s="236"/>
      <c r="AS672" s="236"/>
    </row>
    <row r="673" spans="44:45">
      <c r="AR673" s="236"/>
      <c r="AS673" s="236"/>
    </row>
    <row r="674" spans="44:45">
      <c r="AR674" s="236"/>
      <c r="AS674" s="236"/>
    </row>
    <row r="675" spans="44:45">
      <c r="AR675" s="236"/>
      <c r="AS675" s="236"/>
    </row>
    <row r="676" spans="44:45">
      <c r="AR676" s="236"/>
      <c r="AS676" s="236"/>
    </row>
    <row r="677" spans="44:45">
      <c r="AR677" s="236"/>
      <c r="AS677" s="236"/>
    </row>
    <row r="678" spans="44:45">
      <c r="AR678" s="236"/>
      <c r="AS678" s="236"/>
    </row>
    <row r="679" spans="44:45">
      <c r="AR679" s="236"/>
      <c r="AS679" s="236"/>
    </row>
    <row r="680" spans="44:45">
      <c r="AR680" s="236"/>
      <c r="AS680" s="236"/>
    </row>
    <row r="681" spans="44:45">
      <c r="AR681" s="236"/>
      <c r="AS681" s="236"/>
    </row>
    <row r="682" spans="44:45">
      <c r="AR682" s="236"/>
      <c r="AS682" s="236"/>
    </row>
    <row r="683" spans="44:45">
      <c r="AR683" s="236"/>
      <c r="AS683" s="236"/>
    </row>
    <row r="684" spans="44:45">
      <c r="AR684" s="236"/>
      <c r="AS684" s="236"/>
    </row>
    <row r="685" spans="44:45">
      <c r="AR685" s="236"/>
      <c r="AS685" s="236"/>
    </row>
    <row r="686" spans="44:45">
      <c r="AR686" s="236"/>
      <c r="AS686" s="236"/>
    </row>
    <row r="687" spans="44:45">
      <c r="AR687" s="236"/>
      <c r="AS687" s="236"/>
    </row>
    <row r="688" spans="44:45">
      <c r="AR688" s="236"/>
      <c r="AS688" s="236"/>
    </row>
    <row r="689" spans="44:45">
      <c r="AR689" s="236"/>
      <c r="AS689" s="236"/>
    </row>
    <row r="690" spans="44:45">
      <c r="AR690" s="236"/>
      <c r="AS690" s="236"/>
    </row>
    <row r="691" spans="44:45">
      <c r="AR691" s="236"/>
      <c r="AS691" s="236"/>
    </row>
    <row r="692" spans="44:45">
      <c r="AR692" s="236"/>
      <c r="AS692" s="236"/>
    </row>
    <row r="693" spans="44:45">
      <c r="AR693" s="236"/>
      <c r="AS693" s="236"/>
    </row>
    <row r="694" spans="44:45">
      <c r="AR694" s="236"/>
      <c r="AS694" s="236"/>
    </row>
    <row r="695" spans="44:45">
      <c r="AR695" s="236"/>
      <c r="AS695" s="236"/>
    </row>
    <row r="696" spans="44:45">
      <c r="AR696" s="236"/>
      <c r="AS696" s="236"/>
    </row>
    <row r="697" spans="44:45">
      <c r="AR697" s="236"/>
      <c r="AS697" s="236"/>
    </row>
    <row r="698" spans="44:45">
      <c r="AR698" s="236"/>
      <c r="AS698" s="236"/>
    </row>
    <row r="699" spans="44:45">
      <c r="AR699" s="236"/>
      <c r="AS699" s="236"/>
    </row>
    <row r="700" spans="44:45">
      <c r="AR700" s="236"/>
      <c r="AS700" s="236"/>
    </row>
    <row r="701" spans="44:45">
      <c r="AR701" s="236"/>
      <c r="AS701" s="236"/>
    </row>
    <row r="702" spans="44:45">
      <c r="AR702" s="236"/>
      <c r="AS702" s="236"/>
    </row>
    <row r="703" spans="44:45">
      <c r="AR703" s="236"/>
      <c r="AS703" s="236"/>
    </row>
    <row r="704" spans="44:45">
      <c r="AR704" s="236"/>
      <c r="AS704" s="236"/>
    </row>
    <row r="705" spans="44:45">
      <c r="AR705" s="236"/>
      <c r="AS705" s="236"/>
    </row>
    <row r="706" spans="44:45">
      <c r="AR706" s="236"/>
      <c r="AS706" s="236"/>
    </row>
    <row r="707" spans="44:45">
      <c r="AR707" s="236"/>
      <c r="AS707" s="236"/>
    </row>
    <row r="708" spans="44:45">
      <c r="AR708" s="236"/>
      <c r="AS708" s="236"/>
    </row>
    <row r="709" spans="44:45">
      <c r="AR709" s="236"/>
      <c r="AS709" s="236"/>
    </row>
    <row r="710" spans="44:45">
      <c r="AR710" s="236"/>
      <c r="AS710" s="236"/>
    </row>
    <row r="711" spans="44:45">
      <c r="AR711" s="236"/>
      <c r="AS711" s="236"/>
    </row>
    <row r="712" spans="44:45">
      <c r="AR712" s="236"/>
      <c r="AS712" s="236"/>
    </row>
    <row r="713" spans="44:45">
      <c r="AR713" s="236"/>
      <c r="AS713" s="236"/>
    </row>
    <row r="714" spans="44:45">
      <c r="AR714" s="236"/>
      <c r="AS714" s="236"/>
    </row>
    <row r="715" spans="44:45">
      <c r="AR715" s="236"/>
      <c r="AS715" s="236"/>
    </row>
    <row r="716" spans="44:45">
      <c r="AR716" s="236"/>
      <c r="AS716" s="236"/>
    </row>
    <row r="717" spans="44:45">
      <c r="AR717" s="236"/>
      <c r="AS717" s="236"/>
    </row>
    <row r="718" spans="44:45">
      <c r="AR718" s="236"/>
      <c r="AS718" s="236"/>
    </row>
    <row r="719" spans="44:45">
      <c r="AR719" s="236"/>
      <c r="AS719" s="236"/>
    </row>
    <row r="720" spans="44:45">
      <c r="AR720" s="236"/>
      <c r="AS720" s="236"/>
    </row>
    <row r="721" spans="44:45">
      <c r="AR721" s="236"/>
      <c r="AS721" s="236"/>
    </row>
    <row r="722" spans="44:45">
      <c r="AR722" s="236"/>
      <c r="AS722" s="236"/>
    </row>
    <row r="723" spans="44:45">
      <c r="AR723" s="236"/>
      <c r="AS723" s="236"/>
    </row>
    <row r="724" spans="44:45">
      <c r="AR724" s="236"/>
      <c r="AS724" s="236"/>
    </row>
    <row r="725" spans="44:45">
      <c r="AR725" s="236"/>
      <c r="AS725" s="236"/>
    </row>
    <row r="726" spans="44:45">
      <c r="AR726" s="236"/>
      <c r="AS726" s="236"/>
    </row>
    <row r="727" spans="44:45">
      <c r="AR727" s="236"/>
      <c r="AS727" s="236"/>
    </row>
    <row r="728" spans="44:45">
      <c r="AR728" s="236"/>
      <c r="AS728" s="236"/>
    </row>
    <row r="729" spans="44:45">
      <c r="AR729" s="236"/>
      <c r="AS729" s="236"/>
    </row>
    <row r="730" spans="44:45">
      <c r="AR730" s="236"/>
      <c r="AS730" s="236"/>
    </row>
    <row r="731" spans="44:45">
      <c r="AR731" s="236"/>
      <c r="AS731" s="236"/>
    </row>
    <row r="732" spans="44:45">
      <c r="AR732" s="236"/>
      <c r="AS732" s="236"/>
    </row>
    <row r="733" spans="44:45">
      <c r="AR733" s="236"/>
      <c r="AS733" s="236"/>
    </row>
    <row r="734" spans="44:45">
      <c r="AR734" s="236"/>
      <c r="AS734" s="236"/>
    </row>
    <row r="735" spans="44:45">
      <c r="AR735" s="236"/>
      <c r="AS735" s="236"/>
    </row>
    <row r="736" spans="44:45">
      <c r="AR736" s="236"/>
      <c r="AS736" s="236"/>
    </row>
    <row r="737" spans="44:45">
      <c r="AR737" s="236"/>
      <c r="AS737" s="236"/>
    </row>
    <row r="738" spans="44:45">
      <c r="AR738" s="236"/>
      <c r="AS738" s="236"/>
    </row>
    <row r="739" spans="44:45">
      <c r="AR739" s="236"/>
      <c r="AS739" s="236"/>
    </row>
    <row r="740" spans="44:45">
      <c r="AR740" s="236"/>
      <c r="AS740" s="236"/>
    </row>
    <row r="741" spans="44:45">
      <c r="AR741" s="236"/>
      <c r="AS741" s="236"/>
    </row>
    <row r="742" spans="44:45">
      <c r="AR742" s="236"/>
      <c r="AS742" s="236"/>
    </row>
    <row r="743" spans="44:45">
      <c r="AR743" s="236"/>
      <c r="AS743" s="236"/>
    </row>
    <row r="744" spans="44:45">
      <c r="AR744" s="236"/>
      <c r="AS744" s="236"/>
    </row>
    <row r="745" spans="44:45">
      <c r="AR745" s="236"/>
      <c r="AS745" s="236"/>
    </row>
    <row r="746" spans="44:45">
      <c r="AR746" s="236"/>
      <c r="AS746" s="236"/>
    </row>
    <row r="747" spans="44:45">
      <c r="AR747" s="236"/>
      <c r="AS747" s="236"/>
    </row>
    <row r="748" spans="44:45">
      <c r="AR748" s="236"/>
      <c r="AS748" s="236"/>
    </row>
    <row r="749" spans="44:45">
      <c r="AR749" s="236"/>
      <c r="AS749" s="236"/>
    </row>
    <row r="750" spans="44:45">
      <c r="AR750" s="236"/>
      <c r="AS750" s="236"/>
    </row>
    <row r="751" spans="44:45">
      <c r="AR751" s="236"/>
      <c r="AS751" s="236"/>
    </row>
    <row r="752" spans="44:45">
      <c r="AR752" s="236"/>
      <c r="AS752" s="236"/>
    </row>
    <row r="753" spans="44:45">
      <c r="AR753" s="236"/>
      <c r="AS753" s="236"/>
    </row>
    <row r="754" spans="44:45">
      <c r="AR754" s="236"/>
      <c r="AS754" s="236"/>
    </row>
    <row r="755" spans="44:45">
      <c r="AR755" s="236"/>
      <c r="AS755" s="236"/>
    </row>
    <row r="756" spans="44:45">
      <c r="AR756" s="236"/>
      <c r="AS756" s="236"/>
    </row>
    <row r="757" spans="44:45">
      <c r="AR757" s="236"/>
      <c r="AS757" s="236"/>
    </row>
    <row r="758" spans="44:45">
      <c r="AR758" s="236"/>
      <c r="AS758" s="236"/>
    </row>
    <row r="759" spans="44:45">
      <c r="AR759" s="236"/>
      <c r="AS759" s="236"/>
    </row>
    <row r="760" spans="44:45">
      <c r="AR760" s="236"/>
      <c r="AS760" s="236"/>
    </row>
    <row r="761" spans="44:45">
      <c r="AR761" s="236"/>
      <c r="AS761" s="236"/>
    </row>
    <row r="762" spans="44:45">
      <c r="AR762" s="236"/>
      <c r="AS762" s="236"/>
    </row>
    <row r="763" spans="44:45">
      <c r="AR763" s="236"/>
      <c r="AS763" s="236"/>
    </row>
    <row r="764" spans="44:45">
      <c r="AR764" s="236"/>
      <c r="AS764" s="236"/>
    </row>
    <row r="765" spans="44:45">
      <c r="AR765" s="236"/>
      <c r="AS765" s="236"/>
    </row>
    <row r="766" spans="44:45">
      <c r="AR766" s="236"/>
      <c r="AS766" s="236"/>
    </row>
    <row r="767" spans="44:45">
      <c r="AR767" s="236"/>
      <c r="AS767" s="236"/>
    </row>
    <row r="768" spans="44:45">
      <c r="AR768" s="236"/>
      <c r="AS768" s="236"/>
    </row>
    <row r="769" spans="44:45">
      <c r="AR769" s="236"/>
      <c r="AS769" s="236"/>
    </row>
    <row r="770" spans="44:45">
      <c r="AR770" s="236"/>
      <c r="AS770" s="236"/>
    </row>
    <row r="771" spans="44:45">
      <c r="AR771" s="236"/>
      <c r="AS771" s="236"/>
    </row>
    <row r="772" spans="44:45">
      <c r="AR772" s="236"/>
      <c r="AS772" s="236"/>
    </row>
    <row r="773" spans="44:45">
      <c r="AR773" s="236"/>
      <c r="AS773" s="236"/>
    </row>
    <row r="774" spans="44:45">
      <c r="AR774" s="236"/>
      <c r="AS774" s="236"/>
    </row>
    <row r="775" spans="44:45">
      <c r="AR775" s="236"/>
      <c r="AS775" s="236"/>
    </row>
    <row r="776" spans="44:45">
      <c r="AR776" s="236"/>
      <c r="AS776" s="236"/>
    </row>
    <row r="777" spans="44:45">
      <c r="AR777" s="236"/>
      <c r="AS777" s="236"/>
    </row>
    <row r="778" spans="44:45">
      <c r="AR778" s="236"/>
      <c r="AS778" s="236"/>
    </row>
    <row r="779" spans="44:45">
      <c r="AR779" s="236"/>
      <c r="AS779" s="236"/>
    </row>
    <row r="780" spans="44:45">
      <c r="AR780" s="236"/>
      <c r="AS780" s="236"/>
    </row>
    <row r="781" spans="44:45">
      <c r="AR781" s="236"/>
      <c r="AS781" s="236"/>
    </row>
    <row r="782" spans="44:45">
      <c r="AR782" s="236"/>
      <c r="AS782" s="236"/>
    </row>
    <row r="783" spans="44:45">
      <c r="AR783" s="236"/>
      <c r="AS783" s="236"/>
    </row>
    <row r="784" spans="44:45">
      <c r="AR784" s="236"/>
      <c r="AS784" s="236"/>
    </row>
    <row r="785" spans="44:45">
      <c r="AR785" s="236"/>
      <c r="AS785" s="236"/>
    </row>
    <row r="786" spans="44:45">
      <c r="AR786" s="236"/>
      <c r="AS786" s="236"/>
    </row>
    <row r="787" spans="44:45">
      <c r="AR787" s="236"/>
      <c r="AS787" s="236"/>
    </row>
    <row r="788" spans="44:45">
      <c r="AR788" s="236"/>
      <c r="AS788" s="236"/>
    </row>
    <row r="789" spans="44:45">
      <c r="AR789" s="236"/>
      <c r="AS789" s="236"/>
    </row>
    <row r="790" spans="44:45">
      <c r="AR790" s="236"/>
      <c r="AS790" s="236"/>
    </row>
    <row r="791" spans="44:45">
      <c r="AR791" s="236"/>
      <c r="AS791" s="236"/>
    </row>
    <row r="792" spans="44:45">
      <c r="AR792" s="236"/>
      <c r="AS792" s="236"/>
    </row>
    <row r="793" spans="44:45">
      <c r="AR793" s="236"/>
      <c r="AS793" s="236"/>
    </row>
    <row r="794" spans="44:45">
      <c r="AR794" s="236"/>
      <c r="AS794" s="236"/>
    </row>
    <row r="795" spans="44:45">
      <c r="AR795" s="236"/>
      <c r="AS795" s="236"/>
    </row>
    <row r="796" spans="44:45">
      <c r="AR796" s="236"/>
      <c r="AS796" s="236"/>
    </row>
    <row r="797" spans="44:45">
      <c r="AR797" s="236"/>
      <c r="AS797" s="236"/>
    </row>
    <row r="798" spans="44:45">
      <c r="AR798" s="236"/>
      <c r="AS798" s="236"/>
    </row>
    <row r="799" spans="44:45">
      <c r="AR799" s="236"/>
      <c r="AS799" s="236"/>
    </row>
    <row r="800" spans="44:45">
      <c r="AR800" s="236"/>
      <c r="AS800" s="236"/>
    </row>
    <row r="801" spans="44:45">
      <c r="AR801" s="236"/>
      <c r="AS801" s="236"/>
    </row>
    <row r="802" spans="44:45">
      <c r="AR802" s="236"/>
      <c r="AS802" s="236"/>
    </row>
    <row r="803" spans="44:45">
      <c r="AR803" s="236"/>
      <c r="AS803" s="236"/>
    </row>
    <row r="804" spans="44:45">
      <c r="AR804" s="236"/>
      <c r="AS804" s="236"/>
    </row>
    <row r="805" spans="44:45">
      <c r="AR805" s="236"/>
      <c r="AS805" s="236"/>
    </row>
    <row r="806" spans="44:45">
      <c r="AR806" s="236"/>
      <c r="AS806" s="236"/>
    </row>
    <row r="807" spans="44:45">
      <c r="AR807" s="236"/>
      <c r="AS807" s="236"/>
    </row>
    <row r="808" spans="44:45">
      <c r="AR808" s="236"/>
      <c r="AS808" s="236"/>
    </row>
    <row r="809" spans="44:45">
      <c r="AR809" s="236"/>
      <c r="AS809" s="236"/>
    </row>
    <row r="810" spans="44:45">
      <c r="AR810" s="236"/>
      <c r="AS810" s="236"/>
    </row>
    <row r="811" spans="44:45">
      <c r="AR811" s="236"/>
      <c r="AS811" s="236"/>
    </row>
    <row r="812" spans="44:45">
      <c r="AR812" s="236"/>
      <c r="AS812" s="236"/>
    </row>
    <row r="813" spans="44:45">
      <c r="AR813" s="236"/>
      <c r="AS813" s="236"/>
    </row>
    <row r="814" spans="44:45">
      <c r="AR814" s="236"/>
      <c r="AS814" s="236"/>
    </row>
    <row r="815" spans="44:45">
      <c r="AR815" s="236"/>
      <c r="AS815" s="236"/>
    </row>
    <row r="816" spans="44:45">
      <c r="AR816" s="236"/>
      <c r="AS816" s="236"/>
    </row>
    <row r="817" spans="44:45">
      <c r="AR817" s="236"/>
      <c r="AS817" s="236"/>
    </row>
    <row r="818" spans="44:45">
      <c r="AR818" s="236"/>
      <c r="AS818" s="236"/>
    </row>
    <row r="819" spans="44:45">
      <c r="AR819" s="236"/>
      <c r="AS819" s="236"/>
    </row>
    <row r="820" spans="44:45">
      <c r="AR820" s="236"/>
      <c r="AS820" s="236"/>
    </row>
    <row r="821" spans="44:45">
      <c r="AR821" s="236"/>
      <c r="AS821" s="236"/>
    </row>
    <row r="822" spans="44:45">
      <c r="AR822" s="236"/>
      <c r="AS822" s="236"/>
    </row>
    <row r="823" spans="44:45">
      <c r="AR823" s="236"/>
      <c r="AS823" s="236"/>
    </row>
    <row r="824" spans="44:45">
      <c r="AR824" s="236"/>
      <c r="AS824" s="236"/>
    </row>
    <row r="825" spans="44:45">
      <c r="AR825" s="236"/>
      <c r="AS825" s="236"/>
    </row>
    <row r="826" spans="44:45">
      <c r="AR826" s="236"/>
      <c r="AS826" s="236"/>
    </row>
    <row r="827" spans="44:45">
      <c r="AR827" s="236"/>
      <c r="AS827" s="236"/>
    </row>
    <row r="828" spans="44:45">
      <c r="AR828" s="236"/>
      <c r="AS828" s="236"/>
    </row>
    <row r="829" spans="44:45">
      <c r="AR829" s="236"/>
      <c r="AS829" s="236"/>
    </row>
    <row r="830" spans="44:45">
      <c r="AR830" s="236"/>
      <c r="AS830" s="236"/>
    </row>
    <row r="831" spans="44:45">
      <c r="AR831" s="236"/>
      <c r="AS831" s="236"/>
    </row>
    <row r="832" spans="44:45">
      <c r="AR832" s="236"/>
      <c r="AS832" s="236"/>
    </row>
    <row r="833" spans="44:45">
      <c r="AR833" s="236"/>
      <c r="AS833" s="236"/>
    </row>
    <row r="834" spans="44:45">
      <c r="AR834" s="236"/>
      <c r="AS834" s="236"/>
    </row>
    <row r="835" spans="44:45">
      <c r="AR835" s="236"/>
      <c r="AS835" s="236"/>
    </row>
    <row r="836" spans="44:45">
      <c r="AR836" s="236"/>
      <c r="AS836" s="236"/>
    </row>
    <row r="837" spans="44:45">
      <c r="AR837" s="236"/>
      <c r="AS837" s="236"/>
    </row>
    <row r="838" spans="44:45">
      <c r="AR838" s="236"/>
      <c r="AS838" s="236"/>
    </row>
    <row r="839" spans="44:45">
      <c r="AR839" s="236"/>
      <c r="AS839" s="236"/>
    </row>
    <row r="840" spans="44:45">
      <c r="AR840" s="236"/>
      <c r="AS840" s="236"/>
    </row>
    <row r="841" spans="44:45">
      <c r="AR841" s="236"/>
      <c r="AS841" s="236"/>
    </row>
    <row r="842" spans="44:45">
      <c r="AR842" s="236"/>
      <c r="AS842" s="236"/>
    </row>
    <row r="843" spans="44:45">
      <c r="AR843" s="236"/>
      <c r="AS843" s="236"/>
    </row>
    <row r="844" spans="44:45">
      <c r="AR844" s="236"/>
      <c r="AS844" s="236"/>
    </row>
    <row r="845" spans="44:45">
      <c r="AR845" s="236"/>
      <c r="AS845" s="236"/>
    </row>
    <row r="846" spans="44:45">
      <c r="AR846" s="236"/>
      <c r="AS846" s="236"/>
    </row>
    <row r="847" spans="44:45">
      <c r="AR847" s="236"/>
      <c r="AS847" s="236"/>
    </row>
    <row r="848" spans="44:45">
      <c r="AR848" s="236"/>
      <c r="AS848" s="236"/>
    </row>
    <row r="849" spans="44:45">
      <c r="AR849" s="236"/>
      <c r="AS849" s="236"/>
    </row>
    <row r="850" spans="44:45">
      <c r="AR850" s="236"/>
      <c r="AS850" s="236"/>
    </row>
    <row r="851" spans="44:45">
      <c r="AR851" s="236"/>
      <c r="AS851" s="236"/>
    </row>
    <row r="852" spans="44:45">
      <c r="AR852" s="236"/>
      <c r="AS852" s="236"/>
    </row>
    <row r="853" spans="44:45">
      <c r="AR853" s="236"/>
      <c r="AS853" s="236"/>
    </row>
    <row r="854" spans="44:45">
      <c r="AR854" s="236"/>
      <c r="AS854" s="236"/>
    </row>
    <row r="855" spans="44:45">
      <c r="AR855" s="236"/>
      <c r="AS855" s="236"/>
    </row>
    <row r="856" spans="44:45">
      <c r="AR856" s="236"/>
      <c r="AS856" s="236"/>
    </row>
    <row r="857" spans="44:45">
      <c r="AR857" s="236"/>
      <c r="AS857" s="236"/>
    </row>
    <row r="858" spans="44:45">
      <c r="AR858" s="236"/>
      <c r="AS858" s="236"/>
    </row>
    <row r="859" spans="44:45">
      <c r="AR859" s="236"/>
      <c r="AS859" s="236"/>
    </row>
    <row r="860" spans="44:45">
      <c r="AR860" s="236"/>
      <c r="AS860" s="236"/>
    </row>
    <row r="861" spans="44:45">
      <c r="AR861" s="236"/>
      <c r="AS861" s="236"/>
    </row>
    <row r="862" spans="44:45">
      <c r="AR862" s="236"/>
      <c r="AS862" s="236"/>
    </row>
    <row r="863" spans="44:45">
      <c r="AR863" s="236"/>
      <c r="AS863" s="236"/>
    </row>
    <row r="864" spans="44:45">
      <c r="AR864" s="236"/>
      <c r="AS864" s="236"/>
    </row>
    <row r="865" spans="44:45">
      <c r="AR865" s="236"/>
      <c r="AS865" s="236"/>
    </row>
    <row r="866" spans="44:45">
      <c r="AR866" s="236"/>
      <c r="AS866" s="236"/>
    </row>
    <row r="867" spans="44:45">
      <c r="AR867" s="236"/>
      <c r="AS867" s="236"/>
    </row>
    <row r="868" spans="44:45">
      <c r="AR868" s="236"/>
      <c r="AS868" s="236"/>
    </row>
    <row r="869" spans="44:45">
      <c r="AR869" s="236"/>
      <c r="AS869" s="236"/>
    </row>
    <row r="870" spans="44:45">
      <c r="AR870" s="236"/>
      <c r="AS870" s="236"/>
    </row>
    <row r="871" spans="44:45">
      <c r="AR871" s="236"/>
      <c r="AS871" s="236"/>
    </row>
    <row r="872" spans="44:45">
      <c r="AR872" s="236"/>
      <c r="AS872" s="236"/>
    </row>
    <row r="873" spans="44:45">
      <c r="AR873" s="236"/>
      <c r="AS873" s="236"/>
    </row>
    <row r="874" spans="44:45">
      <c r="AR874" s="236"/>
      <c r="AS874" s="236"/>
    </row>
    <row r="875" spans="44:45">
      <c r="AR875" s="236"/>
      <c r="AS875" s="236"/>
    </row>
    <row r="876" spans="44:45">
      <c r="AR876" s="236"/>
      <c r="AS876" s="236"/>
    </row>
    <row r="877" spans="44:45">
      <c r="AR877" s="236"/>
      <c r="AS877" s="236"/>
    </row>
    <row r="878" spans="44:45">
      <c r="AR878" s="236"/>
      <c r="AS878" s="236"/>
    </row>
    <row r="879" spans="44:45">
      <c r="AR879" s="236"/>
      <c r="AS879" s="236"/>
    </row>
    <row r="880" spans="44:45">
      <c r="AR880" s="236"/>
      <c r="AS880" s="236"/>
    </row>
    <row r="881" spans="44:45">
      <c r="AR881" s="236"/>
      <c r="AS881" s="236"/>
    </row>
    <row r="882" spans="44:45">
      <c r="AR882" s="236"/>
      <c r="AS882" s="236"/>
    </row>
    <row r="883" spans="44:45">
      <c r="AR883" s="236"/>
      <c r="AS883" s="236"/>
    </row>
    <row r="884" spans="44:45">
      <c r="AR884" s="236"/>
      <c r="AS884" s="236"/>
    </row>
    <row r="885" spans="44:45">
      <c r="AR885" s="236"/>
      <c r="AS885" s="236"/>
    </row>
    <row r="886" spans="44:45">
      <c r="AR886" s="236"/>
      <c r="AS886" s="236"/>
    </row>
    <row r="887" spans="44:45">
      <c r="AR887" s="236"/>
      <c r="AS887" s="236"/>
    </row>
    <row r="888" spans="44:45">
      <c r="AR888" s="236"/>
      <c r="AS888" s="236"/>
    </row>
    <row r="889" spans="44:45">
      <c r="AR889" s="236"/>
      <c r="AS889" s="236"/>
    </row>
    <row r="890" spans="44:45">
      <c r="AR890" s="236"/>
      <c r="AS890" s="236"/>
    </row>
    <row r="891" spans="44:45">
      <c r="AR891" s="236"/>
      <c r="AS891" s="236"/>
    </row>
    <row r="892" spans="44:45">
      <c r="AR892" s="236"/>
      <c r="AS892" s="236"/>
    </row>
    <row r="893" spans="44:45">
      <c r="AR893" s="236"/>
      <c r="AS893" s="236"/>
    </row>
    <row r="894" spans="44:45">
      <c r="AR894" s="236"/>
      <c r="AS894" s="236"/>
    </row>
    <row r="895" spans="44:45">
      <c r="AR895" s="236"/>
      <c r="AS895" s="236"/>
    </row>
    <row r="896" spans="44:45">
      <c r="AR896" s="236"/>
      <c r="AS896" s="236"/>
    </row>
    <row r="897" spans="44:45">
      <c r="AR897" s="236"/>
      <c r="AS897" s="236"/>
    </row>
    <row r="898" spans="44:45">
      <c r="AR898" s="236"/>
      <c r="AS898" s="236"/>
    </row>
    <row r="899" spans="44:45">
      <c r="AR899" s="236"/>
      <c r="AS899" s="236"/>
    </row>
    <row r="900" spans="44:45">
      <c r="AR900" s="236"/>
      <c r="AS900" s="236"/>
    </row>
    <row r="901" spans="44:45">
      <c r="AR901" s="236"/>
      <c r="AS901" s="236"/>
    </row>
    <row r="902" spans="44:45">
      <c r="AR902" s="236"/>
      <c r="AS902" s="236"/>
    </row>
    <row r="903" spans="44:45">
      <c r="AR903" s="236"/>
      <c r="AS903" s="236"/>
    </row>
    <row r="904" spans="44:45">
      <c r="AR904" s="236"/>
      <c r="AS904" s="236"/>
    </row>
    <row r="905" spans="44:45">
      <c r="AR905" s="236"/>
      <c r="AS905" s="236"/>
    </row>
    <row r="906" spans="44:45">
      <c r="AR906" s="236"/>
      <c r="AS906" s="236"/>
    </row>
    <row r="907" spans="44:45">
      <c r="AR907" s="236"/>
      <c r="AS907" s="236"/>
    </row>
    <row r="908" spans="44:45">
      <c r="AR908" s="236"/>
      <c r="AS908" s="236"/>
    </row>
    <row r="909" spans="44:45">
      <c r="AR909" s="236"/>
      <c r="AS909" s="236"/>
    </row>
    <row r="910" spans="44:45">
      <c r="AR910" s="236"/>
      <c r="AS910" s="236"/>
    </row>
    <row r="911" spans="44:45">
      <c r="AR911" s="236"/>
      <c r="AS911" s="236"/>
    </row>
    <row r="912" spans="44:45">
      <c r="AR912" s="236"/>
      <c r="AS912" s="236"/>
    </row>
    <row r="913" spans="44:45">
      <c r="AR913" s="236"/>
      <c r="AS913" s="236"/>
    </row>
    <row r="914" spans="44:45">
      <c r="AR914" s="236"/>
      <c r="AS914" s="236"/>
    </row>
    <row r="915" spans="44:45">
      <c r="AR915" s="236"/>
      <c r="AS915" s="236"/>
    </row>
    <row r="916" spans="44:45">
      <c r="AR916" s="236"/>
      <c r="AS916" s="236"/>
    </row>
    <row r="917" spans="44:45">
      <c r="AR917" s="236"/>
      <c r="AS917" s="236"/>
    </row>
    <row r="918" spans="44:45">
      <c r="AR918" s="236"/>
      <c r="AS918" s="236"/>
    </row>
    <row r="919" spans="44:45">
      <c r="AR919" s="236"/>
      <c r="AS919" s="236"/>
    </row>
    <row r="920" spans="44:45">
      <c r="AR920" s="236"/>
      <c r="AS920" s="236"/>
    </row>
    <row r="921" spans="44:45">
      <c r="AR921" s="236"/>
      <c r="AS921" s="236"/>
    </row>
    <row r="922" spans="44:45">
      <c r="AR922" s="236"/>
      <c r="AS922" s="236"/>
    </row>
    <row r="923" spans="44:45">
      <c r="AR923" s="236"/>
      <c r="AS923" s="236"/>
    </row>
    <row r="924" spans="44:45">
      <c r="AR924" s="236"/>
      <c r="AS924" s="236"/>
    </row>
    <row r="925" spans="44:45">
      <c r="AR925" s="236"/>
      <c r="AS925" s="236"/>
    </row>
    <row r="926" spans="44:45">
      <c r="AR926" s="236"/>
      <c r="AS926" s="236"/>
    </row>
    <row r="927" spans="44:45">
      <c r="AR927" s="236"/>
      <c r="AS927" s="236"/>
    </row>
    <row r="928" spans="44:45">
      <c r="AR928" s="236"/>
      <c r="AS928" s="236"/>
    </row>
    <row r="929" spans="44:45">
      <c r="AR929" s="236"/>
      <c r="AS929" s="236"/>
    </row>
    <row r="930" spans="44:45">
      <c r="AR930" s="236"/>
      <c r="AS930" s="236"/>
    </row>
    <row r="931" spans="44:45">
      <c r="AR931" s="236"/>
      <c r="AS931" s="236"/>
    </row>
    <row r="932" spans="44:45">
      <c r="AR932" s="236"/>
      <c r="AS932" s="236"/>
    </row>
    <row r="933" spans="44:45">
      <c r="AR933" s="236"/>
      <c r="AS933" s="236"/>
    </row>
    <row r="934" spans="44:45">
      <c r="AR934" s="236"/>
      <c r="AS934" s="236"/>
    </row>
    <row r="935" spans="44:45">
      <c r="AR935" s="236"/>
      <c r="AS935" s="236"/>
    </row>
    <row r="936" spans="44:45">
      <c r="AR936" s="236"/>
      <c r="AS936" s="236"/>
    </row>
    <row r="937" spans="44:45">
      <c r="AR937" s="236"/>
      <c r="AS937" s="236"/>
    </row>
    <row r="938" spans="44:45">
      <c r="AR938" s="236"/>
      <c r="AS938" s="236"/>
    </row>
    <row r="939" spans="44:45">
      <c r="AR939" s="236"/>
      <c r="AS939" s="236"/>
    </row>
    <row r="940" spans="44:45">
      <c r="AR940" s="236"/>
      <c r="AS940" s="236"/>
    </row>
    <row r="941" spans="44:45">
      <c r="AR941" s="236"/>
      <c r="AS941" s="236"/>
    </row>
    <row r="942" spans="44:45">
      <c r="AR942" s="236"/>
      <c r="AS942" s="236"/>
    </row>
    <row r="943" spans="44:45">
      <c r="AR943" s="236"/>
      <c r="AS943" s="236"/>
    </row>
    <row r="944" spans="44:45">
      <c r="AR944" s="236"/>
      <c r="AS944" s="236"/>
    </row>
    <row r="945" spans="44:45">
      <c r="AR945" s="236"/>
      <c r="AS945" s="236"/>
    </row>
    <row r="946" spans="44:45">
      <c r="AR946" s="236"/>
      <c r="AS946" s="236"/>
    </row>
    <row r="947" spans="44:45">
      <c r="AR947" s="236"/>
      <c r="AS947" s="236"/>
    </row>
    <row r="948" spans="44:45">
      <c r="AR948" s="236"/>
      <c r="AS948" s="236"/>
    </row>
    <row r="949" spans="44:45">
      <c r="AR949" s="236"/>
      <c r="AS949" s="236"/>
    </row>
    <row r="950" spans="44:45">
      <c r="AR950" s="236"/>
      <c r="AS950" s="236"/>
    </row>
    <row r="951" spans="44:45">
      <c r="AR951" s="236"/>
      <c r="AS951" s="236"/>
    </row>
    <row r="952" spans="44:45">
      <c r="AR952" s="236"/>
      <c r="AS952" s="236"/>
    </row>
    <row r="953" spans="44:45">
      <c r="AR953" s="236"/>
      <c r="AS953" s="236"/>
    </row>
    <row r="954" spans="44:45">
      <c r="AR954" s="236"/>
      <c r="AS954" s="236"/>
    </row>
    <row r="955" spans="44:45">
      <c r="AR955" s="236"/>
      <c r="AS955" s="236"/>
    </row>
    <row r="956" spans="44:45">
      <c r="AR956" s="236"/>
      <c r="AS956" s="236"/>
    </row>
    <row r="957" spans="44:45">
      <c r="AR957" s="236"/>
      <c r="AS957" s="236"/>
    </row>
    <row r="958" spans="44:45">
      <c r="AR958" s="236"/>
      <c r="AS958" s="236"/>
    </row>
    <row r="959" spans="44:45">
      <c r="AR959" s="236"/>
      <c r="AS959" s="236"/>
    </row>
    <row r="960" spans="44:45">
      <c r="AR960" s="236"/>
      <c r="AS960" s="236"/>
    </row>
    <row r="961" spans="44:45">
      <c r="AR961" s="236"/>
      <c r="AS961" s="236"/>
    </row>
    <row r="962" spans="44:45">
      <c r="AR962" s="236"/>
      <c r="AS962" s="236"/>
    </row>
    <row r="963" spans="44:45">
      <c r="AR963" s="236"/>
      <c r="AS963" s="236"/>
    </row>
    <row r="964" spans="44:45">
      <c r="AR964" s="236"/>
      <c r="AS964" s="236"/>
    </row>
    <row r="965" spans="44:45">
      <c r="AR965" s="236"/>
      <c r="AS965" s="236"/>
    </row>
    <row r="966" spans="44:45">
      <c r="AR966" s="236"/>
      <c r="AS966" s="236"/>
    </row>
    <row r="967" spans="44:45">
      <c r="AR967" s="236"/>
      <c r="AS967" s="236"/>
    </row>
    <row r="968" spans="44:45">
      <c r="AR968" s="236"/>
      <c r="AS968" s="236"/>
    </row>
    <row r="969" spans="44:45">
      <c r="AR969" s="236"/>
      <c r="AS969" s="236"/>
    </row>
    <row r="970" spans="44:45">
      <c r="AR970" s="236"/>
      <c r="AS970" s="236"/>
    </row>
    <row r="971" spans="44:45">
      <c r="AR971" s="236"/>
      <c r="AS971" s="236"/>
    </row>
    <row r="972" spans="44:45">
      <c r="AR972" s="236"/>
      <c r="AS972" s="236"/>
    </row>
    <row r="973" spans="44:45">
      <c r="AR973" s="236"/>
      <c r="AS973" s="236"/>
    </row>
    <row r="974" spans="44:45">
      <c r="AR974" s="236"/>
      <c r="AS974" s="236"/>
    </row>
    <row r="975" spans="44:45">
      <c r="AR975" s="236"/>
      <c r="AS975" s="236"/>
    </row>
    <row r="976" spans="44:45">
      <c r="AR976" s="236"/>
      <c r="AS976" s="236"/>
    </row>
    <row r="977" spans="44:45">
      <c r="AR977" s="236"/>
      <c r="AS977" s="236"/>
    </row>
    <row r="978" spans="44:45">
      <c r="AR978" s="236"/>
      <c r="AS978" s="236"/>
    </row>
    <row r="979" spans="44:45">
      <c r="AR979" s="236"/>
      <c r="AS979" s="236"/>
    </row>
    <row r="980" spans="44:45">
      <c r="AR980" s="236"/>
      <c r="AS980" s="236"/>
    </row>
    <row r="981" spans="44:45">
      <c r="AR981" s="236"/>
      <c r="AS981" s="236"/>
    </row>
    <row r="982" spans="44:45">
      <c r="AR982" s="236"/>
      <c r="AS982" s="236"/>
    </row>
    <row r="983" spans="44:45">
      <c r="AR983" s="236"/>
      <c r="AS983" s="236"/>
    </row>
    <row r="984" spans="44:45">
      <c r="AR984" s="236"/>
      <c r="AS984" s="236"/>
    </row>
    <row r="985" spans="44:45">
      <c r="AR985" s="236"/>
      <c r="AS985" s="236"/>
    </row>
    <row r="986" spans="44:45">
      <c r="AR986" s="236"/>
      <c r="AS986" s="236"/>
    </row>
    <row r="987" spans="44:45">
      <c r="AR987" s="236"/>
      <c r="AS987" s="236"/>
    </row>
    <row r="988" spans="44:45">
      <c r="AR988" s="236"/>
      <c r="AS988" s="236"/>
    </row>
    <row r="989" spans="44:45">
      <c r="AR989" s="236"/>
      <c r="AS989" s="236"/>
    </row>
    <row r="990" spans="44:45">
      <c r="AR990" s="236"/>
      <c r="AS990" s="236"/>
    </row>
    <row r="991" spans="44:45">
      <c r="AR991" s="236"/>
      <c r="AS991" s="236"/>
    </row>
    <row r="992" spans="44:45">
      <c r="AR992" s="236"/>
      <c r="AS992" s="236"/>
    </row>
    <row r="993" spans="44:45">
      <c r="AR993" s="236"/>
      <c r="AS993" s="236"/>
    </row>
    <row r="994" spans="44:45">
      <c r="AR994" s="236"/>
      <c r="AS994" s="236"/>
    </row>
    <row r="995" spans="44:45">
      <c r="AR995" s="236"/>
      <c r="AS995" s="236"/>
    </row>
    <row r="996" spans="44:45">
      <c r="AR996" s="236"/>
      <c r="AS996" s="236"/>
    </row>
    <row r="997" spans="44:45">
      <c r="AR997" s="236"/>
      <c r="AS997" s="236"/>
    </row>
    <row r="998" spans="44:45">
      <c r="AR998" s="236"/>
      <c r="AS998" s="236"/>
    </row>
    <row r="999" spans="44:45">
      <c r="AR999" s="236"/>
      <c r="AS999" s="236"/>
    </row>
    <row r="1000" spans="44:45">
      <c r="AR1000" s="236"/>
      <c r="AS1000" s="236"/>
    </row>
    <row r="1001" spans="44:45">
      <c r="AR1001" s="236"/>
      <c r="AS1001" s="236"/>
    </row>
    <row r="1002" spans="44:45">
      <c r="AR1002" s="236"/>
      <c r="AS1002" s="236"/>
    </row>
    <row r="1003" spans="44:45">
      <c r="AR1003" s="236"/>
      <c r="AS1003" s="236"/>
    </row>
    <row r="1004" spans="44:45">
      <c r="AR1004" s="236"/>
      <c r="AS1004" s="236"/>
    </row>
    <row r="1005" spans="44:45">
      <c r="AR1005" s="236"/>
      <c r="AS1005" s="236"/>
    </row>
    <row r="1006" spans="44:45">
      <c r="AR1006" s="236"/>
      <c r="AS1006" s="236"/>
    </row>
    <row r="1007" spans="44:45">
      <c r="AR1007" s="236"/>
      <c r="AS1007" s="236"/>
    </row>
    <row r="1008" spans="44:45">
      <c r="AR1008" s="236"/>
      <c r="AS1008" s="236"/>
    </row>
    <row r="1009" spans="44:45">
      <c r="AR1009" s="236"/>
      <c r="AS1009" s="236"/>
    </row>
    <row r="1010" spans="44:45">
      <c r="AR1010" s="236"/>
      <c r="AS1010" s="236"/>
    </row>
    <row r="1011" spans="44:45">
      <c r="AR1011" s="236"/>
      <c r="AS1011" s="236"/>
    </row>
    <row r="1012" spans="44:45">
      <c r="AR1012" s="236"/>
      <c r="AS1012" s="236"/>
    </row>
    <row r="1013" spans="44:45">
      <c r="AR1013" s="236"/>
      <c r="AS1013" s="236"/>
    </row>
    <row r="1014" spans="44:45">
      <c r="AR1014" s="236"/>
      <c r="AS1014" s="236"/>
    </row>
    <row r="1015" spans="44:45">
      <c r="AR1015" s="236"/>
      <c r="AS1015" s="236"/>
    </row>
    <row r="1016" spans="44:45">
      <c r="AR1016" s="236"/>
      <c r="AS1016" s="236"/>
    </row>
    <row r="1017" spans="44:45">
      <c r="AR1017" s="236"/>
      <c r="AS1017" s="236"/>
    </row>
    <row r="1018" spans="44:45">
      <c r="AR1018" s="236"/>
      <c r="AS1018" s="236"/>
    </row>
    <row r="1019" spans="44:45">
      <c r="AR1019" s="236"/>
      <c r="AS1019" s="236"/>
    </row>
    <row r="1020" spans="44:45">
      <c r="AR1020" s="236"/>
      <c r="AS1020" s="236"/>
    </row>
    <row r="1021" spans="44:45">
      <c r="AR1021" s="236"/>
      <c r="AS1021" s="236"/>
    </row>
    <row r="1022" spans="44:45">
      <c r="AR1022" s="236"/>
      <c r="AS1022" s="236"/>
    </row>
    <row r="1023" spans="44:45">
      <c r="AR1023" s="236"/>
      <c r="AS1023" s="236"/>
    </row>
    <row r="1024" spans="44:45">
      <c r="AR1024" s="236"/>
      <c r="AS1024" s="236"/>
    </row>
    <row r="1025" spans="44:45">
      <c r="AR1025" s="236"/>
      <c r="AS1025" s="236"/>
    </row>
    <row r="1026" spans="44:45">
      <c r="AR1026" s="236"/>
      <c r="AS1026" s="236"/>
    </row>
    <row r="1027" spans="44:45">
      <c r="AR1027" s="236"/>
      <c r="AS1027" s="236"/>
    </row>
    <row r="1028" spans="44:45">
      <c r="AR1028" s="236"/>
      <c r="AS1028" s="236"/>
    </row>
    <row r="1029" spans="44:45">
      <c r="AR1029" s="236"/>
      <c r="AS1029" s="236"/>
    </row>
    <row r="1030" spans="44:45">
      <c r="AR1030" s="236"/>
      <c r="AS1030" s="236"/>
    </row>
    <row r="1031" spans="44:45">
      <c r="AR1031" s="236"/>
      <c r="AS1031" s="236"/>
    </row>
    <row r="1032" spans="44:45">
      <c r="AR1032" s="236"/>
      <c r="AS1032" s="236"/>
    </row>
    <row r="1033" spans="44:45">
      <c r="AR1033" s="236"/>
      <c r="AS1033" s="236"/>
    </row>
    <row r="1034" spans="44:45">
      <c r="AR1034" s="236"/>
      <c r="AS1034" s="236"/>
    </row>
    <row r="1035" spans="44:45">
      <c r="AR1035" s="236"/>
      <c r="AS1035" s="236"/>
    </row>
    <row r="1036" spans="44:45">
      <c r="AR1036" s="236"/>
      <c r="AS1036" s="236"/>
    </row>
    <row r="1037" spans="44:45">
      <c r="AR1037" s="236"/>
      <c r="AS1037" s="236"/>
    </row>
    <row r="1038" spans="44:45">
      <c r="AR1038" s="236"/>
      <c r="AS1038" s="236"/>
    </row>
    <row r="1039" spans="44:45">
      <c r="AR1039" s="236"/>
      <c r="AS1039" s="236"/>
    </row>
    <row r="1040" spans="44:45">
      <c r="AR1040" s="236"/>
      <c r="AS1040" s="236"/>
    </row>
    <row r="1041" spans="44:45">
      <c r="AR1041" s="236"/>
      <c r="AS1041" s="236"/>
    </row>
    <row r="1042" spans="44:45">
      <c r="AR1042" s="236"/>
      <c r="AS1042" s="236"/>
    </row>
    <row r="1043" spans="44:45">
      <c r="AR1043" s="236"/>
      <c r="AS1043" s="236"/>
    </row>
    <row r="1044" spans="44:45">
      <c r="AR1044" s="236"/>
      <c r="AS1044" s="236"/>
    </row>
    <row r="1045" spans="44:45">
      <c r="AR1045" s="236"/>
      <c r="AS1045" s="236"/>
    </row>
    <row r="1046" spans="44:45">
      <c r="AR1046" s="236"/>
      <c r="AS1046" s="236"/>
    </row>
    <row r="1047" spans="44:45">
      <c r="AR1047" s="236"/>
      <c r="AS1047" s="236"/>
    </row>
    <row r="1048" spans="44:45">
      <c r="AR1048" s="236"/>
      <c r="AS1048" s="236"/>
    </row>
    <row r="1049" spans="44:45">
      <c r="AR1049" s="236"/>
      <c r="AS1049" s="236"/>
    </row>
    <row r="1050" spans="44:45">
      <c r="AR1050" s="236"/>
      <c r="AS1050" s="236"/>
    </row>
    <row r="1051" spans="44:45">
      <c r="AR1051" s="236"/>
      <c r="AS1051" s="236"/>
    </row>
    <row r="1052" spans="44:45">
      <c r="AR1052" s="236"/>
      <c r="AS1052" s="236"/>
    </row>
    <row r="1053" spans="44:45">
      <c r="AR1053" s="236"/>
      <c r="AS1053" s="236"/>
    </row>
    <row r="1054" spans="44:45">
      <c r="AR1054" s="236"/>
      <c r="AS1054" s="236"/>
    </row>
    <row r="1055" spans="44:45">
      <c r="AR1055" s="236"/>
      <c r="AS1055" s="236"/>
    </row>
    <row r="1056" spans="44:45">
      <c r="AR1056" s="236"/>
      <c r="AS1056" s="236"/>
    </row>
    <row r="1057" spans="44:45">
      <c r="AR1057" s="236"/>
      <c r="AS1057" s="236"/>
    </row>
    <row r="1058" spans="44:45">
      <c r="AR1058" s="236"/>
      <c r="AS1058" s="236"/>
    </row>
    <row r="1059" spans="44:45">
      <c r="AR1059" s="236"/>
      <c r="AS1059" s="236"/>
    </row>
    <row r="1060" spans="44:45">
      <c r="AR1060" s="236"/>
      <c r="AS1060" s="236"/>
    </row>
    <row r="1061" spans="44:45">
      <c r="AR1061" s="236"/>
      <c r="AS1061" s="236"/>
    </row>
    <row r="1062" spans="44:45">
      <c r="AR1062" s="236"/>
      <c r="AS1062" s="236"/>
    </row>
    <row r="1063" spans="44:45">
      <c r="AR1063" s="236"/>
      <c r="AS1063" s="236"/>
    </row>
    <row r="1064" spans="44:45">
      <c r="AR1064" s="236"/>
      <c r="AS1064" s="236"/>
    </row>
    <row r="1065" spans="44:45">
      <c r="AR1065" s="236"/>
      <c r="AS1065" s="236"/>
    </row>
    <row r="1066" spans="44:45">
      <c r="AR1066" s="236"/>
      <c r="AS1066" s="236"/>
    </row>
    <row r="1067" spans="44:45">
      <c r="AR1067" s="236"/>
      <c r="AS1067" s="236"/>
    </row>
    <row r="1068" spans="44:45">
      <c r="AR1068" s="236"/>
      <c r="AS1068" s="236"/>
    </row>
    <row r="1069" spans="44:45">
      <c r="AR1069" s="236"/>
      <c r="AS1069" s="236"/>
    </row>
    <row r="1070" spans="44:45">
      <c r="AR1070" s="236"/>
      <c r="AS1070" s="236"/>
    </row>
    <row r="1071" spans="44:45">
      <c r="AR1071" s="236"/>
      <c r="AS1071" s="236"/>
    </row>
    <row r="1072" spans="44:45">
      <c r="AR1072" s="236"/>
      <c r="AS1072" s="236"/>
    </row>
    <row r="1073" spans="44:45">
      <c r="AR1073" s="236"/>
      <c r="AS1073" s="236"/>
    </row>
    <row r="1074" spans="44:45">
      <c r="AR1074" s="236"/>
      <c r="AS1074" s="236"/>
    </row>
    <row r="1075" spans="44:45">
      <c r="AR1075" s="236"/>
      <c r="AS1075" s="236"/>
    </row>
    <row r="1076" spans="44:45">
      <c r="AR1076" s="236"/>
      <c r="AS1076" s="236"/>
    </row>
    <row r="1077" spans="44:45">
      <c r="AR1077" s="236"/>
      <c r="AS1077" s="236"/>
    </row>
    <row r="1078" spans="44:45">
      <c r="AR1078" s="236"/>
      <c r="AS1078" s="236"/>
    </row>
    <row r="1079" spans="44:45">
      <c r="AR1079" s="236"/>
      <c r="AS1079" s="236"/>
    </row>
    <row r="1080" spans="44:45">
      <c r="AR1080" s="236"/>
      <c r="AS1080" s="236"/>
    </row>
    <row r="1081" spans="44:45">
      <c r="AR1081" s="236"/>
      <c r="AS1081" s="236"/>
    </row>
    <row r="1082" spans="44:45">
      <c r="AR1082" s="236"/>
      <c r="AS1082" s="236"/>
    </row>
    <row r="1083" spans="44:45">
      <c r="AR1083" s="236"/>
      <c r="AS1083" s="236"/>
    </row>
    <row r="1084" spans="44:45">
      <c r="AR1084" s="236"/>
      <c r="AS1084" s="236"/>
    </row>
    <row r="1085" spans="44:45">
      <c r="AR1085" s="236"/>
      <c r="AS1085" s="236"/>
    </row>
    <row r="1086" spans="44:45">
      <c r="AR1086" s="236"/>
      <c r="AS1086" s="236"/>
    </row>
    <row r="1087" spans="44:45">
      <c r="AR1087" s="236"/>
      <c r="AS1087" s="236"/>
    </row>
    <row r="1088" spans="44:45">
      <c r="AR1088" s="236"/>
      <c r="AS1088" s="236"/>
    </row>
    <row r="1089" spans="44:45">
      <c r="AR1089" s="236"/>
      <c r="AS1089" s="236"/>
    </row>
    <row r="1090" spans="44:45">
      <c r="AR1090" s="236"/>
      <c r="AS1090" s="236"/>
    </row>
    <row r="1091" spans="44:45">
      <c r="AR1091" s="236"/>
      <c r="AS1091" s="236"/>
    </row>
    <row r="1092" spans="44:45">
      <c r="AR1092" s="236"/>
      <c r="AS1092" s="236"/>
    </row>
    <row r="1093" spans="44:45">
      <c r="AR1093" s="236"/>
      <c r="AS1093" s="236"/>
    </row>
    <row r="1094" spans="44:45">
      <c r="AR1094" s="236"/>
      <c r="AS1094" s="236"/>
    </row>
    <row r="1095" spans="44:45">
      <c r="AR1095" s="236"/>
      <c r="AS1095" s="236"/>
    </row>
    <row r="1096" spans="44:45">
      <c r="AR1096" s="236"/>
      <c r="AS1096" s="236"/>
    </row>
    <row r="1097" spans="44:45">
      <c r="AR1097" s="236"/>
      <c r="AS1097" s="236"/>
    </row>
    <row r="1098" spans="44:45">
      <c r="AR1098" s="236"/>
      <c r="AS1098" s="236"/>
    </row>
    <row r="1099" spans="44:45">
      <c r="AR1099" s="236"/>
      <c r="AS1099" s="236"/>
    </row>
    <row r="1100" spans="44:45">
      <c r="AR1100" s="236"/>
      <c r="AS1100" s="236"/>
    </row>
    <row r="1101" spans="44:45">
      <c r="AR1101" s="236"/>
      <c r="AS1101" s="236"/>
    </row>
    <row r="1102" spans="44:45">
      <c r="AR1102" s="236"/>
      <c r="AS1102" s="236"/>
    </row>
    <row r="1103" spans="44:45">
      <c r="AR1103" s="236"/>
      <c r="AS1103" s="236"/>
    </row>
    <row r="1104" spans="44:45">
      <c r="AR1104" s="236"/>
      <c r="AS1104" s="236"/>
    </row>
    <row r="1105" spans="44:45">
      <c r="AR1105" s="236"/>
      <c r="AS1105" s="236"/>
    </row>
    <row r="1106" spans="44:45">
      <c r="AR1106" s="236"/>
      <c r="AS1106" s="236"/>
    </row>
    <row r="1107" spans="44:45">
      <c r="AR1107" s="236"/>
      <c r="AS1107" s="236"/>
    </row>
    <row r="1108" spans="44:45">
      <c r="AR1108" s="236"/>
      <c r="AS1108" s="236"/>
    </row>
    <row r="1109" spans="44:45">
      <c r="AR1109" s="236"/>
      <c r="AS1109" s="236"/>
    </row>
    <row r="1110" spans="44:45">
      <c r="AR1110" s="236"/>
      <c r="AS1110" s="236"/>
    </row>
    <row r="1111" spans="44:45">
      <c r="AR1111" s="236"/>
      <c r="AS1111" s="236"/>
    </row>
    <row r="1112" spans="44:45">
      <c r="AR1112" s="236"/>
      <c r="AS1112" s="236"/>
    </row>
    <row r="1113" spans="44:45">
      <c r="AR1113" s="236"/>
      <c r="AS1113" s="236"/>
    </row>
    <row r="1114" spans="44:45">
      <c r="AR1114" s="236"/>
      <c r="AS1114" s="236"/>
    </row>
    <row r="1115" spans="44:45">
      <c r="AR1115" s="236"/>
      <c r="AS1115" s="236"/>
    </row>
    <row r="1116" spans="44:45">
      <c r="AR1116" s="236"/>
      <c r="AS1116" s="236"/>
    </row>
  </sheetData>
  <sheetProtection algorithmName="SHA-512" hashValue="lvCHAyQTe1N9otmlYf0/j5lT+tGqDEwvYXi/tfzPhCSq9cDgwaqmrcBzBoUO+2t2HinvvNUy2U5PjliB1mWDJQ==" saltValue="I+oua5qhtvDOJ+3e4m5v0Q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H139"/>
  <sheetViews>
    <sheetView zoomScaleNormal="100" workbookViewId="0">
      <pane xSplit="5" ySplit="4" topLeftCell="CC107" activePane="bottomRight" state="frozen"/>
      <selection activeCell="A3" sqref="A3:F46"/>
      <selection pane="topRight" activeCell="A3" sqref="A3:F46"/>
      <selection pane="bottomLeft" activeCell="A3" sqref="A3:F46"/>
      <selection pane="bottomRight" activeCell="CD116" sqref="CD116"/>
    </sheetView>
  </sheetViews>
  <sheetFormatPr defaultColWidth="8.85546875" defaultRowHeight="15"/>
  <cols>
    <col min="1" max="1" width="11.140625" style="143" customWidth="1"/>
    <col min="2" max="2" width="11.140625" style="144" customWidth="1"/>
    <col min="3" max="3" width="12.140625" style="144" customWidth="1"/>
    <col min="4" max="4" width="15.85546875" style="144" customWidth="1"/>
    <col min="5" max="5" width="8.85546875" style="144"/>
    <col min="6" max="6" width="13.140625" style="144" bestFit="1" customWidth="1"/>
    <col min="7" max="7" width="12.42578125" style="143" bestFit="1" customWidth="1"/>
    <col min="8" max="23" width="20.85546875" style="143" customWidth="1"/>
    <col min="24" max="123" width="20.85546875" style="144" customWidth="1"/>
    <col min="124" max="137" width="20.85546875" style="143" customWidth="1"/>
    <col min="138" max="138" width="15.140625" style="143" bestFit="1" customWidth="1"/>
    <col min="139" max="139" width="18" style="144" customWidth="1"/>
    <col min="140" max="140" width="10.140625" style="144" bestFit="1" customWidth="1"/>
    <col min="141" max="141" width="18.140625" style="144" customWidth="1"/>
    <col min="142" max="142" width="10.140625" style="144" bestFit="1" customWidth="1"/>
    <col min="143" max="143" width="12.42578125" style="144" customWidth="1"/>
    <col min="144" max="144" width="9.85546875" style="144" bestFit="1" customWidth="1"/>
    <col min="145" max="145" width="8.85546875" style="144" customWidth="1"/>
    <col min="146" max="146" width="9.5703125" style="144" bestFit="1" customWidth="1"/>
    <col min="147" max="147" width="8.85546875" style="144" customWidth="1"/>
    <col min="148" max="148" width="14.140625" style="144" bestFit="1" customWidth="1"/>
    <col min="149" max="149" width="16.42578125" style="144" bestFit="1" customWidth="1"/>
    <col min="150" max="150" width="17.140625" style="161" customWidth="1"/>
    <col min="151" max="151" width="13.42578125" style="144" customWidth="1"/>
    <col min="152" max="152" width="13.140625" style="144" customWidth="1"/>
    <col min="153" max="153" width="20.85546875" style="144" customWidth="1"/>
    <col min="154" max="154" width="23.42578125" style="144" customWidth="1"/>
    <col min="155" max="155" width="20.140625" style="144" customWidth="1"/>
    <col min="156" max="156" width="13.42578125" style="144" customWidth="1"/>
    <col min="157" max="157" width="15.85546875" style="144" customWidth="1"/>
    <col min="158" max="158" width="13.85546875" style="144" customWidth="1"/>
    <col min="159" max="159" width="11" style="144" customWidth="1"/>
    <col min="160" max="160" width="16.140625" style="144" customWidth="1"/>
    <col min="161" max="161" width="147.28515625" style="144" bestFit="1" customWidth="1"/>
    <col min="162" max="162" width="10.28515625" style="144" customWidth="1"/>
    <col min="163" max="163" width="12.7109375" style="144" customWidth="1"/>
    <col min="164" max="164" width="8.85546875" style="144" customWidth="1"/>
    <col min="165" max="16384" width="8.85546875" style="144"/>
  </cols>
  <sheetData>
    <row r="1" spans="1:164">
      <c r="A1" s="5">
        <v>1</v>
      </c>
      <c r="B1">
        <f>A1+1</f>
        <v>2</v>
      </c>
      <c r="C1">
        <f t="shared" ref="C1:F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ref="G1" si="1">F1+1</f>
        <v>7</v>
      </c>
      <c r="H1">
        <f t="shared" ref="H1" si="2">G1+1</f>
        <v>8</v>
      </c>
      <c r="I1">
        <f t="shared" ref="I1" si="3">H1+1</f>
        <v>9</v>
      </c>
      <c r="J1">
        <f t="shared" ref="J1" si="4">I1+1</f>
        <v>10</v>
      </c>
      <c r="K1">
        <f t="shared" ref="K1" si="5">J1+1</f>
        <v>11</v>
      </c>
      <c r="L1">
        <f t="shared" ref="L1" si="6">K1+1</f>
        <v>12</v>
      </c>
      <c r="M1">
        <f t="shared" ref="M1" si="7">L1+1</f>
        <v>13</v>
      </c>
      <c r="N1">
        <f t="shared" ref="N1" si="8">M1+1</f>
        <v>14</v>
      </c>
      <c r="O1">
        <f t="shared" ref="O1" si="9">N1+1</f>
        <v>15</v>
      </c>
      <c r="P1">
        <f t="shared" ref="P1" si="10">O1+1</f>
        <v>16</v>
      </c>
      <c r="Q1">
        <f t="shared" ref="Q1" si="11">P1+1</f>
        <v>17</v>
      </c>
      <c r="R1">
        <f t="shared" ref="R1" si="12">Q1+1</f>
        <v>18</v>
      </c>
      <c r="S1">
        <f t="shared" ref="S1" si="13">R1+1</f>
        <v>19</v>
      </c>
      <c r="T1">
        <f t="shared" ref="T1" si="14">S1+1</f>
        <v>20</v>
      </c>
      <c r="U1">
        <f t="shared" ref="U1" si="15">T1+1</f>
        <v>21</v>
      </c>
      <c r="V1">
        <f t="shared" ref="V1" si="16">U1+1</f>
        <v>22</v>
      </c>
      <c r="W1">
        <f t="shared" ref="W1" si="17">V1+1</f>
        <v>23</v>
      </c>
      <c r="X1">
        <f t="shared" ref="X1" si="18">W1+1</f>
        <v>24</v>
      </c>
      <c r="Y1">
        <f t="shared" ref="Y1" si="19">X1+1</f>
        <v>25</v>
      </c>
      <c r="Z1">
        <f t="shared" ref="Z1" si="20">Y1+1</f>
        <v>26</v>
      </c>
      <c r="AA1">
        <f t="shared" ref="AA1" si="21">Z1+1</f>
        <v>27</v>
      </c>
      <c r="AB1">
        <f t="shared" ref="AB1" si="22">AA1+1</f>
        <v>28</v>
      </c>
      <c r="AC1">
        <f t="shared" ref="AC1" si="23">AB1+1</f>
        <v>29</v>
      </c>
      <c r="AD1">
        <f t="shared" ref="AD1" si="24">AC1+1</f>
        <v>30</v>
      </c>
      <c r="AE1">
        <f t="shared" ref="AE1" si="25">AD1+1</f>
        <v>31</v>
      </c>
      <c r="AF1">
        <f t="shared" ref="AF1" si="26">AE1+1</f>
        <v>32</v>
      </c>
      <c r="AG1">
        <f t="shared" ref="AG1" si="27">AF1+1</f>
        <v>33</v>
      </c>
      <c r="AH1">
        <f t="shared" ref="AH1" si="28">AG1+1</f>
        <v>34</v>
      </c>
      <c r="AI1">
        <f t="shared" ref="AI1" si="29">AH1+1</f>
        <v>35</v>
      </c>
      <c r="AJ1">
        <f t="shared" ref="AJ1" si="30">AI1+1</f>
        <v>36</v>
      </c>
      <c r="AK1">
        <f t="shared" ref="AK1" si="31">AJ1+1</f>
        <v>37</v>
      </c>
      <c r="AL1">
        <f t="shared" ref="AL1" si="32">AK1+1</f>
        <v>38</v>
      </c>
      <c r="AM1">
        <f t="shared" ref="AM1" si="33">AL1+1</f>
        <v>39</v>
      </c>
      <c r="AN1">
        <f t="shared" ref="AN1" si="34">AM1+1</f>
        <v>40</v>
      </c>
      <c r="AO1">
        <f t="shared" ref="AO1" si="35">AN1+1</f>
        <v>41</v>
      </c>
      <c r="AP1">
        <f t="shared" ref="AP1" si="36">AO1+1</f>
        <v>42</v>
      </c>
      <c r="AQ1">
        <f t="shared" ref="AQ1" si="37">AP1+1</f>
        <v>43</v>
      </c>
      <c r="AR1">
        <f t="shared" ref="AR1" si="38">AQ1+1</f>
        <v>44</v>
      </c>
      <c r="AS1">
        <f t="shared" ref="AS1" si="39">AR1+1</f>
        <v>45</v>
      </c>
      <c r="AT1">
        <f t="shared" ref="AT1" si="40">AS1+1</f>
        <v>46</v>
      </c>
      <c r="AU1">
        <f t="shared" ref="AU1" si="41">AT1+1</f>
        <v>47</v>
      </c>
      <c r="AV1">
        <f t="shared" ref="AV1" si="42">AU1+1</f>
        <v>48</v>
      </c>
      <c r="AW1">
        <f t="shared" ref="AW1" si="43">AV1+1</f>
        <v>49</v>
      </c>
      <c r="AX1">
        <f t="shared" ref="AX1" si="44">AW1+1</f>
        <v>50</v>
      </c>
      <c r="AY1">
        <f t="shared" ref="AY1" si="45">AX1+1</f>
        <v>51</v>
      </c>
      <c r="AZ1">
        <f t="shared" ref="AZ1" si="46">AY1+1</f>
        <v>52</v>
      </c>
      <c r="BA1">
        <f t="shared" ref="BA1" si="47">AZ1+1</f>
        <v>53</v>
      </c>
      <c r="BB1">
        <f t="shared" ref="BB1" si="48">BA1+1</f>
        <v>54</v>
      </c>
      <c r="BC1">
        <f t="shared" ref="BC1" si="49">BB1+1</f>
        <v>55</v>
      </c>
      <c r="BD1">
        <f t="shared" ref="BD1" si="50">BC1+1</f>
        <v>56</v>
      </c>
      <c r="BE1">
        <f t="shared" ref="BE1" si="51">BD1+1</f>
        <v>57</v>
      </c>
      <c r="BF1">
        <f t="shared" ref="BF1" si="52">BE1+1</f>
        <v>58</v>
      </c>
      <c r="BG1">
        <f t="shared" ref="BG1" si="53">BF1+1</f>
        <v>59</v>
      </c>
      <c r="BH1">
        <f t="shared" ref="BH1" si="54">BG1+1</f>
        <v>60</v>
      </c>
      <c r="BI1">
        <f t="shared" ref="BI1" si="55">BH1+1</f>
        <v>61</v>
      </c>
      <c r="BJ1">
        <f t="shared" ref="BJ1" si="56">BI1+1</f>
        <v>62</v>
      </c>
      <c r="BK1">
        <f t="shared" ref="BK1" si="57">BJ1+1</f>
        <v>63</v>
      </c>
      <c r="BL1">
        <f t="shared" ref="BL1" si="58">BK1+1</f>
        <v>64</v>
      </c>
      <c r="BM1">
        <f t="shared" ref="BM1" si="59">BL1+1</f>
        <v>65</v>
      </c>
      <c r="BN1">
        <f t="shared" ref="BN1" si="60">BM1+1</f>
        <v>66</v>
      </c>
      <c r="BO1">
        <f t="shared" ref="BO1" si="61">BN1+1</f>
        <v>67</v>
      </c>
      <c r="BP1">
        <f t="shared" ref="BP1" si="62">BO1+1</f>
        <v>68</v>
      </c>
      <c r="BQ1">
        <f t="shared" ref="BQ1" si="63">BP1+1</f>
        <v>69</v>
      </c>
      <c r="BR1">
        <f t="shared" ref="BR1" si="64">BQ1+1</f>
        <v>70</v>
      </c>
      <c r="BS1">
        <f t="shared" ref="BS1" si="65">BR1+1</f>
        <v>71</v>
      </c>
      <c r="BT1">
        <f t="shared" ref="BT1" si="66">BS1+1</f>
        <v>72</v>
      </c>
      <c r="BU1">
        <f t="shared" ref="BU1" si="67">BT1+1</f>
        <v>73</v>
      </c>
      <c r="BV1"/>
      <c r="BW1"/>
      <c r="BX1"/>
      <c r="BY1"/>
      <c r="BZ1">
        <f t="shared" ref="BZ1" si="68">BU1+1</f>
        <v>74</v>
      </c>
      <c r="CA1">
        <f t="shared" ref="CA1" si="69">BZ1+1</f>
        <v>75</v>
      </c>
      <c r="CB1">
        <f t="shared" ref="CB1" si="70">CA1+1</f>
        <v>76</v>
      </c>
      <c r="CC1">
        <f t="shared" ref="CC1" si="71">CB1+1</f>
        <v>77</v>
      </c>
      <c r="CD1">
        <f t="shared" ref="CD1" si="72">CC1+1</f>
        <v>78</v>
      </c>
      <c r="CE1">
        <f t="shared" ref="CE1" si="73">CD1+1</f>
        <v>79</v>
      </c>
      <c r="CF1">
        <f t="shared" ref="CF1" si="74">CE1+1</f>
        <v>80</v>
      </c>
      <c r="CG1">
        <f t="shared" ref="CG1" si="75">CF1+1</f>
        <v>81</v>
      </c>
      <c r="CH1">
        <f t="shared" ref="CH1" si="76">CG1+1</f>
        <v>82</v>
      </c>
      <c r="CI1">
        <f t="shared" ref="CI1" si="77">CH1+1</f>
        <v>83</v>
      </c>
      <c r="CJ1">
        <f t="shared" ref="CJ1" si="78">CI1+1</f>
        <v>84</v>
      </c>
      <c r="CK1">
        <f t="shared" ref="CK1" si="79">CJ1+1</f>
        <v>85</v>
      </c>
      <c r="CL1">
        <f t="shared" ref="CL1" si="80">CK1+1</f>
        <v>86</v>
      </c>
      <c r="CM1">
        <f t="shared" ref="CM1" si="81">CL1+1</f>
        <v>87</v>
      </c>
      <c r="CN1">
        <f t="shared" ref="CN1" si="82">CM1+1</f>
        <v>88</v>
      </c>
      <c r="CO1">
        <f t="shared" ref="CO1" si="83">CN1+1</f>
        <v>89</v>
      </c>
      <c r="CP1">
        <f t="shared" ref="CP1" si="84">CO1+1</f>
        <v>90</v>
      </c>
      <c r="CQ1">
        <f t="shared" ref="CQ1" si="85">CP1+1</f>
        <v>91</v>
      </c>
      <c r="CR1">
        <f t="shared" ref="CR1" si="86">CQ1+1</f>
        <v>92</v>
      </c>
      <c r="CS1">
        <f t="shared" ref="CS1" si="87">CR1+1</f>
        <v>93</v>
      </c>
      <c r="CT1">
        <f t="shared" ref="CT1" si="88">CS1+1</f>
        <v>94</v>
      </c>
      <c r="CU1">
        <f t="shared" ref="CU1" si="89">CT1+1</f>
        <v>95</v>
      </c>
      <c r="CV1">
        <f t="shared" ref="CV1" si="90">CU1+1</f>
        <v>96</v>
      </c>
      <c r="CW1">
        <f t="shared" ref="CW1" si="91">CV1+1</f>
        <v>97</v>
      </c>
      <c r="CX1">
        <f t="shared" ref="CX1" si="92">CW1+1</f>
        <v>98</v>
      </c>
      <c r="CY1">
        <f t="shared" ref="CY1" si="93">CX1+1</f>
        <v>99</v>
      </c>
      <c r="CZ1">
        <f t="shared" ref="CZ1" si="94">CY1+1</f>
        <v>100</v>
      </c>
      <c r="DA1">
        <f t="shared" ref="DA1" si="95">CZ1+1</f>
        <v>101</v>
      </c>
      <c r="DB1">
        <f t="shared" ref="DB1" si="96">DA1+1</f>
        <v>102</v>
      </c>
      <c r="DC1">
        <f t="shared" ref="DC1" si="97">DB1+1</f>
        <v>103</v>
      </c>
      <c r="DD1">
        <f t="shared" ref="DD1" si="98">DC1+1</f>
        <v>104</v>
      </c>
      <c r="DE1">
        <f t="shared" ref="DE1" si="99">DD1+1</f>
        <v>105</v>
      </c>
      <c r="DF1">
        <f t="shared" ref="DF1" si="100">DE1+1</f>
        <v>106</v>
      </c>
      <c r="DG1">
        <f t="shared" ref="DG1" si="101">DF1+1</f>
        <v>107</v>
      </c>
      <c r="DH1">
        <f t="shared" ref="DH1" si="102">DG1+1</f>
        <v>108</v>
      </c>
      <c r="DI1">
        <f t="shared" ref="DI1" si="103">DH1+1</f>
        <v>109</v>
      </c>
      <c r="DJ1">
        <f t="shared" ref="DJ1" si="104">DI1+1</f>
        <v>110</v>
      </c>
      <c r="DK1">
        <f t="shared" ref="DK1" si="105">DJ1+1</f>
        <v>111</v>
      </c>
      <c r="DL1">
        <f t="shared" ref="DL1" si="106">DK1+1</f>
        <v>112</v>
      </c>
      <c r="DM1">
        <f t="shared" ref="DM1" si="107">DL1+1</f>
        <v>113</v>
      </c>
      <c r="DN1">
        <f t="shared" ref="DN1" si="108">DM1+1</f>
        <v>114</v>
      </c>
      <c r="DO1">
        <f t="shared" ref="DO1" si="109">DN1+1</f>
        <v>115</v>
      </c>
      <c r="DP1">
        <f t="shared" ref="DP1" si="110">DO1+1</f>
        <v>116</v>
      </c>
      <c r="DQ1">
        <f t="shared" ref="DQ1" si="111">DP1+1</f>
        <v>117</v>
      </c>
      <c r="DR1">
        <f t="shared" ref="DR1" si="112">DQ1+1</f>
        <v>118</v>
      </c>
      <c r="DS1">
        <f t="shared" ref="DS1" si="113">DR1+1</f>
        <v>119</v>
      </c>
      <c r="DT1">
        <f t="shared" ref="DT1" si="114">DS1+1</f>
        <v>120</v>
      </c>
      <c r="DU1">
        <f t="shared" ref="DU1" si="115">DT1+1</f>
        <v>121</v>
      </c>
      <c r="DV1">
        <f t="shared" ref="DV1" si="116">DU1+1</f>
        <v>122</v>
      </c>
      <c r="DW1">
        <f t="shared" ref="DW1" si="117">DV1+1</f>
        <v>123</v>
      </c>
      <c r="DX1">
        <f t="shared" ref="DX1" si="118">DW1+1</f>
        <v>124</v>
      </c>
      <c r="DY1">
        <f t="shared" ref="DY1" si="119">DX1+1</f>
        <v>125</v>
      </c>
      <c r="DZ1">
        <f t="shared" ref="DZ1" si="120">DY1+1</f>
        <v>126</v>
      </c>
      <c r="EA1">
        <f t="shared" ref="EA1" si="121">DZ1+1</f>
        <v>127</v>
      </c>
      <c r="EB1">
        <f t="shared" ref="EB1" si="122">EA1+1</f>
        <v>128</v>
      </c>
      <c r="EC1">
        <f t="shared" ref="EC1" si="123">EB1+1</f>
        <v>129</v>
      </c>
      <c r="ED1">
        <f t="shared" ref="ED1" si="124">EC1+1</f>
        <v>130</v>
      </c>
      <c r="EE1">
        <f t="shared" ref="EE1" si="125">ED1+1</f>
        <v>131</v>
      </c>
      <c r="EF1">
        <f t="shared" ref="EF1" si="126">EE1+1</f>
        <v>132</v>
      </c>
      <c r="EG1">
        <f t="shared" ref="EG1" si="127">EF1+1</f>
        <v>133</v>
      </c>
      <c r="EH1">
        <f t="shared" ref="EH1" si="128">EG1+1</f>
        <v>134</v>
      </c>
      <c r="EI1">
        <f t="shared" ref="EI1" si="129">EH1+1</f>
        <v>135</v>
      </c>
      <c r="EJ1">
        <f t="shared" ref="EJ1" si="130">EI1+1</f>
        <v>136</v>
      </c>
      <c r="EK1">
        <f t="shared" ref="EK1" si="131">EJ1+1</f>
        <v>137</v>
      </c>
      <c r="EL1">
        <f t="shared" ref="EL1" si="132">EK1+1</f>
        <v>138</v>
      </c>
      <c r="EM1">
        <f t="shared" ref="EM1" si="133">EL1+1</f>
        <v>139</v>
      </c>
      <c r="EN1">
        <f t="shared" ref="EN1" si="134">EM1+1</f>
        <v>140</v>
      </c>
      <c r="EO1">
        <f t="shared" ref="EO1" si="135">EN1+1</f>
        <v>141</v>
      </c>
      <c r="EP1">
        <f t="shared" ref="EP1" si="136">EO1+1</f>
        <v>142</v>
      </c>
      <c r="EQ1">
        <f t="shared" ref="EQ1" si="137">EP1+1</f>
        <v>143</v>
      </c>
      <c r="ER1">
        <f t="shared" ref="ER1" si="138">EQ1+1</f>
        <v>144</v>
      </c>
      <c r="ES1">
        <f t="shared" ref="ES1" si="139">ER1+1</f>
        <v>145</v>
      </c>
      <c r="ET1">
        <f t="shared" ref="ET1" si="140">ES1+1</f>
        <v>146</v>
      </c>
      <c r="EU1">
        <f t="shared" ref="EU1" si="141">ET1+1</f>
        <v>147</v>
      </c>
      <c r="EV1">
        <f t="shared" ref="EV1" si="142">EU1+1</f>
        <v>148</v>
      </c>
      <c r="EW1">
        <f t="shared" ref="EW1" si="143">EV1+1</f>
        <v>149</v>
      </c>
      <c r="EX1">
        <f t="shared" ref="EX1" si="144">EW1+1</f>
        <v>150</v>
      </c>
      <c r="EY1">
        <f t="shared" ref="EY1" si="145">EX1+1</f>
        <v>151</v>
      </c>
      <c r="EZ1">
        <f t="shared" ref="EZ1" si="146">EY1+1</f>
        <v>152</v>
      </c>
      <c r="FA1">
        <f t="shared" ref="FA1" si="147">EZ1+1</f>
        <v>153</v>
      </c>
      <c r="FB1">
        <f t="shared" ref="FB1" si="148">FA1+1</f>
        <v>154</v>
      </c>
      <c r="FC1">
        <f t="shared" ref="FC1" si="149">FB1+1</f>
        <v>155</v>
      </c>
      <c r="FD1">
        <f t="shared" ref="FD1" si="150">FC1+1</f>
        <v>156</v>
      </c>
      <c r="FE1">
        <f t="shared" ref="FE1" si="151">FD1+1</f>
        <v>157</v>
      </c>
      <c r="FF1">
        <f t="shared" ref="FF1" si="152">FE1+1</f>
        <v>158</v>
      </c>
      <c r="FG1">
        <f t="shared" ref="FG1" si="153">FF1+1</f>
        <v>159</v>
      </c>
      <c r="FH1"/>
    </row>
    <row r="2" spans="1:164" ht="15.95" customHeight="1">
      <c r="A2" s="5"/>
      <c r="B2"/>
      <c r="C2"/>
      <c r="D2"/>
      <c r="E2"/>
      <c r="F2" s="5"/>
      <c r="G2" s="5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5"/>
      <c r="CE2" s="5"/>
      <c r="CF2" s="5"/>
      <c r="CG2" s="5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 s="7">
        <v>70.598782849244429</v>
      </c>
      <c r="DS2" s="7">
        <v>6.0999999999999908</v>
      </c>
      <c r="DT2" s="5">
        <v>0</v>
      </c>
      <c r="DU2" s="5">
        <v>5.6999999999999922</v>
      </c>
      <c r="DV2" s="5"/>
      <c r="DW2" s="5"/>
      <c r="DX2" s="5"/>
      <c r="DY2" s="5"/>
      <c r="DZ2" s="5"/>
      <c r="EA2" s="5"/>
      <c r="EB2" s="5">
        <v>0.15000000000000246</v>
      </c>
      <c r="EC2" s="5">
        <v>159985.60639999967</v>
      </c>
      <c r="ED2" s="5">
        <v>10459.66</v>
      </c>
      <c r="EE2" s="5">
        <v>29.655149999999153</v>
      </c>
      <c r="EF2" s="5">
        <v>51.368000000000059</v>
      </c>
      <c r="EG2" s="5">
        <v>316.12874999999974</v>
      </c>
      <c r="EH2" s="5">
        <v>267.3</v>
      </c>
      <c r="EI2"/>
      <c r="EJ2"/>
      <c r="EK2"/>
      <c r="EL2"/>
      <c r="EM2"/>
      <c r="EN2"/>
      <c r="EO2"/>
      <c r="EP2"/>
      <c r="EQ2"/>
      <c r="ER2"/>
      <c r="ES2"/>
      <c r="ET2" s="159"/>
      <c r="EU2"/>
      <c r="EV2"/>
      <c r="EW2" s="62"/>
      <c r="EX2"/>
      <c r="EY2"/>
      <c r="EZ2"/>
      <c r="FA2"/>
      <c r="FB2"/>
      <c r="FC2"/>
      <c r="FD2"/>
      <c r="FE2"/>
      <c r="FF2"/>
      <c r="FG2"/>
      <c r="FH2"/>
    </row>
    <row r="3" spans="1:164">
      <c r="A3" s="5"/>
      <c r="B3"/>
      <c r="C3"/>
      <c r="D3"/>
      <c r="E3"/>
      <c r="F3" s="5"/>
      <c r="G3" s="5"/>
      <c r="H3" s="45" t="s">
        <v>36</v>
      </c>
      <c r="I3" s="45" t="s">
        <v>36</v>
      </c>
      <c r="J3" s="45" t="s">
        <v>36</v>
      </c>
      <c r="K3" s="45" t="s">
        <v>36</v>
      </c>
      <c r="L3" s="45" t="s">
        <v>36</v>
      </c>
      <c r="M3" s="45" t="s">
        <v>36</v>
      </c>
      <c r="N3" s="45" t="s">
        <v>36</v>
      </c>
      <c r="O3" s="45" t="s">
        <v>36</v>
      </c>
      <c r="P3" s="45" t="s">
        <v>36</v>
      </c>
      <c r="Q3" s="45" t="s">
        <v>36</v>
      </c>
      <c r="R3" s="45" t="s">
        <v>36</v>
      </c>
      <c r="S3" s="45" t="s">
        <v>36</v>
      </c>
      <c r="T3" s="45" t="s">
        <v>36</v>
      </c>
      <c r="U3" s="45" t="s">
        <v>36</v>
      </c>
      <c r="V3" s="45" t="s">
        <v>36</v>
      </c>
      <c r="W3" s="45" t="s">
        <v>36</v>
      </c>
      <c r="X3" s="45" t="s">
        <v>36</v>
      </c>
      <c r="Y3" s="45" t="s">
        <v>36</v>
      </c>
      <c r="Z3" s="45" t="s">
        <v>36</v>
      </c>
      <c r="AA3" s="45" t="s">
        <v>36</v>
      </c>
      <c r="AB3" s="45" t="s">
        <v>36</v>
      </c>
      <c r="AC3" s="45" t="s">
        <v>36</v>
      </c>
      <c r="AD3" s="45" t="s">
        <v>36</v>
      </c>
      <c r="AE3" s="45" t="s">
        <v>36</v>
      </c>
      <c r="AF3" s="45" t="s">
        <v>36</v>
      </c>
      <c r="AG3" s="45" t="s">
        <v>36</v>
      </c>
      <c r="AH3" s="45" t="s">
        <v>36</v>
      </c>
      <c r="AI3" s="45" t="s">
        <v>36</v>
      </c>
      <c r="AJ3" s="45" t="s">
        <v>38</v>
      </c>
      <c r="AK3" s="45" t="s">
        <v>38</v>
      </c>
      <c r="AL3" s="45" t="s">
        <v>38</v>
      </c>
      <c r="AM3" s="45" t="s">
        <v>38</v>
      </c>
      <c r="AN3" s="45" t="s">
        <v>37</v>
      </c>
      <c r="AO3" s="45" t="s">
        <v>37</v>
      </c>
      <c r="AP3" s="45" t="s">
        <v>37</v>
      </c>
      <c r="AQ3" s="45" t="s">
        <v>37</v>
      </c>
      <c r="AR3" s="45" t="s">
        <v>39</v>
      </c>
      <c r="AS3" s="45" t="s">
        <v>39</v>
      </c>
      <c r="AT3" s="45" t="s">
        <v>40</v>
      </c>
      <c r="AU3" s="45" t="s">
        <v>40</v>
      </c>
      <c r="AV3" s="45" t="s">
        <v>40</v>
      </c>
      <c r="AW3" s="45" t="s">
        <v>40</v>
      </c>
      <c r="AX3" s="45" t="s">
        <v>40</v>
      </c>
      <c r="AY3" s="45" t="s">
        <v>40</v>
      </c>
      <c r="AZ3" s="45" t="s">
        <v>40</v>
      </c>
      <c r="BA3" s="45" t="s">
        <v>40</v>
      </c>
      <c r="BB3" s="45" t="s">
        <v>41</v>
      </c>
      <c r="BC3" s="45" t="s">
        <v>41</v>
      </c>
      <c r="BD3" s="45" t="s">
        <v>41</v>
      </c>
      <c r="BE3" s="45" t="s">
        <v>41</v>
      </c>
      <c r="BF3" s="45" t="s">
        <v>41</v>
      </c>
      <c r="BG3" s="45" t="s">
        <v>41</v>
      </c>
      <c r="BH3" s="45" t="s">
        <v>41</v>
      </c>
      <c r="BI3" s="45" t="s">
        <v>41</v>
      </c>
      <c r="BJ3" s="45" t="s">
        <v>41</v>
      </c>
      <c r="BK3" s="45" t="s">
        <v>41</v>
      </c>
      <c r="BL3" s="45" t="s">
        <v>41</v>
      </c>
      <c r="BM3" s="45" t="s">
        <v>41</v>
      </c>
      <c r="BN3" s="45" t="s">
        <v>42</v>
      </c>
      <c r="BO3" s="45" t="s">
        <v>42</v>
      </c>
      <c r="BP3" s="45" t="s">
        <v>42</v>
      </c>
      <c r="BQ3" s="45" t="s">
        <v>42</v>
      </c>
      <c r="BR3" s="45" t="s">
        <v>43</v>
      </c>
      <c r="BS3" s="45" t="s">
        <v>43</v>
      </c>
      <c r="BT3" s="45" t="s">
        <v>43</v>
      </c>
      <c r="BU3" s="45" t="s">
        <v>43</v>
      </c>
      <c r="BV3" s="45" t="s">
        <v>41</v>
      </c>
      <c r="BW3" s="45" t="s">
        <v>41</v>
      </c>
      <c r="BX3" s="45" t="s">
        <v>41</v>
      </c>
      <c r="BY3" s="45" t="s">
        <v>41</v>
      </c>
      <c r="BZ3" s="45" t="s">
        <v>41</v>
      </c>
      <c r="CA3" s="45" t="s">
        <v>41</v>
      </c>
      <c r="CB3" s="45" t="s">
        <v>41</v>
      </c>
      <c r="CC3" s="45" t="s">
        <v>41</v>
      </c>
      <c r="CD3" s="45"/>
      <c r="CE3" s="45"/>
      <c r="CF3" s="45"/>
      <c r="CG3" s="45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 s="52" t="s">
        <v>112</v>
      </c>
      <c r="DS3" s="52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354"/>
      <c r="EJ3" s="354"/>
      <c r="EK3" s="354"/>
      <c r="EL3" s="354"/>
      <c r="EM3" s="354"/>
      <c r="EN3" s="354"/>
      <c r="EO3" s="354"/>
      <c r="EP3" s="354"/>
      <c r="EQ3" s="354"/>
      <c r="ER3" s="354"/>
      <c r="ES3" s="354"/>
      <c r="ET3" s="354"/>
      <c r="EU3" s="354"/>
      <c r="EV3" s="354"/>
      <c r="EW3" s="354"/>
      <c r="EX3" s="354"/>
      <c r="EY3" s="354"/>
      <c r="EZ3" s="354"/>
      <c r="FA3" s="354"/>
      <c r="FB3" s="354"/>
      <c r="FC3" s="354"/>
      <c r="FD3"/>
      <c r="FE3"/>
      <c r="FF3"/>
      <c r="FG3"/>
      <c r="FH3"/>
    </row>
    <row r="4" spans="1:164" s="145" customFormat="1" ht="63.75" customHeight="1">
      <c r="A4" s="48" t="s">
        <v>68</v>
      </c>
      <c r="B4" s="46" t="s">
        <v>113</v>
      </c>
      <c r="C4" s="47" t="s">
        <v>114</v>
      </c>
      <c r="D4" s="47" t="s">
        <v>71</v>
      </c>
      <c r="E4" s="47" t="s">
        <v>47</v>
      </c>
      <c r="F4" s="33" t="s">
        <v>115</v>
      </c>
      <c r="G4" s="33" t="s">
        <v>116</v>
      </c>
      <c r="H4" s="149" t="s">
        <v>117</v>
      </c>
      <c r="I4" s="149" t="s">
        <v>118</v>
      </c>
      <c r="J4" s="149" t="s">
        <v>119</v>
      </c>
      <c r="K4" s="149" t="s">
        <v>120</v>
      </c>
      <c r="L4" s="149" t="s">
        <v>121</v>
      </c>
      <c r="M4" s="149" t="s">
        <v>122</v>
      </c>
      <c r="N4" s="149" t="s">
        <v>123</v>
      </c>
      <c r="O4" s="149" t="s">
        <v>124</v>
      </c>
      <c r="P4" s="149" t="s">
        <v>125</v>
      </c>
      <c r="Q4" s="149" t="s">
        <v>126</v>
      </c>
      <c r="R4" s="149" t="s">
        <v>127</v>
      </c>
      <c r="S4" s="149" t="s">
        <v>128</v>
      </c>
      <c r="T4" s="149" t="s">
        <v>129</v>
      </c>
      <c r="U4" s="149" t="s">
        <v>130</v>
      </c>
      <c r="V4" s="149" t="s">
        <v>131</v>
      </c>
      <c r="W4" s="149" t="s">
        <v>132</v>
      </c>
      <c r="X4" s="150" t="s">
        <v>133</v>
      </c>
      <c r="Y4" s="150" t="s">
        <v>134</v>
      </c>
      <c r="Z4" s="150" t="s">
        <v>135</v>
      </c>
      <c r="AA4" s="150" t="s">
        <v>136</v>
      </c>
      <c r="AB4" s="150" t="s">
        <v>137</v>
      </c>
      <c r="AC4" s="150" t="s">
        <v>138</v>
      </c>
      <c r="AD4" s="150" t="s">
        <v>139</v>
      </c>
      <c r="AE4" s="150" t="s">
        <v>140</v>
      </c>
      <c r="AF4" s="150" t="s">
        <v>141</v>
      </c>
      <c r="AG4" s="150" t="s">
        <v>142</v>
      </c>
      <c r="AH4" s="150" t="s">
        <v>143</v>
      </c>
      <c r="AI4" s="150" t="s">
        <v>144</v>
      </c>
      <c r="AJ4" s="151" t="s">
        <v>145</v>
      </c>
      <c r="AK4" s="151" t="s">
        <v>146</v>
      </c>
      <c r="AL4" s="151" t="s">
        <v>147</v>
      </c>
      <c r="AM4" s="151" t="s">
        <v>148</v>
      </c>
      <c r="AN4" s="151" t="s">
        <v>149</v>
      </c>
      <c r="AO4" s="151" t="s">
        <v>150</v>
      </c>
      <c r="AP4" s="151" t="s">
        <v>151</v>
      </c>
      <c r="AQ4" s="151" t="s">
        <v>152</v>
      </c>
      <c r="AR4" s="151" t="s">
        <v>153</v>
      </c>
      <c r="AS4" s="151" t="s">
        <v>154</v>
      </c>
      <c r="AT4" s="151" t="s">
        <v>155</v>
      </c>
      <c r="AU4" s="151" t="s">
        <v>156</v>
      </c>
      <c r="AV4" s="151" t="s">
        <v>157</v>
      </c>
      <c r="AW4" s="151" t="s">
        <v>158</v>
      </c>
      <c r="AX4" s="151" t="s">
        <v>159</v>
      </c>
      <c r="AY4" s="151" t="s">
        <v>160</v>
      </c>
      <c r="AZ4" s="151" t="s">
        <v>161</v>
      </c>
      <c r="BA4" s="151" t="s">
        <v>162</v>
      </c>
      <c r="BB4" s="151" t="s">
        <v>163</v>
      </c>
      <c r="BC4" s="151" t="s">
        <v>164</v>
      </c>
      <c r="BD4" s="151" t="s">
        <v>165</v>
      </c>
      <c r="BE4" s="151" t="s">
        <v>166</v>
      </c>
      <c r="BF4" s="151" t="s">
        <v>167</v>
      </c>
      <c r="BG4" s="151" t="s">
        <v>168</v>
      </c>
      <c r="BH4" s="151" t="s">
        <v>169</v>
      </c>
      <c r="BI4" s="151" t="s">
        <v>170</v>
      </c>
      <c r="BJ4" s="151" t="s">
        <v>171</v>
      </c>
      <c r="BK4" s="151" t="s">
        <v>172</v>
      </c>
      <c r="BL4" s="151" t="s">
        <v>173</v>
      </c>
      <c r="BM4" s="151" t="s">
        <v>174</v>
      </c>
      <c r="BN4" s="151" t="s">
        <v>175</v>
      </c>
      <c r="BO4" s="151" t="s">
        <v>176</v>
      </c>
      <c r="BP4" s="151" t="s">
        <v>177</v>
      </c>
      <c r="BQ4" s="151" t="s">
        <v>178</v>
      </c>
      <c r="BR4" s="151" t="s">
        <v>179</v>
      </c>
      <c r="BS4" s="151" t="s">
        <v>180</v>
      </c>
      <c r="BT4" s="151" t="s">
        <v>181</v>
      </c>
      <c r="BU4" s="151" t="s">
        <v>182</v>
      </c>
      <c r="BV4" s="151" t="s">
        <v>183</v>
      </c>
      <c r="BW4" s="151" t="s">
        <v>184</v>
      </c>
      <c r="BX4" s="151" t="s">
        <v>185</v>
      </c>
      <c r="BY4" s="151" t="s">
        <v>186</v>
      </c>
      <c r="BZ4" s="151" t="s">
        <v>187</v>
      </c>
      <c r="CA4" s="151" t="s">
        <v>188</v>
      </c>
      <c r="CB4" s="151" t="s">
        <v>189</v>
      </c>
      <c r="CC4" s="151" t="s">
        <v>190</v>
      </c>
      <c r="CD4" s="151" t="s">
        <v>191</v>
      </c>
      <c r="CE4" s="151" t="s">
        <v>192</v>
      </c>
      <c r="CF4" s="151" t="s">
        <v>193</v>
      </c>
      <c r="CG4" s="151" t="s">
        <v>194</v>
      </c>
      <c r="CH4" s="151" t="s">
        <v>195</v>
      </c>
      <c r="CI4" s="151" t="s">
        <v>196</v>
      </c>
      <c r="CJ4" s="151" t="s">
        <v>197</v>
      </c>
      <c r="CK4" s="151" t="s">
        <v>198</v>
      </c>
      <c r="CL4" s="151" t="s">
        <v>199</v>
      </c>
      <c r="CM4" s="151" t="s">
        <v>200</v>
      </c>
      <c r="CN4" s="151" t="s">
        <v>201</v>
      </c>
      <c r="CO4" s="151" t="s">
        <v>202</v>
      </c>
      <c r="CP4" s="151" t="s">
        <v>203</v>
      </c>
      <c r="CQ4" s="151" t="s">
        <v>204</v>
      </c>
      <c r="CR4" s="151" t="s">
        <v>205</v>
      </c>
      <c r="CS4" s="151" t="s">
        <v>206</v>
      </c>
      <c r="CT4" s="151" t="s">
        <v>207</v>
      </c>
      <c r="CU4" s="151" t="s">
        <v>208</v>
      </c>
      <c r="CV4" s="151" t="s">
        <v>209</v>
      </c>
      <c r="CW4" s="151" t="s">
        <v>210</v>
      </c>
      <c r="CX4" s="151" t="s">
        <v>211</v>
      </c>
      <c r="CY4" s="151" t="s">
        <v>212</v>
      </c>
      <c r="CZ4" s="151" t="s">
        <v>213</v>
      </c>
      <c r="DA4" s="151" t="s">
        <v>214</v>
      </c>
      <c r="DB4" s="151" t="s">
        <v>215</v>
      </c>
      <c r="DC4" s="151" t="s">
        <v>216</v>
      </c>
      <c r="DD4" s="151" t="s">
        <v>217</v>
      </c>
      <c r="DE4" s="151" t="s">
        <v>218</v>
      </c>
      <c r="DF4" s="151" t="s">
        <v>219</v>
      </c>
      <c r="DG4" s="151" t="s">
        <v>220</v>
      </c>
      <c r="DH4" s="151" t="s">
        <v>36</v>
      </c>
      <c r="DI4" s="151" t="s">
        <v>39</v>
      </c>
      <c r="DJ4" s="151" t="s">
        <v>38</v>
      </c>
      <c r="DK4" s="151" t="s">
        <v>40</v>
      </c>
      <c r="DL4" s="151" t="s">
        <v>37</v>
      </c>
      <c r="DM4" s="151" t="s">
        <v>41</v>
      </c>
      <c r="DN4" s="151" t="s">
        <v>42</v>
      </c>
      <c r="DO4" s="151" t="s">
        <v>43</v>
      </c>
      <c r="DP4" s="151" t="s">
        <v>221</v>
      </c>
      <c r="DQ4" s="150" t="s">
        <v>222</v>
      </c>
      <c r="DR4" s="150" t="s">
        <v>223</v>
      </c>
      <c r="DS4" s="150" t="s">
        <v>224</v>
      </c>
      <c r="DT4" s="150" t="s">
        <v>225</v>
      </c>
      <c r="DU4" s="150" t="s">
        <v>226</v>
      </c>
      <c r="DV4" s="150" t="s">
        <v>227</v>
      </c>
      <c r="DW4" s="150" t="s">
        <v>228</v>
      </c>
      <c r="DX4" s="150" t="s">
        <v>229</v>
      </c>
      <c r="DY4" s="150" t="s">
        <v>230</v>
      </c>
      <c r="DZ4" s="150" t="s">
        <v>231</v>
      </c>
      <c r="EA4" s="150" t="s">
        <v>232</v>
      </c>
      <c r="EB4" s="150" t="s">
        <v>233</v>
      </c>
      <c r="EC4" s="150" t="s">
        <v>234</v>
      </c>
      <c r="ED4" s="150" t="s">
        <v>235</v>
      </c>
      <c r="EE4" s="150" t="s">
        <v>236</v>
      </c>
      <c r="EF4" s="150" t="s">
        <v>237</v>
      </c>
      <c r="EG4" s="150" t="s">
        <v>238</v>
      </c>
      <c r="EH4" s="49" t="s">
        <v>239</v>
      </c>
      <c r="EI4" s="49" t="s">
        <v>240</v>
      </c>
      <c r="EJ4" s="49" t="s">
        <v>241</v>
      </c>
      <c r="EK4" s="49" t="s">
        <v>242</v>
      </c>
      <c r="EL4" s="49" t="s">
        <v>243</v>
      </c>
      <c r="EM4" s="49" t="s">
        <v>244</v>
      </c>
      <c r="EN4" s="49" t="s">
        <v>245</v>
      </c>
      <c r="EO4" s="49" t="s">
        <v>246</v>
      </c>
      <c r="EP4" s="49" t="s">
        <v>247</v>
      </c>
      <c r="EQ4" s="49" t="s">
        <v>248</v>
      </c>
      <c r="ER4" s="49" t="s">
        <v>249</v>
      </c>
      <c r="ES4" s="160" t="s">
        <v>250</v>
      </c>
      <c r="ET4" s="49" t="s">
        <v>251</v>
      </c>
      <c r="EU4" s="49" t="s">
        <v>252</v>
      </c>
      <c r="EV4" s="49" t="s">
        <v>253</v>
      </c>
      <c r="EW4" s="49" t="s">
        <v>254</v>
      </c>
      <c r="EX4" s="49" t="s">
        <v>255</v>
      </c>
      <c r="EY4" s="49" t="s">
        <v>256</v>
      </c>
      <c r="EZ4" s="49" t="s">
        <v>257</v>
      </c>
      <c r="FA4" s="49" t="s">
        <v>258</v>
      </c>
      <c r="FB4" s="49" t="s">
        <v>259</v>
      </c>
      <c r="FC4" s="54" t="s">
        <v>260</v>
      </c>
      <c r="FD4" s="57" t="s">
        <v>261</v>
      </c>
      <c r="FE4" s="54" t="s">
        <v>262</v>
      </c>
      <c r="FF4" s="54" t="s">
        <v>263</v>
      </c>
      <c r="FG4" s="54" t="s">
        <v>264</v>
      </c>
    </row>
    <row r="5" spans="1:164">
      <c r="A5" s="133">
        <v>45745</v>
      </c>
      <c r="B5" s="138">
        <f>YEAR(RD[[#This Row],[Date]])+IF(MONTH(RD[[#This Row],[Date]])&gt;=4,1,0)</f>
        <v>2025</v>
      </c>
      <c r="C5" s="138">
        <f>YEAR(RD[[#This Row],[Date]])</f>
        <v>2025</v>
      </c>
      <c r="D5" s="58">
        <f t="shared" ref="D5:D7" si="154">A5-DAY(A5)+1</f>
        <v>45717</v>
      </c>
      <c r="E5" s="138">
        <f>DAY(EOMONTH(RD[[#This Row],[Date]],0))</f>
        <v>31</v>
      </c>
      <c r="F5" s="152">
        <v>0.27916666666666667</v>
      </c>
      <c r="G5" s="152">
        <v>0.76041666666666663</v>
      </c>
      <c r="H5" s="124">
        <v>8339.7000000000007</v>
      </c>
      <c r="I5" s="124">
        <v>8248.7999999999993</v>
      </c>
      <c r="J5" s="124">
        <v>7719.3</v>
      </c>
      <c r="K5" s="124">
        <v>7619.9</v>
      </c>
      <c r="L5" s="124">
        <v>7857.5</v>
      </c>
      <c r="M5" s="124">
        <v>8179.8</v>
      </c>
      <c r="N5" s="124">
        <v>7713.2</v>
      </c>
      <c r="O5" s="124">
        <v>8719.6</v>
      </c>
      <c r="P5" s="124">
        <v>8058.4</v>
      </c>
      <c r="Q5" s="124">
        <v>7768.8</v>
      </c>
      <c r="R5" s="124">
        <v>8109.4</v>
      </c>
      <c r="S5" s="124">
        <v>8109.3</v>
      </c>
      <c r="T5" s="124">
        <v>8340.9</v>
      </c>
      <c r="U5" s="124">
        <v>8149.2</v>
      </c>
      <c r="V5" s="124">
        <v>8324.6</v>
      </c>
      <c r="W5" s="124">
        <v>8161.3</v>
      </c>
      <c r="X5" s="124">
        <v>11093</v>
      </c>
      <c r="Y5" s="124">
        <v>12491</v>
      </c>
      <c r="Z5" s="124">
        <v>11071.6</v>
      </c>
      <c r="AA5" s="124">
        <v>11673.3</v>
      </c>
      <c r="AB5" s="124">
        <v>12083.6</v>
      </c>
      <c r="AC5" s="124">
        <v>7449.7</v>
      </c>
      <c r="AD5" s="124">
        <v>11431.4</v>
      </c>
      <c r="AE5" s="124">
        <v>11400.8</v>
      </c>
      <c r="AF5" s="124">
        <v>10844.9</v>
      </c>
      <c r="AG5" s="124">
        <v>11237</v>
      </c>
      <c r="AH5" s="124">
        <v>11365.8</v>
      </c>
      <c r="AI5" s="124">
        <v>11421.2</v>
      </c>
      <c r="AJ5" s="142">
        <v>9372.7999999999993</v>
      </c>
      <c r="AK5" s="142">
        <v>9558.6</v>
      </c>
      <c r="AL5" s="142">
        <v>9202.1</v>
      </c>
      <c r="AM5" s="142">
        <v>9281.4</v>
      </c>
      <c r="AN5" s="142">
        <v>9352.2999999999993</v>
      </c>
      <c r="AO5" s="142">
        <v>9706.9</v>
      </c>
      <c r="AP5" s="142">
        <v>9517.2000000000007</v>
      </c>
      <c r="AQ5" s="142">
        <v>9400.5</v>
      </c>
      <c r="AR5" s="142">
        <v>7652.7</v>
      </c>
      <c r="AS5" s="142">
        <v>7695</v>
      </c>
      <c r="AT5" s="142">
        <v>7734.3</v>
      </c>
      <c r="AU5" s="142">
        <v>7604.3</v>
      </c>
      <c r="AV5" s="142">
        <v>7885.8</v>
      </c>
      <c r="AW5" s="142">
        <v>7754.8</v>
      </c>
      <c r="AX5" s="142">
        <v>10510.4</v>
      </c>
      <c r="AY5" s="142">
        <v>11943.2</v>
      </c>
      <c r="AZ5" s="142">
        <v>8752.4</v>
      </c>
      <c r="BA5" s="142">
        <v>10655.6</v>
      </c>
      <c r="BB5" s="142">
        <v>10577.8</v>
      </c>
      <c r="BC5" s="142">
        <v>6785.7</v>
      </c>
      <c r="BD5" s="142">
        <v>6813.4</v>
      </c>
      <c r="BE5" s="142">
        <v>10587.4</v>
      </c>
      <c r="BF5" s="142">
        <v>8345.2000000000007</v>
      </c>
      <c r="BG5" s="142">
        <v>9089.2000000000007</v>
      </c>
      <c r="BH5" s="142">
        <v>9135.7000000000007</v>
      </c>
      <c r="BI5" s="142">
        <v>3159.6</v>
      </c>
      <c r="BJ5" s="142">
        <v>1178</v>
      </c>
      <c r="BK5" s="142">
        <v>869</v>
      </c>
      <c r="BL5" s="142">
        <v>5994.4</v>
      </c>
      <c r="BM5" s="142">
        <v>6856.8</v>
      </c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59">
        <v>5.5478074666666668</v>
      </c>
      <c r="CE5" s="59"/>
      <c r="CF5" s="59">
        <v>6.9921496000000012</v>
      </c>
      <c r="CG5" s="59"/>
      <c r="CH5" s="59">
        <v>0.89155528333333256</v>
      </c>
      <c r="CI5" s="59"/>
      <c r="CJ5" s="59"/>
      <c r="CK5" s="59"/>
      <c r="CL5" s="59">
        <v>29.428501118568214</v>
      </c>
      <c r="CM5" s="59"/>
      <c r="CN5" s="59">
        <v>36.839984340044779</v>
      </c>
      <c r="CO5" s="59"/>
      <c r="CP5" s="59">
        <v>23.874093959731546</v>
      </c>
      <c r="CQ5" s="59"/>
      <c r="CR5" s="59">
        <v>0</v>
      </c>
      <c r="CS5" s="59"/>
      <c r="CT5" s="59">
        <v>0.77800000000000002</v>
      </c>
      <c r="CU5" s="59"/>
      <c r="CV5" s="59">
        <v>2.109</v>
      </c>
      <c r="CW5" s="50"/>
      <c r="CX5" s="51">
        <f>IFERROR(AVERAGEIF(RD[[#This Row],[IS1POA1 (KWh/m2)]:[IS7POA2 (KWh/m2)]],"&lt;&gt;0",RD[[#This Row],[IS1POA1 (KWh/m2)]:[IS7POA2 (KWh/m2)]]),"")</f>
        <v>5.5478074666666668</v>
      </c>
      <c r="CY5" s="51">
        <f>IFERROR(AVERAGEIF(RD[[#This Row],[IS1GHI1 (KWh/m2)]:[IS7GHI2 (KWh/m2)]],"&lt;&gt;0",RD[[#This Row],[IS1GHI1 (KWh/m2)]:[IS7GHI2 (KWh/m2)]]),"")</f>
        <v>6.9921496000000012</v>
      </c>
      <c r="CZ5" s="51">
        <f>IFERROR(AVERAGEIF(RD[[#This Row],[IS1POA_BS1 (KWh/m2)]:[IS7POA_BS2 (KWh/m2)]],"&lt;&gt;0",RD[[#This Row],[IS1POA_BS1 (KWh/m2)]:[IS7POA_BS2 (KWh/m2)]]),"")</f>
        <v>0.89155528333333256</v>
      </c>
      <c r="DA5" s="51" t="str">
        <f>IFERROR(AVERAGEIF(RD[[#This Row],[IS1GHI_BS1 (KWh/m2)]:[IS1GHI_BS1 (KWh/m2)2]],"&lt;&gt;0",RD[[#This Row],[IS1GHI_BS1 (KWh/m2)]:[IS1GHI_BS1 (KWh/m2)2]]),"")</f>
        <v/>
      </c>
      <c r="DB5" s="51">
        <f>IFERROR(AVERAGEIF(RD[[#This Row],[IS1AT1 (°C)]:[IS7AT2 (°C)]],"&lt;&gt;0",RD[[#This Row],[IS1AT1 (°C)]:[IS7AT2 (°C)]]),"")</f>
        <v>29.428501118568214</v>
      </c>
      <c r="DC5" s="51">
        <f>IFERROR(AVERAGEIF(RD[[#This Row],[IS1MT1 (°C)]:[IS7MT2 (°C)]],"&lt;&gt;0",RD[[#This Row],[IS1MT1 (°C)]:[IS7MT2 (°C)]]),"")</f>
        <v>36.839984340044779</v>
      </c>
      <c r="DD5" s="51">
        <f>IFERROR(AVERAGEIF(RD[[#This Row],[IS1RH1 (%)]:[IS7RH2 (%)]],"&lt;&gt;0",RD[[#This Row],[IS1RH1 (%)]:[IS7RH2 (%)]]),"")</f>
        <v>23.874093959731546</v>
      </c>
      <c r="DE5" s="51" t="str">
        <f>IFERROR(AVERAGEIF(RD[[#This Row],[IS1Rain1 (mm)]:[IS7Rain2 (mm)]],"&lt;&gt;0",RD[[#This Row],[IS1Rain1 (mm)]:[IS7Rain2 (mm)]]),"")</f>
        <v/>
      </c>
      <c r="DF5" s="51">
        <f>IFERROR(AVERAGEIF(RD[[#This Row],[WS_Solar1_Avg (m/s)]:[IS7_WS_Solar1_Avg (m/s)]],"&lt;&gt;0",RD[[#This Row],[WS_Solar1_Avg (m/s)]:[IS7_WS_Solar1_Avg (m/s)]]),"")</f>
        <v>0.77800000000000002</v>
      </c>
      <c r="DG5" s="51">
        <f>IFERROR(AVERAGEIF(RD[[#This Row],[WS_Solar1_Max (m/s)]:[IS7_WS_Solar1_Max (m/s)]],"&lt;&gt;0",RD[[#This Row],[WS_Solar1_Max (m/s)]:[IS7_WS_Solar1_Max (m/s)]]),"")</f>
        <v>2.109</v>
      </c>
      <c r="DH5" s="51">
        <f>SUM(RD[[#This Row],[IS1Inv1M1]:[IS4Inv4M2]])</f>
        <v>262983</v>
      </c>
      <c r="DI5" s="51">
        <f>SUM(RD[[#This Row],[IS7Inv1M1]]+RD[[#This Row],[IS7Inv2M1]])</f>
        <v>15347.7</v>
      </c>
      <c r="DJ5" s="60">
        <f>SUM(RD[[#This Row],[IS5Inv1M1]:[IS5Inv2M2]])</f>
        <v>37414.9</v>
      </c>
      <c r="DK5" s="60">
        <f>SUM(RD[[#This Row],[IS8Inv1M1]:[IS9Inv2M2]])</f>
        <v>72840.800000000003</v>
      </c>
      <c r="DL5" s="60">
        <f>SUM(RD[[#This Row],[IS6Inv1M1]:[IS6Inv2M2]])</f>
        <v>37976.899999999994</v>
      </c>
      <c r="DM5" s="51">
        <f>SUM(RD[[#This Row],[IS10Inv1M1]:[IS11Inv1M4]],RD[[#This Row],[IS14Inv1M1]:[IS14Inv2M4]])</f>
        <v>79392.2</v>
      </c>
      <c r="DN5" s="51">
        <f>SUM(RD[[#This Row],[IS12Inv1M1]:[IS12Inv1M4]])</f>
        <v>0</v>
      </c>
      <c r="DO5" s="51">
        <f>SUM(RD[[#This Row],[IS13Inv1M1]:[IS13Inv2M2]])</f>
        <v>0</v>
      </c>
      <c r="DP5" s="51">
        <f>SUM(RD[[#This Row],[O2R15]:[O2R26]])</f>
        <v>505955.50000000006</v>
      </c>
      <c r="DQ5" s="168">
        <v>34503.800000000003</v>
      </c>
      <c r="DR5" s="168">
        <v>194.9</v>
      </c>
      <c r="DS5" s="168">
        <v>29377.8</v>
      </c>
      <c r="DT5" s="168">
        <v>208.3</v>
      </c>
      <c r="DU5" s="168">
        <v>33403.800000000003</v>
      </c>
      <c r="DV5" s="168">
        <v>373.2</v>
      </c>
      <c r="DW5" s="168">
        <v>2696.5</v>
      </c>
      <c r="DX5" s="168">
        <v>11.6</v>
      </c>
      <c r="DY5" s="168"/>
      <c r="DZ5" s="168"/>
      <c r="EA5" s="140">
        <v>82.52</v>
      </c>
      <c r="EB5" s="169">
        <v>100763295</v>
      </c>
      <c r="EC5" s="134">
        <v>834286.65599999996</v>
      </c>
      <c r="ED5" s="134">
        <v>992.88</v>
      </c>
      <c r="EE5" s="169">
        <v>95164</v>
      </c>
      <c r="EF5" s="168">
        <v>139813</v>
      </c>
      <c r="EG5" s="168">
        <v>1654.4</v>
      </c>
      <c r="EH5" s="146" t="e">
        <f>IF((RD[[#This Row],[33 kV_F3_Ex
Incomer1]]-#REF!)*1000&lt;0,0,(RD[[#This Row],[33 kV_F3_Ex
Incomer1]]-#REF!)*1000)</f>
        <v>#REF!</v>
      </c>
      <c r="EI5" s="146" t="e">
        <f>IF((RD[[#This Row],[34 kV_F3_Im
Incomer1]]-#REF!)*1000&lt;0,0,(RD[[#This Row],[34 kV_F3_Im
Incomer1]]-#REF!)*1000)</f>
        <v>#REF!</v>
      </c>
      <c r="EJ5" s="146" t="e">
        <f>IF((RD[[#This Row],[33 kV_F4_Ex
Incomer2]]-#REF!)*1000&lt;0,0,(RD[[#This Row],[33 kV_F4_Ex
Incomer2]]-#REF!)*1000)</f>
        <v>#REF!</v>
      </c>
      <c r="EK5" s="146" t="e">
        <f>IF((RD[[#This Row],[34 kV_F4_Im
Incomer2]]-#REF!)*1000&lt;0,0,(RD[[#This Row],[34 kV_F4_Im
Incomer2]]-#REF!)*1000)</f>
        <v>#REF!</v>
      </c>
      <c r="EL5" s="146" t="e">
        <f>IF((RD[[#This Row],[33 kV_F5_Ex
Incomer3]]-#REF!)*1000&lt;0,0,(RD[[#This Row],[33 kV_F5_Ex
Incomer3]]-#REF!)*1000)</f>
        <v>#REF!</v>
      </c>
      <c r="EM5" s="146" t="e">
        <f>IF((RD[[#This Row],[34 kV_F5_Im
Incomer3]]-#REF!)*1000&lt;0,0,(RD[[#This Row],[34 kV_F5_Im
Incomer3]]-#REF!)*1000)</f>
        <v>#REF!</v>
      </c>
      <c r="EN5" s="146" t="e">
        <f>IF((RD[[#This Row],[33 kV_F6_Ex
Incomer4]]-#REF!)*1000&lt;0,0,(RD[[#This Row],[33 kV_F6_Ex
Incomer4]]-#REF!)*1000)</f>
        <v>#REF!</v>
      </c>
      <c r="EO5" s="146" t="e">
        <f>IF((RD[[#This Row],[33 kV_F6_Im
Incomer4]]-#REF!)*1000&lt;0,0,(RD[[#This Row],[33 kV_F6_Im
Incomer4]]-#REF!)*1000)</f>
        <v>#REF!</v>
      </c>
      <c r="EP5" s="146" t="e">
        <f>IF((RD[[#This Row],[33 kV_F7_Ex
Incomer5]]-#REF!)*1000&lt;0,0,(RD[[#This Row],[33 kV_F7_Ex
Incomer5]]-#REF!)*1000)</f>
        <v>#REF!</v>
      </c>
      <c r="EQ5" s="146" t="e">
        <f>IF((RD[[#This Row],[33 kV_F7_Im
Incomer5]]-#REF!)*1000&lt;0,0,(RD[[#This Row],[33 kV_F7_Im
Incomer5]]-#REF!)*1000)</f>
        <v>#REF!</v>
      </c>
      <c r="ER5" s="146" t="e">
        <f>IF((RD[[#This Row],[33 kV_Aux Trafo]]-#REF!)*1000&lt;0,0,(RD[[#This Row],[33 kV_Aux Trafo]]-#REF!)*1000)</f>
        <v>#REF!</v>
      </c>
      <c r="ES5" s="158" t="e">
        <f>IF((RD[[#This Row],[33kV_OG1_Ex_]]-#REF!)*1&lt;0,0,(RD[[#This Row],[33kV_OG1_Ex_]]-#REF!)*1)</f>
        <v>#REF!</v>
      </c>
      <c r="ET5" s="146" t="e">
        <f>IF((RD[[#This Row],[33kV_OG1_Im]]-#REF!)*1&lt;0,0,(RD[[#This Row],[33kV_OG1_Im]]-#REF!)*1)</f>
        <v>#REF!</v>
      </c>
      <c r="EU5" s="146" t="e">
        <f>IF((RD[[#This Row],[132kV_TX1_EX]]-#REF!)*720&lt;=0,"",(RD[[#This Row],[132kV_TX1_EX]]-#REF!)*720)</f>
        <v>#REF!</v>
      </c>
      <c r="EV5" s="146" t="e">
        <f>IF((RD[[#This Row],[132 kV_Tx1_Im]]-#REF!)*720&lt;=0,0,(RD[[#This Row],[132 kV_Tx1_Im]]-#REF!)*720)</f>
        <v>#REF!</v>
      </c>
      <c r="EW5" s="146" t="e">
        <f>IF((RD[[#This Row],[132kV_L1_Ex]]-#REF!)*720&lt;=0,0,(RD[[#This Row],[132kV_L1_Ex]]-#REF!)*720)</f>
        <v>#REF!</v>
      </c>
      <c r="EX5" s="146" t="e">
        <f>IF((RD[[#This Row],[132kV_L1_Im]]-#REF!)*720&lt;=0,0,(RD[[#This Row],[132kV_L1_Im]]-#REF!)*720)</f>
        <v>#REF!</v>
      </c>
      <c r="EY5" s="146" t="str">
        <f>IFERROR(RD[[#This Row],[33kV_OG1_Ex (MWh)]]+RD[[#This Row],[33kV_OG1_Im (MWh)]],"")</f>
        <v/>
      </c>
      <c r="EZ5" s="148" t="e">
        <f>RD[[#This Row],[33kV_OG1_Ex (MWh)]]-RD[[#This Row],[33kV_OG1_Im (MWh)]]</f>
        <v>#REF!</v>
      </c>
      <c r="FA5" s="147" t="str">
        <f>IFERROR(RD[[#This Row],[132kV_L1_Ex(MWh)]]-RD[[#This Row],[132kV_L1_Im(MWh)]],"")</f>
        <v/>
      </c>
      <c r="FB5" s="55" t="str">
        <f>IFERROR(RD[[#This Row],[33kV_Ex(MWh)]]/RD[[#This Row],[Inv Total Gneration (MWh)]]-1,"")</f>
        <v/>
      </c>
      <c r="FC5" s="56">
        <f>IFERROR((RD[[#This Row],[Sunset Time (POA&lt;20 W/m2)]]-RD[[#This Row],[Sunrise Time (POA&gt;20 W/m2)]])*24,0)</f>
        <v>11.549999999999999</v>
      </c>
      <c r="FD5" s="167">
        <v>97</v>
      </c>
      <c r="FE5" t="s">
        <v>265</v>
      </c>
      <c r="FF5"/>
      <c r="FG5"/>
    </row>
    <row r="6" spans="1:164">
      <c r="A6" s="133">
        <f t="shared" ref="A6:A28" si="155">A5+1</f>
        <v>45746</v>
      </c>
      <c r="B6" s="138">
        <f>YEAR(RD[[#This Row],[Date]])+IF(MONTH(RD[[#This Row],[Date]])&gt;=4,1,0)</f>
        <v>2025</v>
      </c>
      <c r="C6" s="138">
        <f>YEAR(RD[[#This Row],[Date]])</f>
        <v>2025</v>
      </c>
      <c r="D6" s="58">
        <f t="shared" si="154"/>
        <v>45717</v>
      </c>
      <c r="E6" s="138">
        <f>DAY(EOMONTH(RD[[#This Row],[Date]],0))</f>
        <v>31</v>
      </c>
      <c r="F6" s="152">
        <v>0.27708333333333335</v>
      </c>
      <c r="G6" s="162">
        <v>0.75763888888888886</v>
      </c>
      <c r="H6" s="124">
        <v>7963.4</v>
      </c>
      <c r="I6" s="124">
        <v>7911</v>
      </c>
      <c r="J6" s="124">
        <v>7371.5</v>
      </c>
      <c r="K6" s="124">
        <v>7304.9</v>
      </c>
      <c r="L6" s="124">
        <v>7474.2</v>
      </c>
      <c r="M6" s="124">
        <v>7760.6</v>
      </c>
      <c r="N6" s="124">
        <v>7367.2</v>
      </c>
      <c r="O6" s="124">
        <v>8345.4</v>
      </c>
      <c r="P6" s="124">
        <v>7740.9</v>
      </c>
      <c r="Q6" s="124">
        <v>7426.3</v>
      </c>
      <c r="R6" s="124">
        <v>7786.6</v>
      </c>
      <c r="S6" s="124">
        <v>7806.4</v>
      </c>
      <c r="T6" s="124">
        <v>8001.5</v>
      </c>
      <c r="U6" s="124">
        <v>7770.1</v>
      </c>
      <c r="V6" s="124">
        <v>7947.8</v>
      </c>
      <c r="W6" s="124">
        <v>7787.9</v>
      </c>
      <c r="X6" s="124">
        <v>10559.9</v>
      </c>
      <c r="Y6" s="124">
        <v>11925</v>
      </c>
      <c r="Z6" s="124">
        <v>10539</v>
      </c>
      <c r="AA6" s="124">
        <v>11084.1</v>
      </c>
      <c r="AB6" s="124">
        <v>11509.6</v>
      </c>
      <c r="AC6" s="124">
        <v>7090.6</v>
      </c>
      <c r="AD6" s="124">
        <v>10906</v>
      </c>
      <c r="AE6" s="124">
        <v>10976.8</v>
      </c>
      <c r="AF6" s="124">
        <v>10310</v>
      </c>
      <c r="AG6" s="124">
        <v>10687</v>
      </c>
      <c r="AH6" s="124">
        <v>10841.5</v>
      </c>
      <c r="AI6" s="124">
        <v>10901.9</v>
      </c>
      <c r="AJ6" s="142">
        <v>8914.1</v>
      </c>
      <c r="AK6" s="142">
        <v>9214.1</v>
      </c>
      <c r="AL6" s="142">
        <v>8763</v>
      </c>
      <c r="AM6" s="142">
        <v>8844.2999999999993</v>
      </c>
      <c r="AN6" s="142">
        <v>8886.5</v>
      </c>
      <c r="AO6" s="142">
        <v>9213.6</v>
      </c>
      <c r="AP6" s="142">
        <v>9027</v>
      </c>
      <c r="AQ6" s="142">
        <v>8927.7999999999993</v>
      </c>
      <c r="AR6" s="142">
        <v>7275.3</v>
      </c>
      <c r="AS6" s="142">
        <v>7317.4</v>
      </c>
      <c r="AT6" s="142">
        <v>7418.7</v>
      </c>
      <c r="AU6" s="142">
        <v>7238.6</v>
      </c>
      <c r="AV6" s="142">
        <v>7563</v>
      </c>
      <c r="AW6" s="142">
        <v>7377.4</v>
      </c>
      <c r="AX6" s="142">
        <v>10013</v>
      </c>
      <c r="AY6" s="142">
        <v>11495</v>
      </c>
      <c r="AZ6" s="142">
        <v>8357</v>
      </c>
      <c r="BA6" s="142">
        <v>10143</v>
      </c>
      <c r="BB6" s="142">
        <v>10108.4</v>
      </c>
      <c r="BC6" s="142">
        <v>6861.4</v>
      </c>
      <c r="BD6" s="142">
        <v>8068.1</v>
      </c>
      <c r="BE6" s="142">
        <v>10185.299999999999</v>
      </c>
      <c r="BF6" s="142">
        <v>7915.4</v>
      </c>
      <c r="BG6" s="142">
        <v>8551</v>
      </c>
      <c r="BH6" s="142">
        <v>8615</v>
      </c>
      <c r="BI6" s="142">
        <v>2974.8</v>
      </c>
      <c r="BJ6" s="142">
        <v>1103.5</v>
      </c>
      <c r="BK6" s="142">
        <v>813</v>
      </c>
      <c r="BL6" s="142">
        <v>6023.9</v>
      </c>
      <c r="BM6" s="142">
        <v>6355.1</v>
      </c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59">
        <v>5.2804577833333326</v>
      </c>
      <c r="CE6" s="59"/>
      <c r="CF6" s="59">
        <v>6.67531885</v>
      </c>
      <c r="CG6" s="59"/>
      <c r="CH6" s="59">
        <v>0.85918861666666624</v>
      </c>
      <c r="CI6" s="59"/>
      <c r="CJ6" s="59"/>
      <c r="CK6" s="59"/>
      <c r="CL6" s="59">
        <v>30.223930789707243</v>
      </c>
      <c r="CM6" s="59"/>
      <c r="CN6" s="59">
        <v>38.070228039041687</v>
      </c>
      <c r="CO6" s="59"/>
      <c r="CP6" s="59">
        <v>21.031650399290132</v>
      </c>
      <c r="CQ6" s="59"/>
      <c r="CR6" s="59">
        <v>0</v>
      </c>
      <c r="CS6" s="59"/>
      <c r="CT6" s="59">
        <v>0.96656433007985842</v>
      </c>
      <c r="CU6" s="59"/>
      <c r="CV6" s="59">
        <v>2.6789999999999998</v>
      </c>
      <c r="CW6" s="50"/>
      <c r="CX6" s="51">
        <f>IFERROR(AVERAGEIF(RD[[#This Row],[IS1POA1 (KWh/m2)]:[IS7POA2 (KWh/m2)]],"&lt;&gt;0",RD[[#This Row],[IS1POA1 (KWh/m2)]:[IS7POA2 (KWh/m2)]]),"")</f>
        <v>5.2804577833333326</v>
      </c>
      <c r="CY6" s="51">
        <f>IFERROR(AVERAGEIF(RD[[#This Row],[IS1GHI1 (KWh/m2)]:[IS7GHI2 (KWh/m2)]],"&lt;&gt;0",RD[[#This Row],[IS1GHI1 (KWh/m2)]:[IS7GHI2 (KWh/m2)]]),"")</f>
        <v>6.67531885</v>
      </c>
      <c r="CZ6" s="51">
        <f>IFERROR(AVERAGEIF(RD[[#This Row],[IS1POA_BS1 (KWh/m2)]:[IS7POA_BS2 (KWh/m2)]],"&lt;&gt;0",RD[[#This Row],[IS1POA_BS1 (KWh/m2)]:[IS7POA_BS2 (KWh/m2)]]),"")</f>
        <v>0.85918861666666624</v>
      </c>
      <c r="DA6" s="51" t="str">
        <f>IFERROR(AVERAGEIF(RD[[#This Row],[IS1GHI_BS1 (KWh/m2)]:[IS1GHI_BS1 (KWh/m2)2]],"&lt;&gt;0",RD[[#This Row],[IS1GHI_BS1 (KWh/m2)]:[IS1GHI_BS1 (KWh/m2)2]]),"")</f>
        <v/>
      </c>
      <c r="DB6" s="51">
        <f>IFERROR(AVERAGEIF(RD[[#This Row],[IS1AT1 (°C)]:[IS7AT2 (°C)]],"&lt;&gt;0",RD[[#This Row],[IS1AT1 (°C)]:[IS7AT2 (°C)]]),"")</f>
        <v>30.223930789707243</v>
      </c>
      <c r="DC6" s="51">
        <f>IFERROR(AVERAGEIF(RD[[#This Row],[IS1MT1 (°C)]:[IS7MT2 (°C)]],"&lt;&gt;0",RD[[#This Row],[IS1MT1 (°C)]:[IS7MT2 (°C)]]),"")</f>
        <v>38.070228039041687</v>
      </c>
      <c r="DD6" s="51">
        <f>IFERROR(AVERAGEIF(RD[[#This Row],[IS1RH1 (%)]:[IS7RH2 (%)]],"&lt;&gt;0",RD[[#This Row],[IS1RH1 (%)]:[IS7RH2 (%)]]),"")</f>
        <v>21.031650399290132</v>
      </c>
      <c r="DE6" s="51" t="str">
        <f>IFERROR(AVERAGEIF(RD[[#This Row],[IS1Rain1 (mm)]:[IS7Rain2 (mm)]],"&lt;&gt;0",RD[[#This Row],[IS1Rain1 (mm)]:[IS7Rain2 (mm)]]),"")</f>
        <v/>
      </c>
      <c r="DF6" s="51">
        <f>IFERROR(AVERAGEIF(RD[[#This Row],[WS_Solar1_Avg (m/s)]:[IS7_WS_Solar1_Avg (m/s)]],"&lt;&gt;0",RD[[#This Row],[WS_Solar1_Avg (m/s)]:[IS7_WS_Solar1_Avg (m/s)]]),"")</f>
        <v>0.96656433007985842</v>
      </c>
      <c r="DG6" s="51">
        <f>IFERROR(AVERAGEIF(RD[[#This Row],[WS_Solar1_Max (m/s)]:[IS7_WS_Solar1_Max (m/s)]],"&lt;&gt;0",RD[[#This Row],[WS_Solar1_Max (m/s)]:[IS7_WS_Solar1_Max (m/s)]]),"")</f>
        <v>2.6789999999999998</v>
      </c>
      <c r="DH6" s="51">
        <f>SUM(RD[[#This Row],[IS1Inv1M1]:[IS4Inv4M2]])</f>
        <v>251097.1</v>
      </c>
      <c r="DI6" s="51">
        <f>SUM(RD[[#This Row],[IS7Inv1M1]]+RD[[#This Row],[IS7Inv2M1]])</f>
        <v>14592.7</v>
      </c>
      <c r="DJ6" s="60">
        <f>SUM(RD[[#This Row],[IS5Inv1M1]:[IS5Inv2M2]])</f>
        <v>35735.5</v>
      </c>
      <c r="DK6" s="60">
        <f>SUM(RD[[#This Row],[IS8Inv1M1]:[IS9Inv2M2]])</f>
        <v>69605.7</v>
      </c>
      <c r="DL6" s="60">
        <f>SUM(RD[[#This Row],[IS6Inv1M1]:[IS6Inv2M2]])</f>
        <v>36054.899999999994</v>
      </c>
      <c r="DM6" s="51">
        <f>SUM(RD[[#This Row],[IS10Inv1M1]:[IS11Inv1M4]],RD[[#This Row],[IS14Inv1M1]:[IS14Inv2M4]])</f>
        <v>77574.900000000009</v>
      </c>
      <c r="DN6" s="51">
        <f>SUM(RD[[#This Row],[IS12Inv1M1]:[IS12Inv1M4]])</f>
        <v>0</v>
      </c>
      <c r="DO6" s="51">
        <f>SUM(RD[[#This Row],[IS13Inv1M1]:[IS13Inv2M2]])</f>
        <v>0</v>
      </c>
      <c r="DP6" s="51">
        <f>SUM(RD[[#This Row],[O2R15]:[O2R26]])</f>
        <v>484660.80000000005</v>
      </c>
      <c r="DQ6" s="168">
        <v>34630.199999999997</v>
      </c>
      <c r="DR6" s="168">
        <v>195.3</v>
      </c>
      <c r="DS6" s="168">
        <v>29498.1</v>
      </c>
      <c r="DT6" s="168">
        <v>208.6</v>
      </c>
      <c r="DU6" s="168">
        <v>33557.599999999999</v>
      </c>
      <c r="DV6" s="168">
        <v>373.8</v>
      </c>
      <c r="DW6" s="168">
        <v>2773.4</v>
      </c>
      <c r="DX6" s="168">
        <v>11.9</v>
      </c>
      <c r="DY6" s="168"/>
      <c r="DZ6" s="168"/>
      <c r="EA6" s="140">
        <v>82.78</v>
      </c>
      <c r="EB6" s="169">
        <v>101241118</v>
      </c>
      <c r="EC6" s="134">
        <v>835956.60800000001</v>
      </c>
      <c r="ED6" s="134">
        <v>995.08799999999997</v>
      </c>
      <c r="EE6" s="169">
        <v>95640</v>
      </c>
      <c r="EF6" s="168">
        <v>140474.29999999999</v>
      </c>
      <c r="EG6" s="168">
        <v>1657.5</v>
      </c>
      <c r="EH6" s="146">
        <f>IF((RD[[#This Row],[33 kV_F3_Ex
Incomer1]]-DQ5)*1000&lt;0,0,(RD[[#This Row],[33 kV_F3_Ex
Incomer1]]-DQ5)*1000)</f>
        <v>126399.99999999418</v>
      </c>
      <c r="EI6" s="146">
        <f>IF((RD[[#This Row],[34 kV_F3_Im
Incomer1]]-DR5)*1000&lt;0,0,(RD[[#This Row],[34 kV_F3_Im
Incomer1]]-DR5)*1000)</f>
        <v>400.00000000000568</v>
      </c>
      <c r="EJ6" s="146">
        <f>IF((RD[[#This Row],[33 kV_F4_Ex
Incomer2]]-DS5)*1000&lt;0,0,(RD[[#This Row],[33 kV_F4_Ex
Incomer2]]-DS5)*1000)</f>
        <v>120299.99999999927</v>
      </c>
      <c r="EK6" s="146">
        <f>IF((RD[[#This Row],[34 kV_F4_Im
Incomer2]]-DT5)*1000&lt;0,0,(RD[[#This Row],[34 kV_F4_Im
Incomer2]]-DT5)*1000)</f>
        <v>299.99999999998295</v>
      </c>
      <c r="EL6" s="146">
        <f>IF((RD[[#This Row],[33 kV_F5_Ex
Incomer3]]-DU5)*1000&lt;0,0,(RD[[#This Row],[33 kV_F5_Ex
Incomer3]]-DU5)*1000)</f>
        <v>153799.99999999563</v>
      </c>
      <c r="EM6" s="146">
        <f>IF((RD[[#This Row],[34 kV_F5_Im
Incomer3]]-DV5)*1000&lt;0,0,(RD[[#This Row],[34 kV_F5_Im
Incomer3]]-DV5)*1000)</f>
        <v>600.00000000002274</v>
      </c>
      <c r="EN6" s="146">
        <f>IF((RD[[#This Row],[33 kV_F6_Ex
Incomer4]]-DW5)*1000&lt;0,0,(RD[[#This Row],[33 kV_F6_Ex
Incomer4]]-DW5)*1000)</f>
        <v>76900.000000000087</v>
      </c>
      <c r="EO6" s="146">
        <f>IF((RD[[#This Row],[33 kV_F6_Im
Incomer4]]-DX5)*1000&lt;0,0,(RD[[#This Row],[33 kV_F6_Im
Incomer4]]-DX5)*1000)</f>
        <v>300.00000000000068</v>
      </c>
      <c r="EP6" s="146">
        <f>IF((RD[[#This Row],[33 kV_F7_Ex
Incomer5]]-DY5)*1000&lt;0,0,(RD[[#This Row],[33 kV_F7_Ex
Incomer5]]-DY5)*1000)</f>
        <v>0</v>
      </c>
      <c r="EQ6" s="146">
        <f>IF((RD[[#This Row],[33 kV_F7_Im
Incomer5]]-DZ5)*1000&lt;0,0,(RD[[#This Row],[33 kV_F7_Im
Incomer5]]-DZ5)*1000)</f>
        <v>0</v>
      </c>
      <c r="ER6" s="146">
        <f>IF((RD[[#This Row],[33 kV_Aux Trafo]]-EA5)*1000&lt;0,0,(RD[[#This Row],[33 kV_Aux Trafo]]-EA5)*1000)</f>
        <v>260.00000000000512</v>
      </c>
      <c r="ES6" s="158">
        <f>IF((RD[[#This Row],[33kV_OG1_Ex_]]-EB5)*1&lt;0,0,(RD[[#This Row],[33kV_OG1_Ex_]]-EB5)*1)</f>
        <v>477823</v>
      </c>
      <c r="ET6" s="146">
        <f>IF((RD[[#This Row],[33kV_OG1_Im]]-EC5)*1&lt;0,0,(RD[[#This Row],[33kV_OG1_Im]]-EC5)*1)</f>
        <v>1669.9520000000484</v>
      </c>
      <c r="EU6" s="146">
        <f>IF((RD[[#This Row],[132kV_TX1_EX]]-ED5)*720&lt;=0,"",(RD[[#This Row],[132kV_TX1_EX]]-ED5)*720)</f>
        <v>1589.7599999999784</v>
      </c>
      <c r="EV6" s="146">
        <f>IF((RD[[#This Row],[132 kV_Tx1_Im]]-EE5)*720&lt;=0,0,(RD[[#This Row],[132 kV_Tx1_Im]]-EE5)*720)</f>
        <v>342720</v>
      </c>
      <c r="EW6" s="146">
        <f>IF((RD[[#This Row],[132kV_L1_Ex]]-EF5)*720&lt;=0,0,(RD[[#This Row],[132kV_L1_Ex]]-EF5)*720)</f>
        <v>476135.99999999162</v>
      </c>
      <c r="EX6" s="146">
        <f>IF((RD[[#This Row],[132kV_L1_Im]]-EG5)*720&lt;=0,0,(RD[[#This Row],[132kV_L1_Im]]-EG5)*720)</f>
        <v>2231.9999999999345</v>
      </c>
      <c r="EY6" s="146">
        <f>IFERROR(RD[[#This Row],[33kV_OG1_Ex (MWh)]]+RD[[#This Row],[33kV_OG1_Im (MWh)]],"")</f>
        <v>479492.95200000005</v>
      </c>
      <c r="EZ6" s="148">
        <f>RD[[#This Row],[33kV_OG1_Ex (MWh)]]-RD[[#This Row],[33kV_OG1_Im (MWh)]]</f>
        <v>476153.04799999995</v>
      </c>
      <c r="FA6" s="147">
        <f>IFERROR(RD[[#This Row],[132kV_L1_Ex(MWh)]]-RD[[#This Row],[132kV_L1_Im(MWh)]],"")</f>
        <v>473903.99999999168</v>
      </c>
      <c r="FB6" s="55">
        <f>IFERROR(RD[[#This Row],[33kV_Ex(MWh)]]/RD[[#This Row],[Inv Total Gneration (MWh)]]-1,"")</f>
        <v>-1.0662814075328542E-2</v>
      </c>
      <c r="FC6" s="56">
        <f>IFERROR((RD[[#This Row],[Sunset Time (POA&lt;20 W/m2)]]-RD[[#This Row],[Sunrise Time (POA&gt;20 W/m2)]])*24,0)</f>
        <v>11.533333333333331</v>
      </c>
      <c r="FD6" s="167">
        <v>97</v>
      </c>
      <c r="FE6" t="s">
        <v>265</v>
      </c>
      <c r="FF6"/>
      <c r="FG6"/>
    </row>
    <row r="7" spans="1:164">
      <c r="A7" s="133">
        <f t="shared" si="155"/>
        <v>45747</v>
      </c>
      <c r="B7" s="138">
        <f>YEAR(RD[[#This Row],[Date]])+IF(MONTH(RD[[#This Row],[Date]])&gt;=4,1,0)</f>
        <v>2025</v>
      </c>
      <c r="C7" s="138">
        <f>YEAR(RD[[#This Row],[Date]])</f>
        <v>2025</v>
      </c>
      <c r="D7" s="58">
        <f t="shared" si="154"/>
        <v>45717</v>
      </c>
      <c r="E7" s="138">
        <f>DAY(EOMONTH(RD[[#This Row],[Date]],0))</f>
        <v>31</v>
      </c>
      <c r="F7" s="152">
        <v>0.28333333333333333</v>
      </c>
      <c r="G7" s="162">
        <v>0.75624999999999998</v>
      </c>
      <c r="H7" s="124">
        <v>6217.2</v>
      </c>
      <c r="I7" s="124">
        <v>6187.2</v>
      </c>
      <c r="J7" s="124">
        <v>5750.2</v>
      </c>
      <c r="K7" s="124">
        <v>5827.9</v>
      </c>
      <c r="L7" s="124">
        <v>5977.9</v>
      </c>
      <c r="M7" s="124">
        <v>6071.3</v>
      </c>
      <c r="N7" s="124">
        <v>5757.7</v>
      </c>
      <c r="O7" s="124">
        <v>6597.9</v>
      </c>
      <c r="P7" s="124">
        <v>6094.2</v>
      </c>
      <c r="Q7" s="124">
        <v>5799.3</v>
      </c>
      <c r="R7" s="124">
        <v>6104.9</v>
      </c>
      <c r="S7" s="124">
        <v>6124.6</v>
      </c>
      <c r="T7" s="124">
        <v>6339.5</v>
      </c>
      <c r="U7" s="124">
        <v>6149.9</v>
      </c>
      <c r="V7" s="124">
        <v>6281.8</v>
      </c>
      <c r="W7" s="124">
        <v>6113.2</v>
      </c>
      <c r="X7" s="124">
        <v>8334</v>
      </c>
      <c r="Y7" s="124">
        <v>9386.9</v>
      </c>
      <c r="Z7" s="124">
        <v>8268</v>
      </c>
      <c r="AA7" s="124">
        <v>8687</v>
      </c>
      <c r="AB7" s="124">
        <v>9012.2999999999993</v>
      </c>
      <c r="AC7" s="124">
        <v>5550.4</v>
      </c>
      <c r="AD7" s="124">
        <v>8504.9</v>
      </c>
      <c r="AE7" s="124">
        <v>8584.9</v>
      </c>
      <c r="AF7" s="124">
        <v>8095</v>
      </c>
      <c r="AG7" s="124">
        <v>10687</v>
      </c>
      <c r="AH7" s="124">
        <v>8480.2999999999993</v>
      </c>
      <c r="AI7" s="124">
        <v>8510</v>
      </c>
      <c r="AJ7" s="142">
        <v>6661.3</v>
      </c>
      <c r="AK7" s="142">
        <v>6886</v>
      </c>
      <c r="AL7" s="142">
        <v>6586.2</v>
      </c>
      <c r="AM7" s="142">
        <v>6722.8</v>
      </c>
      <c r="AN7" s="142">
        <v>6666.5</v>
      </c>
      <c r="AO7" s="142">
        <v>6920.1</v>
      </c>
      <c r="AP7" s="142">
        <v>6766</v>
      </c>
      <c r="AQ7" s="142">
        <v>6705</v>
      </c>
      <c r="AR7" s="142">
        <v>5433.8</v>
      </c>
      <c r="AS7" s="142">
        <v>5467.9</v>
      </c>
      <c r="AT7" s="142">
        <v>5541.3</v>
      </c>
      <c r="AU7" s="142">
        <v>5403.3</v>
      </c>
      <c r="AV7" s="142">
        <v>5648.9</v>
      </c>
      <c r="AW7" s="142">
        <v>5520.3</v>
      </c>
      <c r="AX7" s="142">
        <v>7500</v>
      </c>
      <c r="AY7" s="142">
        <v>8634</v>
      </c>
      <c r="AZ7" s="142">
        <v>6258.6</v>
      </c>
      <c r="BA7" s="142">
        <v>7581.5</v>
      </c>
      <c r="BB7" s="142">
        <v>7888.3</v>
      </c>
      <c r="BC7" s="142">
        <v>6027.8</v>
      </c>
      <c r="BD7" s="142">
        <v>6435.8</v>
      </c>
      <c r="BE7" s="142">
        <v>7909.7</v>
      </c>
      <c r="BF7" s="142">
        <v>6166.5</v>
      </c>
      <c r="BG7" s="142">
        <v>6522.8</v>
      </c>
      <c r="BH7" s="142">
        <v>4864.8</v>
      </c>
      <c r="BI7" s="142">
        <v>2252.6</v>
      </c>
      <c r="BJ7" s="142">
        <v>822.2</v>
      </c>
      <c r="BK7" s="142">
        <v>635.4</v>
      </c>
      <c r="BL7" s="142">
        <v>4908.1000000000004</v>
      </c>
      <c r="BM7" s="142">
        <v>4783.8999999999996</v>
      </c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59">
        <v>4.106817033333332</v>
      </c>
      <c r="CE7" s="59"/>
      <c r="CF7" s="59">
        <v>5.2572097833333382</v>
      </c>
      <c r="CG7" s="59"/>
      <c r="CH7" s="59">
        <v>0.68373261666666718</v>
      </c>
      <c r="CI7" s="59"/>
      <c r="CJ7" s="59"/>
      <c r="CK7" s="59"/>
      <c r="CL7" s="59">
        <v>31.031810897435843</v>
      </c>
      <c r="CM7" s="59"/>
      <c r="CN7" s="59">
        <v>38.522138621794817</v>
      </c>
      <c r="CO7" s="59"/>
      <c r="CP7" s="59">
        <v>21.580432692307703</v>
      </c>
      <c r="CQ7" s="59"/>
      <c r="CR7" s="59">
        <v>0</v>
      </c>
      <c r="CS7" s="59"/>
      <c r="CT7" s="59">
        <v>0.99419631410256448</v>
      </c>
      <c r="CU7" s="59"/>
      <c r="CV7" s="59">
        <v>2.7240000000000002</v>
      </c>
      <c r="CW7" s="50"/>
      <c r="CX7" s="51">
        <f>IFERROR(AVERAGEIF(RD[[#This Row],[IS1POA1 (KWh/m2)]:[IS7POA2 (KWh/m2)]],"&lt;&gt;0",RD[[#This Row],[IS1POA1 (KWh/m2)]:[IS7POA2 (KWh/m2)]]),"")</f>
        <v>4.106817033333332</v>
      </c>
      <c r="CY7" s="51">
        <f>IFERROR(AVERAGEIF(RD[[#This Row],[IS1GHI1 (KWh/m2)]:[IS7GHI2 (KWh/m2)]],"&lt;&gt;0",RD[[#This Row],[IS1GHI1 (KWh/m2)]:[IS7GHI2 (KWh/m2)]]),"")</f>
        <v>5.2572097833333382</v>
      </c>
      <c r="CZ7" s="51">
        <f>IFERROR(AVERAGEIF(RD[[#This Row],[IS1POA_BS1 (KWh/m2)]:[IS7POA_BS2 (KWh/m2)]],"&lt;&gt;0",RD[[#This Row],[IS1POA_BS1 (KWh/m2)]:[IS7POA_BS2 (KWh/m2)]]),"")</f>
        <v>0.68373261666666718</v>
      </c>
      <c r="DA7" s="51" t="str">
        <f>IFERROR(AVERAGEIF(RD[[#This Row],[IS1GHI_BS1 (KWh/m2)]:[IS1GHI_BS1 (KWh/m2)2]],"&lt;&gt;0",RD[[#This Row],[IS1GHI_BS1 (KWh/m2)]:[IS1GHI_BS1 (KWh/m2)2]]),"")</f>
        <v/>
      </c>
      <c r="DB7" s="51">
        <f>IFERROR(AVERAGEIF(RD[[#This Row],[IS1AT1 (°C)]:[IS7AT2 (°C)]],"&lt;&gt;0",RD[[#This Row],[IS1AT1 (°C)]:[IS7AT2 (°C)]]),"")</f>
        <v>31.031810897435843</v>
      </c>
      <c r="DC7" s="51">
        <f>IFERROR(AVERAGEIF(RD[[#This Row],[IS1MT1 (°C)]:[IS7MT2 (°C)]],"&lt;&gt;0",RD[[#This Row],[IS1MT1 (°C)]:[IS7MT2 (°C)]]),"")</f>
        <v>38.522138621794817</v>
      </c>
      <c r="DD7" s="51">
        <f>IFERROR(AVERAGEIF(RD[[#This Row],[IS1RH1 (%)]:[IS7RH2 (%)]],"&lt;&gt;0",RD[[#This Row],[IS1RH1 (%)]:[IS7RH2 (%)]]),"")</f>
        <v>21.580432692307703</v>
      </c>
      <c r="DE7" s="51" t="str">
        <f>IFERROR(AVERAGEIF(RD[[#This Row],[IS1Rain1 (mm)]:[IS7Rain2 (mm)]],"&lt;&gt;0",RD[[#This Row],[IS1Rain1 (mm)]:[IS7Rain2 (mm)]]),"")</f>
        <v/>
      </c>
      <c r="DF7" s="51">
        <f>IFERROR(AVERAGEIF(RD[[#This Row],[WS_Solar1_Avg (m/s)]:[IS7_WS_Solar1_Avg (m/s)]],"&lt;&gt;0",RD[[#This Row],[WS_Solar1_Avg (m/s)]:[IS7_WS_Solar1_Avg (m/s)]]),"")</f>
        <v>0.99419631410256448</v>
      </c>
      <c r="DG7" s="51">
        <f>IFERROR(AVERAGEIF(RD[[#This Row],[WS_Solar1_Max (m/s)]:[IS7_WS_Solar1_Max (m/s)]],"&lt;&gt;0",RD[[#This Row],[WS_Solar1_Max (m/s)]:[IS7_WS_Solar1_Max (m/s)]]),"")</f>
        <v>2.7240000000000002</v>
      </c>
      <c r="DH7" s="51">
        <f>SUM(RD[[#This Row],[IS1Inv1M1]:[IS4Inv4M2]])</f>
        <v>199495.39999999994</v>
      </c>
      <c r="DI7" s="51">
        <f>SUM(RD[[#This Row],[IS7Inv1M1]]+RD[[#This Row],[IS7Inv2M1]])</f>
        <v>10901.7</v>
      </c>
      <c r="DJ7" s="60">
        <f>SUM(RD[[#This Row],[IS5Inv1M1]:[IS5Inv2M2]])</f>
        <v>26856.3</v>
      </c>
      <c r="DK7" s="60">
        <f>SUM(RD[[#This Row],[IS8Inv1M1]:[IS9Inv2M2]])</f>
        <v>52087.9</v>
      </c>
      <c r="DL7" s="60">
        <f>SUM(RD[[#This Row],[IS6Inv1M1]:[IS6Inv2M2]])</f>
        <v>27057.599999999999</v>
      </c>
      <c r="DM7" s="51">
        <f>SUM(RD[[#This Row],[IS10Inv1M1]:[IS11Inv1M4]],RD[[#This Row],[IS14Inv1M1]:[IS14Inv2M4]])</f>
        <v>59217.900000000009</v>
      </c>
      <c r="DN7" s="51">
        <f>SUM(RD[[#This Row],[IS12Inv1M1]:[IS12Inv1M4]])</f>
        <v>0</v>
      </c>
      <c r="DO7" s="51">
        <f>SUM(RD[[#This Row],[IS13Inv1M1]:[IS13Inv2M2]])</f>
        <v>0</v>
      </c>
      <c r="DP7" s="51">
        <f>SUM(RD[[#This Row],[O2R15]:[O2R26]])</f>
        <v>375616.79999999993</v>
      </c>
      <c r="DQ7" s="168">
        <v>34729.4</v>
      </c>
      <c r="DR7" s="168">
        <v>195.8</v>
      </c>
      <c r="DS7" s="168">
        <v>29593.5</v>
      </c>
      <c r="DT7" s="168">
        <v>209</v>
      </c>
      <c r="DU7" s="168">
        <v>33673.199999999997</v>
      </c>
      <c r="DV7" s="168">
        <v>374.5</v>
      </c>
      <c r="DW7" s="168">
        <v>2832.2</v>
      </c>
      <c r="DX7" s="168">
        <v>12.2</v>
      </c>
      <c r="DY7" s="168"/>
      <c r="DZ7" s="168"/>
      <c r="EA7" s="140">
        <v>83.15</v>
      </c>
      <c r="EB7" s="169">
        <v>101610283</v>
      </c>
      <c r="EC7" s="134">
        <v>837989.37600000005</v>
      </c>
      <c r="ED7" s="134">
        <v>998.16</v>
      </c>
      <c r="EE7" s="169">
        <v>96008</v>
      </c>
      <c r="EF7" s="168">
        <v>140985.20000000001</v>
      </c>
      <c r="EG7" s="168">
        <v>1661.7</v>
      </c>
      <c r="EH7" s="146">
        <f>IF((RD[[#This Row],[33 kV_F3_Ex
Incomer1]]-DQ6)*1000&lt;0,0,(RD[[#This Row],[33 kV_F3_Ex
Incomer1]]-DQ6)*1000)</f>
        <v>99200.000000004366</v>
      </c>
      <c r="EI7" s="146">
        <f>IF((RD[[#This Row],[34 kV_F3_Im
Incomer1]]-DR6)*1000&lt;0,0,(RD[[#This Row],[34 kV_F3_Im
Incomer1]]-DR6)*1000)</f>
        <v>500</v>
      </c>
      <c r="EJ7" s="146">
        <f>IF((RD[[#This Row],[33 kV_F4_Ex
Incomer2]]-DS6)*1000&lt;0,0,(RD[[#This Row],[33 kV_F4_Ex
Incomer2]]-DS6)*1000)</f>
        <v>95400.000000001455</v>
      </c>
      <c r="EK7" s="146">
        <f>IF((RD[[#This Row],[34 kV_F4_Im
Incomer2]]-DT6)*1000&lt;0,0,(RD[[#This Row],[34 kV_F4_Im
Incomer2]]-DT6)*1000)</f>
        <v>400.00000000000568</v>
      </c>
      <c r="EL7" s="146">
        <f>IF((RD[[#This Row],[33 kV_F5_Ex
Incomer3]]-DU6)*1000&lt;0,0,(RD[[#This Row],[33 kV_F5_Ex
Incomer3]]-DU6)*1000)</f>
        <v>115599.99999999854</v>
      </c>
      <c r="EM7" s="146">
        <f>IF((RD[[#This Row],[34 kV_F5_Im
Incomer3]]-DV6)*1000&lt;0,0,(RD[[#This Row],[34 kV_F5_Im
Incomer3]]-DV6)*1000)</f>
        <v>699.99999999998863</v>
      </c>
      <c r="EN7" s="146">
        <f>IF((RD[[#This Row],[33 kV_F6_Ex
Incomer4]]-DW6)*1000&lt;0,0,(RD[[#This Row],[33 kV_F6_Ex
Incomer4]]-DW6)*1000)</f>
        <v>58799.999999999724</v>
      </c>
      <c r="EO7" s="146">
        <f>IF((RD[[#This Row],[33 kV_F6_Im
Incomer4]]-DX6)*1000&lt;0,0,(RD[[#This Row],[33 kV_F6_Im
Incomer4]]-DX6)*1000)</f>
        <v>299.99999999999892</v>
      </c>
      <c r="EP7" s="146">
        <f>IF((RD[[#This Row],[33 kV_F7_Ex
Incomer5]]-DY6)*1000&lt;0,0,(RD[[#This Row],[33 kV_F7_Ex
Incomer5]]-DY6)*1000)</f>
        <v>0</v>
      </c>
      <c r="EQ7" s="146">
        <f>IF((RD[[#This Row],[33 kV_F7_Im
Incomer5]]-DZ6)*1000&lt;0,0,(RD[[#This Row],[33 kV_F7_Im
Incomer5]]-DZ6)*1000)</f>
        <v>0</v>
      </c>
      <c r="ER7" s="146">
        <f>IF((RD[[#This Row],[33 kV_Aux Trafo]]-EA6)*1000&lt;0,0,(RD[[#This Row],[33 kV_Aux Trafo]]-EA6)*1000)</f>
        <v>370.00000000000455</v>
      </c>
      <c r="ES7" s="158">
        <f>IF((RD[[#This Row],[33kV_OG1_Ex_]]-EB6)*1&lt;0,0,(RD[[#This Row],[33kV_OG1_Ex_]]-EB6)*1)</f>
        <v>369165</v>
      </c>
      <c r="ET7" s="146">
        <f>IF((RD[[#This Row],[33kV_OG1_Im]]-EC6)*1&lt;0,0,(RD[[#This Row],[33kV_OG1_Im]]-EC6)*1)</f>
        <v>2032.76800000004</v>
      </c>
      <c r="EU7" s="146">
        <f>IF((RD[[#This Row],[132kV_TX1_EX]]-ED6)*720&lt;=0,"",(RD[[#This Row],[132kV_TX1_EX]]-ED6)*720)</f>
        <v>2211.840000000002</v>
      </c>
      <c r="EV7" s="146">
        <f>IF((RD[[#This Row],[132 kV_Tx1_Im]]-EE6)*720&lt;=0,0,(RD[[#This Row],[132 kV_Tx1_Im]]-EE6)*720)</f>
        <v>264960</v>
      </c>
      <c r="EW7" s="146">
        <f>IF((RD[[#This Row],[132kV_L1_Ex]]-EF6)*720&lt;=0,0,(RD[[#This Row],[132kV_L1_Ex]]-EF6)*720)</f>
        <v>367848.00000001676</v>
      </c>
      <c r="EX7" s="146">
        <f>IF((RD[[#This Row],[132kV_L1_Im]]-EG6)*720&lt;=0,0,(RD[[#This Row],[132kV_L1_Im]]-EG6)*720)</f>
        <v>3024.0000000000327</v>
      </c>
      <c r="EY7" s="146">
        <f>IFERROR(RD[[#This Row],[33kV_OG1_Ex (MWh)]]+RD[[#This Row],[33kV_OG1_Im (MWh)]],"")</f>
        <v>371197.76800000004</v>
      </c>
      <c r="EZ7" s="148">
        <f>RD[[#This Row],[33kV_OG1_Ex (MWh)]]-RD[[#This Row],[33kV_OG1_Im (MWh)]]</f>
        <v>367132.23199999996</v>
      </c>
      <c r="FA7" s="147">
        <f>IFERROR(RD[[#This Row],[132kV_L1_Ex(MWh)]]-RD[[#This Row],[132kV_L1_Im(MWh)]],"")</f>
        <v>364824.00000001671</v>
      </c>
      <c r="FB7" s="55">
        <f>IFERROR(RD[[#This Row],[33kV_Ex(MWh)]]/RD[[#This Row],[Inv Total Gneration (MWh)]]-1,"")</f>
        <v>-1.1764734697702228E-2</v>
      </c>
      <c r="FC7" s="56">
        <f>IFERROR((RD[[#This Row],[Sunset Time (POA&lt;20 W/m2)]]-RD[[#This Row],[Sunrise Time (POA&gt;20 W/m2)]])*24,0)</f>
        <v>11.35</v>
      </c>
      <c r="FD7" s="167">
        <v>97</v>
      </c>
      <c r="FE7" t="s">
        <v>265</v>
      </c>
      <c r="FF7"/>
      <c r="FG7"/>
    </row>
    <row r="8" spans="1:164">
      <c r="A8" s="133">
        <f t="shared" si="155"/>
        <v>45748</v>
      </c>
      <c r="B8" s="138">
        <f>YEAR(RD[[#This Row],[Date]])+IF(MONTH(RD[[#This Row],[Date]])&gt;=4,1,0)</f>
        <v>2026</v>
      </c>
      <c r="C8" s="138">
        <f>YEAR(RD[[#This Row],[Date]])</f>
        <v>2025</v>
      </c>
      <c r="D8" s="139">
        <f>A8-DAY(A8)+1</f>
        <v>45748</v>
      </c>
      <c r="E8" s="138">
        <f>DAY(EOMONTH(RD[[#This Row],[Date]],0))</f>
        <v>30</v>
      </c>
      <c r="F8" s="152">
        <v>0.28888888888888886</v>
      </c>
      <c r="G8" s="162">
        <v>0.72916666666666663</v>
      </c>
      <c r="H8" s="124">
        <v>2664</v>
      </c>
      <c r="I8" s="124">
        <v>2647</v>
      </c>
      <c r="J8" s="124">
        <v>2477</v>
      </c>
      <c r="K8" s="124">
        <v>2495</v>
      </c>
      <c r="L8" s="124">
        <v>2581</v>
      </c>
      <c r="M8" s="124">
        <v>2622</v>
      </c>
      <c r="N8" s="124">
        <v>2464</v>
      </c>
      <c r="O8" s="124">
        <v>2832</v>
      </c>
      <c r="P8" s="124">
        <v>2580</v>
      </c>
      <c r="Q8" s="124">
        <v>2513</v>
      </c>
      <c r="R8" s="124">
        <v>2626</v>
      </c>
      <c r="S8" s="124">
        <v>2518</v>
      </c>
      <c r="T8" s="124">
        <v>2699</v>
      </c>
      <c r="U8" s="124">
        <v>2672</v>
      </c>
      <c r="V8" s="124">
        <v>2688</v>
      </c>
      <c r="W8" s="124">
        <v>2562</v>
      </c>
      <c r="X8" s="203">
        <v>3625</v>
      </c>
      <c r="Y8" s="203">
        <v>4171</v>
      </c>
      <c r="Z8" s="203">
        <v>3563</v>
      </c>
      <c r="AA8" s="203">
        <v>3759</v>
      </c>
      <c r="AB8" s="203">
        <v>3944</v>
      </c>
      <c r="AC8" s="203">
        <v>2415</v>
      </c>
      <c r="AD8" s="203">
        <v>3675</v>
      </c>
      <c r="AE8" s="203">
        <v>3729</v>
      </c>
      <c r="AF8" s="203">
        <v>3533</v>
      </c>
      <c r="AG8" s="203">
        <v>3640</v>
      </c>
      <c r="AH8" s="203">
        <v>3660</v>
      </c>
      <c r="AI8" s="203">
        <v>3685</v>
      </c>
      <c r="AJ8" s="142">
        <v>3099</v>
      </c>
      <c r="AK8" s="142">
        <v>3167</v>
      </c>
      <c r="AL8" s="142">
        <v>3083</v>
      </c>
      <c r="AM8" s="142">
        <v>3132</v>
      </c>
      <c r="AN8" s="142">
        <v>3069</v>
      </c>
      <c r="AO8" s="142">
        <v>3180</v>
      </c>
      <c r="AP8" s="142">
        <v>3114</v>
      </c>
      <c r="AQ8" s="142">
        <v>3087</v>
      </c>
      <c r="AR8" s="142">
        <v>2433</v>
      </c>
      <c r="AS8" s="142">
        <v>2452</v>
      </c>
      <c r="AT8" s="142">
        <v>2483</v>
      </c>
      <c r="AU8" s="142">
        <v>2457</v>
      </c>
      <c r="AV8" s="142">
        <v>2533</v>
      </c>
      <c r="AW8" s="142">
        <v>2469</v>
      </c>
      <c r="AX8" s="142">
        <v>3493</v>
      </c>
      <c r="AY8" s="142">
        <v>4021</v>
      </c>
      <c r="AZ8" s="142">
        <v>2912</v>
      </c>
      <c r="BA8" s="142">
        <v>3550</v>
      </c>
      <c r="BB8" s="142">
        <v>3455</v>
      </c>
      <c r="BC8" s="142">
        <v>2656.6</v>
      </c>
      <c r="BD8" s="142">
        <v>2808</v>
      </c>
      <c r="BE8" s="142">
        <v>3461.8</v>
      </c>
      <c r="BF8" s="142">
        <v>2839</v>
      </c>
      <c r="BG8" s="142">
        <v>2820</v>
      </c>
      <c r="BH8" s="142">
        <v>2779</v>
      </c>
      <c r="BI8" s="142">
        <v>1005</v>
      </c>
      <c r="BJ8" s="142">
        <v>515</v>
      </c>
      <c r="BK8" s="142">
        <v>223</v>
      </c>
      <c r="BL8" s="142">
        <v>2129</v>
      </c>
      <c r="BM8" s="142">
        <v>2035</v>
      </c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59">
        <v>1.68</v>
      </c>
      <c r="CE8" s="59"/>
      <c r="CF8" s="206">
        <v>2.214</v>
      </c>
      <c r="CG8" s="206"/>
      <c r="CH8" s="206">
        <v>0.27400000000000002</v>
      </c>
      <c r="CI8" s="206"/>
      <c r="CJ8" s="59">
        <v>0.40200000000000002</v>
      </c>
      <c r="CK8" s="59"/>
      <c r="CL8" s="206">
        <v>30.347999999999999</v>
      </c>
      <c r="CM8" s="206"/>
      <c r="CN8" s="206">
        <v>37.567999999999998</v>
      </c>
      <c r="CO8" s="206"/>
      <c r="CP8" s="206">
        <v>30.975999999999999</v>
      </c>
      <c r="CQ8" s="206"/>
      <c r="CR8" s="59">
        <v>0</v>
      </c>
      <c r="CS8" s="59"/>
      <c r="CT8" s="206">
        <v>0.66600000000000004</v>
      </c>
      <c r="CU8" s="206"/>
      <c r="CV8" s="206">
        <v>1.6919999999999999</v>
      </c>
      <c r="CW8" s="260"/>
      <c r="CX8" s="204">
        <f>IFERROR(AVERAGEIF(RD[[#This Row],[IS1POA1 (KWh/m2)]:[IS7POA2 (KWh/m2)]],"&lt;&gt;0",RD[[#This Row],[IS1POA1 (KWh/m2)]:[IS7POA2 (KWh/m2)]]),"")</f>
        <v>1.68</v>
      </c>
      <c r="CY8" s="204">
        <f>IFERROR(AVERAGEIF(RD[[#This Row],[IS1GHI1 (KWh/m2)]:[IS7GHI2 (KWh/m2)]],"&lt;&gt;0",RD[[#This Row],[IS1GHI1 (KWh/m2)]:[IS7GHI2 (KWh/m2)]]),"")</f>
        <v>2.214</v>
      </c>
      <c r="CZ8" s="204">
        <f>IFERROR(AVERAGEIF(RD[[#This Row],[IS1POA_BS1 (KWh/m2)]:[IS7POA_BS2 (KWh/m2)]],"&lt;&gt;0",RD[[#This Row],[IS1POA_BS1 (KWh/m2)]:[IS7POA_BS2 (KWh/m2)]]),"")</f>
        <v>0.27400000000000002</v>
      </c>
      <c r="DA8" s="204">
        <f>IFERROR(AVERAGEIF(RD[[#This Row],[IS1GHI_BS1 (KWh/m2)]:[IS1GHI_BS1 (KWh/m2)2]],"&lt;&gt;0",RD[[#This Row],[IS1GHI_BS1 (KWh/m2)]:[IS1GHI_BS1 (KWh/m2)2]]),"")</f>
        <v>0.40200000000000002</v>
      </c>
      <c r="DB8" s="204">
        <f>IFERROR(AVERAGEIF(RD[[#This Row],[IS1AT1 (°C)]:[IS7AT2 (°C)]],"&lt;&gt;0",RD[[#This Row],[IS1AT1 (°C)]:[IS7AT2 (°C)]]),"")</f>
        <v>30.347999999999999</v>
      </c>
      <c r="DC8" s="204">
        <f>IFERROR(AVERAGEIF(RD[[#This Row],[IS1MT1 (°C)]:[IS7MT2 (°C)]],"&lt;&gt;0",RD[[#This Row],[IS1MT1 (°C)]:[IS7MT2 (°C)]]),"")</f>
        <v>37.567999999999998</v>
      </c>
      <c r="DD8" s="204">
        <f>IFERROR(AVERAGEIF(RD[[#This Row],[IS1RH1 (%)]:[IS7RH2 (%)]],"&lt;&gt;0",RD[[#This Row],[IS1RH1 (%)]:[IS7RH2 (%)]]),"")</f>
        <v>30.975999999999999</v>
      </c>
      <c r="DE8" s="51" t="str">
        <f>IFERROR(AVERAGEIF(RD[[#This Row],[IS1Rain1 (mm)]:[IS7Rain2 (mm)]],"&lt;&gt;0",RD[[#This Row],[IS1Rain1 (mm)]:[IS7Rain2 (mm)]]),"")</f>
        <v/>
      </c>
      <c r="DF8" s="204">
        <f>IFERROR(AVERAGEIF(RD[[#This Row],[WS_Solar1_Avg (m/s)]:[IS7_WS_Solar1_Avg (m/s)]],"&lt;&gt;0",RD[[#This Row],[WS_Solar1_Avg (m/s)]:[IS7_WS_Solar1_Avg (m/s)]]),"")</f>
        <v>0.66600000000000004</v>
      </c>
      <c r="DG8" s="204">
        <f>IFERROR(AVERAGEIF(RD[[#This Row],[WS_Solar1_Max (m/s)]:[IS7_WS_Solar1_Max (m/s)]],"&lt;&gt;0",RD[[#This Row],[WS_Solar1_Max (m/s)]:[IS7_WS_Solar1_Max (m/s)]]),"")</f>
        <v>1.6919999999999999</v>
      </c>
      <c r="DH8" s="204">
        <f>SUM(RD[[#This Row],[IS1Inv1M1]:[IS4Inv4M2]])</f>
        <v>85039</v>
      </c>
      <c r="DI8" s="205">
        <f>SUM(RD[[#This Row],[IS7Inv1M1]]+RD[[#This Row],[IS7Inv2M1]])</f>
        <v>4885</v>
      </c>
      <c r="DJ8" s="204">
        <f>SUM(RD[[#This Row],[IS5Inv1M1]:[IS5Inv2M2]])</f>
        <v>12481</v>
      </c>
      <c r="DK8" s="204">
        <f>SUM(RD[[#This Row],[IS8Inv1M1]:[IS9Inv2M2]])</f>
        <v>23918</v>
      </c>
      <c r="DL8" s="60">
        <f>SUM(RD[[#This Row],[IS6Inv1M1]:[IS6Inv2M2]])</f>
        <v>12450</v>
      </c>
      <c r="DM8" s="51">
        <f>SUM(RD[[#This Row],[IS10Inv1M1]:[IS11Inv1M4]],RD[[#This Row],[IS14Inv1M1]:[IS14Inv2M4]])</f>
        <v>26726.400000000001</v>
      </c>
      <c r="DN8" s="288">
        <f>SUM(RD[[#This Row],[IS12Inv1M1]:[IS12Inv1M4]])</f>
        <v>0</v>
      </c>
      <c r="DO8" s="288">
        <f>SUM(RD[[#This Row],[IS13Inv1M1]:[IS13Inv2M2]])</f>
        <v>0</v>
      </c>
      <c r="DP8" s="204">
        <f>SUM(RD[[#This Row],[O2R15]:[O2R26]])</f>
        <v>165499.4</v>
      </c>
      <c r="DQ8" s="168">
        <v>34772.5</v>
      </c>
      <c r="DR8" s="168">
        <v>195.9</v>
      </c>
      <c r="DS8" s="164">
        <v>29634.7</v>
      </c>
      <c r="DT8" s="168">
        <v>209.1</v>
      </c>
      <c r="DU8" s="168">
        <v>33726.800000000003</v>
      </c>
      <c r="DV8" s="168">
        <v>374.8</v>
      </c>
      <c r="DW8" s="168">
        <v>2863</v>
      </c>
      <c r="DX8" s="168">
        <v>12.3</v>
      </c>
      <c r="DY8" s="168"/>
      <c r="DZ8" s="168"/>
      <c r="EA8" s="140">
        <v>83.32</v>
      </c>
      <c r="EB8" s="169">
        <v>101779857</v>
      </c>
      <c r="EC8" s="134">
        <v>839260.28799999994</v>
      </c>
      <c r="ED8" s="134">
        <v>999.40800000000002</v>
      </c>
      <c r="EE8" s="169">
        <v>96176</v>
      </c>
      <c r="EF8" s="168">
        <v>141219.70000000001</v>
      </c>
      <c r="EG8" s="164">
        <v>1663.4</v>
      </c>
      <c r="EH8" s="146">
        <f>IF((RD[[#This Row],[33 kV_F3_Ex
Incomer1]]-DQ7)*1000&lt;0,0,(RD[[#This Row],[33 kV_F3_Ex
Incomer1]]-DQ7)*1000)</f>
        <v>43099.999999998545</v>
      </c>
      <c r="EI8" s="146">
        <f>IF((RD[[#This Row],[34 kV_F3_Im
Incomer1]]-DR7)*1000&lt;0,0,(RD[[#This Row],[34 kV_F3_Im
Incomer1]]-DR7)*1000)</f>
        <v>99.999999999994316</v>
      </c>
      <c r="EJ8" s="146">
        <f>IF((RD[[#This Row],[33 kV_F4_Ex
Incomer2]]-DS7)*1000&lt;0,0,(RD[[#This Row],[33 kV_F4_Ex
Incomer2]]-DS7)*1000)</f>
        <v>41200.000000000728</v>
      </c>
      <c r="EK8" s="146">
        <f>IF((RD[[#This Row],[34 kV_F4_Im
Incomer2]]-DT7)*1000&lt;0,0,(RD[[#This Row],[34 kV_F4_Im
Incomer2]]-DT7)*1000)</f>
        <v>99.999999999994316</v>
      </c>
      <c r="EL8" s="146">
        <f>IF((RD[[#This Row],[33 kV_F5_Ex
Incomer3]]-DU7)*1000&lt;0,0,(RD[[#This Row],[33 kV_F5_Ex
Incomer3]]-DU7)*1000)</f>
        <v>53600.000000005821</v>
      </c>
      <c r="EM8" s="146">
        <f>IF((RD[[#This Row],[34 kV_F5_Im
Incomer3]]-DV7)*1000&lt;0,0,(RD[[#This Row],[34 kV_F5_Im
Incomer3]]-DV7)*1000)</f>
        <v>300.00000000001137</v>
      </c>
      <c r="EN8" s="146">
        <f>IF((RD[[#This Row],[33 kV_F6_Ex
Incomer4]]-DW7)*1000&lt;0,0,(RD[[#This Row],[33 kV_F6_Ex
Incomer4]]-DW7)*1000)</f>
        <v>30800.000000000182</v>
      </c>
      <c r="EO8" s="146">
        <f>IF((RD[[#This Row],[33 kV_F6_Im
Incomer4]]-DX7)*1000&lt;0,0,(RD[[#This Row],[33 kV_F6_Im
Incomer4]]-DX7)*1000)</f>
        <v>100.00000000000142</v>
      </c>
      <c r="EP8" s="146">
        <f>IF((RD[[#This Row],[33 kV_F7_Ex
Incomer5]]-DY7)*1000&lt;0,0,(RD[[#This Row],[33 kV_F7_Ex
Incomer5]]-DY7)*1000)</f>
        <v>0</v>
      </c>
      <c r="EQ8" s="146">
        <f>IF((RD[[#This Row],[33 kV_F7_Im
Incomer5]]-DZ7)*1000&lt;0,0,(RD[[#This Row],[33 kV_F7_Im
Incomer5]]-DZ7)*1000)</f>
        <v>0</v>
      </c>
      <c r="ER8" s="146">
        <f>IF((RD[[#This Row],[33 kV_Aux Trafo]]-EA7)*1000&lt;0,0,(RD[[#This Row],[33 kV_Aux Trafo]]-EA7)*1000)</f>
        <v>169.99999999998749</v>
      </c>
      <c r="ES8" s="158">
        <f>IF((RD[[#This Row],[33kV_OG1_Ex_]]-EB7)*1&lt;0,0,(RD[[#This Row],[33kV_OG1_Ex_]]-EB7)*1)</f>
        <v>169574</v>
      </c>
      <c r="ET8" s="146">
        <f>IF((RD[[#This Row],[33kV_OG1_Im]]-EC7)*1&lt;0,0,(RD[[#This Row],[33kV_OG1_Im]]-EC7)*1)</f>
        <v>1270.9119999998948</v>
      </c>
      <c r="EU8" s="146">
        <f>IF((RD[[#This Row],[132kV_TX1_EX]]-ED7)*720&lt;=0,"",(RD[[#This Row],[132kV_TX1_EX]]-ED7)*720)</f>
        <v>898.56000000003405</v>
      </c>
      <c r="EV8" s="146">
        <f>IF((RD[[#This Row],[132 kV_Tx1_Im]]-EE7)*720&lt;=0,0,(RD[[#This Row],[132 kV_Tx1_Im]]-EE7)*720)</f>
        <v>120960</v>
      </c>
      <c r="EW8" s="146">
        <f>IF((RD[[#This Row],[132kV_L1_Ex]]-EF7)*720&lt;=0,0,(RD[[#This Row],[132kV_L1_Ex]]-EF7)*720)</f>
        <v>168840</v>
      </c>
      <c r="EX8" s="146">
        <f>IF((RD[[#This Row],[132kV_L1_Im]]-EG7)*720&lt;=0,0,(RD[[#This Row],[132kV_L1_Im]]-EG7)*720)</f>
        <v>1224.0000000000327</v>
      </c>
      <c r="EY8" s="146">
        <f>IFERROR(RD[[#This Row],[33kV_OG1_Ex (MWh)]]+RD[[#This Row],[33kV_OG1_Im (MWh)]],"")</f>
        <v>170844.91199999989</v>
      </c>
      <c r="EZ8" s="148">
        <f>RD[[#This Row],[33kV_OG1_Ex (MWh)]]-RD[[#This Row],[33kV_OG1_Im (MWh)]]</f>
        <v>168303.08800000011</v>
      </c>
      <c r="FA8" s="147">
        <f>IFERROR(RD[[#This Row],[132kV_L1_Ex(MWh)]]-RD[[#This Row],[132kV_L1_Im(MWh)]],"")</f>
        <v>167615.99999999997</v>
      </c>
      <c r="FB8" s="55">
        <f>IFERROR(RD[[#This Row],[33kV_Ex(MWh)]]/RD[[#This Row],[Inv Total Gneration (MWh)]]-1,"")</f>
        <v>3.2299283260240896E-2</v>
      </c>
      <c r="FC8" s="56">
        <f>IFERROR((RD[[#This Row],[Sunset Time (POA&lt;20 W/m2)]]-RD[[#This Row],[Sunrise Time (POA&gt;20 W/m2)]])*24,0)</f>
        <v>10.566666666666666</v>
      </c>
      <c r="FD8" s="167">
        <v>97</v>
      </c>
      <c r="FE8" t="s">
        <v>265</v>
      </c>
      <c r="FF8"/>
      <c r="FG8"/>
    </row>
    <row r="9" spans="1:164">
      <c r="A9" s="133">
        <f t="shared" si="155"/>
        <v>45749</v>
      </c>
      <c r="B9" s="61">
        <f>YEAR(RD[[#This Row],[Date]])+IF(MONTH(RD[[#This Row],[Date]])&gt;=4,1,0)</f>
        <v>2026</v>
      </c>
      <c r="C9" s="61">
        <f>YEAR(RD[[#This Row],[Date]])</f>
        <v>2025</v>
      </c>
      <c r="D9" s="58">
        <f>A9-DAY(A9)+1</f>
        <v>45748</v>
      </c>
      <c r="E9" s="61">
        <f>DAY(EOMONTH(RD[[#This Row],[Date]],0))</f>
        <v>30</v>
      </c>
      <c r="F9" s="152">
        <v>0.2986111111111111</v>
      </c>
      <c r="G9" s="162">
        <v>0.73263888888888884</v>
      </c>
      <c r="H9" s="124">
        <v>5003</v>
      </c>
      <c r="I9" s="124">
        <v>4966.3</v>
      </c>
      <c r="J9" s="124">
        <v>4646.8</v>
      </c>
      <c r="K9" s="124">
        <v>4677</v>
      </c>
      <c r="L9" s="124">
        <v>4827.5</v>
      </c>
      <c r="M9" s="124">
        <v>4888.8999999999996</v>
      </c>
      <c r="N9" s="124">
        <v>4624.6000000000004</v>
      </c>
      <c r="O9" s="124">
        <v>5295.5</v>
      </c>
      <c r="P9" s="124">
        <v>4897.3</v>
      </c>
      <c r="Q9" s="124">
        <v>4820.7</v>
      </c>
      <c r="R9" s="124">
        <v>5005.6000000000004</v>
      </c>
      <c r="S9" s="124">
        <v>4934.5</v>
      </c>
      <c r="T9" s="124">
        <v>5131.5</v>
      </c>
      <c r="U9" s="124">
        <v>5025.5</v>
      </c>
      <c r="V9" s="124">
        <v>5129.8999999999996</v>
      </c>
      <c r="W9" s="124">
        <v>4859.6000000000004</v>
      </c>
      <c r="X9" s="203">
        <v>6699.1</v>
      </c>
      <c r="Y9" s="203">
        <v>7746.6</v>
      </c>
      <c r="Z9" s="203">
        <v>6621.1</v>
      </c>
      <c r="AA9" s="203">
        <v>7004.6</v>
      </c>
      <c r="AB9" s="203">
        <v>7483.8</v>
      </c>
      <c r="AC9" s="203">
        <v>4593.2</v>
      </c>
      <c r="AD9" s="203">
        <v>6871.2</v>
      </c>
      <c r="AE9" s="203">
        <v>7021.8</v>
      </c>
      <c r="AF9" s="203">
        <v>6633.8</v>
      </c>
      <c r="AG9" s="203">
        <v>6760</v>
      </c>
      <c r="AH9" s="203">
        <v>6853.3</v>
      </c>
      <c r="AI9" s="203">
        <v>6880.5</v>
      </c>
      <c r="AJ9" s="142">
        <v>5733.2</v>
      </c>
      <c r="AK9" s="142">
        <v>5892.7</v>
      </c>
      <c r="AL9" s="142">
        <v>5795.3</v>
      </c>
      <c r="AM9" s="142">
        <v>5824.4</v>
      </c>
      <c r="AN9" s="142">
        <v>5788.9</v>
      </c>
      <c r="AO9" s="142">
        <v>6010.9</v>
      </c>
      <c r="AP9" s="142">
        <v>5893.7</v>
      </c>
      <c r="AQ9" s="142">
        <v>5839.8</v>
      </c>
      <c r="AR9" s="142">
        <v>4716.3</v>
      </c>
      <c r="AS9" s="142">
        <v>4731.8</v>
      </c>
      <c r="AT9" s="142">
        <v>4763.5</v>
      </c>
      <c r="AU9" s="142">
        <v>4712.8</v>
      </c>
      <c r="AV9" s="142">
        <v>4837</v>
      </c>
      <c r="AW9" s="142">
        <v>4765.8999999999996</v>
      </c>
      <c r="AX9" s="142">
        <v>6706</v>
      </c>
      <c r="AY9" s="142">
        <v>7528</v>
      </c>
      <c r="AZ9" s="142">
        <v>5443</v>
      </c>
      <c r="BA9" s="142">
        <v>6633</v>
      </c>
      <c r="BB9" s="142">
        <v>6316.7</v>
      </c>
      <c r="BC9" s="142">
        <v>4838.3999999999996</v>
      </c>
      <c r="BD9" s="142">
        <v>5078.8</v>
      </c>
      <c r="BE9" s="142">
        <v>6320.8</v>
      </c>
      <c r="BF9" s="142">
        <v>4197.5</v>
      </c>
      <c r="BG9" s="142">
        <v>287.5</v>
      </c>
      <c r="BH9" s="142">
        <v>68.099999999999994</v>
      </c>
      <c r="BI9" s="142">
        <v>632.79999999999995</v>
      </c>
      <c r="BJ9" s="142">
        <v>504</v>
      </c>
      <c r="BK9" s="142">
        <v>201</v>
      </c>
      <c r="BL9" s="142">
        <v>2120</v>
      </c>
      <c r="BM9" s="142">
        <v>2010</v>
      </c>
      <c r="BN9" s="142">
        <v>2842</v>
      </c>
      <c r="BO9" s="142">
        <v>945.4</v>
      </c>
      <c r="BP9" s="142">
        <v>831.7</v>
      </c>
      <c r="BQ9" s="142">
        <v>1890</v>
      </c>
      <c r="BR9" s="142">
        <v>0</v>
      </c>
      <c r="BS9" s="142">
        <v>0</v>
      </c>
      <c r="BT9" s="142">
        <v>206</v>
      </c>
      <c r="BU9" s="142">
        <v>97.5</v>
      </c>
      <c r="BV9" s="142"/>
      <c r="BW9" s="142"/>
      <c r="BX9" s="142"/>
      <c r="BY9" s="142"/>
      <c r="BZ9" s="142">
        <v>625</v>
      </c>
      <c r="CA9" s="142">
        <v>523</v>
      </c>
      <c r="CB9" s="142">
        <v>1460</v>
      </c>
      <c r="CC9" s="142">
        <v>1101</v>
      </c>
      <c r="CD9" s="59">
        <v>3.0988523999999997</v>
      </c>
      <c r="CE9" s="59"/>
      <c r="CF9" s="206">
        <v>4.0104408333333366</v>
      </c>
      <c r="CG9" s="206"/>
      <c r="CH9" s="206">
        <v>0.42088406666666633</v>
      </c>
      <c r="CI9" s="206"/>
      <c r="CJ9" s="59">
        <v>0.67438216666666695</v>
      </c>
      <c r="CK9" s="59"/>
      <c r="CL9" s="206">
        <v>28.203182692307703</v>
      </c>
      <c r="CM9" s="206"/>
      <c r="CN9" s="206">
        <v>36.144302884615364</v>
      </c>
      <c r="CO9" s="206"/>
      <c r="CP9" s="206">
        <v>46.216826923076923</v>
      </c>
      <c r="CQ9" s="206"/>
      <c r="CR9" s="59">
        <v>0.23300000000000001</v>
      </c>
      <c r="CS9" s="59"/>
      <c r="CT9" s="206">
        <v>1.461758653846152</v>
      </c>
      <c r="CU9" s="206"/>
      <c r="CV9" s="206">
        <v>2.88</v>
      </c>
      <c r="CW9" s="260"/>
      <c r="CX9" s="204">
        <f>IFERROR(AVERAGEIF(RD[[#This Row],[IS1POA1 (KWh/m2)]:[IS7POA2 (KWh/m2)]],"&lt;&gt;0",RD[[#This Row],[IS1POA1 (KWh/m2)]:[IS7POA2 (KWh/m2)]]),"")</f>
        <v>3.0988523999999997</v>
      </c>
      <c r="CY9" s="204">
        <f>IFERROR(AVERAGEIF(RD[[#This Row],[IS1GHI1 (KWh/m2)]:[IS7GHI2 (KWh/m2)]],"&lt;&gt;0",RD[[#This Row],[IS1GHI1 (KWh/m2)]:[IS7GHI2 (KWh/m2)]]),"")</f>
        <v>4.0104408333333366</v>
      </c>
      <c r="CZ9" s="204">
        <f>IFERROR(AVERAGEIF(RD[[#This Row],[IS1POA_BS1 (KWh/m2)]:[IS7POA_BS2 (KWh/m2)]],"&lt;&gt;0",RD[[#This Row],[IS1POA_BS1 (KWh/m2)]:[IS7POA_BS2 (KWh/m2)]]),"")</f>
        <v>0.42088406666666633</v>
      </c>
      <c r="DA9" s="204">
        <f>IFERROR(AVERAGEIF(RD[[#This Row],[IS1GHI_BS1 (KWh/m2)]:[IS1GHI_BS1 (KWh/m2)2]],"&lt;&gt;0",RD[[#This Row],[IS1GHI_BS1 (KWh/m2)]:[IS1GHI_BS1 (KWh/m2)2]]),"")</f>
        <v>0.67438216666666695</v>
      </c>
      <c r="DB9" s="204">
        <f>IFERROR(AVERAGEIF(RD[[#This Row],[IS1AT1 (°C)]:[IS7AT2 (°C)]],"&lt;&gt;0",RD[[#This Row],[IS1AT1 (°C)]:[IS7AT2 (°C)]]),"")</f>
        <v>28.203182692307703</v>
      </c>
      <c r="DC9" s="204">
        <f>IFERROR(AVERAGEIF(RD[[#This Row],[IS1MT1 (°C)]:[IS7MT2 (°C)]],"&lt;&gt;0",RD[[#This Row],[IS1MT1 (°C)]:[IS7MT2 (°C)]]),"")</f>
        <v>36.144302884615364</v>
      </c>
      <c r="DD9" s="204">
        <f>IFERROR(AVERAGEIF(RD[[#This Row],[IS1RH1 (%)]:[IS7RH2 (%)]],"&lt;&gt;0",RD[[#This Row],[IS1RH1 (%)]:[IS7RH2 (%)]]),"")</f>
        <v>46.216826923076923</v>
      </c>
      <c r="DE9" s="51">
        <f>IFERROR(AVERAGEIF(RD[[#This Row],[IS1Rain1 (mm)]:[IS7Rain2 (mm)]],"&lt;&gt;0",RD[[#This Row],[IS1Rain1 (mm)]:[IS7Rain2 (mm)]]),"")</f>
        <v>0.23300000000000001</v>
      </c>
      <c r="DF9" s="204">
        <f>IFERROR(AVERAGEIF(RD[[#This Row],[WS_Solar1_Avg (m/s)]:[IS7_WS_Solar1_Avg (m/s)]],"&lt;&gt;0",RD[[#This Row],[WS_Solar1_Avg (m/s)]:[IS7_WS_Solar1_Avg (m/s)]]),"")</f>
        <v>1.461758653846152</v>
      </c>
      <c r="DG9" s="204">
        <f>IFERROR(AVERAGEIF(RD[[#This Row],[WS_Solar1_Max (m/s)]:[IS7_WS_Solar1_Max (m/s)]],"&lt;&gt;0",RD[[#This Row],[WS_Solar1_Max (m/s)]:[IS7_WS_Solar1_Max (m/s)]]),"")</f>
        <v>2.88</v>
      </c>
      <c r="DH9" s="204">
        <f>SUM(RD[[#This Row],[IS1Inv1M1]:[IS4Inv4M2]])</f>
        <v>159903.19999999998</v>
      </c>
      <c r="DI9" s="205">
        <f>SUM(RD[[#This Row],[IS7Inv1M1]]+RD[[#This Row],[IS7Inv2M1]])</f>
        <v>9448.1</v>
      </c>
      <c r="DJ9" s="204">
        <f>SUM(RD[[#This Row],[IS5Inv1M1]:[IS5Inv2M2]])</f>
        <v>23245.599999999999</v>
      </c>
      <c r="DK9" s="204">
        <f>SUM(RD[[#This Row],[IS8Inv1M1]:[IS9Inv2M2]])</f>
        <v>45389.2</v>
      </c>
      <c r="DL9" s="60">
        <f>SUM(RD[[#This Row],[IS6Inv1M1]:[IS6Inv2M2]])</f>
        <v>23533.3</v>
      </c>
      <c r="DM9" s="51">
        <f>SUM(RD[[#This Row],[IS10Inv1M1]:[IS11Inv1M4]],RD[[#This Row],[IS14Inv1M1]:[IS14Inv2M4]])</f>
        <v>36284.599999999991</v>
      </c>
      <c r="DN9" s="288">
        <f>SUM(RD[[#This Row],[IS12Inv1M1]:[IS12Inv1M4]])</f>
        <v>6509.1</v>
      </c>
      <c r="DO9" s="288">
        <f>SUM(RD[[#This Row],[IS13Inv1M1]:[IS13Inv2M2]])</f>
        <v>303.5</v>
      </c>
      <c r="DP9" s="204">
        <f>SUM(RD[[#This Row],[O2R15]:[O2R26]])</f>
        <v>304616.59999999992</v>
      </c>
      <c r="DQ9" s="168">
        <v>34853.300000000003</v>
      </c>
      <c r="DR9" s="172">
        <v>196.3</v>
      </c>
      <c r="DS9" s="164">
        <v>29711.9</v>
      </c>
      <c r="DT9" s="168">
        <v>209.5</v>
      </c>
      <c r="DU9" s="172">
        <v>33827.599999999999</v>
      </c>
      <c r="DV9" s="172">
        <v>375.6</v>
      </c>
      <c r="DW9" s="168">
        <v>2910.9</v>
      </c>
      <c r="DX9" s="172">
        <v>12.9</v>
      </c>
      <c r="DY9" s="172"/>
      <c r="DZ9" s="172"/>
      <c r="EA9" s="171">
        <v>83.57</v>
      </c>
      <c r="EB9" s="169">
        <v>102087270</v>
      </c>
      <c r="EC9" s="134">
        <v>841200.76800000004</v>
      </c>
      <c r="ED9" s="169">
        <v>1002</v>
      </c>
      <c r="EE9" s="169">
        <v>96483</v>
      </c>
      <c r="EF9" s="168">
        <v>141645.20000000001</v>
      </c>
      <c r="EG9" s="247">
        <v>1667.3</v>
      </c>
      <c r="EH9" s="146">
        <f>IF((RD[[#This Row],[33 kV_F3_Ex
Incomer1]]-DQ8)*1000&lt;0,0,(RD[[#This Row],[33 kV_F3_Ex
Incomer1]]-DQ8)*1000)</f>
        <v>80800.00000000291</v>
      </c>
      <c r="EI9" s="146">
        <f>IF((RD[[#This Row],[34 kV_F3_Im
Incomer1]]-DR8)*1000&lt;0,0,(RD[[#This Row],[34 kV_F3_Im
Incomer1]]-DR8)*1000)</f>
        <v>400.00000000000568</v>
      </c>
      <c r="EJ9" s="146">
        <f>IF((RD[[#This Row],[33 kV_F4_Ex
Incomer2]]-DS8)*1000&lt;0,0,(RD[[#This Row],[33 kV_F4_Ex
Incomer2]]-DS8)*1000)</f>
        <v>77200.000000000728</v>
      </c>
      <c r="EK9" s="146">
        <f>IF((RD[[#This Row],[34 kV_F4_Im
Incomer2]]-DT8)*1000&lt;0,0,(RD[[#This Row],[34 kV_F4_Im
Incomer2]]-DT8)*1000)</f>
        <v>400.00000000000568</v>
      </c>
      <c r="EL9" s="146">
        <f>IF((RD[[#This Row],[33 kV_F5_Ex
Incomer3]]-DU8)*1000&lt;0,0,(RD[[#This Row],[33 kV_F5_Ex
Incomer3]]-DU8)*1000)</f>
        <v>100799.99999999563</v>
      </c>
      <c r="EM9" s="146">
        <f>IF((RD[[#This Row],[34 kV_F5_Im
Incomer3]]-DV8)*1000&lt;0,0,(RD[[#This Row],[34 kV_F5_Im
Incomer3]]-DV8)*1000)</f>
        <v>800.00000000001137</v>
      </c>
      <c r="EN9" s="146">
        <f>IF((RD[[#This Row],[33 kV_F6_Ex
Incomer4]]-DW8)*1000&lt;0,0,(RD[[#This Row],[33 kV_F6_Ex
Incomer4]]-DW8)*1000)</f>
        <v>47900.000000000087</v>
      </c>
      <c r="EO9" s="146">
        <f>IF((RD[[#This Row],[33 kV_F6_Im
Incomer4]]-DX8)*1000&lt;0,0,(RD[[#This Row],[33 kV_F6_Im
Incomer4]]-DX8)*1000)</f>
        <v>599.99999999999966</v>
      </c>
      <c r="EP9" s="146">
        <f>IF((RD[[#This Row],[33 kV_F7_Ex
Incomer5]]-DY8)*1000&lt;0,0,(RD[[#This Row],[33 kV_F7_Ex
Incomer5]]-DY8)*1000)</f>
        <v>0</v>
      </c>
      <c r="EQ9" s="146">
        <f>IF((RD[[#This Row],[33 kV_F7_Im
Incomer5]]-DZ8)*1000&lt;0,0,(RD[[#This Row],[33 kV_F7_Im
Incomer5]]-DZ8)*1000)</f>
        <v>0</v>
      </c>
      <c r="ER9" s="146">
        <f>IF((RD[[#This Row],[33 kV_Aux Trafo]]-EA8)*1000&lt;0,0,(RD[[#This Row],[33 kV_Aux Trafo]]-EA8)*1000)</f>
        <v>250</v>
      </c>
      <c r="ES9" s="158">
        <f>IF((RD[[#This Row],[33kV_OG1_Ex_]]-EB8)*1&lt;0,0,(RD[[#This Row],[33kV_OG1_Ex_]]-EB8)*1)</f>
        <v>307413</v>
      </c>
      <c r="ET9" s="146">
        <f>IF((RD[[#This Row],[33kV_OG1_Im]]-EC8)*1&lt;0,0,(RD[[#This Row],[33kV_OG1_Im]]-EC8)*1)</f>
        <v>1940.4800000000978</v>
      </c>
      <c r="EU9" s="146">
        <f>IF((RD[[#This Row],[132kV_TX1_EX]]-ED8)*720&lt;=0,"",(RD[[#This Row],[132kV_TX1_EX]]-ED8)*720)</f>
        <v>1866.2399999999889</v>
      </c>
      <c r="EV9" s="146">
        <f>IF((RD[[#This Row],[132 kV_Tx1_Im]]-EE8)*720&lt;=0,0,(RD[[#This Row],[132 kV_Tx1_Im]]-EE8)*720)</f>
        <v>221040</v>
      </c>
      <c r="EW9" s="146">
        <f>IF((RD[[#This Row],[132kV_L1_Ex]]-EF8)*720&lt;=0,0,(RD[[#This Row],[132kV_L1_Ex]]-EF8)*720)</f>
        <v>306360</v>
      </c>
      <c r="EX9" s="146">
        <f>IF((RD[[#This Row],[132kV_L1_Im]]-EG8)*720&lt;=0,0,(RD[[#This Row],[132kV_L1_Im]]-EG8)*720)</f>
        <v>2807.9999999999018</v>
      </c>
      <c r="EY9" s="251">
        <f>IFERROR(RD[[#This Row],[33kV_OG1_Ex (MWh)]]+RD[[#This Row],[33kV_OG1_Im (MWh)]],"")</f>
        <v>309353.4800000001</v>
      </c>
      <c r="EZ9" s="148">
        <f>RD[[#This Row],[33kV_OG1_Ex (MWh)]]-RD[[#This Row],[33kV_OG1_Im (MWh)]]</f>
        <v>305472.5199999999</v>
      </c>
      <c r="FA9" s="148">
        <f>IFERROR(RD[[#This Row],[132kV_L1_Ex(MWh)]]-RD[[#This Row],[132kV_L1_Im(MWh)]],"")</f>
        <v>303552.00000000012</v>
      </c>
      <c r="FB9" s="55">
        <f>IFERROR(RD[[#This Row],[33kV_Ex(MWh)]]/RD[[#This Row],[Inv Total Gneration (MWh)]]-1,"")</f>
        <v>1.5550301592231586E-2</v>
      </c>
      <c r="FC9" s="245">
        <f>IFERROR((RD[[#This Row],[Sunset Time (POA&lt;20 W/m2)]]-RD[[#This Row],[Sunrise Time (POA&gt;20 W/m2)]])*24,0)</f>
        <v>10.416666666666666</v>
      </c>
      <c r="FD9" s="246">
        <v>97</v>
      </c>
      <c r="FE9" s="300" t="s">
        <v>266</v>
      </c>
      <c r="FF9"/>
      <c r="FG9"/>
    </row>
    <row r="10" spans="1:164">
      <c r="A10" s="133">
        <f t="shared" si="155"/>
        <v>45750</v>
      </c>
      <c r="B10" s="61">
        <f>YEAR(RD[[#This Row],[Date]])+IF(MONTH(RD[[#This Row],[Date]])&gt;=4,1,0)</f>
        <v>2026</v>
      </c>
      <c r="C10" s="61">
        <f>YEAR(RD[[#This Row],[Date]])</f>
        <v>2025</v>
      </c>
      <c r="D10" s="58">
        <f>A10-DAY(A10)+1</f>
        <v>45748</v>
      </c>
      <c r="E10" s="61">
        <f>DAY(EOMONTH(RD[[#This Row],[Date]],0))</f>
        <v>30</v>
      </c>
      <c r="F10" s="152">
        <v>0.32291666666666669</v>
      </c>
      <c r="G10" s="162">
        <v>0.74305555555555558</v>
      </c>
      <c r="H10" s="124">
        <v>6100.5</v>
      </c>
      <c r="I10" s="124">
        <v>6126</v>
      </c>
      <c r="J10" s="124">
        <v>5801.6</v>
      </c>
      <c r="K10" s="124">
        <v>5758.8</v>
      </c>
      <c r="L10" s="124">
        <v>5917.3</v>
      </c>
      <c r="M10" s="124">
        <v>6011.4</v>
      </c>
      <c r="N10" s="124">
        <v>5752.3</v>
      </c>
      <c r="O10" s="124">
        <v>6309.6</v>
      </c>
      <c r="P10" s="124">
        <v>5908</v>
      </c>
      <c r="Q10" s="124">
        <v>5806.3</v>
      </c>
      <c r="R10" s="124">
        <v>5993.5</v>
      </c>
      <c r="S10" s="124">
        <v>6001.1</v>
      </c>
      <c r="T10" s="124">
        <v>6098.2</v>
      </c>
      <c r="U10" s="124">
        <v>6082.3</v>
      </c>
      <c r="V10" s="124">
        <v>6068.2</v>
      </c>
      <c r="W10" s="124">
        <v>5902.6</v>
      </c>
      <c r="X10" s="203">
        <v>8511.2000000000007</v>
      </c>
      <c r="Y10" s="203">
        <v>9391.9</v>
      </c>
      <c r="Z10" s="203">
        <v>8317.1</v>
      </c>
      <c r="AA10" s="203">
        <v>8708.6</v>
      </c>
      <c r="AB10" s="203">
        <v>2091.8000000000002</v>
      </c>
      <c r="AC10" s="203">
        <v>1266.5999999999999</v>
      </c>
      <c r="AD10" s="203">
        <v>1905.3</v>
      </c>
      <c r="AE10" s="203">
        <v>1939.2</v>
      </c>
      <c r="AF10" s="203">
        <v>1823.7</v>
      </c>
      <c r="AG10" s="203">
        <v>1868</v>
      </c>
      <c r="AH10" s="203">
        <v>1890.9</v>
      </c>
      <c r="AI10" s="203">
        <v>1900.8</v>
      </c>
      <c r="AJ10" s="142">
        <v>7088.4</v>
      </c>
      <c r="AK10" s="142">
        <v>7272.5</v>
      </c>
      <c r="AL10" s="142">
        <v>7031.6</v>
      </c>
      <c r="AM10" s="142">
        <v>7120</v>
      </c>
      <c r="AN10" s="142">
        <v>7093.9</v>
      </c>
      <c r="AO10" s="142">
        <v>7338</v>
      </c>
      <c r="AP10" s="142">
        <v>7230.5</v>
      </c>
      <c r="AQ10" s="142">
        <v>7102.2</v>
      </c>
      <c r="AR10" s="142">
        <v>5745.5</v>
      </c>
      <c r="AS10" s="142">
        <v>5769.3</v>
      </c>
      <c r="AT10" s="142">
        <v>5762.3</v>
      </c>
      <c r="AU10" s="142">
        <v>5792.1</v>
      </c>
      <c r="AV10" s="142">
        <v>5890.7</v>
      </c>
      <c r="AW10" s="142">
        <v>5793.7</v>
      </c>
      <c r="AX10" s="142">
        <v>8246</v>
      </c>
      <c r="AY10" s="142">
        <v>8945</v>
      </c>
      <c r="AZ10" s="142">
        <v>6593</v>
      </c>
      <c r="BA10" s="142">
        <v>7964</v>
      </c>
      <c r="BB10" s="142">
        <v>6741.3</v>
      </c>
      <c r="BC10" s="142">
        <v>5133.8</v>
      </c>
      <c r="BD10" s="142">
        <v>5389.4</v>
      </c>
      <c r="BE10" s="142">
        <v>6687.4</v>
      </c>
      <c r="BF10" s="142">
        <v>5532.7</v>
      </c>
      <c r="BG10" s="142">
        <v>6423.4</v>
      </c>
      <c r="BH10" s="142">
        <v>3852.3</v>
      </c>
      <c r="BI10" s="142">
        <v>1692.8</v>
      </c>
      <c r="BJ10" s="142">
        <v>1571.5</v>
      </c>
      <c r="BK10" s="142">
        <v>650.70000000000005</v>
      </c>
      <c r="BL10" s="142">
        <v>4128.1000000000004</v>
      </c>
      <c r="BM10" s="142">
        <v>4178.8999999999996</v>
      </c>
      <c r="BN10" s="142">
        <v>3745</v>
      </c>
      <c r="BO10" s="142">
        <v>1076</v>
      </c>
      <c r="BP10" s="142">
        <v>1298</v>
      </c>
      <c r="BQ10" s="142">
        <v>2058</v>
      </c>
      <c r="BR10" s="142">
        <v>0</v>
      </c>
      <c r="BS10" s="142">
        <v>0</v>
      </c>
      <c r="BT10" s="142">
        <v>497</v>
      </c>
      <c r="BU10" s="142">
        <v>393</v>
      </c>
      <c r="BV10" s="142"/>
      <c r="BW10" s="142"/>
      <c r="BX10" s="142"/>
      <c r="BY10" s="142"/>
      <c r="BZ10" s="142">
        <v>771.7</v>
      </c>
      <c r="CA10" s="142">
        <v>659</v>
      </c>
      <c r="CB10" s="142">
        <v>2762.4</v>
      </c>
      <c r="CC10" s="142">
        <v>1805.4</v>
      </c>
      <c r="CD10" s="59">
        <v>4.5550656999999966</v>
      </c>
      <c r="CE10" s="59"/>
      <c r="CF10" s="206">
        <v>4.3913989166666703</v>
      </c>
      <c r="CG10" s="206"/>
      <c r="CH10" s="206">
        <v>0.50570113333333389</v>
      </c>
      <c r="CI10" s="206"/>
      <c r="CJ10" s="59">
        <v>0.74058401666666573</v>
      </c>
      <c r="CK10" s="59"/>
      <c r="CL10" s="206">
        <v>26.490573770491778</v>
      </c>
      <c r="CM10" s="206"/>
      <c r="CN10" s="206">
        <v>34.034232786885255</v>
      </c>
      <c r="CO10" s="206"/>
      <c r="CP10" s="206">
        <v>68.447180327868821</v>
      </c>
      <c r="CQ10" s="206"/>
      <c r="CR10" s="59">
        <v>8.819672131147567E-2</v>
      </c>
      <c r="CS10" s="59"/>
      <c r="CT10" s="206">
        <v>1.0990622950819684</v>
      </c>
      <c r="CU10" s="206"/>
      <c r="CV10" s="206">
        <v>2.952</v>
      </c>
      <c r="CW10" s="260"/>
      <c r="CX10" s="204">
        <f>IFERROR(AVERAGEIF(RD[[#This Row],[IS1POA1 (KWh/m2)]:[IS7POA2 (KWh/m2)]],"&lt;&gt;0",RD[[#This Row],[IS1POA1 (KWh/m2)]:[IS7POA2 (KWh/m2)]]),"")</f>
        <v>4.5550656999999966</v>
      </c>
      <c r="CY10" s="204">
        <f>IFERROR(AVERAGEIF(RD[[#This Row],[IS1GHI1 (KWh/m2)]:[IS7GHI2 (KWh/m2)]],"&lt;&gt;0",RD[[#This Row],[IS1GHI1 (KWh/m2)]:[IS7GHI2 (KWh/m2)]]),"")</f>
        <v>4.3913989166666703</v>
      </c>
      <c r="CZ10" s="204">
        <f>IFERROR(AVERAGEIF(RD[[#This Row],[IS1POA_BS1 (KWh/m2)]:[IS7POA_BS2 (KWh/m2)]],"&lt;&gt;0",RD[[#This Row],[IS1POA_BS1 (KWh/m2)]:[IS7POA_BS2 (KWh/m2)]]),"")</f>
        <v>0.50570113333333389</v>
      </c>
      <c r="DA10" s="204">
        <f>IFERROR(AVERAGEIF(RD[[#This Row],[IS1GHI_BS1 (KWh/m2)]:[IS1GHI_BS1 (KWh/m2)2]],"&lt;&gt;0",RD[[#This Row],[IS1GHI_BS1 (KWh/m2)]:[IS1GHI_BS1 (KWh/m2)2]]),"")</f>
        <v>0.74058401666666573</v>
      </c>
      <c r="DB10" s="204">
        <f>IFERROR(AVERAGEIF(RD[[#This Row],[IS1AT1 (°C)]:[IS7AT2 (°C)]],"&lt;&gt;0",RD[[#This Row],[IS1AT1 (°C)]:[IS7AT2 (°C)]]),"")</f>
        <v>26.490573770491778</v>
      </c>
      <c r="DC10" s="204">
        <f>IFERROR(AVERAGEIF(RD[[#This Row],[IS1MT1 (°C)]:[IS7MT2 (°C)]],"&lt;&gt;0",RD[[#This Row],[IS1MT1 (°C)]:[IS7MT2 (°C)]]),"")</f>
        <v>34.034232786885255</v>
      </c>
      <c r="DD10" s="204">
        <f>IFERROR(AVERAGEIF(RD[[#This Row],[IS1RH1 (%)]:[IS7RH2 (%)]],"&lt;&gt;0",RD[[#This Row],[IS1RH1 (%)]:[IS7RH2 (%)]]),"")</f>
        <v>68.447180327868821</v>
      </c>
      <c r="DE10" s="51">
        <f>IFERROR(AVERAGEIF(RD[[#This Row],[IS1Rain1 (mm)]:[IS7Rain2 (mm)]],"&lt;&gt;0",RD[[#This Row],[IS1Rain1 (mm)]:[IS7Rain2 (mm)]]),"")</f>
        <v>8.819672131147567E-2</v>
      </c>
      <c r="DF10" s="204">
        <f>IFERROR(AVERAGEIF(RD[[#This Row],[WS_Solar1_Avg (m/s)]:[IS7_WS_Solar1_Avg (m/s)]],"&lt;&gt;0",RD[[#This Row],[WS_Solar1_Avg (m/s)]:[IS7_WS_Solar1_Avg (m/s)]]),"")</f>
        <v>1.0990622950819684</v>
      </c>
      <c r="DG10" s="204">
        <f>IFERROR(AVERAGEIF(RD[[#This Row],[WS_Solar1_Max (m/s)]:[IS7_WS_Solar1_Max (m/s)]],"&lt;&gt;0",RD[[#This Row],[WS_Solar1_Max (m/s)]:[IS7_WS_Solar1_Max (m/s)]]),"")</f>
        <v>2.952</v>
      </c>
      <c r="DH10" s="204">
        <f>SUM(RD[[#This Row],[IS1Inv1M1]:[IS4Inv4M2]])</f>
        <v>145252.80000000002</v>
      </c>
      <c r="DI10" s="205">
        <f>SUM(RD[[#This Row],[IS7Inv1M1]]+RD[[#This Row],[IS7Inv2M1]])</f>
        <v>11514.8</v>
      </c>
      <c r="DJ10" s="204">
        <f>SUM(RD[[#This Row],[IS5Inv1M1]:[IS5Inv2M2]])</f>
        <v>28512.5</v>
      </c>
      <c r="DK10" s="204">
        <f>SUM(RD[[#This Row],[IS8Inv1M1]:[IS9Inv2M2]])</f>
        <v>54986.8</v>
      </c>
      <c r="DL10" s="60">
        <f>SUM(RD[[#This Row],[IS6Inv1M1]:[IS6Inv2M2]])</f>
        <v>28764.600000000002</v>
      </c>
      <c r="DM10" s="51">
        <f>SUM(RD[[#This Row],[IS10Inv1M1]:[IS11Inv1M4]],RD[[#This Row],[IS14Inv1M1]:[IS14Inv2M4]])</f>
        <v>57980.800000000003</v>
      </c>
      <c r="DN10" s="288">
        <f>SUM(RD[[#This Row],[IS12Inv1M1]:[IS12Inv1M4]])</f>
        <v>8177</v>
      </c>
      <c r="DO10" s="288">
        <f>SUM(RD[[#This Row],[IS13Inv1M1]:[IS13Inv2M2]])</f>
        <v>890</v>
      </c>
      <c r="DP10" s="204">
        <f>SUM(RD[[#This Row],[O2R15]:[O2R26]])</f>
        <v>336079.3</v>
      </c>
      <c r="DQ10" s="168">
        <v>34902.5</v>
      </c>
      <c r="DR10" s="168">
        <v>196.5</v>
      </c>
      <c r="DS10" s="164">
        <v>29804.6</v>
      </c>
      <c r="DT10" s="168">
        <v>209.7</v>
      </c>
      <c r="DU10" s="168">
        <v>33949.5</v>
      </c>
      <c r="DV10" s="168">
        <v>375.9</v>
      </c>
      <c r="DW10" s="168">
        <v>2977.2</v>
      </c>
      <c r="DX10" s="168">
        <v>13.2</v>
      </c>
      <c r="DY10" s="168"/>
      <c r="DZ10" s="168"/>
      <c r="EA10" s="140">
        <v>83.8</v>
      </c>
      <c r="EB10" s="169">
        <v>102418341</v>
      </c>
      <c r="EC10" s="134">
        <v>842331.45600000001</v>
      </c>
      <c r="ED10" s="169">
        <v>1004</v>
      </c>
      <c r="EE10" s="169">
        <v>96812</v>
      </c>
      <c r="EF10" s="168">
        <v>142103.4</v>
      </c>
      <c r="EG10" s="164">
        <v>1669.8</v>
      </c>
      <c r="EH10" s="146">
        <f>IF((RD[[#This Row],[33 kV_F3_Ex
Incomer1]]-DQ9)*1000&lt;0,0,(RD[[#This Row],[33 kV_F3_Ex
Incomer1]]-DQ9)*1000)</f>
        <v>49199.99999999709</v>
      </c>
      <c r="EI10" s="146">
        <f>IF((RD[[#This Row],[34 kV_F3_Im
Incomer1]]-DR9)*1000&lt;0,0,(RD[[#This Row],[34 kV_F3_Im
Incomer1]]-DR9)*1000)</f>
        <v>199.99999999998863</v>
      </c>
      <c r="EJ10" s="146">
        <f>IF((RD[[#This Row],[33 kV_F4_Ex
Incomer2]]-DS9)*1000&lt;0,0,(RD[[#This Row],[33 kV_F4_Ex
Incomer2]]-DS9)*1000)</f>
        <v>92699.99999999709</v>
      </c>
      <c r="EK10" s="146">
        <f>IF((RD[[#This Row],[34 kV_F4_Im
Incomer2]]-DT9)*1000&lt;0,0,(RD[[#This Row],[34 kV_F4_Im
Incomer2]]-DT9)*1000)</f>
        <v>199.99999999998863</v>
      </c>
      <c r="EL10" s="146">
        <f>IF((RD[[#This Row],[33 kV_F5_Ex
Incomer3]]-DU9)*1000&lt;0,0,(RD[[#This Row],[33 kV_F5_Ex
Incomer3]]-DU9)*1000)</f>
        <v>121900.00000000146</v>
      </c>
      <c r="EM10" s="146">
        <f>IF((RD[[#This Row],[34 kV_F5_Im
Incomer3]]-DV9)*1000&lt;0,0,(RD[[#This Row],[34 kV_F5_Im
Incomer3]]-DV9)*1000)</f>
        <v>299.99999999995453</v>
      </c>
      <c r="EN10" s="146">
        <f>IF((RD[[#This Row],[33 kV_F6_Ex
Incomer4]]-DW9)*1000&lt;0,0,(RD[[#This Row],[33 kV_F6_Ex
Incomer4]]-DW9)*1000)</f>
        <v>66299.999999999724</v>
      </c>
      <c r="EO10" s="146">
        <f>IF((RD[[#This Row],[33 kV_F6_Im
Incomer4]]-DX9)*1000&lt;0,0,(RD[[#This Row],[33 kV_F6_Im
Incomer4]]-DX9)*1000)</f>
        <v>299.99999999999892</v>
      </c>
      <c r="EP10" s="146">
        <f>IF((RD[[#This Row],[33 kV_F7_Ex
Incomer5]]-DY9)*1000&lt;0,0,(RD[[#This Row],[33 kV_F7_Ex
Incomer5]]-DY9)*1000)</f>
        <v>0</v>
      </c>
      <c r="EQ10" s="146">
        <f>IF((RD[[#This Row],[33 kV_F7_Im
Incomer5]]-DZ9)*1000&lt;0,0,(RD[[#This Row],[33 kV_F7_Im
Incomer5]]-DZ9)*1000)</f>
        <v>0</v>
      </c>
      <c r="ER10" s="146">
        <f>IF((RD[[#This Row],[33 kV_Aux Trafo]]-EA9)*1000&lt;0,0,(RD[[#This Row],[33 kV_Aux Trafo]]-EA9)*1000)</f>
        <v>230.00000000000398</v>
      </c>
      <c r="ES10" s="158">
        <f>IF((RD[[#This Row],[33kV_OG1_Ex_]]-EB9)*1&lt;0,0,(RD[[#This Row],[33kV_OG1_Ex_]]-EB9)*1)</f>
        <v>331071</v>
      </c>
      <c r="ET10" s="146">
        <f>IF((RD[[#This Row],[33kV_OG1_Im]]-EC9)*1&lt;0,0,(RD[[#This Row],[33kV_OG1_Im]]-EC9)*1)</f>
        <v>1130.6879999999655</v>
      </c>
      <c r="EU10" s="146">
        <f>IF((RD[[#This Row],[132kV_TX1_EX]]-ED9)*720&lt;=0,"",(RD[[#This Row],[132kV_TX1_EX]]-ED9)*720)</f>
        <v>1440</v>
      </c>
      <c r="EV10" s="146">
        <f>IF((RD[[#This Row],[132 kV_Tx1_Im]]-EE9)*720&lt;=0,0,(RD[[#This Row],[132 kV_Tx1_Im]]-EE9)*720)</f>
        <v>236880</v>
      </c>
      <c r="EW10" s="146">
        <f>IF((RD[[#This Row],[132kV_L1_Ex]]-EF9)*720&lt;=0,0,(RD[[#This Row],[132kV_L1_Ex]]-EF9)*720)</f>
        <v>329903.99999998743</v>
      </c>
      <c r="EX10" s="146">
        <f>IF((RD[[#This Row],[132kV_L1_Im]]-EG9)*720&lt;=0,0,(RD[[#This Row],[132kV_L1_Im]]-EG9)*720)</f>
        <v>1800</v>
      </c>
      <c r="EY10" s="244">
        <f>IFERROR(RD[[#This Row],[33kV_OG1_Ex (MWh)]]+RD[[#This Row],[33kV_OG1_Im (MWh)]],"")</f>
        <v>332201.68799999997</v>
      </c>
      <c r="EZ10" s="148">
        <f>RD[[#This Row],[33kV_OG1_Ex (MWh)]]-RD[[#This Row],[33kV_OG1_Im (MWh)]]</f>
        <v>329940.31200000003</v>
      </c>
      <c r="FA10" s="148">
        <f>IFERROR(RD[[#This Row],[132kV_L1_Ex(MWh)]]-RD[[#This Row],[132kV_L1_Im(MWh)]],"")</f>
        <v>328103.99999998743</v>
      </c>
      <c r="FB10" s="55">
        <f>IFERROR(RD[[#This Row],[33kV_Ex(MWh)]]/RD[[#This Row],[Inv Total Gneration (MWh)]]-1,"")</f>
        <v>-1.153778884923895E-2</v>
      </c>
      <c r="FC10" s="245">
        <f>IFERROR((RD[[#This Row],[Sunset Time (POA&lt;20 W/m2)]]-RD[[#This Row],[Sunrise Time (POA&gt;20 W/m2)]])*24,0)</f>
        <v>10.083333333333334</v>
      </c>
      <c r="FD10" s="246">
        <v>98</v>
      </c>
      <c r="FE10" t="s">
        <v>267</v>
      </c>
      <c r="FF10"/>
      <c r="FG10"/>
    </row>
    <row r="11" spans="1:164">
      <c r="A11" s="133">
        <f t="shared" si="155"/>
        <v>45751</v>
      </c>
      <c r="B11" s="61">
        <f>YEAR(RD[[#This Row],[Date]])+IF(MONTH(RD[[#This Row],[Date]])&gt;=4,1,0)</f>
        <v>2026</v>
      </c>
      <c r="C11" s="61">
        <f>YEAR(RD[[#This Row],[Date]])</f>
        <v>2025</v>
      </c>
      <c r="D11" s="58">
        <f>A11-DAY(A11)+1</f>
        <v>45748</v>
      </c>
      <c r="E11" s="61">
        <f>DAY(EOMONTH(RD[[#This Row],[Date]],0))</f>
        <v>30</v>
      </c>
      <c r="F11" s="152">
        <v>0.27361111111111114</v>
      </c>
      <c r="G11" s="162">
        <v>0.76944444444444449</v>
      </c>
      <c r="H11" s="124">
        <v>8967.2000000000007</v>
      </c>
      <c r="I11" s="124">
        <v>8913.2999999999993</v>
      </c>
      <c r="J11" s="124">
        <v>8392.2999999999993</v>
      </c>
      <c r="K11" s="124">
        <v>8461.1</v>
      </c>
      <c r="L11" s="124">
        <v>8690.7000000000007</v>
      </c>
      <c r="M11" s="124">
        <v>8812.7999999999993</v>
      </c>
      <c r="N11" s="124">
        <v>8390.6</v>
      </c>
      <c r="O11" s="124">
        <v>9306.6</v>
      </c>
      <c r="P11" s="124">
        <v>8557.4</v>
      </c>
      <c r="Q11" s="124">
        <v>8500.5</v>
      </c>
      <c r="R11" s="124">
        <v>8742.6</v>
      </c>
      <c r="S11" s="124">
        <v>8717.2000000000007</v>
      </c>
      <c r="T11" s="124">
        <v>8866</v>
      </c>
      <c r="U11" s="124">
        <v>8733.1</v>
      </c>
      <c r="V11" s="124">
        <v>8824.9</v>
      </c>
      <c r="W11" s="124">
        <v>8595.4</v>
      </c>
      <c r="X11" s="203">
        <v>12050.4</v>
      </c>
      <c r="Y11" s="203">
        <v>13316.1</v>
      </c>
      <c r="Z11" s="203">
        <v>11851.6</v>
      </c>
      <c r="AA11" s="203">
        <v>12477.9</v>
      </c>
      <c r="AB11" s="203">
        <v>12654.6</v>
      </c>
      <c r="AC11" s="203">
        <v>7933.6</v>
      </c>
      <c r="AD11" s="203">
        <v>12299</v>
      </c>
      <c r="AE11" s="203">
        <v>12526.2</v>
      </c>
      <c r="AF11" s="203">
        <v>11913.4</v>
      </c>
      <c r="AG11" s="203">
        <v>12213</v>
      </c>
      <c r="AH11" s="203">
        <v>12203.7</v>
      </c>
      <c r="AI11" s="203">
        <v>12286.6</v>
      </c>
      <c r="AJ11" s="142">
        <v>10133.700000000001</v>
      </c>
      <c r="AK11" s="142">
        <v>10432.799999999999</v>
      </c>
      <c r="AL11" s="142">
        <v>10154.700000000001</v>
      </c>
      <c r="AM11" s="142">
        <v>10309.5</v>
      </c>
      <c r="AN11" s="142">
        <v>10227.1</v>
      </c>
      <c r="AO11" s="142">
        <v>10613.4</v>
      </c>
      <c r="AP11" s="142">
        <v>10415.700000000001</v>
      </c>
      <c r="AQ11" s="142">
        <v>10266</v>
      </c>
      <c r="AR11" s="142">
        <v>8420</v>
      </c>
      <c r="AS11" s="142">
        <v>8456.4</v>
      </c>
      <c r="AT11" s="142">
        <v>8418.7000000000007</v>
      </c>
      <c r="AU11" s="142">
        <v>8476.1</v>
      </c>
      <c r="AV11" s="142">
        <v>8701.1</v>
      </c>
      <c r="AW11" s="142">
        <v>8511</v>
      </c>
      <c r="AX11" s="142">
        <v>11886</v>
      </c>
      <c r="AY11" s="142">
        <v>13035</v>
      </c>
      <c r="AZ11" s="142">
        <v>8751</v>
      </c>
      <c r="BA11" s="142">
        <v>11436</v>
      </c>
      <c r="BB11" s="142">
        <v>11540</v>
      </c>
      <c r="BC11" s="142">
        <v>8858</v>
      </c>
      <c r="BD11" s="142">
        <v>9367</v>
      </c>
      <c r="BE11" s="142">
        <v>11532</v>
      </c>
      <c r="BF11" s="142">
        <v>9551</v>
      </c>
      <c r="BG11" s="142">
        <v>11214</v>
      </c>
      <c r="BH11" s="142">
        <v>6651</v>
      </c>
      <c r="BI11" s="142">
        <v>3393</v>
      </c>
      <c r="BJ11" s="142">
        <v>2915</v>
      </c>
      <c r="BK11" s="142">
        <v>1140</v>
      </c>
      <c r="BL11" s="142">
        <v>7050</v>
      </c>
      <c r="BM11" s="142">
        <v>7124</v>
      </c>
      <c r="BN11" s="142">
        <v>6730</v>
      </c>
      <c r="BO11" s="142">
        <v>2989</v>
      </c>
      <c r="BP11" s="142">
        <v>3660</v>
      </c>
      <c r="BQ11" s="142">
        <v>3515</v>
      </c>
      <c r="BR11" s="142">
        <v>0</v>
      </c>
      <c r="BS11" s="142">
        <v>0</v>
      </c>
      <c r="BT11" s="142">
        <v>844.9</v>
      </c>
      <c r="BU11" s="142">
        <v>669.9</v>
      </c>
      <c r="BV11" s="142"/>
      <c r="BW11" s="142"/>
      <c r="BX11" s="142"/>
      <c r="BY11" s="142"/>
      <c r="BZ11" s="142">
        <v>1320</v>
      </c>
      <c r="CA11" s="142">
        <v>1127.9000000000001</v>
      </c>
      <c r="CB11" s="142">
        <v>4632</v>
      </c>
      <c r="CC11" s="142">
        <v>3738</v>
      </c>
      <c r="CD11" s="59">
        <v>6.7136915833333282</v>
      </c>
      <c r="CE11" s="59"/>
      <c r="CF11" s="206">
        <v>6.6430321000000063</v>
      </c>
      <c r="CG11" s="206"/>
      <c r="CH11" s="206">
        <v>0.77825446666666664</v>
      </c>
      <c r="CI11" s="206"/>
      <c r="CJ11" s="59">
        <v>1.1981101500000002</v>
      </c>
      <c r="CK11" s="59"/>
      <c r="CL11" s="206">
        <v>28.981240174672486</v>
      </c>
      <c r="CM11" s="206"/>
      <c r="CN11" s="206">
        <v>37.302214847161579</v>
      </c>
      <c r="CO11" s="206"/>
      <c r="CP11" s="206">
        <v>51.14529257641933</v>
      </c>
      <c r="CQ11" s="206"/>
      <c r="CR11" s="59">
        <v>0</v>
      </c>
      <c r="CS11" s="59"/>
      <c r="CT11" s="206">
        <v>0.73128471615720525</v>
      </c>
      <c r="CU11" s="206"/>
      <c r="CV11" s="206">
        <v>2.9550000000000001</v>
      </c>
      <c r="CW11" s="260"/>
      <c r="CX11" s="204">
        <f>IFERROR(AVERAGEIF(RD[[#This Row],[IS1POA1 (KWh/m2)]:[IS7POA2 (KWh/m2)]],"&lt;&gt;0",RD[[#This Row],[IS1POA1 (KWh/m2)]:[IS7POA2 (KWh/m2)]]),"")</f>
        <v>6.7136915833333282</v>
      </c>
      <c r="CY11" s="204">
        <f>IFERROR(AVERAGEIF(RD[[#This Row],[IS1GHI1 (KWh/m2)]:[IS7GHI2 (KWh/m2)]],"&lt;&gt;0",RD[[#This Row],[IS1GHI1 (KWh/m2)]:[IS7GHI2 (KWh/m2)]]),"")</f>
        <v>6.6430321000000063</v>
      </c>
      <c r="CZ11" s="204">
        <f>IFERROR(AVERAGEIF(RD[[#This Row],[IS1POA_BS1 (KWh/m2)]:[IS7POA_BS2 (KWh/m2)]],"&lt;&gt;0",RD[[#This Row],[IS1POA_BS1 (KWh/m2)]:[IS7POA_BS2 (KWh/m2)]]),"")</f>
        <v>0.77825446666666664</v>
      </c>
      <c r="DA11" s="204">
        <f>IFERROR(AVERAGEIF(RD[[#This Row],[IS1GHI_BS1 (KWh/m2)]:[IS1GHI_BS1 (KWh/m2)2]],"&lt;&gt;0",RD[[#This Row],[IS1GHI_BS1 (KWh/m2)]:[IS1GHI_BS1 (KWh/m2)2]]),"")</f>
        <v>1.1981101500000002</v>
      </c>
      <c r="DB11" s="204">
        <f>IFERROR(AVERAGEIF(RD[[#This Row],[IS1AT1 (°C)]:[IS7AT2 (°C)]],"&lt;&gt;0",RD[[#This Row],[IS1AT1 (°C)]:[IS7AT2 (°C)]]),"")</f>
        <v>28.981240174672486</v>
      </c>
      <c r="DC11" s="204">
        <f>IFERROR(AVERAGEIF(RD[[#This Row],[IS1MT1 (°C)]:[IS7MT2 (°C)]],"&lt;&gt;0",RD[[#This Row],[IS1MT1 (°C)]:[IS7MT2 (°C)]]),"")</f>
        <v>37.302214847161579</v>
      </c>
      <c r="DD11" s="204">
        <f>IFERROR(AVERAGEIF(RD[[#This Row],[IS1RH1 (%)]:[IS7RH2 (%)]],"&lt;&gt;0",RD[[#This Row],[IS1RH1 (%)]:[IS7RH2 (%)]]),"")</f>
        <v>51.14529257641933</v>
      </c>
      <c r="DE11" s="51" t="str">
        <f>IFERROR(AVERAGEIF(RD[[#This Row],[IS1Rain1 (mm)]:[IS7Rain2 (mm)]],"&lt;&gt;0",RD[[#This Row],[IS1Rain1 (mm)]:[IS7Rain2 (mm)]]),"")</f>
        <v/>
      </c>
      <c r="DF11" s="204">
        <f>IFERROR(AVERAGEIF(RD[[#This Row],[WS_Solar1_Avg (m/s)]:[IS7_WS_Solar1_Avg (m/s)]],"&lt;&gt;0",RD[[#This Row],[WS_Solar1_Avg (m/s)]:[IS7_WS_Solar1_Avg (m/s)]]),"")</f>
        <v>0.73128471615720525</v>
      </c>
      <c r="DG11" s="204">
        <f>IFERROR(AVERAGEIF(RD[[#This Row],[WS_Solar1_Max (m/s)]:[IS7_WS_Solar1_Max (m/s)]],"&lt;&gt;0",RD[[#This Row],[WS_Solar1_Max (m/s)]:[IS7_WS_Solar1_Max (m/s)]]),"")</f>
        <v>2.9550000000000001</v>
      </c>
      <c r="DH11" s="204">
        <f>SUM(RD[[#This Row],[IS1Inv1M1]:[IS4Inv4M2]])</f>
        <v>283197.8</v>
      </c>
      <c r="DI11" s="205">
        <f>SUM(RD[[#This Row],[IS7Inv1M1]]+RD[[#This Row],[IS7Inv2M1]])</f>
        <v>16876.400000000001</v>
      </c>
      <c r="DJ11" s="204">
        <f>SUM(RD[[#This Row],[IS5Inv1M1]:[IS5Inv2M2]])</f>
        <v>41030.699999999997</v>
      </c>
      <c r="DK11" s="204">
        <f>SUM(RD[[#This Row],[IS8Inv1M1]:[IS9Inv2M2]])</f>
        <v>79214.899999999994</v>
      </c>
      <c r="DL11" s="60">
        <f>SUM(RD[[#This Row],[IS6Inv1M1]:[IS6Inv2M2]])</f>
        <v>41522.199999999997</v>
      </c>
      <c r="DM11" s="51">
        <f>SUM(RD[[#This Row],[IS10Inv1M1]:[IS11Inv1M4]],RD[[#This Row],[IS14Inv1M1]:[IS14Inv2M4]])</f>
        <v>101152.9</v>
      </c>
      <c r="DN11" s="288">
        <f>SUM(RD[[#This Row],[IS12Inv1M1]:[IS12Inv1M4]])</f>
        <v>16894</v>
      </c>
      <c r="DO11" s="288">
        <f>SUM(RD[[#This Row],[IS13Inv1M1]:[IS13Inv2M2]])</f>
        <v>1514.8</v>
      </c>
      <c r="DP11" s="204">
        <f>SUM(RD[[#This Row],[O2R15]:[O2R26]])</f>
        <v>581403.70000000007</v>
      </c>
      <c r="DQ11" s="168">
        <v>35045.1</v>
      </c>
      <c r="DR11" s="168">
        <v>196.9</v>
      </c>
      <c r="DS11" s="164">
        <v>29939.9</v>
      </c>
      <c r="DT11" s="168">
        <v>210.1</v>
      </c>
      <c r="DU11" s="168">
        <v>34125.4</v>
      </c>
      <c r="DV11" s="168">
        <v>376.6</v>
      </c>
      <c r="DW11" s="168">
        <v>3095.4</v>
      </c>
      <c r="DX11" s="168">
        <v>13.7</v>
      </c>
      <c r="DY11" s="168"/>
      <c r="DZ11" s="168"/>
      <c r="EA11" s="140">
        <v>84.06</v>
      </c>
      <c r="EB11" s="248">
        <v>102990856</v>
      </c>
      <c r="EC11" s="242">
        <v>844410.56</v>
      </c>
      <c r="ED11" s="248">
        <v>1007</v>
      </c>
      <c r="EE11" s="248">
        <v>97383</v>
      </c>
      <c r="EF11" s="164">
        <v>142895.70000000001</v>
      </c>
      <c r="EG11" s="164">
        <v>1673.5</v>
      </c>
      <c r="EH11" s="146">
        <f>IF((RD[[#This Row],[33 kV_F3_Ex
Incomer1]]-DQ10)*1000&lt;0,0,(RD[[#This Row],[33 kV_F3_Ex
Incomer1]]-DQ10)*1000)</f>
        <v>142599.99999999854</v>
      </c>
      <c r="EI11" s="146">
        <f>IF((RD[[#This Row],[34 kV_F3_Im
Incomer1]]-DR10)*1000&lt;0,0,(RD[[#This Row],[34 kV_F3_Im
Incomer1]]-DR10)*1000)</f>
        <v>400.00000000000568</v>
      </c>
      <c r="EJ11" s="146">
        <f>IF((RD[[#This Row],[33 kV_F4_Ex
Incomer2]]-DS10)*1000&lt;0,0,(RD[[#This Row],[33 kV_F4_Ex
Incomer2]]-DS10)*1000)</f>
        <v>135300.00000000291</v>
      </c>
      <c r="EK11" s="146">
        <f>IF((RD[[#This Row],[34 kV_F4_Im
Incomer2]]-DT10)*1000&lt;0,0,(RD[[#This Row],[34 kV_F4_Im
Incomer2]]-DT10)*1000)</f>
        <v>400.00000000000568</v>
      </c>
      <c r="EL11" s="146">
        <f>IF((RD[[#This Row],[33 kV_F5_Ex
Incomer3]]-DU10)*1000&lt;0,0,(RD[[#This Row],[33 kV_F5_Ex
Incomer3]]-DU10)*1000)</f>
        <v>175900.00000000146</v>
      </c>
      <c r="EM11" s="146">
        <f>IF((RD[[#This Row],[34 kV_F5_Im
Incomer3]]-DV10)*1000&lt;0,0,(RD[[#This Row],[34 kV_F5_Im
Incomer3]]-DV10)*1000)</f>
        <v>700.00000000004547</v>
      </c>
      <c r="EN11" s="146">
        <f>IF((RD[[#This Row],[33 kV_F6_Ex
Incomer4]]-DW10)*1000&lt;0,0,(RD[[#This Row],[33 kV_F6_Ex
Incomer4]]-DW10)*1000)</f>
        <v>118200.00000000028</v>
      </c>
      <c r="EO11" s="146">
        <f>IF((RD[[#This Row],[33 kV_F6_Im
Incomer4]]-DX10)*1000&lt;0,0,(RD[[#This Row],[33 kV_F6_Im
Incomer4]]-DX10)*1000)</f>
        <v>500</v>
      </c>
      <c r="EP11" s="146">
        <f>IF((RD[[#This Row],[33 kV_F7_Ex
Incomer5]]-DY10)*1000&lt;0,0,(RD[[#This Row],[33 kV_F7_Ex
Incomer5]]-DY10)*1000)</f>
        <v>0</v>
      </c>
      <c r="EQ11" s="146">
        <f>IF((RD[[#This Row],[33 kV_F7_Im
Incomer5]]-DZ10)*1000&lt;0,0,(RD[[#This Row],[33 kV_F7_Im
Incomer5]]-DZ10)*1000)</f>
        <v>0</v>
      </c>
      <c r="ER11" s="146">
        <f>IF((RD[[#This Row],[33 kV_Aux Trafo]]-EA10)*1000&lt;0,0,(RD[[#This Row],[33 kV_Aux Trafo]]-EA10)*1000)</f>
        <v>260.00000000000512</v>
      </c>
      <c r="ES11" s="158">
        <f>IF((RD[[#This Row],[33kV_OG1_Ex_]]-EB10)*1&lt;0,0,(RD[[#This Row],[33kV_OG1_Ex_]]-EB10)*1)</f>
        <v>572515</v>
      </c>
      <c r="ET11" s="146">
        <f>IF((RD[[#This Row],[33kV_OG1_Im]]-EC10)*1&lt;0,0,(RD[[#This Row],[33kV_OG1_Im]]-EC10)*1)</f>
        <v>2079.1040000000503</v>
      </c>
      <c r="EU11" s="146">
        <f>IF((RD[[#This Row],[132kV_TX1_EX]]-ED10)*720&lt;=0,"",(RD[[#This Row],[132kV_TX1_EX]]-ED10)*720)</f>
        <v>2160</v>
      </c>
      <c r="EV11" s="146">
        <f>IF((RD[[#This Row],[132 kV_Tx1_Im]]-EE10)*720&lt;=0,0,(RD[[#This Row],[132 kV_Tx1_Im]]-EE10)*720)</f>
        <v>411120</v>
      </c>
      <c r="EW11" s="146">
        <f>IF((RD[[#This Row],[132kV_L1_Ex]]-EF10)*720&lt;=0,0,(RD[[#This Row],[132kV_L1_Ex]]-EF10)*720)</f>
        <v>570456.00000001257</v>
      </c>
      <c r="EX11" s="146">
        <f>IF((RD[[#This Row],[132kV_L1_Im]]-EG10)*720&lt;=0,0,(RD[[#This Row],[132kV_L1_Im]]-EG10)*720)</f>
        <v>2664.0000000000327</v>
      </c>
      <c r="EY11" s="244">
        <f>IFERROR(RD[[#This Row],[33kV_OG1_Ex (MWh)]]+RD[[#This Row],[33kV_OG1_Im (MWh)]],"")</f>
        <v>574594.10400000005</v>
      </c>
      <c r="EZ11" s="148">
        <f>RD[[#This Row],[33kV_OG1_Ex (MWh)]]-RD[[#This Row],[33kV_OG1_Im (MWh)]]</f>
        <v>570435.89599999995</v>
      </c>
      <c r="FA11" s="148">
        <f>IFERROR(RD[[#This Row],[132kV_L1_Ex(MWh)]]-RD[[#This Row],[132kV_L1_Im(MWh)]],"")</f>
        <v>567792.00000001257</v>
      </c>
      <c r="FB11" s="55">
        <f>IFERROR(RD[[#This Row],[33kV_Ex(MWh)]]/RD[[#This Row],[Inv Total Gneration (MWh)]]-1,"")</f>
        <v>-1.171233688399298E-2</v>
      </c>
      <c r="FC11" s="245">
        <f>IFERROR((RD[[#This Row],[Sunset Time (POA&lt;20 W/m2)]]-RD[[#This Row],[Sunrise Time (POA&gt;20 W/m2)]])*24,0)</f>
        <v>11.9</v>
      </c>
      <c r="FD11" s="246">
        <v>100</v>
      </c>
      <c r="FE11" t="s">
        <v>265</v>
      </c>
      <c r="FF11"/>
      <c r="FG11"/>
    </row>
    <row r="12" spans="1:164">
      <c r="A12" s="133">
        <f t="shared" si="155"/>
        <v>45752</v>
      </c>
      <c r="B12" s="61">
        <f>YEAR(RD[[#This Row],[Date]])+IF(MONTH(RD[[#This Row],[Date]])&gt;=4,1,0)</f>
        <v>2026</v>
      </c>
      <c r="C12" s="61">
        <f>YEAR(RD[[#This Row],[Date]])</f>
        <v>2025</v>
      </c>
      <c r="D12" s="58">
        <f t="shared" ref="D12:D33" si="156">A12-DAY(A12)+1</f>
        <v>45748</v>
      </c>
      <c r="E12" s="61">
        <f>DAY(EOMONTH(RD[[#This Row],[Date]],0))</f>
        <v>30</v>
      </c>
      <c r="F12" s="152">
        <v>0.27152777777777776</v>
      </c>
      <c r="G12" s="162">
        <v>0.7631944444444444</v>
      </c>
      <c r="H12" s="124">
        <v>8957.4</v>
      </c>
      <c r="I12" s="124">
        <v>8930.7999999999993</v>
      </c>
      <c r="J12" s="124">
        <v>8552</v>
      </c>
      <c r="K12" s="124">
        <v>8605.7000000000007</v>
      </c>
      <c r="L12" s="124">
        <v>8801.1</v>
      </c>
      <c r="M12" s="124">
        <v>8868.6</v>
      </c>
      <c r="N12" s="124">
        <v>8575.7999999999993</v>
      </c>
      <c r="O12" s="124">
        <v>9289.7000000000007</v>
      </c>
      <c r="P12" s="124">
        <v>8687.6</v>
      </c>
      <c r="Q12" s="124">
        <v>8623.4</v>
      </c>
      <c r="R12" s="124">
        <v>8867.2999999999993</v>
      </c>
      <c r="S12" s="124">
        <v>8843.7999999999993</v>
      </c>
      <c r="T12" s="124">
        <v>9000.9</v>
      </c>
      <c r="U12" s="124">
        <v>8861.7999999999993</v>
      </c>
      <c r="V12" s="124">
        <v>8946.7999999999993</v>
      </c>
      <c r="W12" s="124">
        <v>8727.2999999999993</v>
      </c>
      <c r="X12" s="203">
        <v>12361.2</v>
      </c>
      <c r="Y12" s="203">
        <v>13529.4</v>
      </c>
      <c r="Z12" s="203">
        <v>12158.5</v>
      </c>
      <c r="AA12" s="203">
        <v>12712.4</v>
      </c>
      <c r="AB12" s="203">
        <v>13344.1</v>
      </c>
      <c r="AC12" s="203">
        <v>8201.1</v>
      </c>
      <c r="AD12" s="203">
        <v>12600.7</v>
      </c>
      <c r="AE12" s="203">
        <v>12888.3</v>
      </c>
      <c r="AF12" s="203">
        <v>12271</v>
      </c>
      <c r="AG12" s="203">
        <v>12500.3</v>
      </c>
      <c r="AH12" s="203">
        <v>12565.3</v>
      </c>
      <c r="AI12" s="203">
        <v>12595.7</v>
      </c>
      <c r="AJ12" s="142">
        <v>10417.4</v>
      </c>
      <c r="AK12" s="142">
        <v>10722.5</v>
      </c>
      <c r="AL12" s="142">
        <v>10438.9</v>
      </c>
      <c r="AM12" s="142">
        <v>10586.2</v>
      </c>
      <c r="AN12" s="142">
        <v>10522.2</v>
      </c>
      <c r="AO12" s="142">
        <v>10912.7</v>
      </c>
      <c r="AP12" s="142">
        <v>10701.7</v>
      </c>
      <c r="AQ12" s="142">
        <v>10544.9</v>
      </c>
      <c r="AR12" s="142">
        <v>8609.9</v>
      </c>
      <c r="AS12" s="142">
        <v>8655.9</v>
      </c>
      <c r="AT12" s="142">
        <v>8668.2999999999993</v>
      </c>
      <c r="AU12" s="142">
        <v>8691.2000000000007</v>
      </c>
      <c r="AV12" s="142">
        <v>8855.2000000000007</v>
      </c>
      <c r="AW12" s="142">
        <v>8717.7000000000007</v>
      </c>
      <c r="AX12" s="142">
        <v>12223.7</v>
      </c>
      <c r="AY12" s="142">
        <v>13261.4</v>
      </c>
      <c r="AZ12" s="142">
        <v>8481.4</v>
      </c>
      <c r="BA12" s="142">
        <v>11906.7</v>
      </c>
      <c r="BB12" s="142">
        <v>11811.3</v>
      </c>
      <c r="BC12" s="142">
        <v>9089.9</v>
      </c>
      <c r="BD12" s="142">
        <v>9636.9</v>
      </c>
      <c r="BE12" s="142">
        <v>11844.8</v>
      </c>
      <c r="BF12" s="142">
        <v>9766.7000000000007</v>
      </c>
      <c r="BG12" s="142">
        <v>11489.5</v>
      </c>
      <c r="BH12" s="142">
        <v>6805.8</v>
      </c>
      <c r="BI12" s="142">
        <v>3486.8</v>
      </c>
      <c r="BJ12" s="142">
        <v>3033.1</v>
      </c>
      <c r="BK12" s="142">
        <v>1168.0999999999999</v>
      </c>
      <c r="BL12" s="142">
        <v>7276.4</v>
      </c>
      <c r="BM12" s="142">
        <v>7440.1</v>
      </c>
      <c r="BN12" s="142">
        <v>6951</v>
      </c>
      <c r="BO12" s="142">
        <v>3648</v>
      </c>
      <c r="BP12" s="142">
        <v>4383</v>
      </c>
      <c r="BQ12" s="142">
        <v>3495</v>
      </c>
      <c r="BR12" s="142">
        <v>0</v>
      </c>
      <c r="BS12" s="142">
        <v>0</v>
      </c>
      <c r="BT12" s="142">
        <v>876</v>
      </c>
      <c r="BU12" s="142">
        <v>678</v>
      </c>
      <c r="BV12" s="142"/>
      <c r="BW12" s="142"/>
      <c r="BX12" s="142"/>
      <c r="BY12" s="142"/>
      <c r="BZ12" s="142">
        <v>1343</v>
      </c>
      <c r="CA12" s="142">
        <v>1154</v>
      </c>
      <c r="CB12" s="142">
        <v>4879</v>
      </c>
      <c r="CC12" s="142">
        <v>4732</v>
      </c>
      <c r="CD12" s="59">
        <v>7.0237711999999988</v>
      </c>
      <c r="CE12" s="59"/>
      <c r="CF12" s="206">
        <v>6.9011737333333381</v>
      </c>
      <c r="CG12" s="206"/>
      <c r="CH12" s="206">
        <v>0.83065995000000026</v>
      </c>
      <c r="CI12" s="206"/>
      <c r="CJ12" s="59">
        <v>1.2698613999999997</v>
      </c>
      <c r="CK12" s="59"/>
      <c r="CL12" s="206">
        <v>30.65649837133547</v>
      </c>
      <c r="CM12" s="206"/>
      <c r="CN12" s="206">
        <v>38.092573289902283</v>
      </c>
      <c r="CO12" s="206"/>
      <c r="CP12" s="206">
        <v>33.925716612377805</v>
      </c>
      <c r="CQ12" s="206"/>
      <c r="CR12" s="59">
        <v>0</v>
      </c>
      <c r="CS12" s="59"/>
      <c r="CT12" s="206">
        <v>0.82883061889250742</v>
      </c>
      <c r="CU12" s="206"/>
      <c r="CV12" s="206">
        <v>2.9670000000000001</v>
      </c>
      <c r="CW12" s="260"/>
      <c r="CX12" s="204">
        <f>IFERROR(AVERAGEIF(RD[[#This Row],[IS1POA1 (KWh/m2)]:[IS7POA2 (KWh/m2)]],"&lt;&gt;0",RD[[#This Row],[IS1POA1 (KWh/m2)]:[IS7POA2 (KWh/m2)]]),"")</f>
        <v>7.0237711999999988</v>
      </c>
      <c r="CY12" s="204">
        <f>IFERROR(AVERAGEIF(RD[[#This Row],[IS1GHI1 (KWh/m2)]:[IS7GHI2 (KWh/m2)]],"&lt;&gt;0",RD[[#This Row],[IS1GHI1 (KWh/m2)]:[IS7GHI2 (KWh/m2)]]),"")</f>
        <v>6.9011737333333381</v>
      </c>
      <c r="CZ12" s="204">
        <f>IFERROR(AVERAGEIF(RD[[#This Row],[IS1POA_BS1 (KWh/m2)]:[IS7POA_BS2 (KWh/m2)]],"&lt;&gt;0",RD[[#This Row],[IS1POA_BS1 (KWh/m2)]:[IS7POA_BS2 (KWh/m2)]]),"")</f>
        <v>0.83065995000000026</v>
      </c>
      <c r="DA12" s="204">
        <f>IFERROR(AVERAGEIF(RD[[#This Row],[IS1GHI_BS1 (KWh/m2)]:[IS1GHI_BS1 (KWh/m2)2]],"&lt;&gt;0",RD[[#This Row],[IS1GHI_BS1 (KWh/m2)]:[IS1GHI_BS1 (KWh/m2)2]]),"")</f>
        <v>1.2698613999999997</v>
      </c>
      <c r="DB12" s="204">
        <f>IFERROR(AVERAGEIF(RD[[#This Row],[IS1AT1 (°C)]:[IS7AT2 (°C)]],"&lt;&gt;0",RD[[#This Row],[IS1AT1 (°C)]:[IS7AT2 (°C)]]),"")</f>
        <v>30.65649837133547</v>
      </c>
      <c r="DC12" s="204">
        <f>IFERROR(AVERAGEIF(RD[[#This Row],[IS1MT1 (°C)]:[IS7MT2 (°C)]],"&lt;&gt;0",RD[[#This Row],[IS1MT1 (°C)]:[IS7MT2 (°C)]]),"")</f>
        <v>38.092573289902283</v>
      </c>
      <c r="DD12" s="204">
        <f>IFERROR(AVERAGEIF(RD[[#This Row],[IS1RH1 (%)]:[IS7RH2 (%)]],"&lt;&gt;0",RD[[#This Row],[IS1RH1 (%)]:[IS7RH2 (%)]]),"")</f>
        <v>33.925716612377805</v>
      </c>
      <c r="DE12" s="51" t="str">
        <f>IFERROR(AVERAGEIF(RD[[#This Row],[IS1Rain1 (mm)]:[IS7Rain2 (mm)]],"&lt;&gt;0",RD[[#This Row],[IS1Rain1 (mm)]:[IS7Rain2 (mm)]]),"")</f>
        <v/>
      </c>
      <c r="DF12" s="204">
        <f>IFERROR(AVERAGEIF(RD[[#This Row],[WS_Solar1_Avg (m/s)]:[IS7_WS_Solar1_Avg (m/s)]],"&lt;&gt;0",RD[[#This Row],[WS_Solar1_Avg (m/s)]:[IS7_WS_Solar1_Avg (m/s)]]),"")</f>
        <v>0.82883061889250742</v>
      </c>
      <c r="DG12" s="204">
        <f>IFERROR(AVERAGEIF(RD[[#This Row],[WS_Solar1_Max (m/s)]:[IS7_WS_Solar1_Max (m/s)]],"&lt;&gt;0",RD[[#This Row],[WS_Solar1_Max (m/s)]:[IS7_WS_Solar1_Max (m/s)]]),"")</f>
        <v>2.9670000000000001</v>
      </c>
      <c r="DH12" s="204">
        <f>SUM(RD[[#This Row],[IS1Inv1M1]:[IS4Inv4M2]])</f>
        <v>288868</v>
      </c>
      <c r="DI12" s="205">
        <f>SUM(RD[[#This Row],[IS7Inv1M1]]+RD[[#This Row],[IS7Inv2M1]])</f>
        <v>17265.8</v>
      </c>
      <c r="DJ12" s="204">
        <f>SUM(RD[[#This Row],[IS5Inv1M1]:[IS5Inv2M2]])</f>
        <v>42165</v>
      </c>
      <c r="DK12" s="204">
        <f>SUM(RD[[#This Row],[IS8Inv1M1]:[IS9Inv2M2]])</f>
        <v>80805.600000000006</v>
      </c>
      <c r="DL12" s="60">
        <f>SUM(RD[[#This Row],[IS6Inv1M1]:[IS6Inv2M2]])</f>
        <v>42681.5</v>
      </c>
      <c r="DM12" s="51">
        <f>SUM(RD[[#This Row],[IS10Inv1M1]:[IS11Inv1M4]],RD[[#This Row],[IS14Inv1M1]:[IS14Inv2M4]])</f>
        <v>104957.40000000001</v>
      </c>
      <c r="DN12" s="288">
        <f>SUM(RD[[#This Row],[IS12Inv1M1]:[IS12Inv1M4]])</f>
        <v>18477</v>
      </c>
      <c r="DO12" s="288">
        <f>SUM(RD[[#This Row],[IS13Inv1M1]:[IS13Inv2M2]])</f>
        <v>1554</v>
      </c>
      <c r="DP12" s="204">
        <f>SUM(RD[[#This Row],[O2R15]:[O2R26]])</f>
        <v>596774.30000000005</v>
      </c>
      <c r="DQ12" s="164">
        <v>35191.699999999997</v>
      </c>
      <c r="DR12" s="168">
        <v>197.3</v>
      </c>
      <c r="DS12" s="164">
        <v>30076.6</v>
      </c>
      <c r="DT12" s="164">
        <v>210.4</v>
      </c>
      <c r="DU12" s="168">
        <v>34305.4</v>
      </c>
      <c r="DV12" s="168">
        <v>377.2</v>
      </c>
      <c r="DW12" s="164">
        <v>3219</v>
      </c>
      <c r="DX12" s="168">
        <v>14.1</v>
      </c>
      <c r="DY12" s="168"/>
      <c r="DZ12" s="168"/>
      <c r="EA12" s="140">
        <v>84.34</v>
      </c>
      <c r="EB12" s="243">
        <v>103578411</v>
      </c>
      <c r="EC12" s="242">
        <v>846357.63199999998</v>
      </c>
      <c r="ED12" s="243">
        <v>1009</v>
      </c>
      <c r="EE12" s="243">
        <v>97968</v>
      </c>
      <c r="EF12" s="164">
        <v>143708.79999999999</v>
      </c>
      <c r="EG12" s="164">
        <v>1677</v>
      </c>
      <c r="EH12" s="146">
        <f>IF((RD[[#This Row],[33 kV_F3_Ex
Incomer1]]-DQ11)*1000&lt;0,0,(RD[[#This Row],[33 kV_F3_Ex
Incomer1]]-DQ11)*1000)</f>
        <v>146599.99999999854</v>
      </c>
      <c r="EI12" s="146">
        <f>IF((RD[[#This Row],[34 kV_F3_Im
Incomer1]]-DR11)*1000&lt;0,0,(RD[[#This Row],[34 kV_F3_Im
Incomer1]]-DR11)*1000)</f>
        <v>400.00000000000568</v>
      </c>
      <c r="EJ12" s="146">
        <f>IF((RD[[#This Row],[33 kV_F4_Ex
Incomer2]]-DS11)*1000&lt;0,0,(RD[[#This Row],[33 kV_F4_Ex
Incomer2]]-DS11)*1000)</f>
        <v>136699.99999999709</v>
      </c>
      <c r="EK12" s="146">
        <f>IF((RD[[#This Row],[34 kV_F4_Im
Incomer2]]-DT11)*1000&lt;0,0,(RD[[#This Row],[34 kV_F4_Im
Incomer2]]-DT11)*1000)</f>
        <v>300.00000000001137</v>
      </c>
      <c r="EL12" s="146">
        <f>IF((RD[[#This Row],[33 kV_F5_Ex
Incomer3]]-DU11)*1000&lt;0,0,(RD[[#This Row],[33 kV_F5_Ex
Incomer3]]-DU11)*1000)</f>
        <v>180000</v>
      </c>
      <c r="EM12" s="146">
        <f>IF((RD[[#This Row],[34 kV_F5_Im
Incomer3]]-DV11)*1000&lt;0,0,(RD[[#This Row],[34 kV_F5_Im
Incomer3]]-DV11)*1000)</f>
        <v>599.99999999996589</v>
      </c>
      <c r="EN12" s="146">
        <f>IF((RD[[#This Row],[33 kV_F6_Ex
Incomer4]]-DW11)*1000&lt;0,0,(RD[[#This Row],[33 kV_F6_Ex
Incomer4]]-DW11)*1000)</f>
        <v>123599.99999999991</v>
      </c>
      <c r="EO12" s="146">
        <f>IF((RD[[#This Row],[33 kV_F6_Im
Incomer4]]-DX11)*1000&lt;0,0,(RD[[#This Row],[33 kV_F6_Im
Incomer4]]-DX11)*1000)</f>
        <v>400.00000000000034</v>
      </c>
      <c r="EP12" s="146">
        <f>IF((RD[[#This Row],[33 kV_F7_Ex
Incomer5]]-DY11)*1000&lt;0,0,(RD[[#This Row],[33 kV_F7_Ex
Incomer5]]-DY11)*1000)</f>
        <v>0</v>
      </c>
      <c r="EQ12" s="146">
        <f>IF((RD[[#This Row],[33 kV_F7_Im
Incomer5]]-DZ11)*1000&lt;0,0,(RD[[#This Row],[33 kV_F7_Im
Incomer5]]-DZ11)*1000)</f>
        <v>0</v>
      </c>
      <c r="ER12" s="146">
        <f>IF((RD[[#This Row],[33 kV_Aux Trafo]]-EA11)*1000&lt;0,0,(RD[[#This Row],[33 kV_Aux Trafo]]-EA11)*1000)</f>
        <v>280.00000000000114</v>
      </c>
      <c r="ES12" s="158">
        <f>IF((RD[[#This Row],[33kV_OG1_Ex_]]-EB11)*1&lt;0,0,(RD[[#This Row],[33kV_OG1_Ex_]]-EB11)*1)</f>
        <v>587555</v>
      </c>
      <c r="ET12" s="146">
        <f>IF((RD[[#This Row],[33kV_OG1_Im]]-EC11)*1&lt;0,0,(RD[[#This Row],[33kV_OG1_Im]]-EC11)*1)</f>
        <v>1947.0719999999274</v>
      </c>
      <c r="EU12" s="146">
        <f>IF((RD[[#This Row],[132kV_TX1_EX]]-ED11)*720&lt;=0,"",(RD[[#This Row],[132kV_TX1_EX]]-ED11)*720)</f>
        <v>1440</v>
      </c>
      <c r="EV12" s="146">
        <f>IF((RD[[#This Row],[132 kV_Tx1_Im]]-EE11)*720&lt;=0,0,(RD[[#This Row],[132 kV_Tx1_Im]]-EE11)*720)</f>
        <v>421200</v>
      </c>
      <c r="EW12" s="146">
        <f>IF((RD[[#This Row],[132kV_L1_Ex]]-EF11)*720&lt;=0,0,(RD[[#This Row],[132kV_L1_Ex]]-EF11)*720)</f>
        <v>585431.99999998324</v>
      </c>
      <c r="EX12" s="146">
        <f>IF((RD[[#This Row],[132kV_L1_Im]]-EG11)*720&lt;=0,0,(RD[[#This Row],[132kV_L1_Im]]-EG11)*720)</f>
        <v>2520</v>
      </c>
      <c r="EY12" s="244">
        <f>IFERROR(RD[[#This Row],[33kV_OG1_Ex (MWh)]]+RD[[#This Row],[33kV_OG1_Im (MWh)]],"")</f>
        <v>589502.07199999993</v>
      </c>
      <c r="EZ12" s="148">
        <f>RD[[#This Row],[33kV_OG1_Ex (MWh)]]-RD[[#This Row],[33kV_OG1_Im (MWh)]]</f>
        <v>585607.92800000007</v>
      </c>
      <c r="FA12" s="148">
        <f>IFERROR(RD[[#This Row],[132kV_L1_Ex(MWh)]]-RD[[#This Row],[132kV_L1_Im(MWh)]],"")</f>
        <v>582911.99999998324</v>
      </c>
      <c r="FB12" s="55">
        <f>IFERROR(RD[[#This Row],[33kV_Ex(MWh)]]/RD[[#This Row],[Inv Total Gneration (MWh)]]-1,"")</f>
        <v>-1.2185893393867886E-2</v>
      </c>
      <c r="FC12" s="245">
        <f>IFERROR((RD[[#This Row],[Sunset Time (POA&lt;20 W/m2)]]-RD[[#This Row],[Sunrise Time (POA&gt;20 W/m2)]])*24,0)</f>
        <v>11.799999999999999</v>
      </c>
      <c r="FD12" s="246">
        <v>102</v>
      </c>
      <c r="FE12" t="s">
        <v>265</v>
      </c>
      <c r="FF12"/>
      <c r="FG12"/>
    </row>
    <row r="13" spans="1:164">
      <c r="A13" s="133">
        <f t="shared" si="155"/>
        <v>45753</v>
      </c>
      <c r="B13" s="61">
        <f>YEAR(RD[[#This Row],[Date]])+IF(MONTH(RD[[#This Row],[Date]])&gt;=4,1,0)</f>
        <v>2026</v>
      </c>
      <c r="C13" s="61">
        <f>YEAR(RD[[#This Row],[Date]])</f>
        <v>2025</v>
      </c>
      <c r="D13" s="58">
        <f t="shared" si="156"/>
        <v>45748</v>
      </c>
      <c r="E13" s="61">
        <f>DAY(EOMONTH(RD[[#This Row],[Date]],0))</f>
        <v>30</v>
      </c>
      <c r="F13" s="152">
        <v>0.27152777777777776</v>
      </c>
      <c r="G13" s="162">
        <v>0.76249999999999996</v>
      </c>
      <c r="H13" s="124">
        <v>9034.7000000000007</v>
      </c>
      <c r="I13" s="124">
        <v>9022</v>
      </c>
      <c r="J13" s="124">
        <v>8668.9</v>
      </c>
      <c r="K13" s="124">
        <v>8730.1</v>
      </c>
      <c r="L13" s="124">
        <v>8920.1</v>
      </c>
      <c r="M13" s="124">
        <v>8976.7000000000007</v>
      </c>
      <c r="N13" s="124">
        <v>8717.7999999999993</v>
      </c>
      <c r="O13" s="124">
        <v>9375.6</v>
      </c>
      <c r="P13" s="124">
        <v>8802</v>
      </c>
      <c r="Q13" s="124">
        <v>8738.4</v>
      </c>
      <c r="R13" s="124">
        <v>8973.6</v>
      </c>
      <c r="S13" s="124">
        <v>8951.2000000000007</v>
      </c>
      <c r="T13" s="124">
        <v>9113.7000000000007</v>
      </c>
      <c r="U13" s="124">
        <v>8970.7000000000007</v>
      </c>
      <c r="V13" s="124">
        <v>9053.9</v>
      </c>
      <c r="W13" s="124">
        <v>8867.5</v>
      </c>
      <c r="X13" s="203">
        <v>12619.4</v>
      </c>
      <c r="Y13" s="203">
        <v>13698.8</v>
      </c>
      <c r="Z13" s="203">
        <v>12442.5</v>
      </c>
      <c r="AA13" s="203">
        <v>12924.6</v>
      </c>
      <c r="AB13" s="203">
        <v>13541.8</v>
      </c>
      <c r="AC13" s="203">
        <v>8461.7000000000007</v>
      </c>
      <c r="AD13" s="203">
        <v>12863.6</v>
      </c>
      <c r="AE13" s="203">
        <v>13007.5</v>
      </c>
      <c r="AF13" s="203">
        <v>12530.8</v>
      </c>
      <c r="AG13" s="203">
        <v>12739</v>
      </c>
      <c r="AH13" s="203">
        <v>12769.1</v>
      </c>
      <c r="AI13" s="203">
        <v>12857.3</v>
      </c>
      <c r="AJ13" s="142">
        <v>10703.6</v>
      </c>
      <c r="AK13" s="142">
        <v>11018.8</v>
      </c>
      <c r="AL13" s="142">
        <v>10726.5</v>
      </c>
      <c r="AM13" s="142">
        <v>10872.8</v>
      </c>
      <c r="AN13" s="142">
        <v>10814.4</v>
      </c>
      <c r="AO13" s="142">
        <v>11216.2</v>
      </c>
      <c r="AP13" s="142">
        <v>10987.6</v>
      </c>
      <c r="AQ13" s="142">
        <v>10827</v>
      </c>
      <c r="AR13" s="142">
        <v>8772.1</v>
      </c>
      <c r="AS13" s="142">
        <v>8821.7999999999993</v>
      </c>
      <c r="AT13" s="142">
        <v>8841.9</v>
      </c>
      <c r="AU13" s="142">
        <v>8850.9</v>
      </c>
      <c r="AV13" s="142">
        <v>8993.5</v>
      </c>
      <c r="AW13" s="142">
        <v>8878.2999999999993</v>
      </c>
      <c r="AX13" s="142">
        <v>12531.3</v>
      </c>
      <c r="AY13" s="142">
        <v>13521.6</v>
      </c>
      <c r="AZ13" s="142">
        <v>8899.2000000000007</v>
      </c>
      <c r="BA13" s="142">
        <v>11300</v>
      </c>
      <c r="BB13" s="142">
        <v>12143.1</v>
      </c>
      <c r="BC13" s="142">
        <v>9369.9</v>
      </c>
      <c r="BD13" s="142">
        <v>9916.5</v>
      </c>
      <c r="BE13" s="142">
        <v>12152.6</v>
      </c>
      <c r="BF13" s="142">
        <v>9966.4</v>
      </c>
      <c r="BG13" s="142">
        <v>11716.5</v>
      </c>
      <c r="BH13" s="142">
        <v>6957.4</v>
      </c>
      <c r="BI13" s="142">
        <v>3693.1</v>
      </c>
      <c r="BJ13" s="142">
        <v>3681</v>
      </c>
      <c r="BK13" s="142">
        <v>1668.7</v>
      </c>
      <c r="BL13" s="142">
        <v>7499</v>
      </c>
      <c r="BM13" s="142">
        <v>7644</v>
      </c>
      <c r="BN13" s="142">
        <v>7084</v>
      </c>
      <c r="BO13" s="142">
        <v>4120</v>
      </c>
      <c r="BP13" s="142">
        <v>5899</v>
      </c>
      <c r="BQ13" s="142">
        <v>3709</v>
      </c>
      <c r="BR13" s="142">
        <v>0</v>
      </c>
      <c r="BS13" s="142">
        <v>0</v>
      </c>
      <c r="BT13" s="142">
        <v>903</v>
      </c>
      <c r="BU13" s="142">
        <v>685</v>
      </c>
      <c r="BV13" s="142"/>
      <c r="BW13" s="142"/>
      <c r="BX13" s="142"/>
      <c r="BY13" s="142"/>
      <c r="BZ13" s="142">
        <v>1394</v>
      </c>
      <c r="CA13" s="142">
        <v>1189</v>
      </c>
      <c r="CB13" s="142">
        <v>5120</v>
      </c>
      <c r="CC13" s="142">
        <v>5179</v>
      </c>
      <c r="CD13" s="59">
        <v>7.2617078499999996</v>
      </c>
      <c r="CE13" s="59"/>
      <c r="CF13" s="206">
        <v>7.1267072166666701</v>
      </c>
      <c r="CG13" s="206"/>
      <c r="CH13" s="206">
        <v>0.85638393333333385</v>
      </c>
      <c r="CI13" s="206"/>
      <c r="CJ13" s="59">
        <v>1.3176237000000013</v>
      </c>
      <c r="CK13" s="59"/>
      <c r="CL13" s="206">
        <v>32.570993031358924</v>
      </c>
      <c r="CM13" s="206"/>
      <c r="CN13" s="206">
        <v>39.887005226480888</v>
      </c>
      <c r="CO13" s="206"/>
      <c r="CP13" s="206">
        <v>22.446341463414647</v>
      </c>
      <c r="CQ13" s="206"/>
      <c r="CR13" s="59">
        <v>0</v>
      </c>
      <c r="CS13" s="59"/>
      <c r="CT13" s="206">
        <v>0.9254790940766543</v>
      </c>
      <c r="CU13" s="206"/>
      <c r="CV13" s="206">
        <v>2.496</v>
      </c>
      <c r="CW13" s="260"/>
      <c r="CX13" s="204">
        <f>IFERROR(AVERAGEIF(RD[[#This Row],[IS1POA1 (KWh/m2)]:[IS7POA2 (KWh/m2)]],"&lt;&gt;0",RD[[#This Row],[IS1POA1 (KWh/m2)]:[IS7POA2 (KWh/m2)]]),"")</f>
        <v>7.2617078499999996</v>
      </c>
      <c r="CY13" s="204">
        <f>IFERROR(AVERAGEIF(RD[[#This Row],[IS1GHI1 (KWh/m2)]:[IS7GHI2 (KWh/m2)]],"&lt;&gt;0",RD[[#This Row],[IS1GHI1 (KWh/m2)]:[IS7GHI2 (KWh/m2)]]),"")</f>
        <v>7.1267072166666701</v>
      </c>
      <c r="CZ13" s="204">
        <f>IFERROR(AVERAGEIF(RD[[#This Row],[IS1POA_BS1 (KWh/m2)]:[IS7POA_BS2 (KWh/m2)]],"&lt;&gt;0",RD[[#This Row],[IS1POA_BS1 (KWh/m2)]:[IS7POA_BS2 (KWh/m2)]]),"")</f>
        <v>0.85638393333333385</v>
      </c>
      <c r="DA13" s="204">
        <f>IFERROR(AVERAGEIF(RD[[#This Row],[IS1GHI_BS1 (KWh/m2)]:[IS1GHI_BS1 (KWh/m2)2]],"&lt;&gt;0",RD[[#This Row],[IS1GHI_BS1 (KWh/m2)]:[IS1GHI_BS1 (KWh/m2)2]]),"")</f>
        <v>1.3176237000000013</v>
      </c>
      <c r="DB13" s="204">
        <f>IFERROR(AVERAGEIF(RD[[#This Row],[IS1AT1 (°C)]:[IS7AT2 (°C)]],"&lt;&gt;0",RD[[#This Row],[IS1AT1 (°C)]:[IS7AT2 (°C)]]),"")</f>
        <v>32.570993031358924</v>
      </c>
      <c r="DC13" s="204">
        <f>IFERROR(AVERAGEIF(RD[[#This Row],[IS1MT1 (°C)]:[IS7MT2 (°C)]],"&lt;&gt;0",RD[[#This Row],[IS1MT1 (°C)]:[IS7MT2 (°C)]]),"")</f>
        <v>39.887005226480888</v>
      </c>
      <c r="DD13" s="204">
        <f>IFERROR(AVERAGEIF(RD[[#This Row],[IS1RH1 (%)]:[IS7RH2 (%)]],"&lt;&gt;0",RD[[#This Row],[IS1RH1 (%)]:[IS7RH2 (%)]]),"")</f>
        <v>22.446341463414647</v>
      </c>
      <c r="DE13" s="51" t="str">
        <f>IFERROR(AVERAGEIF(RD[[#This Row],[IS1Rain1 (mm)]:[IS7Rain2 (mm)]],"&lt;&gt;0",RD[[#This Row],[IS1Rain1 (mm)]:[IS7Rain2 (mm)]]),"")</f>
        <v/>
      </c>
      <c r="DF13" s="204">
        <f>IFERROR(AVERAGEIF(RD[[#This Row],[WS_Solar1_Avg (m/s)]:[IS7_WS_Solar1_Avg (m/s)]],"&lt;&gt;0",RD[[#This Row],[WS_Solar1_Avg (m/s)]:[IS7_WS_Solar1_Avg (m/s)]]),"")</f>
        <v>0.9254790940766543</v>
      </c>
      <c r="DG13" s="204">
        <f>IFERROR(AVERAGEIF(RD[[#This Row],[WS_Solar1_Max (m/s)]:[IS7_WS_Solar1_Max (m/s)]],"&lt;&gt;0",RD[[#This Row],[WS_Solar1_Max (m/s)]:[IS7_WS_Solar1_Max (m/s)]]),"")</f>
        <v>2.496</v>
      </c>
      <c r="DH13" s="204">
        <f>SUM(RD[[#This Row],[IS1Inv1M1]:[IS4Inv4M2]])</f>
        <v>293372.99999999994</v>
      </c>
      <c r="DI13" s="205">
        <f>SUM(RD[[#This Row],[IS7Inv1M1]]+RD[[#This Row],[IS7Inv2M1]])</f>
        <v>17593.900000000001</v>
      </c>
      <c r="DJ13" s="204">
        <f>SUM(RD[[#This Row],[IS5Inv1M1]:[IS5Inv2M2]])</f>
        <v>43321.7</v>
      </c>
      <c r="DK13" s="204">
        <f>SUM(RD[[#This Row],[IS8Inv1M1]:[IS9Inv2M2]])</f>
        <v>81816.7</v>
      </c>
      <c r="DL13" s="60">
        <f>SUM(RD[[#This Row],[IS6Inv1M1]:[IS6Inv2M2]])</f>
        <v>43845.2</v>
      </c>
      <c r="DM13" s="51">
        <f>SUM(RD[[#This Row],[IS10Inv1M1]:[IS11Inv1M4]],RD[[#This Row],[IS14Inv1M1]:[IS14Inv2M4]])</f>
        <v>109290.2</v>
      </c>
      <c r="DN13" s="288">
        <f>SUM(RD[[#This Row],[IS12Inv1M1]:[IS12Inv1M4]])</f>
        <v>20812</v>
      </c>
      <c r="DO13" s="288">
        <f>SUM(RD[[#This Row],[IS13Inv1M1]:[IS13Inv2M2]])</f>
        <v>1588</v>
      </c>
      <c r="DP13" s="204">
        <f>SUM(RD[[#This Row],[O2R15]:[O2R26]])</f>
        <v>611640.69999999995</v>
      </c>
      <c r="DQ13" s="164">
        <v>35340.9</v>
      </c>
      <c r="DR13" s="168">
        <v>197.7</v>
      </c>
      <c r="DS13" s="164">
        <v>30214.400000000001</v>
      </c>
      <c r="DT13" s="164">
        <v>210.7</v>
      </c>
      <c r="DU13" s="168">
        <v>34490.6</v>
      </c>
      <c r="DV13" s="168">
        <v>377.8</v>
      </c>
      <c r="DW13" s="164">
        <v>3348.5</v>
      </c>
      <c r="DX13" s="168">
        <v>14.4</v>
      </c>
      <c r="DY13" s="168"/>
      <c r="DZ13" s="168"/>
      <c r="EA13" s="140">
        <v>84.6</v>
      </c>
      <c r="EB13" s="243">
        <v>104181514</v>
      </c>
      <c r="EC13" s="242">
        <v>848075.90599999996</v>
      </c>
      <c r="ED13" s="243">
        <v>1011</v>
      </c>
      <c r="EE13" s="243">
        <v>98568</v>
      </c>
      <c r="EF13" s="164">
        <v>144543.70000000001</v>
      </c>
      <c r="EG13" s="164">
        <v>1680</v>
      </c>
      <c r="EH13" s="146">
        <f>IF((RD[[#This Row],[33 kV_F3_Ex
Incomer1]]-DQ12)*1000&lt;0,0,(RD[[#This Row],[33 kV_F3_Ex
Incomer1]]-DQ12)*1000)</f>
        <v>149200.00000000437</v>
      </c>
      <c r="EI13" s="146">
        <f>IF((RD[[#This Row],[34 kV_F3_Im
Incomer1]]-DR12)*1000&lt;0,0,(RD[[#This Row],[34 kV_F3_Im
Incomer1]]-DR12)*1000)</f>
        <v>399.99999999997726</v>
      </c>
      <c r="EJ13" s="146">
        <f>IF((RD[[#This Row],[33 kV_F4_Ex
Incomer2]]-DS12)*1000&lt;0,0,(RD[[#This Row],[33 kV_F4_Ex
Incomer2]]-DS12)*1000)</f>
        <v>137800.00000000291</v>
      </c>
      <c r="EK13" s="146">
        <f>IF((RD[[#This Row],[34 kV_F4_Im
Incomer2]]-DT12)*1000&lt;0,0,(RD[[#This Row],[34 kV_F4_Im
Incomer2]]-DT12)*1000)</f>
        <v>299.99999999998295</v>
      </c>
      <c r="EL13" s="146">
        <f>IF((RD[[#This Row],[33 kV_F5_Ex
Incomer3]]-DU12)*1000&lt;0,0,(RD[[#This Row],[33 kV_F5_Ex
Incomer3]]-DU12)*1000)</f>
        <v>185199.99999999709</v>
      </c>
      <c r="EM13" s="146">
        <f>IF((RD[[#This Row],[34 kV_F5_Im
Incomer3]]-DV12)*1000&lt;0,0,(RD[[#This Row],[34 kV_F5_Im
Incomer3]]-DV12)*1000)</f>
        <v>600.00000000002274</v>
      </c>
      <c r="EN13" s="146">
        <f>IF((RD[[#This Row],[33 kV_F6_Ex
Incomer4]]-DW12)*1000&lt;0,0,(RD[[#This Row],[33 kV_F6_Ex
Incomer4]]-DW12)*1000)</f>
        <v>129500</v>
      </c>
      <c r="EO13" s="146">
        <f>IF((RD[[#This Row],[33 kV_F6_Im
Incomer4]]-DX12)*1000&lt;0,0,(RD[[#This Row],[33 kV_F6_Im
Incomer4]]-DX12)*1000)</f>
        <v>300.00000000000068</v>
      </c>
      <c r="EP13" s="146">
        <f>IF((RD[[#This Row],[33 kV_F7_Ex
Incomer5]]-DY12)*1000&lt;0,0,(RD[[#This Row],[33 kV_F7_Ex
Incomer5]]-DY12)*1000)</f>
        <v>0</v>
      </c>
      <c r="EQ13" s="146">
        <f>IF((RD[[#This Row],[33 kV_F7_Im
Incomer5]]-DZ12)*1000&lt;0,0,(RD[[#This Row],[33 kV_F7_Im
Incomer5]]-DZ12)*1000)</f>
        <v>0</v>
      </c>
      <c r="ER13" s="146">
        <f>IF((RD[[#This Row],[33 kV_Aux Trafo]]-EA12)*1000&lt;0,0,(RD[[#This Row],[33 kV_Aux Trafo]]-EA12)*1000)</f>
        <v>259.99999999999091</v>
      </c>
      <c r="ES13" s="158">
        <f>IF((RD[[#This Row],[33kV_OG1_Ex_]]-EB12)*1&lt;0,0,(RD[[#This Row],[33kV_OG1_Ex_]]-EB12)*1)</f>
        <v>603103</v>
      </c>
      <c r="ET13" s="146">
        <f>IF((RD[[#This Row],[33kV_OG1_Im]]-EC12)*1&lt;0,0,(RD[[#This Row],[33kV_OG1_Im]]-EC12)*1)</f>
        <v>1718.2739999999758</v>
      </c>
      <c r="EU13" s="146">
        <f>IF((RD[[#This Row],[132kV_TX1_EX]]-ED12)*720&lt;=0,"",(RD[[#This Row],[132kV_TX1_EX]]-ED12)*720)</f>
        <v>1440</v>
      </c>
      <c r="EV13" s="146">
        <f>IF((RD[[#This Row],[132 kV_Tx1_Im]]-EE12)*720&lt;=0,0,(RD[[#This Row],[132 kV_Tx1_Im]]-EE12)*720)</f>
        <v>432000</v>
      </c>
      <c r="EW13" s="146">
        <f>IF((RD[[#This Row],[132kV_L1_Ex]]-EF12)*720&lt;=0,0,(RD[[#This Row],[132kV_L1_Ex]]-EF12)*720)</f>
        <v>601128.00000001676</v>
      </c>
      <c r="EX13" s="146">
        <f>IF((RD[[#This Row],[132kV_L1_Im]]-EG12)*720&lt;=0,0,(RD[[#This Row],[132kV_L1_Im]]-EG12)*720)</f>
        <v>2160</v>
      </c>
      <c r="EY13" s="244">
        <f>IFERROR(RD[[#This Row],[33kV_OG1_Ex (MWh)]]+RD[[#This Row],[33kV_OG1_Im (MWh)]],"")</f>
        <v>604821.27399999998</v>
      </c>
      <c r="EZ13" s="148">
        <f>RD[[#This Row],[33kV_OG1_Ex (MWh)]]-RD[[#This Row],[33kV_OG1_Im (MWh)]]</f>
        <v>601384.72600000002</v>
      </c>
      <c r="FA13" s="148">
        <f>IFERROR(RD[[#This Row],[132kV_L1_Ex(MWh)]]-RD[[#This Row],[132kV_L1_Im(MWh)]],"")</f>
        <v>598968.00000001676</v>
      </c>
      <c r="FB13" s="55">
        <f>IFERROR(RD[[#This Row],[33kV_Ex(MWh)]]/RD[[#This Row],[Inv Total Gneration (MWh)]]-1,"")</f>
        <v>-1.1149398658395371E-2</v>
      </c>
      <c r="FC13" s="245">
        <f>IFERROR((RD[[#This Row],[Sunset Time (POA&lt;20 W/m2)]]-RD[[#This Row],[Sunrise Time (POA&gt;20 W/m2)]])*24,0)</f>
        <v>11.783333333333333</v>
      </c>
      <c r="FD13" s="246">
        <v>102</v>
      </c>
      <c r="FE13" t="s">
        <v>265</v>
      </c>
      <c r="FF13"/>
      <c r="FG13"/>
    </row>
    <row r="14" spans="1:164">
      <c r="A14" s="133">
        <f t="shared" si="155"/>
        <v>45754</v>
      </c>
      <c r="B14" s="61">
        <f>YEAR(RD[[#This Row],[Date]])+IF(MONTH(RD[[#This Row],[Date]])&gt;=4,1,0)</f>
        <v>2026</v>
      </c>
      <c r="C14" s="61">
        <f>YEAR(RD[[#This Row],[Date]])</f>
        <v>2025</v>
      </c>
      <c r="D14" s="58">
        <f t="shared" si="156"/>
        <v>45748</v>
      </c>
      <c r="E14" s="61">
        <f>DAY(EOMONTH(RD[[#This Row],[Date]],0))</f>
        <v>30</v>
      </c>
      <c r="F14" s="152">
        <v>0.2902777777777778</v>
      </c>
      <c r="G14" s="162">
        <v>0.76388888888888884</v>
      </c>
      <c r="H14" s="124">
        <v>9028.4</v>
      </c>
      <c r="I14" s="124">
        <v>9020.1</v>
      </c>
      <c r="J14" s="124">
        <v>8664.7999999999993</v>
      </c>
      <c r="K14" s="124">
        <v>8729</v>
      </c>
      <c r="L14" s="124">
        <v>8915.4</v>
      </c>
      <c r="M14" s="124">
        <v>8995.5</v>
      </c>
      <c r="N14" s="124">
        <v>8717.5</v>
      </c>
      <c r="O14" s="124">
        <v>9369</v>
      </c>
      <c r="P14" s="124">
        <v>8814.7000000000007</v>
      </c>
      <c r="Q14" s="124">
        <v>8747.4</v>
      </c>
      <c r="R14" s="124">
        <v>8989.2999999999993</v>
      </c>
      <c r="S14" s="124">
        <v>8970.7999999999993</v>
      </c>
      <c r="T14" s="124">
        <v>9129.4</v>
      </c>
      <c r="U14" s="124">
        <v>8983.5</v>
      </c>
      <c r="V14" s="124">
        <v>9075.7999999999993</v>
      </c>
      <c r="W14" s="124">
        <v>8901.1</v>
      </c>
      <c r="X14" s="203">
        <v>12660.3</v>
      </c>
      <c r="Y14" s="203">
        <v>13738.7</v>
      </c>
      <c r="Z14" s="203">
        <v>12487.1</v>
      </c>
      <c r="AA14" s="203">
        <v>13149.6</v>
      </c>
      <c r="AB14" s="203">
        <v>13533.4</v>
      </c>
      <c r="AC14" s="203">
        <v>8453.2000000000007</v>
      </c>
      <c r="AD14" s="203">
        <v>12874.4</v>
      </c>
      <c r="AE14" s="203">
        <v>13004.9</v>
      </c>
      <c r="AF14" s="203">
        <v>12494.2</v>
      </c>
      <c r="AG14" s="203">
        <v>12729</v>
      </c>
      <c r="AH14" s="203">
        <v>12758.8</v>
      </c>
      <c r="AI14" s="203">
        <v>12863.9</v>
      </c>
      <c r="AJ14" s="142">
        <v>10662.6</v>
      </c>
      <c r="AK14" s="142">
        <v>10968.3</v>
      </c>
      <c r="AL14" s="142">
        <v>10671.9</v>
      </c>
      <c r="AM14" s="142">
        <v>10822.1</v>
      </c>
      <c r="AN14" s="142">
        <v>10764.4</v>
      </c>
      <c r="AO14" s="142">
        <v>11159.1</v>
      </c>
      <c r="AP14" s="142">
        <v>10948.3</v>
      </c>
      <c r="AQ14" s="142">
        <v>10794.8</v>
      </c>
      <c r="AR14" s="142">
        <v>8736.1</v>
      </c>
      <c r="AS14" s="142">
        <v>8775.9</v>
      </c>
      <c r="AT14" s="142">
        <v>8786.7999999999993</v>
      </c>
      <c r="AU14" s="142">
        <v>8800.9</v>
      </c>
      <c r="AV14" s="142">
        <v>8948.6</v>
      </c>
      <c r="AW14" s="142">
        <v>8831.5</v>
      </c>
      <c r="AX14" s="142">
        <v>12468</v>
      </c>
      <c r="AY14" s="142">
        <v>13508</v>
      </c>
      <c r="AZ14" s="142">
        <v>10143</v>
      </c>
      <c r="BA14" s="142">
        <v>12261</v>
      </c>
      <c r="BB14" s="142">
        <v>12176</v>
      </c>
      <c r="BC14" s="142">
        <v>9415</v>
      </c>
      <c r="BD14" s="142">
        <v>10005</v>
      </c>
      <c r="BE14" s="142">
        <v>12175</v>
      </c>
      <c r="BF14" s="142">
        <v>10777</v>
      </c>
      <c r="BG14" s="142">
        <v>11709</v>
      </c>
      <c r="BH14" s="142">
        <v>6952</v>
      </c>
      <c r="BI14" s="142">
        <v>3733</v>
      </c>
      <c r="BJ14" s="142">
        <v>3857</v>
      </c>
      <c r="BK14" s="142">
        <v>2267</v>
      </c>
      <c r="BL14" s="142">
        <v>7485</v>
      </c>
      <c r="BM14" s="142">
        <v>7812</v>
      </c>
      <c r="BN14" s="142">
        <v>3706</v>
      </c>
      <c r="BO14" s="142">
        <v>5918.6</v>
      </c>
      <c r="BP14" s="142">
        <v>3831</v>
      </c>
      <c r="BQ14" s="142">
        <v>7092.6</v>
      </c>
      <c r="BR14" s="142">
        <v>0</v>
      </c>
      <c r="BS14" s="142">
        <v>0</v>
      </c>
      <c r="BT14" s="142">
        <v>1613</v>
      </c>
      <c r="BU14" s="142">
        <v>874.9</v>
      </c>
      <c r="BV14" s="142"/>
      <c r="BW14" s="142"/>
      <c r="BX14" s="142"/>
      <c r="BY14" s="142"/>
      <c r="BZ14" s="142">
        <v>1395.2</v>
      </c>
      <c r="CA14" s="142">
        <v>1189.5</v>
      </c>
      <c r="CB14" s="142">
        <v>5120.7</v>
      </c>
      <c r="CC14" s="142">
        <v>5592</v>
      </c>
      <c r="CD14" s="59">
        <v>7.3114926833333271</v>
      </c>
      <c r="CE14" s="59"/>
      <c r="CF14" s="206">
        <v>7.1847138333333245</v>
      </c>
      <c r="CG14" s="206"/>
      <c r="CH14" s="206">
        <v>0.8737235333333343</v>
      </c>
      <c r="CI14" s="206"/>
      <c r="CJ14" s="59">
        <v>1.3355898833333333</v>
      </c>
      <c r="CK14" s="59"/>
      <c r="CL14" s="206">
        <v>33.641074523396867</v>
      </c>
      <c r="CM14" s="206"/>
      <c r="CN14" s="206">
        <v>40.8464974003466</v>
      </c>
      <c r="CO14" s="206"/>
      <c r="CP14" s="206">
        <v>18.576689774696689</v>
      </c>
      <c r="CQ14" s="206"/>
      <c r="CR14" s="59">
        <v>0</v>
      </c>
      <c r="CS14" s="59"/>
      <c r="CT14" s="206">
        <v>1.0249913344887345</v>
      </c>
      <c r="CU14" s="206"/>
      <c r="CV14" s="206">
        <v>2.88</v>
      </c>
      <c r="CW14" s="260"/>
      <c r="CX14" s="204">
        <f>IFERROR(AVERAGEIF(RD[[#This Row],[IS1POA1 (KWh/m2)]:[IS7POA2 (KWh/m2)]],"&lt;&gt;0",RD[[#This Row],[IS1POA1 (KWh/m2)]:[IS7POA2 (KWh/m2)]]),"")</f>
        <v>7.3114926833333271</v>
      </c>
      <c r="CY14" s="204">
        <f>IFERROR(AVERAGEIF(RD[[#This Row],[IS1GHI1 (KWh/m2)]:[IS7GHI2 (KWh/m2)]],"&lt;&gt;0",RD[[#This Row],[IS1GHI1 (KWh/m2)]:[IS7GHI2 (KWh/m2)]]),"")</f>
        <v>7.1847138333333245</v>
      </c>
      <c r="CZ14" s="204">
        <f>IFERROR(AVERAGEIF(RD[[#This Row],[IS1POA_BS1 (KWh/m2)]:[IS7POA_BS2 (KWh/m2)]],"&lt;&gt;0",RD[[#This Row],[IS1POA_BS1 (KWh/m2)]:[IS7POA_BS2 (KWh/m2)]]),"")</f>
        <v>0.8737235333333343</v>
      </c>
      <c r="DA14" s="204">
        <f>IFERROR(AVERAGEIF(RD[[#This Row],[IS1GHI_BS1 (KWh/m2)]:[IS1GHI_BS1 (KWh/m2)2]],"&lt;&gt;0",RD[[#This Row],[IS1GHI_BS1 (KWh/m2)]:[IS1GHI_BS1 (KWh/m2)2]]),"")</f>
        <v>1.3355898833333333</v>
      </c>
      <c r="DB14" s="204">
        <f>IFERROR(AVERAGEIF(RD[[#This Row],[IS1AT1 (°C)]:[IS7AT2 (°C)]],"&lt;&gt;0",RD[[#This Row],[IS1AT1 (°C)]:[IS7AT2 (°C)]]),"")</f>
        <v>33.641074523396867</v>
      </c>
      <c r="DC14" s="204">
        <f>IFERROR(AVERAGEIF(RD[[#This Row],[IS1MT1 (°C)]:[IS7MT2 (°C)]],"&lt;&gt;0",RD[[#This Row],[IS1MT1 (°C)]:[IS7MT2 (°C)]]),"")</f>
        <v>40.8464974003466</v>
      </c>
      <c r="DD14" s="204">
        <f>IFERROR(AVERAGEIF(RD[[#This Row],[IS1RH1 (%)]:[IS7RH2 (%)]],"&lt;&gt;0",RD[[#This Row],[IS1RH1 (%)]:[IS7RH2 (%)]]),"")</f>
        <v>18.576689774696689</v>
      </c>
      <c r="DE14" s="51" t="str">
        <f>IFERROR(AVERAGEIF(RD[[#This Row],[IS1Rain1 (mm)]:[IS7Rain2 (mm)]],"&lt;&gt;0",RD[[#This Row],[IS1Rain1 (mm)]:[IS7Rain2 (mm)]]),"")</f>
        <v/>
      </c>
      <c r="DF14" s="204">
        <f>IFERROR(AVERAGEIF(RD[[#This Row],[WS_Solar1_Avg (m/s)]:[IS7_WS_Solar1_Avg (m/s)]],"&lt;&gt;0",RD[[#This Row],[WS_Solar1_Avg (m/s)]:[IS7_WS_Solar1_Avg (m/s)]]),"")</f>
        <v>1.0249913344887345</v>
      </c>
      <c r="DG14" s="204">
        <f>IFERROR(AVERAGEIF(RD[[#This Row],[WS_Solar1_Max (m/s)]:[IS7_WS_Solar1_Max (m/s)]],"&lt;&gt;0",RD[[#This Row],[WS_Solar1_Max (m/s)]:[IS7_WS_Solar1_Max (m/s)]]),"")</f>
        <v>2.88</v>
      </c>
      <c r="DH14" s="204">
        <f>SUM(RD[[#This Row],[IS1Inv1M1]:[IS4Inv4M2]])</f>
        <v>293799.2</v>
      </c>
      <c r="DI14" s="205">
        <f>SUM(RD[[#This Row],[IS7Inv1M1]]+RD[[#This Row],[IS7Inv2M1]])</f>
        <v>17512</v>
      </c>
      <c r="DJ14" s="204">
        <f>SUM(RD[[#This Row],[IS5Inv1M1]:[IS5Inv2M2]])</f>
        <v>43124.9</v>
      </c>
      <c r="DK14" s="204">
        <f>SUM(RD[[#This Row],[IS8Inv1M1]:[IS9Inv2M2]])</f>
        <v>83747.799999999988</v>
      </c>
      <c r="DL14" s="60">
        <f>SUM(RD[[#This Row],[IS6Inv1M1]:[IS6Inv2M2]])</f>
        <v>43666.600000000006</v>
      </c>
      <c r="DM14" s="51">
        <f>SUM(RD[[#This Row],[IS10Inv1M1]:[IS11Inv1M4]],RD[[#This Row],[IS14Inv1M1]:[IS14Inv2M4]])</f>
        <v>111660.4</v>
      </c>
      <c r="DN14" s="288">
        <f>SUM(RD[[#This Row],[IS12Inv1M1]:[IS12Inv1M4]])</f>
        <v>20548.2</v>
      </c>
      <c r="DO14" s="288">
        <f>SUM(RD[[#This Row],[IS13Inv1M1]:[IS13Inv2M2]])</f>
        <v>2487.9</v>
      </c>
      <c r="DP14" s="204">
        <f>SUM(RD[[#This Row],[O2R15]:[O2R26]])</f>
        <v>616547</v>
      </c>
      <c r="DQ14" s="164">
        <v>35490.400000000001</v>
      </c>
      <c r="DR14" s="168">
        <v>198.1</v>
      </c>
      <c r="DS14" s="164">
        <v>30353.1</v>
      </c>
      <c r="DT14" s="164">
        <v>211.1</v>
      </c>
      <c r="DU14" s="168">
        <v>34675.599999999999</v>
      </c>
      <c r="DV14" s="168">
        <v>378.5</v>
      </c>
      <c r="DW14" s="164">
        <v>3480.9</v>
      </c>
      <c r="DX14" s="168">
        <v>14.9</v>
      </c>
      <c r="DY14" s="168"/>
      <c r="DZ14" s="168"/>
      <c r="EA14" s="140">
        <v>84.88</v>
      </c>
      <c r="EB14" s="243">
        <v>104787632</v>
      </c>
      <c r="EC14" s="242">
        <v>850093.50399999996</v>
      </c>
      <c r="ED14" s="243">
        <v>1014</v>
      </c>
      <c r="EE14" s="243">
        <v>99172</v>
      </c>
      <c r="EF14" s="164">
        <v>145382.70000000001</v>
      </c>
      <c r="EG14" s="164">
        <v>1683.6</v>
      </c>
      <c r="EH14" s="146">
        <f>IF((RD[[#This Row],[33 kV_F3_Ex
Incomer1]]-DQ13)*1000&lt;0,0,(RD[[#This Row],[33 kV_F3_Ex
Incomer1]]-DQ13)*1000)</f>
        <v>149500</v>
      </c>
      <c r="EI14" s="146">
        <f>IF((RD[[#This Row],[34 kV_F3_Im
Incomer1]]-DR13)*1000&lt;0,0,(RD[[#This Row],[34 kV_F3_Im
Incomer1]]-DR13)*1000)</f>
        <v>400.00000000000568</v>
      </c>
      <c r="EJ14" s="146">
        <f>IF((RD[[#This Row],[33 kV_F4_Ex
Incomer2]]-DS13)*1000&lt;0,0,(RD[[#This Row],[33 kV_F4_Ex
Incomer2]]-DS13)*1000)</f>
        <v>138699.99999999709</v>
      </c>
      <c r="EK14" s="146">
        <f>IF((RD[[#This Row],[34 kV_F4_Im
Incomer2]]-DT13)*1000&lt;0,0,(RD[[#This Row],[34 kV_F4_Im
Incomer2]]-DT13)*1000)</f>
        <v>400.00000000000568</v>
      </c>
      <c r="EL14" s="146">
        <f>IF((RD[[#This Row],[33 kV_F5_Ex
Incomer3]]-DU13)*1000&lt;0,0,(RD[[#This Row],[33 kV_F5_Ex
Incomer3]]-DU13)*1000)</f>
        <v>185000</v>
      </c>
      <c r="EM14" s="146">
        <f>IF((RD[[#This Row],[34 kV_F5_Im
Incomer3]]-DV13)*1000&lt;0,0,(RD[[#This Row],[34 kV_F5_Im
Incomer3]]-DV13)*1000)</f>
        <v>699.99999999998863</v>
      </c>
      <c r="EN14" s="146">
        <f>IF((RD[[#This Row],[33 kV_F6_Ex
Incomer4]]-DW13)*1000&lt;0,0,(RD[[#This Row],[33 kV_F6_Ex
Incomer4]]-DW13)*1000)</f>
        <v>132400.00000000009</v>
      </c>
      <c r="EO14" s="146">
        <f>IF((RD[[#This Row],[33 kV_F6_Im
Incomer4]]-DX13)*1000&lt;0,0,(RD[[#This Row],[33 kV_F6_Im
Incomer4]]-DX13)*1000)</f>
        <v>500</v>
      </c>
      <c r="EP14" s="146">
        <f>IF((RD[[#This Row],[33 kV_F7_Ex
Incomer5]]-DY13)*1000&lt;0,0,(RD[[#This Row],[33 kV_F7_Ex
Incomer5]]-DY13)*1000)</f>
        <v>0</v>
      </c>
      <c r="EQ14" s="146">
        <f>IF((RD[[#This Row],[33 kV_F7_Im
Incomer5]]-DZ13)*1000&lt;0,0,(RD[[#This Row],[33 kV_F7_Im
Incomer5]]-DZ13)*1000)</f>
        <v>0</v>
      </c>
      <c r="ER14" s="146">
        <f>IF((RD[[#This Row],[33 kV_Aux Trafo]]-EA13)*1000&lt;0,0,(RD[[#This Row],[33 kV_Aux Trafo]]-EA13)*1000)</f>
        <v>280.00000000000114</v>
      </c>
      <c r="ES14" s="158">
        <f>IF((RD[[#This Row],[33kV_OG1_Ex_]]-EB13)*1&lt;0,0,(RD[[#This Row],[33kV_OG1_Ex_]]-EB13)*1)</f>
        <v>606118</v>
      </c>
      <c r="ET14" s="146">
        <f>IF((RD[[#This Row],[33kV_OG1_Im]]-EC13)*1&lt;0,0,(RD[[#This Row],[33kV_OG1_Im]]-EC13)*1)</f>
        <v>2017.5979999999981</v>
      </c>
      <c r="EU14" s="146">
        <f>IF((RD[[#This Row],[132kV_TX1_EX]]-ED13)*720&lt;=0,"",(RD[[#This Row],[132kV_TX1_EX]]-ED13)*720)</f>
        <v>2160</v>
      </c>
      <c r="EV14" s="146">
        <f>IF((RD[[#This Row],[132 kV_Tx1_Im]]-EE13)*720&lt;=0,0,(RD[[#This Row],[132 kV_Tx1_Im]]-EE13)*720)</f>
        <v>434880</v>
      </c>
      <c r="EW14" s="146">
        <f>IF((RD[[#This Row],[132kV_L1_Ex]]-EF13)*720&lt;=0,0,(RD[[#This Row],[132kV_L1_Ex]]-EF13)*720)</f>
        <v>604080</v>
      </c>
      <c r="EX14" s="146">
        <f>IF((RD[[#This Row],[132kV_L1_Im]]-EG13)*720&lt;=0,0,(RD[[#This Row],[132kV_L1_Im]]-EG13)*720)</f>
        <v>2591.9999999999345</v>
      </c>
      <c r="EY14" s="244">
        <f>IFERROR(RD[[#This Row],[33kV_OG1_Ex (MWh)]]+RD[[#This Row],[33kV_OG1_Im (MWh)]],"")</f>
        <v>608135.598</v>
      </c>
      <c r="EZ14" s="148">
        <f>RD[[#This Row],[33kV_OG1_Ex (MWh)]]-RD[[#This Row],[33kV_OG1_Im (MWh)]]</f>
        <v>604100.402</v>
      </c>
      <c r="FA14" s="148">
        <f>IFERROR(RD[[#This Row],[132kV_L1_Ex(MWh)]]-RD[[#This Row],[132kV_L1_Im(MWh)]],"")</f>
        <v>601488.00000000012</v>
      </c>
      <c r="FB14" s="55">
        <f>IFERROR(RD[[#This Row],[33kV_Ex(MWh)]]/RD[[#This Row],[Inv Total Gneration (MWh)]]-1,"")</f>
        <v>-1.3642758784001896E-2</v>
      </c>
      <c r="FC14" s="245">
        <f>IFERROR((RD[[#This Row],[Sunset Time (POA&lt;20 W/m2)]]-RD[[#This Row],[Sunrise Time (POA&gt;20 W/m2)]])*24,0)</f>
        <v>11.366666666666665</v>
      </c>
      <c r="FD14" s="246">
        <v>102</v>
      </c>
      <c r="FE14" t="s">
        <v>268</v>
      </c>
      <c r="FF14"/>
      <c r="FG14"/>
    </row>
    <row r="15" spans="1:164">
      <c r="A15" s="133">
        <f t="shared" si="155"/>
        <v>45755</v>
      </c>
      <c r="B15" s="61">
        <f>YEAR(RD[[#This Row],[Date]])+IF(MONTH(RD[[#This Row],[Date]])&gt;=4,1,0)</f>
        <v>2026</v>
      </c>
      <c r="C15" s="61">
        <f>YEAR(RD[[#This Row],[Date]])</f>
        <v>2025</v>
      </c>
      <c r="D15" s="58">
        <f t="shared" si="156"/>
        <v>45748</v>
      </c>
      <c r="E15" s="61">
        <f>DAY(EOMONTH(RD[[#This Row],[Date]],0))</f>
        <v>30</v>
      </c>
      <c r="F15" s="152">
        <v>0.27013888888888887</v>
      </c>
      <c r="G15" s="162">
        <v>0.76458333333333328</v>
      </c>
      <c r="H15" s="124">
        <v>8902.2000000000007</v>
      </c>
      <c r="I15" s="124">
        <v>8897</v>
      </c>
      <c r="J15" s="124">
        <v>8557.2000000000007</v>
      </c>
      <c r="K15" s="124">
        <v>8617.2000000000007</v>
      </c>
      <c r="L15" s="124">
        <v>8814.4</v>
      </c>
      <c r="M15" s="124">
        <v>8910</v>
      </c>
      <c r="N15" s="124">
        <v>8603.9</v>
      </c>
      <c r="O15" s="124">
        <v>9244</v>
      </c>
      <c r="P15" s="124">
        <v>8675.4</v>
      </c>
      <c r="Q15" s="124">
        <v>8631.2000000000007</v>
      </c>
      <c r="R15" s="124">
        <v>8880.9</v>
      </c>
      <c r="S15" s="124">
        <v>8859.2000000000007</v>
      </c>
      <c r="T15" s="124">
        <v>9032.9</v>
      </c>
      <c r="U15" s="124">
        <v>8874.4</v>
      </c>
      <c r="V15" s="124">
        <v>8972.7000000000007</v>
      </c>
      <c r="W15" s="124">
        <v>8784.4</v>
      </c>
      <c r="X15" s="203">
        <v>12461.6</v>
      </c>
      <c r="Y15" s="203">
        <v>13586.3</v>
      </c>
      <c r="Z15" s="203">
        <v>12269.5</v>
      </c>
      <c r="AA15" s="203">
        <v>12889.6</v>
      </c>
      <c r="AB15" s="203">
        <v>13368</v>
      </c>
      <c r="AC15" s="203">
        <v>8318.6</v>
      </c>
      <c r="AD15" s="203">
        <v>12687</v>
      </c>
      <c r="AE15" s="203">
        <v>12834.8</v>
      </c>
      <c r="AF15" s="203">
        <v>12295.3</v>
      </c>
      <c r="AG15" s="203">
        <v>12586</v>
      </c>
      <c r="AH15" s="203">
        <v>12573.5</v>
      </c>
      <c r="AI15" s="203">
        <v>12699.1</v>
      </c>
      <c r="AJ15" s="142">
        <v>10445</v>
      </c>
      <c r="AK15" s="142">
        <v>10743.3</v>
      </c>
      <c r="AL15" s="142">
        <v>10453.1</v>
      </c>
      <c r="AM15" s="142">
        <v>10603</v>
      </c>
      <c r="AN15" s="142">
        <v>10549</v>
      </c>
      <c r="AO15" s="142">
        <v>10946.5</v>
      </c>
      <c r="AP15" s="142">
        <v>10737</v>
      </c>
      <c r="AQ15" s="142">
        <v>10599.2</v>
      </c>
      <c r="AR15" s="142">
        <v>8620.7999999999993</v>
      </c>
      <c r="AS15" s="142">
        <v>8665.5</v>
      </c>
      <c r="AT15" s="142">
        <v>8661.1</v>
      </c>
      <c r="AU15" s="142">
        <v>8674.2000000000007</v>
      </c>
      <c r="AV15" s="142">
        <v>8835.5</v>
      </c>
      <c r="AW15" s="142">
        <v>8719.9</v>
      </c>
      <c r="AX15" s="142">
        <v>12284</v>
      </c>
      <c r="AY15" s="142">
        <v>13371</v>
      </c>
      <c r="AZ15" s="142">
        <v>9963</v>
      </c>
      <c r="BA15" s="142">
        <v>12046</v>
      </c>
      <c r="BB15" s="142">
        <v>8057.3</v>
      </c>
      <c r="BC15" s="142">
        <v>5287</v>
      </c>
      <c r="BD15" s="142">
        <v>9819.4</v>
      </c>
      <c r="BE15" s="142">
        <v>11891.4</v>
      </c>
      <c r="BF15" s="142">
        <v>10776.5</v>
      </c>
      <c r="BG15" s="142">
        <v>11468.6</v>
      </c>
      <c r="BH15" s="142">
        <v>6800</v>
      </c>
      <c r="BI15" s="142">
        <v>3640</v>
      </c>
      <c r="BJ15" s="142">
        <v>5207.5</v>
      </c>
      <c r="BK15" s="142">
        <v>3476.9</v>
      </c>
      <c r="BL15" s="142">
        <v>7263.9</v>
      </c>
      <c r="BM15" s="142">
        <v>7003.3</v>
      </c>
      <c r="BN15" s="142">
        <v>6923</v>
      </c>
      <c r="BO15" s="142">
        <v>3921</v>
      </c>
      <c r="BP15" s="142">
        <v>5782</v>
      </c>
      <c r="BQ15" s="142">
        <v>3611</v>
      </c>
      <c r="BR15" s="142">
        <v>0</v>
      </c>
      <c r="BS15" s="142">
        <v>0</v>
      </c>
      <c r="BT15" s="142">
        <v>1740</v>
      </c>
      <c r="BU15" s="142">
        <v>845</v>
      </c>
      <c r="BV15" s="142"/>
      <c r="BW15" s="142"/>
      <c r="BX15" s="142"/>
      <c r="BY15" s="142"/>
      <c r="BZ15" s="142">
        <v>1356</v>
      </c>
      <c r="CA15" s="142">
        <v>1156</v>
      </c>
      <c r="CB15" s="142">
        <v>4988</v>
      </c>
      <c r="CC15" s="142">
        <v>6053</v>
      </c>
      <c r="CD15" s="59">
        <v>7.195246400000002</v>
      </c>
      <c r="CE15" s="59"/>
      <c r="CF15" s="206">
        <v>7.0545122499999966</v>
      </c>
      <c r="CG15" s="206"/>
      <c r="CH15" s="206">
        <v>0.88503054999999997</v>
      </c>
      <c r="CI15" s="206"/>
      <c r="CJ15" s="59">
        <v>1.3287214333333337</v>
      </c>
      <c r="CK15" s="59"/>
      <c r="CL15" s="206">
        <v>33.79870801033595</v>
      </c>
      <c r="CM15" s="206"/>
      <c r="CN15" s="206">
        <v>41.103325581395296</v>
      </c>
      <c r="CO15" s="206"/>
      <c r="CP15" s="206">
        <v>18.198191214470288</v>
      </c>
      <c r="CQ15" s="206"/>
      <c r="CR15" s="59">
        <v>0</v>
      </c>
      <c r="CS15" s="59"/>
      <c r="CT15" s="206">
        <v>0.94429198966408301</v>
      </c>
      <c r="CU15" s="206"/>
      <c r="CV15" s="206">
        <v>2.9340000000000002</v>
      </c>
      <c r="CW15" s="260"/>
      <c r="CX15" s="204">
        <f>IFERROR(AVERAGEIF(RD[[#This Row],[IS1POA1 (KWh/m2)]:[IS7POA2 (KWh/m2)]],"&lt;&gt;0",RD[[#This Row],[IS1POA1 (KWh/m2)]:[IS7POA2 (KWh/m2)]]),"")</f>
        <v>7.195246400000002</v>
      </c>
      <c r="CY15" s="204">
        <f>IFERROR(AVERAGEIF(RD[[#This Row],[IS1GHI1 (KWh/m2)]:[IS7GHI2 (KWh/m2)]],"&lt;&gt;0",RD[[#This Row],[IS1GHI1 (KWh/m2)]:[IS7GHI2 (KWh/m2)]]),"")</f>
        <v>7.0545122499999966</v>
      </c>
      <c r="CZ15" s="204">
        <f>IFERROR(AVERAGEIF(RD[[#This Row],[IS1POA_BS1 (KWh/m2)]:[IS7POA_BS2 (KWh/m2)]],"&lt;&gt;0",RD[[#This Row],[IS1POA_BS1 (KWh/m2)]:[IS7POA_BS2 (KWh/m2)]]),"")</f>
        <v>0.88503054999999997</v>
      </c>
      <c r="DA15" s="204">
        <f>IFERROR(AVERAGEIF(RD[[#This Row],[IS1GHI_BS1 (KWh/m2)]:[IS1GHI_BS1 (KWh/m2)2]],"&lt;&gt;0",RD[[#This Row],[IS1GHI_BS1 (KWh/m2)]:[IS1GHI_BS1 (KWh/m2)2]]),"")</f>
        <v>1.3287214333333337</v>
      </c>
      <c r="DB15" s="204">
        <f>IFERROR(AVERAGEIF(RD[[#This Row],[IS1AT1 (°C)]:[IS7AT2 (°C)]],"&lt;&gt;0",RD[[#This Row],[IS1AT1 (°C)]:[IS7AT2 (°C)]]),"")</f>
        <v>33.79870801033595</v>
      </c>
      <c r="DC15" s="204">
        <f>IFERROR(AVERAGEIF(RD[[#This Row],[IS1MT1 (°C)]:[IS7MT2 (°C)]],"&lt;&gt;0",RD[[#This Row],[IS1MT1 (°C)]:[IS7MT2 (°C)]]),"")</f>
        <v>41.103325581395296</v>
      </c>
      <c r="DD15" s="204">
        <f>IFERROR(AVERAGEIF(RD[[#This Row],[IS1RH1 (%)]:[IS7RH2 (%)]],"&lt;&gt;0",RD[[#This Row],[IS1RH1 (%)]:[IS7RH2 (%)]]),"")</f>
        <v>18.198191214470288</v>
      </c>
      <c r="DE15" s="51" t="str">
        <f>IFERROR(AVERAGEIF(RD[[#This Row],[IS1Rain1 (mm)]:[IS7Rain2 (mm)]],"&lt;&gt;0",RD[[#This Row],[IS1Rain1 (mm)]:[IS7Rain2 (mm)]]),"")</f>
        <v/>
      </c>
      <c r="DF15" s="204">
        <f>IFERROR(AVERAGEIF(RD[[#This Row],[WS_Solar1_Avg (m/s)]:[IS7_WS_Solar1_Avg (m/s)]],"&lt;&gt;0",RD[[#This Row],[WS_Solar1_Avg (m/s)]:[IS7_WS_Solar1_Avg (m/s)]]),"")</f>
        <v>0.94429198966408301</v>
      </c>
      <c r="DG15" s="204">
        <f>IFERROR(AVERAGEIF(RD[[#This Row],[WS_Solar1_Max (m/s)]:[IS7_WS_Solar1_Max (m/s)]],"&lt;&gt;0",RD[[#This Row],[WS_Solar1_Max (m/s)]:[IS7_WS_Solar1_Max (m/s)]]),"")</f>
        <v>2.9340000000000002</v>
      </c>
      <c r="DH15" s="204">
        <f>SUM(RD[[#This Row],[IS1Inv1M1]:[IS4Inv4M2]])</f>
        <v>289826.29999999993</v>
      </c>
      <c r="DI15" s="205">
        <f>SUM(RD[[#This Row],[IS7Inv1M1]]+RD[[#This Row],[IS7Inv2M1]])</f>
        <v>17286.3</v>
      </c>
      <c r="DJ15" s="204">
        <f>SUM(RD[[#This Row],[IS5Inv1M1]:[IS5Inv2M2]])</f>
        <v>42244.4</v>
      </c>
      <c r="DK15" s="204">
        <f>SUM(RD[[#This Row],[IS8Inv1M1]:[IS9Inv2M2]])</f>
        <v>82554.700000000012</v>
      </c>
      <c r="DL15" s="60">
        <f>SUM(RD[[#This Row],[IS6Inv1M1]:[IS6Inv2M2]])</f>
        <v>42831.7</v>
      </c>
      <c r="DM15" s="51">
        <f>SUM(RD[[#This Row],[IS10Inv1M1]:[IS11Inv1M4]],RD[[#This Row],[IS14Inv1M1]:[IS14Inv2M4]])</f>
        <v>104244.79999999999</v>
      </c>
      <c r="DN15" s="288">
        <f>SUM(RD[[#This Row],[IS12Inv1M1]:[IS12Inv1M4]])</f>
        <v>20237</v>
      </c>
      <c r="DO15" s="288">
        <f>SUM(RD[[#This Row],[IS13Inv1M1]:[IS13Inv2M2]])</f>
        <v>2585</v>
      </c>
      <c r="DP15" s="204">
        <f>SUM(RD[[#This Row],[O2R15]:[O2R26]])</f>
        <v>601810.19999999995</v>
      </c>
      <c r="DQ15" s="164">
        <v>35637.800000000003</v>
      </c>
      <c r="DR15" s="168">
        <v>198.5</v>
      </c>
      <c r="DS15" s="164">
        <v>30490</v>
      </c>
      <c r="DT15" s="164">
        <v>211.4</v>
      </c>
      <c r="DU15" s="168">
        <v>34857.5</v>
      </c>
      <c r="DV15" s="168">
        <v>379.1</v>
      </c>
      <c r="DW15" s="164">
        <v>3605.8</v>
      </c>
      <c r="DX15" s="168">
        <v>15.3</v>
      </c>
      <c r="DY15" s="168"/>
      <c r="DZ15" s="168"/>
      <c r="EA15" s="140">
        <v>85.18</v>
      </c>
      <c r="EB15" s="243">
        <v>105379184</v>
      </c>
      <c r="EC15" s="242">
        <v>851951.23199999996</v>
      </c>
      <c r="ED15" s="243">
        <v>1016</v>
      </c>
      <c r="EE15" s="243">
        <v>99761</v>
      </c>
      <c r="EF15" s="164">
        <v>146201.5</v>
      </c>
      <c r="EG15" s="164">
        <v>1686.9</v>
      </c>
      <c r="EH15" s="146">
        <f>IF((RD[[#This Row],[33 kV_F3_Ex
Incomer1]]-DQ14)*1000&lt;0,0,(RD[[#This Row],[33 kV_F3_Ex
Incomer1]]-DQ14)*1000)</f>
        <v>147400.00000000146</v>
      </c>
      <c r="EI15" s="146">
        <f>IF((RD[[#This Row],[34 kV_F3_Im
Incomer1]]-DR14)*1000&lt;0,0,(RD[[#This Row],[34 kV_F3_Im
Incomer1]]-DR14)*1000)</f>
        <v>400.00000000000568</v>
      </c>
      <c r="EJ15" s="146">
        <f>IF((RD[[#This Row],[33 kV_F4_Ex
Incomer2]]-DS14)*1000&lt;0,0,(RD[[#This Row],[33 kV_F4_Ex
Incomer2]]-DS14)*1000)</f>
        <v>136900.00000000146</v>
      </c>
      <c r="EK15" s="146">
        <f>IF((RD[[#This Row],[34 kV_F4_Im
Incomer2]]-DT14)*1000&lt;0,0,(RD[[#This Row],[34 kV_F4_Im
Incomer2]]-DT14)*1000)</f>
        <v>300.00000000001137</v>
      </c>
      <c r="EL15" s="146">
        <f>IF((RD[[#This Row],[33 kV_F5_Ex
Incomer3]]-DU14)*1000&lt;0,0,(RD[[#This Row],[33 kV_F5_Ex
Incomer3]]-DU14)*1000)</f>
        <v>181900.00000000146</v>
      </c>
      <c r="EM15" s="146">
        <f>IF((RD[[#This Row],[34 kV_F5_Im
Incomer3]]-DV14)*1000&lt;0,0,(RD[[#This Row],[34 kV_F5_Im
Incomer3]]-DV14)*1000)</f>
        <v>600.00000000002274</v>
      </c>
      <c r="EN15" s="146">
        <f>IF((RD[[#This Row],[33 kV_F6_Ex
Incomer4]]-DW14)*1000&lt;0,0,(RD[[#This Row],[33 kV_F6_Ex
Incomer4]]-DW14)*1000)</f>
        <v>124900.00000000009</v>
      </c>
      <c r="EO15" s="146">
        <f>IF((RD[[#This Row],[33 kV_F6_Im
Incomer4]]-DX14)*1000&lt;0,0,(RD[[#This Row],[33 kV_F6_Im
Incomer4]]-DX14)*1000)</f>
        <v>400.00000000000034</v>
      </c>
      <c r="EP15" s="146">
        <f>IF((RD[[#This Row],[33 kV_F7_Ex
Incomer5]]-DY14)*1000&lt;0,0,(RD[[#This Row],[33 kV_F7_Ex
Incomer5]]-DY14)*1000)</f>
        <v>0</v>
      </c>
      <c r="EQ15" s="146">
        <f>IF((RD[[#This Row],[33 kV_F7_Im
Incomer5]]-DZ14)*1000&lt;0,0,(RD[[#This Row],[33 kV_F7_Im
Incomer5]]-DZ14)*1000)</f>
        <v>0</v>
      </c>
      <c r="ER15" s="146">
        <f>IF((RD[[#This Row],[33 kV_Aux Trafo]]-EA14)*1000&lt;0,0,(RD[[#This Row],[33 kV_Aux Trafo]]-EA14)*1000)</f>
        <v>300.00000000001137</v>
      </c>
      <c r="ES15" s="158">
        <f>IF((RD[[#This Row],[33kV_OG1_Ex_]]-EB14)*1&lt;0,0,(RD[[#This Row],[33kV_OG1_Ex_]]-EB14)*1)</f>
        <v>591552</v>
      </c>
      <c r="ET15" s="146">
        <f>IF((RD[[#This Row],[33kV_OG1_Im]]-EC14)*1&lt;0,0,(RD[[#This Row],[33kV_OG1_Im]]-EC14)*1)</f>
        <v>1857.7280000000028</v>
      </c>
      <c r="EU15" s="146">
        <f>IF((RD[[#This Row],[132kV_TX1_EX]]-ED14)*720&lt;=0,"",(RD[[#This Row],[132kV_TX1_EX]]-ED14)*720)</f>
        <v>1440</v>
      </c>
      <c r="EV15" s="146">
        <f>IF((RD[[#This Row],[132 kV_Tx1_Im]]-EE14)*720&lt;=0,0,(RD[[#This Row],[132 kV_Tx1_Im]]-EE14)*720)</f>
        <v>424080</v>
      </c>
      <c r="EW15" s="146">
        <f>IF((RD[[#This Row],[132kV_L1_Ex]]-EF14)*720&lt;=0,0,(RD[[#This Row],[132kV_L1_Ex]]-EF14)*720)</f>
        <v>589535.99999999162</v>
      </c>
      <c r="EX15" s="146">
        <f>IF((RD[[#This Row],[132kV_L1_Im]]-EG14)*720&lt;=0,0,(RD[[#This Row],[132kV_L1_Im]]-EG14)*720)</f>
        <v>2376.000000000131</v>
      </c>
      <c r="EY15" s="244">
        <f>IFERROR(RD[[#This Row],[33kV_OG1_Ex (MWh)]]+RD[[#This Row],[33kV_OG1_Im (MWh)]],"")</f>
        <v>593409.728</v>
      </c>
      <c r="EZ15" s="148">
        <f>RD[[#This Row],[33kV_OG1_Ex (MWh)]]-RD[[#This Row],[33kV_OG1_Im (MWh)]]</f>
        <v>589694.272</v>
      </c>
      <c r="FA15" s="148">
        <f>IFERROR(RD[[#This Row],[132kV_L1_Ex(MWh)]]-RD[[#This Row],[132kV_L1_Im(MWh)]],"")</f>
        <v>587159.9999999915</v>
      </c>
      <c r="FB15" s="55">
        <f>IFERROR(RD[[#This Row],[33kV_Ex(MWh)]]/RD[[#This Row],[Inv Total Gneration (MWh)]]-1,"")</f>
        <v>-1.3958673349172113E-2</v>
      </c>
      <c r="FC15" s="245">
        <f>IFERROR((RD[[#This Row],[Sunset Time (POA&lt;20 W/m2)]]-RD[[#This Row],[Sunrise Time (POA&gt;20 W/m2)]])*24,0)</f>
        <v>11.866666666666665</v>
      </c>
      <c r="FD15" s="246">
        <v>102</v>
      </c>
      <c r="FE15" s="300" t="s">
        <v>269</v>
      </c>
      <c r="FF15"/>
      <c r="FG15"/>
    </row>
    <row r="16" spans="1:164">
      <c r="A16" s="133">
        <f t="shared" si="155"/>
        <v>45756</v>
      </c>
      <c r="B16" s="61">
        <f>YEAR(RD[[#This Row],[Date]])+IF(MONTH(RD[[#This Row],[Date]])&gt;=4,1,0)</f>
        <v>2026</v>
      </c>
      <c r="C16" s="61">
        <f>YEAR(RD[[#This Row],[Date]])</f>
        <v>2025</v>
      </c>
      <c r="D16" s="58">
        <f t="shared" si="156"/>
        <v>45748</v>
      </c>
      <c r="E16" s="61">
        <f>DAY(EOMONTH(RD[[#This Row],[Date]],0))</f>
        <v>30</v>
      </c>
      <c r="F16" s="152">
        <v>0.2722222222222222</v>
      </c>
      <c r="G16" s="162">
        <v>0.76180555555555551</v>
      </c>
      <c r="H16" s="124">
        <v>8229.2000000000007</v>
      </c>
      <c r="I16" s="124">
        <v>8180.5</v>
      </c>
      <c r="J16" s="124">
        <v>7655.2</v>
      </c>
      <c r="K16" s="124">
        <v>7720.5</v>
      </c>
      <c r="L16" s="124">
        <v>7942.9</v>
      </c>
      <c r="M16" s="124">
        <v>8133.6</v>
      </c>
      <c r="N16" s="124">
        <v>7704</v>
      </c>
      <c r="O16" s="124">
        <v>8638</v>
      </c>
      <c r="P16" s="124">
        <v>8033.8</v>
      </c>
      <c r="Q16" s="124">
        <v>7840.5</v>
      </c>
      <c r="R16" s="124">
        <v>8182.5</v>
      </c>
      <c r="S16" s="124">
        <v>8179.8</v>
      </c>
      <c r="T16" s="124">
        <v>8360.4</v>
      </c>
      <c r="U16" s="124">
        <v>8194.7999999999993</v>
      </c>
      <c r="V16" s="124">
        <v>8283.2999999999993</v>
      </c>
      <c r="W16" s="124">
        <v>8051.5</v>
      </c>
      <c r="X16" s="203">
        <v>11092.5</v>
      </c>
      <c r="Y16" s="203">
        <v>12527.8</v>
      </c>
      <c r="Z16" s="203">
        <v>10870.1</v>
      </c>
      <c r="AA16" s="203">
        <v>11408.5</v>
      </c>
      <c r="AB16" s="203">
        <v>12308</v>
      </c>
      <c r="AC16" s="203">
        <v>7405</v>
      </c>
      <c r="AD16" s="203">
        <v>11386.5</v>
      </c>
      <c r="AE16" s="203">
        <v>11603.1</v>
      </c>
      <c r="AF16" s="203">
        <v>10933.1</v>
      </c>
      <c r="AG16" s="203">
        <v>11249.8</v>
      </c>
      <c r="AH16" s="203">
        <v>11249.4</v>
      </c>
      <c r="AI16" s="203">
        <v>11407.4</v>
      </c>
      <c r="AJ16" s="142">
        <v>9250.1</v>
      </c>
      <c r="AK16" s="142">
        <v>9507.2999999999993</v>
      </c>
      <c r="AL16" s="142">
        <v>9250</v>
      </c>
      <c r="AM16" s="142">
        <v>9380.6</v>
      </c>
      <c r="AN16" s="142">
        <v>9406.6</v>
      </c>
      <c r="AO16" s="142">
        <v>9741.9</v>
      </c>
      <c r="AP16" s="142">
        <v>9584.7000000000007</v>
      </c>
      <c r="AQ16" s="142">
        <v>9438.6</v>
      </c>
      <c r="AR16" s="142">
        <v>7726.7</v>
      </c>
      <c r="AS16" s="142">
        <v>7771.9</v>
      </c>
      <c r="AT16" s="142">
        <v>7699.8</v>
      </c>
      <c r="AU16" s="142">
        <v>7715.5</v>
      </c>
      <c r="AV16" s="142">
        <v>7927.4</v>
      </c>
      <c r="AW16" s="142">
        <v>7798.4</v>
      </c>
      <c r="AX16" s="142">
        <v>11003.1</v>
      </c>
      <c r="AY16" s="142">
        <v>12299.8</v>
      </c>
      <c r="AZ16" s="142">
        <v>8824.5</v>
      </c>
      <c r="BA16" s="142">
        <v>10644.6</v>
      </c>
      <c r="BB16" s="142">
        <v>10517</v>
      </c>
      <c r="BC16" s="142">
        <v>8164.4</v>
      </c>
      <c r="BD16" s="142">
        <v>8661.6</v>
      </c>
      <c r="BE16" s="142">
        <v>10521</v>
      </c>
      <c r="BF16" s="142">
        <v>9490.4</v>
      </c>
      <c r="BG16" s="142">
        <v>10196</v>
      </c>
      <c r="BH16" s="142">
        <v>5973.6</v>
      </c>
      <c r="BI16" s="142">
        <v>4158.8999999999996</v>
      </c>
      <c r="BJ16" s="142">
        <v>4597.3</v>
      </c>
      <c r="BK16" s="142">
        <v>4248.3999999999996</v>
      </c>
      <c r="BL16" s="142">
        <v>6315</v>
      </c>
      <c r="BM16" s="142">
        <v>6214.6</v>
      </c>
      <c r="BN16" s="142">
        <v>6081.8</v>
      </c>
      <c r="BO16" s="142">
        <v>3559.8</v>
      </c>
      <c r="BP16" s="142">
        <v>5072.3999999999996</v>
      </c>
      <c r="BQ16" s="142">
        <v>3166</v>
      </c>
      <c r="BR16" s="142">
        <v>0</v>
      </c>
      <c r="BS16" s="142">
        <v>0</v>
      </c>
      <c r="BT16" s="142">
        <v>1578</v>
      </c>
      <c r="BU16" s="142">
        <v>737</v>
      </c>
      <c r="BV16" s="142"/>
      <c r="BW16" s="142"/>
      <c r="BX16" s="142"/>
      <c r="BY16" s="142"/>
      <c r="BZ16" s="142">
        <v>1172.9000000000001</v>
      </c>
      <c r="CA16" s="142">
        <v>999.5</v>
      </c>
      <c r="CB16" s="142">
        <v>4349.6000000000004</v>
      </c>
      <c r="CC16" s="142">
        <v>5122</v>
      </c>
      <c r="CD16" s="59">
        <v>6.3737436833333359</v>
      </c>
      <c r="CE16" s="59"/>
      <c r="CF16" s="206">
        <v>6.2230471166666685</v>
      </c>
      <c r="CG16" s="206"/>
      <c r="CH16" s="206">
        <v>0.80677334999999928</v>
      </c>
      <c r="CI16" s="206"/>
      <c r="CJ16" s="59">
        <v>1.2042739666666684</v>
      </c>
      <c r="CK16" s="59"/>
      <c r="CL16" s="206">
        <v>33.301143884892149</v>
      </c>
      <c r="CM16" s="206"/>
      <c r="CN16" s="206">
        <v>43.264656115107854</v>
      </c>
      <c r="CO16" s="206"/>
      <c r="CP16" s="206">
        <v>19.770762589928072</v>
      </c>
      <c r="CQ16" s="206"/>
      <c r="CR16" s="59">
        <v>0</v>
      </c>
      <c r="CS16" s="59"/>
      <c r="CT16" s="206">
        <v>0.67707841726618623</v>
      </c>
      <c r="CU16" s="206"/>
      <c r="CV16" s="206">
        <v>2.496</v>
      </c>
      <c r="CW16" s="260"/>
      <c r="CX16" s="204">
        <f>IFERROR(AVERAGEIF(RD[[#This Row],[IS1POA1 (KWh/m2)]:[IS7POA2 (KWh/m2)]],"&lt;&gt;0",RD[[#This Row],[IS1POA1 (KWh/m2)]:[IS7POA2 (KWh/m2)]]),"")</f>
        <v>6.3737436833333359</v>
      </c>
      <c r="CY16" s="204">
        <f>IFERROR(AVERAGEIF(RD[[#This Row],[IS1GHI1 (KWh/m2)]:[IS7GHI2 (KWh/m2)]],"&lt;&gt;0",RD[[#This Row],[IS1GHI1 (KWh/m2)]:[IS7GHI2 (KWh/m2)]]),"")</f>
        <v>6.2230471166666685</v>
      </c>
      <c r="CZ16" s="204">
        <f>IFERROR(AVERAGEIF(RD[[#This Row],[IS1POA_BS1 (KWh/m2)]:[IS7POA_BS2 (KWh/m2)]],"&lt;&gt;0",RD[[#This Row],[IS1POA_BS1 (KWh/m2)]:[IS7POA_BS2 (KWh/m2)]]),"")</f>
        <v>0.80677334999999928</v>
      </c>
      <c r="DA16" s="204">
        <f>IFERROR(AVERAGEIF(RD[[#This Row],[IS1GHI_BS1 (KWh/m2)]:[IS1GHI_BS1 (KWh/m2)2]],"&lt;&gt;0",RD[[#This Row],[IS1GHI_BS1 (KWh/m2)]:[IS1GHI_BS1 (KWh/m2)2]]),"")</f>
        <v>1.2042739666666684</v>
      </c>
      <c r="DB16" s="204">
        <f>IFERROR(AVERAGEIF(RD[[#This Row],[IS1AT1 (°C)]:[IS7AT2 (°C)]],"&lt;&gt;0",RD[[#This Row],[IS1AT1 (°C)]:[IS7AT2 (°C)]]),"")</f>
        <v>33.301143884892149</v>
      </c>
      <c r="DC16" s="204">
        <f>IFERROR(AVERAGEIF(RD[[#This Row],[IS1MT1 (°C)]:[IS7MT2 (°C)]],"&lt;&gt;0",RD[[#This Row],[IS1MT1 (°C)]:[IS7MT2 (°C)]]),"")</f>
        <v>43.264656115107854</v>
      </c>
      <c r="DD16" s="204">
        <f>IFERROR(AVERAGEIF(RD[[#This Row],[IS1RH1 (%)]:[IS7RH2 (%)]],"&lt;&gt;0",RD[[#This Row],[IS1RH1 (%)]:[IS7RH2 (%)]]),"")</f>
        <v>19.770762589928072</v>
      </c>
      <c r="DE16" s="51" t="str">
        <f>IFERROR(AVERAGEIF(RD[[#This Row],[IS1Rain1 (mm)]:[IS7Rain2 (mm)]],"&lt;&gt;0",RD[[#This Row],[IS1Rain1 (mm)]:[IS7Rain2 (mm)]]),"")</f>
        <v/>
      </c>
      <c r="DF16" s="204">
        <f>IFERROR(AVERAGEIF(RD[[#This Row],[WS_Solar1_Avg (m/s)]:[IS7_WS_Solar1_Avg (m/s)]],"&lt;&gt;0",RD[[#This Row],[WS_Solar1_Avg (m/s)]:[IS7_WS_Solar1_Avg (m/s)]]),"")</f>
        <v>0.67707841726618623</v>
      </c>
      <c r="DG16" s="204">
        <f>IFERROR(AVERAGEIF(RD[[#This Row],[WS_Solar1_Max (m/s)]:[IS7_WS_Solar1_Max (m/s)]],"&lt;&gt;0",RD[[#This Row],[WS_Solar1_Max (m/s)]:[IS7_WS_Solar1_Max (m/s)]]),"")</f>
        <v>2.496</v>
      </c>
      <c r="DH16" s="204">
        <f>SUM(RD[[#This Row],[IS1Inv1M1]:[IS4Inv4M2]])</f>
        <v>262771.7</v>
      </c>
      <c r="DI16" s="205">
        <f>SUM(RD[[#This Row],[IS7Inv1M1]]+RD[[#This Row],[IS7Inv2M1]])</f>
        <v>15498.599999999999</v>
      </c>
      <c r="DJ16" s="204">
        <f>SUM(RD[[#This Row],[IS5Inv1M1]:[IS5Inv2M2]])</f>
        <v>37388</v>
      </c>
      <c r="DK16" s="204">
        <f>SUM(RD[[#This Row],[IS8Inv1M1]:[IS9Inv2M2]])</f>
        <v>73913.100000000006</v>
      </c>
      <c r="DL16" s="60">
        <f>SUM(RD[[#This Row],[IS6Inv1M1]:[IS6Inv2M2]])</f>
        <v>38171.800000000003</v>
      </c>
      <c r="DM16" s="51">
        <f>SUM(RD[[#This Row],[IS10Inv1M1]:[IS11Inv1M4]],RD[[#This Row],[IS14Inv1M1]:[IS14Inv2M4]])</f>
        <v>100702.2</v>
      </c>
      <c r="DN16" s="288">
        <f>SUM(RD[[#This Row],[IS12Inv1M1]:[IS12Inv1M4]])</f>
        <v>17880</v>
      </c>
      <c r="DO16" s="288">
        <f>SUM(RD[[#This Row],[IS13Inv1M1]:[IS13Inv2M2]])</f>
        <v>2315</v>
      </c>
      <c r="DP16" s="204">
        <f>SUM(RD[[#This Row],[O2R15]:[O2R26]])</f>
        <v>548640.4</v>
      </c>
      <c r="DQ16" s="164">
        <v>35770.300000000003</v>
      </c>
      <c r="DR16" s="168">
        <v>199.1</v>
      </c>
      <c r="DS16" s="164">
        <v>30615.4</v>
      </c>
      <c r="DT16" s="164">
        <v>211.9</v>
      </c>
      <c r="DU16" s="168">
        <v>35020</v>
      </c>
      <c r="DV16" s="168">
        <v>380</v>
      </c>
      <c r="DW16" s="164">
        <v>3725</v>
      </c>
      <c r="DX16" s="168">
        <v>15.9</v>
      </c>
      <c r="DY16" s="168"/>
      <c r="DZ16" s="168"/>
      <c r="EA16" s="140">
        <v>85.55</v>
      </c>
      <c r="EB16" s="243">
        <v>105919365</v>
      </c>
      <c r="EC16" s="242">
        <v>854759.23199999996</v>
      </c>
      <c r="ED16" s="243">
        <v>1020</v>
      </c>
      <c r="EE16" s="243">
        <v>100299</v>
      </c>
      <c r="EF16" s="164">
        <v>146949.20000000001</v>
      </c>
      <c r="EG16" s="164">
        <v>1691.9</v>
      </c>
      <c r="EH16" s="146">
        <f>IF((RD[[#This Row],[33 kV_F3_Ex
Incomer1]]-DQ15)*1000&lt;0,0,(RD[[#This Row],[33 kV_F3_Ex
Incomer1]]-DQ15)*1000)</f>
        <v>132500</v>
      </c>
      <c r="EI16" s="146">
        <f>IF((RD[[#This Row],[34 kV_F3_Im
Incomer1]]-DR15)*1000&lt;0,0,(RD[[#This Row],[34 kV_F3_Im
Incomer1]]-DR15)*1000)</f>
        <v>599.99999999999432</v>
      </c>
      <c r="EJ16" s="146">
        <f>IF((RD[[#This Row],[33 kV_F4_Ex
Incomer2]]-DS15)*1000&lt;0,0,(RD[[#This Row],[33 kV_F4_Ex
Incomer2]]-DS15)*1000)</f>
        <v>125400.00000000146</v>
      </c>
      <c r="EK16" s="146">
        <f>IF((RD[[#This Row],[34 kV_F4_Im
Incomer2]]-DT15)*1000&lt;0,0,(RD[[#This Row],[34 kV_F4_Im
Incomer2]]-DT15)*1000)</f>
        <v>500</v>
      </c>
      <c r="EL16" s="146">
        <f>IF((RD[[#This Row],[33 kV_F5_Ex
Incomer3]]-DU15)*1000&lt;0,0,(RD[[#This Row],[33 kV_F5_Ex
Incomer3]]-DU15)*1000)</f>
        <v>162500</v>
      </c>
      <c r="EM16" s="146">
        <f>IF((RD[[#This Row],[34 kV_F5_Im
Incomer3]]-DV15)*1000&lt;0,0,(RD[[#This Row],[34 kV_F5_Im
Incomer3]]-DV15)*1000)</f>
        <v>899.99999999997726</v>
      </c>
      <c r="EN16" s="146">
        <f>IF((RD[[#This Row],[33 kV_F6_Ex
Incomer4]]-DW15)*1000&lt;0,0,(RD[[#This Row],[33 kV_F6_Ex
Incomer4]]-DW15)*1000)</f>
        <v>119199.99999999983</v>
      </c>
      <c r="EO16" s="146">
        <f>IF((RD[[#This Row],[33 kV_F6_Im
Incomer4]]-DX15)*1000&lt;0,0,(RD[[#This Row],[33 kV_F6_Im
Incomer4]]-DX15)*1000)</f>
        <v>599.99999999999966</v>
      </c>
      <c r="EP16" s="146">
        <f>IF((RD[[#This Row],[33 kV_F7_Ex
Incomer5]]-DY15)*1000&lt;0,0,(RD[[#This Row],[33 kV_F7_Ex
Incomer5]]-DY15)*1000)</f>
        <v>0</v>
      </c>
      <c r="EQ16" s="146">
        <f>IF((RD[[#This Row],[33 kV_F7_Im
Incomer5]]-DZ15)*1000&lt;0,0,(RD[[#This Row],[33 kV_F7_Im
Incomer5]]-DZ15)*1000)</f>
        <v>0</v>
      </c>
      <c r="ER16" s="146">
        <f>IF((RD[[#This Row],[33 kV_Aux Trafo]]-EA15)*1000&lt;0,0,(RD[[#This Row],[33 kV_Aux Trafo]]-EA15)*1000)</f>
        <v>369.99999999999034</v>
      </c>
      <c r="ES16" s="158">
        <f>IF((RD[[#This Row],[33kV_OG1_Ex_]]-EB15)*1&lt;0,0,(RD[[#This Row],[33kV_OG1_Ex_]]-EB15)*1)</f>
        <v>540181</v>
      </c>
      <c r="ET16" s="146">
        <f>IF((RD[[#This Row],[33kV_OG1_Im]]-EC15)*1&lt;0,0,(RD[[#This Row],[33kV_OG1_Im]]-EC15)*1)</f>
        <v>2808</v>
      </c>
      <c r="EU16" s="146">
        <f>IF((RD[[#This Row],[132kV_TX1_EX]]-ED15)*720&lt;=0,"",(RD[[#This Row],[132kV_TX1_EX]]-ED15)*720)</f>
        <v>2880</v>
      </c>
      <c r="EV16" s="146">
        <f>IF((RD[[#This Row],[132 kV_Tx1_Im]]-EE15)*720&lt;=0,0,(RD[[#This Row],[132 kV_Tx1_Im]]-EE15)*720)</f>
        <v>387360</v>
      </c>
      <c r="EW16" s="146">
        <f>IF((RD[[#This Row],[132kV_L1_Ex]]-EF15)*720&lt;=0,0,(RD[[#This Row],[132kV_L1_Ex]]-EF15)*720)</f>
        <v>538344.00000000838</v>
      </c>
      <c r="EX16" s="146">
        <f>IF((RD[[#This Row],[132kV_L1_Im]]-EG15)*720&lt;=0,0,(RD[[#This Row],[132kV_L1_Im]]-EG15)*720)</f>
        <v>3600</v>
      </c>
      <c r="EY16" s="244">
        <f>IFERROR(RD[[#This Row],[33kV_OG1_Ex (MWh)]]+RD[[#This Row],[33kV_OG1_Im (MWh)]],"")</f>
        <v>542989</v>
      </c>
      <c r="EZ16" s="148">
        <f>RD[[#This Row],[33kV_OG1_Ex (MWh)]]-RD[[#This Row],[33kV_OG1_Im (MWh)]]</f>
        <v>537373</v>
      </c>
      <c r="FA16" s="148">
        <f>IFERROR(RD[[#This Row],[132kV_L1_Ex(MWh)]]-RD[[#This Row],[132kV_L1_Im(MWh)]],"")</f>
        <v>534744.00000000838</v>
      </c>
      <c r="FB16" s="55">
        <f>IFERROR(RD[[#This Row],[33kV_Ex(MWh)]]/RD[[#This Row],[Inv Total Gneration (MWh)]]-1,"")</f>
        <v>-1.03007361470282E-2</v>
      </c>
      <c r="FC16" s="245">
        <f>IFERROR((RD[[#This Row],[Sunset Time (POA&lt;20 W/m2)]]-RD[[#This Row],[Sunrise Time (POA&gt;20 W/m2)]])*24,0)</f>
        <v>11.75</v>
      </c>
      <c r="FD16" s="246">
        <v>102</v>
      </c>
      <c r="FE16" t="s">
        <v>265</v>
      </c>
      <c r="FF16"/>
      <c r="FG16"/>
    </row>
    <row r="17" spans="1:163">
      <c r="A17" s="133">
        <f t="shared" si="155"/>
        <v>45757</v>
      </c>
      <c r="B17" s="61">
        <f>YEAR(RD[[#This Row],[Date]])+IF(MONTH(RD[[#This Row],[Date]])&gt;=4,1,0)</f>
        <v>2026</v>
      </c>
      <c r="C17" s="61">
        <f>YEAR(RD[[#This Row],[Date]])</f>
        <v>2025</v>
      </c>
      <c r="D17" s="58">
        <f t="shared" si="156"/>
        <v>45748</v>
      </c>
      <c r="E17" s="61">
        <f>DAY(EOMONTH(RD[[#This Row],[Date]],0))</f>
        <v>30</v>
      </c>
      <c r="F17" s="152">
        <v>0.27013888888888887</v>
      </c>
      <c r="G17" s="162">
        <v>0.76388888888888884</v>
      </c>
      <c r="H17" s="124">
        <v>8779</v>
      </c>
      <c r="I17" s="124">
        <v>8766.9</v>
      </c>
      <c r="J17" s="124">
        <v>8369.2000000000007</v>
      </c>
      <c r="K17" s="124">
        <v>8426</v>
      </c>
      <c r="L17" s="124">
        <v>8617</v>
      </c>
      <c r="M17" s="124">
        <v>8734.2999999999993</v>
      </c>
      <c r="N17" s="124">
        <v>8435.2000000000007</v>
      </c>
      <c r="O17" s="124">
        <v>9140.9</v>
      </c>
      <c r="P17" s="124">
        <v>8555.4</v>
      </c>
      <c r="Q17" s="124">
        <v>8444.4</v>
      </c>
      <c r="R17" s="124">
        <v>8718.2000000000007</v>
      </c>
      <c r="S17" s="124">
        <v>8712.7000000000007</v>
      </c>
      <c r="T17" s="124">
        <v>8871.9</v>
      </c>
      <c r="U17" s="124">
        <v>8730.9</v>
      </c>
      <c r="V17" s="124">
        <v>8804.5</v>
      </c>
      <c r="W17" s="124">
        <v>8633.7999999999993</v>
      </c>
      <c r="X17" s="203">
        <v>12147.3</v>
      </c>
      <c r="Y17" s="203">
        <v>13296.7</v>
      </c>
      <c r="Z17" s="203">
        <v>11945.7</v>
      </c>
      <c r="AA17" s="203">
        <v>12529.3</v>
      </c>
      <c r="AB17" s="203">
        <v>13059.2</v>
      </c>
      <c r="AC17" s="203">
        <v>8030</v>
      </c>
      <c r="AD17" s="203">
        <v>12369</v>
      </c>
      <c r="AE17" s="203">
        <v>12520.3</v>
      </c>
      <c r="AF17" s="203">
        <v>11890.8</v>
      </c>
      <c r="AG17" s="203">
        <v>12240</v>
      </c>
      <c r="AH17" s="203">
        <v>12264.5</v>
      </c>
      <c r="AI17" s="203">
        <v>12393.2</v>
      </c>
      <c r="AJ17" s="142">
        <v>10039.299999999999</v>
      </c>
      <c r="AK17" s="142">
        <v>10324.700000000001</v>
      </c>
      <c r="AL17" s="142">
        <v>9901.1</v>
      </c>
      <c r="AM17" s="142">
        <v>10192.700000000001</v>
      </c>
      <c r="AN17" s="142">
        <v>10236</v>
      </c>
      <c r="AO17" s="142">
        <v>10571.8</v>
      </c>
      <c r="AP17" s="142">
        <v>10391</v>
      </c>
      <c r="AQ17" s="142">
        <v>10261.1</v>
      </c>
      <c r="AR17" s="142">
        <v>8351.2999999999993</v>
      </c>
      <c r="AS17" s="142">
        <v>8428.9</v>
      </c>
      <c r="AT17" s="142">
        <v>8355.4</v>
      </c>
      <c r="AU17" s="142">
        <v>8378.7000000000007</v>
      </c>
      <c r="AV17" s="142">
        <v>8560.9</v>
      </c>
      <c r="AW17" s="142">
        <v>8489.7999999999993</v>
      </c>
      <c r="AX17" s="142">
        <v>11891</v>
      </c>
      <c r="AY17" s="142">
        <v>12969</v>
      </c>
      <c r="AZ17" s="142">
        <v>9527</v>
      </c>
      <c r="BA17" s="142">
        <v>11514</v>
      </c>
      <c r="BB17" s="142">
        <v>8099</v>
      </c>
      <c r="BC17" s="142">
        <v>5450</v>
      </c>
      <c r="BD17" s="142">
        <v>9467</v>
      </c>
      <c r="BE17" s="142">
        <v>11504</v>
      </c>
      <c r="BF17" s="142">
        <v>10430</v>
      </c>
      <c r="BG17" s="142">
        <v>11193</v>
      </c>
      <c r="BH17" s="142">
        <v>7137</v>
      </c>
      <c r="BI17" s="142">
        <v>4613</v>
      </c>
      <c r="BJ17" s="142">
        <v>6374</v>
      </c>
      <c r="BK17" s="142">
        <v>4745</v>
      </c>
      <c r="BL17" s="142">
        <v>7094</v>
      </c>
      <c r="BM17" s="142">
        <v>7047</v>
      </c>
      <c r="BN17" s="142">
        <v>6864</v>
      </c>
      <c r="BO17" s="142">
        <v>4374</v>
      </c>
      <c r="BP17" s="142">
        <v>5354</v>
      </c>
      <c r="BQ17" s="142">
        <v>3502.5</v>
      </c>
      <c r="BR17" s="142">
        <v>0</v>
      </c>
      <c r="BS17" s="142">
        <v>0</v>
      </c>
      <c r="BT17" s="142">
        <v>1765.8</v>
      </c>
      <c r="BU17" s="142">
        <v>825</v>
      </c>
      <c r="BV17" s="142"/>
      <c r="BW17" s="142"/>
      <c r="BX17" s="142"/>
      <c r="BY17" s="142"/>
      <c r="BZ17" s="142">
        <v>1312.6</v>
      </c>
      <c r="CA17" s="142">
        <v>1118</v>
      </c>
      <c r="CB17" s="142">
        <v>4670</v>
      </c>
      <c r="CC17" s="142">
        <v>6743</v>
      </c>
      <c r="CD17" s="59">
        <v>7.0734217833333304</v>
      </c>
      <c r="CE17" s="59"/>
      <c r="CF17" s="206">
        <v>6.8726599833333353</v>
      </c>
      <c r="CG17" s="206"/>
      <c r="CH17" s="206">
        <v>0.90686493333333273</v>
      </c>
      <c r="CI17" s="206"/>
      <c r="CJ17" s="59">
        <v>1.3100595666666666</v>
      </c>
      <c r="CK17" s="59"/>
      <c r="CL17" s="206">
        <v>34.802471111111082</v>
      </c>
      <c r="CM17" s="206"/>
      <c r="CN17" s="206">
        <v>48.381240888888932</v>
      </c>
      <c r="CO17" s="206"/>
      <c r="CP17" s="206">
        <v>20.884071111111076</v>
      </c>
      <c r="CQ17" s="206"/>
      <c r="CR17" s="59">
        <v>0</v>
      </c>
      <c r="CS17" s="59"/>
      <c r="CT17" s="206">
        <v>1.3233893333333344</v>
      </c>
      <c r="CU17" s="206"/>
      <c r="CV17" s="206">
        <v>3.4350000000000001</v>
      </c>
      <c r="CW17" s="260"/>
      <c r="CX17" s="204">
        <f>IFERROR(AVERAGEIF(RD[[#This Row],[IS1POA1 (KWh/m2)]:[IS7POA2 (KWh/m2)]],"&lt;&gt;0",RD[[#This Row],[IS1POA1 (KWh/m2)]:[IS7POA2 (KWh/m2)]]),"")</f>
        <v>7.0734217833333304</v>
      </c>
      <c r="CY17" s="204">
        <f>IFERROR(AVERAGEIF(RD[[#This Row],[IS1GHI1 (KWh/m2)]:[IS7GHI2 (KWh/m2)]],"&lt;&gt;0",RD[[#This Row],[IS1GHI1 (KWh/m2)]:[IS7GHI2 (KWh/m2)]]),"")</f>
        <v>6.8726599833333353</v>
      </c>
      <c r="CZ17" s="204">
        <f>IFERROR(AVERAGEIF(RD[[#This Row],[IS1POA_BS1 (KWh/m2)]:[IS7POA_BS2 (KWh/m2)]],"&lt;&gt;0",RD[[#This Row],[IS1POA_BS1 (KWh/m2)]:[IS7POA_BS2 (KWh/m2)]]),"")</f>
        <v>0.90686493333333273</v>
      </c>
      <c r="DA17" s="204">
        <f>IFERROR(AVERAGEIF(RD[[#This Row],[IS1GHI_BS1 (KWh/m2)]:[IS1GHI_BS1 (KWh/m2)2]],"&lt;&gt;0",RD[[#This Row],[IS1GHI_BS1 (KWh/m2)]:[IS1GHI_BS1 (KWh/m2)2]]),"")</f>
        <v>1.3100595666666666</v>
      </c>
      <c r="DB17" s="204">
        <f>IFERROR(AVERAGEIF(RD[[#This Row],[IS1AT1 (°C)]:[IS7AT2 (°C)]],"&lt;&gt;0",RD[[#This Row],[IS1AT1 (°C)]:[IS7AT2 (°C)]]),"")</f>
        <v>34.802471111111082</v>
      </c>
      <c r="DC17" s="204">
        <f>IFERROR(AVERAGEIF(RD[[#This Row],[IS1MT1 (°C)]:[IS7MT2 (°C)]],"&lt;&gt;0",RD[[#This Row],[IS1MT1 (°C)]:[IS7MT2 (°C)]]),"")</f>
        <v>48.381240888888932</v>
      </c>
      <c r="DD17" s="204">
        <f>IFERROR(AVERAGEIF(RD[[#This Row],[IS1RH1 (%)]:[IS7RH2 (%)]],"&lt;&gt;0",RD[[#This Row],[IS1RH1 (%)]:[IS7RH2 (%)]]),"")</f>
        <v>20.884071111111076</v>
      </c>
      <c r="DE17" s="51" t="str">
        <f>IFERROR(AVERAGEIF(RD[[#This Row],[IS1Rain1 (mm)]:[IS7Rain2 (mm)]],"&lt;&gt;0",RD[[#This Row],[IS1Rain1 (mm)]:[IS7Rain2 (mm)]]),"")</f>
        <v/>
      </c>
      <c r="DF17" s="204">
        <f>IFERROR(AVERAGEIF(RD[[#This Row],[WS_Solar1_Avg (m/s)]:[IS7_WS_Solar1_Avg (m/s)]],"&lt;&gt;0",RD[[#This Row],[WS_Solar1_Avg (m/s)]:[IS7_WS_Solar1_Avg (m/s)]]),"")</f>
        <v>1.3233893333333344</v>
      </c>
      <c r="DG17" s="204">
        <f>IFERROR(AVERAGEIF(RD[[#This Row],[WS_Solar1_Max (m/s)]:[IS7_WS_Solar1_Max (m/s)]],"&lt;&gt;0",RD[[#This Row],[WS_Solar1_Max (m/s)]:[IS7_WS_Solar1_Max (m/s)]]),"")</f>
        <v>3.4350000000000001</v>
      </c>
      <c r="DH17" s="204">
        <f>SUM(RD[[#This Row],[IS1Inv1M1]:[IS4Inv4M2]])</f>
        <v>283426.3</v>
      </c>
      <c r="DI17" s="205">
        <f>SUM(RD[[#This Row],[IS7Inv1M1]]+RD[[#This Row],[IS7Inv2M1]])</f>
        <v>16780.199999999997</v>
      </c>
      <c r="DJ17" s="204">
        <f>SUM(RD[[#This Row],[IS5Inv1M1]:[IS5Inv2M2]])</f>
        <v>40457.800000000003</v>
      </c>
      <c r="DK17" s="204">
        <f>SUM(RD[[#This Row],[IS8Inv1M1]:[IS9Inv2M2]])</f>
        <v>79685.8</v>
      </c>
      <c r="DL17" s="60">
        <f>SUM(RD[[#This Row],[IS6Inv1M1]:[IS6Inv2M2]])</f>
        <v>41459.9</v>
      </c>
      <c r="DM17" s="51">
        <f>SUM(RD[[#This Row],[IS10Inv1M1]:[IS11Inv1M4]],RD[[#This Row],[IS14Inv1M1]:[IS14Inv2M4]])</f>
        <v>106996.6</v>
      </c>
      <c r="DN17" s="288">
        <f>SUM(RD[[#This Row],[IS12Inv1M1]:[IS12Inv1M4]])</f>
        <v>20094.5</v>
      </c>
      <c r="DO17" s="288">
        <f>SUM(RD[[#This Row],[IS13Inv1M1]:[IS13Inv2M2]])</f>
        <v>2590.8000000000002</v>
      </c>
      <c r="DP17" s="204">
        <f>SUM(RD[[#This Row],[O2R15]:[O2R26]])</f>
        <v>591491.9</v>
      </c>
      <c r="DQ17" s="164">
        <v>35913.800000000003</v>
      </c>
      <c r="DR17" s="168">
        <v>199.3</v>
      </c>
      <c r="DS17" s="164">
        <v>30749.599999999999</v>
      </c>
      <c r="DT17" s="164">
        <v>212.1</v>
      </c>
      <c r="DU17" s="168">
        <v>35195.599999999999</v>
      </c>
      <c r="DV17" s="168">
        <v>380.4</v>
      </c>
      <c r="DW17" s="164">
        <v>3852.5</v>
      </c>
      <c r="DX17" s="168">
        <v>16.3</v>
      </c>
      <c r="DY17" s="168"/>
      <c r="DZ17" s="168"/>
      <c r="EA17" s="140">
        <v>85.81</v>
      </c>
      <c r="EB17" s="243">
        <v>106500956</v>
      </c>
      <c r="EC17" s="242">
        <v>856109.24800000002</v>
      </c>
      <c r="ED17" s="243">
        <v>1022</v>
      </c>
      <c r="EE17" s="243">
        <v>100878</v>
      </c>
      <c r="EF17" s="164">
        <v>147754.20000000001</v>
      </c>
      <c r="EG17" s="164">
        <v>1694.2</v>
      </c>
      <c r="EH17" s="146">
        <f>IF((RD[[#This Row],[33 kV_F3_Ex
Incomer1]]-DQ16)*1000&lt;0,0,(RD[[#This Row],[33 kV_F3_Ex
Incomer1]]-DQ16)*1000)</f>
        <v>143500</v>
      </c>
      <c r="EI17" s="146">
        <f>IF((RD[[#This Row],[34 kV_F3_Im
Incomer1]]-DR16)*1000&lt;0,0,(RD[[#This Row],[34 kV_F3_Im
Incomer1]]-DR16)*1000)</f>
        <v>200.00000000001705</v>
      </c>
      <c r="EJ17" s="146">
        <f>IF((RD[[#This Row],[33 kV_F4_Ex
Incomer2]]-DS16)*1000&lt;0,0,(RD[[#This Row],[33 kV_F4_Ex
Incomer2]]-DS16)*1000)</f>
        <v>134199.99999999709</v>
      </c>
      <c r="EK17" s="146">
        <f>IF((RD[[#This Row],[34 kV_F4_Im
Incomer2]]-DT16)*1000&lt;0,0,(RD[[#This Row],[34 kV_F4_Im
Incomer2]]-DT16)*1000)</f>
        <v>199.99999999998863</v>
      </c>
      <c r="EL17" s="146">
        <f>IF((RD[[#This Row],[33 kV_F5_Ex
Incomer3]]-DU16)*1000&lt;0,0,(RD[[#This Row],[33 kV_F5_Ex
Incomer3]]-DU16)*1000)</f>
        <v>175599.99999999854</v>
      </c>
      <c r="EM17" s="146">
        <f>IF((RD[[#This Row],[34 kV_F5_Im
Incomer3]]-DV16)*1000&lt;0,0,(RD[[#This Row],[34 kV_F5_Im
Incomer3]]-DV16)*1000)</f>
        <v>399.99999999997726</v>
      </c>
      <c r="EN17" s="146">
        <f>IF((RD[[#This Row],[33 kV_F6_Ex
Incomer4]]-DW16)*1000&lt;0,0,(RD[[#This Row],[33 kV_F6_Ex
Incomer4]]-DW16)*1000)</f>
        <v>127500</v>
      </c>
      <c r="EO17" s="146">
        <f>IF((RD[[#This Row],[33 kV_F6_Im
Incomer4]]-DX16)*1000&lt;0,0,(RD[[#This Row],[33 kV_F6_Im
Incomer4]]-DX16)*1000)</f>
        <v>400.00000000000034</v>
      </c>
      <c r="EP17" s="146">
        <f>IF((RD[[#This Row],[33 kV_F7_Ex
Incomer5]]-DY16)*1000&lt;0,0,(RD[[#This Row],[33 kV_F7_Ex
Incomer5]]-DY16)*1000)</f>
        <v>0</v>
      </c>
      <c r="EQ17" s="146">
        <f>IF((RD[[#This Row],[33 kV_F7_Im
Incomer5]]-DZ16)*1000&lt;0,0,(RD[[#This Row],[33 kV_F7_Im
Incomer5]]-DZ16)*1000)</f>
        <v>0</v>
      </c>
      <c r="ER17" s="146">
        <f>IF((RD[[#This Row],[33 kV_Aux Trafo]]-EA16)*1000&lt;0,0,(RD[[#This Row],[33 kV_Aux Trafo]]-EA16)*1000)</f>
        <v>260.00000000000512</v>
      </c>
      <c r="ES17" s="158">
        <f>IF((RD[[#This Row],[33kV_OG1_Ex_]]-EB16)*1&lt;0,0,(RD[[#This Row],[33kV_OG1_Ex_]]-EB16)*1)</f>
        <v>581591</v>
      </c>
      <c r="ET17" s="146">
        <f>IF((RD[[#This Row],[33kV_OG1_Im]]-EC16)*1&lt;0,0,(RD[[#This Row],[33kV_OG1_Im]]-EC16)*1)</f>
        <v>1350.0160000000615</v>
      </c>
      <c r="EU17" s="146">
        <f>IF((RD[[#This Row],[132kV_TX1_EX]]-ED16)*720&lt;=0,"",(RD[[#This Row],[132kV_TX1_EX]]-ED16)*720)</f>
        <v>1440</v>
      </c>
      <c r="EV17" s="146">
        <f>IF((RD[[#This Row],[132 kV_Tx1_Im]]-EE16)*720&lt;=0,0,(RD[[#This Row],[132 kV_Tx1_Im]]-EE16)*720)</f>
        <v>416880</v>
      </c>
      <c r="EW17" s="146">
        <f>IF((RD[[#This Row],[132kV_L1_Ex]]-EF16)*720&lt;=0,0,(RD[[#This Row],[132kV_L1_Ex]]-EF16)*720)</f>
        <v>579600</v>
      </c>
      <c r="EX17" s="146">
        <f>IF((RD[[#This Row],[132kV_L1_Im]]-EG16)*720&lt;=0,0,(RD[[#This Row],[132kV_L1_Im]]-EG16)*720)</f>
        <v>1655.9999999999673</v>
      </c>
      <c r="EY17" s="244">
        <f>IFERROR(RD[[#This Row],[33kV_OG1_Ex (MWh)]]+RD[[#This Row],[33kV_OG1_Im (MWh)]],"")</f>
        <v>582941.01600000006</v>
      </c>
      <c r="EZ17" s="148">
        <f>RD[[#This Row],[33kV_OG1_Ex (MWh)]]-RD[[#This Row],[33kV_OG1_Im (MWh)]]</f>
        <v>580240.98399999994</v>
      </c>
      <c r="FA17" s="148">
        <f>IFERROR(RD[[#This Row],[132kV_L1_Ex(MWh)]]-RD[[#This Row],[132kV_L1_Im(MWh)]],"")</f>
        <v>577944</v>
      </c>
      <c r="FB17" s="55">
        <f>IFERROR(RD[[#This Row],[33kV_Ex(MWh)]]/RD[[#This Row],[Inv Total Gneration (MWh)]]-1,"")</f>
        <v>-1.445646846558668E-2</v>
      </c>
      <c r="FC17" s="245">
        <f>IFERROR((RD[[#This Row],[Sunset Time (POA&lt;20 W/m2)]]-RD[[#This Row],[Sunrise Time (POA&gt;20 W/m2)]])*24,0)</f>
        <v>11.85</v>
      </c>
      <c r="FD17" s="246">
        <v>102</v>
      </c>
      <c r="FE17" t="s">
        <v>265</v>
      </c>
      <c r="FF17"/>
      <c r="FG17"/>
    </row>
    <row r="18" spans="1:163">
      <c r="A18" s="133">
        <f t="shared" si="155"/>
        <v>45758</v>
      </c>
      <c r="B18" s="61">
        <f>YEAR(RD[[#This Row],[Date]])+IF(MONTH(RD[[#This Row],[Date]])&gt;=4,1,0)</f>
        <v>2026</v>
      </c>
      <c r="C18" s="61">
        <f>YEAR(RD[[#This Row],[Date]])</f>
        <v>2025</v>
      </c>
      <c r="D18" s="58">
        <f t="shared" si="156"/>
        <v>45748</v>
      </c>
      <c r="E18" s="61">
        <f>DAY(EOMONTH(RD[[#This Row],[Date]],0))</f>
        <v>30</v>
      </c>
      <c r="F18" s="152">
        <v>0.27083333333333331</v>
      </c>
      <c r="G18" s="162">
        <v>0.76527777777777772</v>
      </c>
      <c r="H18" s="124">
        <v>8884</v>
      </c>
      <c r="I18" s="124">
        <v>8858.5</v>
      </c>
      <c r="J18" s="124">
        <v>8441.7000000000007</v>
      </c>
      <c r="K18" s="124">
        <v>8540.4</v>
      </c>
      <c r="L18" s="124">
        <v>8713.2000000000007</v>
      </c>
      <c r="M18" s="124">
        <v>8832</v>
      </c>
      <c r="N18" s="124">
        <v>8519</v>
      </c>
      <c r="O18" s="124">
        <v>9265.7000000000007</v>
      </c>
      <c r="P18" s="124">
        <v>8631.6</v>
      </c>
      <c r="Q18" s="124">
        <v>8568.4</v>
      </c>
      <c r="R18" s="124">
        <v>8787.4</v>
      </c>
      <c r="S18" s="124">
        <v>8766</v>
      </c>
      <c r="T18" s="124">
        <v>8933.7999999999993</v>
      </c>
      <c r="U18" s="124">
        <v>8812.6</v>
      </c>
      <c r="V18" s="124">
        <v>8880.2000000000007</v>
      </c>
      <c r="W18" s="124">
        <v>8699.1</v>
      </c>
      <c r="X18" s="203">
        <v>12270.6</v>
      </c>
      <c r="Y18" s="203">
        <v>13420.9</v>
      </c>
      <c r="Z18" s="203">
        <v>12043</v>
      </c>
      <c r="AA18" s="203">
        <v>12628.5</v>
      </c>
      <c r="AB18" s="203">
        <v>13205.7</v>
      </c>
      <c r="AC18" s="203">
        <v>8105.5</v>
      </c>
      <c r="AD18" s="203">
        <v>12467.7</v>
      </c>
      <c r="AE18" s="203">
        <v>12627.3</v>
      </c>
      <c r="AF18" s="203">
        <v>12027.3</v>
      </c>
      <c r="AG18" s="203">
        <v>12349</v>
      </c>
      <c r="AH18" s="203">
        <v>12389.2</v>
      </c>
      <c r="AI18" s="203">
        <v>12482.7</v>
      </c>
      <c r="AJ18" s="142">
        <v>10256.799999999999</v>
      </c>
      <c r="AK18" s="142">
        <v>10515.9</v>
      </c>
      <c r="AL18" s="142">
        <v>10202.6</v>
      </c>
      <c r="AM18" s="142">
        <v>10244.299999999999</v>
      </c>
      <c r="AN18" s="142">
        <v>10324.799999999999</v>
      </c>
      <c r="AO18" s="142">
        <v>10649</v>
      </c>
      <c r="AP18" s="142">
        <v>10480.1</v>
      </c>
      <c r="AQ18" s="142">
        <v>10333.9</v>
      </c>
      <c r="AR18" s="142">
        <v>8428.7000000000007</v>
      </c>
      <c r="AS18" s="142">
        <v>8483.7999999999993</v>
      </c>
      <c r="AT18" s="142">
        <v>8485.7000000000007</v>
      </c>
      <c r="AU18" s="142">
        <v>8433.6</v>
      </c>
      <c r="AV18" s="142">
        <v>8702.2999999999993</v>
      </c>
      <c r="AW18" s="142">
        <v>8578.2999999999993</v>
      </c>
      <c r="AX18" s="142">
        <v>11986</v>
      </c>
      <c r="AY18" s="142">
        <v>13111</v>
      </c>
      <c r="AZ18" s="142">
        <v>9629</v>
      </c>
      <c r="BA18" s="142">
        <v>11593</v>
      </c>
      <c r="BB18" s="142">
        <v>11553</v>
      </c>
      <c r="BC18" s="142">
        <v>8957</v>
      </c>
      <c r="BD18" s="142">
        <v>9496</v>
      </c>
      <c r="BE18" s="142">
        <v>11524</v>
      </c>
      <c r="BF18" s="142">
        <v>10733</v>
      </c>
      <c r="BG18" s="142">
        <v>11224</v>
      </c>
      <c r="BH18" s="142">
        <v>7158</v>
      </c>
      <c r="BI18" s="142">
        <v>4624</v>
      </c>
      <c r="BJ18" s="142">
        <v>6637</v>
      </c>
      <c r="BK18" s="142">
        <v>5033</v>
      </c>
      <c r="BL18" s="142">
        <v>7133</v>
      </c>
      <c r="BM18" s="142">
        <v>7097</v>
      </c>
      <c r="BN18" s="142">
        <v>6970</v>
      </c>
      <c r="BO18" s="142">
        <v>4377</v>
      </c>
      <c r="BP18" s="142">
        <v>5649</v>
      </c>
      <c r="BQ18" s="142">
        <v>3324</v>
      </c>
      <c r="BR18" s="142">
        <v>0</v>
      </c>
      <c r="BS18" s="142">
        <v>0</v>
      </c>
      <c r="BT18" s="142">
        <v>1764</v>
      </c>
      <c r="BU18" s="142">
        <v>824</v>
      </c>
      <c r="BV18" s="142"/>
      <c r="BW18" s="142"/>
      <c r="BX18" s="142"/>
      <c r="BY18" s="142"/>
      <c r="BZ18" s="142">
        <v>1325</v>
      </c>
      <c r="CA18" s="142">
        <v>1129</v>
      </c>
      <c r="CB18" s="142">
        <v>4688</v>
      </c>
      <c r="CC18" s="142">
        <v>7260</v>
      </c>
      <c r="CD18" s="59">
        <v>7.0755978333333296</v>
      </c>
      <c r="CE18" s="59"/>
      <c r="CF18" s="206">
        <v>6.9105347333333302</v>
      </c>
      <c r="CG18" s="206"/>
      <c r="CH18" s="206">
        <v>0.903054466666667</v>
      </c>
      <c r="CI18" s="206"/>
      <c r="CJ18" s="59">
        <v>1.3228814166666651</v>
      </c>
      <c r="CK18" s="59"/>
      <c r="CL18" s="206">
        <v>32.857876480541414</v>
      </c>
      <c r="CM18" s="206"/>
      <c r="CN18" s="206">
        <v>45.95619543147204</v>
      </c>
      <c r="CO18" s="206"/>
      <c r="CP18" s="206">
        <v>28.471260575296082</v>
      </c>
      <c r="CQ18" s="206"/>
      <c r="CR18" s="59">
        <v>0</v>
      </c>
      <c r="CS18" s="59"/>
      <c r="CT18" s="206">
        <v>1.4104035532994941</v>
      </c>
      <c r="CU18" s="206"/>
      <c r="CV18" s="206">
        <v>3.3119999999999998</v>
      </c>
      <c r="CW18" s="260"/>
      <c r="CX18" s="204">
        <f>IFERROR(AVERAGEIF(RD[[#This Row],[IS1POA1 (KWh/m2)]:[IS7POA2 (KWh/m2)]],"&lt;&gt;0",RD[[#This Row],[IS1POA1 (KWh/m2)]:[IS7POA2 (KWh/m2)]]),"")</f>
        <v>7.0755978333333296</v>
      </c>
      <c r="CY18" s="204">
        <f>IFERROR(AVERAGEIF(RD[[#This Row],[IS1GHI1 (KWh/m2)]:[IS7GHI2 (KWh/m2)]],"&lt;&gt;0",RD[[#This Row],[IS1GHI1 (KWh/m2)]:[IS7GHI2 (KWh/m2)]]),"")</f>
        <v>6.9105347333333302</v>
      </c>
      <c r="CZ18" s="204">
        <f>IFERROR(AVERAGEIF(RD[[#This Row],[IS1POA_BS1 (KWh/m2)]:[IS7POA_BS2 (KWh/m2)]],"&lt;&gt;0",RD[[#This Row],[IS1POA_BS1 (KWh/m2)]:[IS7POA_BS2 (KWh/m2)]]),"")</f>
        <v>0.903054466666667</v>
      </c>
      <c r="DA18" s="204">
        <f>IFERROR(AVERAGEIF(RD[[#This Row],[IS1GHI_BS1 (KWh/m2)]:[IS1GHI_BS1 (KWh/m2)2]],"&lt;&gt;0",RD[[#This Row],[IS1GHI_BS1 (KWh/m2)]:[IS1GHI_BS1 (KWh/m2)2]]),"")</f>
        <v>1.3228814166666651</v>
      </c>
      <c r="DB18" s="204">
        <f>IFERROR(AVERAGEIF(RD[[#This Row],[IS1AT1 (°C)]:[IS7AT2 (°C)]],"&lt;&gt;0",RD[[#This Row],[IS1AT1 (°C)]:[IS7AT2 (°C)]]),"")</f>
        <v>32.857876480541414</v>
      </c>
      <c r="DC18" s="204">
        <f>IFERROR(AVERAGEIF(RD[[#This Row],[IS1MT1 (°C)]:[IS7MT2 (°C)]],"&lt;&gt;0",RD[[#This Row],[IS1MT1 (°C)]:[IS7MT2 (°C)]]),"")</f>
        <v>45.95619543147204</v>
      </c>
      <c r="DD18" s="204">
        <f>IFERROR(AVERAGEIF(RD[[#This Row],[IS1RH1 (%)]:[IS7RH2 (%)]],"&lt;&gt;0",RD[[#This Row],[IS1RH1 (%)]:[IS7RH2 (%)]]),"")</f>
        <v>28.471260575296082</v>
      </c>
      <c r="DE18" s="51" t="str">
        <f>IFERROR(AVERAGEIF(RD[[#This Row],[IS1Rain1 (mm)]:[IS7Rain2 (mm)]],"&lt;&gt;0",RD[[#This Row],[IS1Rain1 (mm)]:[IS7Rain2 (mm)]]),"")</f>
        <v/>
      </c>
      <c r="DF18" s="204">
        <f>IFERROR(AVERAGEIF(RD[[#This Row],[WS_Solar1_Avg (m/s)]:[IS7_WS_Solar1_Avg (m/s)]],"&lt;&gt;0",RD[[#This Row],[WS_Solar1_Avg (m/s)]:[IS7_WS_Solar1_Avg (m/s)]]),"")</f>
        <v>1.4104035532994941</v>
      </c>
      <c r="DG18" s="204">
        <f>IFERROR(AVERAGEIF(RD[[#This Row],[WS_Solar1_Max (m/s)]:[IS7_WS_Solar1_Max (m/s)]],"&lt;&gt;0",RD[[#This Row],[WS_Solar1_Max (m/s)]:[IS7_WS_Solar1_Max (m/s)]]),"")</f>
        <v>3.3119999999999998</v>
      </c>
      <c r="DH18" s="204">
        <f>SUM(RD[[#This Row],[IS1Inv1M1]:[IS4Inv4M2]])</f>
        <v>286151</v>
      </c>
      <c r="DI18" s="205">
        <f>SUM(RD[[#This Row],[IS7Inv1M1]]+RD[[#This Row],[IS7Inv2M1]])</f>
        <v>16912.5</v>
      </c>
      <c r="DJ18" s="204">
        <f>SUM(RD[[#This Row],[IS5Inv1M1]:[IS5Inv2M2]])</f>
        <v>41219.599999999991</v>
      </c>
      <c r="DK18" s="204">
        <f>SUM(RD[[#This Row],[IS8Inv1M1]:[IS9Inv2M2]])</f>
        <v>80518.899999999994</v>
      </c>
      <c r="DL18" s="60">
        <f>SUM(RD[[#This Row],[IS6Inv1M1]:[IS6Inv2M2]])</f>
        <v>41787.800000000003</v>
      </c>
      <c r="DM18" s="51">
        <f>SUM(RD[[#This Row],[IS10Inv1M1]:[IS11Inv1M4]],RD[[#This Row],[IS14Inv1M1]:[IS14Inv2M4]])</f>
        <v>115571</v>
      </c>
      <c r="DN18" s="288">
        <f>SUM(RD[[#This Row],[IS12Inv1M1]:[IS12Inv1M4]])</f>
        <v>20320</v>
      </c>
      <c r="DO18" s="288">
        <f>SUM(RD[[#This Row],[IS13Inv1M1]:[IS13Inv2M2]])</f>
        <v>2588</v>
      </c>
      <c r="DP18" s="204">
        <f>SUM(RD[[#This Row],[O2R15]:[O2R26]])</f>
        <v>605068.80000000005</v>
      </c>
      <c r="DQ18" s="164">
        <v>36058.699999999997</v>
      </c>
      <c r="DR18" s="168">
        <v>199.8</v>
      </c>
      <c r="DS18" s="164">
        <v>30885.5</v>
      </c>
      <c r="DT18" s="164">
        <v>212.6</v>
      </c>
      <c r="DU18" s="168">
        <v>35373.199999999997</v>
      </c>
      <c r="DV18" s="168">
        <v>381.2</v>
      </c>
      <c r="DW18" s="164">
        <v>3988.6</v>
      </c>
      <c r="DX18" s="168">
        <v>16.899999999999999</v>
      </c>
      <c r="DY18" s="168"/>
      <c r="DZ18" s="168"/>
      <c r="EA18" s="140">
        <v>86.13</v>
      </c>
      <c r="EB18" s="243">
        <v>107095990</v>
      </c>
      <c r="EC18" s="242">
        <v>858690.81599999999</v>
      </c>
      <c r="ED18" s="243">
        <v>1025</v>
      </c>
      <c r="EE18" s="243">
        <v>101471</v>
      </c>
      <c r="EF18" s="164">
        <v>148577.70000000001</v>
      </c>
      <c r="EG18" s="164">
        <v>1698.8</v>
      </c>
      <c r="EH18" s="146">
        <f>IF((RD[[#This Row],[33 kV_F3_Ex
Incomer1]]-DQ17)*1000&lt;0,0,(RD[[#This Row],[33 kV_F3_Ex
Incomer1]]-DQ17)*1000)</f>
        <v>144899.99999999418</v>
      </c>
      <c r="EI18" s="146">
        <f>IF((RD[[#This Row],[34 kV_F3_Im
Incomer1]]-DR17)*1000&lt;0,0,(RD[[#This Row],[34 kV_F3_Im
Incomer1]]-DR17)*1000)</f>
        <v>500</v>
      </c>
      <c r="EJ18" s="146">
        <f>IF((RD[[#This Row],[33 kV_F4_Ex
Incomer2]]-DS17)*1000&lt;0,0,(RD[[#This Row],[33 kV_F4_Ex
Incomer2]]-DS17)*1000)</f>
        <v>135900.00000000146</v>
      </c>
      <c r="EK18" s="146">
        <f>IF((RD[[#This Row],[34 kV_F4_Im
Incomer2]]-DT17)*1000&lt;0,0,(RD[[#This Row],[34 kV_F4_Im
Incomer2]]-DT17)*1000)</f>
        <v>500</v>
      </c>
      <c r="EL18" s="146">
        <f>IF((RD[[#This Row],[33 kV_F5_Ex
Incomer3]]-DU17)*1000&lt;0,0,(RD[[#This Row],[33 kV_F5_Ex
Incomer3]]-DU17)*1000)</f>
        <v>177599.99999999854</v>
      </c>
      <c r="EM18" s="146">
        <f>IF((RD[[#This Row],[34 kV_F5_Im
Incomer3]]-DV17)*1000&lt;0,0,(RD[[#This Row],[34 kV_F5_Im
Incomer3]]-DV17)*1000)</f>
        <v>800.00000000001137</v>
      </c>
      <c r="EN18" s="146">
        <f>IF((RD[[#This Row],[33 kV_F6_Ex
Incomer4]]-DW17)*1000&lt;0,0,(RD[[#This Row],[33 kV_F6_Ex
Incomer4]]-DW17)*1000)</f>
        <v>136099.99999999991</v>
      </c>
      <c r="EO18" s="146">
        <f>IF((RD[[#This Row],[33 kV_F6_Im
Incomer4]]-DX17)*1000&lt;0,0,(RD[[#This Row],[33 kV_F6_Im
Incomer4]]-DX17)*1000)</f>
        <v>599.99999999999784</v>
      </c>
      <c r="EP18" s="146">
        <f>IF((RD[[#This Row],[33 kV_F7_Ex
Incomer5]]-DY17)*1000&lt;0,0,(RD[[#This Row],[33 kV_F7_Ex
Incomer5]]-DY17)*1000)</f>
        <v>0</v>
      </c>
      <c r="EQ18" s="146">
        <f>IF((RD[[#This Row],[33 kV_F7_Im
Incomer5]]-DZ17)*1000&lt;0,0,(RD[[#This Row],[33 kV_F7_Im
Incomer5]]-DZ17)*1000)</f>
        <v>0</v>
      </c>
      <c r="ER18" s="146">
        <f>IF((RD[[#This Row],[33 kV_Aux Trafo]]-EA17)*1000&lt;0,0,(RD[[#This Row],[33 kV_Aux Trafo]]-EA17)*1000)</f>
        <v>319.99999999999318</v>
      </c>
      <c r="ES18" s="158">
        <f>IF((RD[[#This Row],[33kV_OG1_Ex_]]-EB17)*1&lt;0,0,(RD[[#This Row],[33kV_OG1_Ex_]]-EB17)*1)</f>
        <v>595034</v>
      </c>
      <c r="ET18" s="146">
        <f>IF((RD[[#This Row],[33kV_OG1_Im]]-EC17)*1&lt;0,0,(RD[[#This Row],[33kV_OG1_Im]]-EC17)*1)</f>
        <v>2581.5679999999702</v>
      </c>
      <c r="EU18" s="146">
        <f>IF((RD[[#This Row],[132kV_TX1_EX]]-ED17)*720&lt;=0,"",(RD[[#This Row],[132kV_TX1_EX]]-ED17)*720)</f>
        <v>2160</v>
      </c>
      <c r="EV18" s="146">
        <f>IF((RD[[#This Row],[132 kV_Tx1_Im]]-EE17)*720&lt;=0,0,(RD[[#This Row],[132 kV_Tx1_Im]]-EE17)*720)</f>
        <v>426960</v>
      </c>
      <c r="EW18" s="146">
        <f>IF((RD[[#This Row],[132kV_L1_Ex]]-EF17)*720&lt;=0,0,(RD[[#This Row],[132kV_L1_Ex]]-EF17)*720)</f>
        <v>592920</v>
      </c>
      <c r="EX18" s="146">
        <f>IF((RD[[#This Row],[132kV_L1_Im]]-EG17)*720&lt;=0,0,(RD[[#This Row],[132kV_L1_Im]]-EG17)*720)</f>
        <v>3311.9999999999345</v>
      </c>
      <c r="EY18" s="244">
        <f>IFERROR(RD[[#This Row],[33kV_OG1_Ex (MWh)]]+RD[[#This Row],[33kV_OG1_Im (MWh)]],"")</f>
        <v>597615.56799999997</v>
      </c>
      <c r="EZ18" s="148">
        <f>RD[[#This Row],[33kV_OG1_Ex (MWh)]]-RD[[#This Row],[33kV_OG1_Im (MWh)]]</f>
        <v>592452.43200000003</v>
      </c>
      <c r="FA18" s="148">
        <f>IFERROR(RD[[#This Row],[132kV_L1_Ex(MWh)]]-RD[[#This Row],[132kV_L1_Im(MWh)]],"")</f>
        <v>589608.00000000012</v>
      </c>
      <c r="FB18" s="55">
        <f>IFERROR(RD[[#This Row],[33kV_Ex(MWh)]]/RD[[#This Row],[Inv Total Gneration (MWh)]]-1,"")</f>
        <v>-1.2317990945823198E-2</v>
      </c>
      <c r="FC18" s="245">
        <f>IFERROR((RD[[#This Row],[Sunset Time (POA&lt;20 W/m2)]]-RD[[#This Row],[Sunrise Time (POA&gt;20 W/m2)]])*24,0)</f>
        <v>11.866666666666665</v>
      </c>
      <c r="FD18" s="246">
        <v>102</v>
      </c>
      <c r="FE18" t="s">
        <v>268</v>
      </c>
      <c r="FF18"/>
      <c r="FG18"/>
    </row>
    <row r="19" spans="1:163">
      <c r="A19" s="133">
        <f t="shared" si="155"/>
        <v>45759</v>
      </c>
      <c r="B19" s="61">
        <f>YEAR(RD[[#This Row],[Date]])+IF(MONTH(RD[[#This Row],[Date]])&gt;=4,1,0)</f>
        <v>2026</v>
      </c>
      <c r="C19" s="61">
        <f>YEAR(RD[[#This Row],[Date]])</f>
        <v>2025</v>
      </c>
      <c r="D19" s="58">
        <f t="shared" si="156"/>
        <v>45748</v>
      </c>
      <c r="E19" s="61">
        <f>DAY(EOMONTH(RD[[#This Row],[Date]],0))</f>
        <v>30</v>
      </c>
      <c r="F19" s="152">
        <v>0.26944444444444443</v>
      </c>
      <c r="G19" s="162">
        <v>0.7680555555555556</v>
      </c>
      <c r="H19" s="124">
        <v>9054.7999999999993</v>
      </c>
      <c r="I19" s="124">
        <v>9025</v>
      </c>
      <c r="J19" s="124">
        <v>8571.1</v>
      </c>
      <c r="K19" s="124">
        <v>8711.4</v>
      </c>
      <c r="L19" s="124">
        <v>8854.7999999999993</v>
      </c>
      <c r="M19" s="124">
        <v>8972.9</v>
      </c>
      <c r="N19" s="124">
        <v>8652.2000000000007</v>
      </c>
      <c r="O19" s="124">
        <v>9410.4</v>
      </c>
      <c r="P19" s="124">
        <v>8743.9</v>
      </c>
      <c r="Q19" s="124">
        <v>8686.5</v>
      </c>
      <c r="R19" s="124">
        <v>8875.2000000000007</v>
      </c>
      <c r="S19" s="124">
        <v>8846.5</v>
      </c>
      <c r="T19" s="124">
        <v>9024.6</v>
      </c>
      <c r="U19" s="124">
        <v>8891.4</v>
      </c>
      <c r="V19" s="124">
        <v>8981.1</v>
      </c>
      <c r="W19" s="124">
        <v>8820</v>
      </c>
      <c r="X19" s="203">
        <v>12436.8</v>
      </c>
      <c r="Y19" s="203">
        <v>13510.8</v>
      </c>
      <c r="Z19" s="203">
        <v>12234.1</v>
      </c>
      <c r="AA19" s="203">
        <v>12800.7</v>
      </c>
      <c r="AB19" s="203">
        <v>13276.5</v>
      </c>
      <c r="AC19" s="203">
        <v>8331.1</v>
      </c>
      <c r="AD19" s="203">
        <v>12544.8</v>
      </c>
      <c r="AE19" s="203">
        <v>12712.9</v>
      </c>
      <c r="AF19" s="203">
        <v>12120</v>
      </c>
      <c r="AG19" s="203">
        <v>12453</v>
      </c>
      <c r="AH19" s="203">
        <v>12476.1</v>
      </c>
      <c r="AI19" s="203">
        <v>12585.9</v>
      </c>
      <c r="AJ19" s="142">
        <v>10360.5</v>
      </c>
      <c r="AK19" s="142">
        <v>10753</v>
      </c>
      <c r="AL19" s="142">
        <v>10379.5</v>
      </c>
      <c r="AM19" s="142">
        <v>10400.5</v>
      </c>
      <c r="AN19" s="142">
        <v>10492.2</v>
      </c>
      <c r="AO19" s="142">
        <v>10823</v>
      </c>
      <c r="AP19" s="142">
        <v>10643</v>
      </c>
      <c r="AQ19" s="142">
        <v>10503.6</v>
      </c>
      <c r="AR19" s="142">
        <v>8550.9</v>
      </c>
      <c r="AS19" s="142">
        <v>8612.9</v>
      </c>
      <c r="AT19" s="142">
        <v>8479.2000000000007</v>
      </c>
      <c r="AU19" s="142">
        <v>8576.7999999999993</v>
      </c>
      <c r="AV19" s="142">
        <v>8896.5</v>
      </c>
      <c r="AW19" s="142">
        <v>8707.9</v>
      </c>
      <c r="AX19" s="142">
        <v>12170</v>
      </c>
      <c r="AY19" s="142">
        <v>13314</v>
      </c>
      <c r="AZ19" s="142">
        <v>9811</v>
      </c>
      <c r="BA19" s="142">
        <v>11771</v>
      </c>
      <c r="BB19" s="142">
        <v>0</v>
      </c>
      <c r="BC19" s="142">
        <v>0</v>
      </c>
      <c r="BD19" s="142">
        <v>9322.1</v>
      </c>
      <c r="BE19" s="142">
        <v>11309.2</v>
      </c>
      <c r="BF19" s="142">
        <v>10655.7</v>
      </c>
      <c r="BG19" s="142">
        <v>11178.7</v>
      </c>
      <c r="BH19" s="142">
        <v>7487.2</v>
      </c>
      <c r="BI19" s="142">
        <v>4550.7</v>
      </c>
      <c r="BJ19" s="142">
        <v>6810</v>
      </c>
      <c r="BK19" s="142">
        <v>4999</v>
      </c>
      <c r="BL19" s="142">
        <v>7045</v>
      </c>
      <c r="BM19" s="142">
        <v>6950</v>
      </c>
      <c r="BN19" s="142">
        <v>6917</v>
      </c>
      <c r="BO19" s="142">
        <v>4325</v>
      </c>
      <c r="BP19" s="142">
        <v>5659</v>
      </c>
      <c r="BQ19" s="142">
        <v>3292</v>
      </c>
      <c r="BR19" s="142">
        <v>0</v>
      </c>
      <c r="BS19" s="142">
        <v>0</v>
      </c>
      <c r="BT19" s="142">
        <v>1482</v>
      </c>
      <c r="BU19" s="142">
        <v>692</v>
      </c>
      <c r="BV19" s="142"/>
      <c r="BW19" s="142"/>
      <c r="BX19" s="142"/>
      <c r="BY19" s="142"/>
      <c r="BZ19" s="142">
        <v>1326</v>
      </c>
      <c r="CA19" s="142">
        <v>1134</v>
      </c>
      <c r="CB19" s="142">
        <v>4679</v>
      </c>
      <c r="CC19" s="142">
        <v>7195</v>
      </c>
      <c r="CD19" s="59">
        <v>7.132342966666652</v>
      </c>
      <c r="CE19" s="59"/>
      <c r="CF19" s="206">
        <v>6.9940562999999969</v>
      </c>
      <c r="CG19" s="206"/>
      <c r="CH19" s="206">
        <v>0.88438691666666613</v>
      </c>
      <c r="CI19" s="206"/>
      <c r="CJ19" s="59">
        <v>1.3164961666666657</v>
      </c>
      <c r="CK19" s="59"/>
      <c r="CL19" s="206">
        <v>30.362980599647294</v>
      </c>
      <c r="CM19" s="206"/>
      <c r="CN19" s="206">
        <v>44.854952380952348</v>
      </c>
      <c r="CO19" s="206"/>
      <c r="CP19" s="206">
        <v>38.916754850088168</v>
      </c>
      <c r="CQ19" s="206"/>
      <c r="CR19" s="59">
        <v>0</v>
      </c>
      <c r="CS19" s="59"/>
      <c r="CT19" s="206">
        <v>1.3114761904761902</v>
      </c>
      <c r="CU19" s="206"/>
      <c r="CV19" s="206">
        <v>2.9550000000000001</v>
      </c>
      <c r="CW19" s="260"/>
      <c r="CX19" s="204">
        <f>IFERROR(AVERAGEIF(RD[[#This Row],[IS1POA1 (KWh/m2)]:[IS7POA2 (KWh/m2)]],"&lt;&gt;0",RD[[#This Row],[IS1POA1 (KWh/m2)]:[IS7POA2 (KWh/m2)]]),"")</f>
        <v>7.132342966666652</v>
      </c>
      <c r="CY19" s="204">
        <f>IFERROR(AVERAGEIF(RD[[#This Row],[IS1GHI1 (KWh/m2)]:[IS7GHI2 (KWh/m2)]],"&lt;&gt;0",RD[[#This Row],[IS1GHI1 (KWh/m2)]:[IS7GHI2 (KWh/m2)]]),"")</f>
        <v>6.9940562999999969</v>
      </c>
      <c r="CZ19" s="204">
        <f>IFERROR(AVERAGEIF(RD[[#This Row],[IS1POA_BS1 (KWh/m2)]:[IS7POA_BS2 (KWh/m2)]],"&lt;&gt;0",RD[[#This Row],[IS1POA_BS1 (KWh/m2)]:[IS7POA_BS2 (KWh/m2)]]),"")</f>
        <v>0.88438691666666613</v>
      </c>
      <c r="DA19" s="204">
        <f>IFERROR(AVERAGEIF(RD[[#This Row],[IS1GHI_BS1 (KWh/m2)]:[IS1GHI_BS1 (KWh/m2)2]],"&lt;&gt;0",RD[[#This Row],[IS1GHI_BS1 (KWh/m2)]:[IS1GHI_BS1 (KWh/m2)2]]),"")</f>
        <v>1.3164961666666657</v>
      </c>
      <c r="DB19" s="204">
        <f>IFERROR(AVERAGEIF(RD[[#This Row],[IS1AT1 (°C)]:[IS7AT2 (°C)]],"&lt;&gt;0",RD[[#This Row],[IS1AT1 (°C)]:[IS7AT2 (°C)]]),"")</f>
        <v>30.362980599647294</v>
      </c>
      <c r="DC19" s="204">
        <f>IFERROR(AVERAGEIF(RD[[#This Row],[IS1MT1 (°C)]:[IS7MT2 (°C)]],"&lt;&gt;0",RD[[#This Row],[IS1MT1 (°C)]:[IS7MT2 (°C)]]),"")</f>
        <v>44.854952380952348</v>
      </c>
      <c r="DD19" s="204">
        <f>IFERROR(AVERAGEIF(RD[[#This Row],[IS1RH1 (%)]:[IS7RH2 (%)]],"&lt;&gt;0",RD[[#This Row],[IS1RH1 (%)]:[IS7RH2 (%)]]),"")</f>
        <v>38.916754850088168</v>
      </c>
      <c r="DE19" s="51" t="str">
        <f>IFERROR(AVERAGEIF(RD[[#This Row],[IS1Rain1 (mm)]:[IS7Rain2 (mm)]],"&lt;&gt;0",RD[[#This Row],[IS1Rain1 (mm)]:[IS7Rain2 (mm)]]),"")</f>
        <v/>
      </c>
      <c r="DF19" s="204">
        <f>IFERROR(AVERAGEIF(RD[[#This Row],[WS_Solar1_Avg (m/s)]:[IS7_WS_Solar1_Avg (m/s)]],"&lt;&gt;0",RD[[#This Row],[WS_Solar1_Avg (m/s)]:[IS7_WS_Solar1_Avg (m/s)]]),"")</f>
        <v>1.3114761904761902</v>
      </c>
      <c r="DG19" s="204">
        <f>IFERROR(AVERAGEIF(RD[[#This Row],[WS_Solar1_Max (m/s)]:[IS7_WS_Solar1_Max (m/s)]],"&lt;&gt;0",RD[[#This Row],[WS_Solar1_Max (m/s)]:[IS7_WS_Solar1_Max (m/s)]]),"")</f>
        <v>2.9550000000000001</v>
      </c>
      <c r="DH19" s="204">
        <f>SUM(RD[[#This Row],[IS1Inv1M1]:[IS4Inv4M2]])</f>
        <v>289604.5</v>
      </c>
      <c r="DI19" s="205">
        <f>SUM(RD[[#This Row],[IS7Inv1M1]]+RD[[#This Row],[IS7Inv2M1]])</f>
        <v>17163.8</v>
      </c>
      <c r="DJ19" s="204">
        <f>SUM(RD[[#This Row],[IS5Inv1M1]:[IS5Inv2M2]])</f>
        <v>41893.5</v>
      </c>
      <c r="DK19" s="204">
        <f>SUM(RD[[#This Row],[IS8Inv1M1]:[IS9Inv2M2]])</f>
        <v>81726.399999999994</v>
      </c>
      <c r="DL19" s="60">
        <f>SUM(RD[[#This Row],[IS6Inv1M1]:[IS6Inv2M2]])</f>
        <v>42461.8</v>
      </c>
      <c r="DM19" s="51">
        <f>SUM(RD[[#This Row],[IS10Inv1M1]:[IS11Inv1M4]],RD[[#This Row],[IS14Inv1M1]:[IS14Inv2M4]])</f>
        <v>94641.600000000006</v>
      </c>
      <c r="DN19" s="288">
        <f>SUM(RD[[#This Row],[IS12Inv1M1]:[IS12Inv1M4]])</f>
        <v>20193</v>
      </c>
      <c r="DO19" s="288">
        <f>SUM(RD[[#This Row],[IS13Inv1M1]:[IS13Inv2M2]])</f>
        <v>2174</v>
      </c>
      <c r="DP19" s="204">
        <f>SUM(RD[[#This Row],[O2R15]:[O2R26]])</f>
        <v>589858.6</v>
      </c>
      <c r="DQ19" s="164">
        <v>36205</v>
      </c>
      <c r="DR19" s="168">
        <v>200.1</v>
      </c>
      <c r="DS19" s="164">
        <v>31023.7</v>
      </c>
      <c r="DT19" s="164">
        <v>212.8</v>
      </c>
      <c r="DU19" s="168">
        <v>35553.5</v>
      </c>
      <c r="DV19" s="168">
        <v>381.7</v>
      </c>
      <c r="DW19" s="164">
        <v>4106.7</v>
      </c>
      <c r="DX19" s="168">
        <v>17.2</v>
      </c>
      <c r="DY19" s="168"/>
      <c r="DZ19" s="168"/>
      <c r="EA19" s="140">
        <v>86.37</v>
      </c>
      <c r="EB19" s="243">
        <v>107679096</v>
      </c>
      <c r="EC19" s="242">
        <v>860142.78399999999</v>
      </c>
      <c r="ED19" s="243">
        <v>1027</v>
      </c>
      <c r="EE19" s="243">
        <v>102052</v>
      </c>
      <c r="EF19" s="164">
        <v>149384.79999999999</v>
      </c>
      <c r="EG19" s="164">
        <v>1701.3</v>
      </c>
      <c r="EH19" s="146">
        <f>IF((RD[[#This Row],[33 kV_F3_Ex
Incomer1]]-DQ18)*1000&lt;0,0,(RD[[#This Row],[33 kV_F3_Ex
Incomer1]]-DQ18)*1000)</f>
        <v>146300.00000000291</v>
      </c>
      <c r="EI19" s="146">
        <f>IF((RD[[#This Row],[34 kV_F3_Im
Incomer1]]-DR18)*1000&lt;0,0,(RD[[#This Row],[34 kV_F3_Im
Incomer1]]-DR18)*1000)</f>
        <v>299.99999999998295</v>
      </c>
      <c r="EJ19" s="146">
        <f>IF((RD[[#This Row],[33 kV_F4_Ex
Incomer2]]-DS18)*1000&lt;0,0,(RD[[#This Row],[33 kV_F4_Ex
Incomer2]]-DS18)*1000)</f>
        <v>138200.00000000073</v>
      </c>
      <c r="EK19" s="146">
        <f>IF((RD[[#This Row],[34 kV_F4_Im
Incomer2]]-DT18)*1000&lt;0,0,(RD[[#This Row],[34 kV_F4_Im
Incomer2]]-DT18)*1000)</f>
        <v>200.00000000001705</v>
      </c>
      <c r="EL19" s="146">
        <f>IF((RD[[#This Row],[33 kV_F5_Ex
Incomer3]]-DU18)*1000&lt;0,0,(RD[[#This Row],[33 kV_F5_Ex
Incomer3]]-DU18)*1000)</f>
        <v>180300.00000000291</v>
      </c>
      <c r="EM19" s="146">
        <f>IF((RD[[#This Row],[34 kV_F5_Im
Incomer3]]-DV18)*1000&lt;0,0,(RD[[#This Row],[34 kV_F5_Im
Incomer3]]-DV18)*1000)</f>
        <v>500</v>
      </c>
      <c r="EN19" s="146">
        <f>IF((RD[[#This Row],[33 kV_F6_Ex
Incomer4]]-DW18)*1000&lt;0,0,(RD[[#This Row],[33 kV_F6_Ex
Incomer4]]-DW18)*1000)</f>
        <v>118099.99999999991</v>
      </c>
      <c r="EO19" s="146">
        <f>IF((RD[[#This Row],[33 kV_F6_Im
Incomer4]]-DX18)*1000&lt;0,0,(RD[[#This Row],[33 kV_F6_Im
Incomer4]]-DX18)*1000)</f>
        <v>300.00000000000068</v>
      </c>
      <c r="EP19" s="146">
        <f>IF((RD[[#This Row],[33 kV_F7_Ex
Incomer5]]-DY18)*1000&lt;0,0,(RD[[#This Row],[33 kV_F7_Ex
Incomer5]]-DY18)*1000)</f>
        <v>0</v>
      </c>
      <c r="EQ19" s="146">
        <f>IF((RD[[#This Row],[33 kV_F7_Im
Incomer5]]-DZ18)*1000&lt;0,0,(RD[[#This Row],[33 kV_F7_Im
Incomer5]]-DZ18)*1000)</f>
        <v>0</v>
      </c>
      <c r="ER19" s="146">
        <f>IF((RD[[#This Row],[33 kV_Aux Trafo]]-EA18)*1000&lt;0,0,(RD[[#This Row],[33 kV_Aux Trafo]]-EA18)*1000)</f>
        <v>240.00000000000909</v>
      </c>
      <c r="ES19" s="158">
        <f>IF((RD[[#This Row],[33kV_OG1_Ex_]]-EB18)*1&lt;0,0,(RD[[#This Row],[33kV_OG1_Ex_]]-EB18)*1)</f>
        <v>583106</v>
      </c>
      <c r="ET19" s="146">
        <f>IF((RD[[#This Row],[33kV_OG1_Im]]-EC18)*1&lt;0,0,(RD[[#This Row],[33kV_OG1_Im]]-EC18)*1)</f>
        <v>1451.9679999999935</v>
      </c>
      <c r="EU19" s="146">
        <f>IF((RD[[#This Row],[132kV_TX1_EX]]-ED18)*720&lt;=0,"",(RD[[#This Row],[132kV_TX1_EX]]-ED18)*720)</f>
        <v>1440</v>
      </c>
      <c r="EV19" s="146">
        <f>IF((RD[[#This Row],[132 kV_Tx1_Im]]-EE18)*720&lt;=0,0,(RD[[#This Row],[132 kV_Tx1_Im]]-EE18)*720)</f>
        <v>418320</v>
      </c>
      <c r="EW19" s="146">
        <f>IF((RD[[#This Row],[132kV_L1_Ex]]-EF18)*720&lt;=0,0,(RD[[#This Row],[132kV_L1_Ex]]-EF18)*720)</f>
        <v>581111.99999998324</v>
      </c>
      <c r="EX19" s="146">
        <f>IF((RD[[#This Row],[132kV_L1_Im]]-EG18)*720&lt;=0,0,(RD[[#This Row],[132kV_L1_Im]]-EG18)*720)</f>
        <v>1800</v>
      </c>
      <c r="EY19" s="244">
        <f>IFERROR(RD[[#This Row],[33kV_OG1_Ex (MWh)]]+RD[[#This Row],[33kV_OG1_Im (MWh)]],"")</f>
        <v>584557.96799999999</v>
      </c>
      <c r="EZ19" s="148">
        <f>RD[[#This Row],[33kV_OG1_Ex (MWh)]]-RD[[#This Row],[33kV_OG1_Im (MWh)]]</f>
        <v>581654.03200000001</v>
      </c>
      <c r="FA19" s="148">
        <f>IFERROR(RD[[#This Row],[132kV_L1_Ex(MWh)]]-RD[[#This Row],[132kV_L1_Im(MWh)]],"")</f>
        <v>579311.99999998324</v>
      </c>
      <c r="FB19" s="55">
        <f>IFERROR(RD[[#This Row],[33kV_Ex(MWh)]]/RD[[#This Row],[Inv Total Gneration (MWh)]]-1,"")</f>
        <v>-8.986275693869672E-3</v>
      </c>
      <c r="FC19" s="245">
        <f>IFERROR((RD[[#This Row],[Sunset Time (POA&lt;20 W/m2)]]-RD[[#This Row],[Sunrise Time (POA&gt;20 W/m2)]])*24,0)</f>
        <v>11.966666666666669</v>
      </c>
      <c r="FD19" s="246">
        <v>102</v>
      </c>
      <c r="FE19" t="s">
        <v>270</v>
      </c>
      <c r="FF19"/>
      <c r="FG19"/>
    </row>
    <row r="20" spans="1:163">
      <c r="A20" s="133">
        <f t="shared" si="155"/>
        <v>45760</v>
      </c>
      <c r="B20" s="61">
        <f>YEAR(RD[[#This Row],[Date]])+IF(MONTH(RD[[#This Row],[Date]])&gt;=4,1,0)</f>
        <v>2026</v>
      </c>
      <c r="C20" s="61">
        <f>YEAR(RD[[#This Row],[Date]])</f>
        <v>2025</v>
      </c>
      <c r="D20" s="58">
        <f t="shared" si="156"/>
        <v>45748</v>
      </c>
      <c r="E20" s="61">
        <f>DAY(EOMONTH(RD[[#This Row],[Date]],0))</f>
        <v>30</v>
      </c>
      <c r="F20" s="152">
        <v>0.2673611111111111</v>
      </c>
      <c r="G20" s="162">
        <v>0.76666666666666672</v>
      </c>
      <c r="H20" s="124">
        <v>8838.6</v>
      </c>
      <c r="I20" s="124">
        <v>8816.1</v>
      </c>
      <c r="J20" s="124">
        <v>8389.5</v>
      </c>
      <c r="K20" s="124">
        <v>8507.7000000000007</v>
      </c>
      <c r="L20" s="124">
        <v>8727.9</v>
      </c>
      <c r="M20" s="124">
        <v>8774.7999999999993</v>
      </c>
      <c r="N20" s="124">
        <v>8472.2999999999993</v>
      </c>
      <c r="O20" s="124">
        <v>9170.5</v>
      </c>
      <c r="P20" s="124">
        <v>8511.7999999999993</v>
      </c>
      <c r="Q20" s="124">
        <v>8486.5</v>
      </c>
      <c r="R20" s="124">
        <v>8700.2999999999993</v>
      </c>
      <c r="S20" s="124">
        <v>8678.2999999999993</v>
      </c>
      <c r="T20" s="124">
        <v>8798.7000000000007</v>
      </c>
      <c r="U20" s="124">
        <v>8695</v>
      </c>
      <c r="V20" s="124">
        <v>8762.1</v>
      </c>
      <c r="W20" s="124">
        <v>8607.4</v>
      </c>
      <c r="X20" s="203">
        <v>12285.1</v>
      </c>
      <c r="Y20" s="203">
        <v>13278.4</v>
      </c>
      <c r="Z20" s="203">
        <v>12035.8</v>
      </c>
      <c r="AA20" s="203">
        <v>12486.9</v>
      </c>
      <c r="AB20" s="203">
        <v>13138.4</v>
      </c>
      <c r="AC20" s="203">
        <v>8303.1</v>
      </c>
      <c r="AD20" s="203">
        <v>12551.4</v>
      </c>
      <c r="AE20" s="203">
        <v>12597.2</v>
      </c>
      <c r="AF20" s="203">
        <v>12047</v>
      </c>
      <c r="AG20" s="203">
        <v>12324</v>
      </c>
      <c r="AH20" s="203">
        <v>12379.1</v>
      </c>
      <c r="AI20" s="203">
        <v>12481.1</v>
      </c>
      <c r="AJ20" s="142">
        <v>10282.6</v>
      </c>
      <c r="AK20" s="142">
        <v>10592.3</v>
      </c>
      <c r="AL20" s="142">
        <v>10256.6</v>
      </c>
      <c r="AM20" s="142">
        <v>10291.799999999999</v>
      </c>
      <c r="AN20" s="142">
        <v>10255.4</v>
      </c>
      <c r="AO20" s="142">
        <v>10559.4</v>
      </c>
      <c r="AP20" s="142">
        <v>10395.5</v>
      </c>
      <c r="AQ20" s="142">
        <v>10248.9</v>
      </c>
      <c r="AR20" s="142">
        <v>8343.4</v>
      </c>
      <c r="AS20" s="142">
        <v>8427</v>
      </c>
      <c r="AT20" s="142">
        <v>8277.2000000000007</v>
      </c>
      <c r="AU20" s="142">
        <v>8509.4</v>
      </c>
      <c r="AV20" s="142">
        <v>8697</v>
      </c>
      <c r="AW20" s="142">
        <v>8522.7000000000007</v>
      </c>
      <c r="AX20" s="142">
        <v>11931</v>
      </c>
      <c r="AY20" s="142">
        <v>13033.9</v>
      </c>
      <c r="AZ20" s="142">
        <v>9608.7000000000007</v>
      </c>
      <c r="BA20" s="142">
        <v>11530.7</v>
      </c>
      <c r="BB20" s="142">
        <v>0</v>
      </c>
      <c r="BC20" s="142">
        <v>0</v>
      </c>
      <c r="BD20" s="142">
        <v>9402</v>
      </c>
      <c r="BE20" s="142">
        <v>11317.8</v>
      </c>
      <c r="BF20" s="142">
        <v>10829.4</v>
      </c>
      <c r="BG20" s="142">
        <v>12147</v>
      </c>
      <c r="BH20" s="142">
        <v>7432.8</v>
      </c>
      <c r="BI20" s="142">
        <v>4576</v>
      </c>
      <c r="BJ20" s="142">
        <v>6828.1</v>
      </c>
      <c r="BK20" s="142">
        <v>5047</v>
      </c>
      <c r="BL20" s="142">
        <v>7137.8</v>
      </c>
      <c r="BM20" s="142">
        <v>7103.2</v>
      </c>
      <c r="BN20" s="142">
        <v>6987</v>
      </c>
      <c r="BO20" s="142">
        <v>4235</v>
      </c>
      <c r="BP20" s="142">
        <v>5722</v>
      </c>
      <c r="BQ20" s="142">
        <v>3379</v>
      </c>
      <c r="BR20" s="142">
        <v>0</v>
      </c>
      <c r="BS20" s="142">
        <v>0</v>
      </c>
      <c r="BT20" s="142">
        <v>1848</v>
      </c>
      <c r="BU20" s="142">
        <v>863</v>
      </c>
      <c r="BV20" s="142"/>
      <c r="BW20" s="142"/>
      <c r="BX20" s="142"/>
      <c r="BY20" s="142"/>
      <c r="BZ20" s="142">
        <v>1353</v>
      </c>
      <c r="CA20" s="142">
        <v>1140</v>
      </c>
      <c r="CB20" s="142">
        <v>4745</v>
      </c>
      <c r="CC20" s="142">
        <v>7325</v>
      </c>
      <c r="CD20" s="59">
        <v>7.2977119500000018</v>
      </c>
      <c r="CE20" s="59"/>
      <c r="CF20" s="206">
        <v>7.1595291833333459</v>
      </c>
      <c r="CG20" s="206"/>
      <c r="CH20" s="206">
        <v>0.93395558333333362</v>
      </c>
      <c r="CI20" s="206"/>
      <c r="CJ20" s="59">
        <v>1.3927207166666655</v>
      </c>
      <c r="CK20" s="59"/>
      <c r="CL20" s="206">
        <v>31.349423076923117</v>
      </c>
      <c r="CM20" s="206"/>
      <c r="CN20" s="206">
        <v>44.587847692307705</v>
      </c>
      <c r="CO20" s="206"/>
      <c r="CP20" s="206">
        <v>38.07503846153849</v>
      </c>
      <c r="CQ20" s="206"/>
      <c r="CR20" s="59">
        <v>0</v>
      </c>
      <c r="CS20" s="59"/>
      <c r="CT20" s="206">
        <v>1.2587630769230778</v>
      </c>
      <c r="CU20" s="206"/>
      <c r="CV20" s="206">
        <v>2.5920000000000001</v>
      </c>
      <c r="CW20" s="260"/>
      <c r="CX20" s="204">
        <f>IFERROR(AVERAGEIF(RD[[#This Row],[IS1POA1 (KWh/m2)]:[IS7POA2 (KWh/m2)]],"&lt;&gt;0",RD[[#This Row],[IS1POA1 (KWh/m2)]:[IS7POA2 (KWh/m2)]]),"")</f>
        <v>7.2977119500000018</v>
      </c>
      <c r="CY20" s="204">
        <f>IFERROR(AVERAGEIF(RD[[#This Row],[IS1GHI1 (KWh/m2)]:[IS7GHI2 (KWh/m2)]],"&lt;&gt;0",RD[[#This Row],[IS1GHI1 (KWh/m2)]:[IS7GHI2 (KWh/m2)]]),"")</f>
        <v>7.1595291833333459</v>
      </c>
      <c r="CZ20" s="204">
        <f>IFERROR(AVERAGEIF(RD[[#This Row],[IS1POA_BS1 (KWh/m2)]:[IS7POA_BS2 (KWh/m2)]],"&lt;&gt;0",RD[[#This Row],[IS1POA_BS1 (KWh/m2)]:[IS7POA_BS2 (KWh/m2)]]),"")</f>
        <v>0.93395558333333362</v>
      </c>
      <c r="DA20" s="204">
        <f>IFERROR(AVERAGEIF(RD[[#This Row],[IS1GHI_BS1 (KWh/m2)]:[IS1GHI_BS1 (KWh/m2)2]],"&lt;&gt;0",RD[[#This Row],[IS1GHI_BS1 (KWh/m2)]:[IS1GHI_BS1 (KWh/m2)2]]),"")</f>
        <v>1.3927207166666655</v>
      </c>
      <c r="DB20" s="204">
        <f>IFERROR(AVERAGEIF(RD[[#This Row],[IS1AT1 (°C)]:[IS7AT2 (°C)]],"&lt;&gt;0",RD[[#This Row],[IS1AT1 (°C)]:[IS7AT2 (°C)]]),"")</f>
        <v>31.349423076923117</v>
      </c>
      <c r="DC20" s="204">
        <f>IFERROR(AVERAGEIF(RD[[#This Row],[IS1MT1 (°C)]:[IS7MT2 (°C)]],"&lt;&gt;0",RD[[#This Row],[IS1MT1 (°C)]:[IS7MT2 (°C)]]),"")</f>
        <v>44.587847692307705</v>
      </c>
      <c r="DD20" s="204">
        <f>IFERROR(AVERAGEIF(RD[[#This Row],[IS1RH1 (%)]:[IS7RH2 (%)]],"&lt;&gt;0",RD[[#This Row],[IS1RH1 (%)]:[IS7RH2 (%)]]),"")</f>
        <v>38.07503846153849</v>
      </c>
      <c r="DE20" s="51" t="str">
        <f>IFERROR(AVERAGEIF(RD[[#This Row],[IS1Rain1 (mm)]:[IS7Rain2 (mm)]],"&lt;&gt;0",RD[[#This Row],[IS1Rain1 (mm)]:[IS7Rain2 (mm)]]),"")</f>
        <v/>
      </c>
      <c r="DF20" s="204">
        <f>IFERROR(AVERAGEIF(RD[[#This Row],[WS_Solar1_Avg (m/s)]:[IS7_WS_Solar1_Avg (m/s)]],"&lt;&gt;0",RD[[#This Row],[WS_Solar1_Avg (m/s)]:[IS7_WS_Solar1_Avg (m/s)]]),"")</f>
        <v>1.2587630769230778</v>
      </c>
      <c r="DG20" s="204">
        <f>IFERROR(AVERAGEIF(RD[[#This Row],[WS_Solar1_Max (m/s)]:[IS7_WS_Solar1_Max (m/s)]],"&lt;&gt;0",RD[[#This Row],[WS_Solar1_Max (m/s)]:[IS7_WS_Solar1_Max (m/s)]]),"")</f>
        <v>2.5920000000000001</v>
      </c>
      <c r="DH20" s="204">
        <f>SUM(RD[[#This Row],[IS1Inv1M1]:[IS4Inv4M2]])</f>
        <v>284845</v>
      </c>
      <c r="DI20" s="205">
        <f>SUM(RD[[#This Row],[IS7Inv1M1]]+RD[[#This Row],[IS7Inv2M1]])</f>
        <v>16770.400000000001</v>
      </c>
      <c r="DJ20" s="204">
        <f>SUM(RD[[#This Row],[IS5Inv1M1]:[IS5Inv2M2]])</f>
        <v>41423.300000000003</v>
      </c>
      <c r="DK20" s="204">
        <f>SUM(RD[[#This Row],[IS8Inv1M1]:[IS9Inv2M2]])</f>
        <v>80110.600000000006</v>
      </c>
      <c r="DL20" s="60">
        <f>SUM(RD[[#This Row],[IS6Inv1M1]:[IS6Inv2M2]])</f>
        <v>41459.199999999997</v>
      </c>
      <c r="DM20" s="51">
        <f>SUM(RD[[#This Row],[IS10Inv1M1]:[IS11Inv1M4]],RD[[#This Row],[IS14Inv1M1]:[IS14Inv2M4]])</f>
        <v>96384.1</v>
      </c>
      <c r="DN20" s="288">
        <f>SUM(RD[[#This Row],[IS12Inv1M1]:[IS12Inv1M4]])</f>
        <v>20323</v>
      </c>
      <c r="DO20" s="288">
        <f>SUM(RD[[#This Row],[IS13Inv1M1]:[IS13Inv2M2]])</f>
        <v>2711</v>
      </c>
      <c r="DP20" s="204">
        <f>SUM(RD[[#This Row],[O2R15]:[O2R26]])</f>
        <v>584026.60000000009</v>
      </c>
      <c r="DQ20" s="164">
        <v>36349.800000000003</v>
      </c>
      <c r="DR20" s="168">
        <v>200.6</v>
      </c>
      <c r="DS20" s="164">
        <v>31158.400000000001</v>
      </c>
      <c r="DT20" s="164">
        <v>213.2</v>
      </c>
      <c r="DU20" s="168">
        <v>35730.400000000001</v>
      </c>
      <c r="DV20" s="168">
        <v>382.5</v>
      </c>
      <c r="DW20" s="164">
        <v>4225.3</v>
      </c>
      <c r="DX20" s="168">
        <v>17.8</v>
      </c>
      <c r="DY20" s="168"/>
      <c r="DZ20" s="168"/>
      <c r="EA20" s="140">
        <v>86.66</v>
      </c>
      <c r="EB20" s="243">
        <v>108254601</v>
      </c>
      <c r="EC20" s="242">
        <v>862512.89599999995</v>
      </c>
      <c r="ED20" s="243">
        <v>1030</v>
      </c>
      <c r="EE20" s="243">
        <v>102625</v>
      </c>
      <c r="EF20" s="164">
        <v>150181.4</v>
      </c>
      <c r="EG20" s="164">
        <v>1705.5</v>
      </c>
      <c r="EH20" s="146">
        <f>IF((RD[[#This Row],[33 kV_F3_Ex
Incomer1]]-DQ19)*1000&lt;0,0,(RD[[#This Row],[33 kV_F3_Ex
Incomer1]]-DQ19)*1000)</f>
        <v>144800.00000000291</v>
      </c>
      <c r="EI20" s="146">
        <f>IF((RD[[#This Row],[34 kV_F3_Im
Incomer1]]-DR19)*1000&lt;0,0,(RD[[#This Row],[34 kV_F3_Im
Incomer1]]-DR19)*1000)</f>
        <v>500</v>
      </c>
      <c r="EJ20" s="146">
        <f>IF((RD[[#This Row],[33 kV_F4_Ex
Incomer2]]-DS19)*1000&lt;0,0,(RD[[#This Row],[33 kV_F4_Ex
Incomer2]]-DS19)*1000)</f>
        <v>134700.00000000073</v>
      </c>
      <c r="EK20" s="146">
        <f>IF((RD[[#This Row],[34 kV_F4_Im
Incomer2]]-DT19)*1000&lt;0,0,(RD[[#This Row],[34 kV_F4_Im
Incomer2]]-DT19)*1000)</f>
        <v>399.99999999997726</v>
      </c>
      <c r="EL20" s="146">
        <f>IF((RD[[#This Row],[33 kV_F5_Ex
Incomer3]]-DU19)*1000&lt;0,0,(RD[[#This Row],[33 kV_F5_Ex
Incomer3]]-DU19)*1000)</f>
        <v>176900.00000000146</v>
      </c>
      <c r="EM20" s="146">
        <f>IF((RD[[#This Row],[34 kV_F5_Im
Incomer3]]-DV19)*1000&lt;0,0,(RD[[#This Row],[34 kV_F5_Im
Incomer3]]-DV19)*1000)</f>
        <v>800.00000000001137</v>
      </c>
      <c r="EN20" s="146">
        <f>IF((RD[[#This Row],[33 kV_F6_Ex
Incomer4]]-DW19)*1000&lt;0,0,(RD[[#This Row],[33 kV_F6_Ex
Incomer4]]-DW19)*1000)</f>
        <v>118600.00000000036</v>
      </c>
      <c r="EO20" s="146">
        <f>IF((RD[[#This Row],[33 kV_F6_Im
Incomer4]]-DX19)*1000&lt;0,0,(RD[[#This Row],[33 kV_F6_Im
Incomer4]]-DX19)*1000)</f>
        <v>600.00000000000136</v>
      </c>
      <c r="EP20" s="146">
        <f>IF((RD[[#This Row],[33 kV_F7_Ex
Incomer5]]-DY19)*1000&lt;0,0,(RD[[#This Row],[33 kV_F7_Ex
Incomer5]]-DY19)*1000)</f>
        <v>0</v>
      </c>
      <c r="EQ20" s="146">
        <f>IF((RD[[#This Row],[33 kV_F7_Im
Incomer5]]-DZ19)*1000&lt;0,0,(RD[[#This Row],[33 kV_F7_Im
Incomer5]]-DZ19)*1000)</f>
        <v>0</v>
      </c>
      <c r="ER20" s="146">
        <f>IF((RD[[#This Row],[33 kV_Aux Trafo]]-EA19)*1000&lt;0,0,(RD[[#This Row],[33 kV_Aux Trafo]]-EA19)*1000)</f>
        <v>289.99999999999204</v>
      </c>
      <c r="ES20" s="158">
        <f>IF((RD[[#This Row],[33kV_OG1_Ex_]]-EB19)*1&lt;0,0,(RD[[#This Row],[33kV_OG1_Ex_]]-EB19)*1)</f>
        <v>575505</v>
      </c>
      <c r="ET20" s="146">
        <f>IF((RD[[#This Row],[33kV_OG1_Im]]-EC19)*1&lt;0,0,(RD[[#This Row],[33kV_OG1_Im]]-EC19)*1)</f>
        <v>2370.1119999999646</v>
      </c>
      <c r="EU20" s="146">
        <f>IF((RD[[#This Row],[132kV_TX1_EX]]-ED19)*720&lt;=0,"",(RD[[#This Row],[132kV_TX1_EX]]-ED19)*720)</f>
        <v>2160</v>
      </c>
      <c r="EV20" s="146">
        <f>IF((RD[[#This Row],[132 kV_Tx1_Im]]-EE19)*720&lt;=0,0,(RD[[#This Row],[132 kV_Tx1_Im]]-EE19)*720)</f>
        <v>412560</v>
      </c>
      <c r="EW20" s="146">
        <f>IF((RD[[#This Row],[132kV_L1_Ex]]-EF19)*720&lt;=0,0,(RD[[#This Row],[132kV_L1_Ex]]-EF19)*720)</f>
        <v>573552.00000000419</v>
      </c>
      <c r="EX20" s="146">
        <f>IF((RD[[#This Row],[132kV_L1_Im]]-EG19)*720&lt;=0,0,(RD[[#This Row],[132kV_L1_Im]]-EG19)*720)</f>
        <v>3024.0000000000327</v>
      </c>
      <c r="EY20" s="244">
        <f>IFERROR(RD[[#This Row],[33kV_OG1_Ex (MWh)]]+RD[[#This Row],[33kV_OG1_Im (MWh)]],"")</f>
        <v>577875.11199999996</v>
      </c>
      <c r="EZ20" s="148">
        <f>RD[[#This Row],[33kV_OG1_Ex (MWh)]]-RD[[#This Row],[33kV_OG1_Im (MWh)]]</f>
        <v>573134.88800000004</v>
      </c>
      <c r="FA20" s="148">
        <f>IFERROR(RD[[#This Row],[132kV_L1_Ex(MWh)]]-RD[[#This Row],[132kV_L1_Im(MWh)]],"")</f>
        <v>570528.00000000419</v>
      </c>
      <c r="FB20" s="55">
        <f>IFERROR(RD[[#This Row],[33kV_Ex(MWh)]]/RD[[#This Row],[Inv Total Gneration (MWh)]]-1,"")</f>
        <v>-1.0532890111512261E-2</v>
      </c>
      <c r="FC20" s="245">
        <f>IFERROR((RD[[#This Row],[Sunset Time (POA&lt;20 W/m2)]]-RD[[#This Row],[Sunrise Time (POA&gt;20 W/m2)]])*24,0)</f>
        <v>11.983333333333334</v>
      </c>
      <c r="FD20" s="246">
        <v>102</v>
      </c>
      <c r="FE20" t="s">
        <v>271</v>
      </c>
      <c r="FF20"/>
      <c r="FG20"/>
    </row>
    <row r="21" spans="1:163">
      <c r="A21" s="133">
        <f t="shared" si="155"/>
        <v>45761</v>
      </c>
      <c r="B21" s="61">
        <f>YEAR(RD[[#This Row],[Date]])+IF(MONTH(RD[[#This Row],[Date]])&gt;=4,1,0)</f>
        <v>2026</v>
      </c>
      <c r="C21" s="61">
        <f>YEAR(RD[[#This Row],[Date]])</f>
        <v>2025</v>
      </c>
      <c r="D21" s="58">
        <f t="shared" si="156"/>
        <v>45748</v>
      </c>
      <c r="E21" s="61">
        <f>DAY(EOMONTH(RD[[#This Row],[Date]],0))</f>
        <v>30</v>
      </c>
      <c r="F21" s="152">
        <v>0.26944444444444443</v>
      </c>
      <c r="G21" s="162">
        <v>0.76597222222222228</v>
      </c>
      <c r="H21" s="124">
        <v>8944.4</v>
      </c>
      <c r="I21" s="124">
        <v>8953.2000000000007</v>
      </c>
      <c r="J21" s="124">
        <v>8519.7999999999993</v>
      </c>
      <c r="K21" s="124">
        <v>8645.4</v>
      </c>
      <c r="L21" s="124">
        <v>8862.7000000000007</v>
      </c>
      <c r="M21" s="124">
        <v>8882</v>
      </c>
      <c r="N21" s="124">
        <v>8600.9</v>
      </c>
      <c r="O21" s="124">
        <v>9250.9</v>
      </c>
      <c r="P21" s="124">
        <v>8658</v>
      </c>
      <c r="Q21" s="124">
        <v>8626.9</v>
      </c>
      <c r="R21" s="124">
        <v>8821.2000000000007</v>
      </c>
      <c r="S21" s="124">
        <v>8811.6</v>
      </c>
      <c r="T21" s="124">
        <v>8969.7999999999993</v>
      </c>
      <c r="U21" s="124">
        <v>8836.2999999999993</v>
      </c>
      <c r="V21" s="124">
        <v>8921.2000000000007</v>
      </c>
      <c r="W21" s="124">
        <v>8781.2000000000007</v>
      </c>
      <c r="X21" s="203">
        <v>12515.2</v>
      </c>
      <c r="Y21" s="203">
        <v>13502.4</v>
      </c>
      <c r="Z21" s="203">
        <v>12340.4</v>
      </c>
      <c r="AA21" s="203">
        <v>12730.8</v>
      </c>
      <c r="AB21" s="203">
        <v>13412.3</v>
      </c>
      <c r="AC21" s="203">
        <v>8457.2000000000007</v>
      </c>
      <c r="AD21" s="203">
        <v>12718.7</v>
      </c>
      <c r="AE21" s="203">
        <v>12802.2</v>
      </c>
      <c r="AF21" s="203">
        <v>12351</v>
      </c>
      <c r="AG21" s="203">
        <v>12545</v>
      </c>
      <c r="AH21" s="203">
        <v>12662.9</v>
      </c>
      <c r="AI21" s="203">
        <v>12751.7</v>
      </c>
      <c r="AJ21" s="142">
        <v>10671.4</v>
      </c>
      <c r="AK21" s="142">
        <v>10932.7</v>
      </c>
      <c r="AL21" s="142">
        <v>10652.3</v>
      </c>
      <c r="AM21" s="142">
        <v>10727.4</v>
      </c>
      <c r="AN21" s="142">
        <v>10658.9</v>
      </c>
      <c r="AO21" s="142">
        <v>10907.3</v>
      </c>
      <c r="AP21" s="142">
        <v>10813.9</v>
      </c>
      <c r="AQ21" s="142">
        <v>10611.9</v>
      </c>
      <c r="AR21" s="142">
        <v>8465.1</v>
      </c>
      <c r="AS21" s="142">
        <v>8622.7000000000007</v>
      </c>
      <c r="AT21" s="142">
        <v>8495</v>
      </c>
      <c r="AU21" s="142">
        <v>8637.1</v>
      </c>
      <c r="AV21" s="142">
        <v>8850</v>
      </c>
      <c r="AW21" s="142">
        <v>8606.6</v>
      </c>
      <c r="AX21" s="142">
        <v>12324</v>
      </c>
      <c r="AY21" s="142">
        <v>13381</v>
      </c>
      <c r="AZ21" s="142">
        <v>9971</v>
      </c>
      <c r="BA21" s="142">
        <v>12000</v>
      </c>
      <c r="BB21" s="142">
        <v>0</v>
      </c>
      <c r="BC21" s="142">
        <v>0</v>
      </c>
      <c r="BD21" s="142">
        <v>9982</v>
      </c>
      <c r="BE21" s="142">
        <v>12023</v>
      </c>
      <c r="BF21" s="142">
        <v>12684</v>
      </c>
      <c r="BG21" s="142">
        <v>12797</v>
      </c>
      <c r="BH21" s="142">
        <v>7849</v>
      </c>
      <c r="BI21" s="142">
        <v>4821</v>
      </c>
      <c r="BJ21" s="142">
        <v>7552</v>
      </c>
      <c r="BK21" s="142">
        <v>5105</v>
      </c>
      <c r="BL21" s="142">
        <v>7459</v>
      </c>
      <c r="BM21" s="142">
        <v>7421</v>
      </c>
      <c r="BN21" s="142">
        <v>7321</v>
      </c>
      <c r="BO21" s="142">
        <v>4703</v>
      </c>
      <c r="BP21" s="142">
        <v>5990</v>
      </c>
      <c r="BQ21" s="142">
        <v>3531</v>
      </c>
      <c r="BR21" s="142">
        <v>0</v>
      </c>
      <c r="BS21" s="142">
        <v>0</v>
      </c>
      <c r="BT21" s="142">
        <v>1914</v>
      </c>
      <c r="BU21" s="142">
        <v>887</v>
      </c>
      <c r="BV21" s="142"/>
      <c r="BW21" s="142"/>
      <c r="BX21" s="142"/>
      <c r="BY21" s="142"/>
      <c r="BZ21" s="142">
        <v>1371</v>
      </c>
      <c r="CA21" s="142">
        <v>445</v>
      </c>
      <c r="CB21" s="142">
        <v>4843</v>
      </c>
      <c r="CC21" s="142">
        <v>7466</v>
      </c>
      <c r="CD21" s="59">
        <v>7.251993583333336</v>
      </c>
      <c r="CE21" s="59"/>
      <c r="CF21" s="206">
        <v>7.1232418333333234</v>
      </c>
      <c r="CG21" s="206"/>
      <c r="CH21" s="206">
        <v>0.94167478333333277</v>
      </c>
      <c r="CI21" s="206"/>
      <c r="CJ21" s="59">
        <v>1.3867391333333356</v>
      </c>
      <c r="CK21" s="59"/>
      <c r="CL21" s="206">
        <v>32.894079295154185</v>
      </c>
      <c r="CM21" s="206"/>
      <c r="CN21" s="206">
        <v>47.343733039647553</v>
      </c>
      <c r="CO21" s="206"/>
      <c r="CP21" s="206">
        <v>26.798374449339192</v>
      </c>
      <c r="CQ21" s="206"/>
      <c r="CR21" s="59">
        <v>0</v>
      </c>
      <c r="CS21" s="59"/>
      <c r="CT21" s="206">
        <v>1.1613374449339202</v>
      </c>
      <c r="CU21" s="206"/>
      <c r="CV21" s="206">
        <v>2.4</v>
      </c>
      <c r="CW21" s="260"/>
      <c r="CX21" s="204">
        <f>IFERROR(AVERAGEIF(RD[[#This Row],[IS1POA1 (KWh/m2)]:[IS7POA2 (KWh/m2)]],"&lt;&gt;0",RD[[#This Row],[IS1POA1 (KWh/m2)]:[IS7POA2 (KWh/m2)]]),"")</f>
        <v>7.251993583333336</v>
      </c>
      <c r="CY21" s="204">
        <f>IFERROR(AVERAGEIF(RD[[#This Row],[IS1GHI1 (KWh/m2)]:[IS7GHI2 (KWh/m2)]],"&lt;&gt;0",RD[[#This Row],[IS1GHI1 (KWh/m2)]:[IS7GHI2 (KWh/m2)]]),"")</f>
        <v>7.1232418333333234</v>
      </c>
      <c r="CZ21" s="204">
        <f>IFERROR(AVERAGEIF(RD[[#This Row],[IS1POA_BS1 (KWh/m2)]:[IS7POA_BS2 (KWh/m2)]],"&lt;&gt;0",RD[[#This Row],[IS1POA_BS1 (KWh/m2)]:[IS7POA_BS2 (KWh/m2)]]),"")</f>
        <v>0.94167478333333277</v>
      </c>
      <c r="DA21" s="204">
        <f>IFERROR(AVERAGEIF(RD[[#This Row],[IS1GHI_BS1 (KWh/m2)]:[IS1GHI_BS1 (KWh/m2)2]],"&lt;&gt;0",RD[[#This Row],[IS1GHI_BS1 (KWh/m2)]:[IS1GHI_BS1 (KWh/m2)2]]),"")</f>
        <v>1.3867391333333356</v>
      </c>
      <c r="DB21" s="204">
        <f>IFERROR(AVERAGEIF(RD[[#This Row],[IS1AT1 (°C)]:[IS7AT2 (°C)]],"&lt;&gt;0",RD[[#This Row],[IS1AT1 (°C)]:[IS7AT2 (°C)]]),"")</f>
        <v>32.894079295154185</v>
      </c>
      <c r="DC21" s="204">
        <f>IFERROR(AVERAGEIF(RD[[#This Row],[IS1MT1 (°C)]:[IS7MT2 (°C)]],"&lt;&gt;0",RD[[#This Row],[IS1MT1 (°C)]:[IS7MT2 (°C)]]),"")</f>
        <v>47.343733039647553</v>
      </c>
      <c r="DD21" s="204">
        <f>IFERROR(AVERAGEIF(RD[[#This Row],[IS1RH1 (%)]:[IS7RH2 (%)]],"&lt;&gt;0",RD[[#This Row],[IS1RH1 (%)]:[IS7RH2 (%)]]),"")</f>
        <v>26.798374449339192</v>
      </c>
      <c r="DE21" s="51" t="str">
        <f>IFERROR(AVERAGEIF(RD[[#This Row],[IS1Rain1 (mm)]:[IS7Rain2 (mm)]],"&lt;&gt;0",RD[[#This Row],[IS1Rain1 (mm)]:[IS7Rain2 (mm)]]),"")</f>
        <v/>
      </c>
      <c r="DF21" s="204">
        <f>IFERROR(AVERAGEIF(RD[[#This Row],[WS_Solar1_Avg (m/s)]:[IS7_WS_Solar1_Avg (m/s)]],"&lt;&gt;0",RD[[#This Row],[WS_Solar1_Avg (m/s)]:[IS7_WS_Solar1_Avg (m/s)]]),"")</f>
        <v>1.1613374449339202</v>
      </c>
      <c r="DG21" s="204">
        <f>IFERROR(AVERAGEIF(RD[[#This Row],[WS_Solar1_Max (m/s)]:[IS7_WS_Solar1_Max (m/s)]],"&lt;&gt;0",RD[[#This Row],[WS_Solar1_Max (m/s)]:[IS7_WS_Solar1_Max (m/s)]]),"")</f>
        <v>2.4</v>
      </c>
      <c r="DH21" s="204">
        <f>SUM(RD[[#This Row],[IS1Inv1M1]:[IS4Inv4M2]])</f>
        <v>289875.3000000001</v>
      </c>
      <c r="DI21" s="205">
        <f>SUM(RD[[#This Row],[IS7Inv1M1]]+RD[[#This Row],[IS7Inv2M1]])</f>
        <v>17087.800000000003</v>
      </c>
      <c r="DJ21" s="204">
        <f>SUM(RD[[#This Row],[IS5Inv1M1]:[IS5Inv2M2]])</f>
        <v>42983.799999999996</v>
      </c>
      <c r="DK21" s="204">
        <f>SUM(RD[[#This Row],[IS8Inv1M1]:[IS9Inv2M2]])</f>
        <v>82264.7</v>
      </c>
      <c r="DL21" s="60">
        <f>SUM(RD[[#This Row],[IS6Inv1M1]:[IS6Inv2M2]])</f>
        <v>42992</v>
      </c>
      <c r="DM21" s="51">
        <f>SUM(RD[[#This Row],[IS10Inv1M1]:[IS11Inv1M4]],RD[[#This Row],[IS14Inv1M1]:[IS14Inv2M4]])</f>
        <v>101818</v>
      </c>
      <c r="DN21" s="288">
        <f>SUM(RD[[#This Row],[IS12Inv1M1]:[IS12Inv1M4]])</f>
        <v>21545</v>
      </c>
      <c r="DO21" s="288">
        <f>SUM(RD[[#This Row],[IS13Inv1M1]:[IS13Inv2M2]])</f>
        <v>2801</v>
      </c>
      <c r="DP21" s="204">
        <f>SUM(RD[[#This Row],[O2R15]:[O2R26]])</f>
        <v>601367.60000000009</v>
      </c>
      <c r="DQ21" s="164">
        <v>36497.1</v>
      </c>
      <c r="DR21" s="168">
        <v>200.9</v>
      </c>
      <c r="DS21" s="164">
        <v>31295.4</v>
      </c>
      <c r="DT21" s="164">
        <v>213.5</v>
      </c>
      <c r="DU21" s="168">
        <v>35912.5</v>
      </c>
      <c r="DV21" s="168">
        <v>383</v>
      </c>
      <c r="DW21" s="164">
        <v>4348.3</v>
      </c>
      <c r="DX21" s="168">
        <v>18.2</v>
      </c>
      <c r="DY21" s="168"/>
      <c r="DZ21" s="168"/>
      <c r="EA21" s="140">
        <v>86.9</v>
      </c>
      <c r="EB21" s="243">
        <v>108845178</v>
      </c>
      <c r="EC21" s="242">
        <v>864107.45600000001</v>
      </c>
      <c r="ED21" s="243">
        <v>1032</v>
      </c>
      <c r="EE21" s="243">
        <v>103213</v>
      </c>
      <c r="EF21" s="164">
        <v>150998.79999999999</v>
      </c>
      <c r="EG21" s="164">
        <v>1708.3</v>
      </c>
      <c r="EH21" s="146">
        <f>IF((RD[[#This Row],[33 kV_F3_Ex
Incomer1]]-DQ20)*1000&lt;0,0,(RD[[#This Row],[33 kV_F3_Ex
Incomer1]]-DQ20)*1000)</f>
        <v>147299.99999999563</v>
      </c>
      <c r="EI21" s="146">
        <f>IF((RD[[#This Row],[34 kV_F3_Im
Incomer1]]-DR20)*1000&lt;0,0,(RD[[#This Row],[34 kV_F3_Im
Incomer1]]-DR20)*1000)</f>
        <v>300.00000000001137</v>
      </c>
      <c r="EJ21" s="146">
        <f>IF((RD[[#This Row],[33 kV_F4_Ex
Incomer2]]-DS20)*1000&lt;0,0,(RD[[#This Row],[33 kV_F4_Ex
Incomer2]]-DS20)*1000)</f>
        <v>137000</v>
      </c>
      <c r="EK21" s="146">
        <f>IF((RD[[#This Row],[34 kV_F4_Im
Incomer2]]-DT20)*1000&lt;0,0,(RD[[#This Row],[34 kV_F4_Im
Incomer2]]-DT20)*1000)</f>
        <v>300.00000000001137</v>
      </c>
      <c r="EL21" s="146">
        <f>IF((RD[[#This Row],[33 kV_F5_Ex
Incomer3]]-DU20)*1000&lt;0,0,(RD[[#This Row],[33 kV_F5_Ex
Incomer3]]-DU20)*1000)</f>
        <v>182099.99999999854</v>
      </c>
      <c r="EM21" s="146">
        <f>IF((RD[[#This Row],[34 kV_F5_Im
Incomer3]]-DV20)*1000&lt;0,0,(RD[[#This Row],[34 kV_F5_Im
Incomer3]]-DV20)*1000)</f>
        <v>500</v>
      </c>
      <c r="EN21" s="146">
        <f>IF((RD[[#This Row],[33 kV_F6_Ex
Incomer4]]-DW20)*1000&lt;0,0,(RD[[#This Row],[33 kV_F6_Ex
Incomer4]]-DW20)*1000)</f>
        <v>123000</v>
      </c>
      <c r="EO21" s="146">
        <f>IF((RD[[#This Row],[33 kV_F6_Im
Incomer4]]-DX20)*1000&lt;0,0,(RD[[#This Row],[33 kV_F6_Im
Incomer4]]-DX20)*1000)</f>
        <v>399.99999999999858</v>
      </c>
      <c r="EP21" s="146">
        <f>IF((RD[[#This Row],[33 kV_F7_Ex
Incomer5]]-DY20)*1000&lt;0,0,(RD[[#This Row],[33 kV_F7_Ex
Incomer5]]-DY20)*1000)</f>
        <v>0</v>
      </c>
      <c r="EQ21" s="146">
        <f>IF((RD[[#This Row],[33 kV_F7_Im
Incomer5]]-DZ20)*1000&lt;0,0,(RD[[#This Row],[33 kV_F7_Im
Incomer5]]-DZ20)*1000)</f>
        <v>0</v>
      </c>
      <c r="ER21" s="146">
        <f>IF((RD[[#This Row],[33 kV_Aux Trafo]]-EA20)*1000&lt;0,0,(RD[[#This Row],[33 kV_Aux Trafo]]-EA20)*1000)</f>
        <v>240.00000000000909</v>
      </c>
      <c r="ES21" s="158">
        <f>IF((RD[[#This Row],[33kV_OG1_Ex_]]-EB20)*1&lt;0,0,(RD[[#This Row],[33kV_OG1_Ex_]]-EB20)*1)</f>
        <v>590577</v>
      </c>
      <c r="ET21" s="146">
        <f>IF((RD[[#This Row],[33kV_OG1_Im]]-EC20)*1&lt;0,0,(RD[[#This Row],[33kV_OG1_Im]]-EC20)*1)</f>
        <v>1594.5600000000559</v>
      </c>
      <c r="EU21" s="146">
        <f>IF((RD[[#This Row],[132kV_TX1_EX]]-ED20)*720&lt;=0,"",(RD[[#This Row],[132kV_TX1_EX]]-ED20)*720)</f>
        <v>1440</v>
      </c>
      <c r="EV21" s="146">
        <f>IF((RD[[#This Row],[132 kV_Tx1_Im]]-EE20)*720&lt;=0,0,(RD[[#This Row],[132 kV_Tx1_Im]]-EE20)*720)</f>
        <v>423360</v>
      </c>
      <c r="EW21" s="146">
        <f>IF((RD[[#This Row],[132kV_L1_Ex]]-EF20)*720&lt;=0,0,(RD[[#This Row],[132kV_L1_Ex]]-EF20)*720)</f>
        <v>588527.99999999581</v>
      </c>
      <c r="EX21" s="146">
        <f>IF((RD[[#This Row],[132kV_L1_Im]]-EG20)*720&lt;=0,0,(RD[[#This Row],[132kV_L1_Im]]-EG20)*720)</f>
        <v>2015.9999999999673</v>
      </c>
      <c r="EY21" s="244">
        <f>IFERROR(RD[[#This Row],[33kV_OG1_Ex (MWh)]]+RD[[#This Row],[33kV_OG1_Im (MWh)]],"")</f>
        <v>592171.56000000006</v>
      </c>
      <c r="EZ21" s="148">
        <f>RD[[#This Row],[33kV_OG1_Ex (MWh)]]-RD[[#This Row],[33kV_OG1_Im (MWh)]]</f>
        <v>588982.43999999994</v>
      </c>
      <c r="FA21" s="148">
        <f>IFERROR(RD[[#This Row],[132kV_L1_Ex(MWh)]]-RD[[#This Row],[132kV_L1_Im(MWh)]],"")</f>
        <v>586511.99999999581</v>
      </c>
      <c r="FB21" s="55">
        <f>IFERROR(RD[[#This Row],[33kV_Ex(MWh)]]/RD[[#This Row],[Inv Total Gneration (MWh)]]-1,"")</f>
        <v>-1.5291878045973983E-2</v>
      </c>
      <c r="FC21" s="245">
        <f>IFERROR((RD[[#This Row],[Sunset Time (POA&lt;20 W/m2)]]-RD[[#This Row],[Sunrise Time (POA&gt;20 W/m2)]])*24,0)</f>
        <v>11.916666666666668</v>
      </c>
      <c r="FD21" s="246">
        <v>105</v>
      </c>
      <c r="FE21" t="s">
        <v>272</v>
      </c>
      <c r="FF21"/>
      <c r="FG21"/>
    </row>
    <row r="22" spans="1:163">
      <c r="A22" s="133">
        <f t="shared" si="155"/>
        <v>45762</v>
      </c>
      <c r="B22" s="61">
        <f>YEAR(RD[[#This Row],[Date]])+IF(MONTH(RD[[#This Row],[Date]])&gt;=4,1,0)</f>
        <v>2026</v>
      </c>
      <c r="C22" s="61">
        <f>YEAR(RD[[#This Row],[Date]])</f>
        <v>2025</v>
      </c>
      <c r="D22" s="58">
        <f t="shared" si="156"/>
        <v>45748</v>
      </c>
      <c r="E22" s="61">
        <f>DAY(EOMONTH(RD[[#This Row],[Date]],0))</f>
        <v>30</v>
      </c>
      <c r="F22" s="152">
        <v>0.26666666666666666</v>
      </c>
      <c r="G22" s="162">
        <v>0.76666666666666672</v>
      </c>
      <c r="H22" s="124">
        <v>8989.7999999999993</v>
      </c>
      <c r="I22" s="124">
        <v>8950.7999999999993</v>
      </c>
      <c r="J22" s="124">
        <v>8463</v>
      </c>
      <c r="K22" s="124">
        <v>8594.1</v>
      </c>
      <c r="L22" s="124">
        <v>8819.2000000000007</v>
      </c>
      <c r="M22" s="124">
        <v>8872</v>
      </c>
      <c r="N22" s="124">
        <v>8543.7999999999993</v>
      </c>
      <c r="O22" s="124">
        <v>9320.2999999999993</v>
      </c>
      <c r="P22" s="124">
        <v>8769.7999999999993</v>
      </c>
      <c r="Q22" s="124">
        <v>8714.2999999999993</v>
      </c>
      <c r="R22" s="124">
        <v>8969.4</v>
      </c>
      <c r="S22" s="124">
        <v>8932.6</v>
      </c>
      <c r="T22" s="124">
        <v>9138.9</v>
      </c>
      <c r="U22" s="124">
        <v>8967.5</v>
      </c>
      <c r="V22" s="124">
        <v>9079.2000000000007</v>
      </c>
      <c r="W22" s="124">
        <v>8879.4</v>
      </c>
      <c r="X22" s="203">
        <v>12476.7</v>
      </c>
      <c r="Y22" s="203">
        <v>13577.3</v>
      </c>
      <c r="Z22" s="203">
        <v>12217.3</v>
      </c>
      <c r="AA22" s="203">
        <v>12723.1</v>
      </c>
      <c r="AB22" s="203">
        <v>13459.1</v>
      </c>
      <c r="AC22" s="203">
        <v>8410.1</v>
      </c>
      <c r="AD22" s="203">
        <v>12679.1</v>
      </c>
      <c r="AE22" s="203">
        <v>12862.9</v>
      </c>
      <c r="AF22" s="203">
        <v>12217.6</v>
      </c>
      <c r="AG22" s="203">
        <v>12573</v>
      </c>
      <c r="AH22" s="203">
        <v>12586.7</v>
      </c>
      <c r="AI22" s="203">
        <v>12694.2</v>
      </c>
      <c r="AJ22" s="142">
        <v>10444.4</v>
      </c>
      <c r="AK22" s="142">
        <v>10727.5</v>
      </c>
      <c r="AL22" s="142">
        <v>10518</v>
      </c>
      <c r="AM22" s="142">
        <v>10569</v>
      </c>
      <c r="AN22" s="142">
        <v>10506</v>
      </c>
      <c r="AO22" s="142">
        <v>10841.9</v>
      </c>
      <c r="AP22" s="142">
        <v>10694.3</v>
      </c>
      <c r="AQ22" s="142">
        <v>10461.4</v>
      </c>
      <c r="AR22" s="142">
        <v>8463.4</v>
      </c>
      <c r="AS22" s="142">
        <v>8520.2999999999993</v>
      </c>
      <c r="AT22" s="142">
        <v>8476.1</v>
      </c>
      <c r="AU22" s="142">
        <v>8705</v>
      </c>
      <c r="AV22" s="142">
        <v>8858.4</v>
      </c>
      <c r="AW22" s="142">
        <v>8617.2999999999993</v>
      </c>
      <c r="AX22" s="142">
        <v>12058</v>
      </c>
      <c r="AY22" s="142">
        <v>13324</v>
      </c>
      <c r="AZ22" s="142">
        <v>9858</v>
      </c>
      <c r="BA22" s="142">
        <v>11859</v>
      </c>
      <c r="BB22" s="142">
        <v>0</v>
      </c>
      <c r="BC22" s="142">
        <v>0</v>
      </c>
      <c r="BD22" s="142">
        <v>8825.7000000000007</v>
      </c>
      <c r="BE22" s="142">
        <v>10710</v>
      </c>
      <c r="BF22" s="142">
        <v>11471.9</v>
      </c>
      <c r="BG22" s="142">
        <v>11386.7</v>
      </c>
      <c r="BH22" s="142">
        <v>6970.6</v>
      </c>
      <c r="BI22" s="142">
        <v>4258</v>
      </c>
      <c r="BJ22" s="142">
        <v>6777.5</v>
      </c>
      <c r="BK22" s="142">
        <v>3794</v>
      </c>
      <c r="BL22" s="142">
        <v>6577.7</v>
      </c>
      <c r="BM22" s="142">
        <v>6335</v>
      </c>
      <c r="BN22" s="142">
        <v>6482</v>
      </c>
      <c r="BO22" s="142">
        <v>4417</v>
      </c>
      <c r="BP22" s="142">
        <v>5296</v>
      </c>
      <c r="BQ22" s="142">
        <v>3127</v>
      </c>
      <c r="BR22" s="142">
        <v>0</v>
      </c>
      <c r="BS22" s="142">
        <v>0</v>
      </c>
      <c r="BT22" s="142">
        <v>1682</v>
      </c>
      <c r="BU22" s="142">
        <v>782</v>
      </c>
      <c r="BV22" s="142"/>
      <c r="BW22" s="142"/>
      <c r="BX22" s="142"/>
      <c r="BY22" s="142"/>
      <c r="BZ22" s="142">
        <v>1255</v>
      </c>
      <c r="CA22" s="142">
        <v>1074</v>
      </c>
      <c r="CB22" s="142">
        <v>4414</v>
      </c>
      <c r="CC22" s="142">
        <v>6767</v>
      </c>
      <c r="CD22" s="59">
        <v>7.1474630166666611</v>
      </c>
      <c r="CE22" s="59"/>
      <c r="CF22" s="206">
        <v>7.0363546166666593</v>
      </c>
      <c r="CG22" s="206"/>
      <c r="CH22" s="206">
        <v>0.92568135000000074</v>
      </c>
      <c r="CI22" s="206"/>
      <c r="CJ22" s="59">
        <v>1.3790044999999982</v>
      </c>
      <c r="CK22" s="59"/>
      <c r="CL22" s="206">
        <v>33.69563492063493</v>
      </c>
      <c r="CM22" s="206"/>
      <c r="CN22" s="206">
        <v>47.241304232804232</v>
      </c>
      <c r="CO22" s="206"/>
      <c r="CP22" s="206">
        <v>24.003271604938288</v>
      </c>
      <c r="CQ22" s="206"/>
      <c r="CR22" s="59">
        <v>0</v>
      </c>
      <c r="CS22" s="59"/>
      <c r="CT22" s="206">
        <v>1.3764973544973564</v>
      </c>
      <c r="CU22" s="206"/>
      <c r="CV22" s="206">
        <v>2.8740000000000001</v>
      </c>
      <c r="CW22" s="260"/>
      <c r="CX22" s="204">
        <f>IFERROR(AVERAGEIF(RD[[#This Row],[IS1POA1 (KWh/m2)]:[IS7POA2 (KWh/m2)]],"&lt;&gt;0",RD[[#This Row],[IS1POA1 (KWh/m2)]:[IS7POA2 (KWh/m2)]]),"")</f>
        <v>7.1474630166666611</v>
      </c>
      <c r="CY22" s="204">
        <f>IFERROR(AVERAGEIF(RD[[#This Row],[IS1GHI1 (KWh/m2)]:[IS7GHI2 (KWh/m2)]],"&lt;&gt;0",RD[[#This Row],[IS1GHI1 (KWh/m2)]:[IS7GHI2 (KWh/m2)]]),"")</f>
        <v>7.0363546166666593</v>
      </c>
      <c r="CZ22" s="204">
        <f>IFERROR(AVERAGEIF(RD[[#This Row],[IS1POA_BS1 (KWh/m2)]:[IS7POA_BS2 (KWh/m2)]],"&lt;&gt;0",RD[[#This Row],[IS1POA_BS1 (KWh/m2)]:[IS7POA_BS2 (KWh/m2)]]),"")</f>
        <v>0.92568135000000074</v>
      </c>
      <c r="DA22" s="204">
        <f>IFERROR(AVERAGEIF(RD[[#This Row],[IS1GHI_BS1 (KWh/m2)]:[IS1GHI_BS1 (KWh/m2)2]],"&lt;&gt;0",RD[[#This Row],[IS1GHI_BS1 (KWh/m2)]:[IS1GHI_BS1 (KWh/m2)2]]),"")</f>
        <v>1.3790044999999982</v>
      </c>
      <c r="DB22" s="204">
        <f>IFERROR(AVERAGEIF(RD[[#This Row],[IS1AT1 (°C)]:[IS7AT2 (°C)]],"&lt;&gt;0",RD[[#This Row],[IS1AT1 (°C)]:[IS7AT2 (°C)]]),"")</f>
        <v>33.69563492063493</v>
      </c>
      <c r="DC22" s="204">
        <f>IFERROR(AVERAGEIF(RD[[#This Row],[IS1MT1 (°C)]:[IS7MT2 (°C)]],"&lt;&gt;0",RD[[#This Row],[IS1MT1 (°C)]:[IS7MT2 (°C)]]),"")</f>
        <v>47.241304232804232</v>
      </c>
      <c r="DD22" s="204">
        <f>IFERROR(AVERAGEIF(RD[[#This Row],[IS1RH1 (%)]:[IS7RH2 (%)]],"&lt;&gt;0",RD[[#This Row],[IS1RH1 (%)]:[IS7RH2 (%)]]),"")</f>
        <v>24.003271604938288</v>
      </c>
      <c r="DE22" s="51" t="str">
        <f>IFERROR(AVERAGEIF(RD[[#This Row],[IS1Rain1 (mm)]:[IS7Rain2 (mm)]],"&lt;&gt;0",RD[[#This Row],[IS1Rain1 (mm)]:[IS7Rain2 (mm)]]),"")</f>
        <v/>
      </c>
      <c r="DF22" s="204">
        <f>IFERROR(AVERAGEIF(RD[[#This Row],[WS_Solar1_Avg (m/s)]:[IS7_WS_Solar1_Avg (m/s)]],"&lt;&gt;0",RD[[#This Row],[WS_Solar1_Avg (m/s)]:[IS7_WS_Solar1_Avg (m/s)]]),"")</f>
        <v>1.3764973544973564</v>
      </c>
      <c r="DG22" s="204">
        <f>IFERROR(AVERAGEIF(RD[[#This Row],[WS_Solar1_Max (m/s)]:[IS7_WS_Solar1_Max (m/s)]],"&lt;&gt;0",RD[[#This Row],[WS_Solar1_Max (m/s)]:[IS7_WS_Solar1_Max (m/s)]]),"")</f>
        <v>2.8740000000000001</v>
      </c>
      <c r="DH22" s="204">
        <f>SUM(RD[[#This Row],[IS1Inv1M1]:[IS4Inv4M2]])</f>
        <v>290481.20000000007</v>
      </c>
      <c r="DI22" s="205">
        <f>SUM(RD[[#This Row],[IS7Inv1M1]]+RD[[#This Row],[IS7Inv2M1]])</f>
        <v>16983.699999999997</v>
      </c>
      <c r="DJ22" s="204">
        <f>SUM(RD[[#This Row],[IS5Inv1M1]:[IS5Inv2M2]])</f>
        <v>42258.9</v>
      </c>
      <c r="DK22" s="204">
        <f>SUM(RD[[#This Row],[IS8Inv1M1]:[IS9Inv2M2]])</f>
        <v>81755.8</v>
      </c>
      <c r="DL22" s="60">
        <f>SUM(RD[[#This Row],[IS6Inv1M1]:[IS6Inv2M2]])</f>
        <v>42503.6</v>
      </c>
      <c r="DM22" s="51">
        <f>SUM(RD[[#This Row],[IS10Inv1M1]:[IS11Inv1M4]],RD[[#This Row],[IS14Inv1M1]:[IS14Inv2M4]])</f>
        <v>90617.1</v>
      </c>
      <c r="DN22" s="288">
        <f>SUM(RD[[#This Row],[IS12Inv1M1]:[IS12Inv1M4]])</f>
        <v>19322</v>
      </c>
      <c r="DO22" s="288">
        <f>SUM(RD[[#This Row],[IS13Inv1M1]:[IS13Inv2M2]])</f>
        <v>2464</v>
      </c>
      <c r="DP22" s="204">
        <f>SUM(RD[[#This Row],[O2R15]:[O2R26]])</f>
        <v>586386.30000000005</v>
      </c>
      <c r="DQ22" s="164">
        <v>36641.800000000003</v>
      </c>
      <c r="DR22" s="168">
        <v>201.3</v>
      </c>
      <c r="DS22" s="164">
        <v>31429.5</v>
      </c>
      <c r="DT22" s="164">
        <v>213.8</v>
      </c>
      <c r="DU22" s="168">
        <v>36090</v>
      </c>
      <c r="DV22" s="168">
        <v>383.7</v>
      </c>
      <c r="DW22" s="164">
        <v>4456.5</v>
      </c>
      <c r="DX22" s="168">
        <v>18.8</v>
      </c>
      <c r="DY22" s="168"/>
      <c r="DZ22" s="168"/>
      <c r="EA22" s="140">
        <v>87.17</v>
      </c>
      <c r="EB22" s="243">
        <v>109421699</v>
      </c>
      <c r="EC22" s="242">
        <v>866123.32799999998</v>
      </c>
      <c r="ED22" s="243">
        <v>1034</v>
      </c>
      <c r="EE22" s="243">
        <v>103787</v>
      </c>
      <c r="EF22" s="164">
        <v>151796.70000000001</v>
      </c>
      <c r="EG22" s="164">
        <v>1711.8</v>
      </c>
      <c r="EH22" s="146">
        <f>IF((RD[[#This Row],[33 kV_F3_Ex
Incomer1]]-DQ21)*1000&lt;0,0,(RD[[#This Row],[33 kV_F3_Ex
Incomer1]]-DQ21)*1000)</f>
        <v>144700.00000000437</v>
      </c>
      <c r="EI22" s="146">
        <f>IF((RD[[#This Row],[34 kV_F3_Im
Incomer1]]-DR21)*1000&lt;0,0,(RD[[#This Row],[34 kV_F3_Im
Incomer1]]-DR21)*1000)</f>
        <v>400.00000000000568</v>
      </c>
      <c r="EJ22" s="146">
        <f>IF((RD[[#This Row],[33 kV_F4_Ex
Incomer2]]-DS21)*1000&lt;0,0,(RD[[#This Row],[33 kV_F4_Ex
Incomer2]]-DS21)*1000)</f>
        <v>134099.99999999854</v>
      </c>
      <c r="EK22" s="146">
        <f>IF((RD[[#This Row],[34 kV_F4_Im
Incomer2]]-DT21)*1000&lt;0,0,(RD[[#This Row],[34 kV_F4_Im
Incomer2]]-DT21)*1000)</f>
        <v>300.00000000001137</v>
      </c>
      <c r="EL22" s="146">
        <f>IF((RD[[#This Row],[33 kV_F5_Ex
Incomer3]]-DU21)*1000&lt;0,0,(RD[[#This Row],[33 kV_F5_Ex
Incomer3]]-DU21)*1000)</f>
        <v>177500</v>
      </c>
      <c r="EM22" s="146">
        <f>IF((RD[[#This Row],[34 kV_F5_Im
Incomer3]]-DV21)*1000&lt;0,0,(RD[[#This Row],[34 kV_F5_Im
Incomer3]]-DV21)*1000)</f>
        <v>699.99999999998863</v>
      </c>
      <c r="EN22" s="146">
        <f>IF((RD[[#This Row],[33 kV_F6_Ex
Incomer4]]-DW21)*1000&lt;0,0,(RD[[#This Row],[33 kV_F6_Ex
Incomer4]]-DW21)*1000)</f>
        <v>108199.99999999983</v>
      </c>
      <c r="EO22" s="146">
        <f>IF((RD[[#This Row],[33 kV_F6_Im
Incomer4]]-DX21)*1000&lt;0,0,(RD[[#This Row],[33 kV_F6_Im
Incomer4]]-DX21)*1000)</f>
        <v>600.00000000000136</v>
      </c>
      <c r="EP22" s="146">
        <f>IF((RD[[#This Row],[33 kV_F7_Ex
Incomer5]]-DY21)*1000&lt;0,0,(RD[[#This Row],[33 kV_F7_Ex
Incomer5]]-DY21)*1000)</f>
        <v>0</v>
      </c>
      <c r="EQ22" s="146">
        <f>IF((RD[[#This Row],[33 kV_F7_Im
Incomer5]]-DZ21)*1000&lt;0,0,(RD[[#This Row],[33 kV_F7_Im
Incomer5]]-DZ21)*1000)</f>
        <v>0</v>
      </c>
      <c r="ER22" s="146">
        <f>IF((RD[[#This Row],[33 kV_Aux Trafo]]-EA21)*1000&lt;0,0,(RD[[#This Row],[33 kV_Aux Trafo]]-EA21)*1000)</f>
        <v>269.99999999999602</v>
      </c>
      <c r="ES22" s="158">
        <f>IF((RD[[#This Row],[33kV_OG1_Ex_]]-EB21)*1&lt;0,0,(RD[[#This Row],[33kV_OG1_Ex_]]-EB21)*1)</f>
        <v>576521</v>
      </c>
      <c r="ET22" s="146">
        <f>IF((RD[[#This Row],[33kV_OG1_Im]]-EC21)*1&lt;0,0,(RD[[#This Row],[33kV_OG1_Im]]-EC21)*1)</f>
        <v>2015.8719999999739</v>
      </c>
      <c r="EU22" s="146">
        <f>IF((RD[[#This Row],[132kV_TX1_EX]]-ED21)*720&lt;=0,"",(RD[[#This Row],[132kV_TX1_EX]]-ED21)*720)</f>
        <v>1440</v>
      </c>
      <c r="EV22" s="146">
        <f>IF((RD[[#This Row],[132 kV_Tx1_Im]]-EE21)*720&lt;=0,0,(RD[[#This Row],[132 kV_Tx1_Im]]-EE21)*720)</f>
        <v>413280</v>
      </c>
      <c r="EW22" s="146">
        <f>IF((RD[[#This Row],[132kV_L1_Ex]]-EF21)*720&lt;=0,0,(RD[[#This Row],[132kV_L1_Ex]]-EF21)*720)</f>
        <v>574488.00000001676</v>
      </c>
      <c r="EX22" s="146">
        <f>IF((RD[[#This Row],[132kV_L1_Im]]-EG21)*720&lt;=0,0,(RD[[#This Row],[132kV_L1_Im]]-EG21)*720)</f>
        <v>2520</v>
      </c>
      <c r="EY22" s="244">
        <f>IFERROR(RD[[#This Row],[33kV_OG1_Ex (MWh)]]+RD[[#This Row],[33kV_OG1_Im (MWh)]],"")</f>
        <v>578536.87199999997</v>
      </c>
      <c r="EZ22" s="148">
        <f>RD[[#This Row],[33kV_OG1_Ex (MWh)]]-RD[[#This Row],[33kV_OG1_Im (MWh)]]</f>
        <v>574505.12800000003</v>
      </c>
      <c r="FA22" s="148">
        <f>IFERROR(RD[[#This Row],[132kV_L1_Ex(MWh)]]-RD[[#This Row],[132kV_L1_Im(MWh)]],"")</f>
        <v>571968.00000001676</v>
      </c>
      <c r="FB22" s="55">
        <f>IFERROR(RD[[#This Row],[33kV_Ex(MWh)]]/RD[[#This Row],[Inv Total Gneration (MWh)]]-1,"")</f>
        <v>-1.3386104006863908E-2</v>
      </c>
      <c r="FC22" s="245">
        <f>IFERROR((RD[[#This Row],[Sunset Time (POA&lt;20 W/m2)]]-RD[[#This Row],[Sunrise Time (POA&gt;20 W/m2)]])*24,0)</f>
        <v>12</v>
      </c>
      <c r="FD22" s="246">
        <v>105</v>
      </c>
      <c r="FE22" t="s">
        <v>273</v>
      </c>
      <c r="FF22"/>
      <c r="FG22"/>
    </row>
    <row r="23" spans="1:163">
      <c r="A23" s="133">
        <f t="shared" si="155"/>
        <v>45763</v>
      </c>
      <c r="B23" s="61">
        <f>YEAR(RD[[#This Row],[Date]])+IF(MONTH(RD[[#This Row],[Date]])&gt;=4,1,0)</f>
        <v>2026</v>
      </c>
      <c r="C23" s="61">
        <f>YEAR(RD[[#This Row],[Date]])</f>
        <v>2025</v>
      </c>
      <c r="D23" s="58">
        <f t="shared" si="156"/>
        <v>45748</v>
      </c>
      <c r="E23" s="61">
        <f>DAY(EOMONTH(RD[[#This Row],[Date]],0))</f>
        <v>30</v>
      </c>
      <c r="F23" s="152">
        <v>0.26874999999999999</v>
      </c>
      <c r="G23" s="162">
        <v>0.74791666666666667</v>
      </c>
      <c r="H23" s="124">
        <v>8151.5</v>
      </c>
      <c r="I23" s="124">
        <v>8140.7</v>
      </c>
      <c r="J23" s="124">
        <v>7642.9</v>
      </c>
      <c r="K23" s="124">
        <v>7749.1</v>
      </c>
      <c r="L23" s="124">
        <v>8011.4</v>
      </c>
      <c r="M23" s="124">
        <v>8079.1</v>
      </c>
      <c r="N23" s="124">
        <v>7663</v>
      </c>
      <c r="O23" s="124">
        <v>8452.5</v>
      </c>
      <c r="P23" s="124">
        <v>8066.4</v>
      </c>
      <c r="Q23" s="124">
        <v>8021.3</v>
      </c>
      <c r="R23" s="124">
        <v>8337.5</v>
      </c>
      <c r="S23" s="124">
        <v>8285.7000000000007</v>
      </c>
      <c r="T23" s="124">
        <v>8465.1</v>
      </c>
      <c r="U23" s="124">
        <v>8362.1</v>
      </c>
      <c r="V23" s="124">
        <v>8422.7000000000007</v>
      </c>
      <c r="W23" s="124">
        <v>8157.8</v>
      </c>
      <c r="X23" s="203">
        <v>11291.9</v>
      </c>
      <c r="Y23" s="203">
        <v>12637.8</v>
      </c>
      <c r="Z23" s="203">
        <v>10963.7</v>
      </c>
      <c r="AA23" s="203">
        <v>11457.8</v>
      </c>
      <c r="AB23" s="203">
        <v>12480.5</v>
      </c>
      <c r="AC23" s="203">
        <v>7653</v>
      </c>
      <c r="AD23" s="203">
        <v>11580.6</v>
      </c>
      <c r="AE23" s="203">
        <v>11787.8</v>
      </c>
      <c r="AF23" s="203">
        <v>11107.2</v>
      </c>
      <c r="AG23" s="203">
        <v>114551.7</v>
      </c>
      <c r="AH23" s="203">
        <v>11454.2</v>
      </c>
      <c r="AI23" s="203">
        <v>11585.3</v>
      </c>
      <c r="AJ23" s="142">
        <v>9332.1</v>
      </c>
      <c r="AK23" s="142">
        <v>9561.2000000000007</v>
      </c>
      <c r="AL23" s="142">
        <v>9339.2999999999993</v>
      </c>
      <c r="AM23" s="142">
        <v>9396.2000000000007</v>
      </c>
      <c r="AN23" s="142">
        <v>9373.5</v>
      </c>
      <c r="AO23" s="142">
        <v>9712.1</v>
      </c>
      <c r="AP23" s="142">
        <v>9594.6</v>
      </c>
      <c r="AQ23" s="142">
        <v>9411.4</v>
      </c>
      <c r="AR23" s="142">
        <v>7527</v>
      </c>
      <c r="AS23" s="142">
        <v>7594.2</v>
      </c>
      <c r="AT23" s="142">
        <v>7540.9</v>
      </c>
      <c r="AU23" s="142">
        <v>7736.9</v>
      </c>
      <c r="AV23" s="142">
        <v>7979.4</v>
      </c>
      <c r="AW23" s="142">
        <v>7743.9</v>
      </c>
      <c r="AX23" s="142">
        <v>10808.5</v>
      </c>
      <c r="AY23" s="142">
        <v>12160.6</v>
      </c>
      <c r="AZ23" s="142">
        <v>8756.7999999999993</v>
      </c>
      <c r="BA23" s="142">
        <v>10491.1</v>
      </c>
      <c r="BB23" s="142">
        <v>104.9</v>
      </c>
      <c r="BC23" s="142">
        <v>107.5</v>
      </c>
      <c r="BD23" s="142">
        <v>8609.1</v>
      </c>
      <c r="BE23" s="142">
        <v>10319.4</v>
      </c>
      <c r="BF23" s="142">
        <v>11185.1</v>
      </c>
      <c r="BG23" s="142">
        <v>10911.8</v>
      </c>
      <c r="BH23" s="142">
        <v>6579.8</v>
      </c>
      <c r="BI23" s="142">
        <v>4033</v>
      </c>
      <c r="BJ23" s="142">
        <v>6524.5</v>
      </c>
      <c r="BK23" s="142">
        <v>3724.2</v>
      </c>
      <c r="BL23" s="142">
        <v>6133.4</v>
      </c>
      <c r="BM23" s="142">
        <v>6120.1</v>
      </c>
      <c r="BN23" s="142"/>
      <c r="BO23" s="142"/>
      <c r="BP23" s="142"/>
      <c r="BQ23" s="142"/>
      <c r="BR23" s="142">
        <v>0</v>
      </c>
      <c r="BS23" s="142">
        <v>0</v>
      </c>
      <c r="BT23" s="142"/>
      <c r="BU23" s="142"/>
      <c r="BV23" s="142"/>
      <c r="BW23" s="142"/>
      <c r="BX23" s="142"/>
      <c r="BY23" s="142"/>
      <c r="BZ23" s="142">
        <v>1131</v>
      </c>
      <c r="CA23" s="142">
        <v>963</v>
      </c>
      <c r="CB23" s="142">
        <v>4049</v>
      </c>
      <c r="CC23" s="142">
        <v>6281</v>
      </c>
      <c r="CD23" s="59">
        <v>6.420340383333329</v>
      </c>
      <c r="CE23" s="59"/>
      <c r="CF23" s="206">
        <v>6.3113735000000091</v>
      </c>
      <c r="CG23" s="206"/>
      <c r="CH23" s="206">
        <v>0.8414362833333342</v>
      </c>
      <c r="CI23" s="206"/>
      <c r="CJ23" s="59">
        <v>1.2429307333333328</v>
      </c>
      <c r="CK23" s="59"/>
      <c r="CL23" s="206">
        <v>33.827604501607738</v>
      </c>
      <c r="CM23" s="206"/>
      <c r="CN23" s="206">
        <v>46.984334405144693</v>
      </c>
      <c r="CO23" s="206"/>
      <c r="CP23" s="206">
        <v>26.55966237942123</v>
      </c>
      <c r="CQ23" s="206"/>
      <c r="CR23" s="59">
        <v>0</v>
      </c>
      <c r="CS23" s="59"/>
      <c r="CT23" s="206">
        <v>1.0567837620578757</v>
      </c>
      <c r="CU23" s="206"/>
      <c r="CV23" s="206">
        <v>3.0089999999999999</v>
      </c>
      <c r="CW23" s="260"/>
      <c r="CX23" s="204">
        <f>IFERROR(AVERAGEIF(RD[[#This Row],[IS1POA1 (KWh/m2)]:[IS7POA2 (KWh/m2)]],"&lt;&gt;0",RD[[#This Row],[IS1POA1 (KWh/m2)]:[IS7POA2 (KWh/m2)]]),"")</f>
        <v>6.420340383333329</v>
      </c>
      <c r="CY23" s="204">
        <f>IFERROR(AVERAGEIF(RD[[#This Row],[IS1GHI1 (KWh/m2)]:[IS7GHI2 (KWh/m2)]],"&lt;&gt;0",RD[[#This Row],[IS1GHI1 (KWh/m2)]:[IS7GHI2 (KWh/m2)]]),"")</f>
        <v>6.3113735000000091</v>
      </c>
      <c r="CZ23" s="204">
        <f>IFERROR(AVERAGEIF(RD[[#This Row],[IS1POA_BS1 (KWh/m2)]:[IS7POA_BS2 (KWh/m2)]],"&lt;&gt;0",RD[[#This Row],[IS1POA_BS1 (KWh/m2)]:[IS7POA_BS2 (KWh/m2)]]),"")</f>
        <v>0.8414362833333342</v>
      </c>
      <c r="DA23" s="204">
        <f>IFERROR(AVERAGEIF(RD[[#This Row],[IS1GHI_BS1 (KWh/m2)]:[IS1GHI_BS1 (KWh/m2)2]],"&lt;&gt;0",RD[[#This Row],[IS1GHI_BS1 (KWh/m2)]:[IS1GHI_BS1 (KWh/m2)2]]),"")</f>
        <v>1.2429307333333328</v>
      </c>
      <c r="DB23" s="204">
        <f>IFERROR(AVERAGEIF(RD[[#This Row],[IS1AT1 (°C)]:[IS7AT2 (°C)]],"&lt;&gt;0",RD[[#This Row],[IS1AT1 (°C)]:[IS7AT2 (°C)]]),"")</f>
        <v>33.827604501607738</v>
      </c>
      <c r="DC23" s="204">
        <f>IFERROR(AVERAGEIF(RD[[#This Row],[IS1MT1 (°C)]:[IS7MT2 (°C)]],"&lt;&gt;0",RD[[#This Row],[IS1MT1 (°C)]:[IS7MT2 (°C)]]),"")</f>
        <v>46.984334405144693</v>
      </c>
      <c r="DD23" s="204">
        <f>IFERROR(AVERAGEIF(RD[[#This Row],[IS1RH1 (%)]:[IS7RH2 (%)]],"&lt;&gt;0",RD[[#This Row],[IS1RH1 (%)]:[IS7RH2 (%)]]),"")</f>
        <v>26.55966237942123</v>
      </c>
      <c r="DE23" s="51" t="str">
        <f>IFERROR(AVERAGEIF(RD[[#This Row],[IS1Rain1 (mm)]:[IS7Rain2 (mm)]],"&lt;&gt;0",RD[[#This Row],[IS1Rain1 (mm)]:[IS7Rain2 (mm)]]),"")</f>
        <v/>
      </c>
      <c r="DF23" s="204">
        <f>IFERROR(AVERAGEIF(RD[[#This Row],[WS_Solar1_Avg (m/s)]:[IS7_WS_Solar1_Avg (m/s)]],"&lt;&gt;0",RD[[#This Row],[WS_Solar1_Avg (m/s)]:[IS7_WS_Solar1_Avg (m/s)]]),"")</f>
        <v>1.0567837620578757</v>
      </c>
      <c r="DG23" s="204">
        <f>IFERROR(AVERAGEIF(RD[[#This Row],[WS_Solar1_Max (m/s)]:[IS7_WS_Solar1_Max (m/s)]],"&lt;&gt;0",RD[[#This Row],[WS_Solar1_Max (m/s)]:[IS7_WS_Solar1_Max (m/s)]]),"")</f>
        <v>3.0089999999999999</v>
      </c>
      <c r="DH23" s="204">
        <f>SUM(RD[[#This Row],[IS1Inv1M1]:[IS4Inv4M2]])</f>
        <v>368560.3</v>
      </c>
      <c r="DI23" s="205">
        <f>SUM(RD[[#This Row],[IS7Inv1M1]]+RD[[#This Row],[IS7Inv2M1]])</f>
        <v>15121.2</v>
      </c>
      <c r="DJ23" s="204">
        <f>SUM(RD[[#This Row],[IS5Inv1M1]:[IS5Inv2M2]])</f>
        <v>37628.800000000003</v>
      </c>
      <c r="DK23" s="204">
        <f>SUM(RD[[#This Row],[IS8Inv1M1]:[IS9Inv2M2]])</f>
        <v>73218.100000000006</v>
      </c>
      <c r="DL23" s="60">
        <f>SUM(RD[[#This Row],[IS6Inv1M1]:[IS6Inv2M2]])</f>
        <v>38091.599999999999</v>
      </c>
      <c r="DM23" s="51">
        <f>SUM(RD[[#This Row],[IS10Inv1M1]:[IS11Inv1M4]],RD[[#This Row],[IS14Inv1M1]:[IS14Inv2M4]])</f>
        <v>86776.8</v>
      </c>
      <c r="DN23" s="288">
        <f>SUM(RD[[#This Row],[IS12Inv1M1]:[IS12Inv1M4]])</f>
        <v>0</v>
      </c>
      <c r="DO23" s="288">
        <f>SUM(RD[[#This Row],[IS13Inv1M1]:[IS13Inv2M2]])</f>
        <v>0</v>
      </c>
      <c r="DP23" s="204">
        <f>SUM(RD[[#This Row],[O2R15]:[O2R26]])</f>
        <v>619396.80000000005</v>
      </c>
      <c r="DQ23" s="164">
        <v>36763</v>
      </c>
      <c r="DR23" s="168">
        <v>201.7</v>
      </c>
      <c r="DS23" s="164">
        <v>31544</v>
      </c>
      <c r="DT23" s="164">
        <v>214.2</v>
      </c>
      <c r="DU23" s="168">
        <v>36235.9</v>
      </c>
      <c r="DV23" s="168">
        <v>384.6</v>
      </c>
      <c r="DW23" s="164">
        <v>4551.1000000000004</v>
      </c>
      <c r="DX23" s="168">
        <v>19.899999999999999</v>
      </c>
      <c r="DY23" s="168"/>
      <c r="DZ23" s="168"/>
      <c r="EA23" s="140">
        <v>87.45</v>
      </c>
      <c r="EB23" s="243">
        <v>109949534</v>
      </c>
      <c r="EC23" s="242">
        <v>868605.95200000005</v>
      </c>
      <c r="ED23" s="243">
        <v>1038</v>
      </c>
      <c r="EE23" s="243">
        <v>104313</v>
      </c>
      <c r="EF23" s="164">
        <v>152527.20000000001</v>
      </c>
      <c r="EG23" s="164">
        <v>1716.2</v>
      </c>
      <c r="EH23" s="146">
        <f>IF((RD[[#This Row],[33 kV_F3_Ex
Incomer1]]-DQ22)*1000&lt;0,0,(RD[[#This Row],[33 kV_F3_Ex
Incomer1]]-DQ22)*1000)</f>
        <v>121199.99999999709</v>
      </c>
      <c r="EI23" s="146">
        <f>IF((RD[[#This Row],[34 kV_F3_Im
Incomer1]]-DR22)*1000&lt;0,0,(RD[[#This Row],[34 kV_F3_Im
Incomer1]]-DR22)*1000)</f>
        <v>399.99999999997726</v>
      </c>
      <c r="EJ23" s="146">
        <f>IF((RD[[#This Row],[33 kV_F4_Ex
Incomer2]]-DS22)*1000&lt;0,0,(RD[[#This Row],[33 kV_F4_Ex
Incomer2]]-DS22)*1000)</f>
        <v>114500</v>
      </c>
      <c r="EK23" s="146">
        <f>IF((RD[[#This Row],[34 kV_F4_Im
Incomer2]]-DT22)*1000&lt;0,0,(RD[[#This Row],[34 kV_F4_Im
Incomer2]]-DT22)*1000)</f>
        <v>399.99999999997726</v>
      </c>
      <c r="EL23" s="146">
        <f>IF((RD[[#This Row],[33 kV_F5_Ex
Incomer3]]-DU22)*1000&lt;0,0,(RD[[#This Row],[33 kV_F5_Ex
Incomer3]]-DU22)*1000)</f>
        <v>145900.00000000146</v>
      </c>
      <c r="EM23" s="146">
        <f>IF((RD[[#This Row],[34 kV_F5_Im
Incomer3]]-DV22)*1000&lt;0,0,(RD[[#This Row],[34 kV_F5_Im
Incomer3]]-DV22)*1000)</f>
        <v>900.00000000003411</v>
      </c>
      <c r="EN23" s="146">
        <f>IF((RD[[#This Row],[33 kV_F6_Ex
Incomer4]]-DW22)*1000&lt;0,0,(RD[[#This Row],[33 kV_F6_Ex
Incomer4]]-DW22)*1000)</f>
        <v>94600.000000000364</v>
      </c>
      <c r="EO23" s="146">
        <f>IF((RD[[#This Row],[33 kV_F6_Im
Incomer4]]-DX22)*1000&lt;0,0,(RD[[#This Row],[33 kV_F6_Im
Incomer4]]-DX22)*1000)</f>
        <v>1099.999999999998</v>
      </c>
      <c r="EP23" s="146">
        <f>IF((RD[[#This Row],[33 kV_F7_Ex
Incomer5]]-DY22)*1000&lt;0,0,(RD[[#This Row],[33 kV_F7_Ex
Incomer5]]-DY22)*1000)</f>
        <v>0</v>
      </c>
      <c r="EQ23" s="146">
        <f>IF((RD[[#This Row],[33 kV_F7_Im
Incomer5]]-DZ22)*1000&lt;0,0,(RD[[#This Row],[33 kV_F7_Im
Incomer5]]-DZ22)*1000)</f>
        <v>0</v>
      </c>
      <c r="ER23" s="146">
        <f>IF((RD[[#This Row],[33 kV_Aux Trafo]]-EA22)*1000&lt;0,0,(RD[[#This Row],[33 kV_Aux Trafo]]-EA22)*1000)</f>
        <v>280.00000000000114</v>
      </c>
      <c r="ES23" s="158">
        <f>IF((RD[[#This Row],[33kV_OG1_Ex_]]-EB22)*1&lt;0,0,(RD[[#This Row],[33kV_OG1_Ex_]]-EB22)*1)</f>
        <v>527835</v>
      </c>
      <c r="ET23" s="146">
        <f>IF((RD[[#This Row],[33kV_OG1_Im]]-EC22)*1&lt;0,0,(RD[[#This Row],[33kV_OG1_Im]]-EC22)*1)</f>
        <v>2482.6240000000689</v>
      </c>
      <c r="EU23" s="146">
        <f>IF((RD[[#This Row],[132kV_TX1_EX]]-ED22)*720&lt;=0,"",(RD[[#This Row],[132kV_TX1_EX]]-ED22)*720)</f>
        <v>2880</v>
      </c>
      <c r="EV23" s="146">
        <f>IF((RD[[#This Row],[132 kV_Tx1_Im]]-EE22)*720&lt;=0,0,(RD[[#This Row],[132 kV_Tx1_Im]]-EE22)*720)</f>
        <v>378720</v>
      </c>
      <c r="EW23" s="146">
        <f>IF((RD[[#This Row],[132kV_L1_Ex]]-EF22)*720&lt;=0,0,(RD[[#This Row],[132kV_L1_Ex]]-EF22)*720)</f>
        <v>525960</v>
      </c>
      <c r="EX23" s="146">
        <f>IF((RD[[#This Row],[132kV_L1_Im]]-EG22)*720&lt;=0,0,(RD[[#This Row],[132kV_L1_Im]]-EG22)*720)</f>
        <v>3168.0000000000655</v>
      </c>
      <c r="EY23" s="244">
        <f>IFERROR(RD[[#This Row],[33kV_OG1_Ex (MWh)]]+RD[[#This Row],[33kV_OG1_Im (MWh)]],"")</f>
        <v>530317.62400000007</v>
      </c>
      <c r="EZ23" s="148">
        <f>RD[[#This Row],[33kV_OG1_Ex (MWh)]]-RD[[#This Row],[33kV_OG1_Im (MWh)]]</f>
        <v>525352.37599999993</v>
      </c>
      <c r="FA23" s="148">
        <f>IFERROR(RD[[#This Row],[132kV_L1_Ex(MWh)]]-RD[[#This Row],[132kV_L1_Im(MWh)]],"")</f>
        <v>522791.99999999994</v>
      </c>
      <c r="FB23" s="55">
        <f>IFERROR(RD[[#This Row],[33kV_Ex(MWh)]]/RD[[#This Row],[Inv Total Gneration (MWh)]]-1,"")</f>
        <v>-0.14381600938203098</v>
      </c>
      <c r="FC23" s="245">
        <f>IFERROR((RD[[#This Row],[Sunset Time (POA&lt;20 W/m2)]]-RD[[#This Row],[Sunrise Time (POA&gt;20 W/m2)]])*24,0)</f>
        <v>11.5</v>
      </c>
      <c r="FD23" s="246">
        <v>105</v>
      </c>
      <c r="FE23" t="s">
        <v>274</v>
      </c>
      <c r="FF23"/>
      <c r="FG23"/>
    </row>
    <row r="24" spans="1:163">
      <c r="A24" s="133">
        <f t="shared" si="155"/>
        <v>45764</v>
      </c>
      <c r="B24" s="61">
        <f>YEAR(RD[[#This Row],[Date]])+IF(MONTH(RD[[#This Row],[Date]])&gt;=4,1,0)</f>
        <v>2026</v>
      </c>
      <c r="C24" s="61">
        <f>YEAR(RD[[#This Row],[Date]])</f>
        <v>2025</v>
      </c>
      <c r="D24" s="58">
        <f t="shared" si="156"/>
        <v>45748</v>
      </c>
      <c r="E24" s="61">
        <f>DAY(EOMONTH(RD[[#This Row],[Date]],0))</f>
        <v>30</v>
      </c>
      <c r="F24" s="152">
        <v>0.2673611111111111</v>
      </c>
      <c r="G24" s="162">
        <v>0.76458333333333328</v>
      </c>
      <c r="H24" s="124">
        <v>8869</v>
      </c>
      <c r="I24" s="124">
        <v>7908</v>
      </c>
      <c r="J24" s="124">
        <v>8481</v>
      </c>
      <c r="K24" s="124">
        <v>8494</v>
      </c>
      <c r="L24" s="124">
        <v>8705</v>
      </c>
      <c r="M24" s="124">
        <v>8792</v>
      </c>
      <c r="N24" s="124">
        <v>8612</v>
      </c>
      <c r="O24" s="124">
        <v>9197</v>
      </c>
      <c r="P24" s="124">
        <v>8698</v>
      </c>
      <c r="Q24" s="124">
        <v>8658</v>
      </c>
      <c r="R24" s="124">
        <v>8931</v>
      </c>
      <c r="S24" s="124">
        <v>8886</v>
      </c>
      <c r="T24" s="124">
        <v>9164</v>
      </c>
      <c r="U24" s="124">
        <v>8938</v>
      </c>
      <c r="V24" s="124">
        <v>9061</v>
      </c>
      <c r="W24" s="124">
        <v>8870</v>
      </c>
      <c r="X24" s="203">
        <v>12378</v>
      </c>
      <c r="Y24" s="203">
        <v>13483</v>
      </c>
      <c r="Z24" s="203">
        <v>12107</v>
      </c>
      <c r="AA24" s="203">
        <v>12591</v>
      </c>
      <c r="AB24" s="203">
        <v>13271</v>
      </c>
      <c r="AC24" s="203">
        <v>8276</v>
      </c>
      <c r="AD24" s="203">
        <v>12510</v>
      </c>
      <c r="AE24" s="203">
        <v>12746</v>
      </c>
      <c r="AF24" s="203">
        <v>12104</v>
      </c>
      <c r="AG24" s="203">
        <v>12432</v>
      </c>
      <c r="AH24" s="203">
        <v>12426</v>
      </c>
      <c r="AI24" s="203">
        <v>12533</v>
      </c>
      <c r="AJ24" s="142">
        <v>10281</v>
      </c>
      <c r="AK24" s="142">
        <v>10559</v>
      </c>
      <c r="AL24" s="142">
        <v>10349</v>
      </c>
      <c r="AM24" s="142">
        <v>10398</v>
      </c>
      <c r="AN24" s="142">
        <v>10390</v>
      </c>
      <c r="AO24" s="142">
        <v>10787</v>
      </c>
      <c r="AP24" s="142">
        <v>10595</v>
      </c>
      <c r="AQ24" s="142">
        <v>10441</v>
      </c>
      <c r="AR24" s="142">
        <v>8361</v>
      </c>
      <c r="AS24" s="142">
        <v>8438</v>
      </c>
      <c r="AT24" s="142">
        <v>8323</v>
      </c>
      <c r="AU24" s="142">
        <v>8518</v>
      </c>
      <c r="AV24" s="142">
        <v>8709</v>
      </c>
      <c r="AW24" s="142">
        <v>8557</v>
      </c>
      <c r="AX24" s="142">
        <v>11940</v>
      </c>
      <c r="AY24" s="142">
        <v>13177</v>
      </c>
      <c r="AZ24" s="142">
        <v>9737</v>
      </c>
      <c r="BA24" s="142">
        <v>11685</v>
      </c>
      <c r="BB24" s="142">
        <v>7362</v>
      </c>
      <c r="BC24" s="142">
        <v>5707</v>
      </c>
      <c r="BD24" s="142">
        <v>9575</v>
      </c>
      <c r="BE24" s="142">
        <v>11513</v>
      </c>
      <c r="BF24" s="142">
        <v>12428</v>
      </c>
      <c r="BG24" s="142">
        <v>12421</v>
      </c>
      <c r="BH24" s="142">
        <v>7553</v>
      </c>
      <c r="BI24" s="142">
        <v>4601</v>
      </c>
      <c r="BJ24" s="142">
        <v>7610</v>
      </c>
      <c r="BK24" s="142">
        <v>4294</v>
      </c>
      <c r="BL24" s="142">
        <v>7084</v>
      </c>
      <c r="BM24" s="142">
        <v>7053</v>
      </c>
      <c r="BN24" s="142">
        <v>6930</v>
      </c>
      <c r="BO24" s="142">
        <v>5434</v>
      </c>
      <c r="BP24" s="142">
        <v>5675</v>
      </c>
      <c r="BQ24" s="142">
        <v>3356</v>
      </c>
      <c r="BR24" s="142">
        <v>440</v>
      </c>
      <c r="BS24" s="142">
        <v>0</v>
      </c>
      <c r="BT24" s="142">
        <v>1806</v>
      </c>
      <c r="BU24" s="142">
        <v>831</v>
      </c>
      <c r="BV24" s="142"/>
      <c r="BW24" s="142"/>
      <c r="BX24" s="142"/>
      <c r="BY24" s="142"/>
      <c r="BZ24" s="142">
        <v>1332</v>
      </c>
      <c r="CA24" s="142">
        <v>1134</v>
      </c>
      <c r="CB24" s="142">
        <v>4723</v>
      </c>
      <c r="CC24" s="142">
        <v>7285</v>
      </c>
      <c r="CD24" s="59">
        <v>7.149</v>
      </c>
      <c r="CE24" s="59"/>
      <c r="CF24" s="206">
        <v>7.0730000000000004</v>
      </c>
      <c r="CG24" s="206"/>
      <c r="CH24" s="206">
        <v>0.92800000000000005</v>
      </c>
      <c r="CI24" s="206"/>
      <c r="CJ24" s="59">
        <v>1.3979999999999999</v>
      </c>
      <c r="CK24" s="59"/>
      <c r="CL24" s="206">
        <v>34.167000000000002</v>
      </c>
      <c r="CM24" s="206"/>
      <c r="CN24" s="206">
        <v>45.872999999999998</v>
      </c>
      <c r="CO24" s="206"/>
      <c r="CP24" s="206">
        <v>29.608000000000001</v>
      </c>
      <c r="CQ24" s="206"/>
      <c r="CR24" s="59">
        <v>0</v>
      </c>
      <c r="CS24" s="59"/>
      <c r="CT24" s="206">
        <v>1.0720000000000001</v>
      </c>
      <c r="CU24" s="206"/>
      <c r="CV24" s="206">
        <v>2.58</v>
      </c>
      <c r="CW24" s="260"/>
      <c r="CX24" s="204">
        <f>IFERROR(AVERAGEIF(RD[[#This Row],[IS1POA1 (KWh/m2)]:[IS7POA2 (KWh/m2)]],"&lt;&gt;0",RD[[#This Row],[IS1POA1 (KWh/m2)]:[IS7POA2 (KWh/m2)]]),"")</f>
        <v>7.149</v>
      </c>
      <c r="CY24" s="204">
        <f>IFERROR(AVERAGEIF(RD[[#This Row],[IS1GHI1 (KWh/m2)]:[IS7GHI2 (KWh/m2)]],"&lt;&gt;0",RD[[#This Row],[IS1GHI1 (KWh/m2)]:[IS7GHI2 (KWh/m2)]]),"")</f>
        <v>7.0730000000000004</v>
      </c>
      <c r="CZ24" s="204">
        <f>IFERROR(AVERAGEIF(RD[[#This Row],[IS1POA_BS1 (KWh/m2)]:[IS7POA_BS2 (KWh/m2)]],"&lt;&gt;0",RD[[#This Row],[IS1POA_BS1 (KWh/m2)]:[IS7POA_BS2 (KWh/m2)]]),"")</f>
        <v>0.92800000000000005</v>
      </c>
      <c r="DA24" s="204">
        <f>IFERROR(AVERAGEIF(RD[[#This Row],[IS1GHI_BS1 (KWh/m2)]:[IS1GHI_BS1 (KWh/m2)2]],"&lt;&gt;0",RD[[#This Row],[IS1GHI_BS1 (KWh/m2)]:[IS1GHI_BS1 (KWh/m2)2]]),"")</f>
        <v>1.3979999999999999</v>
      </c>
      <c r="DB24" s="204">
        <f>IFERROR(AVERAGEIF(RD[[#This Row],[IS1AT1 (°C)]:[IS7AT2 (°C)]],"&lt;&gt;0",RD[[#This Row],[IS1AT1 (°C)]:[IS7AT2 (°C)]]),"")</f>
        <v>34.167000000000002</v>
      </c>
      <c r="DC24" s="204">
        <f>IFERROR(AVERAGEIF(RD[[#This Row],[IS1MT1 (°C)]:[IS7MT2 (°C)]],"&lt;&gt;0",RD[[#This Row],[IS1MT1 (°C)]:[IS7MT2 (°C)]]),"")</f>
        <v>45.872999999999998</v>
      </c>
      <c r="DD24" s="204">
        <f>IFERROR(AVERAGEIF(RD[[#This Row],[IS1RH1 (%)]:[IS7RH2 (%)]],"&lt;&gt;0",RD[[#This Row],[IS1RH1 (%)]:[IS7RH2 (%)]]),"")</f>
        <v>29.608000000000001</v>
      </c>
      <c r="DE24" s="51" t="str">
        <f>IFERROR(AVERAGEIF(RD[[#This Row],[IS1Rain1 (mm)]:[IS7Rain2 (mm)]],"&lt;&gt;0",RD[[#This Row],[IS1Rain1 (mm)]:[IS7Rain2 (mm)]]),"")</f>
        <v/>
      </c>
      <c r="DF24" s="204">
        <f>IFERROR(AVERAGEIF(RD[[#This Row],[WS_Solar1_Avg (m/s)]:[IS7_WS_Solar1_Avg (m/s)]],"&lt;&gt;0",RD[[#This Row],[WS_Solar1_Avg (m/s)]:[IS7_WS_Solar1_Avg (m/s)]]),"")</f>
        <v>1.0720000000000001</v>
      </c>
      <c r="DG24" s="204">
        <f>IFERROR(AVERAGEIF(RD[[#This Row],[WS_Solar1_Max (m/s)]:[IS7_WS_Solar1_Max (m/s)]],"&lt;&gt;0",RD[[#This Row],[WS_Solar1_Max (m/s)]:[IS7_WS_Solar1_Max (m/s)]]),"")</f>
        <v>2.58</v>
      </c>
      <c r="DH24" s="204">
        <f>SUM(RD[[#This Row],[IS1Inv1M1]:[IS4Inv4M2]])</f>
        <v>287121</v>
      </c>
      <c r="DI24" s="205">
        <f>SUM(RD[[#This Row],[IS7Inv1M1]]+RD[[#This Row],[IS7Inv2M1]])</f>
        <v>16799</v>
      </c>
      <c r="DJ24" s="204">
        <f>SUM(RD[[#This Row],[IS5Inv1M1]:[IS5Inv2M2]])</f>
        <v>41587</v>
      </c>
      <c r="DK24" s="204">
        <f>SUM(RD[[#This Row],[IS8Inv1M1]:[IS9Inv2M2]])</f>
        <v>80646</v>
      </c>
      <c r="DL24" s="60">
        <f>SUM(RD[[#This Row],[IS6Inv1M1]:[IS6Inv2M2]])</f>
        <v>42213</v>
      </c>
      <c r="DM24" s="51">
        <f>SUM(RD[[#This Row],[IS10Inv1M1]:[IS11Inv1M4]],RD[[#This Row],[IS14Inv1M1]:[IS14Inv2M4]])</f>
        <v>111675</v>
      </c>
      <c r="DN24" s="288">
        <f>SUM(RD[[#This Row],[IS12Inv1M1]:[IS12Inv1M4]])</f>
        <v>21395</v>
      </c>
      <c r="DO24" s="288">
        <f>SUM(RD[[#This Row],[IS13Inv1M1]:[IS13Inv2M2]])</f>
        <v>3077</v>
      </c>
      <c r="DP24" s="204">
        <f>SUM(RD[[#This Row],[O2R15]:[O2R26]])</f>
        <v>604513</v>
      </c>
      <c r="DQ24" s="164">
        <v>36880.300000000003</v>
      </c>
      <c r="DR24" s="168">
        <v>201.9</v>
      </c>
      <c r="DS24" s="164">
        <v>31653.1</v>
      </c>
      <c r="DT24" s="164">
        <v>214.3</v>
      </c>
      <c r="DU24" s="168">
        <v>36380</v>
      </c>
      <c r="DV24" s="168">
        <v>385.4</v>
      </c>
      <c r="DW24" s="164">
        <v>4658.3999999999996</v>
      </c>
      <c r="DX24" s="168">
        <v>21.1</v>
      </c>
      <c r="DY24" s="168"/>
      <c r="DZ24" s="168"/>
      <c r="EA24" s="140">
        <v>87.69</v>
      </c>
      <c r="EB24" s="243">
        <v>110544773</v>
      </c>
      <c r="EC24" s="242">
        <v>871004.99199999997</v>
      </c>
      <c r="ED24" s="243">
        <v>1041</v>
      </c>
      <c r="EE24" s="243">
        <v>104906</v>
      </c>
      <c r="EF24" s="164">
        <v>153351.1</v>
      </c>
      <c r="EG24" s="164">
        <v>1720.3</v>
      </c>
      <c r="EH24" s="146">
        <f>IF((RD[[#This Row],[33 kV_F3_Ex
Incomer1]]-DQ23)*1000&lt;0,0,(RD[[#This Row],[33 kV_F3_Ex
Incomer1]]-DQ23)*1000)</f>
        <v>117300.00000000291</v>
      </c>
      <c r="EI24" s="146">
        <f>IF((RD[[#This Row],[34 kV_F3_Im
Incomer1]]-DR23)*1000&lt;0,0,(RD[[#This Row],[34 kV_F3_Im
Incomer1]]-DR23)*1000)</f>
        <v>200.00000000001705</v>
      </c>
      <c r="EJ24" s="146">
        <f>IF((RD[[#This Row],[33 kV_F4_Ex
Incomer2]]-DS23)*1000&lt;0,0,(RD[[#This Row],[33 kV_F4_Ex
Incomer2]]-DS23)*1000)</f>
        <v>109099.99999999854</v>
      </c>
      <c r="EK24" s="146">
        <f>IF((RD[[#This Row],[34 kV_F4_Im
Incomer2]]-DT23)*1000&lt;0,0,(RD[[#This Row],[34 kV_F4_Im
Incomer2]]-DT23)*1000)</f>
        <v>100.00000000002274</v>
      </c>
      <c r="EL24" s="146">
        <f>IF((RD[[#This Row],[33 kV_F5_Ex
Incomer3]]-DU23)*1000&lt;0,0,(RD[[#This Row],[33 kV_F5_Ex
Incomer3]]-DU23)*1000)</f>
        <v>144099.99999999854</v>
      </c>
      <c r="EM24" s="146">
        <f>IF((RD[[#This Row],[34 kV_F5_Im
Incomer3]]-DV23)*1000&lt;0,0,(RD[[#This Row],[34 kV_F5_Im
Incomer3]]-DV23)*1000)</f>
        <v>799.99999999995453</v>
      </c>
      <c r="EN24" s="146">
        <f>IF((RD[[#This Row],[33 kV_F6_Ex
Incomer4]]-DW23)*1000&lt;0,0,(RD[[#This Row],[33 kV_F6_Ex
Incomer4]]-DW23)*1000)</f>
        <v>107299.99999999927</v>
      </c>
      <c r="EO24" s="146">
        <f>IF((RD[[#This Row],[33 kV_F6_Im
Incomer4]]-DX23)*1000&lt;0,0,(RD[[#This Row],[33 kV_F6_Im
Incomer4]]-DX23)*1000)</f>
        <v>1200.0000000000027</v>
      </c>
      <c r="EP24" s="146">
        <f>IF((RD[[#This Row],[33 kV_F7_Ex
Incomer5]]-DY23)*1000&lt;0,0,(RD[[#This Row],[33 kV_F7_Ex
Incomer5]]-DY23)*1000)</f>
        <v>0</v>
      </c>
      <c r="EQ24" s="146">
        <f>IF((RD[[#This Row],[33 kV_F7_Im
Incomer5]]-DZ23)*1000&lt;0,0,(RD[[#This Row],[33 kV_F7_Im
Incomer5]]-DZ23)*1000)</f>
        <v>0</v>
      </c>
      <c r="ER24" s="146">
        <f>IF((RD[[#This Row],[33 kV_Aux Trafo]]-EA23)*1000&lt;0,0,(RD[[#This Row],[33 kV_Aux Trafo]]-EA23)*1000)</f>
        <v>239.99999999999488</v>
      </c>
      <c r="ES24" s="158">
        <f>IF((RD[[#This Row],[33kV_OG1_Ex_]]-EB23)*1&lt;0,0,(RD[[#This Row],[33kV_OG1_Ex_]]-EB23)*1)</f>
        <v>595239</v>
      </c>
      <c r="ET24" s="146">
        <f>IF((RD[[#This Row],[33kV_OG1_Im]]-EC23)*1&lt;0,0,(RD[[#This Row],[33kV_OG1_Im]]-EC23)*1)</f>
        <v>2399.0399999999208</v>
      </c>
      <c r="EU24" s="146">
        <f>IF((RD[[#This Row],[132kV_TX1_EX]]-ED23)*720&lt;=0,"",(RD[[#This Row],[132kV_TX1_EX]]-ED23)*720)</f>
        <v>2160</v>
      </c>
      <c r="EV24" s="146">
        <f>IF((RD[[#This Row],[132 kV_Tx1_Im]]-EE23)*720&lt;=0,0,(RD[[#This Row],[132 kV_Tx1_Im]]-EE23)*720)</f>
        <v>426960</v>
      </c>
      <c r="EW24" s="146">
        <f>IF((RD[[#This Row],[132kV_L1_Ex]]-EF23)*720&lt;=0,0,(RD[[#This Row],[132kV_L1_Ex]]-EF23)*720)</f>
        <v>593207.99999999581</v>
      </c>
      <c r="EX24" s="146">
        <f>IF((RD[[#This Row],[132kV_L1_Im]]-EG23)*720&lt;=0,0,(RD[[#This Row],[132kV_L1_Im]]-EG23)*720)</f>
        <v>2951.9999999999345</v>
      </c>
      <c r="EY24" s="244">
        <f>IFERROR(RD[[#This Row],[33kV_OG1_Ex (MWh)]]+RD[[#This Row],[33kV_OG1_Im (MWh)]],"")</f>
        <v>597638.03999999992</v>
      </c>
      <c r="EZ24" s="148">
        <f>RD[[#This Row],[33kV_OG1_Ex (MWh)]]-RD[[#This Row],[33kV_OG1_Im (MWh)]]</f>
        <v>592839.96000000008</v>
      </c>
      <c r="FA24" s="148">
        <f>IFERROR(RD[[#This Row],[132kV_L1_Ex(MWh)]]-RD[[#This Row],[132kV_L1_Im(MWh)]],"")</f>
        <v>590255.99999999593</v>
      </c>
      <c r="FB24" s="55">
        <f>IFERROR(RD[[#This Row],[33kV_Ex(MWh)]]/RD[[#This Row],[Inv Total Gneration (MWh)]]-1,"")</f>
        <v>-1.1372724821468005E-2</v>
      </c>
      <c r="FC24" s="245">
        <f>IFERROR((RD[[#This Row],[Sunset Time (POA&lt;20 W/m2)]]-RD[[#This Row],[Sunrise Time (POA&gt;20 W/m2)]])*24,0)</f>
        <v>11.933333333333332</v>
      </c>
      <c r="FD24" s="246">
        <v>105</v>
      </c>
      <c r="FE24" t="s">
        <v>275</v>
      </c>
      <c r="FF24"/>
      <c r="FG24"/>
    </row>
    <row r="25" spans="1:163">
      <c r="A25" s="133">
        <f>A24+1</f>
        <v>45765</v>
      </c>
      <c r="B25" s="61">
        <f>YEAR(RD[[#This Row],[Date]])+IF(MONTH(RD[[#This Row],[Date]])&gt;=4,1,0)</f>
        <v>2026</v>
      </c>
      <c r="C25" s="61">
        <f>YEAR(RD[[#This Row],[Date]])</f>
        <v>2025</v>
      </c>
      <c r="D25" s="58">
        <f t="shared" si="156"/>
        <v>45748</v>
      </c>
      <c r="E25" s="61">
        <f>DAY(EOMONTH(RD[[#This Row],[Date]],0))</f>
        <v>30</v>
      </c>
      <c r="F25" s="152">
        <v>0.26805555555555555</v>
      </c>
      <c r="G25" s="162">
        <v>0.76597222222222228</v>
      </c>
      <c r="H25" s="124">
        <v>7852.7</v>
      </c>
      <c r="I25" s="124">
        <v>7869.8</v>
      </c>
      <c r="J25" s="124">
        <v>7409.9</v>
      </c>
      <c r="K25" s="124">
        <v>7368.2</v>
      </c>
      <c r="L25" s="124">
        <v>7528.6</v>
      </c>
      <c r="M25" s="124">
        <v>7747.8</v>
      </c>
      <c r="N25" s="124">
        <v>7563.6</v>
      </c>
      <c r="O25" s="124">
        <v>8180.9</v>
      </c>
      <c r="P25" s="124">
        <v>7685.5</v>
      </c>
      <c r="Q25" s="124">
        <v>7586.8</v>
      </c>
      <c r="R25" s="124">
        <v>7806.8</v>
      </c>
      <c r="S25" s="124">
        <v>7759.2</v>
      </c>
      <c r="T25" s="124">
        <v>8114.6</v>
      </c>
      <c r="U25" s="124">
        <v>7805</v>
      </c>
      <c r="V25" s="124">
        <v>7979.5</v>
      </c>
      <c r="W25" s="124">
        <v>7805.8</v>
      </c>
      <c r="X25" s="203">
        <v>10933.7</v>
      </c>
      <c r="Y25" s="203">
        <v>11863.4</v>
      </c>
      <c r="Z25" s="203">
        <v>10677.7</v>
      </c>
      <c r="AA25" s="203">
        <v>11043.3</v>
      </c>
      <c r="AB25" s="203">
        <v>11593.4</v>
      </c>
      <c r="AC25" s="203">
        <v>7238.6</v>
      </c>
      <c r="AD25" s="203">
        <v>10857.1</v>
      </c>
      <c r="AE25" s="203">
        <v>11015.9</v>
      </c>
      <c r="AF25" s="203">
        <v>10795.4</v>
      </c>
      <c r="AG25" s="203">
        <v>10825</v>
      </c>
      <c r="AH25" s="203">
        <v>10856.7</v>
      </c>
      <c r="AI25" s="203">
        <v>10937.8</v>
      </c>
      <c r="AJ25" s="142">
        <v>8756.4</v>
      </c>
      <c r="AK25" s="142">
        <v>9062.7999999999993</v>
      </c>
      <c r="AL25" s="142">
        <v>8894.2000000000007</v>
      </c>
      <c r="AM25" s="142">
        <v>8943.5</v>
      </c>
      <c r="AN25" s="142">
        <v>8906.9</v>
      </c>
      <c r="AO25" s="142">
        <v>9320</v>
      </c>
      <c r="AP25" s="142">
        <v>9107</v>
      </c>
      <c r="AQ25" s="142">
        <v>9002.7999999999993</v>
      </c>
      <c r="AR25" s="142">
        <v>7272.3</v>
      </c>
      <c r="AS25" s="142">
        <v>7334</v>
      </c>
      <c r="AT25" s="142">
        <v>7958</v>
      </c>
      <c r="AU25" s="142">
        <v>8105</v>
      </c>
      <c r="AV25" s="142">
        <v>8287</v>
      </c>
      <c r="AW25" s="142">
        <v>8097</v>
      </c>
      <c r="AX25" s="142">
        <v>10002.700000000001</v>
      </c>
      <c r="AY25" s="142">
        <v>11407</v>
      </c>
      <c r="AZ25" s="142">
        <v>8417</v>
      </c>
      <c r="BA25" s="142">
        <v>10094.4</v>
      </c>
      <c r="BB25" s="142">
        <v>10263</v>
      </c>
      <c r="BC25" s="142">
        <v>7976</v>
      </c>
      <c r="BD25" s="142">
        <v>8343</v>
      </c>
      <c r="BE25" s="142">
        <v>9998.9</v>
      </c>
      <c r="BF25" s="142">
        <v>20679</v>
      </c>
      <c r="BG25" s="142">
        <v>10686</v>
      </c>
      <c r="BH25" s="142">
        <v>6595</v>
      </c>
      <c r="BI25" s="142">
        <v>4033</v>
      </c>
      <c r="BJ25" s="142">
        <v>6583</v>
      </c>
      <c r="BK25" s="142">
        <v>3669</v>
      </c>
      <c r="BL25" s="142">
        <v>6382</v>
      </c>
      <c r="BM25" s="142">
        <v>6042</v>
      </c>
      <c r="BN25" s="142">
        <v>6679</v>
      </c>
      <c r="BO25" s="142">
        <v>4699</v>
      </c>
      <c r="BP25" s="142">
        <v>5234</v>
      </c>
      <c r="BQ25" s="142">
        <v>2882</v>
      </c>
      <c r="BR25" s="142">
        <v>1373</v>
      </c>
      <c r="BS25" s="142">
        <v>0</v>
      </c>
      <c r="BT25" s="142">
        <v>1556</v>
      </c>
      <c r="BU25" s="142">
        <v>713</v>
      </c>
      <c r="BV25" s="142"/>
      <c r="BW25" s="142"/>
      <c r="BX25" s="142"/>
      <c r="BY25" s="142"/>
      <c r="BZ25" s="142">
        <v>1139</v>
      </c>
      <c r="CA25" s="142">
        <v>969</v>
      </c>
      <c r="CB25" s="142">
        <v>4100</v>
      </c>
      <c r="CC25" s="142">
        <v>6296</v>
      </c>
      <c r="CD25" s="59">
        <v>6.3220000000000001</v>
      </c>
      <c r="CE25" s="59"/>
      <c r="CF25" s="206">
        <v>6.26</v>
      </c>
      <c r="CG25" s="206"/>
      <c r="CH25" s="206">
        <v>0.77400000000000002</v>
      </c>
      <c r="CI25" s="206"/>
      <c r="CJ25" s="59">
        <v>1.248</v>
      </c>
      <c r="CK25" s="59"/>
      <c r="CL25" s="206">
        <v>34.081000000000003</v>
      </c>
      <c r="CM25" s="206"/>
      <c r="CN25" s="206">
        <v>45.521000000000001</v>
      </c>
      <c r="CO25" s="206"/>
      <c r="CP25" s="206">
        <v>28.576000000000001</v>
      </c>
      <c r="CQ25" s="206"/>
      <c r="CR25" s="59">
        <v>0</v>
      </c>
      <c r="CS25" s="59"/>
      <c r="CT25" s="206">
        <v>1.167</v>
      </c>
      <c r="CU25" s="206"/>
      <c r="CV25" s="206">
        <v>3.117</v>
      </c>
      <c r="CW25" s="260"/>
      <c r="CX25" s="204">
        <f>IFERROR(AVERAGEIF(RD[[#This Row],[IS1POA1 (KWh/m2)]:[IS7POA2 (KWh/m2)]],"&lt;&gt;0",RD[[#This Row],[IS1POA1 (KWh/m2)]:[IS7POA2 (KWh/m2)]]),"")</f>
        <v>6.3220000000000001</v>
      </c>
      <c r="CY25" s="204">
        <f>IFERROR(AVERAGEIF(RD[[#This Row],[IS1GHI1 (KWh/m2)]:[IS7GHI2 (KWh/m2)]],"&lt;&gt;0",RD[[#This Row],[IS1GHI1 (KWh/m2)]:[IS7GHI2 (KWh/m2)]]),"")</f>
        <v>6.26</v>
      </c>
      <c r="CZ25" s="204">
        <f>IFERROR(AVERAGEIF(RD[[#This Row],[IS1POA_BS1 (KWh/m2)]:[IS7POA_BS2 (KWh/m2)]],"&lt;&gt;0",RD[[#This Row],[IS1POA_BS1 (KWh/m2)]:[IS7POA_BS2 (KWh/m2)]]),"")</f>
        <v>0.77400000000000002</v>
      </c>
      <c r="DA25" s="204">
        <f>IFERROR(AVERAGEIF(RD[[#This Row],[IS1GHI_BS1 (KWh/m2)]:[IS1GHI_BS1 (KWh/m2)2]],"&lt;&gt;0",RD[[#This Row],[IS1GHI_BS1 (KWh/m2)]:[IS1GHI_BS1 (KWh/m2)2]]),"")</f>
        <v>1.248</v>
      </c>
      <c r="DB25" s="204">
        <f>IFERROR(AVERAGEIF(RD[[#This Row],[IS1AT1 (°C)]:[IS7AT2 (°C)]],"&lt;&gt;0",RD[[#This Row],[IS1AT1 (°C)]:[IS7AT2 (°C)]]),"")</f>
        <v>34.081000000000003</v>
      </c>
      <c r="DC25" s="204">
        <f>IFERROR(AVERAGEIF(RD[[#This Row],[IS1MT1 (°C)]:[IS7MT2 (°C)]],"&lt;&gt;0",RD[[#This Row],[IS1MT1 (°C)]:[IS7MT2 (°C)]]),"")</f>
        <v>45.521000000000001</v>
      </c>
      <c r="DD25" s="204">
        <f>IFERROR(AVERAGEIF(RD[[#This Row],[IS1RH1 (%)]:[IS7RH2 (%)]],"&lt;&gt;0",RD[[#This Row],[IS1RH1 (%)]:[IS7RH2 (%)]]),"")</f>
        <v>28.576000000000001</v>
      </c>
      <c r="DE25" s="51" t="str">
        <f>IFERROR(AVERAGEIF(RD[[#This Row],[IS1Rain1 (mm)]:[IS7Rain2 (mm)]],"&lt;&gt;0",RD[[#This Row],[IS1Rain1 (mm)]:[IS7Rain2 (mm)]]),"")</f>
        <v/>
      </c>
      <c r="DF25" s="204">
        <f>IFERROR(AVERAGEIF(RD[[#This Row],[WS_Solar1_Avg (m/s)]:[IS7_WS_Solar1_Avg (m/s)]],"&lt;&gt;0",RD[[#This Row],[WS_Solar1_Avg (m/s)]:[IS7_WS_Solar1_Avg (m/s)]]),"")</f>
        <v>1.167</v>
      </c>
      <c r="DG25" s="204">
        <f>IFERROR(AVERAGEIF(RD[[#This Row],[WS_Solar1_Max (m/s)]:[IS7_WS_Solar1_Max (m/s)]],"&lt;&gt;0",RD[[#This Row],[WS_Solar1_Max (m/s)]:[IS7_WS_Solar1_Max (m/s)]]),"")</f>
        <v>3.117</v>
      </c>
      <c r="DH25" s="204">
        <f>SUM(RD[[#This Row],[IS1Inv1M1]:[IS4Inv4M2]])</f>
        <v>252702.7</v>
      </c>
      <c r="DI25" s="205">
        <f>SUM(RD[[#This Row],[IS7Inv1M1]]+RD[[#This Row],[IS7Inv2M1]])</f>
        <v>14606.3</v>
      </c>
      <c r="DJ25" s="204">
        <f>SUM(RD[[#This Row],[IS5Inv1M1]:[IS5Inv2M2]])</f>
        <v>35656.899999999994</v>
      </c>
      <c r="DK25" s="204">
        <f>SUM(RD[[#This Row],[IS8Inv1M1]:[IS9Inv2M2]])</f>
        <v>72368.099999999991</v>
      </c>
      <c r="DL25" s="60">
        <f>SUM(RD[[#This Row],[IS6Inv1M1]:[IS6Inv2M2]])</f>
        <v>36336.699999999997</v>
      </c>
      <c r="DM25" s="51">
        <f>SUM(RD[[#This Row],[IS10Inv1M1]:[IS11Inv1M4]],RD[[#This Row],[IS14Inv1M1]:[IS14Inv2M4]])</f>
        <v>113753.9</v>
      </c>
      <c r="DN25" s="288">
        <f>SUM(RD[[#This Row],[IS12Inv1M1]:[IS12Inv1M4]])</f>
        <v>19494</v>
      </c>
      <c r="DO25" s="288">
        <f>SUM(RD[[#This Row],[IS13Inv1M1]:[IS13Inv2M2]])</f>
        <v>3642</v>
      </c>
      <c r="DP25" s="204">
        <f>SUM(RD[[#This Row],[O2R15]:[O2R26]])</f>
        <v>548560.6</v>
      </c>
      <c r="DQ25" s="164">
        <v>36973.599999999999</v>
      </c>
      <c r="DR25" s="168">
        <v>202.1</v>
      </c>
      <c r="DS25" s="164">
        <v>31741.3</v>
      </c>
      <c r="DT25" s="164">
        <v>214.5</v>
      </c>
      <c r="DU25" s="168">
        <v>36492.6</v>
      </c>
      <c r="DV25" s="168">
        <v>385.8</v>
      </c>
      <c r="DW25" s="164">
        <v>4749.5</v>
      </c>
      <c r="DX25" s="168">
        <v>21.7</v>
      </c>
      <c r="DY25" s="168"/>
      <c r="DZ25" s="168"/>
      <c r="EA25" s="140">
        <v>87.87</v>
      </c>
      <c r="EB25" s="243">
        <v>111071920</v>
      </c>
      <c r="EC25" s="242">
        <v>872561.6</v>
      </c>
      <c r="ED25" s="243">
        <v>1043</v>
      </c>
      <c r="EE25" s="243">
        <v>105431</v>
      </c>
      <c r="EF25" s="164">
        <v>154080.79999999999</v>
      </c>
      <c r="EG25" s="164">
        <v>1723.2</v>
      </c>
      <c r="EH25" s="146">
        <f>IF((RD[[#This Row],[33 kV_F3_Ex
Incomer1]]-DQ24)*1000&lt;0,0,(RD[[#This Row],[33 kV_F3_Ex
Incomer1]]-DQ24)*1000)</f>
        <v>93299.999999995634</v>
      </c>
      <c r="EI25" s="146">
        <f>IF((RD[[#This Row],[34 kV_F3_Im
Incomer1]]-DR24)*1000&lt;0,0,(RD[[#This Row],[34 kV_F3_Im
Incomer1]]-DR24)*1000)</f>
        <v>199.99999999998863</v>
      </c>
      <c r="EJ25" s="146">
        <f>IF((RD[[#This Row],[33 kV_F4_Ex
Incomer2]]-DS24)*1000&lt;0,0,(RD[[#This Row],[33 kV_F4_Ex
Incomer2]]-DS24)*1000)</f>
        <v>88200.000000000728</v>
      </c>
      <c r="EK25" s="146">
        <f>IF((RD[[#This Row],[34 kV_F4_Im
Incomer2]]-DT24)*1000&lt;0,0,(RD[[#This Row],[34 kV_F4_Im
Incomer2]]-DT24)*1000)</f>
        <v>199.99999999998863</v>
      </c>
      <c r="EL25" s="146">
        <f>IF((RD[[#This Row],[33 kV_F5_Ex
Incomer3]]-DU24)*1000&lt;0,0,(RD[[#This Row],[33 kV_F5_Ex
Incomer3]]-DU24)*1000)</f>
        <v>112599.99999999854</v>
      </c>
      <c r="EM25" s="146">
        <f>IF((RD[[#This Row],[34 kV_F5_Im
Incomer3]]-DV24)*1000&lt;0,0,(RD[[#This Row],[34 kV_F5_Im
Incomer3]]-DV24)*1000)</f>
        <v>400.00000000003411</v>
      </c>
      <c r="EN25" s="146">
        <f>IF((RD[[#This Row],[33 kV_F6_Ex
Incomer4]]-DW24)*1000&lt;0,0,(RD[[#This Row],[33 kV_F6_Ex
Incomer4]]-DW24)*1000)</f>
        <v>91100.000000000364</v>
      </c>
      <c r="EO25" s="146">
        <f>IF((RD[[#This Row],[33 kV_F6_Im
Incomer4]]-DX24)*1000&lt;0,0,(RD[[#This Row],[33 kV_F6_Im
Incomer4]]-DX24)*1000)</f>
        <v>599.99999999999784</v>
      </c>
      <c r="EP25" s="146">
        <f>IF((RD[[#This Row],[33 kV_F7_Ex
Incomer5]]-DY24)*1000&lt;0,0,(RD[[#This Row],[33 kV_F7_Ex
Incomer5]]-DY24)*1000)</f>
        <v>0</v>
      </c>
      <c r="EQ25" s="146">
        <f>IF((RD[[#This Row],[33 kV_F7_Im
Incomer5]]-DZ24)*1000&lt;0,0,(RD[[#This Row],[33 kV_F7_Im
Incomer5]]-DZ24)*1000)</f>
        <v>0</v>
      </c>
      <c r="ER25" s="146">
        <f>IF((RD[[#This Row],[33 kV_Aux Trafo]]-EA24)*1000&lt;0,0,(RD[[#This Row],[33 kV_Aux Trafo]]-EA24)*1000)</f>
        <v>180.00000000000682</v>
      </c>
      <c r="ES25" s="158">
        <f>IF((RD[[#This Row],[33kV_OG1_Ex_]]-EB24)*1&lt;0,0,(RD[[#This Row],[33kV_OG1_Ex_]]-EB24)*1)</f>
        <v>527147</v>
      </c>
      <c r="ET25" s="146">
        <f>IF((RD[[#This Row],[33kV_OG1_Im]]-EC24)*1&lt;0,0,(RD[[#This Row],[33kV_OG1_Im]]-EC24)*1)</f>
        <v>1556.6080000000075</v>
      </c>
      <c r="EU25" s="146">
        <f>IF((RD[[#This Row],[132kV_TX1_EX]]-ED24)*720&lt;=0,"",(RD[[#This Row],[132kV_TX1_EX]]-ED24)*720)</f>
        <v>1440</v>
      </c>
      <c r="EV25" s="146">
        <f>IF((RD[[#This Row],[132 kV_Tx1_Im]]-EE24)*720&lt;=0,0,(RD[[#This Row],[132 kV_Tx1_Im]]-EE24)*720)</f>
        <v>378000</v>
      </c>
      <c r="EW25" s="146">
        <f>IF((RD[[#This Row],[132kV_L1_Ex]]-EF24)*720&lt;=0,0,(RD[[#This Row],[132kV_L1_Ex]]-EF24)*720)</f>
        <v>525383.99999998743</v>
      </c>
      <c r="EX25" s="146">
        <f>IF((RD[[#This Row],[132kV_L1_Im]]-EG24)*720&lt;=0,0,(RD[[#This Row],[132kV_L1_Im]]-EG24)*720)</f>
        <v>2088.0000000000655</v>
      </c>
      <c r="EY25" s="244">
        <f>IFERROR(RD[[#This Row],[33kV_OG1_Ex (MWh)]]+RD[[#This Row],[33kV_OG1_Im (MWh)]],"")</f>
        <v>528703.60800000001</v>
      </c>
      <c r="EZ25" s="148">
        <f>RD[[#This Row],[33kV_OG1_Ex (MWh)]]-RD[[#This Row],[33kV_OG1_Im (MWh)]]</f>
        <v>525590.39199999999</v>
      </c>
      <c r="FA25" s="148">
        <f>IFERROR(RD[[#This Row],[132kV_L1_Ex(MWh)]]-RD[[#This Row],[132kV_L1_Im(MWh)]],"")</f>
        <v>523295.99999998737</v>
      </c>
      <c r="FB25" s="55">
        <f>IFERROR(RD[[#This Row],[33kV_Ex(MWh)]]/RD[[#This Row],[Inv Total Gneration (MWh)]]-1,"")</f>
        <v>-3.6198356207135518E-2</v>
      </c>
      <c r="FC25" s="245">
        <f>IFERROR((RD[[#This Row],[Sunset Time (POA&lt;20 W/m2)]]-RD[[#This Row],[Sunrise Time (POA&gt;20 W/m2)]])*24,0)</f>
        <v>11.950000000000001</v>
      </c>
      <c r="FD25" s="246">
        <v>105</v>
      </c>
      <c r="FE25" t="s">
        <v>265</v>
      </c>
      <c r="FF25"/>
      <c r="FG25"/>
    </row>
    <row r="26" spans="1:163">
      <c r="A26" s="133">
        <f t="shared" si="155"/>
        <v>45766</v>
      </c>
      <c r="B26" s="61">
        <f>YEAR(RD[[#This Row],[Date]])+IF(MONTH(RD[[#This Row],[Date]])&gt;=4,1,0)</f>
        <v>2026</v>
      </c>
      <c r="C26" s="61">
        <f>YEAR(RD[[#This Row],[Date]])</f>
        <v>2025</v>
      </c>
      <c r="D26" s="58">
        <f t="shared" si="156"/>
        <v>45748</v>
      </c>
      <c r="E26" s="61">
        <f>DAY(EOMONTH(RD[[#This Row],[Date]],0))</f>
        <v>30</v>
      </c>
      <c r="F26" s="152">
        <v>0.26458333333333334</v>
      </c>
      <c r="G26" s="162">
        <v>0.76736111111111116</v>
      </c>
      <c r="H26" s="124">
        <v>9048.5</v>
      </c>
      <c r="I26" s="124">
        <v>9015.9</v>
      </c>
      <c r="J26" s="124">
        <v>8548.2999999999993</v>
      </c>
      <c r="K26" s="124">
        <v>8558.1</v>
      </c>
      <c r="L26" s="124">
        <v>8769.5</v>
      </c>
      <c r="M26" s="124">
        <v>9032.6</v>
      </c>
      <c r="N26" s="124">
        <v>8815.7000000000007</v>
      </c>
      <c r="O26" s="124">
        <v>9393.1</v>
      </c>
      <c r="P26" s="124">
        <v>8821.7999999999993</v>
      </c>
      <c r="Q26" s="124">
        <v>8758</v>
      </c>
      <c r="R26" s="124">
        <v>9017.2999999999993</v>
      </c>
      <c r="S26" s="124">
        <v>9019.2999999999993</v>
      </c>
      <c r="T26" s="124">
        <v>9284.6</v>
      </c>
      <c r="U26" s="124">
        <v>9006.7999999999993</v>
      </c>
      <c r="V26" s="124">
        <v>9145.1</v>
      </c>
      <c r="W26" s="124">
        <v>8977.7999999999993</v>
      </c>
      <c r="X26" s="203">
        <v>12653</v>
      </c>
      <c r="Y26" s="203">
        <v>13628.1</v>
      </c>
      <c r="Z26" s="203">
        <v>12198.8</v>
      </c>
      <c r="AA26" s="203">
        <v>12728.9</v>
      </c>
      <c r="AB26" s="203">
        <v>13443.2</v>
      </c>
      <c r="AC26" s="203">
        <v>8325.7000000000007</v>
      </c>
      <c r="AD26" s="203">
        <v>12683.5</v>
      </c>
      <c r="AE26" s="203">
        <v>12813.3</v>
      </c>
      <c r="AF26" s="203">
        <v>12499</v>
      </c>
      <c r="AG26" s="203">
        <v>12432</v>
      </c>
      <c r="AH26" s="203">
        <v>12587.8</v>
      </c>
      <c r="AI26" s="203">
        <v>12714</v>
      </c>
      <c r="AJ26" s="142">
        <v>10389.6</v>
      </c>
      <c r="AK26" s="142">
        <v>10672.1</v>
      </c>
      <c r="AL26" s="142">
        <v>10466.5</v>
      </c>
      <c r="AM26" s="142">
        <v>10509.8</v>
      </c>
      <c r="AN26" s="142">
        <v>10571.4</v>
      </c>
      <c r="AO26" s="142">
        <v>10904.9</v>
      </c>
      <c r="AP26" s="142">
        <v>10750.4</v>
      </c>
      <c r="AQ26" s="142">
        <v>10588.7</v>
      </c>
      <c r="AR26" s="142">
        <v>8624.2000000000007</v>
      </c>
      <c r="AS26" s="142">
        <v>8688.1</v>
      </c>
      <c r="AT26" s="142">
        <v>8452.9</v>
      </c>
      <c r="AU26" s="142">
        <v>8650</v>
      </c>
      <c r="AV26" s="142">
        <v>8836.7000000000007</v>
      </c>
      <c r="AW26" s="142">
        <v>8708</v>
      </c>
      <c r="AX26" s="142">
        <v>12246</v>
      </c>
      <c r="AY26" s="142">
        <v>13347.4</v>
      </c>
      <c r="AZ26" s="142">
        <v>9864</v>
      </c>
      <c r="BA26" s="142">
        <v>11841.4</v>
      </c>
      <c r="BB26" s="142">
        <v>12082.9</v>
      </c>
      <c r="BC26" s="142">
        <v>9243.7999999999993</v>
      </c>
      <c r="BD26" s="142">
        <v>9745.2999999999993</v>
      </c>
      <c r="BE26" s="142">
        <v>11762.4</v>
      </c>
      <c r="BF26" s="142">
        <v>12586</v>
      </c>
      <c r="BG26" s="142">
        <v>12729</v>
      </c>
      <c r="BH26" s="142">
        <v>7681.1</v>
      </c>
      <c r="BI26" s="142">
        <v>4714.3</v>
      </c>
      <c r="BJ26" s="142">
        <v>7610</v>
      </c>
      <c r="BK26" s="142">
        <v>4294</v>
      </c>
      <c r="BL26" s="142">
        <v>7084</v>
      </c>
      <c r="BM26" s="142">
        <v>7053</v>
      </c>
      <c r="BN26" s="142"/>
      <c r="BO26" s="142"/>
      <c r="BP26" s="142"/>
      <c r="BQ26" s="142"/>
      <c r="BR26" s="142">
        <v>1647</v>
      </c>
      <c r="BS26" s="142">
        <v>0</v>
      </c>
      <c r="BT26" s="142">
        <v>1845</v>
      </c>
      <c r="BU26" s="142">
        <v>846</v>
      </c>
      <c r="BV26" s="142"/>
      <c r="BW26" s="142"/>
      <c r="BX26" s="142"/>
      <c r="BY26" s="142"/>
      <c r="BZ26" s="142"/>
      <c r="CA26" s="142"/>
      <c r="CB26" s="142"/>
      <c r="CC26" s="142"/>
      <c r="CD26" s="59">
        <v>7.2034397833333221</v>
      </c>
      <c r="CE26" s="59"/>
      <c r="CF26" s="206">
        <v>7.1534676333333289</v>
      </c>
      <c r="CG26" s="206"/>
      <c r="CH26" s="206">
        <v>0.94859071666666694</v>
      </c>
      <c r="CI26" s="206"/>
      <c r="CJ26" s="59">
        <v>1.4176835499999965</v>
      </c>
      <c r="CK26" s="59"/>
      <c r="CL26" s="206">
        <v>33.854152777777742</v>
      </c>
      <c r="CM26" s="206"/>
      <c r="CN26" s="206">
        <v>45.871319444444431</v>
      </c>
      <c r="CO26" s="206"/>
      <c r="CP26" s="206">
        <v>27.38393055555553</v>
      </c>
      <c r="CQ26" s="206"/>
      <c r="CR26" s="59">
        <v>0</v>
      </c>
      <c r="CS26" s="59"/>
      <c r="CT26" s="206">
        <v>1.3137354166666648</v>
      </c>
      <c r="CU26" s="206"/>
      <c r="CV26" s="206">
        <v>3.1829999999999998</v>
      </c>
      <c r="CW26" s="260"/>
      <c r="CX26" s="204">
        <f>IFERROR(AVERAGEIF(RD[[#This Row],[IS1POA1 (KWh/m2)]:[IS7POA2 (KWh/m2)]],"&lt;&gt;0",RD[[#This Row],[IS1POA1 (KWh/m2)]:[IS7POA2 (KWh/m2)]]),"")</f>
        <v>7.2034397833333221</v>
      </c>
      <c r="CY26" s="204">
        <f>IFERROR(AVERAGEIF(RD[[#This Row],[IS1GHI1 (KWh/m2)]:[IS7GHI2 (KWh/m2)]],"&lt;&gt;0",RD[[#This Row],[IS1GHI1 (KWh/m2)]:[IS7GHI2 (KWh/m2)]]),"")</f>
        <v>7.1534676333333289</v>
      </c>
      <c r="CZ26" s="204">
        <f>IFERROR(AVERAGEIF(RD[[#This Row],[IS1POA_BS1 (KWh/m2)]:[IS7POA_BS2 (KWh/m2)]],"&lt;&gt;0",RD[[#This Row],[IS1POA_BS1 (KWh/m2)]:[IS7POA_BS2 (KWh/m2)]]),"")</f>
        <v>0.94859071666666694</v>
      </c>
      <c r="DA26" s="204">
        <f>IFERROR(AVERAGEIF(RD[[#This Row],[IS1GHI_BS1 (KWh/m2)]:[IS1GHI_BS1 (KWh/m2)2]],"&lt;&gt;0",RD[[#This Row],[IS1GHI_BS1 (KWh/m2)]:[IS1GHI_BS1 (KWh/m2)2]]),"")</f>
        <v>1.4176835499999965</v>
      </c>
      <c r="DB26" s="204">
        <f>IFERROR(AVERAGEIF(RD[[#This Row],[IS1AT1 (°C)]:[IS7AT2 (°C)]],"&lt;&gt;0",RD[[#This Row],[IS1AT1 (°C)]:[IS7AT2 (°C)]]),"")</f>
        <v>33.854152777777742</v>
      </c>
      <c r="DC26" s="204">
        <f>IFERROR(AVERAGEIF(RD[[#This Row],[IS1MT1 (°C)]:[IS7MT2 (°C)]],"&lt;&gt;0",RD[[#This Row],[IS1MT1 (°C)]:[IS7MT2 (°C)]]),"")</f>
        <v>45.871319444444431</v>
      </c>
      <c r="DD26" s="204">
        <f>IFERROR(AVERAGEIF(RD[[#This Row],[IS1RH1 (%)]:[IS7RH2 (%)]],"&lt;&gt;0",RD[[#This Row],[IS1RH1 (%)]:[IS7RH2 (%)]]),"")</f>
        <v>27.38393055555553</v>
      </c>
      <c r="DE26" s="51" t="str">
        <f>IFERROR(AVERAGEIF(RD[[#This Row],[IS1Rain1 (mm)]:[IS7Rain2 (mm)]],"&lt;&gt;0",RD[[#This Row],[IS1Rain1 (mm)]:[IS7Rain2 (mm)]]),"")</f>
        <v/>
      </c>
      <c r="DF26" s="204">
        <f>IFERROR(AVERAGEIF(RD[[#This Row],[WS_Solar1_Avg (m/s)]:[IS7_WS_Solar1_Avg (m/s)]],"&lt;&gt;0",RD[[#This Row],[WS_Solar1_Avg (m/s)]:[IS7_WS_Solar1_Avg (m/s)]]),"")</f>
        <v>1.3137354166666648</v>
      </c>
      <c r="DG26" s="204">
        <f>IFERROR(AVERAGEIF(RD[[#This Row],[WS_Solar1_Max (m/s)]:[IS7_WS_Solar1_Max (m/s)]],"&lt;&gt;0",RD[[#This Row],[WS_Solar1_Max (m/s)]:[IS7_WS_Solar1_Max (m/s)]]),"")</f>
        <v>3.1829999999999998</v>
      </c>
      <c r="DH26" s="204">
        <f>SUM(RD[[#This Row],[IS1Inv1M1]:[IS4Inv4M2]])</f>
        <v>291919.7</v>
      </c>
      <c r="DI26" s="205">
        <f>SUM(RD[[#This Row],[IS7Inv1M1]]+RD[[#This Row],[IS7Inv2M1]])</f>
        <v>17312.300000000003</v>
      </c>
      <c r="DJ26" s="204">
        <f>SUM(RD[[#This Row],[IS5Inv1M1]:[IS5Inv2M2]])</f>
        <v>42038</v>
      </c>
      <c r="DK26" s="204">
        <f>SUM(RD[[#This Row],[IS8Inv1M1]:[IS9Inv2M2]])</f>
        <v>81946.399999999994</v>
      </c>
      <c r="DL26" s="60">
        <f>SUM(RD[[#This Row],[IS6Inv1M1]:[IS6Inv2M2]])</f>
        <v>42815.399999999994</v>
      </c>
      <c r="DM26" s="51">
        <f>SUM(RD[[#This Row],[IS10Inv1M1]:[IS11Inv1M4]],RD[[#This Row],[IS14Inv1M1]:[IS14Inv2M4]])</f>
        <v>106585.8</v>
      </c>
      <c r="DN26" s="288">
        <f>SUM(RD[[#This Row],[IS12Inv1M1]:[IS12Inv1M4]])</f>
        <v>0</v>
      </c>
      <c r="DO26" s="288">
        <f>SUM(RD[[#This Row],[IS13Inv1M1]:[IS13Inv2M2]])</f>
        <v>4338</v>
      </c>
      <c r="DP26" s="204">
        <f>SUM(RD[[#This Row],[O2R15]:[O2R26]])</f>
        <v>586955.60000000009</v>
      </c>
      <c r="DQ26" s="164">
        <v>37072.800000000003</v>
      </c>
      <c r="DR26" s="168">
        <v>202.3</v>
      </c>
      <c r="DS26" s="164">
        <v>31834.400000000001</v>
      </c>
      <c r="DT26" s="164">
        <v>214.8</v>
      </c>
      <c r="DU26" s="168">
        <v>36614.400000000001</v>
      </c>
      <c r="DV26" s="168">
        <v>386.4</v>
      </c>
      <c r="DW26" s="164">
        <v>4848.3999999999996</v>
      </c>
      <c r="DX26" s="168">
        <v>22.5</v>
      </c>
      <c r="DY26" s="168"/>
      <c r="DZ26" s="168"/>
      <c r="EA26" s="140">
        <v>88.09</v>
      </c>
      <c r="EB26" s="243">
        <v>111687254</v>
      </c>
      <c r="EC26" s="242">
        <v>875620.54599999997</v>
      </c>
      <c r="ED26" s="243">
        <v>1047</v>
      </c>
      <c r="EE26" s="243">
        <v>106044</v>
      </c>
      <c r="EF26" s="164">
        <v>154932.5</v>
      </c>
      <c r="EG26" s="164">
        <v>1728.5</v>
      </c>
      <c r="EH26" s="146">
        <f>IF((RD[[#This Row],[33 kV_F3_Ex
Incomer1]]-DQ25)*1000&lt;0,0,(RD[[#This Row],[33 kV_F3_Ex
Incomer1]]-DQ25)*1000)</f>
        <v>99200.000000004366</v>
      </c>
      <c r="EI26" s="146">
        <f>IF((RD[[#This Row],[34 kV_F3_Im
Incomer1]]-DR25)*1000&lt;0,0,(RD[[#This Row],[34 kV_F3_Im
Incomer1]]-DR25)*1000)</f>
        <v>200.00000000001705</v>
      </c>
      <c r="EJ26" s="146">
        <f>IF((RD[[#This Row],[33 kV_F4_Ex
Incomer2]]-DS25)*1000&lt;0,0,(RD[[#This Row],[33 kV_F4_Ex
Incomer2]]-DS25)*1000)</f>
        <v>93100.000000002183</v>
      </c>
      <c r="EK26" s="146">
        <f>IF((RD[[#This Row],[34 kV_F4_Im
Incomer2]]-DT25)*1000&lt;0,0,(RD[[#This Row],[34 kV_F4_Im
Incomer2]]-DT25)*1000)</f>
        <v>300.00000000001137</v>
      </c>
      <c r="EL26" s="146">
        <f>IF((RD[[#This Row],[33 kV_F5_Ex
Incomer3]]-DU25)*1000&lt;0,0,(RD[[#This Row],[33 kV_F5_Ex
Incomer3]]-DU25)*1000)</f>
        <v>121800.00000000291</v>
      </c>
      <c r="EM26" s="146">
        <f>IF((RD[[#This Row],[34 kV_F5_Im
Incomer3]]-DV25)*1000&lt;0,0,(RD[[#This Row],[34 kV_F5_Im
Incomer3]]-DV25)*1000)</f>
        <v>599.99999999996589</v>
      </c>
      <c r="EN26" s="146">
        <f>IF((RD[[#This Row],[33 kV_F6_Ex
Incomer4]]-DW25)*1000&lt;0,0,(RD[[#This Row],[33 kV_F6_Ex
Incomer4]]-DW25)*1000)</f>
        <v>98899.999999999636</v>
      </c>
      <c r="EO26" s="146">
        <f>IF((RD[[#This Row],[33 kV_F6_Im
Incomer4]]-DX25)*1000&lt;0,0,(RD[[#This Row],[33 kV_F6_Im
Incomer4]]-DX25)*1000)</f>
        <v>800.00000000000068</v>
      </c>
      <c r="EP26" s="146">
        <f>IF((RD[[#This Row],[33 kV_F7_Ex
Incomer5]]-DY25)*1000&lt;0,0,(RD[[#This Row],[33 kV_F7_Ex
Incomer5]]-DY25)*1000)</f>
        <v>0</v>
      </c>
      <c r="EQ26" s="146">
        <f>IF((RD[[#This Row],[33 kV_F7_Im
Incomer5]]-DZ25)*1000&lt;0,0,(RD[[#This Row],[33 kV_F7_Im
Incomer5]]-DZ25)*1000)</f>
        <v>0</v>
      </c>
      <c r="ER26" s="146">
        <f>IF((RD[[#This Row],[33 kV_Aux Trafo]]-EA25)*1000&lt;0,0,(RD[[#This Row],[33 kV_Aux Trafo]]-EA25)*1000)</f>
        <v>219.99999999999886</v>
      </c>
      <c r="ES26" s="158">
        <f>IF((RD[[#This Row],[33kV_OG1_Ex_]]-EB25)*1&lt;0,0,(RD[[#This Row],[33kV_OG1_Ex_]]-EB25)*1)</f>
        <v>615334</v>
      </c>
      <c r="ET26" s="146">
        <f>IF((RD[[#This Row],[33kV_OG1_Im]]-EC25)*1&lt;0,0,(RD[[#This Row],[33kV_OG1_Im]]-EC25)*1)</f>
        <v>3058.9459999999963</v>
      </c>
      <c r="EU26" s="146">
        <f>IF((RD[[#This Row],[132kV_TX1_EX]]-ED25)*720&lt;=0,"",(RD[[#This Row],[132kV_TX1_EX]]-ED25)*720)</f>
        <v>2880</v>
      </c>
      <c r="EV26" s="146">
        <f>IF((RD[[#This Row],[132 kV_Tx1_Im]]-EE25)*720&lt;=0,0,(RD[[#This Row],[132 kV_Tx1_Im]]-EE25)*720)</f>
        <v>441360</v>
      </c>
      <c r="EW26" s="146">
        <f>IF((RD[[#This Row],[132kV_L1_Ex]]-EF25)*720&lt;=0,0,(RD[[#This Row],[132kV_L1_Ex]]-EF25)*720)</f>
        <v>613224.00000000838</v>
      </c>
      <c r="EX26" s="146">
        <f>IF((RD[[#This Row],[132kV_L1_Im]]-EG25)*720&lt;=0,0,(RD[[#This Row],[132kV_L1_Im]]-EG25)*720)</f>
        <v>3815.9999999999673</v>
      </c>
      <c r="EY26" s="244">
        <f>IFERROR(RD[[#This Row],[33kV_OG1_Ex (MWh)]]+RD[[#This Row],[33kV_OG1_Im (MWh)]],"")</f>
        <v>618392.946</v>
      </c>
      <c r="EZ26" s="148">
        <f>RD[[#This Row],[33kV_OG1_Ex (MWh)]]-RD[[#This Row],[33kV_OG1_Im (MWh)]]</f>
        <v>612275.054</v>
      </c>
      <c r="FA26" s="148">
        <f>IFERROR(RD[[#This Row],[132kV_L1_Ex(MWh)]]-RD[[#This Row],[132kV_L1_Im(MWh)]],"")</f>
        <v>609408.00000000838</v>
      </c>
      <c r="FB26" s="55">
        <f>IFERROR(RD[[#This Row],[33kV_Ex(MWh)]]/RD[[#This Row],[Inv Total Gneration (MWh)]]-1,"")</f>
        <v>5.3560006923862646E-2</v>
      </c>
      <c r="FC26" s="245">
        <f>IFERROR((RD[[#This Row],[Sunset Time (POA&lt;20 W/m2)]]-RD[[#This Row],[Sunrise Time (POA&gt;20 W/m2)]])*24,0)</f>
        <v>12.066666666666666</v>
      </c>
      <c r="FD26" s="246">
        <v>105</v>
      </c>
      <c r="FE26" t="s">
        <v>265</v>
      </c>
      <c r="FF26"/>
      <c r="FG26"/>
    </row>
    <row r="27" spans="1:163">
      <c r="A27" s="133">
        <f t="shared" si="155"/>
        <v>45767</v>
      </c>
      <c r="B27" s="61">
        <f>YEAR(RD[[#This Row],[Date]])+IF(MONTH(RD[[#This Row],[Date]])&gt;=4,1,0)</f>
        <v>2026</v>
      </c>
      <c r="C27" s="61">
        <f>YEAR(RD[[#This Row],[Date]])</f>
        <v>2025</v>
      </c>
      <c r="D27" s="58">
        <f t="shared" si="156"/>
        <v>45748</v>
      </c>
      <c r="E27" s="61">
        <f>DAY(EOMONTH(RD[[#This Row],[Date]],0))</f>
        <v>30</v>
      </c>
      <c r="F27" s="152">
        <v>0.26458333333333334</v>
      </c>
      <c r="G27" s="162">
        <v>0.7680555555555556</v>
      </c>
      <c r="H27" s="124">
        <v>9254.1</v>
      </c>
      <c r="I27" s="124">
        <v>9204</v>
      </c>
      <c r="J27" s="124">
        <v>8747.7000000000007</v>
      </c>
      <c r="K27" s="124">
        <v>8833.2000000000007</v>
      </c>
      <c r="L27" s="124">
        <v>9063.9</v>
      </c>
      <c r="M27" s="124">
        <v>9292</v>
      </c>
      <c r="N27" s="124">
        <v>9027.5</v>
      </c>
      <c r="O27" s="124">
        <v>9599.5</v>
      </c>
      <c r="P27" s="124">
        <v>9009.4</v>
      </c>
      <c r="Q27" s="124">
        <v>8967.2999999999993</v>
      </c>
      <c r="R27" s="124">
        <v>9252.2000000000007</v>
      </c>
      <c r="S27" s="124">
        <v>9201.5</v>
      </c>
      <c r="T27" s="124">
        <v>9482.5</v>
      </c>
      <c r="U27" s="124">
        <v>9265.7999999999993</v>
      </c>
      <c r="V27" s="124">
        <v>9353.2000000000007</v>
      </c>
      <c r="W27" s="124">
        <v>9188.5</v>
      </c>
      <c r="X27" s="203">
        <v>12988.5</v>
      </c>
      <c r="Y27" s="203">
        <v>13874.6</v>
      </c>
      <c r="Z27" s="203">
        <v>12635</v>
      </c>
      <c r="AA27" s="203">
        <v>13027.4</v>
      </c>
      <c r="AB27" s="203">
        <v>13729.1</v>
      </c>
      <c r="AC27" s="203">
        <v>8605.6</v>
      </c>
      <c r="AD27" s="203">
        <v>13040.4</v>
      </c>
      <c r="AE27" s="203">
        <v>13113.4</v>
      </c>
      <c r="AF27" s="203">
        <v>12883.4</v>
      </c>
      <c r="AG27" s="203">
        <v>12816</v>
      </c>
      <c r="AH27" s="203">
        <v>12984.2</v>
      </c>
      <c r="AI27" s="203">
        <v>13072.4</v>
      </c>
      <c r="AJ27" s="142">
        <v>10866.1</v>
      </c>
      <c r="AK27" s="142">
        <v>11126.3</v>
      </c>
      <c r="AL27" s="142">
        <v>10806.9</v>
      </c>
      <c r="AM27" s="142">
        <v>10863.8</v>
      </c>
      <c r="AN27" s="142">
        <v>10970.4</v>
      </c>
      <c r="AO27" s="142">
        <v>11279.9</v>
      </c>
      <c r="AP27" s="142">
        <v>11122.2</v>
      </c>
      <c r="AQ27" s="142">
        <v>10982.4</v>
      </c>
      <c r="AR27" s="142">
        <v>8873.2999999999993</v>
      </c>
      <c r="AS27" s="142">
        <v>8924.2999999999993</v>
      </c>
      <c r="AT27" s="142">
        <v>8981</v>
      </c>
      <c r="AU27" s="142">
        <v>8895.2000000000007</v>
      </c>
      <c r="AV27" s="142">
        <v>9091.7000000000007</v>
      </c>
      <c r="AW27" s="142">
        <v>8990.1</v>
      </c>
      <c r="AX27" s="142">
        <v>12625.1</v>
      </c>
      <c r="AY27" s="142">
        <v>13614.6</v>
      </c>
      <c r="AZ27" s="142">
        <v>10196.6</v>
      </c>
      <c r="BA27" s="142">
        <v>12234</v>
      </c>
      <c r="BB27" s="142">
        <v>12486.2</v>
      </c>
      <c r="BC27" s="142">
        <v>9353.4</v>
      </c>
      <c r="BD27" s="142">
        <v>10022</v>
      </c>
      <c r="BE27" s="142">
        <v>12126.5</v>
      </c>
      <c r="BF27" s="142">
        <v>12948.2</v>
      </c>
      <c r="BG27" s="142">
        <v>12924.6</v>
      </c>
      <c r="BH27" s="142">
        <v>7910</v>
      </c>
      <c r="BI27" s="142">
        <v>4852.8</v>
      </c>
      <c r="BJ27" s="142">
        <v>8060.5</v>
      </c>
      <c r="BK27" s="142">
        <v>4622.2</v>
      </c>
      <c r="BL27" s="142">
        <v>8032.7</v>
      </c>
      <c r="BM27" s="142">
        <v>7422.5</v>
      </c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59">
        <v>7.4408317166666675</v>
      </c>
      <c r="CE27" s="59"/>
      <c r="CF27" s="206">
        <v>7.3981508166666661</v>
      </c>
      <c r="CG27" s="206"/>
      <c r="CH27" s="206">
        <v>0.96290266666666546</v>
      </c>
      <c r="CI27" s="206"/>
      <c r="CJ27" s="59">
        <v>1.4598083333333318</v>
      </c>
      <c r="CK27" s="59"/>
      <c r="CL27" s="206">
        <v>32.920486061472424</v>
      </c>
      <c r="CM27" s="206"/>
      <c r="CN27" s="206">
        <v>44.980195139385259</v>
      </c>
      <c r="CO27" s="206"/>
      <c r="CP27" s="206">
        <v>27.418513223731264</v>
      </c>
      <c r="CQ27" s="206"/>
      <c r="CR27" s="59">
        <v>0</v>
      </c>
      <c r="CS27" s="59"/>
      <c r="CT27" s="206">
        <v>1.3652423159399565</v>
      </c>
      <c r="CU27" s="206"/>
      <c r="CV27" s="206">
        <v>2.9910000000000001</v>
      </c>
      <c r="CW27" s="260"/>
      <c r="CX27" s="204">
        <f>IFERROR(AVERAGEIF(RD[[#This Row],[IS1POA1 (KWh/m2)]:[IS7POA2 (KWh/m2)]],"&lt;&gt;0",RD[[#This Row],[IS1POA1 (KWh/m2)]:[IS7POA2 (KWh/m2)]]),"")</f>
        <v>7.4408317166666675</v>
      </c>
      <c r="CY27" s="204">
        <f>IFERROR(AVERAGEIF(RD[[#This Row],[IS1GHI1 (KWh/m2)]:[IS7GHI2 (KWh/m2)]],"&lt;&gt;0",RD[[#This Row],[IS1GHI1 (KWh/m2)]:[IS7GHI2 (KWh/m2)]]),"")</f>
        <v>7.3981508166666661</v>
      </c>
      <c r="CZ27" s="204">
        <f>IFERROR(AVERAGEIF(RD[[#This Row],[IS1POA_BS1 (KWh/m2)]:[IS7POA_BS2 (KWh/m2)]],"&lt;&gt;0",RD[[#This Row],[IS1POA_BS1 (KWh/m2)]:[IS7POA_BS2 (KWh/m2)]]),"")</f>
        <v>0.96290266666666546</v>
      </c>
      <c r="DA27" s="204">
        <f>IFERROR(AVERAGEIF(RD[[#This Row],[IS1GHI_BS1 (KWh/m2)]:[IS1GHI_BS1 (KWh/m2)2]],"&lt;&gt;0",RD[[#This Row],[IS1GHI_BS1 (KWh/m2)]:[IS1GHI_BS1 (KWh/m2)2]]),"")</f>
        <v>1.4598083333333318</v>
      </c>
      <c r="DB27" s="204">
        <f>IFERROR(AVERAGEIF(RD[[#This Row],[IS1AT1 (°C)]:[IS7AT2 (°C)]],"&lt;&gt;0",RD[[#This Row],[IS1AT1 (°C)]:[IS7AT2 (°C)]]),"")</f>
        <v>32.920486061472424</v>
      </c>
      <c r="DC27" s="204">
        <f>IFERROR(AVERAGEIF(RD[[#This Row],[IS1MT1 (°C)]:[IS7MT2 (°C)]],"&lt;&gt;0",RD[[#This Row],[IS1MT1 (°C)]:[IS7MT2 (°C)]]),"")</f>
        <v>44.980195139385259</v>
      </c>
      <c r="DD27" s="204">
        <f>IFERROR(AVERAGEIF(RD[[#This Row],[IS1RH1 (%)]:[IS7RH2 (%)]],"&lt;&gt;0",RD[[#This Row],[IS1RH1 (%)]:[IS7RH2 (%)]]),"")</f>
        <v>27.418513223731264</v>
      </c>
      <c r="DE27" s="51" t="str">
        <f>IFERROR(AVERAGEIF(RD[[#This Row],[IS1Rain1 (mm)]:[IS7Rain2 (mm)]],"&lt;&gt;0",RD[[#This Row],[IS1Rain1 (mm)]:[IS7Rain2 (mm)]]),"")</f>
        <v/>
      </c>
      <c r="DF27" s="204">
        <f>IFERROR(AVERAGEIF(RD[[#This Row],[WS_Solar1_Avg (m/s)]:[IS7_WS_Solar1_Avg (m/s)]],"&lt;&gt;0",RD[[#This Row],[WS_Solar1_Avg (m/s)]:[IS7_WS_Solar1_Avg (m/s)]]),"")</f>
        <v>1.3652423159399565</v>
      </c>
      <c r="DG27" s="204">
        <f>IFERROR(AVERAGEIF(RD[[#This Row],[WS_Solar1_Max (m/s)]:[IS7_WS_Solar1_Max (m/s)]],"&lt;&gt;0",RD[[#This Row],[WS_Solar1_Max (m/s)]:[IS7_WS_Solar1_Max (m/s)]]),"")</f>
        <v>2.9910000000000001</v>
      </c>
      <c r="DH27" s="204">
        <f>SUM(RD[[#This Row],[IS1Inv1M1]:[IS4Inv4M2]])</f>
        <v>299512.3</v>
      </c>
      <c r="DI27" s="205">
        <f>SUM(RD[[#This Row],[IS7Inv1M1]]+RD[[#This Row],[IS7Inv2M1]])</f>
        <v>17797.599999999999</v>
      </c>
      <c r="DJ27" s="204">
        <f>SUM(RD[[#This Row],[IS5Inv1M1]:[IS5Inv2M2]])</f>
        <v>43663.100000000006</v>
      </c>
      <c r="DK27" s="204">
        <f>SUM(RD[[#This Row],[IS8Inv1M1]:[IS9Inv2M2]])</f>
        <v>84628.3</v>
      </c>
      <c r="DL27" s="60">
        <f>SUM(RD[[#This Row],[IS6Inv1M1]:[IS6Inv2M2]])</f>
        <v>44354.9</v>
      </c>
      <c r="DM27" s="51">
        <f>SUM(RD[[#This Row],[IS10Inv1M1]:[IS11Inv1M4]],RD[[#This Row],[IS14Inv1M1]:[IS14Inv2M4]])</f>
        <v>110761.60000000001</v>
      </c>
      <c r="DN27" s="288">
        <f>SUM(RD[[#This Row],[IS12Inv1M1]:[IS12Inv1M4]])</f>
        <v>0</v>
      </c>
      <c r="DO27" s="288">
        <f>SUM(RD[[#This Row],[IS13Inv1M1]:[IS13Inv2M2]])</f>
        <v>0</v>
      </c>
      <c r="DP27" s="204">
        <f>SUM(RD[[#This Row],[O2R15]:[O2R26]])</f>
        <v>600717.80000000005</v>
      </c>
      <c r="DQ27" s="164">
        <v>37174.699999999997</v>
      </c>
      <c r="DR27" s="168">
        <v>202.5</v>
      </c>
      <c r="DS27" s="164">
        <v>31929.9</v>
      </c>
      <c r="DT27" s="164">
        <v>214.9</v>
      </c>
      <c r="DU27" s="168">
        <v>36740.300000000003</v>
      </c>
      <c r="DV27" s="168">
        <v>386.8</v>
      </c>
      <c r="DW27" s="164">
        <v>4951.3999999999996</v>
      </c>
      <c r="DX27" s="168">
        <v>22.6</v>
      </c>
      <c r="DY27" s="168"/>
      <c r="DZ27" s="168"/>
      <c r="EA27" s="140">
        <v>88.25</v>
      </c>
      <c r="EB27" s="243">
        <v>112322347</v>
      </c>
      <c r="EC27" s="242">
        <v>876825.28</v>
      </c>
      <c r="ED27" s="243">
        <v>1048</v>
      </c>
      <c r="EE27" s="243">
        <v>106676</v>
      </c>
      <c r="EF27" s="164">
        <v>155811.5</v>
      </c>
      <c r="EG27" s="164">
        <v>1730.7</v>
      </c>
      <c r="EH27" s="146">
        <f>IF((RD[[#This Row],[33 kV_F3_Ex
Incomer1]]-DQ26)*1000&lt;0,0,(RD[[#This Row],[33 kV_F3_Ex
Incomer1]]-DQ26)*1000)</f>
        <v>101899.99999999418</v>
      </c>
      <c r="EI27" s="146">
        <f>IF((RD[[#This Row],[34 kV_F3_Im
Incomer1]]-DR26)*1000&lt;0,0,(RD[[#This Row],[34 kV_F3_Im
Incomer1]]-DR26)*1000)</f>
        <v>199.99999999998863</v>
      </c>
      <c r="EJ27" s="146">
        <f>IF((RD[[#This Row],[33 kV_F4_Ex
Incomer2]]-DS26)*1000&lt;0,0,(RD[[#This Row],[33 kV_F4_Ex
Incomer2]]-DS26)*1000)</f>
        <v>95500</v>
      </c>
      <c r="EK27" s="146">
        <f>IF((RD[[#This Row],[34 kV_F4_Im
Incomer2]]-DT26)*1000&lt;0,0,(RD[[#This Row],[34 kV_F4_Im
Incomer2]]-DT26)*1000)</f>
        <v>99.999999999994316</v>
      </c>
      <c r="EL27" s="146">
        <f>IF((RD[[#This Row],[33 kV_F5_Ex
Incomer3]]-DU26)*1000&lt;0,0,(RD[[#This Row],[33 kV_F5_Ex
Incomer3]]-DU26)*1000)</f>
        <v>125900.00000000146</v>
      </c>
      <c r="EM27" s="146">
        <f>IF((RD[[#This Row],[34 kV_F5_Im
Incomer3]]-DV26)*1000&lt;0,0,(RD[[#This Row],[34 kV_F5_Im
Incomer3]]-DV26)*1000)</f>
        <v>400.00000000003411</v>
      </c>
      <c r="EN27" s="146">
        <f>IF((RD[[#This Row],[33 kV_F6_Ex
Incomer4]]-DW26)*1000&lt;0,0,(RD[[#This Row],[33 kV_F6_Ex
Incomer4]]-DW26)*1000)</f>
        <v>103000</v>
      </c>
      <c r="EO27" s="146">
        <f>IF((RD[[#This Row],[33 kV_F6_Im
Incomer4]]-DX26)*1000&lt;0,0,(RD[[#This Row],[33 kV_F6_Im
Incomer4]]-DX26)*1000)</f>
        <v>100.00000000000142</v>
      </c>
      <c r="EP27" s="146">
        <f>IF((RD[[#This Row],[33 kV_F7_Ex
Incomer5]]-DY26)*1000&lt;0,0,(RD[[#This Row],[33 kV_F7_Ex
Incomer5]]-DY26)*1000)</f>
        <v>0</v>
      </c>
      <c r="EQ27" s="146">
        <f>IF((RD[[#This Row],[33 kV_F7_Im
Incomer5]]-DZ26)*1000&lt;0,0,(RD[[#This Row],[33 kV_F7_Im
Incomer5]]-DZ26)*1000)</f>
        <v>0</v>
      </c>
      <c r="ER27" s="146">
        <f>IF((RD[[#This Row],[33 kV_Aux Trafo]]-EA26)*1000&lt;0,0,(RD[[#This Row],[33 kV_Aux Trafo]]-EA26)*1000)</f>
        <v>159.99999999999659</v>
      </c>
      <c r="ES27" s="158">
        <f>IF((RD[[#This Row],[33kV_OG1_Ex_]]-EB26)*1&lt;0,0,(RD[[#This Row],[33kV_OG1_Ex_]]-EB26)*1)</f>
        <v>635093</v>
      </c>
      <c r="ET27" s="146">
        <f>IF((RD[[#This Row],[33kV_OG1_Im]]-EC26)*1&lt;0,0,(RD[[#This Row],[33kV_OG1_Im]]-EC26)*1)</f>
        <v>1204.7340000000549</v>
      </c>
      <c r="EU27" s="146">
        <f>IF((RD[[#This Row],[132kV_TX1_EX]]-ED26)*720&lt;=0,"",(RD[[#This Row],[132kV_TX1_EX]]-ED26)*720)</f>
        <v>720</v>
      </c>
      <c r="EV27" s="146">
        <f>IF((RD[[#This Row],[132 kV_Tx1_Im]]-EE26)*720&lt;=0,0,(RD[[#This Row],[132 kV_Tx1_Im]]-EE26)*720)</f>
        <v>455040</v>
      </c>
      <c r="EW27" s="146">
        <f>IF((RD[[#This Row],[132kV_L1_Ex]]-EF26)*720&lt;=0,0,(RD[[#This Row],[132kV_L1_Ex]]-EF26)*720)</f>
        <v>632880</v>
      </c>
      <c r="EX27" s="146">
        <f>IF((RD[[#This Row],[132kV_L1_Im]]-EG26)*720&lt;=0,0,(RD[[#This Row],[132kV_L1_Im]]-EG26)*720)</f>
        <v>1584.0000000000327</v>
      </c>
      <c r="EY27" s="244">
        <f>IFERROR(RD[[#This Row],[33kV_OG1_Ex (MWh)]]+RD[[#This Row],[33kV_OG1_Im (MWh)]],"")</f>
        <v>636297.73400000005</v>
      </c>
      <c r="EZ27" s="148">
        <f>RD[[#This Row],[33kV_OG1_Ex (MWh)]]-RD[[#This Row],[33kV_OG1_Im (MWh)]]</f>
        <v>633888.26599999995</v>
      </c>
      <c r="FA27" s="148">
        <f>IFERROR(RD[[#This Row],[132kV_L1_Ex(MWh)]]-RD[[#This Row],[132kV_L1_Im(MWh)]],"")</f>
        <v>631296</v>
      </c>
      <c r="FB27" s="55">
        <f>IFERROR(RD[[#This Row],[33kV_Ex(MWh)]]/RD[[#This Row],[Inv Total Gneration (MWh)]]-1,"")</f>
        <v>5.9229032334317422E-2</v>
      </c>
      <c r="FC27" s="245">
        <f>IFERROR((RD[[#This Row],[Sunset Time (POA&lt;20 W/m2)]]-RD[[#This Row],[Sunrise Time (POA&gt;20 W/m2)]])*24,0)</f>
        <v>12.083333333333336</v>
      </c>
      <c r="FD27" s="246">
        <v>105</v>
      </c>
      <c r="FE27" t="s">
        <v>268</v>
      </c>
      <c r="FF27"/>
      <c r="FG27"/>
    </row>
    <row r="28" spans="1:163">
      <c r="A28" s="133">
        <f t="shared" si="155"/>
        <v>45768</v>
      </c>
      <c r="B28" s="61">
        <f>YEAR(RD[[#This Row],[Date]])+IF(MONTH(RD[[#This Row],[Date]])&gt;=4,1,0)</f>
        <v>2026</v>
      </c>
      <c r="C28" s="61">
        <f>YEAR(RD[[#This Row],[Date]])</f>
        <v>2025</v>
      </c>
      <c r="D28" s="58">
        <f t="shared" si="156"/>
        <v>45748</v>
      </c>
      <c r="E28" s="61">
        <f>DAY(EOMONTH(RD[[#This Row],[Date]],0))</f>
        <v>30</v>
      </c>
      <c r="F28" s="152">
        <v>0.26319444444444445</v>
      </c>
      <c r="G28" s="162">
        <v>0.7680555555555556</v>
      </c>
      <c r="H28" s="124">
        <v>9143.4</v>
      </c>
      <c r="I28" s="124">
        <v>9125.4</v>
      </c>
      <c r="J28" s="124">
        <v>8682.1</v>
      </c>
      <c r="K28" s="124">
        <v>8785</v>
      </c>
      <c r="L28" s="124">
        <v>8994.9</v>
      </c>
      <c r="M28" s="124">
        <v>9195.1</v>
      </c>
      <c r="N28" s="124">
        <v>8949.1</v>
      </c>
      <c r="O28" s="124">
        <v>9504</v>
      </c>
      <c r="P28" s="124">
        <v>8944</v>
      </c>
      <c r="Q28" s="124">
        <v>8888</v>
      </c>
      <c r="R28" s="124">
        <v>9192</v>
      </c>
      <c r="S28" s="124">
        <v>9124.1</v>
      </c>
      <c r="T28" s="124">
        <v>9400.7999999999993</v>
      </c>
      <c r="U28" s="124">
        <v>9224.5</v>
      </c>
      <c r="V28" s="124">
        <v>9276.2999999999993</v>
      </c>
      <c r="W28" s="124">
        <v>9101.2999999999993</v>
      </c>
      <c r="X28" s="203">
        <v>10730.3</v>
      </c>
      <c r="Y28" s="203">
        <v>11509.4</v>
      </c>
      <c r="Z28" s="203">
        <v>11338.8</v>
      </c>
      <c r="AA28" s="203">
        <v>11696.2</v>
      </c>
      <c r="AB28" s="203">
        <v>11883</v>
      </c>
      <c r="AC28" s="203">
        <v>7362.3</v>
      </c>
      <c r="AD28" s="203">
        <v>12432.1</v>
      </c>
      <c r="AE28" s="203">
        <v>12497.3</v>
      </c>
      <c r="AF28" s="203">
        <v>10717.9</v>
      </c>
      <c r="AG28" s="203">
        <v>10781.8</v>
      </c>
      <c r="AH28" s="203">
        <v>10671.4</v>
      </c>
      <c r="AI28" s="203">
        <v>10771.6</v>
      </c>
      <c r="AJ28" s="142">
        <v>10702</v>
      </c>
      <c r="AK28" s="142">
        <v>11003</v>
      </c>
      <c r="AL28" s="142">
        <v>10189</v>
      </c>
      <c r="AM28" s="142">
        <v>10203</v>
      </c>
      <c r="AN28" s="142">
        <v>10716</v>
      </c>
      <c r="AO28" s="142">
        <v>11013</v>
      </c>
      <c r="AP28" s="142">
        <v>10774</v>
      </c>
      <c r="AQ28" s="142">
        <v>10641</v>
      </c>
      <c r="AR28" s="142">
        <v>9122</v>
      </c>
      <c r="AS28" s="142">
        <v>8791</v>
      </c>
      <c r="AT28" s="142">
        <v>8844.1</v>
      </c>
      <c r="AU28" s="142">
        <v>8803.4</v>
      </c>
      <c r="AV28" s="142">
        <v>8973.6</v>
      </c>
      <c r="AW28" s="142">
        <v>8831.6</v>
      </c>
      <c r="AX28" s="142">
        <v>10414.9</v>
      </c>
      <c r="AY28" s="142">
        <v>11284</v>
      </c>
      <c r="AZ28" s="142">
        <v>7961</v>
      </c>
      <c r="BA28" s="142">
        <v>9544.0990000000002</v>
      </c>
      <c r="BB28" s="142">
        <v>12609.2</v>
      </c>
      <c r="BC28" s="142">
        <v>9952</v>
      </c>
      <c r="BD28" s="142">
        <v>9842.6</v>
      </c>
      <c r="BE28" s="142">
        <v>11868.1</v>
      </c>
      <c r="BF28" s="142">
        <v>12852.1</v>
      </c>
      <c r="BG28" s="142">
        <v>12839.1</v>
      </c>
      <c r="BH28" s="142">
        <v>7812.9</v>
      </c>
      <c r="BI28" s="142">
        <v>4770</v>
      </c>
      <c r="BJ28" s="142">
        <v>7969.2</v>
      </c>
      <c r="BK28" s="142">
        <v>5005</v>
      </c>
      <c r="BL28" s="142">
        <v>7949</v>
      </c>
      <c r="BM28" s="142">
        <v>7337.6</v>
      </c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59">
        <v>7.0776942666666569</v>
      </c>
      <c r="CE28" s="59"/>
      <c r="CF28" s="206">
        <v>7.0362274333333339</v>
      </c>
      <c r="CG28" s="206"/>
      <c r="CH28" s="206">
        <v>0.94385484999999969</v>
      </c>
      <c r="CI28" s="206"/>
      <c r="CJ28" s="59">
        <v>1.3952645166666668</v>
      </c>
      <c r="CK28" s="59"/>
      <c r="CL28" s="206">
        <v>32.514258351893069</v>
      </c>
      <c r="CM28" s="206"/>
      <c r="CN28" s="206">
        <v>44.512149962880457</v>
      </c>
      <c r="CO28" s="206"/>
      <c r="CP28" s="206">
        <v>25.267804008908666</v>
      </c>
      <c r="CQ28" s="206"/>
      <c r="CR28" s="59">
        <v>0</v>
      </c>
      <c r="CS28" s="59"/>
      <c r="CT28" s="206">
        <v>1.0995263548626577</v>
      </c>
      <c r="CU28" s="206"/>
      <c r="CV28" s="206">
        <v>2.4569999999999999</v>
      </c>
      <c r="CW28" s="260"/>
      <c r="CX28" s="204">
        <f>IFERROR(AVERAGEIF(RD[[#This Row],[IS1POA1 (KWh/m2)]:[IS7POA2 (KWh/m2)]],"&lt;&gt;0",RD[[#This Row],[IS1POA1 (KWh/m2)]:[IS7POA2 (KWh/m2)]]),"")</f>
        <v>7.0776942666666569</v>
      </c>
      <c r="CY28" s="204">
        <f>IFERROR(AVERAGEIF(RD[[#This Row],[IS1GHI1 (KWh/m2)]:[IS7GHI2 (KWh/m2)]],"&lt;&gt;0",RD[[#This Row],[IS1GHI1 (KWh/m2)]:[IS7GHI2 (KWh/m2)]]),"")</f>
        <v>7.0362274333333339</v>
      </c>
      <c r="CZ28" s="204">
        <f>IFERROR(AVERAGEIF(RD[[#This Row],[IS1POA_BS1 (KWh/m2)]:[IS7POA_BS2 (KWh/m2)]],"&lt;&gt;0",RD[[#This Row],[IS1POA_BS1 (KWh/m2)]:[IS7POA_BS2 (KWh/m2)]]),"")</f>
        <v>0.94385484999999969</v>
      </c>
      <c r="DA28" s="204">
        <f>IFERROR(AVERAGEIF(RD[[#This Row],[IS1GHI_BS1 (KWh/m2)]:[IS1GHI_BS1 (KWh/m2)2]],"&lt;&gt;0",RD[[#This Row],[IS1GHI_BS1 (KWh/m2)]:[IS1GHI_BS1 (KWh/m2)2]]),"")</f>
        <v>1.3952645166666668</v>
      </c>
      <c r="DB28" s="204">
        <f>IFERROR(AVERAGEIF(RD[[#This Row],[IS1AT1 (°C)]:[IS7AT2 (°C)]],"&lt;&gt;0",RD[[#This Row],[IS1AT1 (°C)]:[IS7AT2 (°C)]]),"")</f>
        <v>32.514258351893069</v>
      </c>
      <c r="DC28" s="204">
        <f>IFERROR(AVERAGEIF(RD[[#This Row],[IS1MT1 (°C)]:[IS7MT2 (°C)]],"&lt;&gt;0",RD[[#This Row],[IS1MT1 (°C)]:[IS7MT2 (°C)]]),"")</f>
        <v>44.512149962880457</v>
      </c>
      <c r="DD28" s="204">
        <f>IFERROR(AVERAGEIF(RD[[#This Row],[IS1RH1 (%)]:[IS7RH2 (%)]],"&lt;&gt;0",RD[[#This Row],[IS1RH1 (%)]:[IS7RH2 (%)]]),"")</f>
        <v>25.267804008908666</v>
      </c>
      <c r="DE28" s="51" t="str">
        <f>IFERROR(AVERAGEIF(RD[[#This Row],[IS1Rain1 (mm)]:[IS7Rain2 (mm)]],"&lt;&gt;0",RD[[#This Row],[IS1Rain1 (mm)]:[IS7Rain2 (mm)]]),"")</f>
        <v/>
      </c>
      <c r="DF28" s="204">
        <f>IFERROR(AVERAGEIF(RD[[#This Row],[WS_Solar1_Avg (m/s)]:[IS7_WS_Solar1_Avg (m/s)]],"&lt;&gt;0",RD[[#This Row],[WS_Solar1_Avg (m/s)]:[IS7_WS_Solar1_Avg (m/s)]]),"")</f>
        <v>1.0995263548626577</v>
      </c>
      <c r="DG28" s="204">
        <f>IFERROR(AVERAGEIF(RD[[#This Row],[WS_Solar1_Max (m/s)]:[IS7_WS_Solar1_Max (m/s)]],"&lt;&gt;0",RD[[#This Row],[WS_Solar1_Max (m/s)]:[IS7_WS_Solar1_Max (m/s)]]),"")</f>
        <v>2.4569999999999999</v>
      </c>
      <c r="DH28" s="204">
        <f>SUM(RD[[#This Row],[IS1Inv1M1]:[IS4Inv4M2]])</f>
        <v>277922.09999999992</v>
      </c>
      <c r="DI28" s="205">
        <f>SUM(RD[[#This Row],[IS7Inv1M1]]+RD[[#This Row],[IS7Inv2M1]])</f>
        <v>17913</v>
      </c>
      <c r="DJ28" s="204">
        <f>SUM(RD[[#This Row],[IS5Inv1M1]:[IS5Inv2M2]])</f>
        <v>42097</v>
      </c>
      <c r="DK28" s="204">
        <f>SUM(RD[[#This Row],[IS8Inv1M1]:[IS9Inv2M2]])</f>
        <v>74656.698999999993</v>
      </c>
      <c r="DL28" s="60">
        <f>SUM(RD[[#This Row],[IS6Inv1M1]:[IS6Inv2M2]])</f>
        <v>43144</v>
      </c>
      <c r="DM28" s="51">
        <f>SUM(RD[[#This Row],[IS10Inv1M1]:[IS11Inv1M4]],RD[[#This Row],[IS14Inv1M1]:[IS14Inv2M4]])</f>
        <v>110806.8</v>
      </c>
      <c r="DN28" s="288">
        <f>SUM(RD[[#This Row],[IS12Inv1M1]:[IS12Inv1M4]])</f>
        <v>0</v>
      </c>
      <c r="DO28" s="288">
        <f>SUM(RD[[#This Row],[IS13Inv1M1]:[IS13Inv2M2]])</f>
        <v>0</v>
      </c>
      <c r="DP28" s="204">
        <f>SUM(RD[[#This Row],[O2R15]:[O2R26]])</f>
        <v>566539.59899999993</v>
      </c>
      <c r="DQ28" s="164">
        <v>37275.199999999997</v>
      </c>
      <c r="DR28" s="168">
        <v>202.8</v>
      </c>
      <c r="DS28" s="164">
        <v>32024.9</v>
      </c>
      <c r="DT28" s="164">
        <v>215.2</v>
      </c>
      <c r="DU28" s="168">
        <v>36864.5</v>
      </c>
      <c r="DV28" s="168">
        <v>387.2</v>
      </c>
      <c r="DW28" s="164">
        <v>5054.3</v>
      </c>
      <c r="DX28" s="168">
        <v>22.8</v>
      </c>
      <c r="DY28" s="168"/>
      <c r="DZ28" s="168"/>
      <c r="EA28" s="140">
        <v>88.44</v>
      </c>
      <c r="EB28" s="243">
        <v>112951762</v>
      </c>
      <c r="EC28" s="242">
        <v>878577.08799999999</v>
      </c>
      <c r="ED28" s="243">
        <v>1050</v>
      </c>
      <c r="EE28" s="243">
        <v>107303</v>
      </c>
      <c r="EF28" s="164">
        <v>156682.20000000001</v>
      </c>
      <c r="EG28" s="164">
        <v>1733.8</v>
      </c>
      <c r="EH28" s="146">
        <f>IF((RD[[#This Row],[33 kV_F3_Ex
Incomer1]]-DQ27)*1000&lt;0,0,(RD[[#This Row],[33 kV_F3_Ex
Incomer1]]-DQ27)*1000)</f>
        <v>100500</v>
      </c>
      <c r="EI28" s="146">
        <f>IF((RD[[#This Row],[34 kV_F3_Im
Incomer1]]-DR27)*1000&lt;0,0,(RD[[#This Row],[34 kV_F3_Im
Incomer1]]-DR27)*1000)</f>
        <v>300.00000000001137</v>
      </c>
      <c r="EJ28" s="146">
        <f>IF((RD[[#This Row],[33 kV_F4_Ex
Incomer2]]-DS27)*1000&lt;0,0,(RD[[#This Row],[33 kV_F4_Ex
Incomer2]]-DS27)*1000)</f>
        <v>95000</v>
      </c>
      <c r="EK28" s="146">
        <f>IF((RD[[#This Row],[34 kV_F4_Im
Incomer2]]-DT27)*1000&lt;0,0,(RD[[#This Row],[34 kV_F4_Im
Incomer2]]-DT27)*1000)</f>
        <v>299.99999999998295</v>
      </c>
      <c r="EL28" s="146">
        <f>IF((RD[[#This Row],[33 kV_F5_Ex
Incomer3]]-DU27)*1000&lt;0,0,(RD[[#This Row],[33 kV_F5_Ex
Incomer3]]-DU27)*1000)</f>
        <v>124199.99999999709</v>
      </c>
      <c r="EM28" s="146">
        <f>IF((RD[[#This Row],[34 kV_F5_Im
Incomer3]]-DV27)*1000&lt;0,0,(RD[[#This Row],[34 kV_F5_Im
Incomer3]]-DV27)*1000)</f>
        <v>399.99999999997726</v>
      </c>
      <c r="EN28" s="146">
        <f>IF((RD[[#This Row],[33 kV_F6_Ex
Incomer4]]-DW27)*1000&lt;0,0,(RD[[#This Row],[33 kV_F6_Ex
Incomer4]]-DW27)*1000)</f>
        <v>102900.00000000055</v>
      </c>
      <c r="EO28" s="146">
        <f>IF((RD[[#This Row],[33 kV_F6_Im
Incomer4]]-DX27)*1000&lt;0,0,(RD[[#This Row],[33 kV_F6_Im
Incomer4]]-DX27)*1000)</f>
        <v>199.99999999999929</v>
      </c>
      <c r="EP28" s="146">
        <f>IF((RD[[#This Row],[33 kV_F7_Ex
Incomer5]]-DY27)*1000&lt;0,0,(RD[[#This Row],[33 kV_F7_Ex
Incomer5]]-DY27)*1000)</f>
        <v>0</v>
      </c>
      <c r="EQ28" s="146">
        <f>IF((RD[[#This Row],[33 kV_F7_Im
Incomer5]]-DZ27)*1000&lt;0,0,(RD[[#This Row],[33 kV_F7_Im
Incomer5]]-DZ27)*1000)</f>
        <v>0</v>
      </c>
      <c r="ER28" s="146">
        <f>IF((RD[[#This Row],[33 kV_Aux Trafo]]-EA27)*1000&lt;0,0,(RD[[#This Row],[33 kV_Aux Trafo]]-EA27)*1000)</f>
        <v>189.99999999999773</v>
      </c>
      <c r="ES28" s="158">
        <f>IF((RD[[#This Row],[33kV_OG1_Ex_]]-EB27)*1&lt;0,0,(RD[[#This Row],[33kV_OG1_Ex_]]-EB27)*1)</f>
        <v>629415</v>
      </c>
      <c r="ET28" s="146">
        <f>IF((RD[[#This Row],[33kV_OG1_Im]]-EC27)*1&lt;0,0,(RD[[#This Row],[33kV_OG1_Im]]-EC27)*1)</f>
        <v>1751.8079999999609</v>
      </c>
      <c r="EU28" s="146">
        <f>IF((RD[[#This Row],[132kV_TX1_EX]]-ED27)*720&lt;=0,"",(RD[[#This Row],[132kV_TX1_EX]]-ED27)*720)</f>
        <v>1440</v>
      </c>
      <c r="EV28" s="146">
        <f>IF((RD[[#This Row],[132 kV_Tx1_Im]]-EE27)*720&lt;=0,0,(RD[[#This Row],[132 kV_Tx1_Im]]-EE27)*720)</f>
        <v>451440</v>
      </c>
      <c r="EW28" s="146">
        <f>IF((RD[[#This Row],[132kV_L1_Ex]]-EF27)*720&lt;=0,0,(RD[[#This Row],[132kV_L1_Ex]]-EF27)*720)</f>
        <v>626904.00000000838</v>
      </c>
      <c r="EX28" s="146">
        <f>IF((RD[[#This Row],[132kV_L1_Im]]-EG27)*720&lt;=0,0,(RD[[#This Row],[132kV_L1_Im]]-EG27)*720)</f>
        <v>2231.9999999999345</v>
      </c>
      <c r="EY28" s="244">
        <f>IFERROR(RD[[#This Row],[33kV_OG1_Ex (MWh)]]+RD[[#This Row],[33kV_OG1_Im (MWh)]],"")</f>
        <v>631166.80799999996</v>
      </c>
      <c r="EZ28" s="148">
        <f>RD[[#This Row],[33kV_OG1_Ex (MWh)]]-RD[[#This Row],[33kV_OG1_Im (MWh)]]</f>
        <v>627663.19200000004</v>
      </c>
      <c r="FA28" s="148">
        <f>IFERROR(RD[[#This Row],[132kV_L1_Ex(MWh)]]-RD[[#This Row],[132kV_L1_Im(MWh)]],"")</f>
        <v>624672.0000000085</v>
      </c>
      <c r="FB28" s="55">
        <f>IFERROR(RD[[#This Row],[33kV_Ex(MWh)]]/RD[[#This Row],[Inv Total Gneration (MWh)]]-1,"")</f>
        <v>0.11407359540987705</v>
      </c>
      <c r="FC28" s="245">
        <f>IFERROR((RD[[#This Row],[Sunset Time (POA&lt;20 W/m2)]]-RD[[#This Row],[Sunrise Time (POA&gt;20 W/m2)]])*24,0)</f>
        <v>12.116666666666669</v>
      </c>
      <c r="FD28" s="246">
        <v>105</v>
      </c>
      <c r="FE28" t="s">
        <v>268</v>
      </c>
      <c r="FF28"/>
      <c r="FG28"/>
    </row>
    <row r="29" spans="1:163">
      <c r="A29" s="133">
        <f t="shared" ref="A29:A48" si="157">A28+1</f>
        <v>45769</v>
      </c>
      <c r="B29" s="61">
        <f>YEAR(RD[[#This Row],[Date]])+IF(MONTH(RD[[#This Row],[Date]])&gt;=4,1,0)</f>
        <v>2026</v>
      </c>
      <c r="C29" s="61">
        <f>YEAR(RD[[#This Row],[Date]])</f>
        <v>2025</v>
      </c>
      <c r="D29" s="58">
        <f t="shared" si="156"/>
        <v>45748</v>
      </c>
      <c r="E29" s="61">
        <f>DAY(EOMONTH(RD[[#This Row],[Date]],0))</f>
        <v>30</v>
      </c>
      <c r="F29" s="152">
        <v>0.26250000000000001</v>
      </c>
      <c r="G29" s="162">
        <v>0.7680555555555556</v>
      </c>
      <c r="H29" s="124">
        <v>9033.2999999999993</v>
      </c>
      <c r="I29" s="124">
        <v>9013.2000000000007</v>
      </c>
      <c r="J29" s="124">
        <v>8619.5</v>
      </c>
      <c r="K29" s="124">
        <v>8675.7999999999993</v>
      </c>
      <c r="L29" s="124">
        <v>8903.9</v>
      </c>
      <c r="M29" s="124">
        <v>9112.5</v>
      </c>
      <c r="N29" s="124">
        <v>8875.4</v>
      </c>
      <c r="O29" s="124">
        <v>9372.2999999999993</v>
      </c>
      <c r="P29" s="124">
        <v>8854.2999999999993</v>
      </c>
      <c r="Q29" s="124">
        <v>8824.2000000000007</v>
      </c>
      <c r="R29" s="124">
        <v>9102.7999999999993</v>
      </c>
      <c r="S29" s="124">
        <v>9038.1</v>
      </c>
      <c r="T29" s="124">
        <v>9285.1</v>
      </c>
      <c r="U29" s="124">
        <v>9102.4</v>
      </c>
      <c r="V29" s="124">
        <v>9165.2999999999993</v>
      </c>
      <c r="W29" s="124">
        <v>9003</v>
      </c>
      <c r="X29" s="203">
        <v>12989</v>
      </c>
      <c r="Y29" s="203">
        <v>13875</v>
      </c>
      <c r="Z29" s="203">
        <v>12297.8</v>
      </c>
      <c r="AA29" s="203">
        <v>12775.3</v>
      </c>
      <c r="AB29" s="203">
        <v>13407.8</v>
      </c>
      <c r="AC29" s="203">
        <v>8263.7999999999993</v>
      </c>
      <c r="AD29" s="203">
        <v>12781.9</v>
      </c>
      <c r="AE29" s="203">
        <v>12844.6</v>
      </c>
      <c r="AF29" s="203">
        <v>12557.6</v>
      </c>
      <c r="AG29" s="203">
        <v>12615</v>
      </c>
      <c r="AH29" s="203">
        <v>12681.2</v>
      </c>
      <c r="AI29" s="203">
        <v>12813.7</v>
      </c>
      <c r="AJ29" s="142">
        <v>10501.5</v>
      </c>
      <c r="AK29" s="142">
        <v>10802.8</v>
      </c>
      <c r="AL29" s="142">
        <v>10595.6</v>
      </c>
      <c r="AM29" s="142">
        <v>10664.9</v>
      </c>
      <c r="AN29" s="142">
        <v>10560.6</v>
      </c>
      <c r="AO29" s="142">
        <v>10860.6</v>
      </c>
      <c r="AP29" s="142">
        <v>10703.3</v>
      </c>
      <c r="AQ29" s="142">
        <v>10574.7</v>
      </c>
      <c r="AR29" s="142">
        <v>8611.4</v>
      </c>
      <c r="AS29" s="142">
        <v>8668</v>
      </c>
      <c r="AT29" s="142">
        <v>8769.1</v>
      </c>
      <c r="AU29" s="142">
        <v>8758.7999999999993</v>
      </c>
      <c r="AV29" s="142">
        <v>8902.7999999999993</v>
      </c>
      <c r="AW29" s="142">
        <v>8754.7000000000007</v>
      </c>
      <c r="AX29" s="142">
        <v>10642.6</v>
      </c>
      <c r="AY29" s="142">
        <v>11602.3</v>
      </c>
      <c r="AZ29" s="142">
        <v>8294</v>
      </c>
      <c r="BA29" s="142">
        <v>9937</v>
      </c>
      <c r="BB29" s="142">
        <v>12365.5</v>
      </c>
      <c r="BC29" s="142">
        <v>9355</v>
      </c>
      <c r="BD29" s="142">
        <v>9692.2000000000007</v>
      </c>
      <c r="BE29" s="142">
        <v>11647</v>
      </c>
      <c r="BF29" s="142">
        <v>12656.9</v>
      </c>
      <c r="BG29" s="142">
        <v>12669.7</v>
      </c>
      <c r="BH29" s="142">
        <v>7693.7</v>
      </c>
      <c r="BI29" s="142">
        <v>4670</v>
      </c>
      <c r="BJ29" s="142">
        <v>7779.9</v>
      </c>
      <c r="BK29" s="142">
        <v>5429.2</v>
      </c>
      <c r="BL29" s="142">
        <v>7817.1</v>
      </c>
      <c r="BM29" s="142">
        <v>7208.8</v>
      </c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59">
        <v>7.3124169833333426</v>
      </c>
      <c r="CE29" s="59"/>
      <c r="CF29" s="206">
        <v>7.2761967333333297</v>
      </c>
      <c r="CG29" s="206"/>
      <c r="CH29" s="206">
        <v>0.97527401666666591</v>
      </c>
      <c r="CI29" s="206"/>
      <c r="CJ29" s="59">
        <v>1.4461927166666662</v>
      </c>
      <c r="CK29" s="59"/>
      <c r="CL29" s="206">
        <v>33.894411326378489</v>
      </c>
      <c r="CM29" s="206"/>
      <c r="CN29" s="206">
        <v>46.28647540983598</v>
      </c>
      <c r="CO29" s="206"/>
      <c r="CP29" s="206">
        <v>25.69533532041731</v>
      </c>
      <c r="CQ29" s="206"/>
      <c r="CR29" s="59">
        <v>0</v>
      </c>
      <c r="CS29" s="59"/>
      <c r="CT29" s="206">
        <v>0.98780923994038716</v>
      </c>
      <c r="CU29" s="206"/>
      <c r="CV29" s="206">
        <v>2.2650000000000001</v>
      </c>
      <c r="CW29" s="260"/>
      <c r="CX29" s="204">
        <f>IFERROR(AVERAGEIF(RD[[#This Row],[IS1POA1 (KWh/m2)]:[IS7POA2 (KWh/m2)]],"&lt;&gt;0",RD[[#This Row],[IS1POA1 (KWh/m2)]:[IS7POA2 (KWh/m2)]]),"")</f>
        <v>7.3124169833333426</v>
      </c>
      <c r="CY29" s="204">
        <f>IFERROR(AVERAGEIF(RD[[#This Row],[IS1GHI1 (KWh/m2)]:[IS7GHI2 (KWh/m2)]],"&lt;&gt;0",RD[[#This Row],[IS1GHI1 (KWh/m2)]:[IS7GHI2 (KWh/m2)]]),"")</f>
        <v>7.2761967333333297</v>
      </c>
      <c r="CZ29" s="204">
        <f>IFERROR(AVERAGEIF(RD[[#This Row],[IS1POA_BS1 (KWh/m2)]:[IS7POA_BS2 (KWh/m2)]],"&lt;&gt;0",RD[[#This Row],[IS1POA_BS1 (KWh/m2)]:[IS7POA_BS2 (KWh/m2)]]),"")</f>
        <v>0.97527401666666591</v>
      </c>
      <c r="DA29" s="204">
        <f>IFERROR(AVERAGEIF(RD[[#This Row],[IS1GHI_BS1 (KWh/m2)]:[IS1GHI_BS1 (KWh/m2)2]],"&lt;&gt;0",RD[[#This Row],[IS1GHI_BS1 (KWh/m2)]:[IS1GHI_BS1 (KWh/m2)2]]),"")</f>
        <v>1.4461927166666662</v>
      </c>
      <c r="DB29" s="204">
        <f>IFERROR(AVERAGEIF(RD[[#This Row],[IS1AT1 (°C)]:[IS7AT2 (°C)]],"&lt;&gt;0",RD[[#This Row],[IS1AT1 (°C)]:[IS7AT2 (°C)]]),"")</f>
        <v>33.894411326378489</v>
      </c>
      <c r="DC29" s="204">
        <f>IFERROR(AVERAGEIF(RD[[#This Row],[IS1MT1 (°C)]:[IS7MT2 (°C)]],"&lt;&gt;0",RD[[#This Row],[IS1MT1 (°C)]:[IS7MT2 (°C)]]),"")</f>
        <v>46.28647540983598</v>
      </c>
      <c r="DD29" s="204">
        <f>IFERROR(AVERAGEIF(RD[[#This Row],[IS1RH1 (%)]:[IS7RH2 (%)]],"&lt;&gt;0",RD[[#This Row],[IS1RH1 (%)]:[IS7RH2 (%)]]),"")</f>
        <v>25.69533532041731</v>
      </c>
      <c r="DE29" s="51" t="str">
        <f>IFERROR(AVERAGEIF(RD[[#This Row],[IS1Rain1 (mm)]:[IS7Rain2 (mm)]],"&lt;&gt;0",RD[[#This Row],[IS1Rain1 (mm)]:[IS7Rain2 (mm)]]),"")</f>
        <v/>
      </c>
      <c r="DF29" s="204">
        <f>IFERROR(AVERAGEIF(RD[[#This Row],[WS_Solar1_Avg (m/s)]:[IS7_WS_Solar1_Avg (m/s)]],"&lt;&gt;0",RD[[#This Row],[WS_Solar1_Avg (m/s)]:[IS7_WS_Solar1_Avg (m/s)]]),"")</f>
        <v>0.98780923994038716</v>
      </c>
      <c r="DG29" s="204">
        <f>IFERROR(AVERAGEIF(RD[[#This Row],[WS_Solar1_Max (m/s)]:[IS7_WS_Solar1_Max (m/s)]],"&lt;&gt;0",RD[[#This Row],[WS_Solar1_Max (m/s)]:[IS7_WS_Solar1_Max (m/s)]]),"")</f>
        <v>2.2650000000000001</v>
      </c>
      <c r="DH29" s="204">
        <f>SUM(RD[[#This Row],[IS1Inv1M1]:[IS4Inv4M2]])</f>
        <v>293883.8</v>
      </c>
      <c r="DI29" s="205">
        <f>SUM(RD[[#This Row],[IS7Inv1M1]]+RD[[#This Row],[IS7Inv2M1]])</f>
        <v>17279.400000000001</v>
      </c>
      <c r="DJ29" s="204">
        <f>SUM(RD[[#This Row],[IS5Inv1M1]:[IS5Inv2M2]])</f>
        <v>42564.800000000003</v>
      </c>
      <c r="DK29" s="204">
        <f>SUM(RD[[#This Row],[IS8Inv1M1]:[IS9Inv2M2]])</f>
        <v>75661.3</v>
      </c>
      <c r="DL29" s="60">
        <f>SUM(RD[[#This Row],[IS6Inv1M1]:[IS6Inv2M2]])</f>
        <v>42699.199999999997</v>
      </c>
      <c r="DM29" s="51">
        <f>SUM(RD[[#This Row],[IS10Inv1M1]:[IS11Inv1M4]],RD[[#This Row],[IS14Inv1M1]:[IS14Inv2M4]])</f>
        <v>108985</v>
      </c>
      <c r="DN29" s="288">
        <f>SUM(RD[[#This Row],[IS12Inv1M1]:[IS12Inv1M4]])</f>
        <v>0</v>
      </c>
      <c r="DO29" s="288">
        <f>SUM(RD[[#This Row],[IS13Inv1M1]:[IS13Inv2M2]])</f>
        <v>0</v>
      </c>
      <c r="DP29" s="204">
        <f>SUM(RD[[#This Row],[O2R15]:[O2R26]])</f>
        <v>581073.5</v>
      </c>
      <c r="DQ29" s="164">
        <v>37374.300000000003</v>
      </c>
      <c r="DR29" s="168">
        <v>203</v>
      </c>
      <c r="DS29" s="164">
        <v>32118.6</v>
      </c>
      <c r="DT29" s="164">
        <v>215.4</v>
      </c>
      <c r="DU29" s="168">
        <v>36986.6</v>
      </c>
      <c r="DV29" s="168">
        <v>387.6</v>
      </c>
      <c r="DW29" s="164">
        <v>5156.1000000000004</v>
      </c>
      <c r="DX29" s="168">
        <v>23.1</v>
      </c>
      <c r="DY29" s="168"/>
      <c r="DZ29" s="168"/>
      <c r="EA29" s="140">
        <v>88.63</v>
      </c>
      <c r="EB29" s="243">
        <v>113573044</v>
      </c>
      <c r="EC29" s="242">
        <v>880431.424</v>
      </c>
      <c r="ED29" s="243">
        <v>1053</v>
      </c>
      <c r="EE29" s="243">
        <v>107922</v>
      </c>
      <c r="EF29" s="164">
        <v>157542.79999999999</v>
      </c>
      <c r="EG29" s="164">
        <v>1737.1</v>
      </c>
      <c r="EH29" s="146">
        <f>IF((RD[[#This Row],[33 kV_F3_Ex
Incomer1]]-DQ28)*1000&lt;0,0,(RD[[#This Row],[33 kV_F3_Ex
Incomer1]]-DQ28)*1000)</f>
        <v>99100.000000005821</v>
      </c>
      <c r="EI29" s="146">
        <f>IF((RD[[#This Row],[34 kV_F3_Im
Incomer1]]-DR28)*1000&lt;0,0,(RD[[#This Row],[34 kV_F3_Im
Incomer1]]-DR28)*1000)</f>
        <v>199.99999999998863</v>
      </c>
      <c r="EJ29" s="146">
        <f>IF((RD[[#This Row],[33 kV_F4_Ex
Incomer2]]-DS28)*1000&lt;0,0,(RD[[#This Row],[33 kV_F4_Ex
Incomer2]]-DS28)*1000)</f>
        <v>93699.99999999709</v>
      </c>
      <c r="EK29" s="146">
        <f>IF((RD[[#This Row],[34 kV_F4_Im
Incomer2]]-DT28)*1000&lt;0,0,(RD[[#This Row],[34 kV_F4_Im
Incomer2]]-DT28)*1000)</f>
        <v>200.00000000001705</v>
      </c>
      <c r="EL29" s="146">
        <f>IF((RD[[#This Row],[33 kV_F5_Ex
Incomer3]]-DU28)*1000&lt;0,0,(RD[[#This Row],[33 kV_F5_Ex
Incomer3]]-DU28)*1000)</f>
        <v>122099.99999999854</v>
      </c>
      <c r="EM29" s="146">
        <f>IF((RD[[#This Row],[34 kV_F5_Im
Incomer3]]-DV28)*1000&lt;0,0,(RD[[#This Row],[34 kV_F5_Im
Incomer3]]-DV28)*1000)</f>
        <v>400.00000000003411</v>
      </c>
      <c r="EN29" s="146">
        <f>IF((RD[[#This Row],[33 kV_F6_Ex
Incomer4]]-DW28)*1000&lt;0,0,(RD[[#This Row],[33 kV_F6_Ex
Incomer4]]-DW28)*1000)</f>
        <v>101800.00000000017</v>
      </c>
      <c r="EO29" s="146">
        <f>IF((RD[[#This Row],[33 kV_F6_Im
Incomer4]]-DX28)*1000&lt;0,0,(RD[[#This Row],[33 kV_F6_Im
Incomer4]]-DX28)*1000)</f>
        <v>300.00000000000068</v>
      </c>
      <c r="EP29" s="146">
        <f>IF((RD[[#This Row],[33 kV_F7_Ex
Incomer5]]-DY28)*1000&lt;0,0,(RD[[#This Row],[33 kV_F7_Ex
Incomer5]]-DY28)*1000)</f>
        <v>0</v>
      </c>
      <c r="EQ29" s="146">
        <f>IF((RD[[#This Row],[33 kV_F7_Im
Incomer5]]-DZ28)*1000&lt;0,0,(RD[[#This Row],[33 kV_F7_Im
Incomer5]]-DZ28)*1000)</f>
        <v>0</v>
      </c>
      <c r="ER29" s="146">
        <f>IF((RD[[#This Row],[33 kV_Aux Trafo]]-EA28)*1000&lt;0,0,(RD[[#This Row],[33 kV_Aux Trafo]]-EA28)*1000)</f>
        <v>189.99999999999773</v>
      </c>
      <c r="ES29" s="158">
        <f>IF((RD[[#This Row],[33kV_OG1_Ex_]]-EB28)*1&lt;0,0,(RD[[#This Row],[33kV_OG1_Ex_]]-EB28)*1)</f>
        <v>621282</v>
      </c>
      <c r="ET29" s="146">
        <f>IF((RD[[#This Row],[33kV_OG1_Im]]-EC28)*1&lt;0,0,(RD[[#This Row],[33kV_OG1_Im]]-EC28)*1)</f>
        <v>1854.3360000000102</v>
      </c>
      <c r="EU29" s="146">
        <f>IF((RD[[#This Row],[132kV_TX1_EX]]-ED28)*720&lt;=0,"",(RD[[#This Row],[132kV_TX1_EX]]-ED28)*720)</f>
        <v>2160</v>
      </c>
      <c r="EV29" s="146">
        <f>IF((RD[[#This Row],[132 kV_Tx1_Im]]-EE28)*720&lt;=0,0,(RD[[#This Row],[132 kV_Tx1_Im]]-EE28)*720)</f>
        <v>445680</v>
      </c>
      <c r="EW29" s="146">
        <f>IF((RD[[#This Row],[132kV_L1_Ex]]-EF28)*720&lt;=0,0,(RD[[#This Row],[132kV_L1_Ex]]-EF28)*720)</f>
        <v>619631.99999998324</v>
      </c>
      <c r="EX29" s="146">
        <f>IF((RD[[#This Row],[132kV_L1_Im]]-EG28)*720&lt;=0,0,(RD[[#This Row],[132kV_L1_Im]]-EG28)*720)</f>
        <v>2375.9999999999673</v>
      </c>
      <c r="EY29" s="244">
        <f>IFERROR(RD[[#This Row],[33kV_OG1_Ex (MWh)]]+RD[[#This Row],[33kV_OG1_Im (MWh)]],"")</f>
        <v>623136.33600000001</v>
      </c>
      <c r="EZ29" s="148">
        <f>RD[[#This Row],[33kV_OG1_Ex (MWh)]]-RD[[#This Row],[33kV_OG1_Im (MWh)]]</f>
        <v>619427.66399999999</v>
      </c>
      <c r="FA29" s="148">
        <f>IFERROR(RD[[#This Row],[132kV_L1_Ex(MWh)]]-RD[[#This Row],[132kV_L1_Im(MWh)]],"")</f>
        <v>617255.99999998324</v>
      </c>
      <c r="FB29" s="55">
        <f>IFERROR(RD[[#This Row],[33kV_Ex(MWh)]]/RD[[#This Row],[Inv Total Gneration (MWh)]]-1,"")</f>
        <v>7.2388150552382902E-2</v>
      </c>
      <c r="FC29" s="245">
        <f>IFERROR((RD[[#This Row],[Sunset Time (POA&lt;20 W/m2)]]-RD[[#This Row],[Sunrise Time (POA&gt;20 W/m2)]])*24,0)</f>
        <v>12.133333333333333</v>
      </c>
      <c r="FD29" s="246">
        <v>105</v>
      </c>
      <c r="FE29" t="s">
        <v>276</v>
      </c>
      <c r="FF29"/>
      <c r="FG29"/>
    </row>
    <row r="30" spans="1:163">
      <c r="A30" s="133">
        <f t="shared" si="157"/>
        <v>45770</v>
      </c>
      <c r="B30" s="61">
        <f>YEAR(RD[[#This Row],[Date]])+IF(MONTH(RD[[#This Row],[Date]])&gt;=4,1,0)</f>
        <v>2026</v>
      </c>
      <c r="C30" s="61">
        <f>YEAR(RD[[#This Row],[Date]])</f>
        <v>2025</v>
      </c>
      <c r="D30" s="58">
        <f t="shared" si="156"/>
        <v>45748</v>
      </c>
      <c r="E30" s="61">
        <f>DAY(EOMONTH(RD[[#This Row],[Date]],0))</f>
        <v>30</v>
      </c>
      <c r="F30" s="152">
        <v>0.26180555555555557</v>
      </c>
      <c r="G30" s="162">
        <v>0.76597222222222228</v>
      </c>
      <c r="H30" s="124">
        <v>9012.7000000000007</v>
      </c>
      <c r="I30" s="124">
        <v>8982.7000000000007</v>
      </c>
      <c r="J30" s="124">
        <v>8573.4</v>
      </c>
      <c r="K30" s="124">
        <v>8647.2999999999993</v>
      </c>
      <c r="L30" s="124">
        <v>8863.1</v>
      </c>
      <c r="M30" s="124">
        <v>9085.6</v>
      </c>
      <c r="N30" s="124">
        <v>8847.4</v>
      </c>
      <c r="O30" s="124">
        <v>9410</v>
      </c>
      <c r="P30" s="124">
        <v>8836.1</v>
      </c>
      <c r="Q30" s="124">
        <v>8727.2000000000007</v>
      </c>
      <c r="R30" s="124">
        <v>9058.2000000000007</v>
      </c>
      <c r="S30" s="124">
        <v>9013.5</v>
      </c>
      <c r="T30" s="124">
        <v>9265.9</v>
      </c>
      <c r="U30" s="124">
        <v>9055</v>
      </c>
      <c r="V30" s="124">
        <v>9125.2000000000007</v>
      </c>
      <c r="W30" s="124">
        <v>8953.4</v>
      </c>
      <c r="X30" s="203">
        <v>12660</v>
      </c>
      <c r="Y30" s="203">
        <v>13603.7</v>
      </c>
      <c r="Z30" s="203">
        <v>12211.7</v>
      </c>
      <c r="AA30" s="203">
        <v>12687.3</v>
      </c>
      <c r="AB30" s="203">
        <v>13485.5</v>
      </c>
      <c r="AC30" s="203">
        <v>8306.9</v>
      </c>
      <c r="AD30" s="203">
        <v>12738.2</v>
      </c>
      <c r="AE30" s="203">
        <v>12776.6</v>
      </c>
      <c r="AF30" s="203">
        <v>12519.8</v>
      </c>
      <c r="AG30" s="203">
        <v>12523</v>
      </c>
      <c r="AH30" s="203">
        <v>12656.4</v>
      </c>
      <c r="AI30" s="203">
        <v>12766.4</v>
      </c>
      <c r="AJ30" s="142">
        <v>10537.8</v>
      </c>
      <c r="AK30" s="142">
        <v>10879.9</v>
      </c>
      <c r="AL30" s="142">
        <v>10617.1</v>
      </c>
      <c r="AM30" s="142">
        <v>10651.6</v>
      </c>
      <c r="AN30" s="142">
        <v>10537.8</v>
      </c>
      <c r="AO30" s="142">
        <v>10835.6</v>
      </c>
      <c r="AP30" s="142">
        <v>10678.4</v>
      </c>
      <c r="AQ30" s="142">
        <v>10548.8</v>
      </c>
      <c r="AR30" s="142">
        <v>8579.7999999999993</v>
      </c>
      <c r="AS30" s="142">
        <v>8653.2999999999993</v>
      </c>
      <c r="AT30" s="142">
        <v>8789.2000000000007</v>
      </c>
      <c r="AU30" s="142">
        <v>8776.9</v>
      </c>
      <c r="AV30" s="142">
        <v>8912.2999999999993</v>
      </c>
      <c r="AW30" s="142">
        <v>8718.7000000000007</v>
      </c>
      <c r="AX30" s="142">
        <v>12207.7</v>
      </c>
      <c r="AY30" s="142">
        <v>13459.5</v>
      </c>
      <c r="AZ30" s="142">
        <v>9830.9</v>
      </c>
      <c r="BA30" s="142">
        <v>11760.7</v>
      </c>
      <c r="BB30" s="142">
        <v>11884</v>
      </c>
      <c r="BC30" s="142">
        <v>8450</v>
      </c>
      <c r="BD30" s="142">
        <v>9832</v>
      </c>
      <c r="BE30" s="142">
        <v>11705</v>
      </c>
      <c r="BF30" s="142">
        <v>12609</v>
      </c>
      <c r="BG30" s="142">
        <v>12494</v>
      </c>
      <c r="BH30" s="142">
        <v>7660</v>
      </c>
      <c r="BI30" s="142">
        <v>4698</v>
      </c>
      <c r="BJ30" s="142">
        <v>7855.4</v>
      </c>
      <c r="BK30" s="142">
        <v>5600.1</v>
      </c>
      <c r="BL30" s="142">
        <v>7760.8</v>
      </c>
      <c r="BM30" s="142">
        <v>7159.6</v>
      </c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59">
        <v>7.267512199999997</v>
      </c>
      <c r="CE30" s="59"/>
      <c r="CF30" s="206">
        <v>7.2514088000000019</v>
      </c>
      <c r="CG30" s="206"/>
      <c r="CH30" s="206">
        <v>0.98194756666666594</v>
      </c>
      <c r="CI30" s="206"/>
      <c r="CJ30" s="59">
        <v>1.4546560666666659</v>
      </c>
      <c r="CK30" s="59"/>
      <c r="CL30" s="206">
        <v>34.564774247491734</v>
      </c>
      <c r="CM30" s="206"/>
      <c r="CN30" s="206">
        <v>47.986234949832735</v>
      </c>
      <c r="CO30" s="206"/>
      <c r="CP30" s="206">
        <v>17.935016722408026</v>
      </c>
      <c r="CQ30" s="206"/>
      <c r="CR30" s="59">
        <v>0</v>
      </c>
      <c r="CS30" s="59"/>
      <c r="CT30" s="206">
        <v>0.99358193979933207</v>
      </c>
      <c r="CU30" s="206"/>
      <c r="CV30" s="206">
        <v>2.6459999999999999</v>
      </c>
      <c r="CW30" s="260"/>
      <c r="CX30" s="204">
        <f>IFERROR(AVERAGEIF(RD[[#This Row],[IS1POA1 (KWh/m2)]:[IS7POA2 (KWh/m2)]],"&lt;&gt;0",RD[[#This Row],[IS1POA1 (KWh/m2)]:[IS7POA2 (KWh/m2)]]),"")</f>
        <v>7.267512199999997</v>
      </c>
      <c r="CY30" s="204">
        <f>IFERROR(AVERAGEIF(RD[[#This Row],[IS1GHI1 (KWh/m2)]:[IS7GHI2 (KWh/m2)]],"&lt;&gt;0",RD[[#This Row],[IS1GHI1 (KWh/m2)]:[IS7GHI2 (KWh/m2)]]),"")</f>
        <v>7.2514088000000019</v>
      </c>
      <c r="CZ30" s="204">
        <f>IFERROR(AVERAGEIF(RD[[#This Row],[IS1POA_BS1 (KWh/m2)]:[IS7POA_BS2 (KWh/m2)]],"&lt;&gt;0",RD[[#This Row],[IS1POA_BS1 (KWh/m2)]:[IS7POA_BS2 (KWh/m2)]]),"")</f>
        <v>0.98194756666666594</v>
      </c>
      <c r="DA30" s="204">
        <f>IFERROR(AVERAGEIF(RD[[#This Row],[IS1GHI_BS1 (KWh/m2)]:[IS1GHI_BS1 (KWh/m2)2]],"&lt;&gt;0",RD[[#This Row],[IS1GHI_BS1 (KWh/m2)]:[IS1GHI_BS1 (KWh/m2)2]]),"")</f>
        <v>1.4546560666666659</v>
      </c>
      <c r="DB30" s="204">
        <f>IFERROR(AVERAGEIF(RD[[#This Row],[IS1AT1 (°C)]:[IS7AT2 (°C)]],"&lt;&gt;0",RD[[#This Row],[IS1AT1 (°C)]:[IS7AT2 (°C)]]),"")</f>
        <v>34.564774247491734</v>
      </c>
      <c r="DC30" s="204">
        <f>IFERROR(AVERAGEIF(RD[[#This Row],[IS1MT1 (°C)]:[IS7MT2 (°C)]],"&lt;&gt;0",RD[[#This Row],[IS1MT1 (°C)]:[IS7MT2 (°C)]]),"")</f>
        <v>47.986234949832735</v>
      </c>
      <c r="DD30" s="204">
        <f>IFERROR(AVERAGEIF(RD[[#This Row],[IS1RH1 (%)]:[IS7RH2 (%)]],"&lt;&gt;0",RD[[#This Row],[IS1RH1 (%)]:[IS7RH2 (%)]]),"")</f>
        <v>17.935016722408026</v>
      </c>
      <c r="DE30" s="51" t="str">
        <f>IFERROR(AVERAGEIF(RD[[#This Row],[IS1Rain1 (mm)]:[IS7Rain2 (mm)]],"&lt;&gt;0",RD[[#This Row],[IS1Rain1 (mm)]:[IS7Rain2 (mm)]]),"")</f>
        <v/>
      </c>
      <c r="DF30" s="204">
        <f>IFERROR(AVERAGEIF(RD[[#This Row],[WS_Solar1_Avg (m/s)]:[IS7_WS_Solar1_Avg (m/s)]],"&lt;&gt;0",RD[[#This Row],[WS_Solar1_Avg (m/s)]:[IS7_WS_Solar1_Avg (m/s)]]),"")</f>
        <v>0.99358193979933207</v>
      </c>
      <c r="DG30" s="204">
        <f>IFERROR(AVERAGEIF(RD[[#This Row],[WS_Solar1_Max (m/s)]:[IS7_WS_Solar1_Max (m/s)]],"&lt;&gt;0",RD[[#This Row],[WS_Solar1_Max (m/s)]:[IS7_WS_Solar1_Max (m/s)]]),"")</f>
        <v>2.6459999999999999</v>
      </c>
      <c r="DH30" s="204">
        <f>SUM(RD[[#This Row],[IS1Inv1M1]:[IS4Inv4M2]])</f>
        <v>292392.20000000007</v>
      </c>
      <c r="DI30" s="205">
        <f>SUM(RD[[#This Row],[IS7Inv1M1]]+RD[[#This Row],[IS7Inv2M1]])</f>
        <v>17233.099999999999</v>
      </c>
      <c r="DJ30" s="204">
        <f>SUM(RD[[#This Row],[IS5Inv1M1]:[IS5Inv2M2]])</f>
        <v>42686.399999999994</v>
      </c>
      <c r="DK30" s="204">
        <f>SUM(RD[[#This Row],[IS8Inv1M1]:[IS9Inv2M2]])</f>
        <v>82455.899999999994</v>
      </c>
      <c r="DL30" s="60">
        <f>SUM(RD[[#This Row],[IS6Inv1M1]:[IS6Inv2M2]])</f>
        <v>42600.600000000006</v>
      </c>
      <c r="DM30" s="51">
        <f>SUM(RD[[#This Row],[IS10Inv1M1]:[IS11Inv1M4]],RD[[#This Row],[IS14Inv1M1]:[IS14Inv2M4]])</f>
        <v>107707.90000000001</v>
      </c>
      <c r="DN30" s="288">
        <f>SUM(RD[[#This Row],[IS12Inv1M1]:[IS12Inv1M4]])</f>
        <v>0</v>
      </c>
      <c r="DO30" s="288">
        <f>SUM(RD[[#This Row],[IS13Inv1M1]:[IS13Inv2M2]])</f>
        <v>0</v>
      </c>
      <c r="DP30" s="204">
        <f>SUM(RD[[#This Row],[O2R15]:[O2R26]])</f>
        <v>585076.10000000009</v>
      </c>
      <c r="DQ30" s="164">
        <v>37473.5</v>
      </c>
      <c r="DR30" s="168">
        <v>203.2</v>
      </c>
      <c r="DS30" s="164">
        <v>32211.7</v>
      </c>
      <c r="DT30" s="164">
        <v>215.6</v>
      </c>
      <c r="DU30" s="168">
        <v>37108.800000000003</v>
      </c>
      <c r="DV30" s="168">
        <v>388</v>
      </c>
      <c r="DW30" s="164">
        <v>5257.9</v>
      </c>
      <c r="DX30" s="168">
        <v>23.5</v>
      </c>
      <c r="DY30" s="168"/>
      <c r="DZ30" s="168"/>
      <c r="EA30" s="140">
        <v>88.8</v>
      </c>
      <c r="EB30" s="243">
        <v>114193997</v>
      </c>
      <c r="EC30" s="242">
        <v>882212.09600000002</v>
      </c>
      <c r="ED30" s="243">
        <v>1055</v>
      </c>
      <c r="EE30" s="243">
        <v>108540</v>
      </c>
      <c r="EF30" s="164">
        <v>158402.4</v>
      </c>
      <c r="EG30" s="164">
        <v>1740</v>
      </c>
      <c r="EH30" s="146">
        <f>IF((RD[[#This Row],[33 kV_F3_Ex
Incomer1]]-DQ29)*1000&lt;0,0,(RD[[#This Row],[33 kV_F3_Ex
Incomer1]]-DQ29)*1000)</f>
        <v>99199.99999999709</v>
      </c>
      <c r="EI30" s="146">
        <f>IF((RD[[#This Row],[34 kV_F3_Im
Incomer1]]-DR29)*1000&lt;0,0,(RD[[#This Row],[34 kV_F3_Im
Incomer1]]-DR29)*1000)</f>
        <v>199.99999999998863</v>
      </c>
      <c r="EJ30" s="146">
        <f>IF((RD[[#This Row],[33 kV_F4_Ex
Incomer2]]-DS29)*1000&lt;0,0,(RD[[#This Row],[33 kV_F4_Ex
Incomer2]]-DS29)*1000)</f>
        <v>93100.000000002183</v>
      </c>
      <c r="EK30" s="146">
        <f>IF((RD[[#This Row],[34 kV_F4_Im
Incomer2]]-DT29)*1000&lt;0,0,(RD[[#This Row],[34 kV_F4_Im
Incomer2]]-DT29)*1000)</f>
        <v>199.99999999998863</v>
      </c>
      <c r="EL30" s="146">
        <f>IF((RD[[#This Row],[33 kV_F5_Ex
Incomer3]]-DU29)*1000&lt;0,0,(RD[[#This Row],[33 kV_F5_Ex
Incomer3]]-DU29)*1000)</f>
        <v>122200.00000000437</v>
      </c>
      <c r="EM30" s="146">
        <f>IF((RD[[#This Row],[34 kV_F5_Im
Incomer3]]-DV29)*1000&lt;0,0,(RD[[#This Row],[34 kV_F5_Im
Incomer3]]-DV29)*1000)</f>
        <v>399.99999999997726</v>
      </c>
      <c r="EN30" s="146">
        <f>IF((RD[[#This Row],[33 kV_F6_Ex
Incomer4]]-DW29)*1000&lt;0,0,(RD[[#This Row],[33 kV_F6_Ex
Incomer4]]-DW29)*1000)</f>
        <v>101799.99999999927</v>
      </c>
      <c r="EO30" s="146">
        <f>IF((RD[[#This Row],[33 kV_F6_Im
Incomer4]]-DX29)*1000&lt;0,0,(RD[[#This Row],[33 kV_F6_Im
Incomer4]]-DX29)*1000)</f>
        <v>399.99999999999858</v>
      </c>
      <c r="EP30" s="146">
        <f>IF((RD[[#This Row],[33 kV_F7_Ex
Incomer5]]-DY29)*1000&lt;0,0,(RD[[#This Row],[33 kV_F7_Ex
Incomer5]]-DY29)*1000)</f>
        <v>0</v>
      </c>
      <c r="EQ30" s="146">
        <f>IF((RD[[#This Row],[33 kV_F7_Im
Incomer5]]-DZ29)*1000&lt;0,0,(RD[[#This Row],[33 kV_F7_Im
Incomer5]]-DZ29)*1000)</f>
        <v>0</v>
      </c>
      <c r="ER30" s="146">
        <f>IF((RD[[#This Row],[33 kV_Aux Trafo]]-EA29)*1000&lt;0,0,(RD[[#This Row],[33 kV_Aux Trafo]]-EA29)*1000)</f>
        <v>170.00000000000171</v>
      </c>
      <c r="ES30" s="158">
        <f>IF((RD[[#This Row],[33kV_OG1_Ex_]]-EB29)*1&lt;0,0,(RD[[#This Row],[33kV_OG1_Ex_]]-EB29)*1)</f>
        <v>620953</v>
      </c>
      <c r="ET30" s="146">
        <f>IF((RD[[#This Row],[33kV_OG1_Im]]-EC29)*1&lt;0,0,(RD[[#This Row],[33kV_OG1_Im]]-EC29)*1)</f>
        <v>1780.6720000000205</v>
      </c>
      <c r="EU30" s="146">
        <f>IF((RD[[#This Row],[132kV_TX1_EX]]-ED29)*720&lt;=0,"",(RD[[#This Row],[132kV_TX1_EX]]-ED29)*720)</f>
        <v>1440</v>
      </c>
      <c r="EV30" s="146">
        <f>IF((RD[[#This Row],[132 kV_Tx1_Im]]-EE29)*720&lt;=0,0,(RD[[#This Row],[132 kV_Tx1_Im]]-EE29)*720)</f>
        <v>444960</v>
      </c>
      <c r="EW30" s="146">
        <f>IF((RD[[#This Row],[132kV_L1_Ex]]-EF29)*720&lt;=0,0,(RD[[#This Row],[132kV_L1_Ex]]-EF29)*720)</f>
        <v>618912.00000000419</v>
      </c>
      <c r="EX30" s="146">
        <f>IF((RD[[#This Row],[132kV_L1_Im]]-EG29)*720&lt;=0,0,(RD[[#This Row],[132kV_L1_Im]]-EG29)*720)</f>
        <v>2088.0000000000655</v>
      </c>
      <c r="EY30" s="244">
        <f>IFERROR(RD[[#This Row],[33kV_OG1_Ex (MWh)]]+RD[[#This Row],[33kV_OG1_Im (MWh)]],"")</f>
        <v>622733.67200000002</v>
      </c>
      <c r="EZ30" s="148">
        <f>RD[[#This Row],[33kV_OG1_Ex (MWh)]]-RD[[#This Row],[33kV_OG1_Im (MWh)]]</f>
        <v>619172.32799999998</v>
      </c>
      <c r="FA30" s="148">
        <f>IFERROR(RD[[#This Row],[132kV_L1_Ex(MWh)]]-RD[[#This Row],[132kV_L1_Im(MWh)]],"")</f>
        <v>616824.00000000407</v>
      </c>
      <c r="FB30" s="55">
        <f>IFERROR(RD[[#This Row],[33kV_Ex(MWh)]]/RD[[#This Row],[Inv Total Gneration (MWh)]]-1,"")</f>
        <v>6.4363545186685744E-2</v>
      </c>
      <c r="FC30" s="245">
        <f>IFERROR((RD[[#This Row],[Sunset Time (POA&lt;20 W/m2)]]-RD[[#This Row],[Sunrise Time (POA&gt;20 W/m2)]])*24,0)</f>
        <v>12.1</v>
      </c>
      <c r="FD30" s="246">
        <v>105</v>
      </c>
      <c r="FE30" t="s">
        <v>268</v>
      </c>
      <c r="FF30"/>
      <c r="FG30"/>
    </row>
    <row r="31" spans="1:163">
      <c r="A31" s="133">
        <f t="shared" si="157"/>
        <v>45771</v>
      </c>
      <c r="B31" s="61">
        <f>YEAR(RD[[#This Row],[Date]])+IF(MONTH(RD[[#This Row],[Date]])&gt;=4,1,0)</f>
        <v>2026</v>
      </c>
      <c r="C31" s="61">
        <f>YEAR(RD[[#This Row],[Date]])</f>
        <v>2025</v>
      </c>
      <c r="D31" s="58">
        <f t="shared" si="156"/>
        <v>45748</v>
      </c>
      <c r="E31" s="61">
        <f>DAY(EOMONTH(RD[[#This Row],[Date]],0))</f>
        <v>30</v>
      </c>
      <c r="F31" s="152">
        <v>0.26180555555555557</v>
      </c>
      <c r="G31" s="162">
        <v>0.76944444444444449</v>
      </c>
      <c r="H31" s="124">
        <v>8853.7000000000007</v>
      </c>
      <c r="I31" s="124">
        <v>8758.7999999999993</v>
      </c>
      <c r="J31" s="124">
        <v>8252.6</v>
      </c>
      <c r="K31" s="124">
        <v>8339.2000000000007</v>
      </c>
      <c r="L31" s="124">
        <v>8597.7999999999993</v>
      </c>
      <c r="M31" s="124">
        <v>8840.7999999999993</v>
      </c>
      <c r="N31" s="124">
        <v>8555.1</v>
      </c>
      <c r="O31" s="124">
        <v>9273</v>
      </c>
      <c r="P31" s="124">
        <v>8632.2999999999993</v>
      </c>
      <c r="Q31" s="124">
        <v>8543.5</v>
      </c>
      <c r="R31" s="124">
        <v>8856.2000000000007</v>
      </c>
      <c r="S31" s="124">
        <v>8813.7000000000007</v>
      </c>
      <c r="T31" s="124">
        <v>9078</v>
      </c>
      <c r="U31" s="124">
        <v>8839.6</v>
      </c>
      <c r="V31" s="124">
        <v>8950.2000000000007</v>
      </c>
      <c r="W31" s="124">
        <v>8717.9</v>
      </c>
      <c r="X31" s="203">
        <v>12252.3</v>
      </c>
      <c r="Y31" s="203">
        <v>13318.6</v>
      </c>
      <c r="Z31" s="203">
        <v>11766.4</v>
      </c>
      <c r="AA31" s="203">
        <v>12220.7</v>
      </c>
      <c r="AB31" s="203">
        <v>13197.8</v>
      </c>
      <c r="AC31" s="203">
        <v>8024.1</v>
      </c>
      <c r="AD31" s="203">
        <v>12337.5</v>
      </c>
      <c r="AE31" s="203">
        <v>12379.2</v>
      </c>
      <c r="AF31" s="203">
        <v>12093.1</v>
      </c>
      <c r="AG31" s="203">
        <v>12131.2</v>
      </c>
      <c r="AH31" s="203">
        <v>12212.9</v>
      </c>
      <c r="AI31" s="203">
        <v>12355.6</v>
      </c>
      <c r="AJ31" s="142">
        <v>10262.6</v>
      </c>
      <c r="AK31" s="142">
        <v>10522.6</v>
      </c>
      <c r="AL31" s="142">
        <v>10227.299999999999</v>
      </c>
      <c r="AM31" s="142">
        <v>10268.1</v>
      </c>
      <c r="AN31" s="142">
        <v>10186.799999999999</v>
      </c>
      <c r="AO31" s="142">
        <v>10464.6</v>
      </c>
      <c r="AP31" s="142">
        <v>10327.1</v>
      </c>
      <c r="AQ31" s="142">
        <v>10193.799999999999</v>
      </c>
      <c r="AR31" s="142">
        <v>8312.1</v>
      </c>
      <c r="AS31" s="142">
        <v>8368</v>
      </c>
      <c r="AT31" s="142">
        <v>8536.1</v>
      </c>
      <c r="AU31" s="142">
        <v>8498.5</v>
      </c>
      <c r="AV31" s="142">
        <v>8691.2000000000007</v>
      </c>
      <c r="AW31" s="142">
        <v>8457.4</v>
      </c>
      <c r="AX31" s="142">
        <v>11825.1</v>
      </c>
      <c r="AY31" s="142">
        <v>13201.9</v>
      </c>
      <c r="AZ31" s="142">
        <v>9565.7999999999993</v>
      </c>
      <c r="BA31" s="142">
        <v>11411.4</v>
      </c>
      <c r="BB31" s="142">
        <v>12366</v>
      </c>
      <c r="BC31" s="142">
        <v>9355</v>
      </c>
      <c r="BD31" s="142">
        <v>9972</v>
      </c>
      <c r="BE31" s="142">
        <v>11763</v>
      </c>
      <c r="BF31" s="142">
        <v>12657</v>
      </c>
      <c r="BG31" s="142">
        <v>12670</v>
      </c>
      <c r="BH31" s="142">
        <v>7694</v>
      </c>
      <c r="BI31" s="142">
        <v>4726</v>
      </c>
      <c r="BJ31" s="142">
        <v>7930</v>
      </c>
      <c r="BK31" s="142">
        <v>5771</v>
      </c>
      <c r="BL31" s="142">
        <v>7817</v>
      </c>
      <c r="BM31" s="142">
        <v>7209</v>
      </c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59">
        <v>6.9662361500000021</v>
      </c>
      <c r="CE31" s="59"/>
      <c r="CF31" s="206">
        <v>6.942666066666666</v>
      </c>
      <c r="CG31" s="206"/>
      <c r="CH31" s="206">
        <v>0.96716798333333232</v>
      </c>
      <c r="CI31" s="206"/>
      <c r="CJ31" s="59">
        <v>1.3974052499999994</v>
      </c>
      <c r="CK31" s="59"/>
      <c r="CL31" s="206">
        <v>34.53467400508044</v>
      </c>
      <c r="CM31" s="206"/>
      <c r="CN31" s="206">
        <v>47.438395427603695</v>
      </c>
      <c r="CO31" s="206"/>
      <c r="CP31" s="206">
        <v>15.735088907705327</v>
      </c>
      <c r="CQ31" s="206"/>
      <c r="CR31" s="59">
        <v>0</v>
      </c>
      <c r="CS31" s="59"/>
      <c r="CT31" s="206">
        <v>1.098401354784083</v>
      </c>
      <c r="CU31" s="206"/>
      <c r="CV31" s="206">
        <v>2.4390000000000001</v>
      </c>
      <c r="CW31" s="260"/>
      <c r="CX31" s="204">
        <f>IFERROR(AVERAGEIF(RD[[#This Row],[IS1POA1 (KWh/m2)]:[IS7POA2 (KWh/m2)]],"&lt;&gt;0",RD[[#This Row],[IS1POA1 (KWh/m2)]:[IS7POA2 (KWh/m2)]]),"")</f>
        <v>6.9662361500000021</v>
      </c>
      <c r="CY31" s="204">
        <f>IFERROR(AVERAGEIF(RD[[#This Row],[IS1GHI1 (KWh/m2)]:[IS7GHI2 (KWh/m2)]],"&lt;&gt;0",RD[[#This Row],[IS1GHI1 (KWh/m2)]:[IS7GHI2 (KWh/m2)]]),"")</f>
        <v>6.942666066666666</v>
      </c>
      <c r="CZ31" s="204">
        <f>IFERROR(AVERAGEIF(RD[[#This Row],[IS1POA_BS1 (KWh/m2)]:[IS7POA_BS2 (KWh/m2)]],"&lt;&gt;0",RD[[#This Row],[IS1POA_BS1 (KWh/m2)]:[IS7POA_BS2 (KWh/m2)]]),"")</f>
        <v>0.96716798333333232</v>
      </c>
      <c r="DA31" s="204">
        <f>IFERROR(AVERAGEIF(RD[[#This Row],[IS1GHI_BS1 (KWh/m2)]:[IS1GHI_BS1 (KWh/m2)2]],"&lt;&gt;0",RD[[#This Row],[IS1GHI_BS1 (KWh/m2)]:[IS1GHI_BS1 (KWh/m2)2]]),"")</f>
        <v>1.3974052499999994</v>
      </c>
      <c r="DB31" s="204">
        <f>IFERROR(AVERAGEIF(RD[[#This Row],[IS1AT1 (°C)]:[IS7AT2 (°C)]],"&lt;&gt;0",RD[[#This Row],[IS1AT1 (°C)]:[IS7AT2 (°C)]]),"")</f>
        <v>34.53467400508044</v>
      </c>
      <c r="DC31" s="204">
        <f>IFERROR(AVERAGEIF(RD[[#This Row],[IS1MT1 (°C)]:[IS7MT2 (°C)]],"&lt;&gt;0",RD[[#This Row],[IS1MT1 (°C)]:[IS7MT2 (°C)]]),"")</f>
        <v>47.438395427603695</v>
      </c>
      <c r="DD31" s="204">
        <f>IFERROR(AVERAGEIF(RD[[#This Row],[IS1RH1 (%)]:[IS7RH2 (%)]],"&lt;&gt;0",RD[[#This Row],[IS1RH1 (%)]:[IS7RH2 (%)]]),"")</f>
        <v>15.735088907705327</v>
      </c>
      <c r="DE31" s="51" t="str">
        <f>IFERROR(AVERAGEIF(RD[[#This Row],[IS1Rain1 (mm)]:[IS7Rain2 (mm)]],"&lt;&gt;0",RD[[#This Row],[IS1Rain1 (mm)]:[IS7Rain2 (mm)]]),"")</f>
        <v/>
      </c>
      <c r="DF31" s="204">
        <f>IFERROR(AVERAGEIF(RD[[#This Row],[WS_Solar1_Avg (m/s)]:[IS7_WS_Solar1_Avg (m/s)]],"&lt;&gt;0",RD[[#This Row],[WS_Solar1_Avg (m/s)]:[IS7_WS_Solar1_Avg (m/s)]]),"")</f>
        <v>1.098401354784083</v>
      </c>
      <c r="DG31" s="204">
        <f>IFERROR(AVERAGEIF(RD[[#This Row],[WS_Solar1_Max (m/s)]:[IS7_WS_Solar1_Max (m/s)]],"&lt;&gt;0",RD[[#This Row],[WS_Solar1_Max (m/s)]:[IS7_WS_Solar1_Max (m/s)]]),"")</f>
        <v>2.4390000000000001</v>
      </c>
      <c r="DH31" s="204">
        <f>SUM(RD[[#This Row],[IS1Inv1M1]:[IS4Inv4M2]])</f>
        <v>284191.8</v>
      </c>
      <c r="DI31" s="205">
        <f>SUM(RD[[#This Row],[IS7Inv1M1]]+RD[[#This Row],[IS7Inv2M1]])</f>
        <v>16680.099999999999</v>
      </c>
      <c r="DJ31" s="204">
        <f>SUM(RD[[#This Row],[IS5Inv1M1]:[IS5Inv2M2]])</f>
        <v>41280.6</v>
      </c>
      <c r="DK31" s="204">
        <f>SUM(RD[[#This Row],[IS8Inv1M1]:[IS9Inv2M2]])</f>
        <v>80187.399999999994</v>
      </c>
      <c r="DL31" s="60">
        <f>SUM(RD[[#This Row],[IS6Inv1M1]:[IS6Inv2M2]])</f>
        <v>41172.300000000003</v>
      </c>
      <c r="DM31" s="51">
        <f>SUM(RD[[#This Row],[IS10Inv1M1]:[IS11Inv1M4]],RD[[#This Row],[IS14Inv1M1]:[IS14Inv2M4]])</f>
        <v>109930</v>
      </c>
      <c r="DN31" s="288">
        <f>SUM(RD[[#This Row],[IS12Inv1M1]:[IS12Inv1M4]])</f>
        <v>0</v>
      </c>
      <c r="DO31" s="288">
        <f>SUM(RD[[#This Row],[IS13Inv1M1]:[IS13Inv2M2]])</f>
        <v>0</v>
      </c>
      <c r="DP31" s="204">
        <f>SUM(RD[[#This Row],[O2R15]:[O2R26]])</f>
        <v>573442.19999999995</v>
      </c>
      <c r="DQ31" s="164">
        <v>37569.5</v>
      </c>
      <c r="DR31" s="168">
        <v>203.4</v>
      </c>
      <c r="DS31" s="164">
        <v>32302.9</v>
      </c>
      <c r="DT31" s="164">
        <v>215.8</v>
      </c>
      <c r="DU31" s="168">
        <v>37227.300000000003</v>
      </c>
      <c r="DV31" s="168">
        <v>388.4</v>
      </c>
      <c r="DW31" s="164">
        <v>5351.7</v>
      </c>
      <c r="DX31" s="168">
        <v>23.8</v>
      </c>
      <c r="DY31" s="168"/>
      <c r="DZ31" s="168"/>
      <c r="EA31" s="140">
        <v>89</v>
      </c>
      <c r="EB31" s="243">
        <v>114789728</v>
      </c>
      <c r="EC31" s="242">
        <v>884037.76</v>
      </c>
      <c r="ED31" s="243">
        <v>1057</v>
      </c>
      <c r="EE31" s="243">
        <v>109133</v>
      </c>
      <c r="EF31" s="164">
        <v>159227</v>
      </c>
      <c r="EG31" s="164">
        <v>1743.4</v>
      </c>
      <c r="EH31" s="146">
        <f>IF((RD[[#This Row],[33 kV_F3_Ex
Incomer1]]-DQ30)*1000&lt;0,0,(RD[[#This Row],[33 kV_F3_Ex
Incomer1]]-DQ30)*1000)</f>
        <v>96000</v>
      </c>
      <c r="EI31" s="146">
        <f>IF((RD[[#This Row],[34 kV_F3_Im
Incomer1]]-DR30)*1000&lt;0,0,(RD[[#This Row],[34 kV_F3_Im
Incomer1]]-DR30)*1000)</f>
        <v>200.00000000001705</v>
      </c>
      <c r="EJ31" s="146">
        <f>IF((RD[[#This Row],[33 kV_F4_Ex
Incomer2]]-DS30)*1000&lt;0,0,(RD[[#This Row],[33 kV_F4_Ex
Incomer2]]-DS30)*1000)</f>
        <v>91200.000000000728</v>
      </c>
      <c r="EK31" s="146">
        <f>IF((RD[[#This Row],[34 kV_F4_Im
Incomer2]]-DT30)*1000&lt;0,0,(RD[[#This Row],[34 kV_F4_Im
Incomer2]]-DT30)*1000)</f>
        <v>200.00000000001705</v>
      </c>
      <c r="EL31" s="146">
        <f>IF((RD[[#This Row],[33 kV_F5_Ex
Incomer3]]-DU30)*1000&lt;0,0,(RD[[#This Row],[33 kV_F5_Ex
Incomer3]]-DU30)*1000)</f>
        <v>118500</v>
      </c>
      <c r="EM31" s="146">
        <f>IF((RD[[#This Row],[34 kV_F5_Im
Incomer3]]-DV30)*1000&lt;0,0,(RD[[#This Row],[34 kV_F5_Im
Incomer3]]-DV30)*1000)</f>
        <v>399.99999999997726</v>
      </c>
      <c r="EN31" s="146">
        <f>IF((RD[[#This Row],[33 kV_F6_Ex
Incomer4]]-DW30)*1000&lt;0,0,(RD[[#This Row],[33 kV_F6_Ex
Incomer4]]-DW30)*1000)</f>
        <v>93800.000000000175</v>
      </c>
      <c r="EO31" s="146">
        <f>IF((RD[[#This Row],[33 kV_F6_Im
Incomer4]]-DX30)*1000&lt;0,0,(RD[[#This Row],[33 kV_F6_Im
Incomer4]]-DX30)*1000)</f>
        <v>300.00000000000068</v>
      </c>
      <c r="EP31" s="146">
        <f>IF((RD[[#This Row],[33 kV_F7_Ex
Incomer5]]-DY30)*1000&lt;0,0,(RD[[#This Row],[33 kV_F7_Ex
Incomer5]]-DY30)*1000)</f>
        <v>0</v>
      </c>
      <c r="EQ31" s="146">
        <f>IF((RD[[#This Row],[33 kV_F7_Im
Incomer5]]-DZ30)*1000&lt;0,0,(RD[[#This Row],[33 kV_F7_Im
Incomer5]]-DZ30)*1000)</f>
        <v>0</v>
      </c>
      <c r="ER31" s="146">
        <f>IF((RD[[#This Row],[33 kV_Aux Trafo]]-EA30)*1000&lt;0,0,(RD[[#This Row],[33 kV_Aux Trafo]]-EA30)*1000)</f>
        <v>200.00000000000284</v>
      </c>
      <c r="ES31" s="158">
        <f>IF((RD[[#This Row],[33kV_OG1_Ex_]]-EB30)*1&lt;0,0,(RD[[#This Row],[33kV_OG1_Ex_]]-EB30)*1)</f>
        <v>595731</v>
      </c>
      <c r="ET31" s="146">
        <f>IF((RD[[#This Row],[33kV_OG1_Im]]-EC30)*1&lt;0,0,(RD[[#This Row],[33kV_OG1_Im]]-EC30)*1)</f>
        <v>1825.6639999999898</v>
      </c>
      <c r="EU31" s="146">
        <f>IF((RD[[#This Row],[132kV_TX1_EX]]-ED30)*720&lt;=0,"",(RD[[#This Row],[132kV_TX1_EX]]-ED30)*720)</f>
        <v>1440</v>
      </c>
      <c r="EV31" s="146">
        <f>IF((RD[[#This Row],[132 kV_Tx1_Im]]-EE30)*720&lt;=0,0,(RD[[#This Row],[132 kV_Tx1_Im]]-EE30)*720)</f>
        <v>426960</v>
      </c>
      <c r="EW31" s="146">
        <f>IF((RD[[#This Row],[132kV_L1_Ex]]-EF30)*720&lt;=0,0,(RD[[#This Row],[132kV_L1_Ex]]-EF30)*720)</f>
        <v>593712.00000000419</v>
      </c>
      <c r="EX31" s="146">
        <f>IF((RD[[#This Row],[132kV_L1_Im]]-EG30)*720&lt;=0,0,(RD[[#This Row],[132kV_L1_Im]]-EG30)*720)</f>
        <v>2448.0000000000655</v>
      </c>
      <c r="EY31" s="244">
        <f>IFERROR(RD[[#This Row],[33kV_OG1_Ex (MWh)]]+RD[[#This Row],[33kV_OG1_Im (MWh)]],"")</f>
        <v>597556.66399999999</v>
      </c>
      <c r="EZ31" s="148">
        <f>RD[[#This Row],[33kV_OG1_Ex (MWh)]]-RD[[#This Row],[33kV_OG1_Im (MWh)]]</f>
        <v>593905.33600000001</v>
      </c>
      <c r="FA31" s="148">
        <f>IFERROR(RD[[#This Row],[132kV_L1_Ex(MWh)]]-RD[[#This Row],[132kV_L1_Im(MWh)]],"")</f>
        <v>591264.00000000407</v>
      </c>
      <c r="FB31" s="55">
        <f>IFERROR(RD[[#This Row],[33kV_Ex(MWh)]]/RD[[#This Row],[Inv Total Gneration (MWh)]]-1,"")</f>
        <v>4.2052126613632668E-2</v>
      </c>
      <c r="FC31" s="245">
        <f>IFERROR((RD[[#This Row],[Sunset Time (POA&lt;20 W/m2)]]-RD[[#This Row],[Sunrise Time (POA&gt;20 W/m2)]])*24,0)</f>
        <v>12.183333333333335</v>
      </c>
      <c r="FD31" s="246">
        <v>105</v>
      </c>
      <c r="FE31" t="s">
        <v>268</v>
      </c>
      <c r="FF31"/>
      <c r="FG31"/>
    </row>
    <row r="32" spans="1:163">
      <c r="A32" s="133">
        <f t="shared" si="157"/>
        <v>45772</v>
      </c>
      <c r="B32" s="61">
        <f>YEAR(RD[[#This Row],[Date]])+IF(MONTH(RD[[#This Row],[Date]])&gt;=4,1,0)</f>
        <v>2026</v>
      </c>
      <c r="C32" s="61">
        <f>YEAR(RD[[#This Row],[Date]])</f>
        <v>2025</v>
      </c>
      <c r="D32" s="58">
        <f t="shared" si="156"/>
        <v>45748</v>
      </c>
      <c r="E32" s="61">
        <f>DAY(EOMONTH(RD[[#This Row],[Date]],0))</f>
        <v>30</v>
      </c>
      <c r="F32" s="152">
        <v>0.26250000000000001</v>
      </c>
      <c r="G32" s="162">
        <v>0.76597222222222228</v>
      </c>
      <c r="H32" s="124">
        <v>8818.1</v>
      </c>
      <c r="I32" s="124">
        <v>8739</v>
      </c>
      <c r="J32" s="124">
        <v>8249.6</v>
      </c>
      <c r="K32" s="124">
        <v>8403.2000000000007</v>
      </c>
      <c r="L32" s="124">
        <v>8608.1</v>
      </c>
      <c r="M32" s="124">
        <v>8814.9</v>
      </c>
      <c r="N32" s="124">
        <v>8587.6</v>
      </c>
      <c r="O32" s="124">
        <v>9228.5</v>
      </c>
      <c r="P32" s="124">
        <v>8600.7999999999993</v>
      </c>
      <c r="Q32" s="124">
        <v>8534.7000000000007</v>
      </c>
      <c r="R32" s="124">
        <v>8811.6</v>
      </c>
      <c r="S32" s="124">
        <v>8768.7000000000007</v>
      </c>
      <c r="T32" s="124">
        <v>9042.5</v>
      </c>
      <c r="U32" s="124">
        <v>8818.4</v>
      </c>
      <c r="V32" s="124">
        <v>8920.7000000000007</v>
      </c>
      <c r="W32" s="124">
        <v>8713.6</v>
      </c>
      <c r="X32" s="203">
        <v>12239.4</v>
      </c>
      <c r="Y32" s="203">
        <v>13277.9</v>
      </c>
      <c r="Z32" s="203">
        <v>11765.7</v>
      </c>
      <c r="AA32" s="203">
        <v>12200.1</v>
      </c>
      <c r="AB32" s="203">
        <v>13202.5</v>
      </c>
      <c r="AC32" s="203">
        <v>8028</v>
      </c>
      <c r="AD32" s="203">
        <v>12361.4</v>
      </c>
      <c r="AE32" s="203">
        <v>12388.3</v>
      </c>
      <c r="AF32" s="203">
        <v>12092.3</v>
      </c>
      <c r="AG32" s="203">
        <v>12135</v>
      </c>
      <c r="AH32" s="203">
        <v>12197</v>
      </c>
      <c r="AI32" s="203">
        <v>12300.5</v>
      </c>
      <c r="AJ32" s="142">
        <v>10194.700000000001</v>
      </c>
      <c r="AK32" s="142">
        <v>10464.9</v>
      </c>
      <c r="AL32" s="142">
        <v>10179.5</v>
      </c>
      <c r="AM32" s="142">
        <v>10218.200000000001</v>
      </c>
      <c r="AN32" s="142">
        <v>10184.4</v>
      </c>
      <c r="AO32" s="142">
        <v>10451.6</v>
      </c>
      <c r="AP32" s="142">
        <v>10298.4</v>
      </c>
      <c r="AQ32" s="142">
        <v>10176.299999999999</v>
      </c>
      <c r="AR32" s="142">
        <v>8251.2000000000007</v>
      </c>
      <c r="AS32" s="142">
        <v>8323.4</v>
      </c>
      <c r="AT32" s="142">
        <v>8509.1</v>
      </c>
      <c r="AU32" s="142">
        <v>8442.2999999999993</v>
      </c>
      <c r="AV32" s="142">
        <v>8654.5</v>
      </c>
      <c r="AW32" s="142">
        <v>8464.5</v>
      </c>
      <c r="AX32" s="142">
        <v>11700</v>
      </c>
      <c r="AY32" s="142">
        <v>13054</v>
      </c>
      <c r="AZ32" s="142">
        <v>9537</v>
      </c>
      <c r="BA32" s="142">
        <v>11354</v>
      </c>
      <c r="BB32" s="142">
        <v>10428</v>
      </c>
      <c r="BC32" s="142">
        <v>8416</v>
      </c>
      <c r="BD32" s="142">
        <v>8246.7999999999993</v>
      </c>
      <c r="BE32" s="142">
        <v>11278.8</v>
      </c>
      <c r="BF32" s="142">
        <v>12168.8</v>
      </c>
      <c r="BG32" s="142">
        <v>12083.1</v>
      </c>
      <c r="BH32" s="142">
        <v>7292</v>
      </c>
      <c r="BI32" s="142">
        <v>4482.1000000000004</v>
      </c>
      <c r="BJ32" s="142">
        <v>7887</v>
      </c>
      <c r="BK32" s="142">
        <v>5586</v>
      </c>
      <c r="BL32" s="142">
        <v>7561</v>
      </c>
      <c r="BM32" s="142">
        <v>7036</v>
      </c>
      <c r="BN32" s="142">
        <v>7563</v>
      </c>
      <c r="BO32" s="142">
        <v>7968</v>
      </c>
      <c r="BP32" s="142">
        <v>7245</v>
      </c>
      <c r="BQ32" s="142">
        <v>4771</v>
      </c>
      <c r="BR32" s="142">
        <v>2742</v>
      </c>
      <c r="BS32" s="142">
        <v>0</v>
      </c>
      <c r="BT32" s="142">
        <v>2651</v>
      </c>
      <c r="BU32" s="142">
        <v>964</v>
      </c>
      <c r="BV32" s="142"/>
      <c r="BW32" s="142"/>
      <c r="BX32" s="142"/>
      <c r="BY32" s="142"/>
      <c r="BZ32" s="142">
        <v>1318</v>
      </c>
      <c r="CA32" s="142">
        <v>1127</v>
      </c>
      <c r="CB32" s="142">
        <v>4697</v>
      </c>
      <c r="CC32" s="142">
        <v>8529</v>
      </c>
      <c r="CD32" s="59">
        <v>7.0080912333333325</v>
      </c>
      <c r="CE32" s="59"/>
      <c r="CF32" s="206">
        <v>7.0078852000000111</v>
      </c>
      <c r="CG32" s="206"/>
      <c r="CH32" s="206">
        <v>0.95771016666666597</v>
      </c>
      <c r="CI32" s="206"/>
      <c r="CJ32" s="59">
        <v>1.4078384000000006</v>
      </c>
      <c r="CK32" s="59"/>
      <c r="CL32" s="206">
        <v>34.729205350118043</v>
      </c>
      <c r="CM32" s="206"/>
      <c r="CN32" s="206">
        <v>48.10381904012587</v>
      </c>
      <c r="CO32" s="206"/>
      <c r="CP32" s="206">
        <v>24.288332022029934</v>
      </c>
      <c r="CQ32" s="206"/>
      <c r="CR32" s="59">
        <v>0</v>
      </c>
      <c r="CS32" s="59"/>
      <c r="CT32" s="206">
        <v>1.0152368214004723</v>
      </c>
      <c r="CU32" s="206"/>
      <c r="CV32" s="206">
        <v>2.0910000000000002</v>
      </c>
      <c r="CW32" s="260"/>
      <c r="CX32" s="204">
        <f>IFERROR(AVERAGEIF(RD[[#This Row],[IS1POA1 (KWh/m2)]:[IS7POA2 (KWh/m2)]],"&lt;&gt;0",RD[[#This Row],[IS1POA1 (KWh/m2)]:[IS7POA2 (KWh/m2)]]),"")</f>
        <v>7.0080912333333325</v>
      </c>
      <c r="CY32" s="204">
        <f>IFERROR(AVERAGEIF(RD[[#This Row],[IS1GHI1 (KWh/m2)]:[IS7GHI2 (KWh/m2)]],"&lt;&gt;0",RD[[#This Row],[IS1GHI1 (KWh/m2)]:[IS7GHI2 (KWh/m2)]]),"")</f>
        <v>7.0078852000000111</v>
      </c>
      <c r="CZ32" s="204">
        <f>IFERROR(AVERAGEIF(RD[[#This Row],[IS1POA_BS1 (KWh/m2)]:[IS7POA_BS2 (KWh/m2)]],"&lt;&gt;0",RD[[#This Row],[IS1POA_BS1 (KWh/m2)]:[IS7POA_BS2 (KWh/m2)]]),"")</f>
        <v>0.95771016666666597</v>
      </c>
      <c r="DA32" s="204">
        <f>IFERROR(AVERAGEIF(RD[[#This Row],[IS1GHI_BS1 (KWh/m2)]:[IS1GHI_BS1 (KWh/m2)2]],"&lt;&gt;0",RD[[#This Row],[IS1GHI_BS1 (KWh/m2)]:[IS1GHI_BS1 (KWh/m2)2]]),"")</f>
        <v>1.4078384000000006</v>
      </c>
      <c r="DB32" s="204">
        <f>IFERROR(AVERAGEIF(RD[[#This Row],[IS1AT1 (°C)]:[IS7AT2 (°C)]],"&lt;&gt;0",RD[[#This Row],[IS1AT1 (°C)]:[IS7AT2 (°C)]]),"")</f>
        <v>34.729205350118043</v>
      </c>
      <c r="DC32" s="204">
        <f>IFERROR(AVERAGEIF(RD[[#This Row],[IS1MT1 (°C)]:[IS7MT2 (°C)]],"&lt;&gt;0",RD[[#This Row],[IS1MT1 (°C)]:[IS7MT2 (°C)]]),"")</f>
        <v>48.10381904012587</v>
      </c>
      <c r="DD32" s="204">
        <f>IFERROR(AVERAGEIF(RD[[#This Row],[IS1RH1 (%)]:[IS7RH2 (%)]],"&lt;&gt;0",RD[[#This Row],[IS1RH1 (%)]:[IS7RH2 (%)]]),"")</f>
        <v>24.288332022029934</v>
      </c>
      <c r="DE32" s="51" t="str">
        <f>IFERROR(AVERAGEIF(RD[[#This Row],[IS1Rain1 (mm)]:[IS7Rain2 (mm)]],"&lt;&gt;0",RD[[#This Row],[IS1Rain1 (mm)]:[IS7Rain2 (mm)]]),"")</f>
        <v/>
      </c>
      <c r="DF32" s="204">
        <f>IFERROR(AVERAGEIF(RD[[#This Row],[WS_Solar1_Avg (m/s)]:[IS7_WS_Solar1_Avg (m/s)]],"&lt;&gt;0",RD[[#This Row],[WS_Solar1_Avg (m/s)]:[IS7_WS_Solar1_Avg (m/s)]]),"")</f>
        <v>1.0152368214004723</v>
      </c>
      <c r="DG32" s="204">
        <f>IFERROR(AVERAGEIF(RD[[#This Row],[WS_Solar1_Max (m/s)]:[IS7_WS_Solar1_Max (m/s)]],"&lt;&gt;0",RD[[#This Row],[WS_Solar1_Max (m/s)]:[IS7_WS_Solar1_Max (m/s)]]),"")</f>
        <v>2.0910000000000002</v>
      </c>
      <c r="DH32" s="204">
        <f>SUM(RD[[#This Row],[IS1Inv1M1]:[IS4Inv4M2]])</f>
        <v>283848.09999999998</v>
      </c>
      <c r="DI32" s="205">
        <f>SUM(RD[[#This Row],[IS7Inv1M1]]+RD[[#This Row],[IS7Inv2M1]])</f>
        <v>16574.599999999999</v>
      </c>
      <c r="DJ32" s="204">
        <f>SUM(RD[[#This Row],[IS5Inv1M1]:[IS5Inv2M2]])</f>
        <v>41057.300000000003</v>
      </c>
      <c r="DK32" s="204">
        <f>SUM(RD[[#This Row],[IS8Inv1M1]:[IS9Inv2M2]])</f>
        <v>79715.399999999994</v>
      </c>
      <c r="DL32" s="60">
        <f>SUM(RD[[#This Row],[IS6Inv1M1]:[IS6Inv2M2]])</f>
        <v>41110.699999999997</v>
      </c>
      <c r="DM32" s="51">
        <f>SUM(RD[[#This Row],[IS10Inv1M1]:[IS11Inv1M4]],RD[[#This Row],[IS14Inv1M1]:[IS14Inv2M4]])</f>
        <v>118136.6</v>
      </c>
      <c r="DN32" s="288">
        <f>SUM(RD[[#This Row],[IS12Inv1M1]:[IS12Inv1M4]])</f>
        <v>27547</v>
      </c>
      <c r="DO32" s="288">
        <f>SUM(RD[[#This Row],[IS13Inv1M1]:[IS13Inv2M2]])</f>
        <v>6357</v>
      </c>
      <c r="DP32" s="204">
        <f>SUM(RD[[#This Row],[O2R15]:[O2R26]])</f>
        <v>614346.69999999995</v>
      </c>
      <c r="DQ32" s="164">
        <v>37665.5</v>
      </c>
      <c r="DR32" s="168">
        <v>203.8</v>
      </c>
      <c r="DS32" s="164">
        <v>32392.9</v>
      </c>
      <c r="DT32" s="164">
        <v>216</v>
      </c>
      <c r="DU32" s="168">
        <v>37345.300000000003</v>
      </c>
      <c r="DV32" s="168">
        <v>388.9</v>
      </c>
      <c r="DW32" s="164">
        <v>5451.5</v>
      </c>
      <c r="DX32" s="168">
        <v>24.2</v>
      </c>
      <c r="DY32" s="168"/>
      <c r="DZ32" s="168"/>
      <c r="EA32" s="140">
        <v>89.21</v>
      </c>
      <c r="EB32" s="243">
        <v>115393232</v>
      </c>
      <c r="EC32" s="242">
        <v>886279.61600000004</v>
      </c>
      <c r="ED32" s="243">
        <v>1060</v>
      </c>
      <c r="EE32" s="243">
        <v>109734</v>
      </c>
      <c r="EF32" s="164">
        <v>160062.20000000001</v>
      </c>
      <c r="EG32" s="164">
        <v>1747.3</v>
      </c>
      <c r="EH32" s="146">
        <f>IF((RD[[#This Row],[33 kV_F3_Ex
Incomer1]]-DQ31)*1000&lt;0,0,(RD[[#This Row],[33 kV_F3_Ex
Incomer1]]-DQ31)*1000)</f>
        <v>96000</v>
      </c>
      <c r="EI32" s="146">
        <f>IF((RD[[#This Row],[34 kV_F3_Im
Incomer1]]-DR31)*1000&lt;0,0,(RD[[#This Row],[34 kV_F3_Im
Incomer1]]-DR31)*1000)</f>
        <v>400.00000000000568</v>
      </c>
      <c r="EJ32" s="146">
        <f>IF((RD[[#This Row],[33 kV_F4_Ex
Incomer2]]-DS31)*1000&lt;0,0,(RD[[#This Row],[33 kV_F4_Ex
Incomer2]]-DS31)*1000)</f>
        <v>90000</v>
      </c>
      <c r="EK32" s="146">
        <f>IF((RD[[#This Row],[34 kV_F4_Im
Incomer2]]-DT31)*1000&lt;0,0,(RD[[#This Row],[34 kV_F4_Im
Incomer2]]-DT31)*1000)</f>
        <v>199.99999999998863</v>
      </c>
      <c r="EL32" s="146">
        <f>IF((RD[[#This Row],[33 kV_F5_Ex
Incomer3]]-DU31)*1000&lt;0,0,(RD[[#This Row],[33 kV_F5_Ex
Incomer3]]-DU31)*1000)</f>
        <v>118000</v>
      </c>
      <c r="EM32" s="146">
        <f>IF((RD[[#This Row],[34 kV_F5_Im
Incomer3]]-DV31)*1000&lt;0,0,(RD[[#This Row],[34 kV_F5_Im
Incomer3]]-DV31)*1000)</f>
        <v>500</v>
      </c>
      <c r="EN32" s="146">
        <f>IF((RD[[#This Row],[33 kV_F6_Ex
Incomer4]]-DW31)*1000&lt;0,0,(RD[[#This Row],[33 kV_F6_Ex
Incomer4]]-DW31)*1000)</f>
        <v>99800.000000000175</v>
      </c>
      <c r="EO32" s="146">
        <f>IF((RD[[#This Row],[33 kV_F6_Im
Incomer4]]-DX31)*1000&lt;0,0,(RD[[#This Row],[33 kV_F6_Im
Incomer4]]-DX31)*1000)</f>
        <v>399.99999999999858</v>
      </c>
      <c r="EP32" s="146">
        <f>IF((RD[[#This Row],[33 kV_F7_Ex
Incomer5]]-DY31)*1000&lt;0,0,(RD[[#This Row],[33 kV_F7_Ex
Incomer5]]-DY31)*1000)</f>
        <v>0</v>
      </c>
      <c r="EQ32" s="146">
        <f>IF((RD[[#This Row],[33 kV_F7_Im
Incomer5]]-DZ31)*1000&lt;0,0,(RD[[#This Row],[33 kV_F7_Im
Incomer5]]-DZ31)*1000)</f>
        <v>0</v>
      </c>
      <c r="ER32" s="146">
        <f>IF((RD[[#This Row],[33 kV_Aux Trafo]]-EA31)*1000&lt;0,0,(RD[[#This Row],[33 kV_Aux Trafo]]-EA31)*1000)</f>
        <v>209.99999999999375</v>
      </c>
      <c r="ES32" s="158">
        <f>IF((RD[[#This Row],[33kV_OG1_Ex_]]-EB31)*1&lt;0,0,(RD[[#This Row],[33kV_OG1_Ex_]]-EB31)*1)</f>
        <v>603504</v>
      </c>
      <c r="ET32" s="146">
        <f>IF((RD[[#This Row],[33kV_OG1_Im]]-EC31)*1&lt;0,0,(RD[[#This Row],[33kV_OG1_Im]]-EC31)*1)</f>
        <v>2241.8560000000289</v>
      </c>
      <c r="EU32" s="146">
        <f>IF((RD[[#This Row],[132kV_TX1_EX]]-ED31)*720&lt;=0,"",(RD[[#This Row],[132kV_TX1_EX]]-ED31)*720)</f>
        <v>2160</v>
      </c>
      <c r="EV32" s="146">
        <f>IF((RD[[#This Row],[132 kV_Tx1_Im]]-EE31)*720&lt;=0,0,(RD[[#This Row],[132 kV_Tx1_Im]]-EE31)*720)</f>
        <v>432720</v>
      </c>
      <c r="EW32" s="146">
        <f>IF((RD[[#This Row],[132kV_L1_Ex]]-EF31)*720&lt;=0,0,(RD[[#This Row],[132kV_L1_Ex]]-EF31)*720)</f>
        <v>601344.00000000838</v>
      </c>
      <c r="EX32" s="146">
        <f>IF((RD[[#This Row],[132kV_L1_Im]]-EG31)*720&lt;=0,0,(RD[[#This Row],[132kV_L1_Im]]-EG31)*720)</f>
        <v>2807.9999999999018</v>
      </c>
      <c r="EY32" s="244">
        <f>IFERROR(RD[[#This Row],[33kV_OG1_Ex (MWh)]]+RD[[#This Row],[33kV_OG1_Im (MWh)]],"")</f>
        <v>605745.85600000003</v>
      </c>
      <c r="EZ32" s="148">
        <f>RD[[#This Row],[33kV_OG1_Ex (MWh)]]-RD[[#This Row],[33kV_OG1_Im (MWh)]]</f>
        <v>601262.14399999997</v>
      </c>
      <c r="FA32" s="148">
        <f>IFERROR(RD[[#This Row],[132kV_L1_Ex(MWh)]]-RD[[#This Row],[132kV_L1_Im(MWh)]],"")</f>
        <v>598536.0000000085</v>
      </c>
      <c r="FB32" s="55">
        <f>IFERROR(RD[[#This Row],[33kV_Ex(MWh)]]/RD[[#This Row],[Inv Total Gneration (MWh)]]-1,"")</f>
        <v>-1.3999984048095215E-2</v>
      </c>
      <c r="FC32" s="245">
        <f>IFERROR((RD[[#This Row],[Sunset Time (POA&lt;20 W/m2)]]-RD[[#This Row],[Sunrise Time (POA&gt;20 W/m2)]])*24,0)</f>
        <v>12.083333333333336</v>
      </c>
      <c r="FD32" s="246">
        <v>105</v>
      </c>
      <c r="FE32" t="s">
        <v>277</v>
      </c>
      <c r="FF32"/>
      <c r="FG32" s="144" t="str">
        <f>IFERROR(RD[[#This Row],[E_AC (WPR)]]/RD[[#This Row],[E_DC (WPR)]],"")</f>
        <v/>
      </c>
    </row>
    <row r="33" spans="1:163">
      <c r="A33" s="133">
        <f t="shared" si="157"/>
        <v>45773</v>
      </c>
      <c r="B33" s="61">
        <f>YEAR(RD[[#This Row],[Date]])+IF(MONTH(RD[[#This Row],[Date]])&gt;=4,1,0)</f>
        <v>2026</v>
      </c>
      <c r="C33" s="61">
        <f>YEAR(RD[[#This Row],[Date]])</f>
        <v>2025</v>
      </c>
      <c r="D33" s="58">
        <f t="shared" si="156"/>
        <v>45748</v>
      </c>
      <c r="E33" s="61">
        <f>DAY(EOMONTH(RD[[#This Row],[Date]],0))</f>
        <v>30</v>
      </c>
      <c r="F33" s="152">
        <v>0.26111111111111113</v>
      </c>
      <c r="G33" s="162">
        <v>0.77013888888888893</v>
      </c>
      <c r="H33" s="124">
        <v>6436.5</v>
      </c>
      <c r="I33" s="124">
        <v>6445.1</v>
      </c>
      <c r="J33" s="124">
        <v>6030.3</v>
      </c>
      <c r="K33" s="124">
        <v>6084.3</v>
      </c>
      <c r="L33" s="124">
        <v>6257.3</v>
      </c>
      <c r="M33" s="124">
        <v>6412.3</v>
      </c>
      <c r="N33" s="124">
        <v>6209.6</v>
      </c>
      <c r="O33" s="124">
        <v>6774.2</v>
      </c>
      <c r="P33" s="124">
        <v>6286.7</v>
      </c>
      <c r="Q33" s="124">
        <v>6233.4</v>
      </c>
      <c r="R33" s="124">
        <v>6510</v>
      </c>
      <c r="S33" s="124">
        <v>6496.9</v>
      </c>
      <c r="T33" s="124">
        <v>6660.2</v>
      </c>
      <c r="U33" s="124">
        <v>6506.6</v>
      </c>
      <c r="V33" s="124">
        <v>6591.8</v>
      </c>
      <c r="W33" s="124">
        <v>6375.4</v>
      </c>
      <c r="X33" s="203">
        <v>9136.6</v>
      </c>
      <c r="Y33" s="203">
        <v>9993.2999999999993</v>
      </c>
      <c r="Z33" s="203">
        <v>8662.2999999999993</v>
      </c>
      <c r="AA33" s="203">
        <v>8989</v>
      </c>
      <c r="AB33" s="203">
        <v>9946.2999999999993</v>
      </c>
      <c r="AC33" s="203">
        <v>6109.7</v>
      </c>
      <c r="AD33" s="203">
        <v>9183.6</v>
      </c>
      <c r="AE33" s="203">
        <v>9143.7999999999993</v>
      </c>
      <c r="AF33" s="203">
        <v>9029.1</v>
      </c>
      <c r="AG33" s="203">
        <v>9099</v>
      </c>
      <c r="AH33" s="203">
        <v>9036.5</v>
      </c>
      <c r="AI33" s="203">
        <v>9146.1</v>
      </c>
      <c r="AJ33" s="142">
        <v>7474.9</v>
      </c>
      <c r="AK33" s="142">
        <v>7577.3</v>
      </c>
      <c r="AL33" s="142">
        <v>7275.8</v>
      </c>
      <c r="AM33" s="142">
        <v>7309.9</v>
      </c>
      <c r="AN33" s="142">
        <v>7375.6</v>
      </c>
      <c r="AO33" s="142">
        <v>7565.1</v>
      </c>
      <c r="AP33" s="142">
        <v>7484.9</v>
      </c>
      <c r="AQ33" s="142">
        <v>7348.6</v>
      </c>
      <c r="AR33" s="142">
        <v>5878</v>
      </c>
      <c r="AS33" s="142">
        <v>5946</v>
      </c>
      <c r="AT33" s="142">
        <v>5997.5</v>
      </c>
      <c r="AU33" s="142">
        <v>5962</v>
      </c>
      <c r="AV33" s="142">
        <v>6123</v>
      </c>
      <c r="AW33" s="142">
        <v>6015.4</v>
      </c>
      <c r="AX33" s="142">
        <v>8492</v>
      </c>
      <c r="AY33" s="142">
        <v>9452</v>
      </c>
      <c r="AZ33" s="142">
        <v>6861</v>
      </c>
      <c r="BA33" s="142">
        <v>8171</v>
      </c>
      <c r="BB33" s="142">
        <v>8594</v>
      </c>
      <c r="BC33" s="142">
        <v>7012</v>
      </c>
      <c r="BD33" s="142">
        <v>6011</v>
      </c>
      <c r="BE33" s="142">
        <v>8118</v>
      </c>
      <c r="BF33" s="142">
        <v>8849</v>
      </c>
      <c r="BG33" s="142">
        <v>8832</v>
      </c>
      <c r="BH33" s="142">
        <v>5308</v>
      </c>
      <c r="BI33" s="142">
        <v>3270</v>
      </c>
      <c r="BJ33" s="142">
        <v>5839</v>
      </c>
      <c r="BK33" s="142">
        <v>4319</v>
      </c>
      <c r="BL33" s="142">
        <v>5884</v>
      </c>
      <c r="BM33" s="142">
        <v>5150</v>
      </c>
      <c r="BN33" s="142">
        <v>5377</v>
      </c>
      <c r="BO33" s="142">
        <v>5692</v>
      </c>
      <c r="BP33" s="142">
        <v>5475</v>
      </c>
      <c r="BQ33" s="142">
        <v>3415</v>
      </c>
      <c r="BR33" s="142">
        <v>3119</v>
      </c>
      <c r="BS33" s="142">
        <v>0</v>
      </c>
      <c r="BT33" s="142">
        <v>1953</v>
      </c>
      <c r="BU33" s="142">
        <v>769</v>
      </c>
      <c r="BV33" s="142"/>
      <c r="BW33" s="142"/>
      <c r="BX33" s="142"/>
      <c r="BY33" s="142"/>
      <c r="BZ33" s="142">
        <v>929</v>
      </c>
      <c r="CA33" s="142">
        <v>790</v>
      </c>
      <c r="CB33" s="142">
        <v>3402</v>
      </c>
      <c r="CC33" s="142">
        <v>6231</v>
      </c>
      <c r="CD33" s="59">
        <v>4.9439592833333368</v>
      </c>
      <c r="CE33" s="59"/>
      <c r="CF33" s="206">
        <v>4.940709433333331</v>
      </c>
      <c r="CG33" s="206"/>
      <c r="CH33" s="206">
        <v>0.74732183333333502</v>
      </c>
      <c r="CI33" s="206"/>
      <c r="CJ33" s="59">
        <v>0.98833121666666535</v>
      </c>
      <c r="CK33" s="59"/>
      <c r="CL33" s="206">
        <v>33.198866559485467</v>
      </c>
      <c r="CM33" s="206"/>
      <c r="CN33" s="206">
        <v>43.480128617363356</v>
      </c>
      <c r="CO33" s="206"/>
      <c r="CP33" s="206">
        <v>26.850530546623823</v>
      </c>
      <c r="CQ33" s="206"/>
      <c r="CR33" s="59">
        <v>0</v>
      </c>
      <c r="CS33" s="59"/>
      <c r="CT33" s="206">
        <v>1.1836085209003226</v>
      </c>
      <c r="CU33" s="206"/>
      <c r="CV33" s="206">
        <v>3.0449999999999999</v>
      </c>
      <c r="CW33" s="260"/>
      <c r="CX33" s="204">
        <f>IFERROR(AVERAGEIF(RD[[#This Row],[IS1POA1 (KWh/m2)]:[IS7POA2 (KWh/m2)]],"&lt;&gt;0",RD[[#This Row],[IS1POA1 (KWh/m2)]:[IS7POA2 (KWh/m2)]]),"")</f>
        <v>4.9439592833333368</v>
      </c>
      <c r="CY33" s="204">
        <f>IFERROR(AVERAGEIF(RD[[#This Row],[IS1GHI1 (KWh/m2)]:[IS7GHI2 (KWh/m2)]],"&lt;&gt;0",RD[[#This Row],[IS1GHI1 (KWh/m2)]:[IS7GHI2 (KWh/m2)]]),"")</f>
        <v>4.940709433333331</v>
      </c>
      <c r="CZ33" s="204">
        <f>IFERROR(AVERAGEIF(RD[[#This Row],[IS1POA_BS1 (KWh/m2)]:[IS7POA_BS2 (KWh/m2)]],"&lt;&gt;0",RD[[#This Row],[IS1POA_BS1 (KWh/m2)]:[IS7POA_BS2 (KWh/m2)]]),"")</f>
        <v>0.74732183333333502</v>
      </c>
      <c r="DA33" s="204">
        <f>IFERROR(AVERAGEIF(RD[[#This Row],[IS1GHI_BS1 (KWh/m2)]:[IS1GHI_BS1 (KWh/m2)2]],"&lt;&gt;0",RD[[#This Row],[IS1GHI_BS1 (KWh/m2)]:[IS1GHI_BS1 (KWh/m2)2]]),"")</f>
        <v>0.98833121666666535</v>
      </c>
      <c r="DB33" s="204">
        <f>IFERROR(AVERAGEIF(RD[[#This Row],[IS1AT1 (°C)]:[IS7AT2 (°C)]],"&lt;&gt;0",RD[[#This Row],[IS1AT1 (°C)]:[IS7AT2 (°C)]]),"")</f>
        <v>33.198866559485467</v>
      </c>
      <c r="DC33" s="204">
        <f>IFERROR(AVERAGEIF(RD[[#This Row],[IS1MT1 (°C)]:[IS7MT2 (°C)]],"&lt;&gt;0",RD[[#This Row],[IS1MT1 (°C)]:[IS7MT2 (°C)]]),"")</f>
        <v>43.480128617363356</v>
      </c>
      <c r="DD33" s="204">
        <f>IFERROR(AVERAGEIF(RD[[#This Row],[IS1RH1 (%)]:[IS7RH2 (%)]],"&lt;&gt;0",RD[[#This Row],[IS1RH1 (%)]:[IS7RH2 (%)]]),"")</f>
        <v>26.850530546623823</v>
      </c>
      <c r="DE33" s="51" t="str">
        <f>IFERROR(AVERAGEIF(RD[[#This Row],[IS1Rain1 (mm)]:[IS7Rain2 (mm)]],"&lt;&gt;0",RD[[#This Row],[IS1Rain1 (mm)]:[IS7Rain2 (mm)]]),"")</f>
        <v/>
      </c>
      <c r="DF33" s="204">
        <f>IFERROR(AVERAGEIF(RD[[#This Row],[WS_Solar1_Avg (m/s)]:[IS7_WS_Solar1_Avg (m/s)]],"&lt;&gt;0",RD[[#This Row],[WS_Solar1_Avg (m/s)]:[IS7_WS_Solar1_Avg (m/s)]]),"")</f>
        <v>1.1836085209003226</v>
      </c>
      <c r="DG33" s="204">
        <f>IFERROR(AVERAGEIF(RD[[#This Row],[WS_Solar1_Max (m/s)]:[IS7_WS_Solar1_Max (m/s)]],"&lt;&gt;0",RD[[#This Row],[WS_Solar1_Max (m/s)]:[IS7_WS_Solar1_Max (m/s)]]),"")</f>
        <v>3.0449999999999999</v>
      </c>
      <c r="DH33" s="204">
        <f>SUM(RD[[#This Row],[IS1Inv1M1]:[IS4Inv4M2]])</f>
        <v>209785.9</v>
      </c>
      <c r="DI33" s="205">
        <f>SUM(RD[[#This Row],[IS7Inv1M1]]+RD[[#This Row],[IS7Inv2M1]])</f>
        <v>11824</v>
      </c>
      <c r="DJ33" s="204">
        <f>SUM(RD[[#This Row],[IS5Inv1M1]:[IS5Inv2M2]])</f>
        <v>29637.9</v>
      </c>
      <c r="DK33" s="204">
        <f>SUM(RD[[#This Row],[IS8Inv1M1]:[IS9Inv2M2]])</f>
        <v>57073.9</v>
      </c>
      <c r="DL33" s="60">
        <f>SUM(RD[[#This Row],[IS6Inv1M1]:[IS6Inv2M2]])</f>
        <v>29774.199999999997</v>
      </c>
      <c r="DM33" s="51">
        <f>SUM(RD[[#This Row],[IS10Inv1M1]:[IS11Inv1M4]],RD[[#This Row],[IS14Inv1M1]:[IS14Inv2M4]])</f>
        <v>88538</v>
      </c>
      <c r="DN33" s="288">
        <f>SUM(RD[[#This Row],[IS12Inv1M1]:[IS12Inv1M4]])</f>
        <v>19959</v>
      </c>
      <c r="DO33" s="288">
        <f>SUM(RD[[#This Row],[IS13Inv1M1]:[IS13Inv2M2]])</f>
        <v>5841</v>
      </c>
      <c r="DP33" s="204">
        <f>SUM(RD[[#This Row],[O2R15]:[O2R26]])</f>
        <v>452433.9</v>
      </c>
      <c r="DQ33" s="164">
        <v>37737</v>
      </c>
      <c r="DR33" s="168">
        <v>204</v>
      </c>
      <c r="DS33" s="164">
        <v>32460</v>
      </c>
      <c r="DT33" s="164">
        <v>216.3</v>
      </c>
      <c r="DU33" s="168">
        <v>37430.400000000001</v>
      </c>
      <c r="DV33" s="168">
        <v>389.3</v>
      </c>
      <c r="DW33" s="164">
        <v>5526.7</v>
      </c>
      <c r="DX33" s="168">
        <v>24.7</v>
      </c>
      <c r="DY33" s="168"/>
      <c r="DZ33" s="168"/>
      <c r="EA33" s="140">
        <v>89.42</v>
      </c>
      <c r="EB33" s="243">
        <v>115839008</v>
      </c>
      <c r="EC33" s="242">
        <v>888411.26399999997</v>
      </c>
      <c r="ED33" s="243">
        <v>1063</v>
      </c>
      <c r="EE33" s="243">
        <v>110178</v>
      </c>
      <c r="EF33" s="164">
        <v>160679.4</v>
      </c>
      <c r="EG33" s="164">
        <v>1751</v>
      </c>
      <c r="EH33" s="146">
        <f>IF((RD[[#This Row],[33 kV_F3_Ex
Incomer1]]-DQ32)*1000&lt;0,0,(RD[[#This Row],[33 kV_F3_Ex
Incomer1]]-DQ32)*1000)</f>
        <v>71500</v>
      </c>
      <c r="EI33" s="146">
        <f>IF((RD[[#This Row],[34 kV_F3_Im
Incomer1]]-DR32)*1000&lt;0,0,(RD[[#This Row],[34 kV_F3_Im
Incomer1]]-DR32)*1000)</f>
        <v>199.99999999998863</v>
      </c>
      <c r="EJ33" s="146">
        <f>IF((RD[[#This Row],[33 kV_F4_Ex
Incomer2]]-DS32)*1000&lt;0,0,(RD[[#This Row],[33 kV_F4_Ex
Incomer2]]-DS32)*1000)</f>
        <v>67099.999999998545</v>
      </c>
      <c r="EK33" s="146">
        <f>IF((RD[[#This Row],[34 kV_F4_Im
Incomer2]]-DT32)*1000&lt;0,0,(RD[[#This Row],[34 kV_F4_Im
Incomer2]]-DT32)*1000)</f>
        <v>300.00000000001137</v>
      </c>
      <c r="EL33" s="146">
        <f>IF((RD[[#This Row],[33 kV_F5_Ex
Incomer3]]-DU32)*1000&lt;0,0,(RD[[#This Row],[33 kV_F5_Ex
Incomer3]]-DU32)*1000)</f>
        <v>85099.999999998545</v>
      </c>
      <c r="EM33" s="146">
        <f>IF((RD[[#This Row],[34 kV_F5_Im
Incomer3]]-DV32)*1000&lt;0,0,(RD[[#This Row],[34 kV_F5_Im
Incomer3]]-DV32)*1000)</f>
        <v>400.00000000003411</v>
      </c>
      <c r="EN33" s="146">
        <f>IF((RD[[#This Row],[33 kV_F6_Ex
Incomer4]]-DW32)*1000&lt;0,0,(RD[[#This Row],[33 kV_F6_Ex
Incomer4]]-DW32)*1000)</f>
        <v>75199.999999999825</v>
      </c>
      <c r="EO33" s="146">
        <f>IF((RD[[#This Row],[33 kV_F6_Im
Incomer4]]-DX32)*1000&lt;0,0,(RD[[#This Row],[33 kV_F6_Im
Incomer4]]-DX32)*1000)</f>
        <v>500</v>
      </c>
      <c r="EP33" s="146">
        <f>IF((RD[[#This Row],[33 kV_F7_Ex
Incomer5]]-DY32)*1000&lt;0,0,(RD[[#This Row],[33 kV_F7_Ex
Incomer5]]-DY32)*1000)</f>
        <v>0</v>
      </c>
      <c r="EQ33" s="146">
        <f>IF((RD[[#This Row],[33 kV_F7_Im
Incomer5]]-DZ32)*1000&lt;0,0,(RD[[#This Row],[33 kV_F7_Im
Incomer5]]-DZ32)*1000)</f>
        <v>0</v>
      </c>
      <c r="ER33" s="146">
        <f>IF((RD[[#This Row],[33 kV_Aux Trafo]]-EA32)*1000&lt;0,0,(RD[[#This Row],[33 kV_Aux Trafo]]-EA32)*1000)</f>
        <v>210.00000000000796</v>
      </c>
      <c r="ES33" s="158">
        <f>IF((RD[[#This Row],[33kV_OG1_Ex_]]-EB32)*1&lt;0,0,(RD[[#This Row],[33kV_OG1_Ex_]]-EB32)*1)</f>
        <v>445776</v>
      </c>
      <c r="ET33" s="146">
        <f>IF((RD[[#This Row],[33kV_OG1_Im]]-EC32)*1&lt;0,0,(RD[[#This Row],[33kV_OG1_Im]]-EC32)*1)</f>
        <v>2131.6479999999283</v>
      </c>
      <c r="EU33" s="146">
        <f>IF((RD[[#This Row],[132kV_TX1_EX]]-ED32)*720&lt;=0,"",(RD[[#This Row],[132kV_TX1_EX]]-ED32)*720)</f>
        <v>2160</v>
      </c>
      <c r="EV33" s="146">
        <f>IF((RD[[#This Row],[132 kV_Tx1_Im]]-EE32)*720&lt;=0,0,(RD[[#This Row],[132 kV_Tx1_Im]]-EE32)*720)</f>
        <v>319680</v>
      </c>
      <c r="EW33" s="146">
        <f>IF((RD[[#This Row],[132kV_L1_Ex]]-EF32)*720&lt;=0,0,(RD[[#This Row],[132kV_L1_Ex]]-EF32)*720)</f>
        <v>444383.99999998743</v>
      </c>
      <c r="EX33" s="146">
        <f>IF((RD[[#This Row],[132kV_L1_Im]]-EG32)*720&lt;=0,0,(RD[[#This Row],[132kV_L1_Im]]-EG32)*720)</f>
        <v>2664.0000000000327</v>
      </c>
      <c r="EY33" s="244">
        <f>IFERROR(RD[[#This Row],[33kV_OG1_Ex (MWh)]]+RD[[#This Row],[33kV_OG1_Im (MWh)]],"")</f>
        <v>447907.64799999993</v>
      </c>
      <c r="EZ33" s="148">
        <f>RD[[#This Row],[33kV_OG1_Ex (MWh)]]-RD[[#This Row],[33kV_OG1_Im (MWh)]]</f>
        <v>443644.35200000007</v>
      </c>
      <c r="FA33" s="148">
        <f>IFERROR(RD[[#This Row],[132kV_L1_Ex(MWh)]]-RD[[#This Row],[132kV_L1_Im(MWh)]],"")</f>
        <v>441719.99999998737</v>
      </c>
      <c r="FB33" s="55">
        <f>IFERROR(RD[[#This Row],[33kV_Ex(MWh)]]/RD[[#This Row],[Inv Total Gneration (MWh)]]-1,"")</f>
        <v>-1.0004228241960011E-2</v>
      </c>
      <c r="FC33" s="245">
        <f>IFERROR((RD[[#This Row],[Sunset Time (POA&lt;20 W/m2)]]-RD[[#This Row],[Sunrise Time (POA&gt;20 W/m2)]])*24,0)</f>
        <v>12.216666666666669</v>
      </c>
      <c r="FD33" s="246">
        <v>105</v>
      </c>
      <c r="FE33" t="s">
        <v>266</v>
      </c>
      <c r="FG33" s="144" t="str">
        <f>IFERROR(RD[[#This Row],[E_AC (WPR)]]/RD[[#This Row],[E_DC (WPR)]],"")</f>
        <v/>
      </c>
    </row>
    <row r="34" spans="1:163">
      <c r="A34" s="133">
        <f t="shared" si="157"/>
        <v>45774</v>
      </c>
      <c r="B34" s="138">
        <f>YEAR(RD[[#This Row],[Date]])+IF(MONTH(RD[[#This Row],[Date]])&gt;=4,1,0)</f>
        <v>2026</v>
      </c>
      <c r="C34" s="138">
        <f>YEAR(RD[[#This Row],[Date]])</f>
        <v>2025</v>
      </c>
      <c r="D34" s="139">
        <f t="shared" ref="D34:D48" si="158">A34-DAY(A34)+1</f>
        <v>45748</v>
      </c>
      <c r="E34" s="138">
        <f>DAY(EOMONTH(RD[[#This Row],[Date]],0))</f>
        <v>30</v>
      </c>
      <c r="F34" s="152">
        <v>0.26041666666666669</v>
      </c>
      <c r="G34" s="162">
        <v>0.7680555555555556</v>
      </c>
      <c r="H34" s="124">
        <v>9324.2000000000007</v>
      </c>
      <c r="I34" s="124">
        <v>9314.7000000000007</v>
      </c>
      <c r="J34" s="124">
        <v>8849.7000000000007</v>
      </c>
      <c r="K34" s="124">
        <v>8962</v>
      </c>
      <c r="L34" s="124">
        <v>9144.1</v>
      </c>
      <c r="M34" s="124">
        <v>9289.1</v>
      </c>
      <c r="N34" s="124">
        <v>9085.7000000000007</v>
      </c>
      <c r="O34" s="124">
        <v>9691.4</v>
      </c>
      <c r="P34" s="124">
        <v>9068.5</v>
      </c>
      <c r="Q34" s="124">
        <v>9032.6</v>
      </c>
      <c r="R34" s="124">
        <v>9300</v>
      </c>
      <c r="S34" s="124">
        <v>9249.2000000000007</v>
      </c>
      <c r="T34" s="124">
        <v>9517.7999999999993</v>
      </c>
      <c r="U34" s="124">
        <v>9306.7999999999993</v>
      </c>
      <c r="V34" s="124">
        <v>9408.6</v>
      </c>
      <c r="W34" s="124">
        <v>9232.2999999999993</v>
      </c>
      <c r="X34" s="203">
        <v>13058.3</v>
      </c>
      <c r="Y34" s="203">
        <v>13986</v>
      </c>
      <c r="Z34" s="203">
        <v>12585.8</v>
      </c>
      <c r="AA34" s="203">
        <v>13037.2</v>
      </c>
      <c r="AB34" s="203">
        <v>13881.7</v>
      </c>
      <c r="AC34" s="203">
        <v>8692</v>
      </c>
      <c r="AD34" s="203">
        <v>13099</v>
      </c>
      <c r="AE34" s="203">
        <v>13113.1</v>
      </c>
      <c r="AF34" s="203">
        <v>13034</v>
      </c>
      <c r="AG34" s="203">
        <v>13003</v>
      </c>
      <c r="AH34" s="203">
        <v>13036.4</v>
      </c>
      <c r="AI34" s="203">
        <v>13132.1</v>
      </c>
      <c r="AJ34" s="142">
        <v>10754.7</v>
      </c>
      <c r="AK34" s="142">
        <v>11041.9</v>
      </c>
      <c r="AL34" s="142">
        <v>10776.1</v>
      </c>
      <c r="AM34" s="142">
        <v>10831.1</v>
      </c>
      <c r="AN34" s="142">
        <v>10850</v>
      </c>
      <c r="AO34" s="142">
        <v>11255.4</v>
      </c>
      <c r="AP34" s="142">
        <v>11071.8</v>
      </c>
      <c r="AQ34" s="142">
        <v>10951</v>
      </c>
      <c r="AR34" s="142">
        <v>8947.7999999999993</v>
      </c>
      <c r="AS34" s="142">
        <v>9000.6</v>
      </c>
      <c r="AT34" s="142">
        <v>8997.6</v>
      </c>
      <c r="AU34" s="142">
        <v>8936.1</v>
      </c>
      <c r="AV34" s="142">
        <v>9133</v>
      </c>
      <c r="AW34" s="142">
        <v>9018.9</v>
      </c>
      <c r="AX34" s="142">
        <v>12419</v>
      </c>
      <c r="AY34" s="142">
        <v>13737</v>
      </c>
      <c r="AZ34" s="142">
        <v>10126</v>
      </c>
      <c r="BA34" s="142">
        <v>12095</v>
      </c>
      <c r="BB34" s="142">
        <v>12774</v>
      </c>
      <c r="BC34" s="142">
        <v>10499</v>
      </c>
      <c r="BD34" s="142">
        <v>8851</v>
      </c>
      <c r="BE34" s="142">
        <v>12002</v>
      </c>
      <c r="BF34" s="142">
        <v>12657</v>
      </c>
      <c r="BG34" s="142">
        <v>13257</v>
      </c>
      <c r="BH34" s="142">
        <v>7942</v>
      </c>
      <c r="BI34" s="142">
        <v>4837</v>
      </c>
      <c r="BJ34" s="142">
        <v>8539</v>
      </c>
      <c r="BK34" s="142">
        <v>6307</v>
      </c>
      <c r="BL34" s="142">
        <v>8021</v>
      </c>
      <c r="BM34" s="142">
        <v>7731</v>
      </c>
      <c r="BN34" s="142">
        <v>8045</v>
      </c>
      <c r="BO34" s="142">
        <v>8462</v>
      </c>
      <c r="BP34" s="142">
        <v>8232</v>
      </c>
      <c r="BQ34" s="142">
        <v>5485</v>
      </c>
      <c r="BR34" s="142">
        <v>4662</v>
      </c>
      <c r="BS34" s="142">
        <v>0</v>
      </c>
      <c r="BT34" s="142">
        <v>2809</v>
      </c>
      <c r="BU34" s="142">
        <v>1118</v>
      </c>
      <c r="BV34" s="142"/>
      <c r="BW34" s="142"/>
      <c r="BX34" s="142"/>
      <c r="BY34" s="142"/>
      <c r="BZ34" s="142">
        <v>1398</v>
      </c>
      <c r="CA34" s="142">
        <v>1196</v>
      </c>
      <c r="CB34" s="142">
        <v>4969</v>
      </c>
      <c r="CC34" s="142">
        <v>9008</v>
      </c>
      <c r="CD34" s="59">
        <v>7.5635796833333417</v>
      </c>
      <c r="CE34" s="59"/>
      <c r="CF34" s="206">
        <v>7.6219880333333352</v>
      </c>
      <c r="CG34" s="206"/>
      <c r="CH34" s="206">
        <v>1.0114160166666659</v>
      </c>
      <c r="CI34" s="206"/>
      <c r="CJ34" s="59">
        <v>1.4941409499999989</v>
      </c>
      <c r="CK34" s="59"/>
      <c r="CL34" s="206">
        <v>33.387426686217069</v>
      </c>
      <c r="CM34" s="206"/>
      <c r="CN34" s="206">
        <v>46.429399560117247</v>
      </c>
      <c r="CO34" s="206"/>
      <c r="CP34" s="206">
        <v>24.688885630498554</v>
      </c>
      <c r="CQ34" s="206"/>
      <c r="CR34" s="59">
        <v>0</v>
      </c>
      <c r="CS34" s="59"/>
      <c r="CT34" s="206">
        <v>0.83431231671554296</v>
      </c>
      <c r="CU34" s="206"/>
      <c r="CV34" s="206">
        <v>3.3090000000000002</v>
      </c>
      <c r="CW34" s="260"/>
      <c r="CX34" s="204">
        <f>IFERROR(AVERAGEIF(RD[[#This Row],[IS1POA1 (KWh/m2)]:[IS7POA2 (KWh/m2)]],"&lt;&gt;0",RD[[#This Row],[IS1POA1 (KWh/m2)]:[IS7POA2 (KWh/m2)]]),"")</f>
        <v>7.5635796833333417</v>
      </c>
      <c r="CY34" s="204">
        <f>IFERROR(AVERAGEIF(RD[[#This Row],[IS1GHI1 (KWh/m2)]:[IS7GHI2 (KWh/m2)]],"&lt;&gt;0",RD[[#This Row],[IS1GHI1 (KWh/m2)]:[IS7GHI2 (KWh/m2)]]),"")</f>
        <v>7.6219880333333352</v>
      </c>
      <c r="CZ34" s="204">
        <f>IFERROR(AVERAGEIF(RD[[#This Row],[IS1POA_BS1 (KWh/m2)]:[IS7POA_BS2 (KWh/m2)]],"&lt;&gt;0",RD[[#This Row],[IS1POA_BS1 (KWh/m2)]:[IS7POA_BS2 (KWh/m2)]]),"")</f>
        <v>1.0114160166666659</v>
      </c>
      <c r="DA34" s="204">
        <f>IFERROR(AVERAGEIF(RD[[#This Row],[IS1GHI_BS1 (KWh/m2)]:[IS1GHI_BS1 (KWh/m2)2]],"&lt;&gt;0",RD[[#This Row],[IS1GHI_BS1 (KWh/m2)]:[IS1GHI_BS1 (KWh/m2)2]]),"")</f>
        <v>1.4941409499999989</v>
      </c>
      <c r="DB34" s="204">
        <f>IFERROR(AVERAGEIF(RD[[#This Row],[IS1AT1 (°C)]:[IS7AT2 (°C)]],"&lt;&gt;0",RD[[#This Row],[IS1AT1 (°C)]:[IS7AT2 (°C)]]),"")</f>
        <v>33.387426686217069</v>
      </c>
      <c r="DC34" s="204">
        <f>IFERROR(AVERAGEIF(RD[[#This Row],[IS1MT1 (°C)]:[IS7MT2 (°C)]],"&lt;&gt;0",RD[[#This Row],[IS1MT1 (°C)]:[IS7MT2 (°C)]]),"")</f>
        <v>46.429399560117247</v>
      </c>
      <c r="DD34" s="204">
        <f>IFERROR(AVERAGEIF(RD[[#This Row],[IS1RH1 (%)]:[IS7RH2 (%)]],"&lt;&gt;0",RD[[#This Row],[IS1RH1 (%)]:[IS7RH2 (%)]]),"")</f>
        <v>24.688885630498554</v>
      </c>
      <c r="DE34" s="51" t="str">
        <f>IFERROR(AVERAGEIF(RD[[#This Row],[IS1Rain1 (mm)]:[IS7Rain2 (mm)]],"&lt;&gt;0",RD[[#This Row],[IS1Rain1 (mm)]:[IS7Rain2 (mm)]]),"")</f>
        <v/>
      </c>
      <c r="DF34" s="204">
        <f>IFERROR(AVERAGEIF(RD[[#This Row],[WS_Solar1_Avg (m/s)]:[IS7_WS_Solar1_Avg (m/s)]],"&lt;&gt;0",RD[[#This Row],[WS_Solar1_Avg (m/s)]:[IS7_WS_Solar1_Avg (m/s)]]),"")</f>
        <v>0.83431231671554296</v>
      </c>
      <c r="DG34" s="204">
        <f>IFERROR(AVERAGEIF(RD[[#This Row],[WS_Solar1_Max (m/s)]:[IS7_WS_Solar1_Max (m/s)]],"&lt;&gt;0",RD[[#This Row],[WS_Solar1_Max (m/s)]:[IS7_WS_Solar1_Max (m/s)]]),"")</f>
        <v>3.3090000000000002</v>
      </c>
      <c r="DH34" s="204">
        <f>SUM(RD[[#This Row],[IS1Inv1M1]:[IS4Inv4M2]])</f>
        <v>301435.3</v>
      </c>
      <c r="DI34" s="205">
        <f>SUM(RD[[#This Row],[IS7Inv1M1]]+RD[[#This Row],[IS7Inv2M1]])</f>
        <v>17948.400000000001</v>
      </c>
      <c r="DJ34" s="204">
        <f>SUM(RD[[#This Row],[IS5Inv1M1]:[IS5Inv2M2]])</f>
        <v>43403.799999999996</v>
      </c>
      <c r="DK34" s="204">
        <f>SUM(RD[[#This Row],[IS8Inv1M1]:[IS9Inv2M2]])</f>
        <v>84462.6</v>
      </c>
      <c r="DL34" s="60">
        <f>SUM(RD[[#This Row],[IS6Inv1M1]:[IS6Inv2M2]])</f>
        <v>44128.2</v>
      </c>
      <c r="DM34" s="51">
        <f>SUM(RD[[#This Row],[IS10Inv1M1]:[IS11Inv1M4]],RD[[#This Row],[IS14Inv1M1]:[IS14Inv2M4]])</f>
        <v>129988</v>
      </c>
      <c r="DN34" s="288">
        <f>SUM(RD[[#This Row],[IS12Inv1M1]:[IS12Inv1M4]])</f>
        <v>30224</v>
      </c>
      <c r="DO34" s="288">
        <f>SUM(RD[[#This Row],[IS13Inv1M1]:[IS13Inv2M2]])</f>
        <v>8589</v>
      </c>
      <c r="DP34" s="204">
        <f>SUM(RD[[#This Row],[O2R15]:[O2R26]])</f>
        <v>660179.30000000005</v>
      </c>
      <c r="DQ34" s="164">
        <v>37839.199999999997</v>
      </c>
      <c r="DR34" s="168">
        <v>204.2</v>
      </c>
      <c r="DS34" s="164">
        <v>32555.9</v>
      </c>
      <c r="DT34" s="164">
        <v>216.5</v>
      </c>
      <c r="DU34" s="168">
        <v>37555.699999999997</v>
      </c>
      <c r="DV34" s="168">
        <v>389.7</v>
      </c>
      <c r="DW34" s="164">
        <v>5637.4</v>
      </c>
      <c r="DX34" s="168">
        <v>25.4</v>
      </c>
      <c r="DY34" s="168"/>
      <c r="DZ34" s="168"/>
      <c r="EA34" s="140">
        <v>89.61</v>
      </c>
      <c r="EB34" s="243">
        <v>116487249</v>
      </c>
      <c r="EC34" s="242">
        <v>890774.33600000001</v>
      </c>
      <c r="ED34" s="243">
        <v>1066</v>
      </c>
      <c r="EE34" s="243">
        <v>110824</v>
      </c>
      <c r="EF34" s="164">
        <v>161576.70000000001</v>
      </c>
      <c r="EG34" s="164">
        <v>1755.2</v>
      </c>
      <c r="EH34" s="146">
        <f>IF((RD[[#This Row],[33 kV_F3_Ex
Incomer1]]-DQ33)*1000&lt;0,0,(RD[[#This Row],[33 kV_F3_Ex
Incomer1]]-DQ33)*1000)</f>
        <v>102199.99999999709</v>
      </c>
      <c r="EI34" s="146">
        <f>IF((RD[[#This Row],[34 kV_F3_Im
Incomer1]]-DR33)*1000&lt;0,0,(RD[[#This Row],[34 kV_F3_Im
Incomer1]]-DR33)*1000)</f>
        <v>199.99999999998863</v>
      </c>
      <c r="EJ34" s="146">
        <f>IF((RD[[#This Row],[33 kV_F4_Ex
Incomer2]]-DS33)*1000&lt;0,0,(RD[[#This Row],[33 kV_F4_Ex
Incomer2]]-DS33)*1000)</f>
        <v>95900.000000001455</v>
      </c>
      <c r="EK34" s="146">
        <f>IF((RD[[#This Row],[34 kV_F4_Im
Incomer2]]-DT33)*1000&lt;0,0,(RD[[#This Row],[34 kV_F4_Im
Incomer2]]-DT33)*1000)</f>
        <v>199.99999999998863</v>
      </c>
      <c r="EL34" s="146">
        <f>IF((RD[[#This Row],[33 kV_F5_Ex
Incomer3]]-DU33)*1000&lt;0,0,(RD[[#This Row],[33 kV_F5_Ex
Incomer3]]-DU33)*1000)</f>
        <v>125299.99999999563</v>
      </c>
      <c r="EM34" s="146">
        <f>IF((RD[[#This Row],[34 kV_F5_Im
Incomer3]]-DV33)*1000&lt;0,0,(RD[[#This Row],[34 kV_F5_Im
Incomer3]]-DV33)*1000)</f>
        <v>399.99999999997726</v>
      </c>
      <c r="EN34" s="146">
        <f>IF((RD[[#This Row],[33 kV_F6_Ex
Incomer4]]-DW33)*1000&lt;0,0,(RD[[#This Row],[33 kV_F6_Ex
Incomer4]]-DW33)*1000)</f>
        <v>110699.99999999983</v>
      </c>
      <c r="EO34" s="146">
        <f>IF((RD[[#This Row],[33 kV_F6_Im
Incomer4]]-DX33)*1000&lt;0,0,(RD[[#This Row],[33 kV_F6_Im
Incomer4]]-DX33)*1000)</f>
        <v>699.99999999999932</v>
      </c>
      <c r="EP34" s="146">
        <f>IF((RD[[#This Row],[33 kV_F7_Ex
Incomer5]]-DY33)*1000&lt;0,0,(RD[[#This Row],[33 kV_F7_Ex
Incomer5]]-DY33)*1000)</f>
        <v>0</v>
      </c>
      <c r="EQ34" s="146">
        <f>IF((RD[[#This Row],[33 kV_F7_Im
Incomer5]]-DZ33)*1000&lt;0,0,(RD[[#This Row],[33 kV_F7_Im
Incomer5]]-DZ33)*1000)</f>
        <v>0</v>
      </c>
      <c r="ER34" s="146">
        <f>IF((RD[[#This Row],[33 kV_Aux Trafo]]-EA33)*1000&lt;0,0,(RD[[#This Row],[33 kV_Aux Trafo]]-EA33)*1000)</f>
        <v>189.99999999999773</v>
      </c>
      <c r="ES34" s="158">
        <f>IF((RD[[#This Row],[33kV_OG1_Ex_]]-EB33)*1&lt;0,0,(RD[[#This Row],[33kV_OG1_Ex_]]-EB33)*1)</f>
        <v>648241</v>
      </c>
      <c r="ET34" s="146">
        <f>IF((RD[[#This Row],[33kV_OG1_Im]]-EC33)*1&lt;0,0,(RD[[#This Row],[33kV_OG1_Im]]-EC33)*1)</f>
        <v>2363.0720000000438</v>
      </c>
      <c r="EU34" s="146">
        <f>IF((RD[[#This Row],[132kV_TX1_EX]]-ED33)*720&lt;=0,"",(RD[[#This Row],[132kV_TX1_EX]]-ED33)*720)</f>
        <v>2160</v>
      </c>
      <c r="EV34" s="146">
        <f>IF((RD[[#This Row],[132 kV_Tx1_Im]]-EE33)*720&lt;=0,0,(RD[[#This Row],[132 kV_Tx1_Im]]-EE33)*720)</f>
        <v>465120</v>
      </c>
      <c r="EW34" s="146">
        <f>IF((RD[[#This Row],[132kV_L1_Ex]]-EF33)*720&lt;=0,0,(RD[[#This Row],[132kV_L1_Ex]]-EF33)*720)</f>
        <v>646056.00000001257</v>
      </c>
      <c r="EX34" s="146">
        <f>IF((RD[[#This Row],[132kV_L1_Im]]-EG33)*720&lt;=0,0,(RD[[#This Row],[132kV_L1_Im]]-EG33)*720)</f>
        <v>3024.0000000000327</v>
      </c>
      <c r="EY34" s="244">
        <f>IFERROR(RD[[#This Row],[33kV_OG1_Ex (MWh)]]+RD[[#This Row],[33kV_OG1_Im (MWh)]],"")</f>
        <v>650604.07200000004</v>
      </c>
      <c r="EZ34" s="148">
        <f>RD[[#This Row],[33kV_OG1_Ex (MWh)]]-RD[[#This Row],[33kV_OG1_Im (MWh)]]</f>
        <v>645877.92799999996</v>
      </c>
      <c r="FA34" s="148">
        <f>IFERROR(RD[[#This Row],[132kV_L1_Ex(MWh)]]-RD[[#This Row],[132kV_L1_Im(MWh)]],"")</f>
        <v>643032.00000001257</v>
      </c>
      <c r="FB34" s="55">
        <f>IFERROR(RD[[#This Row],[33kV_Ex(MWh)]]/RD[[#This Row],[Inv Total Gneration (MWh)]]-1,"")</f>
        <v>-1.4503980963959329E-2</v>
      </c>
      <c r="FC34" s="245">
        <f>IFERROR((RD[[#This Row],[Sunset Time (POA&lt;20 W/m2)]]-RD[[#This Row],[Sunrise Time (POA&gt;20 W/m2)]])*24,0)</f>
        <v>12.183333333333335</v>
      </c>
      <c r="FD34" s="246">
        <v>105</v>
      </c>
      <c r="FE34" t="s">
        <v>268</v>
      </c>
      <c r="FG34" s="144" t="str">
        <f>IFERROR(RD[[#This Row],[E_AC (WPR)]]/RD[[#This Row],[E_DC (WPR)]],"")</f>
        <v/>
      </c>
    </row>
    <row r="35" spans="1:163">
      <c r="A35" s="133">
        <f t="shared" si="157"/>
        <v>45775</v>
      </c>
      <c r="B35" s="138">
        <f>YEAR(RD[[#This Row],[Date]])+IF(MONTH(RD[[#This Row],[Date]])&gt;=4,1,0)</f>
        <v>2026</v>
      </c>
      <c r="C35" s="138">
        <f>YEAR(RD[[#This Row],[Date]])</f>
        <v>2025</v>
      </c>
      <c r="D35" s="139">
        <f t="shared" si="158"/>
        <v>45748</v>
      </c>
      <c r="E35" s="138">
        <f>DAY(EOMONTH(RD[[#This Row],[Date]],0))</f>
        <v>30</v>
      </c>
      <c r="F35" s="152">
        <v>0.26180555555555557</v>
      </c>
      <c r="G35" s="162">
        <v>0.76875000000000004</v>
      </c>
      <c r="H35" s="124">
        <v>9045.6</v>
      </c>
      <c r="I35" s="124">
        <v>9016.6</v>
      </c>
      <c r="J35" s="124">
        <v>8559.4</v>
      </c>
      <c r="K35" s="124">
        <v>8643.2000000000007</v>
      </c>
      <c r="L35" s="124">
        <v>8841.5</v>
      </c>
      <c r="M35" s="124">
        <v>9043.2000000000007</v>
      </c>
      <c r="N35" s="124">
        <v>8808</v>
      </c>
      <c r="O35" s="124">
        <v>9430.4</v>
      </c>
      <c r="P35" s="124">
        <v>8821.4</v>
      </c>
      <c r="Q35" s="124">
        <v>8753.2000000000007</v>
      </c>
      <c r="R35" s="124">
        <v>9023.9</v>
      </c>
      <c r="S35" s="124">
        <v>8961.1</v>
      </c>
      <c r="T35" s="124">
        <v>9250.4</v>
      </c>
      <c r="U35" s="124">
        <v>9023.2000000000007</v>
      </c>
      <c r="V35" s="124">
        <v>9145.2999999999993</v>
      </c>
      <c r="W35" s="124">
        <v>8964.6</v>
      </c>
      <c r="X35" s="203">
        <v>12709.7</v>
      </c>
      <c r="Y35" s="203">
        <v>13669.9</v>
      </c>
      <c r="Z35" s="203">
        <v>12193.2</v>
      </c>
      <c r="AA35" s="203">
        <v>12684.6</v>
      </c>
      <c r="AB35" s="203">
        <v>13469.6</v>
      </c>
      <c r="AC35" s="203">
        <v>8365.7000000000007</v>
      </c>
      <c r="AD35" s="203">
        <v>12677.4</v>
      </c>
      <c r="AE35" s="203">
        <v>12651.5</v>
      </c>
      <c r="AF35" s="203">
        <v>12563.7</v>
      </c>
      <c r="AG35" s="203">
        <v>12542</v>
      </c>
      <c r="AH35" s="203">
        <v>12625.5</v>
      </c>
      <c r="AI35" s="203">
        <v>12697</v>
      </c>
      <c r="AJ35" s="142">
        <v>10367.9</v>
      </c>
      <c r="AK35" s="142">
        <v>10618.1</v>
      </c>
      <c r="AL35" s="142">
        <v>10351.700000000001</v>
      </c>
      <c r="AM35" s="142">
        <v>10372.5</v>
      </c>
      <c r="AN35" s="142">
        <v>10509.9</v>
      </c>
      <c r="AO35" s="142">
        <v>10881.3</v>
      </c>
      <c r="AP35" s="142">
        <v>10704.8</v>
      </c>
      <c r="AQ35" s="142">
        <v>10567.4</v>
      </c>
      <c r="AR35" s="142">
        <v>8592.2999999999993</v>
      </c>
      <c r="AS35" s="142">
        <v>8636</v>
      </c>
      <c r="AT35" s="142">
        <v>8707.7999999999993</v>
      </c>
      <c r="AU35" s="142">
        <v>8581.2000000000007</v>
      </c>
      <c r="AV35" s="142">
        <v>8819</v>
      </c>
      <c r="AW35" s="142">
        <v>8692.4</v>
      </c>
      <c r="AX35" s="142">
        <v>11953</v>
      </c>
      <c r="AY35" s="142">
        <v>13251</v>
      </c>
      <c r="AZ35" s="142">
        <v>9785</v>
      </c>
      <c r="BA35" s="142">
        <v>11746</v>
      </c>
      <c r="BB35" s="142">
        <v>12188</v>
      </c>
      <c r="BC35" s="142">
        <v>10177</v>
      </c>
      <c r="BD35" s="142">
        <v>8450</v>
      </c>
      <c r="BE35" s="142">
        <v>11425</v>
      </c>
      <c r="BF35" s="142">
        <v>10979</v>
      </c>
      <c r="BG35" s="142">
        <v>11052</v>
      </c>
      <c r="BH35" s="142">
        <v>7513</v>
      </c>
      <c r="BI35" s="142">
        <v>4616</v>
      </c>
      <c r="BJ35" s="142">
        <v>8072</v>
      </c>
      <c r="BK35" s="142">
        <v>5967</v>
      </c>
      <c r="BL35" s="142">
        <v>7671</v>
      </c>
      <c r="BM35" s="142">
        <v>7589</v>
      </c>
      <c r="BN35" s="142">
        <v>7619</v>
      </c>
      <c r="BO35" s="142">
        <v>8011</v>
      </c>
      <c r="BP35" s="142">
        <v>7808</v>
      </c>
      <c r="BQ35" s="142">
        <v>5201</v>
      </c>
      <c r="BR35" s="142">
        <v>4484</v>
      </c>
      <c r="BS35" s="142">
        <v>0</v>
      </c>
      <c r="BT35" s="142">
        <v>2654</v>
      </c>
      <c r="BU35" s="142">
        <v>1070</v>
      </c>
      <c r="BV35" s="142"/>
      <c r="BW35" s="142"/>
      <c r="BX35" s="142"/>
      <c r="BY35" s="142"/>
      <c r="BZ35" s="142">
        <v>1323</v>
      </c>
      <c r="CA35" s="142">
        <v>1130</v>
      </c>
      <c r="CB35" s="142">
        <v>4716</v>
      </c>
      <c r="CC35" s="142">
        <v>8528</v>
      </c>
      <c r="CD35" s="59">
        <v>7.2595238333333336</v>
      </c>
      <c r="CE35" s="59"/>
      <c r="CF35" s="206">
        <v>7.3132474333333359</v>
      </c>
      <c r="CG35" s="206"/>
      <c r="CH35" s="206">
        <v>0.97667948333333265</v>
      </c>
      <c r="CI35" s="206"/>
      <c r="CJ35" s="59">
        <v>1.4423139333333357</v>
      </c>
      <c r="CK35" s="59"/>
      <c r="CL35" s="206">
        <v>34.416343750000024</v>
      </c>
      <c r="CM35" s="206"/>
      <c r="CN35" s="206">
        <v>47.668648437499989</v>
      </c>
      <c r="CO35" s="206"/>
      <c r="CP35" s="206">
        <v>24.353492187500024</v>
      </c>
      <c r="CQ35" s="206"/>
      <c r="CR35" s="59">
        <v>0</v>
      </c>
      <c r="CS35" s="59"/>
      <c r="CT35" s="206">
        <v>0.93262031249999977</v>
      </c>
      <c r="CU35" s="206"/>
      <c r="CV35" s="206">
        <v>2.835</v>
      </c>
      <c r="CW35" s="260"/>
      <c r="CX35" s="204">
        <f>IFERROR(AVERAGEIF(RD[[#This Row],[IS1POA1 (KWh/m2)]:[IS7POA2 (KWh/m2)]],"&lt;&gt;0",RD[[#This Row],[IS1POA1 (KWh/m2)]:[IS7POA2 (KWh/m2)]]),"")</f>
        <v>7.2595238333333336</v>
      </c>
      <c r="CY35" s="204">
        <f>IFERROR(AVERAGEIF(RD[[#This Row],[IS1GHI1 (KWh/m2)]:[IS7GHI2 (KWh/m2)]],"&lt;&gt;0",RD[[#This Row],[IS1GHI1 (KWh/m2)]:[IS7GHI2 (KWh/m2)]]),"")</f>
        <v>7.3132474333333359</v>
      </c>
      <c r="CZ35" s="204">
        <f>IFERROR(AVERAGEIF(RD[[#This Row],[IS1POA_BS1 (KWh/m2)]:[IS7POA_BS2 (KWh/m2)]],"&lt;&gt;0",RD[[#This Row],[IS1POA_BS1 (KWh/m2)]:[IS7POA_BS2 (KWh/m2)]]),"")</f>
        <v>0.97667948333333265</v>
      </c>
      <c r="DA35" s="204">
        <f>IFERROR(AVERAGEIF(RD[[#This Row],[IS1GHI_BS1 (KWh/m2)]:[IS1GHI_BS1 (KWh/m2)2]],"&lt;&gt;0",RD[[#This Row],[IS1GHI_BS1 (KWh/m2)]:[IS1GHI_BS1 (KWh/m2)2]]),"")</f>
        <v>1.4423139333333357</v>
      </c>
      <c r="DB35" s="204">
        <f>IFERROR(AVERAGEIF(RD[[#This Row],[IS1AT1 (°C)]:[IS7AT2 (°C)]],"&lt;&gt;0",RD[[#This Row],[IS1AT1 (°C)]:[IS7AT2 (°C)]]),"")</f>
        <v>34.416343750000024</v>
      </c>
      <c r="DC35" s="204">
        <f>IFERROR(AVERAGEIF(RD[[#This Row],[IS1MT1 (°C)]:[IS7MT2 (°C)]],"&lt;&gt;0",RD[[#This Row],[IS1MT1 (°C)]:[IS7MT2 (°C)]]),"")</f>
        <v>47.668648437499989</v>
      </c>
      <c r="DD35" s="204">
        <f>IFERROR(AVERAGEIF(RD[[#This Row],[IS1RH1 (%)]:[IS7RH2 (%)]],"&lt;&gt;0",RD[[#This Row],[IS1RH1 (%)]:[IS7RH2 (%)]]),"")</f>
        <v>24.353492187500024</v>
      </c>
      <c r="DE35" s="51" t="str">
        <f>IFERROR(AVERAGEIF(RD[[#This Row],[IS1Rain1 (mm)]:[IS7Rain2 (mm)]],"&lt;&gt;0",RD[[#This Row],[IS1Rain1 (mm)]:[IS7Rain2 (mm)]]),"")</f>
        <v/>
      </c>
      <c r="DF35" s="204">
        <f>IFERROR(AVERAGEIF(RD[[#This Row],[WS_Solar1_Avg (m/s)]:[IS7_WS_Solar1_Avg (m/s)]],"&lt;&gt;0",RD[[#This Row],[WS_Solar1_Avg (m/s)]:[IS7_WS_Solar1_Avg (m/s)]]),"")</f>
        <v>0.93262031249999977</v>
      </c>
      <c r="DG35" s="204">
        <f>IFERROR(AVERAGEIF(RD[[#This Row],[WS_Solar1_Max (m/s)]:[IS7_WS_Solar1_Max (m/s)]],"&lt;&gt;0",RD[[#This Row],[WS_Solar1_Max (m/s)]:[IS7_WS_Solar1_Max (m/s)]]),"")</f>
        <v>2.835</v>
      </c>
      <c r="DH35" s="204">
        <f>SUM(RD[[#This Row],[IS1Inv1M1]:[IS4Inv4M2]])</f>
        <v>292180.80000000005</v>
      </c>
      <c r="DI35" s="205">
        <f>SUM(RD[[#This Row],[IS7Inv1M1]]+RD[[#This Row],[IS7Inv2M1]])</f>
        <v>17228.3</v>
      </c>
      <c r="DJ35" s="204">
        <f>SUM(RD[[#This Row],[IS5Inv1M1]:[IS5Inv2M2]])</f>
        <v>41710.199999999997</v>
      </c>
      <c r="DK35" s="204">
        <f>SUM(RD[[#This Row],[IS8Inv1M1]:[IS9Inv2M2]])</f>
        <v>81535.399999999994</v>
      </c>
      <c r="DL35" s="60">
        <f>SUM(RD[[#This Row],[IS6Inv1M1]:[IS6Inv2M2]])</f>
        <v>42663.399999999994</v>
      </c>
      <c r="DM35" s="51">
        <f>SUM(RD[[#This Row],[IS10Inv1M1]:[IS11Inv1M4]],RD[[#This Row],[IS14Inv1M1]:[IS14Inv2M4]])</f>
        <v>121396</v>
      </c>
      <c r="DN35" s="288">
        <f>SUM(RD[[#This Row],[IS12Inv1M1]:[IS12Inv1M4]])</f>
        <v>28639</v>
      </c>
      <c r="DO35" s="288">
        <f>SUM(RD[[#This Row],[IS13Inv1M1]:[IS13Inv2M2]])</f>
        <v>8208</v>
      </c>
      <c r="DP35" s="204">
        <f>SUM(RD[[#This Row],[O2R15]:[O2R26]])</f>
        <v>633561.10000000009</v>
      </c>
      <c r="DQ35" s="164">
        <v>37938.199999999997</v>
      </c>
      <c r="DR35" s="168">
        <v>204.4</v>
      </c>
      <c r="DS35" s="164">
        <v>32648.9</v>
      </c>
      <c r="DT35" s="164">
        <v>216.7</v>
      </c>
      <c r="DU35" s="168">
        <v>37676.699999999997</v>
      </c>
      <c r="DV35" s="168">
        <v>390</v>
      </c>
      <c r="DW35" s="164">
        <v>5741.2</v>
      </c>
      <c r="DX35" s="168">
        <v>25.9</v>
      </c>
      <c r="DY35" s="168"/>
      <c r="DZ35" s="168"/>
      <c r="EA35" s="140">
        <v>89.78</v>
      </c>
      <c r="EB35" s="243">
        <v>117109415</v>
      </c>
      <c r="EC35" s="242">
        <v>892512.12800000003</v>
      </c>
      <c r="ED35" s="243">
        <v>1068</v>
      </c>
      <c r="EE35" s="243">
        <v>111443</v>
      </c>
      <c r="EF35" s="164">
        <v>162437.9</v>
      </c>
      <c r="EG35" s="164">
        <v>1758.1</v>
      </c>
      <c r="EH35" s="146">
        <f>IF((RD[[#This Row],[33 kV_F3_Ex
Incomer1]]-DQ34)*1000&lt;0,0,(RD[[#This Row],[33 kV_F3_Ex
Incomer1]]-DQ34)*1000)</f>
        <v>99000</v>
      </c>
      <c r="EI35" s="146">
        <f>IF((RD[[#This Row],[34 kV_F3_Im
Incomer1]]-DR34)*1000&lt;0,0,(RD[[#This Row],[34 kV_F3_Im
Incomer1]]-DR34)*1000)</f>
        <v>200.00000000001705</v>
      </c>
      <c r="EJ35" s="146">
        <f>IF((RD[[#This Row],[33 kV_F4_Ex
Incomer2]]-DS34)*1000&lt;0,0,(RD[[#This Row],[33 kV_F4_Ex
Incomer2]]-DS34)*1000)</f>
        <v>93000</v>
      </c>
      <c r="EK35" s="146">
        <f>IF((RD[[#This Row],[34 kV_F4_Im
Incomer2]]-DT34)*1000&lt;0,0,(RD[[#This Row],[34 kV_F4_Im
Incomer2]]-DT34)*1000)</f>
        <v>199.99999999998863</v>
      </c>
      <c r="EL35" s="146">
        <f>IF((RD[[#This Row],[33 kV_F5_Ex
Incomer3]]-DU34)*1000&lt;0,0,(RD[[#This Row],[33 kV_F5_Ex
Incomer3]]-DU34)*1000)</f>
        <v>121000</v>
      </c>
      <c r="EM35" s="146">
        <f>IF((RD[[#This Row],[34 kV_F5_Im
Incomer3]]-DV34)*1000&lt;0,0,(RD[[#This Row],[34 kV_F5_Im
Incomer3]]-DV34)*1000)</f>
        <v>300.00000000001137</v>
      </c>
      <c r="EN35" s="146">
        <f>IF((RD[[#This Row],[33 kV_F6_Ex
Incomer4]]-DW34)*1000&lt;0,0,(RD[[#This Row],[33 kV_F6_Ex
Incomer4]]-DW34)*1000)</f>
        <v>103800.00000000017</v>
      </c>
      <c r="EO35" s="146">
        <f>IF((RD[[#This Row],[33 kV_F6_Im
Incomer4]]-DX34)*1000&lt;0,0,(RD[[#This Row],[33 kV_F6_Im
Incomer4]]-DX34)*1000)</f>
        <v>500</v>
      </c>
      <c r="EP35" s="146">
        <f>IF((RD[[#This Row],[33 kV_F7_Ex
Incomer5]]-DY34)*1000&lt;0,0,(RD[[#This Row],[33 kV_F7_Ex
Incomer5]]-DY34)*1000)</f>
        <v>0</v>
      </c>
      <c r="EQ35" s="146">
        <f>IF((RD[[#This Row],[33 kV_F7_Im
Incomer5]]-DZ34)*1000&lt;0,0,(RD[[#This Row],[33 kV_F7_Im
Incomer5]]-DZ34)*1000)</f>
        <v>0</v>
      </c>
      <c r="ER35" s="146">
        <f>IF((RD[[#This Row],[33 kV_Aux Trafo]]-EA34)*1000&lt;0,0,(RD[[#This Row],[33 kV_Aux Trafo]]-EA34)*1000)</f>
        <v>170.00000000000171</v>
      </c>
      <c r="ES35" s="158">
        <f>IF((RD[[#This Row],[33kV_OG1_Ex_]]-EB34)*1&lt;0,0,(RD[[#This Row],[33kV_OG1_Ex_]]-EB34)*1)</f>
        <v>622166</v>
      </c>
      <c r="ET35" s="146">
        <f>IF((RD[[#This Row],[33kV_OG1_Im]]-EC34)*1&lt;0,0,(RD[[#This Row],[33kV_OG1_Im]]-EC34)*1)</f>
        <v>1737.7920000000158</v>
      </c>
      <c r="EU35" s="146">
        <f>IF((RD[[#This Row],[132kV_TX1_EX]]-ED34)*720&lt;=0,"",(RD[[#This Row],[132kV_TX1_EX]]-ED34)*720)</f>
        <v>1440</v>
      </c>
      <c r="EV35" s="146">
        <f>IF((RD[[#This Row],[132 kV_Tx1_Im]]-EE34)*720&lt;=0,0,(RD[[#This Row],[132 kV_Tx1_Im]]-EE34)*720)</f>
        <v>445680</v>
      </c>
      <c r="EW35" s="146">
        <f>IF((RD[[#This Row],[132kV_L1_Ex]]-EF34)*720&lt;=0,0,(RD[[#This Row],[132kV_L1_Ex]]-EF34)*720)</f>
        <v>620063.99999998743</v>
      </c>
      <c r="EX35" s="146">
        <f>IF((RD[[#This Row],[132kV_L1_Im]]-EG34)*720&lt;=0,0,(RD[[#This Row],[132kV_L1_Im]]-EG34)*720)</f>
        <v>2087.9999999999018</v>
      </c>
      <c r="EY35" s="244">
        <f>IFERROR(RD[[#This Row],[33kV_OG1_Ex (MWh)]]+RD[[#This Row],[33kV_OG1_Im (MWh)]],"")</f>
        <v>623903.79200000002</v>
      </c>
      <c r="EZ35" s="148">
        <f>RD[[#This Row],[33kV_OG1_Ex (MWh)]]-RD[[#This Row],[33kV_OG1_Im (MWh)]]</f>
        <v>620428.20799999998</v>
      </c>
      <c r="FA35" s="148">
        <f>IFERROR(RD[[#This Row],[132kV_L1_Ex(MWh)]]-RD[[#This Row],[132kV_L1_Im(MWh)]],"")</f>
        <v>617975.99999998754</v>
      </c>
      <c r="FB35" s="55">
        <f>IFERROR(RD[[#This Row],[33kV_Ex(MWh)]]/RD[[#This Row],[Inv Total Gneration (MWh)]]-1,"")</f>
        <v>-1.5242899224715778E-2</v>
      </c>
      <c r="FC35" s="245">
        <f>IFERROR((RD[[#This Row],[Sunset Time (POA&lt;20 W/m2)]]-RD[[#This Row],[Sunrise Time (POA&gt;20 W/m2)]])*24,0)</f>
        <v>12.166666666666666</v>
      </c>
      <c r="FD35" s="246">
        <v>106</v>
      </c>
      <c r="FE35" t="s">
        <v>278</v>
      </c>
      <c r="FG35" s="144" t="str">
        <f>IFERROR(RD[[#This Row],[E_AC (WPR)]]/RD[[#This Row],[E_DC (WPR)]],"")</f>
        <v/>
      </c>
    </row>
    <row r="36" spans="1:163">
      <c r="A36" s="133">
        <f t="shared" si="157"/>
        <v>45776</v>
      </c>
      <c r="B36" s="138">
        <f>YEAR(RD[[#This Row],[Date]])+IF(MONTH(RD[[#This Row],[Date]])&gt;=4,1,0)</f>
        <v>2026</v>
      </c>
      <c r="C36" s="138">
        <f>YEAR(RD[[#This Row],[Date]])</f>
        <v>2025</v>
      </c>
      <c r="D36" s="139">
        <f t="shared" si="158"/>
        <v>45748</v>
      </c>
      <c r="E36" s="138">
        <f>DAY(EOMONTH(RD[[#This Row],[Date]],0))</f>
        <v>30</v>
      </c>
      <c r="F36" s="152">
        <v>0.25972222222222224</v>
      </c>
      <c r="G36" s="162">
        <v>0.7680555555555556</v>
      </c>
      <c r="H36" s="124">
        <v>9096.7999999999993</v>
      </c>
      <c r="I36" s="124">
        <v>9075.2999999999993</v>
      </c>
      <c r="J36" s="124">
        <v>8571.1</v>
      </c>
      <c r="K36" s="124">
        <v>8660.4</v>
      </c>
      <c r="L36" s="124">
        <v>8916.2000000000007</v>
      </c>
      <c r="M36" s="124">
        <v>9141.4</v>
      </c>
      <c r="N36" s="124">
        <v>8845.4</v>
      </c>
      <c r="O36" s="124">
        <v>9479.9</v>
      </c>
      <c r="P36" s="124">
        <v>8364.2000000000007</v>
      </c>
      <c r="Q36" s="124">
        <v>8255.9</v>
      </c>
      <c r="R36" s="124">
        <v>8519.7000000000007</v>
      </c>
      <c r="S36" s="124">
        <v>8511.7000000000007</v>
      </c>
      <c r="T36" s="124">
        <v>8778.2000000000007</v>
      </c>
      <c r="U36" s="124">
        <v>8507.7999999999993</v>
      </c>
      <c r="V36" s="124">
        <v>8658.7999999999993</v>
      </c>
      <c r="W36" s="124">
        <v>8488.2000000000007</v>
      </c>
      <c r="X36" s="203">
        <v>11883.9</v>
      </c>
      <c r="Y36" s="203">
        <v>12903.8</v>
      </c>
      <c r="Z36" s="203">
        <v>11392.9</v>
      </c>
      <c r="AA36" s="203">
        <v>11828.4</v>
      </c>
      <c r="AB36" s="203">
        <v>13538.8</v>
      </c>
      <c r="AC36" s="203">
        <v>8332.7000000000007</v>
      </c>
      <c r="AD36" s="203">
        <v>12677.1</v>
      </c>
      <c r="AE36" s="203">
        <v>12651.2</v>
      </c>
      <c r="AF36" s="203">
        <v>12603.2</v>
      </c>
      <c r="AG36" s="203">
        <v>12534</v>
      </c>
      <c r="AH36" s="203">
        <v>12618.1</v>
      </c>
      <c r="AI36" s="203">
        <v>12721</v>
      </c>
      <c r="AJ36" s="142">
        <v>10478.700000000001</v>
      </c>
      <c r="AK36" s="142">
        <v>10720.1</v>
      </c>
      <c r="AL36" s="142">
        <v>10447.299999999999</v>
      </c>
      <c r="AM36" s="142">
        <v>10462.200000000001</v>
      </c>
      <c r="AN36" s="142">
        <v>10534.9</v>
      </c>
      <c r="AO36" s="142">
        <v>10894.5</v>
      </c>
      <c r="AP36" s="142">
        <v>10701.3</v>
      </c>
      <c r="AQ36" s="142">
        <v>10592.2</v>
      </c>
      <c r="AR36" s="142">
        <v>8618.2000000000007</v>
      </c>
      <c r="AS36" s="142">
        <v>8692.9</v>
      </c>
      <c r="AT36" s="142">
        <v>8790.1</v>
      </c>
      <c r="AU36" s="142">
        <v>8696.7000000000007</v>
      </c>
      <c r="AV36" s="142">
        <v>8934.2999999999993</v>
      </c>
      <c r="AW36" s="142">
        <v>8774.7999999999993</v>
      </c>
      <c r="AX36" s="142">
        <v>12425</v>
      </c>
      <c r="AY36" s="142">
        <v>13277</v>
      </c>
      <c r="AZ36" s="142">
        <v>9780</v>
      </c>
      <c r="BA36" s="142">
        <v>11735</v>
      </c>
      <c r="BB36" s="142">
        <v>12190</v>
      </c>
      <c r="BC36" s="142">
        <v>10335</v>
      </c>
      <c r="BD36" s="142">
        <v>8464</v>
      </c>
      <c r="BE36" s="142">
        <v>11435</v>
      </c>
      <c r="BF36" s="142">
        <v>10985</v>
      </c>
      <c r="BG36" s="142">
        <v>11069</v>
      </c>
      <c r="BH36" s="142">
        <v>7519</v>
      </c>
      <c r="BI36" s="142">
        <v>4601</v>
      </c>
      <c r="BJ36" s="142">
        <v>8109</v>
      </c>
      <c r="BK36" s="142">
        <v>5857</v>
      </c>
      <c r="BL36" s="142">
        <v>7817</v>
      </c>
      <c r="BM36" s="142">
        <v>7160</v>
      </c>
      <c r="BN36" s="142"/>
      <c r="BO36" s="142"/>
      <c r="BP36" s="142"/>
      <c r="BQ36" s="142"/>
      <c r="BR36" s="142">
        <v>5172</v>
      </c>
      <c r="BS36" s="142">
        <v>0</v>
      </c>
      <c r="BT36" s="142">
        <v>2690</v>
      </c>
      <c r="BU36" s="142">
        <v>1259</v>
      </c>
      <c r="BV36" s="142"/>
      <c r="BW36" s="142"/>
      <c r="BX36" s="142"/>
      <c r="BY36" s="142"/>
      <c r="BZ36" s="142"/>
      <c r="CA36" s="142"/>
      <c r="CB36" s="142"/>
      <c r="CC36" s="142"/>
      <c r="CD36" s="59">
        <v>7.25</v>
      </c>
      <c r="CE36" s="59"/>
      <c r="CF36" s="206">
        <v>7.319</v>
      </c>
      <c r="CG36" s="206"/>
      <c r="CH36" s="206">
        <v>0.97299999999999998</v>
      </c>
      <c r="CI36" s="206"/>
      <c r="CJ36" s="59">
        <v>1.45</v>
      </c>
      <c r="CK36" s="59"/>
      <c r="CL36" s="206">
        <v>34.658999999999999</v>
      </c>
      <c r="CM36" s="206"/>
      <c r="CN36" s="206">
        <v>46.444000000000003</v>
      </c>
      <c r="CO36" s="206"/>
      <c r="CP36" s="206">
        <v>25.8</v>
      </c>
      <c r="CQ36" s="206"/>
      <c r="CR36" s="59">
        <v>0</v>
      </c>
      <c r="CS36" s="59"/>
      <c r="CT36" s="206">
        <v>1.127</v>
      </c>
      <c r="CU36" s="206"/>
      <c r="CV36" s="206">
        <v>3.234</v>
      </c>
      <c r="CW36" s="260"/>
      <c r="CX36" s="204">
        <f>IFERROR(AVERAGEIF(RD[[#This Row],[IS1POA1 (KWh/m2)]:[IS7POA2 (KWh/m2)]],"&lt;&gt;0",RD[[#This Row],[IS1POA1 (KWh/m2)]:[IS7POA2 (KWh/m2)]]),"")</f>
        <v>7.25</v>
      </c>
      <c r="CY36" s="204">
        <f>IFERROR(AVERAGEIF(RD[[#This Row],[IS1GHI1 (KWh/m2)]:[IS7GHI2 (KWh/m2)]],"&lt;&gt;0",RD[[#This Row],[IS1GHI1 (KWh/m2)]:[IS7GHI2 (KWh/m2)]]),"")</f>
        <v>7.319</v>
      </c>
      <c r="CZ36" s="204">
        <f>IFERROR(AVERAGEIF(RD[[#This Row],[IS1POA_BS1 (KWh/m2)]:[IS7POA_BS2 (KWh/m2)]],"&lt;&gt;0",RD[[#This Row],[IS1POA_BS1 (KWh/m2)]:[IS7POA_BS2 (KWh/m2)]]),"")</f>
        <v>0.97299999999999998</v>
      </c>
      <c r="DA36" s="204">
        <f>IFERROR(AVERAGEIF(RD[[#This Row],[IS1GHI_BS1 (KWh/m2)]:[IS1GHI_BS1 (KWh/m2)2]],"&lt;&gt;0",RD[[#This Row],[IS1GHI_BS1 (KWh/m2)]:[IS1GHI_BS1 (KWh/m2)2]]),"")</f>
        <v>1.45</v>
      </c>
      <c r="DB36" s="204">
        <f>IFERROR(AVERAGEIF(RD[[#This Row],[IS1AT1 (°C)]:[IS7AT2 (°C)]],"&lt;&gt;0",RD[[#This Row],[IS1AT1 (°C)]:[IS7AT2 (°C)]]),"")</f>
        <v>34.658999999999999</v>
      </c>
      <c r="DC36" s="204">
        <f>IFERROR(AVERAGEIF(RD[[#This Row],[IS1MT1 (°C)]:[IS7MT2 (°C)]],"&lt;&gt;0",RD[[#This Row],[IS1MT1 (°C)]:[IS7MT2 (°C)]]),"")</f>
        <v>46.444000000000003</v>
      </c>
      <c r="DD36" s="204">
        <f>IFERROR(AVERAGEIF(RD[[#This Row],[IS1RH1 (%)]:[IS7RH2 (%)]],"&lt;&gt;0",RD[[#This Row],[IS1RH1 (%)]:[IS7RH2 (%)]]),"")</f>
        <v>25.8</v>
      </c>
      <c r="DE36" s="51" t="str">
        <f>IFERROR(AVERAGEIF(RD[[#This Row],[IS1Rain1 (mm)]:[IS7Rain2 (mm)]],"&lt;&gt;0",RD[[#This Row],[IS1Rain1 (mm)]:[IS7Rain2 (mm)]]),"")</f>
        <v/>
      </c>
      <c r="DF36" s="204">
        <f>IFERROR(AVERAGEIF(RD[[#This Row],[WS_Solar1_Avg (m/s)]:[IS7_WS_Solar1_Avg (m/s)]],"&lt;&gt;0",RD[[#This Row],[WS_Solar1_Avg (m/s)]:[IS7_WS_Solar1_Avg (m/s)]]),"")</f>
        <v>1.127</v>
      </c>
      <c r="DG36" s="204">
        <f>IFERROR(AVERAGEIF(RD[[#This Row],[WS_Solar1_Max (m/s)]:[IS7_WS_Solar1_Max (m/s)]],"&lt;&gt;0",RD[[#This Row],[WS_Solar1_Max (m/s)]:[IS7_WS_Solar1_Max (m/s)]]),"")</f>
        <v>3.234</v>
      </c>
      <c r="DH36" s="204">
        <f>SUM(RD[[#This Row],[IS1Inv1M1]:[IS4Inv4M2]])</f>
        <v>285556.09999999998</v>
      </c>
      <c r="DI36" s="205">
        <f>SUM(RD[[#This Row],[IS7Inv1M1]]+RD[[#This Row],[IS7Inv2M1]])</f>
        <v>17311.099999999999</v>
      </c>
      <c r="DJ36" s="204">
        <f>SUM(RD[[#This Row],[IS5Inv1M1]:[IS5Inv2M2]])</f>
        <v>42108.3</v>
      </c>
      <c r="DK36" s="204">
        <f>SUM(RD[[#This Row],[IS8Inv1M1]:[IS9Inv2M2]])</f>
        <v>82412.899999999994</v>
      </c>
      <c r="DL36" s="60">
        <f>SUM(RD[[#This Row],[IS6Inv1M1]:[IS6Inv2M2]])</f>
        <v>42722.9</v>
      </c>
      <c r="DM36" s="51">
        <f>SUM(RD[[#This Row],[IS10Inv1M1]:[IS11Inv1M4]],RD[[#This Row],[IS14Inv1M1]:[IS14Inv2M4]])</f>
        <v>105541</v>
      </c>
      <c r="DN36" s="288">
        <f>SUM(RD[[#This Row],[IS12Inv1M1]:[IS12Inv1M4]])</f>
        <v>0</v>
      </c>
      <c r="DO36" s="288">
        <f>SUM(RD[[#This Row],[IS13Inv1M1]:[IS13Inv2M2]])</f>
        <v>9121</v>
      </c>
      <c r="DP36" s="204">
        <f>SUM(RD[[#This Row],[O2R15]:[O2R26]])</f>
        <v>584773.29999999993</v>
      </c>
      <c r="DQ36" s="164">
        <v>38035.1</v>
      </c>
      <c r="DR36" s="168">
        <v>204.7</v>
      </c>
      <c r="DS36" s="164">
        <v>32739.9</v>
      </c>
      <c r="DT36" s="164">
        <v>217</v>
      </c>
      <c r="DU36" s="168">
        <v>37798.400000000001</v>
      </c>
      <c r="DV36" s="168">
        <v>390.5</v>
      </c>
      <c r="DW36" s="164">
        <v>5848.7</v>
      </c>
      <c r="DX36" s="168">
        <v>26.8</v>
      </c>
      <c r="DY36" s="168"/>
      <c r="DZ36" s="168"/>
      <c r="EA36" s="140">
        <v>90.04</v>
      </c>
      <c r="EB36" s="243">
        <v>117731704</v>
      </c>
      <c r="EC36" s="242">
        <v>895351.61600000004</v>
      </c>
      <c r="ED36" s="243">
        <v>1072</v>
      </c>
      <c r="EE36" s="243">
        <v>112063</v>
      </c>
      <c r="EF36" s="164">
        <v>163299.20000000001</v>
      </c>
      <c r="EG36" s="164">
        <v>1763.1</v>
      </c>
      <c r="EH36" s="146">
        <f>IF((RD[[#This Row],[33 kV_F3_Ex
Incomer1]]-DQ35)*1000&lt;0,0,(RD[[#This Row],[33 kV_F3_Ex
Incomer1]]-DQ35)*1000)</f>
        <v>96900.000000001455</v>
      </c>
      <c r="EI36" s="146">
        <f>IF((RD[[#This Row],[34 kV_F3_Im
Incomer1]]-DR35)*1000&lt;0,0,(RD[[#This Row],[34 kV_F3_Im
Incomer1]]-DR35)*1000)</f>
        <v>299.99999999998295</v>
      </c>
      <c r="EJ36" s="146">
        <f>IF((RD[[#This Row],[33 kV_F4_Ex
Incomer2]]-DS35)*1000&lt;0,0,(RD[[#This Row],[33 kV_F4_Ex
Incomer2]]-DS35)*1000)</f>
        <v>91000</v>
      </c>
      <c r="EK36" s="146">
        <f>IF((RD[[#This Row],[34 kV_F4_Im
Incomer2]]-DT35)*1000&lt;0,0,(RD[[#This Row],[34 kV_F4_Im
Incomer2]]-DT35)*1000)</f>
        <v>300.00000000001137</v>
      </c>
      <c r="EL36" s="146">
        <f>IF((RD[[#This Row],[33 kV_F5_Ex
Incomer3]]-DU35)*1000&lt;0,0,(RD[[#This Row],[33 kV_F5_Ex
Incomer3]]-DU35)*1000)</f>
        <v>121700.00000000437</v>
      </c>
      <c r="EM36" s="146">
        <f>IF((RD[[#This Row],[34 kV_F5_Im
Incomer3]]-DV35)*1000&lt;0,0,(RD[[#This Row],[34 kV_F5_Im
Incomer3]]-DV35)*1000)</f>
        <v>500</v>
      </c>
      <c r="EN36" s="146">
        <f>IF((RD[[#This Row],[33 kV_F6_Ex
Incomer4]]-DW35)*1000&lt;0,0,(RD[[#This Row],[33 kV_F6_Ex
Incomer4]]-DW35)*1000)</f>
        <v>107500</v>
      </c>
      <c r="EO36" s="146">
        <f>IF((RD[[#This Row],[33 kV_F6_Im
Incomer4]]-DX35)*1000&lt;0,0,(RD[[#This Row],[33 kV_F6_Im
Incomer4]]-DX35)*1000)</f>
        <v>900.00000000000216</v>
      </c>
      <c r="EP36" s="146">
        <f>IF((RD[[#This Row],[33 kV_F7_Ex
Incomer5]]-DY35)*1000&lt;0,0,(RD[[#This Row],[33 kV_F7_Ex
Incomer5]]-DY35)*1000)</f>
        <v>0</v>
      </c>
      <c r="EQ36" s="146">
        <f>IF((RD[[#This Row],[33 kV_F7_Im
Incomer5]]-DZ35)*1000&lt;0,0,(RD[[#This Row],[33 kV_F7_Im
Incomer5]]-DZ35)*1000)</f>
        <v>0</v>
      </c>
      <c r="ER36" s="146">
        <f>IF((RD[[#This Row],[33 kV_Aux Trafo]]-EA35)*1000&lt;0,0,(RD[[#This Row],[33 kV_Aux Trafo]]-EA35)*1000)</f>
        <v>260.00000000000512</v>
      </c>
      <c r="ES36" s="158">
        <f>IF((RD[[#This Row],[33kV_OG1_Ex_]]-EB35)*1&lt;0,0,(RD[[#This Row],[33kV_OG1_Ex_]]-EB35)*1)</f>
        <v>622289</v>
      </c>
      <c r="ET36" s="146">
        <f>IF((RD[[#This Row],[33kV_OG1_Im]]-EC35)*1&lt;0,0,(RD[[#This Row],[33kV_OG1_Im]]-EC35)*1)</f>
        <v>2839.4880000000121</v>
      </c>
      <c r="EU36" s="146">
        <f>IF((RD[[#This Row],[132kV_TX1_EX]]-ED35)*720&lt;=0,"",(RD[[#This Row],[132kV_TX1_EX]]-ED35)*720)</f>
        <v>2880</v>
      </c>
      <c r="EV36" s="146">
        <f>IF((RD[[#This Row],[132 kV_Tx1_Im]]-EE35)*720&lt;=0,0,(RD[[#This Row],[132 kV_Tx1_Im]]-EE35)*720)</f>
        <v>446400</v>
      </c>
      <c r="EW36" s="146">
        <f>IF((RD[[#This Row],[132kV_L1_Ex]]-EF35)*720&lt;=0,0,(RD[[#This Row],[132kV_L1_Ex]]-EF35)*720)</f>
        <v>620136.00000001257</v>
      </c>
      <c r="EX36" s="146">
        <f>IF((RD[[#This Row],[132kV_L1_Im]]-EG35)*720&lt;=0,0,(RD[[#This Row],[132kV_L1_Im]]-EG35)*720)</f>
        <v>3600</v>
      </c>
      <c r="EY36" s="244">
        <f>IFERROR(RD[[#This Row],[33kV_OG1_Ex (MWh)]]+RD[[#This Row],[33kV_OG1_Im (MWh)]],"")</f>
        <v>625128.48800000001</v>
      </c>
      <c r="EZ36" s="148">
        <f>RD[[#This Row],[33kV_OG1_Ex (MWh)]]-RD[[#This Row],[33kV_OG1_Im (MWh)]]</f>
        <v>619449.51199999999</v>
      </c>
      <c r="FA36" s="148">
        <f>IFERROR(RD[[#This Row],[132kV_L1_Ex(MWh)]]-RD[[#This Row],[132kV_L1_Im(MWh)]],"")</f>
        <v>616536.00000001257</v>
      </c>
      <c r="FB36" s="55">
        <f>IFERROR(RD[[#This Row],[33kV_Ex(MWh)]]/RD[[#This Row],[Inv Total Gneration (MWh)]]-1,"")</f>
        <v>6.9009970188447456E-2</v>
      </c>
      <c r="FC36" s="245">
        <f>IFERROR((RD[[#This Row],[Sunset Time (POA&lt;20 W/m2)]]-RD[[#This Row],[Sunrise Time (POA&gt;20 W/m2)]])*24,0)</f>
        <v>12.2</v>
      </c>
      <c r="FD36" s="246">
        <v>106</v>
      </c>
      <c r="FE36" t="s">
        <v>268</v>
      </c>
      <c r="FG36" s="144" t="str">
        <f>IFERROR(RD[[#This Row],[E_AC (WPR)]]/RD[[#This Row],[E_DC (WPR)]],"")</f>
        <v/>
      </c>
    </row>
    <row r="37" spans="1:163">
      <c r="A37" s="133">
        <f t="shared" si="157"/>
        <v>45777</v>
      </c>
      <c r="B37" s="138">
        <f>YEAR(RD[[#This Row],[Date]])+IF(MONTH(RD[[#This Row],[Date]])&gt;=4,1,0)</f>
        <v>2026</v>
      </c>
      <c r="C37" s="138">
        <f>YEAR(RD[[#This Row],[Date]])</f>
        <v>2025</v>
      </c>
      <c r="D37" s="139">
        <f t="shared" si="158"/>
        <v>45748</v>
      </c>
      <c r="E37" s="138">
        <f>DAY(EOMONTH(RD[[#This Row],[Date]],0))</f>
        <v>30</v>
      </c>
      <c r="F37" s="152">
        <v>0.2590277777777778</v>
      </c>
      <c r="G37" s="162">
        <v>0.77361111111111114</v>
      </c>
      <c r="H37" s="124">
        <v>8835.5</v>
      </c>
      <c r="I37" s="124">
        <v>8799.2000000000007</v>
      </c>
      <c r="J37" s="124">
        <v>8388.5</v>
      </c>
      <c r="K37" s="124">
        <v>8456.2999999999993</v>
      </c>
      <c r="L37" s="124">
        <v>8664.6</v>
      </c>
      <c r="M37" s="124">
        <v>8885.7999999999993</v>
      </c>
      <c r="N37" s="124">
        <v>8612.2999999999993</v>
      </c>
      <c r="O37" s="124">
        <v>9211.9</v>
      </c>
      <c r="P37" s="124">
        <v>8629.9</v>
      </c>
      <c r="Q37" s="124">
        <v>8532.6</v>
      </c>
      <c r="R37" s="124">
        <v>8769.2000000000007</v>
      </c>
      <c r="S37" s="124">
        <v>8765</v>
      </c>
      <c r="T37" s="124">
        <v>9043.9</v>
      </c>
      <c r="U37" s="124">
        <v>8794.2000000000007</v>
      </c>
      <c r="V37" s="124">
        <v>8957.7000000000007</v>
      </c>
      <c r="W37" s="124">
        <v>8786.6</v>
      </c>
      <c r="X37" s="203">
        <v>12381.3</v>
      </c>
      <c r="Y37" s="203">
        <v>13343.7</v>
      </c>
      <c r="Z37" s="203">
        <v>11890.1</v>
      </c>
      <c r="AA37" s="203">
        <v>12276.5</v>
      </c>
      <c r="AB37" s="203">
        <v>13273.8</v>
      </c>
      <c r="AC37" s="203">
        <v>8229.7000000000007</v>
      </c>
      <c r="AD37" s="203">
        <v>12495.8</v>
      </c>
      <c r="AE37" s="203">
        <v>12460.8</v>
      </c>
      <c r="AF37" s="203">
        <v>12428</v>
      </c>
      <c r="AG37" s="203">
        <v>12392</v>
      </c>
      <c r="AH37" s="203">
        <v>12459.7</v>
      </c>
      <c r="AI37" s="203">
        <v>12551.2</v>
      </c>
      <c r="AJ37" s="142">
        <v>9070.2000000000007</v>
      </c>
      <c r="AK37" s="142">
        <v>9304.1</v>
      </c>
      <c r="AL37" s="142">
        <v>9044.7000000000007</v>
      </c>
      <c r="AM37" s="142">
        <v>9066.7000000000007</v>
      </c>
      <c r="AN37" s="142">
        <v>10284.4</v>
      </c>
      <c r="AO37" s="142">
        <v>10640.1</v>
      </c>
      <c r="AP37" s="142">
        <v>10455.5</v>
      </c>
      <c r="AQ37" s="142">
        <v>10341</v>
      </c>
      <c r="AR37" s="142">
        <v>8407.1</v>
      </c>
      <c r="AS37" s="142">
        <v>8477</v>
      </c>
      <c r="AT37" s="142">
        <v>8562.7000000000007</v>
      </c>
      <c r="AU37" s="142">
        <v>8488</v>
      </c>
      <c r="AV37" s="142">
        <v>8671.6</v>
      </c>
      <c r="AW37" s="142">
        <v>8551.4</v>
      </c>
      <c r="AX37" s="142">
        <v>11663.5</v>
      </c>
      <c r="AY37" s="142">
        <v>13052</v>
      </c>
      <c r="AZ37" s="142">
        <v>9659.7000000000007</v>
      </c>
      <c r="BA37" s="142">
        <v>11527.1</v>
      </c>
      <c r="BB37" s="142">
        <v>12103.9</v>
      </c>
      <c r="BC37" s="142">
        <v>10113.5</v>
      </c>
      <c r="BD37" s="142">
        <v>8303.4</v>
      </c>
      <c r="BE37" s="142">
        <v>11370</v>
      </c>
      <c r="BF37" s="142">
        <v>10689</v>
      </c>
      <c r="BG37" s="142">
        <v>11087</v>
      </c>
      <c r="BH37" s="142">
        <v>7526.2</v>
      </c>
      <c r="BI37" s="142">
        <v>4627</v>
      </c>
      <c r="BJ37" s="142">
        <v>8173</v>
      </c>
      <c r="BK37" s="142">
        <v>6082</v>
      </c>
      <c r="BL37" s="142">
        <v>7704</v>
      </c>
      <c r="BM37" s="142">
        <v>7640</v>
      </c>
      <c r="BN37" s="142">
        <v>7685</v>
      </c>
      <c r="BO37" s="142">
        <v>8095</v>
      </c>
      <c r="BP37" s="142">
        <v>7857</v>
      </c>
      <c r="BQ37" s="142">
        <v>6302</v>
      </c>
      <c r="BR37" s="142">
        <v>5960</v>
      </c>
      <c r="BS37" s="142">
        <v>0</v>
      </c>
      <c r="BT37" s="142">
        <v>2650</v>
      </c>
      <c r="BU37" s="142">
        <v>1240</v>
      </c>
      <c r="BV37" s="142"/>
      <c r="BW37" s="142"/>
      <c r="BX37" s="142"/>
      <c r="BY37" s="142"/>
      <c r="BZ37" s="142">
        <v>1311</v>
      </c>
      <c r="CA37" s="142">
        <v>1119</v>
      </c>
      <c r="CB37" s="142">
        <v>4712</v>
      </c>
      <c r="CC37" s="142">
        <v>8521</v>
      </c>
      <c r="CD37" s="59">
        <v>7.1097299999999928</v>
      </c>
      <c r="CE37" s="59"/>
      <c r="CF37" s="206">
        <v>7.1730949499999959</v>
      </c>
      <c r="CG37" s="206"/>
      <c r="CH37" s="206">
        <v>0.95906664999999913</v>
      </c>
      <c r="CI37" s="206"/>
      <c r="CJ37" s="59">
        <v>1.4169633833333344</v>
      </c>
      <c r="CK37" s="59"/>
      <c r="CL37" s="206">
        <v>34.780388888888922</v>
      </c>
      <c r="CM37" s="206"/>
      <c r="CN37" s="206">
        <v>46.799704861111138</v>
      </c>
      <c r="CO37" s="206"/>
      <c r="CP37" s="206">
        <v>25.731874999999942</v>
      </c>
      <c r="CQ37" s="206"/>
      <c r="CR37" s="59">
        <v>0</v>
      </c>
      <c r="CS37" s="59"/>
      <c r="CT37" s="206">
        <v>1.3726166666666655</v>
      </c>
      <c r="CU37" s="206"/>
      <c r="CV37" s="206">
        <v>3.3029999999999999</v>
      </c>
      <c r="CW37" s="260"/>
      <c r="CX37" s="204">
        <f>IFERROR(AVERAGEIF(RD[[#This Row],[IS1POA1 (KWh/m2)]:[IS7POA2 (KWh/m2)]],"&lt;&gt;0",RD[[#This Row],[IS1POA1 (KWh/m2)]:[IS7POA2 (KWh/m2)]]),"")</f>
        <v>7.1097299999999928</v>
      </c>
      <c r="CY37" s="204">
        <f>IFERROR(AVERAGEIF(RD[[#This Row],[IS1GHI1 (KWh/m2)]:[IS7GHI2 (KWh/m2)]],"&lt;&gt;0",RD[[#This Row],[IS1GHI1 (KWh/m2)]:[IS7GHI2 (KWh/m2)]]),"")</f>
        <v>7.1730949499999959</v>
      </c>
      <c r="CZ37" s="204">
        <f>IFERROR(AVERAGEIF(RD[[#This Row],[IS1POA_BS1 (KWh/m2)]:[IS7POA_BS2 (KWh/m2)]],"&lt;&gt;0",RD[[#This Row],[IS1POA_BS1 (KWh/m2)]:[IS7POA_BS2 (KWh/m2)]]),"")</f>
        <v>0.95906664999999913</v>
      </c>
      <c r="DA37" s="204">
        <f>IFERROR(AVERAGEIF(RD[[#This Row],[IS1GHI_BS1 (KWh/m2)]:[IS1GHI_BS1 (KWh/m2)2]],"&lt;&gt;0",RD[[#This Row],[IS1GHI_BS1 (KWh/m2)]:[IS1GHI_BS1 (KWh/m2)2]]),"")</f>
        <v>1.4169633833333344</v>
      </c>
      <c r="DB37" s="204">
        <f>IFERROR(AVERAGEIF(RD[[#This Row],[IS1AT1 (°C)]:[IS7AT2 (°C)]],"&lt;&gt;0",RD[[#This Row],[IS1AT1 (°C)]:[IS7AT2 (°C)]]),"")</f>
        <v>34.780388888888922</v>
      </c>
      <c r="DC37" s="204">
        <f>IFERROR(AVERAGEIF(RD[[#This Row],[IS1MT1 (°C)]:[IS7MT2 (°C)]],"&lt;&gt;0",RD[[#This Row],[IS1MT1 (°C)]:[IS7MT2 (°C)]]),"")</f>
        <v>46.799704861111138</v>
      </c>
      <c r="DD37" s="204">
        <f>IFERROR(AVERAGEIF(RD[[#This Row],[IS1RH1 (%)]:[IS7RH2 (%)]],"&lt;&gt;0",RD[[#This Row],[IS1RH1 (%)]:[IS7RH2 (%)]]),"")</f>
        <v>25.731874999999942</v>
      </c>
      <c r="DE37" s="51" t="str">
        <f>IFERROR(AVERAGEIF(RD[[#This Row],[IS1Rain1 (mm)]:[IS7Rain2 (mm)]],"&lt;&gt;0",RD[[#This Row],[IS1Rain1 (mm)]:[IS7Rain2 (mm)]]),"")</f>
        <v/>
      </c>
      <c r="DF37" s="204">
        <f>IFERROR(AVERAGEIF(RD[[#This Row],[WS_Solar1_Avg (m/s)]:[IS7_WS_Solar1_Avg (m/s)]],"&lt;&gt;0",RD[[#This Row],[WS_Solar1_Avg (m/s)]:[IS7_WS_Solar1_Avg (m/s)]]),"")</f>
        <v>1.3726166666666655</v>
      </c>
      <c r="DG37" s="204">
        <f>IFERROR(AVERAGEIF(RD[[#This Row],[WS_Solar1_Max (m/s)]:[IS7_WS_Solar1_Max (m/s)]],"&lt;&gt;0",RD[[#This Row],[WS_Solar1_Max (m/s)]:[IS7_WS_Solar1_Max (m/s)]]),"")</f>
        <v>3.3029999999999999</v>
      </c>
      <c r="DH37" s="204">
        <f>SUM(RD[[#This Row],[IS1Inv1M1]:[IS4Inv4M2]])</f>
        <v>286315.8</v>
      </c>
      <c r="DI37" s="205">
        <f>SUM(RD[[#This Row],[IS7Inv1M1]]+RD[[#This Row],[IS7Inv2M1]])</f>
        <v>16884.099999999999</v>
      </c>
      <c r="DJ37" s="204">
        <f>SUM(RD[[#This Row],[IS5Inv1M1]:[IS5Inv2M2]])</f>
        <v>36485.700000000004</v>
      </c>
      <c r="DK37" s="204">
        <f>SUM(RD[[#This Row],[IS8Inv1M1]:[IS9Inv2M2]])</f>
        <v>80176.000000000015</v>
      </c>
      <c r="DL37" s="60">
        <f>SUM(RD[[#This Row],[IS6Inv1M1]:[IS6Inv2M2]])</f>
        <v>41721</v>
      </c>
      <c r="DM37" s="51">
        <f>SUM(RD[[#This Row],[IS10Inv1M1]:[IS11Inv1M4]],RD[[#This Row],[IS14Inv1M1]:[IS14Inv2M4]])</f>
        <v>121082</v>
      </c>
      <c r="DN37" s="288">
        <f>SUM(RD[[#This Row],[IS12Inv1M1]:[IS12Inv1M4]])</f>
        <v>29939</v>
      </c>
      <c r="DO37" s="288">
        <f>SUM(RD[[#This Row],[IS13Inv1M1]:[IS13Inv2M2]])</f>
        <v>9850</v>
      </c>
      <c r="DP37" s="204">
        <f>SUM(RD[[#This Row],[O2R15]:[O2R26]])</f>
        <v>622453.6</v>
      </c>
      <c r="DQ37" s="164">
        <v>38180.1</v>
      </c>
      <c r="DR37" s="168">
        <v>205.2</v>
      </c>
      <c r="DS37" s="164">
        <v>32874.699999999997</v>
      </c>
      <c r="DT37" s="164">
        <v>217.4</v>
      </c>
      <c r="DU37" s="168">
        <v>37970.9</v>
      </c>
      <c r="DV37" s="168">
        <v>391</v>
      </c>
      <c r="DW37" s="164">
        <v>6009.1</v>
      </c>
      <c r="DX37" s="168">
        <v>27.9</v>
      </c>
      <c r="DY37" s="168"/>
      <c r="DZ37" s="168"/>
      <c r="EA37" s="140">
        <v>90.38</v>
      </c>
      <c r="EB37" s="243">
        <v>118345875</v>
      </c>
      <c r="EC37" s="242">
        <v>898020.60800000001</v>
      </c>
      <c r="ED37" s="243">
        <v>1075</v>
      </c>
      <c r="EE37" s="243">
        <v>112675</v>
      </c>
      <c r="EF37" s="164">
        <v>164149.29999999999</v>
      </c>
      <c r="EG37" s="164">
        <v>1767.7</v>
      </c>
      <c r="EH37" s="146">
        <f>IF((RD[[#This Row],[33 kV_F3_Ex
Incomer1]]-DQ36)*1000&lt;0,0,(RD[[#This Row],[33 kV_F3_Ex
Incomer1]]-DQ36)*1000)</f>
        <v>145000</v>
      </c>
      <c r="EI37" s="146">
        <f>IF((RD[[#This Row],[34 kV_F3_Im
Incomer1]]-DR36)*1000&lt;0,0,(RD[[#This Row],[34 kV_F3_Im
Incomer1]]-DR36)*1000)</f>
        <v>500</v>
      </c>
      <c r="EJ37" s="146">
        <f>IF((RD[[#This Row],[33 kV_F4_Ex
Incomer2]]-DS36)*1000&lt;0,0,(RD[[#This Row],[33 kV_F4_Ex
Incomer2]]-DS36)*1000)</f>
        <v>134799.99999999563</v>
      </c>
      <c r="EK37" s="146">
        <f>IF((RD[[#This Row],[34 kV_F4_Im
Incomer2]]-DT36)*1000&lt;0,0,(RD[[#This Row],[34 kV_F4_Im
Incomer2]]-DT36)*1000)</f>
        <v>400.00000000000568</v>
      </c>
      <c r="EL37" s="146">
        <f>IF((RD[[#This Row],[33 kV_F5_Ex
Incomer3]]-DU36)*1000&lt;0,0,(RD[[#This Row],[33 kV_F5_Ex
Incomer3]]-DU36)*1000)</f>
        <v>172500</v>
      </c>
      <c r="EM37" s="146">
        <f>IF((RD[[#This Row],[34 kV_F5_Im
Incomer3]]-DV36)*1000&lt;0,0,(RD[[#This Row],[34 kV_F5_Im
Incomer3]]-DV36)*1000)</f>
        <v>500</v>
      </c>
      <c r="EN37" s="146">
        <f>IF((RD[[#This Row],[33 kV_F6_Ex
Incomer4]]-DW36)*1000&lt;0,0,(RD[[#This Row],[33 kV_F6_Ex
Incomer4]]-DW36)*1000)</f>
        <v>160400.00000000055</v>
      </c>
      <c r="EO37" s="146">
        <f>IF((RD[[#This Row],[33 kV_F6_Im
Incomer4]]-DX36)*1000&lt;0,0,(RD[[#This Row],[33 kV_F6_Im
Incomer4]]-DX36)*1000)</f>
        <v>1099.999999999998</v>
      </c>
      <c r="EP37" s="146">
        <f>IF((RD[[#This Row],[33 kV_F7_Ex
Incomer5]]-DY36)*1000&lt;0,0,(RD[[#This Row],[33 kV_F7_Ex
Incomer5]]-DY36)*1000)</f>
        <v>0</v>
      </c>
      <c r="EQ37" s="146">
        <f>IF((RD[[#This Row],[33 kV_F7_Im
Incomer5]]-DZ36)*1000&lt;0,0,(RD[[#This Row],[33 kV_F7_Im
Incomer5]]-DZ36)*1000)</f>
        <v>0</v>
      </c>
      <c r="ER37" s="146">
        <f>IF((RD[[#This Row],[33 kV_Aux Trafo]]-EA36)*1000&lt;0,0,(RD[[#This Row],[33 kV_Aux Trafo]]-EA36)*1000)</f>
        <v>339.9999999999892</v>
      </c>
      <c r="ES37" s="158">
        <f>IF((RD[[#This Row],[33kV_OG1_Ex_]]-EB36)*1&lt;0,0,(RD[[#This Row],[33kV_OG1_Ex_]]-EB36)*1)</f>
        <v>614171</v>
      </c>
      <c r="ET37" s="146">
        <f>IF((RD[[#This Row],[33kV_OG1_Im]]-EC36)*1&lt;0,0,(RD[[#This Row],[33kV_OG1_Im]]-EC36)*1)</f>
        <v>2668.9919999999693</v>
      </c>
      <c r="EU37" s="146">
        <f>IF((RD[[#This Row],[132kV_TX1_EX]]-ED36)*720&lt;=0,"",(RD[[#This Row],[132kV_TX1_EX]]-ED36)*720)</f>
        <v>2160</v>
      </c>
      <c r="EV37" s="146">
        <f>IF((RD[[#This Row],[132 kV_Tx1_Im]]-EE36)*720&lt;=0,0,(RD[[#This Row],[132 kV_Tx1_Im]]-EE36)*720)</f>
        <v>440640</v>
      </c>
      <c r="EW37" s="146">
        <f>IF((RD[[#This Row],[132kV_L1_Ex]]-EF36)*720&lt;=0,0,(RD[[#This Row],[132kV_L1_Ex]]-EF36)*720)</f>
        <v>612071.99999998324</v>
      </c>
      <c r="EX37" s="146">
        <f>IF((RD[[#This Row],[132kV_L1_Im]]-EG36)*720&lt;=0,0,(RD[[#This Row],[132kV_L1_Im]]-EG36)*720)</f>
        <v>3312.0000000000982</v>
      </c>
      <c r="EY37" s="244">
        <f>IFERROR(RD[[#This Row],[33kV_OG1_Ex (MWh)]]+RD[[#This Row],[33kV_OG1_Im (MWh)]],"")</f>
        <v>616839.99199999997</v>
      </c>
      <c r="EZ37" s="148">
        <f>RD[[#This Row],[33kV_OG1_Ex (MWh)]]-RD[[#This Row],[33kV_OG1_Im (MWh)]]</f>
        <v>611502.00800000003</v>
      </c>
      <c r="FA37" s="148">
        <f>IFERROR(RD[[#This Row],[132kV_L1_Ex(MWh)]]-RD[[#This Row],[132kV_L1_Im(MWh)]],"")</f>
        <v>608759.99999998312</v>
      </c>
      <c r="FB37" s="55">
        <f>IFERROR(RD[[#This Row],[33kV_Ex(MWh)]]/RD[[#This Row],[Inv Total Gneration (MWh)]]-1,"")</f>
        <v>-9.018516400258636E-3</v>
      </c>
      <c r="FC37" s="245">
        <f>IFERROR((RD[[#This Row],[Sunset Time (POA&lt;20 W/m2)]]-RD[[#This Row],[Sunrise Time (POA&gt;20 W/m2)]])*24,0)</f>
        <v>12.350000000000001</v>
      </c>
      <c r="FD37" s="246">
        <v>106</v>
      </c>
      <c r="FE37" t="s">
        <v>268</v>
      </c>
      <c r="FG37" s="144" t="str">
        <f>IFERROR(RD[[#This Row],[E_AC (WPR)]]/RD[[#This Row],[E_DC (WPR)]],"")</f>
        <v/>
      </c>
    </row>
    <row r="38" spans="1:163">
      <c r="A38" s="133">
        <f t="shared" si="157"/>
        <v>45778</v>
      </c>
      <c r="B38" s="138">
        <f>YEAR(RD[[#This Row],[Date]])+IF(MONTH(RD[[#This Row],[Date]])&gt;=4,1,0)</f>
        <v>2026</v>
      </c>
      <c r="C38" s="138">
        <f>YEAR(RD[[#This Row],[Date]])</f>
        <v>2025</v>
      </c>
      <c r="D38" s="139">
        <f t="shared" si="158"/>
        <v>45778</v>
      </c>
      <c r="E38" s="138">
        <f>DAY(EOMONTH(RD[[#This Row],[Date]],0))</f>
        <v>31</v>
      </c>
      <c r="F38" s="152">
        <v>0.25972222222222224</v>
      </c>
      <c r="G38" s="162">
        <v>0.77013888888888893</v>
      </c>
      <c r="H38" s="124">
        <v>8791.2000000000007</v>
      </c>
      <c r="I38" s="124">
        <v>8750.1</v>
      </c>
      <c r="J38" s="124">
        <v>8252.9</v>
      </c>
      <c r="K38" s="124">
        <v>8346.7000000000007</v>
      </c>
      <c r="L38" s="124">
        <v>8587.2999999999993</v>
      </c>
      <c r="M38" s="124">
        <v>8831.7999999999993</v>
      </c>
      <c r="N38" s="124">
        <v>8523.7999999999993</v>
      </c>
      <c r="O38" s="124">
        <v>9187.6</v>
      </c>
      <c r="P38" s="124">
        <v>8571.4</v>
      </c>
      <c r="Q38" s="124">
        <v>8484.6</v>
      </c>
      <c r="R38" s="124">
        <v>8749.6</v>
      </c>
      <c r="S38" s="124">
        <v>8725.4</v>
      </c>
      <c r="T38" s="124">
        <v>8991.4</v>
      </c>
      <c r="U38" s="124">
        <v>8706.7999999999993</v>
      </c>
      <c r="V38" s="124">
        <v>8942.4</v>
      </c>
      <c r="W38" s="124">
        <v>8728.6</v>
      </c>
      <c r="X38" s="203">
        <v>12207.9</v>
      </c>
      <c r="Y38" s="203">
        <v>13295.8</v>
      </c>
      <c r="Z38" s="203">
        <v>11746</v>
      </c>
      <c r="AA38" s="203">
        <v>12207.7</v>
      </c>
      <c r="AB38" s="203">
        <v>13204.2</v>
      </c>
      <c r="AC38" s="203">
        <v>8072.8</v>
      </c>
      <c r="AD38" s="203">
        <v>12289.5</v>
      </c>
      <c r="AE38" s="203">
        <v>12239.9</v>
      </c>
      <c r="AF38" s="203">
        <v>12196.9</v>
      </c>
      <c r="AG38" s="203">
        <v>12146.9</v>
      </c>
      <c r="AH38" s="203">
        <v>12231.6</v>
      </c>
      <c r="AI38" s="203">
        <v>12333.9</v>
      </c>
      <c r="AJ38" s="142">
        <v>10145</v>
      </c>
      <c r="AK38" s="142">
        <v>10411.5</v>
      </c>
      <c r="AL38" s="142">
        <v>10122.299999999999</v>
      </c>
      <c r="AM38" s="142">
        <v>10169.6</v>
      </c>
      <c r="AN38" s="142">
        <v>10177.4</v>
      </c>
      <c r="AO38" s="142">
        <v>10539.1</v>
      </c>
      <c r="AP38" s="142">
        <v>10340.299999999999</v>
      </c>
      <c r="AQ38" s="142">
        <v>10236.799999999999</v>
      </c>
      <c r="AR38" s="142">
        <v>8335.2999999999993</v>
      </c>
      <c r="AS38" s="142">
        <v>8402.2000000000007</v>
      </c>
      <c r="AT38" s="142">
        <v>8483.4</v>
      </c>
      <c r="AU38" s="142">
        <v>8412.5</v>
      </c>
      <c r="AV38" s="142">
        <v>8648</v>
      </c>
      <c r="AW38" s="142">
        <v>8496.5</v>
      </c>
      <c r="AX38" s="142">
        <v>11551.7</v>
      </c>
      <c r="AY38" s="142">
        <v>13067.4</v>
      </c>
      <c r="AZ38" s="142">
        <v>9559.5</v>
      </c>
      <c r="BA38" s="142">
        <v>11438.3</v>
      </c>
      <c r="BB38" s="142">
        <v>11783.5</v>
      </c>
      <c r="BC38" s="142">
        <v>9850.1</v>
      </c>
      <c r="BD38" s="142">
        <v>8095.2</v>
      </c>
      <c r="BE38" s="142">
        <v>11067.7</v>
      </c>
      <c r="BF38" s="142">
        <v>10767</v>
      </c>
      <c r="BG38" s="142">
        <v>11072</v>
      </c>
      <c r="BH38" s="142">
        <v>7309.9</v>
      </c>
      <c r="BI38" s="142">
        <v>4497.2</v>
      </c>
      <c r="BJ38" s="142">
        <v>7935.2</v>
      </c>
      <c r="BK38" s="142">
        <v>5894.5</v>
      </c>
      <c r="BL38" s="142">
        <v>7435</v>
      </c>
      <c r="BM38" s="142">
        <v>7400.8</v>
      </c>
      <c r="BN38" s="142">
        <v>7392.7</v>
      </c>
      <c r="BO38" s="142">
        <v>7848</v>
      </c>
      <c r="BP38" s="142">
        <v>7532.2</v>
      </c>
      <c r="BQ38" s="142">
        <v>6042.4</v>
      </c>
      <c r="BR38" s="142">
        <v>6009.8</v>
      </c>
      <c r="BS38" s="142">
        <v>0</v>
      </c>
      <c r="BT38" s="142">
        <v>2584.1</v>
      </c>
      <c r="BU38" s="142">
        <v>1205.4000000000001</v>
      </c>
      <c r="BV38" s="142"/>
      <c r="BW38" s="142"/>
      <c r="BX38" s="142"/>
      <c r="BY38" s="142"/>
      <c r="BZ38" s="142">
        <v>1273.8</v>
      </c>
      <c r="CA38" s="142">
        <v>1086</v>
      </c>
      <c r="CB38" s="142">
        <v>4590.8</v>
      </c>
      <c r="CC38" s="142">
        <v>8331.2999999999993</v>
      </c>
      <c r="CD38" s="59">
        <v>6.994897416666662</v>
      </c>
      <c r="CE38" s="59">
        <v>6.5940000000000003</v>
      </c>
      <c r="CF38" s="206">
        <v>7.0734290500000041</v>
      </c>
      <c r="CG38" s="206">
        <v>6.4720000000000004</v>
      </c>
      <c r="CH38" s="206">
        <v>0.96663731666666664</v>
      </c>
      <c r="CI38" s="206">
        <v>1.1379999999999999</v>
      </c>
      <c r="CJ38" s="59">
        <v>1.4080297000000026</v>
      </c>
      <c r="CK38" s="59">
        <v>1.236</v>
      </c>
      <c r="CL38" s="206">
        <v>34.279041309431015</v>
      </c>
      <c r="CM38" s="206">
        <v>34.417000000000002</v>
      </c>
      <c r="CN38" s="206">
        <v>47.072208106001497</v>
      </c>
      <c r="CO38" s="206">
        <v>44.051000000000002</v>
      </c>
      <c r="CP38" s="206">
        <v>24.857840997661746</v>
      </c>
      <c r="CQ38" s="206">
        <v>24.923999999999999</v>
      </c>
      <c r="CR38" s="59">
        <v>0</v>
      </c>
      <c r="CS38" s="59">
        <v>0</v>
      </c>
      <c r="CT38" s="206">
        <v>0.99899064692127781</v>
      </c>
      <c r="CU38" s="206">
        <v>1.103</v>
      </c>
      <c r="CV38" s="206">
        <v>3.0870000000000002</v>
      </c>
      <c r="CW38" s="260">
        <v>3.0510000000000002</v>
      </c>
      <c r="CX38" s="204">
        <f>IFERROR(AVERAGEIF(RD[[#This Row],[IS1POA1 (KWh/m2)]:[IS7POA2 (KWh/m2)]],"&lt;&gt;0",RD[[#This Row],[IS1POA1 (KWh/m2)]:[IS7POA2 (KWh/m2)]]),"")</f>
        <v>6.7944487083333307</v>
      </c>
      <c r="CY38" s="204">
        <f>IFERROR(AVERAGEIF(RD[[#This Row],[IS1GHI1 (KWh/m2)]:[IS7GHI2 (KWh/m2)]],"&lt;&gt;0",RD[[#This Row],[IS1GHI1 (KWh/m2)]:[IS7GHI2 (KWh/m2)]]),"")</f>
        <v>6.7727145250000023</v>
      </c>
      <c r="CZ38" s="204">
        <f>IFERROR(AVERAGEIF(RD[[#This Row],[IS1POA_BS1 (KWh/m2)]:[IS7POA_BS2 (KWh/m2)]],"&lt;&gt;0",RD[[#This Row],[IS1POA_BS1 (KWh/m2)]:[IS7POA_BS2 (KWh/m2)]]),"")</f>
        <v>1.0523186583333333</v>
      </c>
      <c r="DA38" s="204">
        <f>IFERROR(AVERAGEIF(RD[[#This Row],[IS1GHI_BS1 (KWh/m2)]:[IS1GHI_BS1 (KWh/m2)2]],"&lt;&gt;0",RD[[#This Row],[IS1GHI_BS1 (KWh/m2)]:[IS1GHI_BS1 (KWh/m2)2]]),"")</f>
        <v>1.3220148500000013</v>
      </c>
      <c r="DB38" s="204">
        <f>IFERROR(AVERAGEIF(RD[[#This Row],[IS1AT1 (°C)]:[IS7AT2 (°C)]],"&lt;&gt;0",RD[[#This Row],[IS1AT1 (°C)]:[IS7AT2 (°C)]]),"")</f>
        <v>34.348020654715512</v>
      </c>
      <c r="DC38" s="204">
        <f>IFERROR(AVERAGEIF(RD[[#This Row],[IS1MT1 (°C)]:[IS7MT2 (°C)]],"&lt;&gt;0",RD[[#This Row],[IS1MT1 (°C)]:[IS7MT2 (°C)]]),"")</f>
        <v>45.56160405300075</v>
      </c>
      <c r="DD38" s="204">
        <f>IFERROR(AVERAGEIF(RD[[#This Row],[IS1RH1 (%)]:[IS7RH2 (%)]],"&lt;&gt;0",RD[[#This Row],[IS1RH1 (%)]:[IS7RH2 (%)]]),"")</f>
        <v>24.890920498830873</v>
      </c>
      <c r="DE38" s="51" t="str">
        <f>IFERROR(AVERAGEIF(RD[[#This Row],[IS1Rain1 (mm)]:[IS7Rain2 (mm)]],"&lt;&gt;0",RD[[#This Row],[IS1Rain1 (mm)]:[IS7Rain2 (mm)]]),"")</f>
        <v/>
      </c>
      <c r="DF38" s="204">
        <f>IFERROR(AVERAGEIF(RD[[#This Row],[WS_Solar1_Avg (m/s)]:[IS7_WS_Solar1_Avg (m/s)]],"&lt;&gt;0",RD[[#This Row],[WS_Solar1_Avg (m/s)]:[IS7_WS_Solar1_Avg (m/s)]]),"")</f>
        <v>1.0509953234606388</v>
      </c>
      <c r="DG38" s="204">
        <f>IFERROR(AVERAGEIF(RD[[#This Row],[WS_Solar1_Max (m/s)]:[IS7_WS_Solar1_Max (m/s)]],"&lt;&gt;0",RD[[#This Row],[WS_Solar1_Max (m/s)]:[IS7_WS_Solar1_Max (m/s)]]),"")</f>
        <v>3.069</v>
      </c>
      <c r="DH38" s="204">
        <f>SUM(RD[[#This Row],[IS1Inv1M1]:[IS4Inv4M2]])</f>
        <v>283344.7</v>
      </c>
      <c r="DI38" s="205">
        <f>SUM(RD[[#This Row],[IS7Inv1M1]]+RD[[#This Row],[IS7Inv2M1]])</f>
        <v>16737.5</v>
      </c>
      <c r="DJ38" s="204">
        <f>SUM(RD[[#This Row],[IS5Inv1M1]:[IS5Inv2M2]])</f>
        <v>40848.400000000001</v>
      </c>
      <c r="DK38" s="204">
        <f>SUM(RD[[#This Row],[IS8Inv1M1]:[IS9Inv2M2]])</f>
        <v>79657.3</v>
      </c>
      <c r="DL38" s="60">
        <f>SUM(RD[[#This Row],[IS6Inv1M1]:[IS6Inv2M2]])</f>
        <v>41293.599999999999</v>
      </c>
      <c r="DM38" s="51">
        <f>SUM(RD[[#This Row],[IS10Inv1M1]:[IS11Inv1M4]],RD[[#This Row],[IS14Inv1M1]:[IS14Inv2M4]])</f>
        <v>118390</v>
      </c>
      <c r="DN38" s="288">
        <f>SUM(RD[[#This Row],[IS12Inv1M1]:[IS12Inv1M4]])</f>
        <v>28815.300000000003</v>
      </c>
      <c r="DO38" s="288">
        <f>SUM(RD[[#This Row],[IS13Inv1M1]:[IS13Inv2M2]])</f>
        <v>9799.2999999999993</v>
      </c>
      <c r="DP38" s="204">
        <f>SUM(RD[[#This Row],[O2R15]:[O2R26]])</f>
        <v>618886.10000000009</v>
      </c>
      <c r="DQ38" s="164">
        <v>38323.199999999997</v>
      </c>
      <c r="DR38" s="168">
        <v>205.3</v>
      </c>
      <c r="DS38" s="164">
        <v>33009.699999999997</v>
      </c>
      <c r="DT38" s="164">
        <v>217.6</v>
      </c>
      <c r="DU38" s="168">
        <v>38146.699999999997</v>
      </c>
      <c r="DV38" s="168">
        <v>391.2</v>
      </c>
      <c r="DW38" s="164">
        <v>6165.1</v>
      </c>
      <c r="DX38" s="168">
        <v>28.1</v>
      </c>
      <c r="DY38" s="168"/>
      <c r="DZ38" s="168"/>
      <c r="EA38" s="140">
        <v>90.59</v>
      </c>
      <c r="EB38" s="243">
        <v>118956154</v>
      </c>
      <c r="EC38" s="242">
        <v>898801.66</v>
      </c>
      <c r="ED38" s="243">
        <v>1076</v>
      </c>
      <c r="EE38" s="243">
        <v>113283</v>
      </c>
      <c r="EF38" s="164">
        <v>164994.1</v>
      </c>
      <c r="EG38" s="164">
        <v>1769</v>
      </c>
      <c r="EH38" s="146">
        <f>IF((RD[[#This Row],[33 kV_F3_Ex
Incomer1]]-DQ37)*1000&lt;0,0,(RD[[#This Row],[33 kV_F3_Ex
Incomer1]]-DQ37)*1000)</f>
        <v>143099.99999999854</v>
      </c>
      <c r="EI38" s="146">
        <f>IF((RD[[#This Row],[34 kV_F3_Im
Incomer1]]-DR37)*1000&lt;0,0,(RD[[#This Row],[34 kV_F3_Im
Incomer1]]-DR37)*1000)</f>
        <v>100.00000000002274</v>
      </c>
      <c r="EJ38" s="146">
        <f>IF((RD[[#This Row],[33 kV_F4_Ex
Incomer2]]-DS37)*1000&lt;0,0,(RD[[#This Row],[33 kV_F4_Ex
Incomer2]]-DS37)*1000)</f>
        <v>135000</v>
      </c>
      <c r="EK38" s="146">
        <f>IF((RD[[#This Row],[34 kV_F4_Im
Incomer2]]-DT37)*1000&lt;0,0,(RD[[#This Row],[34 kV_F4_Im
Incomer2]]-DT37)*1000)</f>
        <v>199.99999999998863</v>
      </c>
      <c r="EL38" s="146">
        <f>IF((RD[[#This Row],[33 kV_F5_Ex
Incomer3]]-DU37)*1000&lt;0,0,(RD[[#This Row],[33 kV_F5_Ex
Incomer3]]-DU37)*1000)</f>
        <v>175799.99999999563</v>
      </c>
      <c r="EM38" s="146">
        <f>IF((RD[[#This Row],[34 kV_F5_Im
Incomer3]]-DV37)*1000&lt;0,0,(RD[[#This Row],[34 kV_F5_Im
Incomer3]]-DV37)*1000)</f>
        <v>199.99999999998863</v>
      </c>
      <c r="EN38" s="146">
        <f>IF((RD[[#This Row],[33 kV_F6_Ex
Incomer4]]-DW37)*1000&lt;0,0,(RD[[#This Row],[33 kV_F6_Ex
Incomer4]]-DW37)*1000)</f>
        <v>156000</v>
      </c>
      <c r="EO38" s="146">
        <f>IF((RD[[#This Row],[33 kV_F6_Im
Incomer4]]-DX37)*1000&lt;0,0,(RD[[#This Row],[33 kV_F6_Im
Incomer4]]-DX37)*1000)</f>
        <v>200.00000000000284</v>
      </c>
      <c r="EP38" s="146">
        <f>IF((RD[[#This Row],[33 kV_F7_Ex
Incomer5]]-DY37)*1000&lt;0,0,(RD[[#This Row],[33 kV_F7_Ex
Incomer5]]-DY37)*1000)</f>
        <v>0</v>
      </c>
      <c r="EQ38" s="146">
        <f>IF((RD[[#This Row],[33 kV_F7_Im
Incomer5]]-DZ37)*1000&lt;0,0,(RD[[#This Row],[33 kV_F7_Im
Incomer5]]-DZ37)*1000)</f>
        <v>0</v>
      </c>
      <c r="ER38" s="146">
        <f>IF((RD[[#This Row],[33 kV_Aux Trafo]]-EA37)*1000&lt;0,0,(RD[[#This Row],[33 kV_Aux Trafo]]-EA37)*1000)</f>
        <v>210.00000000000796</v>
      </c>
      <c r="ES38" s="158">
        <f>IF((RD[[#This Row],[33kV_OG1_Ex_]]-EB37)*1&lt;0,0,(RD[[#This Row],[33kV_OG1_Ex_]]-EB37)*1)</f>
        <v>610279</v>
      </c>
      <c r="ET38" s="146">
        <f>IF((RD[[#This Row],[33kV_OG1_Im]]-EC37)*1&lt;0,0,(RD[[#This Row],[33kV_OG1_Im]]-EC37)*1)</f>
        <v>781.05200000002515</v>
      </c>
      <c r="EU38" s="146">
        <f>IF((RD[[#This Row],[132kV_TX1_EX]]-ED37)*720&lt;=0,"",(RD[[#This Row],[132kV_TX1_EX]]-ED37)*720)</f>
        <v>720</v>
      </c>
      <c r="EV38" s="146">
        <f>IF((RD[[#This Row],[132 kV_Tx1_Im]]-EE37)*720&lt;=0,0,(RD[[#This Row],[132 kV_Tx1_Im]]-EE37)*720)</f>
        <v>437760</v>
      </c>
      <c r="EW38" s="146">
        <f>IF((RD[[#This Row],[132kV_L1_Ex]]-EF37)*720&lt;=0,0,(RD[[#This Row],[132kV_L1_Ex]]-EF37)*720)</f>
        <v>608256.00000001257</v>
      </c>
      <c r="EX38" s="146">
        <f>IF((RD[[#This Row],[132kV_L1_Im]]-EG37)*720&lt;=0,0,(RD[[#This Row],[132kV_L1_Im]]-EG37)*720)</f>
        <v>935.99999999996726</v>
      </c>
      <c r="EY38" s="244">
        <f>IFERROR(RD[[#This Row],[33kV_OG1_Ex (MWh)]]+RD[[#This Row],[33kV_OG1_Im (MWh)]],"")</f>
        <v>611060.05200000003</v>
      </c>
      <c r="EZ38" s="148">
        <f>RD[[#This Row],[33kV_OG1_Ex (MWh)]]-RD[[#This Row],[33kV_OG1_Im (MWh)]]</f>
        <v>609497.94799999997</v>
      </c>
      <c r="FA38" s="148">
        <f>IFERROR(RD[[#This Row],[132kV_L1_Ex(MWh)]]-RD[[#This Row],[132kV_L1_Im(MWh)]],"")</f>
        <v>607320.00000001257</v>
      </c>
      <c r="FB38" s="55">
        <f>IFERROR(RD[[#This Row],[33kV_Ex(MWh)]]/RD[[#This Row],[Inv Total Gneration (MWh)]]-1,"")</f>
        <v>-1.2645376911842199E-2</v>
      </c>
      <c r="FC38" s="245">
        <f>IFERROR((RD[[#This Row],[Sunset Time (POA&lt;20 W/m2)]]-RD[[#This Row],[Sunrise Time (POA&gt;20 W/m2)]])*24,0)</f>
        <v>12.250000000000002</v>
      </c>
      <c r="FD38" s="246">
        <v>106</v>
      </c>
      <c r="FE38" t="s">
        <v>268</v>
      </c>
      <c r="FG38" s="144" t="str">
        <f>IFERROR(RD[[#This Row],[E_AC (WPR)]]/RD[[#This Row],[E_DC (WPR)]],"")</f>
        <v/>
      </c>
    </row>
    <row r="39" spans="1:163">
      <c r="A39" s="133">
        <f t="shared" si="157"/>
        <v>45779</v>
      </c>
      <c r="B39" s="138">
        <f>YEAR(RD[[#This Row],[Date]])+IF(MONTH(RD[[#This Row],[Date]])&gt;=4,1,0)</f>
        <v>2026</v>
      </c>
      <c r="C39" s="138">
        <f>YEAR(RD[[#This Row],[Date]])</f>
        <v>2025</v>
      </c>
      <c r="D39" s="139">
        <f t="shared" si="158"/>
        <v>45778</v>
      </c>
      <c r="E39" s="138">
        <f>DAY(EOMONTH(RD[[#This Row],[Date]],0))</f>
        <v>31</v>
      </c>
      <c r="F39" s="152">
        <v>0.25972222222222224</v>
      </c>
      <c r="G39" s="162">
        <v>0.76458333333333328</v>
      </c>
      <c r="H39" s="124">
        <v>8440.5</v>
      </c>
      <c r="I39" s="124">
        <v>8429.9</v>
      </c>
      <c r="J39" s="124">
        <v>8032.9</v>
      </c>
      <c r="K39" s="124">
        <v>8090.2</v>
      </c>
      <c r="L39" s="124">
        <v>8297.1</v>
      </c>
      <c r="M39" s="124">
        <v>8510.5</v>
      </c>
      <c r="N39" s="124">
        <v>8296.9</v>
      </c>
      <c r="O39" s="124">
        <v>8828.4</v>
      </c>
      <c r="P39" s="124">
        <v>8227.5</v>
      </c>
      <c r="Q39" s="124">
        <v>8228.5</v>
      </c>
      <c r="R39" s="124">
        <v>8512</v>
      </c>
      <c r="S39" s="124">
        <v>8439.2999999999993</v>
      </c>
      <c r="T39" s="124">
        <v>8640.6</v>
      </c>
      <c r="U39" s="124">
        <v>8467</v>
      </c>
      <c r="V39" s="124">
        <v>8635.2000000000007</v>
      </c>
      <c r="W39" s="124">
        <v>8443</v>
      </c>
      <c r="X39" s="203">
        <v>11989.6</v>
      </c>
      <c r="Y39" s="203">
        <v>12916.3</v>
      </c>
      <c r="Z39" s="203">
        <v>11504.6</v>
      </c>
      <c r="AA39" s="203">
        <v>11939.7</v>
      </c>
      <c r="AB39" s="203">
        <v>12876.4</v>
      </c>
      <c r="AC39" s="203">
        <v>8040.9</v>
      </c>
      <c r="AD39" s="203">
        <v>12101.2</v>
      </c>
      <c r="AE39" s="203">
        <v>12059.2</v>
      </c>
      <c r="AF39" s="203">
        <v>12001.7</v>
      </c>
      <c r="AG39" s="203">
        <v>11971.6</v>
      </c>
      <c r="AH39" s="203">
        <v>12028.1</v>
      </c>
      <c r="AI39" s="203">
        <v>12101</v>
      </c>
      <c r="AJ39" s="142">
        <v>9989.2999999999993</v>
      </c>
      <c r="AK39" s="142">
        <v>10214.9</v>
      </c>
      <c r="AL39" s="142">
        <v>9918</v>
      </c>
      <c r="AM39" s="142">
        <v>10012.200000000001</v>
      </c>
      <c r="AN39" s="142">
        <v>9922.6</v>
      </c>
      <c r="AO39" s="142">
        <v>10249.200000000001</v>
      </c>
      <c r="AP39" s="142">
        <v>10086.5</v>
      </c>
      <c r="AQ39" s="142">
        <v>9964.2999999999993</v>
      </c>
      <c r="AR39" s="142">
        <v>8058.3</v>
      </c>
      <c r="AS39" s="142">
        <v>8132.7</v>
      </c>
      <c r="AT39" s="142">
        <v>8209.2000000000007</v>
      </c>
      <c r="AU39" s="142">
        <v>8174.1</v>
      </c>
      <c r="AV39" s="142">
        <v>8335.2000000000007</v>
      </c>
      <c r="AW39" s="142">
        <v>8208.2000000000007</v>
      </c>
      <c r="AX39" s="142">
        <v>11368.8</v>
      </c>
      <c r="AY39" s="142">
        <v>12731.5</v>
      </c>
      <c r="AZ39" s="142">
        <v>9297.9</v>
      </c>
      <c r="BA39" s="142">
        <v>11102.9</v>
      </c>
      <c r="BB39" s="142">
        <v>11279.9</v>
      </c>
      <c r="BC39" s="142">
        <v>9405.5</v>
      </c>
      <c r="BD39" s="142">
        <v>7761.8</v>
      </c>
      <c r="BE39" s="142">
        <v>10624</v>
      </c>
      <c r="BF39" s="142">
        <v>10656</v>
      </c>
      <c r="BG39" s="142">
        <v>11054</v>
      </c>
      <c r="BH39" s="142">
        <v>6976.2</v>
      </c>
      <c r="BI39" s="142">
        <v>4397.3</v>
      </c>
      <c r="BJ39" s="142">
        <v>7600.7</v>
      </c>
      <c r="BK39" s="142">
        <v>5683.8</v>
      </c>
      <c r="BL39" s="142">
        <v>7137</v>
      </c>
      <c r="BM39" s="142">
        <v>7096</v>
      </c>
      <c r="BN39" s="142">
        <v>7080.2</v>
      </c>
      <c r="BO39" s="142">
        <v>7497.9</v>
      </c>
      <c r="BP39" s="142">
        <v>7229.7</v>
      </c>
      <c r="BQ39" s="142">
        <v>5831.3</v>
      </c>
      <c r="BR39" s="142">
        <v>5742.8</v>
      </c>
      <c r="BS39" s="142">
        <v>0</v>
      </c>
      <c r="BT39" s="142">
        <v>2476.9</v>
      </c>
      <c r="BU39" s="142">
        <v>1155.2</v>
      </c>
      <c r="BV39" s="142"/>
      <c r="BW39" s="142"/>
      <c r="BX39" s="142"/>
      <c r="BY39" s="142"/>
      <c r="BZ39" s="142">
        <v>1212.9000000000001</v>
      </c>
      <c r="CA39" s="142">
        <v>1032.7</v>
      </c>
      <c r="CB39" s="142">
        <v>4373.8</v>
      </c>
      <c r="CC39" s="142">
        <v>7967.3</v>
      </c>
      <c r="CD39" s="59">
        <v>6.8395193999999941</v>
      </c>
      <c r="CE39" s="59">
        <v>6.3734125333333305</v>
      </c>
      <c r="CF39" s="206">
        <v>6.844666333333338</v>
      </c>
      <c r="CG39" s="206">
        <v>6.2487811500000019</v>
      </c>
      <c r="CH39" s="206">
        <v>0.98367576666666645</v>
      </c>
      <c r="CI39" s="206">
        <v>1.0726770833333334</v>
      </c>
      <c r="CJ39" s="59">
        <v>1.3549220999999994</v>
      </c>
      <c r="CK39" s="59">
        <v>1.1838870666666668</v>
      </c>
      <c r="CL39" s="206">
        <v>35.045701168614279</v>
      </c>
      <c r="CM39" s="206">
        <v>35.006980079681334</v>
      </c>
      <c r="CN39" s="206">
        <v>48.127869782971636</v>
      </c>
      <c r="CO39" s="206">
        <v>45.536712350597625</v>
      </c>
      <c r="CP39" s="206">
        <v>21.831010016694488</v>
      </c>
      <c r="CQ39" s="206">
        <v>23.344908366533858</v>
      </c>
      <c r="CR39" s="59">
        <v>0</v>
      </c>
      <c r="CS39" s="59">
        <v>0</v>
      </c>
      <c r="CT39" s="206">
        <v>1.2089899833055107</v>
      </c>
      <c r="CU39" s="206">
        <v>1.2594956175298808</v>
      </c>
      <c r="CV39" s="206">
        <v>3.093</v>
      </c>
      <c r="CW39" s="260">
        <v>3.609</v>
      </c>
      <c r="CX39" s="204">
        <f>IFERROR(AVERAGEIF(RD[[#This Row],[IS1POA1 (KWh/m2)]:[IS7POA2 (KWh/m2)]],"&lt;&gt;0",RD[[#This Row],[IS1POA1 (KWh/m2)]:[IS7POA2 (KWh/m2)]]),"")</f>
        <v>6.6064659666666623</v>
      </c>
      <c r="CY39" s="204">
        <f>IFERROR(AVERAGEIF(RD[[#This Row],[IS1GHI1 (KWh/m2)]:[IS7GHI2 (KWh/m2)]],"&lt;&gt;0",RD[[#This Row],[IS1GHI1 (KWh/m2)]:[IS7GHI2 (KWh/m2)]]),"")</f>
        <v>6.5467237416666695</v>
      </c>
      <c r="CZ39" s="204">
        <f>IFERROR(AVERAGEIF(RD[[#This Row],[IS1POA_BS1 (KWh/m2)]:[IS7POA_BS2 (KWh/m2)]],"&lt;&gt;0",RD[[#This Row],[IS1POA_BS1 (KWh/m2)]:[IS7POA_BS2 (KWh/m2)]]),"")</f>
        <v>1.0281764249999998</v>
      </c>
      <c r="DA39" s="204">
        <f>IFERROR(AVERAGEIF(RD[[#This Row],[IS1GHI_BS1 (KWh/m2)]:[IS1GHI_BS1 (KWh/m2)2]],"&lt;&gt;0",RD[[#This Row],[IS1GHI_BS1 (KWh/m2)]:[IS1GHI_BS1 (KWh/m2)2]]),"")</f>
        <v>1.2694045833333329</v>
      </c>
      <c r="DB39" s="204">
        <f>IFERROR(AVERAGEIF(RD[[#This Row],[IS1AT1 (°C)]:[IS7AT2 (°C)]],"&lt;&gt;0",RD[[#This Row],[IS1AT1 (°C)]:[IS7AT2 (°C)]]),"")</f>
        <v>35.026340624147807</v>
      </c>
      <c r="DC39" s="204">
        <f>IFERROR(AVERAGEIF(RD[[#This Row],[IS1MT1 (°C)]:[IS7MT2 (°C)]],"&lt;&gt;0",RD[[#This Row],[IS1MT1 (°C)]:[IS7MT2 (°C)]]),"")</f>
        <v>46.832291066784634</v>
      </c>
      <c r="DD39" s="204">
        <f>IFERROR(AVERAGEIF(RD[[#This Row],[IS1RH1 (%)]:[IS7RH2 (%)]],"&lt;&gt;0",RD[[#This Row],[IS1RH1 (%)]:[IS7RH2 (%)]]),"")</f>
        <v>22.587959191614175</v>
      </c>
      <c r="DE39" s="51" t="str">
        <f>IFERROR(AVERAGEIF(RD[[#This Row],[IS1Rain1 (mm)]:[IS7Rain2 (mm)]],"&lt;&gt;0",RD[[#This Row],[IS1Rain1 (mm)]:[IS7Rain2 (mm)]]),"")</f>
        <v/>
      </c>
      <c r="DF39" s="204">
        <f>IFERROR(AVERAGEIF(RD[[#This Row],[WS_Solar1_Avg (m/s)]:[IS7_WS_Solar1_Avg (m/s)]],"&lt;&gt;0",RD[[#This Row],[WS_Solar1_Avg (m/s)]:[IS7_WS_Solar1_Avg (m/s)]]),"")</f>
        <v>1.2342428004176957</v>
      </c>
      <c r="DG39" s="204">
        <f>IFERROR(AVERAGEIF(RD[[#This Row],[WS_Solar1_Max (m/s)]:[IS7_WS_Solar1_Max (m/s)]],"&lt;&gt;0",RD[[#This Row],[WS_Solar1_Max (m/s)]:[IS7_WS_Solar1_Max (m/s)]]),"")</f>
        <v>3.351</v>
      </c>
      <c r="DH39" s="204">
        <f>SUM(RD[[#This Row],[IS1Inv1M1]:[IS4Inv4M2]])</f>
        <v>276049.80000000005</v>
      </c>
      <c r="DI39" s="205">
        <f>SUM(RD[[#This Row],[IS7Inv1M1]]+RD[[#This Row],[IS7Inv2M1]])</f>
        <v>16191</v>
      </c>
      <c r="DJ39" s="204">
        <f>SUM(RD[[#This Row],[IS5Inv1M1]:[IS5Inv2M2]])</f>
        <v>40134.399999999994</v>
      </c>
      <c r="DK39" s="204">
        <f>SUM(RD[[#This Row],[IS8Inv1M1]:[IS9Inv2M2]])</f>
        <v>77427.799999999988</v>
      </c>
      <c r="DL39" s="60">
        <f>SUM(RD[[#This Row],[IS6Inv1M1]:[IS6Inv2M2]])</f>
        <v>40222.600000000006</v>
      </c>
      <c r="DM39" s="51">
        <f>SUM(RD[[#This Row],[IS10Inv1M1]:[IS11Inv1M4]],RD[[#This Row],[IS14Inv1M1]:[IS14Inv2M4]])</f>
        <v>114258.9</v>
      </c>
      <c r="DN39" s="288">
        <f>SUM(RD[[#This Row],[IS12Inv1M1]:[IS12Inv1M4]])</f>
        <v>27639.1</v>
      </c>
      <c r="DO39" s="288">
        <f>SUM(RD[[#This Row],[IS13Inv1M1]:[IS13Inv2M2]])</f>
        <v>9374.9000000000015</v>
      </c>
      <c r="DP39" s="204">
        <f>SUM(RD[[#This Row],[O2R15]:[O2R26]])</f>
        <v>601298.50000000012</v>
      </c>
      <c r="DQ39" s="164">
        <v>38463.599999999999</v>
      </c>
      <c r="DR39" s="168">
        <v>205.7</v>
      </c>
      <c r="DS39" s="164">
        <v>33140.5</v>
      </c>
      <c r="DT39" s="164">
        <v>217.9</v>
      </c>
      <c r="DU39" s="168">
        <v>38318</v>
      </c>
      <c r="DV39" s="168">
        <v>391.8</v>
      </c>
      <c r="DW39" s="164">
        <v>6314.5</v>
      </c>
      <c r="DX39" s="168">
        <v>28.9</v>
      </c>
      <c r="DY39" s="168"/>
      <c r="DZ39" s="168"/>
      <c r="EA39" s="140">
        <v>90.91</v>
      </c>
      <c r="EB39" s="243">
        <v>119548133</v>
      </c>
      <c r="EC39" s="242">
        <v>901027.71200000006</v>
      </c>
      <c r="ED39" s="243">
        <v>1079</v>
      </c>
      <c r="EE39" s="243">
        <v>113872</v>
      </c>
      <c r="EF39" s="164">
        <v>165813.5</v>
      </c>
      <c r="EG39" s="164">
        <v>1772.9</v>
      </c>
      <c r="EH39" s="146">
        <f>IF((RD[[#This Row],[33 kV_F3_Ex
Incomer1]]-DQ38)*1000&lt;0,0,(RD[[#This Row],[33 kV_F3_Ex
Incomer1]]-DQ38)*1000)</f>
        <v>140400.00000000146</v>
      </c>
      <c r="EI39" s="146">
        <f>IF((RD[[#This Row],[34 kV_F3_Im
Incomer1]]-DR38)*1000&lt;0,0,(RD[[#This Row],[34 kV_F3_Im
Incomer1]]-DR38)*1000)</f>
        <v>399.99999999997726</v>
      </c>
      <c r="EJ39" s="146">
        <f>IF((RD[[#This Row],[33 kV_F4_Ex
Incomer2]]-DS38)*1000&lt;0,0,(RD[[#This Row],[33 kV_F4_Ex
Incomer2]]-DS38)*1000)</f>
        <v>130800.00000000291</v>
      </c>
      <c r="EK39" s="146">
        <f>IF((RD[[#This Row],[34 kV_F4_Im
Incomer2]]-DT38)*1000&lt;0,0,(RD[[#This Row],[34 kV_F4_Im
Incomer2]]-DT38)*1000)</f>
        <v>300.00000000001137</v>
      </c>
      <c r="EL39" s="146">
        <f>IF((RD[[#This Row],[33 kV_F5_Ex
Incomer3]]-DU38)*1000&lt;0,0,(RD[[#This Row],[33 kV_F5_Ex
Incomer3]]-DU38)*1000)</f>
        <v>171300.00000000291</v>
      </c>
      <c r="EM39" s="146">
        <f>IF((RD[[#This Row],[34 kV_F5_Im
Incomer3]]-DV38)*1000&lt;0,0,(RD[[#This Row],[34 kV_F5_Im
Incomer3]]-DV38)*1000)</f>
        <v>600.00000000002274</v>
      </c>
      <c r="EN39" s="146">
        <f>IF((RD[[#This Row],[33 kV_F6_Ex
Incomer4]]-DW38)*1000&lt;0,0,(RD[[#This Row],[33 kV_F6_Ex
Incomer4]]-DW38)*1000)</f>
        <v>149399.99999999965</v>
      </c>
      <c r="EO39" s="146">
        <f>IF((RD[[#This Row],[33 kV_F6_Im
Incomer4]]-DX38)*1000&lt;0,0,(RD[[#This Row],[33 kV_F6_Im
Incomer4]]-DX38)*1000)</f>
        <v>799.99999999999716</v>
      </c>
      <c r="EP39" s="146">
        <f>IF((RD[[#This Row],[33 kV_F7_Ex
Incomer5]]-DY38)*1000&lt;0,0,(RD[[#This Row],[33 kV_F7_Ex
Incomer5]]-DY38)*1000)</f>
        <v>0</v>
      </c>
      <c r="EQ39" s="146">
        <f>IF((RD[[#This Row],[33 kV_F7_Im
Incomer5]]-DZ38)*1000&lt;0,0,(RD[[#This Row],[33 kV_F7_Im
Incomer5]]-DZ38)*1000)</f>
        <v>0</v>
      </c>
      <c r="ER39" s="146">
        <f>IF((RD[[#This Row],[33 kV_Aux Trafo]]-EA38)*1000&lt;0,0,(RD[[#This Row],[33 kV_Aux Trafo]]-EA38)*1000)</f>
        <v>319.99999999999318</v>
      </c>
      <c r="ES39" s="158">
        <f>IF((RD[[#This Row],[33kV_OG1_Ex_]]-EB38)*1&lt;0,0,(RD[[#This Row],[33kV_OG1_Ex_]]-EB38)*1)</f>
        <v>591979</v>
      </c>
      <c r="ET39" s="146">
        <f>IF((RD[[#This Row],[33kV_OG1_Im]]-EC38)*1&lt;0,0,(RD[[#This Row],[33kV_OG1_Im]]-EC38)*1)</f>
        <v>2226.0520000000251</v>
      </c>
      <c r="EU39" s="146">
        <f>IF((RD[[#This Row],[132kV_TX1_EX]]-ED38)*720&lt;=0,"",(RD[[#This Row],[132kV_TX1_EX]]-ED38)*720)</f>
        <v>2160</v>
      </c>
      <c r="EV39" s="146">
        <f>IF((RD[[#This Row],[132 kV_Tx1_Im]]-EE38)*720&lt;=0,0,(RD[[#This Row],[132 kV_Tx1_Im]]-EE38)*720)</f>
        <v>424080</v>
      </c>
      <c r="EW39" s="146">
        <f>IF((RD[[#This Row],[132kV_L1_Ex]]-EF38)*720&lt;=0,0,(RD[[#This Row],[132kV_L1_Ex]]-EF38)*720)</f>
        <v>589967.99999999581</v>
      </c>
      <c r="EX39" s="146">
        <f>IF((RD[[#This Row],[132kV_L1_Im]]-EG38)*720&lt;=0,0,(RD[[#This Row],[132kV_L1_Im]]-EG38)*720)</f>
        <v>2808.0000000000655</v>
      </c>
      <c r="EY39" s="244">
        <f>IFERROR(RD[[#This Row],[33kV_OG1_Ex (MWh)]]+RD[[#This Row],[33kV_OG1_Im (MWh)]],"")</f>
        <v>594205.05200000003</v>
      </c>
      <c r="EZ39" s="148">
        <f>RD[[#This Row],[33kV_OG1_Ex (MWh)]]-RD[[#This Row],[33kV_OG1_Im (MWh)]]</f>
        <v>589752.94799999997</v>
      </c>
      <c r="FA39" s="148">
        <f>IFERROR(RD[[#This Row],[132kV_L1_Ex(MWh)]]-RD[[#This Row],[132kV_L1_Im(MWh)]],"")</f>
        <v>587159.99999999569</v>
      </c>
      <c r="FB39" s="55">
        <f>IFERROR(RD[[#This Row],[33kV_Ex(MWh)]]/RD[[#This Row],[Inv Total Gneration (MWh)]]-1,"")</f>
        <v>-1.1796882912563533E-2</v>
      </c>
      <c r="FC39" s="245">
        <f>IFERROR((RD[[#This Row],[Sunset Time (POA&lt;20 W/m2)]]-RD[[#This Row],[Sunrise Time (POA&gt;20 W/m2)]])*24,0)</f>
        <v>12.116666666666664</v>
      </c>
      <c r="FD39" s="246">
        <v>106</v>
      </c>
      <c r="FE39" t="s">
        <v>265</v>
      </c>
      <c r="FG39" s="144" t="str">
        <f>IFERROR(RD[[#This Row],[E_AC (WPR)]]/RD[[#This Row],[E_DC (WPR)]],"")</f>
        <v/>
      </c>
    </row>
    <row r="40" spans="1:163">
      <c r="A40" s="133">
        <f t="shared" si="157"/>
        <v>45780</v>
      </c>
      <c r="B40" s="138">
        <f>YEAR(RD[[#This Row],[Date]])+IF(MONTH(RD[[#This Row],[Date]])&gt;=4,1,0)</f>
        <v>2026</v>
      </c>
      <c r="C40" s="138">
        <f>YEAR(RD[[#This Row],[Date]])</f>
        <v>2025</v>
      </c>
      <c r="D40" s="139">
        <f t="shared" si="158"/>
        <v>45778</v>
      </c>
      <c r="E40" s="138">
        <f>DAY(EOMONTH(RD[[#This Row],[Date]],0))</f>
        <v>31</v>
      </c>
      <c r="F40" s="152">
        <v>0.25833333333333336</v>
      </c>
      <c r="G40" s="162">
        <v>0.77013888888888893</v>
      </c>
      <c r="H40" s="124">
        <v>8397.4</v>
      </c>
      <c r="I40" s="124">
        <v>8262.7000000000007</v>
      </c>
      <c r="J40" s="124">
        <v>7810.7</v>
      </c>
      <c r="K40" s="124">
        <v>8074.8</v>
      </c>
      <c r="L40" s="124">
        <v>8287.7000000000007</v>
      </c>
      <c r="M40" s="124">
        <v>8511.4</v>
      </c>
      <c r="N40" s="124">
        <v>8245.9</v>
      </c>
      <c r="O40" s="124">
        <v>8884.4</v>
      </c>
      <c r="P40" s="124">
        <v>8053.5</v>
      </c>
      <c r="Q40" s="124">
        <v>8060</v>
      </c>
      <c r="R40" s="124">
        <v>8306.4</v>
      </c>
      <c r="S40" s="124">
        <v>8129.9</v>
      </c>
      <c r="T40" s="124">
        <v>8424</v>
      </c>
      <c r="U40" s="124">
        <v>8210</v>
      </c>
      <c r="V40" s="124">
        <v>8423.1</v>
      </c>
      <c r="W40" s="124">
        <v>8139.9</v>
      </c>
      <c r="X40" s="203">
        <v>11358.9</v>
      </c>
      <c r="Y40" s="203">
        <v>12339.9</v>
      </c>
      <c r="Z40" s="203">
        <v>11011.7</v>
      </c>
      <c r="AA40" s="203">
        <v>11496.5</v>
      </c>
      <c r="AB40" s="203">
        <v>12312</v>
      </c>
      <c r="AC40" s="203">
        <v>7667.7</v>
      </c>
      <c r="AD40" s="203">
        <v>11504.3</v>
      </c>
      <c r="AE40" s="203">
        <v>11589.4</v>
      </c>
      <c r="AF40" s="203">
        <v>11396.2</v>
      </c>
      <c r="AG40" s="203">
        <v>11727</v>
      </c>
      <c r="AH40" s="203">
        <v>11445.7</v>
      </c>
      <c r="AI40" s="203">
        <v>11508.6</v>
      </c>
      <c r="AJ40" s="142">
        <v>10052.799999999999</v>
      </c>
      <c r="AK40" s="142">
        <v>10262.9</v>
      </c>
      <c r="AL40" s="142">
        <v>10099.200000000001</v>
      </c>
      <c r="AM40" s="142">
        <v>10138.5</v>
      </c>
      <c r="AN40" s="142">
        <v>8626.2999999999993</v>
      </c>
      <c r="AO40" s="142">
        <v>8908.4</v>
      </c>
      <c r="AP40" s="142">
        <v>8771</v>
      </c>
      <c r="AQ40" s="142">
        <v>8674.7999999999993</v>
      </c>
      <c r="AR40" s="142">
        <v>8164.8</v>
      </c>
      <c r="AS40" s="142">
        <v>8200.9</v>
      </c>
      <c r="AT40" s="142">
        <v>8327.2999999999993</v>
      </c>
      <c r="AU40" s="142">
        <v>8297.2999999999993</v>
      </c>
      <c r="AV40" s="142">
        <v>8440.2000000000007</v>
      </c>
      <c r="AW40" s="142">
        <v>8291</v>
      </c>
      <c r="AX40" s="142">
        <v>11474.2</v>
      </c>
      <c r="AY40" s="142">
        <v>12684.2</v>
      </c>
      <c r="AZ40" s="142">
        <v>9407.5</v>
      </c>
      <c r="BA40" s="142">
        <v>11279.8</v>
      </c>
      <c r="BB40" s="142">
        <v>10819.9</v>
      </c>
      <c r="BC40" s="142">
        <v>9086.2000000000007</v>
      </c>
      <c r="BD40" s="142">
        <v>7473</v>
      </c>
      <c r="BE40" s="142">
        <v>10174.4</v>
      </c>
      <c r="BF40" s="142">
        <v>10948.5</v>
      </c>
      <c r="BG40" s="142">
        <v>11110.5</v>
      </c>
      <c r="BH40" s="142">
        <v>6823</v>
      </c>
      <c r="BI40" s="142">
        <v>4139.7</v>
      </c>
      <c r="BJ40" s="142">
        <v>7310.1</v>
      </c>
      <c r="BK40" s="142">
        <v>5430.4</v>
      </c>
      <c r="BL40" s="142">
        <v>6834.6</v>
      </c>
      <c r="BM40" s="142">
        <v>6788.8</v>
      </c>
      <c r="BN40" s="142">
        <v>6888</v>
      </c>
      <c r="BO40" s="142">
        <v>7309.4</v>
      </c>
      <c r="BP40" s="142">
        <v>7103.3</v>
      </c>
      <c r="BQ40" s="142">
        <v>5697.9</v>
      </c>
      <c r="BR40" s="142">
        <v>5345.6</v>
      </c>
      <c r="BS40" s="142">
        <v>945.2</v>
      </c>
      <c r="BT40" s="142">
        <v>2405.1999999999998</v>
      </c>
      <c r="BU40" s="142">
        <v>1134.5</v>
      </c>
      <c r="BV40" s="142"/>
      <c r="BW40" s="142"/>
      <c r="BX40" s="142"/>
      <c r="BY40" s="142"/>
      <c r="BZ40" s="142">
        <v>1183.2</v>
      </c>
      <c r="CA40" s="142">
        <v>1009</v>
      </c>
      <c r="CB40" s="142">
        <v>4281.3999999999996</v>
      </c>
      <c r="CC40" s="142">
        <v>7755.2</v>
      </c>
      <c r="CD40" s="59">
        <v>6.7846378666666647</v>
      </c>
      <c r="CE40" s="59">
        <v>6.473088566666652</v>
      </c>
      <c r="CF40" s="206">
        <v>6.8618392166666569</v>
      </c>
      <c r="CG40" s="206">
        <v>6.6160032833333338</v>
      </c>
      <c r="CH40" s="206">
        <v>0.92739333333333229</v>
      </c>
      <c r="CI40" s="206">
        <v>1.1396934833333345</v>
      </c>
      <c r="CJ40" s="59">
        <v>1.3816905833333346</v>
      </c>
      <c r="CK40" s="59">
        <v>1.2308757333333333</v>
      </c>
      <c r="CL40" s="206">
        <v>34.137583333333311</v>
      </c>
      <c r="CM40" s="206">
        <v>34.334743055555592</v>
      </c>
      <c r="CN40" s="206">
        <v>45.972781250000025</v>
      </c>
      <c r="CO40" s="206">
        <v>44.128389583333281</v>
      </c>
      <c r="CP40" s="206">
        <v>22.182527777777764</v>
      </c>
      <c r="CQ40" s="206">
        <v>23.905527777777767</v>
      </c>
      <c r="CR40" s="59">
        <v>0</v>
      </c>
      <c r="CS40" s="59">
        <v>0</v>
      </c>
      <c r="CT40" s="206">
        <v>1.3178666666666681</v>
      </c>
      <c r="CU40" s="206">
        <v>1.4374958333333316</v>
      </c>
      <c r="CV40" s="206">
        <v>3.2370000000000001</v>
      </c>
      <c r="CW40" s="260">
        <v>3.0390000000000001</v>
      </c>
      <c r="CX40" s="204">
        <f>IFERROR(AVERAGEIF(RD[[#This Row],[IS1POA1 (KWh/m2)]:[IS7POA2 (KWh/m2)]],"&lt;&gt;0",RD[[#This Row],[IS1POA1 (KWh/m2)]:[IS7POA2 (KWh/m2)]]),"")</f>
        <v>6.6288632166666588</v>
      </c>
      <c r="CY40" s="204">
        <f>IFERROR(AVERAGEIF(RD[[#This Row],[IS1GHI1 (KWh/m2)]:[IS7GHI2 (KWh/m2)]],"&lt;&gt;0",RD[[#This Row],[IS1GHI1 (KWh/m2)]:[IS7GHI2 (KWh/m2)]]),"")</f>
        <v>6.7389212499999953</v>
      </c>
      <c r="CZ40" s="204">
        <f>IFERROR(AVERAGEIF(RD[[#This Row],[IS1POA_BS1 (KWh/m2)]:[IS7POA_BS2 (KWh/m2)]],"&lt;&gt;0",RD[[#This Row],[IS1POA_BS1 (KWh/m2)]:[IS7POA_BS2 (KWh/m2)]]),"")</f>
        <v>1.0335434083333335</v>
      </c>
      <c r="DA40" s="204">
        <f>IFERROR(AVERAGEIF(RD[[#This Row],[IS1GHI_BS1 (KWh/m2)]:[IS1GHI_BS1 (KWh/m2)2]],"&lt;&gt;0",RD[[#This Row],[IS1GHI_BS1 (KWh/m2)]:[IS1GHI_BS1 (KWh/m2)2]]),"")</f>
        <v>1.3062831583333341</v>
      </c>
      <c r="DB40" s="204">
        <f>IFERROR(AVERAGEIF(RD[[#This Row],[IS1AT1 (°C)]:[IS7AT2 (°C)]],"&lt;&gt;0",RD[[#This Row],[IS1AT1 (°C)]:[IS7AT2 (°C)]]),"")</f>
        <v>34.236163194444451</v>
      </c>
      <c r="DC40" s="204">
        <f>IFERROR(AVERAGEIF(RD[[#This Row],[IS1MT1 (°C)]:[IS7MT2 (°C)]],"&lt;&gt;0",RD[[#This Row],[IS1MT1 (°C)]:[IS7MT2 (°C)]]),"")</f>
        <v>45.05058541666665</v>
      </c>
      <c r="DD40" s="204">
        <f>IFERROR(AVERAGEIF(RD[[#This Row],[IS1RH1 (%)]:[IS7RH2 (%)]],"&lt;&gt;0",RD[[#This Row],[IS1RH1 (%)]:[IS7RH2 (%)]]),"")</f>
        <v>23.044027777777764</v>
      </c>
      <c r="DE40" s="51" t="str">
        <f>IFERROR(AVERAGEIF(RD[[#This Row],[IS1Rain1 (mm)]:[IS7Rain2 (mm)]],"&lt;&gt;0",RD[[#This Row],[IS1Rain1 (mm)]:[IS7Rain2 (mm)]]),"")</f>
        <v/>
      </c>
      <c r="DF40" s="204">
        <f>IFERROR(AVERAGEIF(RD[[#This Row],[WS_Solar1_Avg (m/s)]:[IS7_WS_Solar1_Avg (m/s)]],"&lt;&gt;0",RD[[#This Row],[WS_Solar1_Avg (m/s)]:[IS7_WS_Solar1_Avg (m/s)]]),"")</f>
        <v>1.3776812499999997</v>
      </c>
      <c r="DG40" s="204">
        <f>IFERROR(AVERAGEIF(RD[[#This Row],[WS_Solar1_Max (m/s)]:[IS7_WS_Solar1_Max (m/s)]],"&lt;&gt;0",RD[[#This Row],[WS_Solar1_Max (m/s)]:[IS7_WS_Solar1_Max (m/s)]]),"")</f>
        <v>3.1379999999999999</v>
      </c>
      <c r="DH40" s="204">
        <f>SUM(RD[[#This Row],[IS1Inv1M1]:[IS4Inv4M2]])</f>
        <v>267579.7</v>
      </c>
      <c r="DI40" s="205">
        <f>SUM(RD[[#This Row],[IS7Inv1M1]]+RD[[#This Row],[IS7Inv2M1]])</f>
        <v>16365.7</v>
      </c>
      <c r="DJ40" s="204">
        <f>SUM(RD[[#This Row],[IS5Inv1M1]:[IS5Inv2M2]])</f>
        <v>40553.399999999994</v>
      </c>
      <c r="DK40" s="204">
        <f>SUM(RD[[#This Row],[IS8Inv1M1]:[IS9Inv2M2]])</f>
        <v>78201.5</v>
      </c>
      <c r="DL40" s="60">
        <f>SUM(RD[[#This Row],[IS6Inv1M1]:[IS6Inv2M2]])</f>
        <v>34980.5</v>
      </c>
      <c r="DM40" s="51">
        <f>SUM(RD[[#This Row],[IS10Inv1M1]:[IS11Inv1M4]],RD[[#This Row],[IS14Inv1M1]:[IS14Inv2M4]])</f>
        <v>111167.9</v>
      </c>
      <c r="DN40" s="288">
        <f>SUM(RD[[#This Row],[IS12Inv1M1]:[IS12Inv1M4]])</f>
        <v>26998.6</v>
      </c>
      <c r="DO40" s="288">
        <f>SUM(RD[[#This Row],[IS13Inv1M1]:[IS13Inv2M2]])</f>
        <v>9830.5</v>
      </c>
      <c r="DP40" s="204">
        <f>SUM(RD[[#This Row],[O2R15]:[O2R26]])</f>
        <v>585677.80000000005</v>
      </c>
      <c r="DQ40" s="164">
        <v>38597.9</v>
      </c>
      <c r="DR40" s="168">
        <v>206</v>
      </c>
      <c r="DS40" s="164">
        <v>33268.5</v>
      </c>
      <c r="DT40" s="164">
        <v>218.3</v>
      </c>
      <c r="DU40" s="168">
        <v>38485.5</v>
      </c>
      <c r="DV40" s="168">
        <v>392.1</v>
      </c>
      <c r="DW40" s="164">
        <v>6459.7</v>
      </c>
      <c r="DX40" s="168">
        <v>29.5</v>
      </c>
      <c r="DY40" s="168"/>
      <c r="DZ40" s="168"/>
      <c r="EA40" s="140">
        <v>91.2</v>
      </c>
      <c r="EB40" s="243">
        <v>120123752</v>
      </c>
      <c r="EC40" s="242">
        <v>902716.28799999994</v>
      </c>
      <c r="ED40" s="243">
        <v>1081</v>
      </c>
      <c r="EE40" s="243">
        <v>114445</v>
      </c>
      <c r="EF40" s="164">
        <v>166610.20000000001</v>
      </c>
      <c r="EG40" s="164">
        <v>1776</v>
      </c>
      <c r="EH40" s="146">
        <f>IF((RD[[#This Row],[33 kV_F3_Ex
Incomer1]]-DQ39)*1000&lt;0,0,(RD[[#This Row],[33 kV_F3_Ex
Incomer1]]-DQ39)*1000)</f>
        <v>134300.00000000291</v>
      </c>
      <c r="EI40" s="146">
        <f>IF((RD[[#This Row],[34 kV_F3_Im
Incomer1]]-DR39)*1000&lt;0,0,(RD[[#This Row],[34 kV_F3_Im
Incomer1]]-DR39)*1000)</f>
        <v>300.00000000001137</v>
      </c>
      <c r="EJ40" s="146">
        <f>IF((RD[[#This Row],[33 kV_F4_Ex
Incomer2]]-DS39)*1000&lt;0,0,(RD[[#This Row],[33 kV_F4_Ex
Incomer2]]-DS39)*1000)</f>
        <v>128000</v>
      </c>
      <c r="EK40" s="146">
        <f>IF((RD[[#This Row],[34 kV_F4_Im
Incomer2]]-DT39)*1000&lt;0,0,(RD[[#This Row],[34 kV_F4_Im
Incomer2]]-DT39)*1000)</f>
        <v>400.00000000000568</v>
      </c>
      <c r="EL40" s="146">
        <f>IF((RD[[#This Row],[33 kV_F5_Ex
Incomer3]]-DU39)*1000&lt;0,0,(RD[[#This Row],[33 kV_F5_Ex
Incomer3]]-DU39)*1000)</f>
        <v>167500</v>
      </c>
      <c r="EM40" s="146">
        <f>IF((RD[[#This Row],[34 kV_F5_Im
Incomer3]]-DV39)*1000&lt;0,0,(RD[[#This Row],[34 kV_F5_Im
Incomer3]]-DV39)*1000)</f>
        <v>300.00000000001137</v>
      </c>
      <c r="EN40" s="146">
        <f>IF((RD[[#This Row],[33 kV_F6_Ex
Incomer4]]-DW39)*1000&lt;0,0,(RD[[#This Row],[33 kV_F6_Ex
Incomer4]]-DW39)*1000)</f>
        <v>145199.99999999983</v>
      </c>
      <c r="EO40" s="146">
        <f>IF((RD[[#This Row],[33 kV_F6_Im
Incomer4]]-DX39)*1000&lt;0,0,(RD[[#This Row],[33 kV_F6_Im
Incomer4]]-DX39)*1000)</f>
        <v>600.00000000000136</v>
      </c>
      <c r="EP40" s="146">
        <f>IF((RD[[#This Row],[33 kV_F7_Ex
Incomer5]]-DY39)*1000&lt;0,0,(RD[[#This Row],[33 kV_F7_Ex
Incomer5]]-DY39)*1000)</f>
        <v>0</v>
      </c>
      <c r="EQ40" s="146">
        <f>IF((RD[[#This Row],[33 kV_F7_Im
Incomer5]]-DZ39)*1000&lt;0,0,(RD[[#This Row],[33 kV_F7_Im
Incomer5]]-DZ39)*1000)</f>
        <v>0</v>
      </c>
      <c r="ER40" s="146">
        <f>IF((RD[[#This Row],[33 kV_Aux Trafo]]-EA39)*1000&lt;0,0,(RD[[#This Row],[33 kV_Aux Trafo]]-EA39)*1000)</f>
        <v>290.00000000000625</v>
      </c>
      <c r="ES40" s="158">
        <f>IF((RD[[#This Row],[33kV_OG1_Ex_]]-EB39)*1&lt;0,0,(RD[[#This Row],[33kV_OG1_Ex_]]-EB39)*1)</f>
        <v>575619</v>
      </c>
      <c r="ET40" s="146">
        <f>IF((RD[[#This Row],[33kV_OG1_Im]]-EC39)*1&lt;0,0,(RD[[#This Row],[33kV_OG1_Im]]-EC39)*1)</f>
        <v>1688.5759999998845</v>
      </c>
      <c r="EU40" s="146">
        <f>IF((RD[[#This Row],[132kV_TX1_EX]]-ED39)*720&lt;=0,"",(RD[[#This Row],[132kV_TX1_EX]]-ED39)*720)</f>
        <v>1440</v>
      </c>
      <c r="EV40" s="146">
        <f>IF((RD[[#This Row],[132 kV_Tx1_Im]]-EE39)*720&lt;=0,0,(RD[[#This Row],[132 kV_Tx1_Im]]-EE39)*720)</f>
        <v>412560</v>
      </c>
      <c r="EW40" s="146">
        <f>IF((RD[[#This Row],[132kV_L1_Ex]]-EF39)*720&lt;=0,0,(RD[[#This Row],[132kV_L1_Ex]]-EF39)*720)</f>
        <v>573624.00000000838</v>
      </c>
      <c r="EX40" s="146">
        <f>IF((RD[[#This Row],[132kV_L1_Im]]-EG39)*720&lt;=0,0,(RD[[#This Row],[132kV_L1_Im]]-EG39)*720)</f>
        <v>2231.9999999999345</v>
      </c>
      <c r="EY40" s="244">
        <f>IFERROR(RD[[#This Row],[33kV_OG1_Ex (MWh)]]+RD[[#This Row],[33kV_OG1_Im (MWh)]],"")</f>
        <v>577307.57599999988</v>
      </c>
      <c r="EZ40" s="148">
        <f>RD[[#This Row],[33kV_OG1_Ex (MWh)]]-RD[[#This Row],[33kV_OG1_Im (MWh)]]</f>
        <v>573930.42400000012</v>
      </c>
      <c r="FA40" s="148">
        <f>IFERROR(RD[[#This Row],[132kV_L1_Ex(MWh)]]-RD[[#This Row],[132kV_L1_Im(MWh)]],"")</f>
        <v>571392.0000000085</v>
      </c>
      <c r="FB40" s="55">
        <f>IFERROR(RD[[#This Row],[33kV_Ex(MWh)]]/RD[[#This Row],[Inv Total Gneration (MWh)]]-1,"")</f>
        <v>-1.4291516598375686E-2</v>
      </c>
      <c r="FC40" s="245">
        <f>IFERROR((RD[[#This Row],[Sunset Time (POA&lt;20 W/m2)]]-RD[[#This Row],[Sunrise Time (POA&gt;20 W/m2)]])*24,0)</f>
        <v>12.283333333333335</v>
      </c>
      <c r="FD40" s="246">
        <v>106</v>
      </c>
      <c r="FE40" t="s">
        <v>265</v>
      </c>
      <c r="FG40" s="144" t="str">
        <f>IFERROR(RD[[#This Row],[E_AC (WPR)]]/RD[[#This Row],[E_DC (WPR)]],"")</f>
        <v/>
      </c>
    </row>
    <row r="41" spans="1:163">
      <c r="A41" s="133">
        <f t="shared" si="157"/>
        <v>45781</v>
      </c>
      <c r="B41" s="138">
        <f>YEAR(RD[[#This Row],[Date]])+IF(MONTH(RD[[#This Row],[Date]])&gt;=4,1,0)</f>
        <v>2026</v>
      </c>
      <c r="C41" s="138">
        <f>YEAR(RD[[#This Row],[Date]])</f>
        <v>2025</v>
      </c>
      <c r="D41" s="139">
        <f t="shared" si="158"/>
        <v>45778</v>
      </c>
      <c r="E41" s="138">
        <f>DAY(EOMONTH(RD[[#This Row],[Date]],0))</f>
        <v>31</v>
      </c>
      <c r="F41" s="152">
        <v>0.25833333333333336</v>
      </c>
      <c r="G41" s="162">
        <v>0.77152777777777781</v>
      </c>
      <c r="H41" s="124">
        <v>9229.7999999999993</v>
      </c>
      <c r="I41" s="124">
        <v>9178.7999999999993</v>
      </c>
      <c r="J41" s="124">
        <v>8547.6</v>
      </c>
      <c r="K41" s="124">
        <v>8639</v>
      </c>
      <c r="L41" s="124">
        <v>8867</v>
      </c>
      <c r="M41" s="124">
        <v>9134.4</v>
      </c>
      <c r="N41" s="124">
        <v>8875.7999999999993</v>
      </c>
      <c r="O41" s="124">
        <v>9611.9</v>
      </c>
      <c r="P41" s="124">
        <v>8868.7000000000007</v>
      </c>
      <c r="Q41" s="124">
        <v>8782.7000000000007</v>
      </c>
      <c r="R41" s="124">
        <v>9192</v>
      </c>
      <c r="S41" s="124">
        <v>9022</v>
      </c>
      <c r="T41" s="124">
        <v>9315.7000000000007</v>
      </c>
      <c r="U41" s="124">
        <v>9153</v>
      </c>
      <c r="V41" s="124">
        <v>9296.7000000000007</v>
      </c>
      <c r="W41" s="124">
        <v>9067.1</v>
      </c>
      <c r="X41" s="203">
        <v>12592.3</v>
      </c>
      <c r="Y41" s="203">
        <v>13604.8</v>
      </c>
      <c r="Z41" s="203">
        <v>12121.5</v>
      </c>
      <c r="AA41" s="203">
        <v>12578.1</v>
      </c>
      <c r="AB41" s="203">
        <v>12257.7</v>
      </c>
      <c r="AC41" s="203">
        <v>7548.9</v>
      </c>
      <c r="AD41" s="203">
        <v>11418.7</v>
      </c>
      <c r="AE41" s="203">
        <v>11547.7</v>
      </c>
      <c r="AF41" s="203">
        <v>11286.1</v>
      </c>
      <c r="AG41" s="203">
        <v>11238.7</v>
      </c>
      <c r="AH41" s="203">
        <v>11361.7</v>
      </c>
      <c r="AI41" s="203">
        <v>11462.9</v>
      </c>
      <c r="AJ41" s="142">
        <v>10490.1</v>
      </c>
      <c r="AK41" s="142">
        <v>10710.5</v>
      </c>
      <c r="AL41" s="142">
        <v>10484.4</v>
      </c>
      <c r="AM41" s="142">
        <v>10537.9</v>
      </c>
      <c r="AN41" s="142">
        <v>10573</v>
      </c>
      <c r="AO41" s="142">
        <v>10923.3</v>
      </c>
      <c r="AP41" s="142">
        <v>10718.4</v>
      </c>
      <c r="AQ41" s="142">
        <v>10590.9</v>
      </c>
      <c r="AR41" s="142">
        <v>8055.5</v>
      </c>
      <c r="AS41" s="142">
        <v>8103.8</v>
      </c>
      <c r="AT41" s="142">
        <v>8786.9</v>
      </c>
      <c r="AU41" s="142">
        <v>8712.7000000000007</v>
      </c>
      <c r="AV41" s="142">
        <v>8960.9</v>
      </c>
      <c r="AW41" s="142">
        <v>8778</v>
      </c>
      <c r="AX41" s="142">
        <v>12137.3</v>
      </c>
      <c r="AY41" s="142">
        <v>13418.4</v>
      </c>
      <c r="AZ41" s="142">
        <v>9794.1</v>
      </c>
      <c r="BA41" s="142">
        <v>11728.1</v>
      </c>
      <c r="BB41" s="142">
        <v>12064.5</v>
      </c>
      <c r="BC41" s="142">
        <v>10082.1</v>
      </c>
      <c r="BD41" s="142">
        <v>8312.7999999999993</v>
      </c>
      <c r="BE41" s="142">
        <v>11359.2</v>
      </c>
      <c r="BF41" s="142">
        <v>10650</v>
      </c>
      <c r="BG41" s="142">
        <v>11289</v>
      </c>
      <c r="BH41" s="142">
        <v>12203.8</v>
      </c>
      <c r="BI41" s="142">
        <v>7579</v>
      </c>
      <c r="BJ41" s="142">
        <v>8236.7999999999993</v>
      </c>
      <c r="BK41" s="142">
        <v>6125</v>
      </c>
      <c r="BL41" s="142">
        <v>7677.4</v>
      </c>
      <c r="BM41" s="142">
        <v>7620.9</v>
      </c>
      <c r="BN41" s="142">
        <v>7734.1</v>
      </c>
      <c r="BO41" s="142">
        <v>8248.7999999999993</v>
      </c>
      <c r="BP41" s="142">
        <v>8010.4</v>
      </c>
      <c r="BQ41" s="142">
        <v>6433.4</v>
      </c>
      <c r="BR41" s="142">
        <v>7811.5</v>
      </c>
      <c r="BS41" s="142">
        <v>1298.2</v>
      </c>
      <c r="BT41" s="142">
        <v>2687.1</v>
      </c>
      <c r="BU41" s="142">
        <v>1449.7</v>
      </c>
      <c r="BV41" s="142"/>
      <c r="BW41" s="142"/>
      <c r="BX41" s="142"/>
      <c r="BY41" s="142"/>
      <c r="BZ41" s="142">
        <v>1353.3</v>
      </c>
      <c r="CA41" s="142">
        <v>1139.9000000000001</v>
      </c>
      <c r="CB41" s="142">
        <v>4800.1000000000004</v>
      </c>
      <c r="CC41" s="142">
        <v>8632.5</v>
      </c>
      <c r="CD41" s="59">
        <v>7.1993710500000061</v>
      </c>
      <c r="CE41" s="59">
        <v>6.7504897499999856</v>
      </c>
      <c r="CF41" s="206">
        <v>7.3277360333333323</v>
      </c>
      <c r="CG41" s="206">
        <v>6.7174712666666538</v>
      </c>
      <c r="CH41" s="206">
        <v>1.0030697333333325</v>
      </c>
      <c r="CI41" s="206">
        <v>1.1584575833333317</v>
      </c>
      <c r="CJ41" s="59">
        <v>1.4494196166666646</v>
      </c>
      <c r="CK41" s="59">
        <v>1.2675575499999987</v>
      </c>
      <c r="CL41" s="206">
        <v>32.190430555555494</v>
      </c>
      <c r="CM41" s="206">
        <v>32.304833333333306</v>
      </c>
      <c r="CN41" s="206">
        <v>45.61091111111115</v>
      </c>
      <c r="CO41" s="206">
        <v>43.304853472222256</v>
      </c>
      <c r="CP41" s="206">
        <v>30.337875000000011</v>
      </c>
      <c r="CQ41" s="206">
        <v>32.24168055555559</v>
      </c>
      <c r="CR41" s="59">
        <v>0</v>
      </c>
      <c r="CS41" s="59">
        <v>0</v>
      </c>
      <c r="CT41" s="206">
        <v>1.1476770833333323</v>
      </c>
      <c r="CU41" s="206">
        <v>1.2742708333333337</v>
      </c>
      <c r="CV41" s="206">
        <v>3.4740000000000002</v>
      </c>
      <c r="CW41" s="260">
        <v>3.5939999999999999</v>
      </c>
      <c r="CX41" s="204">
        <f>IFERROR(AVERAGEIF(RD[[#This Row],[IS1POA1 (KWh/m2)]:[IS7POA2 (KWh/m2)]],"&lt;&gt;0",RD[[#This Row],[IS1POA1 (KWh/m2)]:[IS7POA2 (KWh/m2)]]),"")</f>
        <v>6.9749303999999963</v>
      </c>
      <c r="CY41" s="204">
        <f>IFERROR(AVERAGEIF(RD[[#This Row],[IS1GHI1 (KWh/m2)]:[IS7GHI2 (KWh/m2)]],"&lt;&gt;0",RD[[#This Row],[IS1GHI1 (KWh/m2)]:[IS7GHI2 (KWh/m2)]]),"")</f>
        <v>7.0226036499999935</v>
      </c>
      <c r="CZ41" s="204">
        <f>IFERROR(AVERAGEIF(RD[[#This Row],[IS1POA_BS1 (KWh/m2)]:[IS7POA_BS2 (KWh/m2)]],"&lt;&gt;0",RD[[#This Row],[IS1POA_BS1 (KWh/m2)]:[IS7POA_BS2 (KWh/m2)]]),"")</f>
        <v>1.080763658333332</v>
      </c>
      <c r="DA41" s="204">
        <f>IFERROR(AVERAGEIF(RD[[#This Row],[IS1GHI_BS1 (KWh/m2)]:[IS1GHI_BS1 (KWh/m2)2]],"&lt;&gt;0",RD[[#This Row],[IS1GHI_BS1 (KWh/m2)]:[IS1GHI_BS1 (KWh/m2)2]]),"")</f>
        <v>1.3584885833333318</v>
      </c>
      <c r="DB41" s="204">
        <f>IFERROR(AVERAGEIF(RD[[#This Row],[IS1AT1 (°C)]:[IS7AT2 (°C)]],"&lt;&gt;0",RD[[#This Row],[IS1AT1 (°C)]:[IS7AT2 (°C)]]),"")</f>
        <v>32.2476319444444</v>
      </c>
      <c r="DC41" s="204">
        <f>IFERROR(AVERAGEIF(RD[[#This Row],[IS1MT1 (°C)]:[IS7MT2 (°C)]],"&lt;&gt;0",RD[[#This Row],[IS1MT1 (°C)]:[IS7MT2 (°C)]]),"")</f>
        <v>44.457882291666706</v>
      </c>
      <c r="DD41" s="204">
        <f>IFERROR(AVERAGEIF(RD[[#This Row],[IS1RH1 (%)]:[IS7RH2 (%)]],"&lt;&gt;0",RD[[#This Row],[IS1RH1 (%)]:[IS7RH2 (%)]]),"")</f>
        <v>31.2897777777778</v>
      </c>
      <c r="DE41" s="51" t="str">
        <f>IFERROR(AVERAGEIF(RD[[#This Row],[IS1Rain1 (mm)]:[IS7Rain2 (mm)]],"&lt;&gt;0",RD[[#This Row],[IS1Rain1 (mm)]:[IS7Rain2 (mm)]]),"")</f>
        <v/>
      </c>
      <c r="DF41" s="204">
        <f>IFERROR(AVERAGEIF(RD[[#This Row],[WS_Solar1_Avg (m/s)]:[IS7_WS_Solar1_Avg (m/s)]],"&lt;&gt;0",RD[[#This Row],[WS_Solar1_Avg (m/s)]:[IS7_WS_Solar1_Avg (m/s)]]),"")</f>
        <v>1.210973958333333</v>
      </c>
      <c r="DG41" s="204">
        <f>IFERROR(AVERAGEIF(RD[[#This Row],[WS_Solar1_Max (m/s)]:[IS7_WS_Solar1_Max (m/s)]],"&lt;&gt;0",RD[[#This Row],[WS_Solar1_Max (m/s)]:[IS7_WS_Solar1_Max (m/s)]]),"")</f>
        <v>3.5339999999999998</v>
      </c>
      <c r="DH41" s="204">
        <f>SUM(RD[[#This Row],[IS1Inv1M1]:[IS4Inv4M2]])</f>
        <v>283801.30000000005</v>
      </c>
      <c r="DI41" s="205">
        <f>SUM(RD[[#This Row],[IS7Inv1M1]]+RD[[#This Row],[IS7Inv2M1]])</f>
        <v>16159.3</v>
      </c>
      <c r="DJ41" s="204">
        <f>SUM(RD[[#This Row],[IS5Inv1M1]:[IS5Inv2M2]])</f>
        <v>42222.9</v>
      </c>
      <c r="DK41" s="204">
        <f>SUM(RD[[#This Row],[IS8Inv1M1]:[IS9Inv2M2]])</f>
        <v>82316.400000000009</v>
      </c>
      <c r="DL41" s="60">
        <f>SUM(RD[[#This Row],[IS6Inv1M1]:[IS6Inv2M2]])</f>
        <v>42805.599999999999</v>
      </c>
      <c r="DM41" s="51">
        <f>SUM(RD[[#This Row],[IS10Inv1M1]:[IS11Inv1M4]],RD[[#This Row],[IS14Inv1M1]:[IS14Inv2M4]])</f>
        <v>129126.29999999999</v>
      </c>
      <c r="DN41" s="288">
        <f>SUM(RD[[#This Row],[IS12Inv1M1]:[IS12Inv1M4]])</f>
        <v>30426.699999999997</v>
      </c>
      <c r="DO41" s="288">
        <f>SUM(RD[[#This Row],[IS13Inv1M1]:[IS13Inv2M2]])</f>
        <v>13246.500000000002</v>
      </c>
      <c r="DP41" s="204">
        <f>SUM(RD[[#This Row],[O2R15]:[O2R26]])</f>
        <v>640105</v>
      </c>
      <c r="DQ41" s="164">
        <v>38735.599999999999</v>
      </c>
      <c r="DR41" s="168">
        <v>206.3</v>
      </c>
      <c r="DS41" s="164">
        <v>33407.5</v>
      </c>
      <c r="DT41" s="164">
        <v>218.6</v>
      </c>
      <c r="DU41" s="168">
        <v>38666.199999999997</v>
      </c>
      <c r="DV41" s="168">
        <v>392.6</v>
      </c>
      <c r="DW41" s="164">
        <v>6621.4</v>
      </c>
      <c r="DX41" s="168">
        <v>30.4</v>
      </c>
      <c r="DY41" s="168"/>
      <c r="DZ41" s="168"/>
      <c r="EA41" s="140">
        <v>91.51</v>
      </c>
      <c r="EB41" s="243">
        <v>120745099</v>
      </c>
      <c r="EC41" s="242">
        <v>905073.08799999999</v>
      </c>
      <c r="ED41" s="243">
        <v>1084</v>
      </c>
      <c r="EE41" s="243">
        <v>115064</v>
      </c>
      <c r="EF41" s="164">
        <v>167470.20000000001</v>
      </c>
      <c r="EG41" s="164">
        <v>1780</v>
      </c>
      <c r="EH41" s="146">
        <f>IF((RD[[#This Row],[33 kV_F3_Ex
Incomer1]]-DQ40)*1000&lt;0,0,(RD[[#This Row],[33 kV_F3_Ex
Incomer1]]-DQ40)*1000)</f>
        <v>137699.99999999709</v>
      </c>
      <c r="EI41" s="146">
        <f>IF((RD[[#This Row],[34 kV_F3_Im
Incomer1]]-DR40)*1000&lt;0,0,(RD[[#This Row],[34 kV_F3_Im
Incomer1]]-DR40)*1000)</f>
        <v>300.00000000001137</v>
      </c>
      <c r="EJ41" s="146">
        <f>IF((RD[[#This Row],[33 kV_F4_Ex
Incomer2]]-DS40)*1000&lt;0,0,(RD[[#This Row],[33 kV_F4_Ex
Incomer2]]-DS40)*1000)</f>
        <v>139000</v>
      </c>
      <c r="EK41" s="146">
        <f>IF((RD[[#This Row],[34 kV_F4_Im
Incomer2]]-DT40)*1000&lt;0,0,(RD[[#This Row],[34 kV_F4_Im
Incomer2]]-DT40)*1000)</f>
        <v>299.99999999998295</v>
      </c>
      <c r="EL41" s="146">
        <f>IF((RD[[#This Row],[33 kV_F5_Ex
Incomer3]]-DU40)*1000&lt;0,0,(RD[[#This Row],[33 kV_F5_Ex
Incomer3]]-DU40)*1000)</f>
        <v>180699.99999999709</v>
      </c>
      <c r="EM41" s="146">
        <f>IF((RD[[#This Row],[34 kV_F5_Im
Incomer3]]-DV40)*1000&lt;0,0,(RD[[#This Row],[34 kV_F5_Im
Incomer3]]-DV40)*1000)</f>
        <v>500</v>
      </c>
      <c r="EN41" s="146">
        <f>IF((RD[[#This Row],[33 kV_F6_Ex
Incomer4]]-DW40)*1000&lt;0,0,(RD[[#This Row],[33 kV_F6_Ex
Incomer4]]-DW40)*1000)</f>
        <v>161699.99999999983</v>
      </c>
      <c r="EO41" s="146">
        <f>IF((RD[[#This Row],[33 kV_F6_Im
Incomer4]]-DX40)*1000&lt;0,0,(RD[[#This Row],[33 kV_F6_Im
Incomer4]]-DX40)*1000)</f>
        <v>899.99999999999864</v>
      </c>
      <c r="EP41" s="146">
        <f>IF((RD[[#This Row],[33 kV_F7_Ex
Incomer5]]-DY40)*1000&lt;0,0,(RD[[#This Row],[33 kV_F7_Ex
Incomer5]]-DY40)*1000)</f>
        <v>0</v>
      </c>
      <c r="EQ41" s="146">
        <f>IF((RD[[#This Row],[33 kV_F7_Im
Incomer5]]-DZ40)*1000&lt;0,0,(RD[[#This Row],[33 kV_F7_Im
Incomer5]]-DZ40)*1000)</f>
        <v>0</v>
      </c>
      <c r="ER41" s="146">
        <f>IF((RD[[#This Row],[33 kV_Aux Trafo]]-EA40)*1000&lt;0,0,(RD[[#This Row],[33 kV_Aux Trafo]]-EA40)*1000)</f>
        <v>310.00000000000227</v>
      </c>
      <c r="ES41" s="158">
        <f>IF((RD[[#This Row],[33kV_OG1_Ex_]]-EB40)*1&lt;0,0,(RD[[#This Row],[33kV_OG1_Ex_]]-EB40)*1)</f>
        <v>621347</v>
      </c>
      <c r="ET41" s="146">
        <f>IF((RD[[#This Row],[33kV_OG1_Im]]-EC40)*1&lt;0,0,(RD[[#This Row],[33kV_OG1_Im]]-EC40)*1)</f>
        <v>2356.8000000000466</v>
      </c>
      <c r="EU41" s="146">
        <f>IF((RD[[#This Row],[132kV_TX1_EX]]-ED40)*720&lt;=0,"",(RD[[#This Row],[132kV_TX1_EX]]-ED40)*720)</f>
        <v>2160</v>
      </c>
      <c r="EV41" s="146">
        <f>IF((RD[[#This Row],[132 kV_Tx1_Im]]-EE40)*720&lt;=0,0,(RD[[#This Row],[132 kV_Tx1_Im]]-EE40)*720)</f>
        <v>445680</v>
      </c>
      <c r="EW41" s="146">
        <f>IF((RD[[#This Row],[132kV_L1_Ex]]-EF40)*720&lt;=0,0,(RD[[#This Row],[132kV_L1_Ex]]-EF40)*720)</f>
        <v>619200</v>
      </c>
      <c r="EX41" s="146">
        <f>IF((RD[[#This Row],[132kV_L1_Im]]-EG40)*720&lt;=0,0,(RD[[#This Row],[132kV_L1_Im]]-EG40)*720)</f>
        <v>2880</v>
      </c>
      <c r="EY41" s="244">
        <f>IFERROR(RD[[#This Row],[33kV_OG1_Ex (MWh)]]+RD[[#This Row],[33kV_OG1_Im (MWh)]],"")</f>
        <v>623703.80000000005</v>
      </c>
      <c r="EZ41" s="148">
        <f>RD[[#This Row],[33kV_OG1_Ex (MWh)]]-RD[[#This Row],[33kV_OG1_Im (MWh)]]</f>
        <v>618990.19999999995</v>
      </c>
      <c r="FA41" s="148">
        <f>IFERROR(RD[[#This Row],[132kV_L1_Ex(MWh)]]-RD[[#This Row],[132kV_L1_Im(MWh)]],"")</f>
        <v>616320</v>
      </c>
      <c r="FB41" s="55">
        <f>IFERROR(RD[[#This Row],[33kV_Ex(MWh)]]/RD[[#This Row],[Inv Total Gneration (MWh)]]-1,"")</f>
        <v>-2.5622671280493003E-2</v>
      </c>
      <c r="FC41" s="245">
        <f>IFERROR((RD[[#This Row],[Sunset Time (POA&lt;20 W/m2)]]-RD[[#This Row],[Sunrise Time (POA&gt;20 W/m2)]])*24,0)</f>
        <v>12.316666666666668</v>
      </c>
      <c r="FD41" s="246">
        <v>106</v>
      </c>
      <c r="FE41" t="s">
        <v>265</v>
      </c>
      <c r="FG41" s="144" t="str">
        <f>IFERROR(RD[[#This Row],[E_AC (WPR)]]/RD[[#This Row],[E_DC (WPR)]],"")</f>
        <v/>
      </c>
    </row>
    <row r="42" spans="1:163">
      <c r="A42" s="133">
        <f t="shared" si="157"/>
        <v>45782</v>
      </c>
      <c r="B42" s="138">
        <f>YEAR(RD[[#This Row],[Date]])+IF(MONTH(RD[[#This Row],[Date]])&gt;=4,1,0)</f>
        <v>2026</v>
      </c>
      <c r="C42" s="138">
        <f>YEAR(RD[[#This Row],[Date]])</f>
        <v>2025</v>
      </c>
      <c r="D42" s="139">
        <f t="shared" si="158"/>
        <v>45778</v>
      </c>
      <c r="E42" s="138">
        <f>DAY(EOMONTH(RD[[#This Row],[Date]],0))</f>
        <v>31</v>
      </c>
      <c r="F42" s="152">
        <v>0.27569444444444446</v>
      </c>
      <c r="G42" s="162">
        <v>0.81597222222222221</v>
      </c>
      <c r="H42" s="124">
        <v>8716.4</v>
      </c>
      <c r="I42" s="124">
        <v>8674.7000000000007</v>
      </c>
      <c r="J42" s="124">
        <v>8088.5</v>
      </c>
      <c r="K42" s="124">
        <v>8157.3</v>
      </c>
      <c r="L42" s="124">
        <v>8396.9</v>
      </c>
      <c r="M42" s="124">
        <v>8675.4</v>
      </c>
      <c r="N42" s="124">
        <v>8411</v>
      </c>
      <c r="O42" s="124">
        <v>9112.4</v>
      </c>
      <c r="P42" s="124">
        <v>8399.5</v>
      </c>
      <c r="Q42" s="124">
        <v>8325</v>
      </c>
      <c r="R42" s="124">
        <v>8734.1</v>
      </c>
      <c r="S42" s="124">
        <v>8587.6</v>
      </c>
      <c r="T42" s="124">
        <v>8823.4</v>
      </c>
      <c r="U42" s="124">
        <v>8700.2000000000007</v>
      </c>
      <c r="V42" s="124">
        <v>8830.5</v>
      </c>
      <c r="W42" s="124">
        <v>8590.2000000000007</v>
      </c>
      <c r="X42" s="203">
        <v>11990</v>
      </c>
      <c r="Y42" s="203">
        <v>13023.4</v>
      </c>
      <c r="Z42" s="203">
        <v>11496.1</v>
      </c>
      <c r="AA42" s="203">
        <v>11903.2</v>
      </c>
      <c r="AB42" s="203">
        <v>12992.4</v>
      </c>
      <c r="AC42" s="203">
        <v>8021</v>
      </c>
      <c r="AD42" s="203">
        <v>12116.8</v>
      </c>
      <c r="AE42" s="203">
        <v>12228.9</v>
      </c>
      <c r="AF42" s="203">
        <v>11980.3</v>
      </c>
      <c r="AG42" s="203">
        <v>11906.3</v>
      </c>
      <c r="AH42" s="203">
        <v>12012.5</v>
      </c>
      <c r="AI42" s="203">
        <v>12132.6</v>
      </c>
      <c r="AJ42" s="142">
        <v>10046.1</v>
      </c>
      <c r="AK42" s="142">
        <v>10230.9</v>
      </c>
      <c r="AL42" s="142">
        <v>9980.5</v>
      </c>
      <c r="AM42" s="142">
        <v>10078.700000000001</v>
      </c>
      <c r="AN42" s="142">
        <v>10074.299999999999</v>
      </c>
      <c r="AO42" s="142">
        <v>10415.6</v>
      </c>
      <c r="AP42" s="142">
        <v>10249.4</v>
      </c>
      <c r="AQ42" s="142">
        <v>10138.4</v>
      </c>
      <c r="AR42" s="142">
        <v>8139.8</v>
      </c>
      <c r="AS42" s="142">
        <v>8201.9</v>
      </c>
      <c r="AT42" s="142">
        <v>8347.2999999999993</v>
      </c>
      <c r="AU42" s="142">
        <v>8307.2000000000007</v>
      </c>
      <c r="AV42" s="142">
        <v>8566.4</v>
      </c>
      <c r="AW42" s="142">
        <v>8403.7999999999993</v>
      </c>
      <c r="AX42" s="142">
        <v>11650.4</v>
      </c>
      <c r="AY42" s="142">
        <v>12918.4</v>
      </c>
      <c r="AZ42" s="142">
        <v>9328.9</v>
      </c>
      <c r="BA42" s="142">
        <v>11175.2</v>
      </c>
      <c r="BB42" s="142">
        <v>11209.9</v>
      </c>
      <c r="BC42" s="142">
        <v>9380.6</v>
      </c>
      <c r="BD42" s="142">
        <v>7766.9</v>
      </c>
      <c r="BE42" s="142">
        <v>10547.1</v>
      </c>
      <c r="BF42" s="142">
        <v>11235</v>
      </c>
      <c r="BG42" s="142">
        <v>11350</v>
      </c>
      <c r="BH42" s="142">
        <v>6924.1</v>
      </c>
      <c r="BI42" s="142">
        <v>4286.2</v>
      </c>
      <c r="BJ42" s="142">
        <v>7651.3</v>
      </c>
      <c r="BK42" s="142">
        <v>5546.2</v>
      </c>
      <c r="BL42" s="142">
        <v>7183.4</v>
      </c>
      <c r="BM42" s="142">
        <v>7129.3</v>
      </c>
      <c r="BN42" s="142">
        <v>7165.1</v>
      </c>
      <c r="BO42" s="142">
        <v>7373</v>
      </c>
      <c r="BP42" s="142">
        <v>7445.5</v>
      </c>
      <c r="BQ42" s="142">
        <v>5977.7</v>
      </c>
      <c r="BR42" s="142">
        <v>6126.4</v>
      </c>
      <c r="BS42" s="142">
        <v>1478.9</v>
      </c>
      <c r="BT42" s="142">
        <v>2872.8</v>
      </c>
      <c r="BU42" s="142">
        <v>1542.5</v>
      </c>
      <c r="BV42" s="142"/>
      <c r="BW42" s="142"/>
      <c r="BX42" s="142"/>
      <c r="BY42" s="142"/>
      <c r="BZ42" s="142">
        <v>1247.7</v>
      </c>
      <c r="CA42" s="142">
        <v>1041.9000000000001</v>
      </c>
      <c r="CB42" s="142">
        <v>4464.3999999999996</v>
      </c>
      <c r="CC42" s="142">
        <v>8160.1</v>
      </c>
      <c r="CD42" s="59">
        <v>6.8117458999999991</v>
      </c>
      <c r="CE42" s="59">
        <v>6.2750000000000004</v>
      </c>
      <c r="CF42" s="206">
        <v>6.9183544000000037</v>
      </c>
      <c r="CG42" s="206">
        <v>6.35</v>
      </c>
      <c r="CH42" s="206">
        <v>6.9183544000000037</v>
      </c>
      <c r="CI42" s="206">
        <v>1.1200000000000001</v>
      </c>
      <c r="CJ42" s="59">
        <v>1.3561856666666674</v>
      </c>
      <c r="CK42" s="59">
        <v>1.1539999999999999</v>
      </c>
      <c r="CL42" s="206">
        <v>31.750174854287984</v>
      </c>
      <c r="CM42" s="206">
        <v>33.204999999999998</v>
      </c>
      <c r="CN42" s="206">
        <v>46.448009991673594</v>
      </c>
      <c r="CO42" s="206">
        <v>42.201999999999998</v>
      </c>
      <c r="CP42" s="206">
        <v>33.467693588676092</v>
      </c>
      <c r="CQ42" s="206">
        <v>31.1</v>
      </c>
      <c r="CR42" s="59">
        <v>0</v>
      </c>
      <c r="CS42" s="59">
        <v>0</v>
      </c>
      <c r="CT42" s="206">
        <v>1.1400199833472087</v>
      </c>
      <c r="CU42" s="206">
        <v>1.109</v>
      </c>
      <c r="CV42" s="206">
        <v>4.3680000000000003</v>
      </c>
      <c r="CW42" s="260">
        <v>3.4340000000000002</v>
      </c>
      <c r="CX42" s="204">
        <f>IFERROR(AVERAGEIF(RD[[#This Row],[IS1POA1 (KWh/m2)]:[IS7POA2 (KWh/m2)]],"&lt;&gt;0",RD[[#This Row],[IS1POA1 (KWh/m2)]:[IS7POA2 (KWh/m2)]]),"")</f>
        <v>6.5433729500000002</v>
      </c>
      <c r="CY42" s="204">
        <f>IFERROR(AVERAGEIF(RD[[#This Row],[IS1GHI1 (KWh/m2)]:[IS7GHI2 (KWh/m2)]],"&lt;&gt;0",RD[[#This Row],[IS1GHI1 (KWh/m2)]:[IS7GHI2 (KWh/m2)]]),"")</f>
        <v>6.6341772000000017</v>
      </c>
      <c r="CZ42" s="204">
        <f>IFERROR(AVERAGEIF(RD[[#This Row],[IS1POA_BS1 (KWh/m2)]:[IS7POA_BS2 (KWh/m2)]],"&lt;&gt;0",RD[[#This Row],[IS1POA_BS1 (KWh/m2)]:[IS7POA_BS2 (KWh/m2)]]),"")</f>
        <v>4.0191772000000014</v>
      </c>
      <c r="DA42" s="204">
        <f>IFERROR(AVERAGEIF(RD[[#This Row],[IS1GHI_BS1 (KWh/m2)]:[IS1GHI_BS1 (KWh/m2)2]],"&lt;&gt;0",RD[[#This Row],[IS1GHI_BS1 (KWh/m2)]:[IS1GHI_BS1 (KWh/m2)2]]),"")</f>
        <v>1.2550928333333338</v>
      </c>
      <c r="DB42" s="204">
        <f>IFERROR(AVERAGEIF(RD[[#This Row],[IS1AT1 (°C)]:[IS7AT2 (°C)]],"&lt;&gt;0",RD[[#This Row],[IS1AT1 (°C)]:[IS7AT2 (°C)]]),"")</f>
        <v>32.477587427143987</v>
      </c>
      <c r="DC42" s="204">
        <f>IFERROR(AVERAGEIF(RD[[#This Row],[IS1MT1 (°C)]:[IS7MT2 (°C)]],"&lt;&gt;0",RD[[#This Row],[IS1MT1 (°C)]:[IS7MT2 (°C)]]),"")</f>
        <v>44.325004995836792</v>
      </c>
      <c r="DD42" s="204">
        <f>IFERROR(AVERAGEIF(RD[[#This Row],[IS1RH1 (%)]:[IS7RH2 (%)]],"&lt;&gt;0",RD[[#This Row],[IS1RH1 (%)]:[IS7RH2 (%)]]),"")</f>
        <v>32.283846794338046</v>
      </c>
      <c r="DE42" s="51" t="str">
        <f>IFERROR(AVERAGEIF(RD[[#This Row],[IS1Rain1 (mm)]:[IS7Rain2 (mm)]],"&lt;&gt;0",RD[[#This Row],[IS1Rain1 (mm)]:[IS7Rain2 (mm)]]),"")</f>
        <v/>
      </c>
      <c r="DF42" s="204">
        <f>IFERROR(AVERAGEIF(RD[[#This Row],[WS_Solar1_Avg (m/s)]:[IS7_WS_Solar1_Avg (m/s)]],"&lt;&gt;0",RD[[#This Row],[WS_Solar1_Avg (m/s)]:[IS7_WS_Solar1_Avg (m/s)]]),"")</f>
        <v>1.1245099916736043</v>
      </c>
      <c r="DG42" s="204">
        <f>IFERROR(AVERAGEIF(RD[[#This Row],[WS_Solar1_Max (m/s)]:[IS7_WS_Solar1_Max (m/s)]],"&lt;&gt;0",RD[[#This Row],[WS_Solar1_Max (m/s)]:[IS7_WS_Solar1_Max (m/s)]]),"")</f>
        <v>3.9010000000000002</v>
      </c>
      <c r="DH42" s="204">
        <f>SUM(RD[[#This Row],[IS1Inv1M1]:[IS4Inv4M2]])</f>
        <v>279026.59999999998</v>
      </c>
      <c r="DI42" s="205">
        <f>SUM(RD[[#This Row],[IS7Inv1M1]]+RD[[#This Row],[IS7Inv2M1]])</f>
        <v>16341.7</v>
      </c>
      <c r="DJ42" s="204">
        <f>SUM(RD[[#This Row],[IS5Inv1M1]:[IS5Inv2M2]])</f>
        <v>40336.199999999997</v>
      </c>
      <c r="DK42" s="204">
        <f>SUM(RD[[#This Row],[IS8Inv1M1]:[IS9Inv2M2]])</f>
        <v>78697.599999999991</v>
      </c>
      <c r="DL42" s="60">
        <f>SUM(RD[[#This Row],[IS6Inv1M1]:[IS6Inv2M2]])</f>
        <v>40877.700000000004</v>
      </c>
      <c r="DM42" s="51">
        <f>SUM(RD[[#This Row],[IS10Inv1M1]:[IS11Inv1M4]],RD[[#This Row],[IS14Inv1M1]:[IS14Inv2M4]])</f>
        <v>115124.09999999999</v>
      </c>
      <c r="DN42" s="288">
        <f>SUM(RD[[#This Row],[IS12Inv1M1]:[IS12Inv1M4]])</f>
        <v>27961.3</v>
      </c>
      <c r="DO42" s="288">
        <f>SUM(RD[[#This Row],[IS13Inv1M1]:[IS13Inv2M2]])</f>
        <v>12020.599999999999</v>
      </c>
      <c r="DP42" s="204">
        <f>SUM(RD[[#This Row],[O2R15]:[O2R26]])</f>
        <v>610385.80000000005</v>
      </c>
      <c r="DQ42" s="164">
        <v>38876.300000000003</v>
      </c>
      <c r="DR42" s="168">
        <v>206.6</v>
      </c>
      <c r="DS42" s="164">
        <v>33540.6</v>
      </c>
      <c r="DT42" s="164">
        <v>218.9</v>
      </c>
      <c r="DU42" s="168">
        <v>38839.800000000003</v>
      </c>
      <c r="DV42" s="168">
        <v>393.1</v>
      </c>
      <c r="DW42" s="164">
        <v>6773.8</v>
      </c>
      <c r="DX42" s="168">
        <v>31.1</v>
      </c>
      <c r="DY42" s="168"/>
      <c r="DZ42" s="168"/>
      <c r="EA42" s="140">
        <v>91.78</v>
      </c>
      <c r="EB42" s="243">
        <v>121345286</v>
      </c>
      <c r="EC42" s="242">
        <v>906982.33600000001</v>
      </c>
      <c r="ED42" s="243">
        <v>1086</v>
      </c>
      <c r="EE42" s="243">
        <v>115662</v>
      </c>
      <c r="EF42" s="164">
        <v>168300.7</v>
      </c>
      <c r="EG42" s="164">
        <v>1783.3</v>
      </c>
      <c r="EH42" s="146">
        <f>IF((RD[[#This Row],[33 kV_F3_Ex
Incomer1]]-DQ41)*1000&lt;0,0,(RD[[#This Row],[33 kV_F3_Ex
Incomer1]]-DQ41)*1000)</f>
        <v>140700.00000000437</v>
      </c>
      <c r="EI42" s="146">
        <f>IF((RD[[#This Row],[34 kV_F3_Im
Incomer1]]-DR41)*1000&lt;0,0,(RD[[#This Row],[34 kV_F3_Im
Incomer1]]-DR41)*1000)</f>
        <v>299.99999999998295</v>
      </c>
      <c r="EJ42" s="146">
        <f>IF((RD[[#This Row],[33 kV_F4_Ex
Incomer2]]-DS41)*1000&lt;0,0,(RD[[#This Row],[33 kV_F4_Ex
Incomer2]]-DS41)*1000)</f>
        <v>133099.99999999854</v>
      </c>
      <c r="EK42" s="146">
        <f>IF((RD[[#This Row],[34 kV_F4_Im
Incomer2]]-DT41)*1000&lt;0,0,(RD[[#This Row],[34 kV_F4_Im
Incomer2]]-DT41)*1000)</f>
        <v>300.00000000001137</v>
      </c>
      <c r="EL42" s="146">
        <f>IF((RD[[#This Row],[33 kV_F5_Ex
Incomer3]]-DU41)*1000&lt;0,0,(RD[[#This Row],[33 kV_F5_Ex
Incomer3]]-DU41)*1000)</f>
        <v>173600.00000000582</v>
      </c>
      <c r="EM42" s="146">
        <f>IF((RD[[#This Row],[34 kV_F5_Im
Incomer3]]-DV41)*1000&lt;0,0,(RD[[#This Row],[34 kV_F5_Im
Incomer3]]-DV41)*1000)</f>
        <v>500</v>
      </c>
      <c r="EN42" s="146">
        <f>IF((RD[[#This Row],[33 kV_F6_Ex
Incomer4]]-DW41)*1000&lt;0,0,(RD[[#This Row],[33 kV_F6_Ex
Incomer4]]-DW41)*1000)</f>
        <v>152400.00000000055</v>
      </c>
      <c r="EO42" s="146">
        <f>IF((RD[[#This Row],[33 kV_F6_Im
Incomer4]]-DX41)*1000&lt;0,0,(RD[[#This Row],[33 kV_F6_Im
Incomer4]]-DX41)*1000)</f>
        <v>700.00000000000284</v>
      </c>
      <c r="EP42" s="146">
        <f>IF((RD[[#This Row],[33 kV_F7_Ex
Incomer5]]-DY41)*1000&lt;0,0,(RD[[#This Row],[33 kV_F7_Ex
Incomer5]]-DY41)*1000)</f>
        <v>0</v>
      </c>
      <c r="EQ42" s="146">
        <f>IF((RD[[#This Row],[33 kV_F7_Im
Incomer5]]-DZ41)*1000&lt;0,0,(RD[[#This Row],[33 kV_F7_Im
Incomer5]]-DZ41)*1000)</f>
        <v>0</v>
      </c>
      <c r="ER42" s="146">
        <f>IF((RD[[#This Row],[33 kV_Aux Trafo]]-EA41)*1000&lt;0,0,(RD[[#This Row],[33 kV_Aux Trafo]]-EA41)*1000)</f>
        <v>269.99999999999602</v>
      </c>
      <c r="ES42" s="158">
        <f>IF((RD[[#This Row],[33kV_OG1_Ex_]]-EB41)*1&lt;0,0,(RD[[#This Row],[33kV_OG1_Ex_]]-EB41)*1)</f>
        <v>600187</v>
      </c>
      <c r="ET42" s="146">
        <f>IF((RD[[#This Row],[33kV_OG1_Im]]-EC41)*1&lt;0,0,(RD[[#This Row],[33kV_OG1_Im]]-EC41)*1)</f>
        <v>1909.2480000000214</v>
      </c>
      <c r="EU42" s="146">
        <f>IF((RD[[#This Row],[132kV_TX1_EX]]-ED41)*720&lt;=0,"",(RD[[#This Row],[132kV_TX1_EX]]-ED41)*720)</f>
        <v>1440</v>
      </c>
      <c r="EV42" s="146">
        <f>IF((RD[[#This Row],[132 kV_Tx1_Im]]-EE41)*720&lt;=0,0,(RD[[#This Row],[132 kV_Tx1_Im]]-EE41)*720)</f>
        <v>430560</v>
      </c>
      <c r="EW42" s="146">
        <f>IF((RD[[#This Row],[132kV_L1_Ex]]-EF41)*720&lt;=0,0,(RD[[#This Row],[132kV_L1_Ex]]-EF41)*720)</f>
        <v>597960</v>
      </c>
      <c r="EX42" s="146">
        <f>IF((RD[[#This Row],[132kV_L1_Im]]-EG41)*720&lt;=0,0,(RD[[#This Row],[132kV_L1_Im]]-EG41)*720)</f>
        <v>2375.9999999999673</v>
      </c>
      <c r="EY42" s="244">
        <f>IFERROR(RD[[#This Row],[33kV_OG1_Ex (MWh)]]+RD[[#This Row],[33kV_OG1_Im (MWh)]],"")</f>
        <v>602096.24800000002</v>
      </c>
      <c r="EZ42" s="148">
        <f>RD[[#This Row],[33kV_OG1_Ex (MWh)]]-RD[[#This Row],[33kV_OG1_Im (MWh)]]</f>
        <v>598277.75199999998</v>
      </c>
      <c r="FA42" s="148">
        <f>IFERROR(RD[[#This Row],[132kV_L1_Ex(MWh)]]-RD[[#This Row],[132kV_L1_Im(MWh)]],"")</f>
        <v>595584</v>
      </c>
      <c r="FB42" s="55">
        <f>IFERROR(RD[[#This Row],[33kV_Ex(MWh)]]/RD[[#This Row],[Inv Total Gneration (MWh)]]-1,"")</f>
        <v>-1.3580840183372578E-2</v>
      </c>
      <c r="FC42" s="245">
        <f>IFERROR((RD[[#This Row],[Sunset Time (POA&lt;20 W/m2)]]-RD[[#This Row],[Sunrise Time (POA&gt;20 W/m2)]])*24,0)</f>
        <v>12.966666666666665</v>
      </c>
      <c r="FD42" s="246">
        <v>106</v>
      </c>
      <c r="FE42" t="s">
        <v>265</v>
      </c>
      <c r="FG42" s="144" t="str">
        <f>IFERROR(RD[[#This Row],[E_AC (WPR)]]/RD[[#This Row],[E_DC (WPR)]],"")</f>
        <v/>
      </c>
    </row>
    <row r="43" spans="1:163">
      <c r="A43" s="133">
        <f t="shared" si="157"/>
        <v>45783</v>
      </c>
      <c r="B43" s="138">
        <f>YEAR(RD[[#This Row],[Date]])+IF(MONTH(RD[[#This Row],[Date]])&gt;=4,1,0)</f>
        <v>2026</v>
      </c>
      <c r="C43" s="138">
        <f>YEAR(RD[[#This Row],[Date]])</f>
        <v>2025</v>
      </c>
      <c r="D43" s="139">
        <f t="shared" si="158"/>
        <v>45778</v>
      </c>
      <c r="E43" s="138">
        <f>DAY(EOMONTH(RD[[#This Row],[Date]],0))</f>
        <v>31</v>
      </c>
      <c r="F43" s="152">
        <v>0.25972222222222224</v>
      </c>
      <c r="G43" s="162">
        <v>0.74513888888888891</v>
      </c>
      <c r="H43" s="124">
        <v>8590.2000000000007</v>
      </c>
      <c r="I43" s="124">
        <v>8548.6</v>
      </c>
      <c r="J43" s="124">
        <v>8171</v>
      </c>
      <c r="K43" s="124">
        <v>8240.9</v>
      </c>
      <c r="L43" s="124">
        <v>8468.7000000000007</v>
      </c>
      <c r="M43" s="124">
        <v>8664</v>
      </c>
      <c r="N43" s="124">
        <v>8408.5</v>
      </c>
      <c r="O43" s="124">
        <v>8982.5</v>
      </c>
      <c r="P43" s="124">
        <v>8421.4</v>
      </c>
      <c r="Q43" s="124">
        <v>8381.6</v>
      </c>
      <c r="R43" s="124">
        <v>8687</v>
      </c>
      <c r="S43" s="124">
        <v>8633.4</v>
      </c>
      <c r="T43" s="124">
        <v>8862.7000000000007</v>
      </c>
      <c r="U43" s="124">
        <v>8724.4</v>
      </c>
      <c r="V43" s="124">
        <v>8751.2999999999993</v>
      </c>
      <c r="W43" s="124">
        <v>8474.7999999999993</v>
      </c>
      <c r="X43" s="203">
        <v>11980.8</v>
      </c>
      <c r="Y43" s="203">
        <v>12942.5</v>
      </c>
      <c r="Z43" s="203">
        <v>11570.5</v>
      </c>
      <c r="AA43" s="203">
        <v>12099</v>
      </c>
      <c r="AB43" s="203">
        <v>12828.5</v>
      </c>
      <c r="AC43" s="203">
        <v>8142.8</v>
      </c>
      <c r="AD43" s="203">
        <v>12097.7</v>
      </c>
      <c r="AE43" s="203">
        <v>12293.1</v>
      </c>
      <c r="AF43" s="203">
        <v>12022.8</v>
      </c>
      <c r="AG43" s="203">
        <v>11949.5</v>
      </c>
      <c r="AH43" s="203">
        <v>11940.8</v>
      </c>
      <c r="AI43" s="203">
        <v>12051.7</v>
      </c>
      <c r="AJ43" s="142">
        <v>10102.799999999999</v>
      </c>
      <c r="AK43" s="142">
        <v>10344.6</v>
      </c>
      <c r="AL43" s="142">
        <v>10059</v>
      </c>
      <c r="AM43" s="142">
        <v>10165.1</v>
      </c>
      <c r="AN43" s="142">
        <v>10099.799999999999</v>
      </c>
      <c r="AO43" s="142">
        <v>10427.5</v>
      </c>
      <c r="AP43" s="142">
        <v>10270.6</v>
      </c>
      <c r="AQ43" s="142">
        <v>10134.9</v>
      </c>
      <c r="AR43" s="142">
        <v>8257.6</v>
      </c>
      <c r="AS43" s="142">
        <v>8331.5</v>
      </c>
      <c r="AT43" s="142">
        <v>8362.5</v>
      </c>
      <c r="AU43" s="142">
        <v>8323.7999999999993</v>
      </c>
      <c r="AV43" s="142">
        <v>8513.7999999999993</v>
      </c>
      <c r="AW43" s="142">
        <v>8197.7000000000007</v>
      </c>
      <c r="AX43" s="142">
        <v>11718.8</v>
      </c>
      <c r="AY43" s="142">
        <v>12766.8</v>
      </c>
      <c r="AZ43" s="142">
        <v>9440</v>
      </c>
      <c r="BA43" s="142">
        <v>11395.2</v>
      </c>
      <c r="BB43" s="142">
        <v>11759</v>
      </c>
      <c r="BC43" s="142">
        <v>9799.5</v>
      </c>
      <c r="BD43" s="142">
        <v>8131.8</v>
      </c>
      <c r="BE43" s="142">
        <v>11103.3</v>
      </c>
      <c r="BF43" s="142">
        <v>12037.2</v>
      </c>
      <c r="BG43" s="142">
        <v>11993.5</v>
      </c>
      <c r="BH43" s="142">
        <v>7142.5</v>
      </c>
      <c r="BI43" s="142">
        <v>4461.8</v>
      </c>
      <c r="BJ43" s="142">
        <v>7235</v>
      </c>
      <c r="BK43" s="142">
        <v>5230</v>
      </c>
      <c r="BL43" s="142">
        <v>6932</v>
      </c>
      <c r="BM43" s="142">
        <v>6909</v>
      </c>
      <c r="BN43" s="142">
        <v>6858</v>
      </c>
      <c r="BO43" s="142">
        <v>7030</v>
      </c>
      <c r="BP43" s="142">
        <v>7134</v>
      </c>
      <c r="BQ43" s="142">
        <v>5875</v>
      </c>
      <c r="BR43" s="142">
        <v>6173.1</v>
      </c>
      <c r="BS43" s="142">
        <v>1514.3</v>
      </c>
      <c r="BT43" s="142">
        <v>2961.2</v>
      </c>
      <c r="BU43" s="142">
        <v>1547.8</v>
      </c>
      <c r="BV43" s="142"/>
      <c r="BW43" s="142"/>
      <c r="BX43" s="142"/>
      <c r="BY43" s="142"/>
      <c r="BZ43" s="142">
        <v>1210</v>
      </c>
      <c r="CA43" s="142">
        <v>1009</v>
      </c>
      <c r="CB43" s="142">
        <v>4231</v>
      </c>
      <c r="CC43" s="142">
        <v>7985</v>
      </c>
      <c r="CD43" s="59">
        <v>6.6925646166666706</v>
      </c>
      <c r="CE43" s="59">
        <v>6.5573097999999987</v>
      </c>
      <c r="CF43" s="206">
        <v>6.7917442833333368</v>
      </c>
      <c r="CG43" s="206">
        <v>6.231253783333341</v>
      </c>
      <c r="CH43" s="206">
        <v>0.89070824999999876</v>
      </c>
      <c r="CI43" s="206">
        <v>0.9369680166666674</v>
      </c>
      <c r="CJ43" s="59">
        <v>1.2269434999999995</v>
      </c>
      <c r="CK43" s="59">
        <v>1.078330566666668</v>
      </c>
      <c r="CL43" s="206">
        <v>28.187914110429556</v>
      </c>
      <c r="CM43" s="206">
        <v>27.931720438527829</v>
      </c>
      <c r="CN43" s="206">
        <v>41.900332055214669</v>
      </c>
      <c r="CO43" s="206">
        <v>39.126941268598209</v>
      </c>
      <c r="CP43" s="206">
        <v>53.418213190184041</v>
      </c>
      <c r="CQ43" s="206">
        <v>57.760887235708687</v>
      </c>
      <c r="CR43" s="59">
        <v>0</v>
      </c>
      <c r="CS43" s="59">
        <v>0</v>
      </c>
      <c r="CT43" s="206">
        <v>1.361222392638036</v>
      </c>
      <c r="CU43" s="206">
        <v>1.331097102584184</v>
      </c>
      <c r="CV43" s="206">
        <v>5.8559999999999999</v>
      </c>
      <c r="CW43" s="260">
        <v>5.8920000000000003</v>
      </c>
      <c r="CX43" s="204">
        <f>IFERROR(AVERAGEIF(RD[[#This Row],[IS1POA1 (KWh/m2)]:[IS7POA2 (KWh/m2)]],"&lt;&gt;0",RD[[#This Row],[IS1POA1 (KWh/m2)]:[IS7POA2 (KWh/m2)]]),"")</f>
        <v>6.6249372083333347</v>
      </c>
      <c r="CY43" s="204">
        <f>IFERROR(AVERAGEIF(RD[[#This Row],[IS1GHI1 (KWh/m2)]:[IS7GHI2 (KWh/m2)]],"&lt;&gt;0",RD[[#This Row],[IS1GHI1 (KWh/m2)]:[IS7GHI2 (KWh/m2)]]),"")</f>
        <v>6.5114990333333385</v>
      </c>
      <c r="CZ43" s="204">
        <f>IFERROR(AVERAGEIF(RD[[#This Row],[IS1POA_BS1 (KWh/m2)]:[IS7POA_BS2 (KWh/m2)]],"&lt;&gt;0",RD[[#This Row],[IS1POA_BS1 (KWh/m2)]:[IS7POA_BS2 (KWh/m2)]]),"")</f>
        <v>0.91383813333333308</v>
      </c>
      <c r="DA43" s="204">
        <f>IFERROR(AVERAGEIF(RD[[#This Row],[IS1GHI_BS1 (KWh/m2)]:[IS1GHI_BS1 (KWh/m2)2]],"&lt;&gt;0",RD[[#This Row],[IS1GHI_BS1 (KWh/m2)]:[IS1GHI_BS1 (KWh/m2)2]]),"")</f>
        <v>1.1526370333333338</v>
      </c>
      <c r="DB43" s="204">
        <f>IFERROR(AVERAGEIF(RD[[#This Row],[IS1AT1 (°C)]:[IS7AT2 (°C)]],"&lt;&gt;0",RD[[#This Row],[IS1AT1 (°C)]:[IS7AT2 (°C)]]),"")</f>
        <v>28.059817274478693</v>
      </c>
      <c r="DC43" s="204">
        <f>IFERROR(AVERAGEIF(RD[[#This Row],[IS1MT1 (°C)]:[IS7MT2 (°C)]],"&lt;&gt;0",RD[[#This Row],[IS1MT1 (°C)]:[IS7MT2 (°C)]]),"")</f>
        <v>40.513636661906439</v>
      </c>
      <c r="DD43" s="204">
        <f>IFERROR(AVERAGEIF(RD[[#This Row],[IS1RH1 (%)]:[IS7RH2 (%)]],"&lt;&gt;0",RD[[#This Row],[IS1RH1 (%)]:[IS7RH2 (%)]]),"")</f>
        <v>55.589550212946364</v>
      </c>
      <c r="DE43" s="51" t="str">
        <f>IFERROR(AVERAGEIF(RD[[#This Row],[IS1Rain1 (mm)]:[IS7Rain2 (mm)]],"&lt;&gt;0",RD[[#This Row],[IS1Rain1 (mm)]:[IS7Rain2 (mm)]]),"")</f>
        <v/>
      </c>
      <c r="DF43" s="204">
        <f>IFERROR(AVERAGEIF(RD[[#This Row],[WS_Solar1_Avg (m/s)]:[IS7_WS_Solar1_Avg (m/s)]],"&lt;&gt;0",RD[[#This Row],[WS_Solar1_Avg (m/s)]:[IS7_WS_Solar1_Avg (m/s)]]),"")</f>
        <v>1.34615974761111</v>
      </c>
      <c r="DG43" s="204">
        <f>IFERROR(AVERAGEIF(RD[[#This Row],[WS_Solar1_Max (m/s)]:[IS7_WS_Solar1_Max (m/s)]],"&lt;&gt;0",RD[[#This Row],[WS_Solar1_Max (m/s)]:[IS7_WS_Solar1_Max (m/s)]]),"")</f>
        <v>5.8740000000000006</v>
      </c>
      <c r="DH43" s="204">
        <f>SUM(RD[[#This Row],[IS1Inv1M1]:[IS4Inv4M2]])</f>
        <v>278930.7</v>
      </c>
      <c r="DI43" s="205">
        <f>SUM(RD[[#This Row],[IS7Inv1M1]]+RD[[#This Row],[IS7Inv2M1]])</f>
        <v>16589.099999999999</v>
      </c>
      <c r="DJ43" s="204">
        <f>SUM(RD[[#This Row],[IS5Inv1M1]:[IS5Inv2M2]])</f>
        <v>40671.5</v>
      </c>
      <c r="DK43" s="204">
        <f>SUM(RD[[#This Row],[IS8Inv1M1]:[IS9Inv2M2]])</f>
        <v>78718.600000000006</v>
      </c>
      <c r="DL43" s="60">
        <f>SUM(RD[[#This Row],[IS6Inv1M1]:[IS6Inv2M2]])</f>
        <v>40932.800000000003</v>
      </c>
      <c r="DM43" s="51">
        <f>SUM(RD[[#This Row],[IS10Inv1M1]:[IS11Inv1M4]],RD[[#This Row],[IS14Inv1M1]:[IS14Inv2M4]])</f>
        <v>117169.60000000001</v>
      </c>
      <c r="DN43" s="288">
        <f>SUM(RD[[#This Row],[IS12Inv1M1]:[IS12Inv1M4]])</f>
        <v>26897</v>
      </c>
      <c r="DO43" s="288">
        <f>SUM(RD[[#This Row],[IS13Inv1M1]:[IS13Inv2M2]])</f>
        <v>12196.4</v>
      </c>
      <c r="DP43" s="204">
        <f>SUM(RD[[#This Row],[O2R15]:[O2R26]])</f>
        <v>612105.70000000007</v>
      </c>
      <c r="DQ43" s="164">
        <v>39017</v>
      </c>
      <c r="DR43" s="168">
        <v>207</v>
      </c>
      <c r="DS43" s="164">
        <v>33673.9</v>
      </c>
      <c r="DT43" s="164">
        <v>219.2</v>
      </c>
      <c r="DU43" s="168">
        <v>39013.800000000003</v>
      </c>
      <c r="DV43" s="168">
        <v>393.7</v>
      </c>
      <c r="DW43" s="164">
        <v>6932.2</v>
      </c>
      <c r="DX43" s="168">
        <v>31.3</v>
      </c>
      <c r="DY43" s="168"/>
      <c r="DZ43" s="168"/>
      <c r="EA43" s="140">
        <v>92.04</v>
      </c>
      <c r="EB43" s="243">
        <v>121951952</v>
      </c>
      <c r="EC43" s="242">
        <v>908554.17599999998</v>
      </c>
      <c r="ED43" s="243">
        <v>1089</v>
      </c>
      <c r="EE43" s="243">
        <v>116266</v>
      </c>
      <c r="EF43" s="164">
        <v>169140.1</v>
      </c>
      <c r="EG43" s="164">
        <v>1786.2</v>
      </c>
      <c r="EH43" s="146">
        <f>IF((RD[[#This Row],[33 kV_F3_Ex
Incomer1]]-DQ42)*1000&lt;0,0,(RD[[#This Row],[33 kV_F3_Ex
Incomer1]]-DQ42)*1000)</f>
        <v>140699.99999999709</v>
      </c>
      <c r="EI43" s="146">
        <f>IF((RD[[#This Row],[34 kV_F3_Im
Incomer1]]-DR42)*1000&lt;0,0,(RD[[#This Row],[34 kV_F3_Im
Incomer1]]-DR42)*1000)</f>
        <v>400.00000000000568</v>
      </c>
      <c r="EJ43" s="146">
        <f>IF((RD[[#This Row],[33 kV_F4_Ex
Incomer2]]-DS42)*1000&lt;0,0,(RD[[#This Row],[33 kV_F4_Ex
Incomer2]]-DS42)*1000)</f>
        <v>133300.00000000291</v>
      </c>
      <c r="EK43" s="146">
        <f>IF((RD[[#This Row],[34 kV_F4_Im
Incomer2]]-DT42)*1000&lt;0,0,(RD[[#This Row],[34 kV_F4_Im
Incomer2]]-DT42)*1000)</f>
        <v>299.99999999998295</v>
      </c>
      <c r="EL43" s="146">
        <f>IF((RD[[#This Row],[33 kV_F5_Ex
Incomer3]]-DU42)*1000&lt;0,0,(RD[[#This Row],[33 kV_F5_Ex
Incomer3]]-DU42)*1000)</f>
        <v>174000</v>
      </c>
      <c r="EM43" s="146">
        <f>IF((RD[[#This Row],[34 kV_F5_Im
Incomer3]]-DV42)*1000&lt;0,0,(RD[[#This Row],[34 kV_F5_Im
Incomer3]]-DV42)*1000)</f>
        <v>599.99999999996589</v>
      </c>
      <c r="EN43" s="146">
        <f>IF((RD[[#This Row],[33 kV_F6_Ex
Incomer4]]-DW42)*1000&lt;0,0,(RD[[#This Row],[33 kV_F6_Ex
Incomer4]]-DW42)*1000)</f>
        <v>158399.99999999965</v>
      </c>
      <c r="EO43" s="146">
        <f>IF((RD[[#This Row],[33 kV_F6_Im
Incomer4]]-DX42)*1000&lt;0,0,(RD[[#This Row],[33 kV_F6_Im
Incomer4]]-DX42)*1000)</f>
        <v>199.99999999999929</v>
      </c>
      <c r="EP43" s="146">
        <f>IF((RD[[#This Row],[33 kV_F7_Ex
Incomer5]]-DY42)*1000&lt;0,0,(RD[[#This Row],[33 kV_F7_Ex
Incomer5]]-DY42)*1000)</f>
        <v>0</v>
      </c>
      <c r="EQ43" s="146">
        <f>IF((RD[[#This Row],[33 kV_F7_Im
Incomer5]]-DZ42)*1000&lt;0,0,(RD[[#This Row],[33 kV_F7_Im
Incomer5]]-DZ42)*1000)</f>
        <v>0</v>
      </c>
      <c r="ER43" s="146">
        <f>IF((RD[[#This Row],[33 kV_Aux Trafo]]-EA42)*1000&lt;0,0,(RD[[#This Row],[33 kV_Aux Trafo]]-EA42)*1000)</f>
        <v>260.00000000000512</v>
      </c>
      <c r="ES43" s="158">
        <f>IF((RD[[#This Row],[33kV_OG1_Ex_]]-EB42)*1&lt;0,0,(RD[[#This Row],[33kV_OG1_Ex_]]-EB42)*1)</f>
        <v>606666</v>
      </c>
      <c r="ET43" s="146">
        <f>IF((RD[[#This Row],[33kV_OG1_Im]]-EC42)*1&lt;0,0,(RD[[#This Row],[33kV_OG1_Im]]-EC42)*1)</f>
        <v>1571.8399999999674</v>
      </c>
      <c r="EU43" s="146">
        <f>IF((RD[[#This Row],[132kV_TX1_EX]]-ED42)*720&lt;=0,"",(RD[[#This Row],[132kV_TX1_EX]]-ED42)*720)</f>
        <v>2160</v>
      </c>
      <c r="EV43" s="146">
        <f>IF((RD[[#This Row],[132 kV_Tx1_Im]]-EE42)*720&lt;=0,0,(RD[[#This Row],[132 kV_Tx1_Im]]-EE42)*720)</f>
        <v>434880</v>
      </c>
      <c r="EW43" s="146">
        <f>IF((RD[[#This Row],[132kV_L1_Ex]]-EF42)*720&lt;=0,0,(RD[[#This Row],[132kV_L1_Ex]]-EF42)*720)</f>
        <v>604367.99999999581</v>
      </c>
      <c r="EX43" s="146">
        <f>IF((RD[[#This Row],[132kV_L1_Im]]-EG42)*720&lt;=0,0,(RD[[#This Row],[132kV_L1_Im]]-EG42)*720)</f>
        <v>2088.0000000000655</v>
      </c>
      <c r="EY43" s="244">
        <f>IFERROR(RD[[#This Row],[33kV_OG1_Ex (MWh)]]+RD[[#This Row],[33kV_OG1_Im (MWh)]],"")</f>
        <v>608237.84</v>
      </c>
      <c r="EZ43" s="148">
        <f>RD[[#This Row],[33kV_OG1_Ex (MWh)]]-RD[[#This Row],[33kV_OG1_Im (MWh)]]</f>
        <v>605094.16</v>
      </c>
      <c r="FA43" s="148">
        <f>IFERROR(RD[[#This Row],[132kV_L1_Ex(MWh)]]-RD[[#This Row],[132kV_L1_Im(MWh)]],"")</f>
        <v>602279.99999999569</v>
      </c>
      <c r="FB43" s="55">
        <f>IFERROR(RD[[#This Row],[33kV_Ex(MWh)]]/RD[[#This Row],[Inv Total Gneration (MWh)]]-1,"")</f>
        <v>-6.3189413201022449E-3</v>
      </c>
      <c r="FC43" s="245">
        <f>IFERROR((RD[[#This Row],[Sunset Time (POA&lt;20 W/m2)]]-RD[[#This Row],[Sunrise Time (POA&gt;20 W/m2)]])*24,0)</f>
        <v>11.65</v>
      </c>
      <c r="FD43" s="246">
        <v>106</v>
      </c>
      <c r="FE43" t="s">
        <v>265</v>
      </c>
      <c r="FG43" s="144" t="str">
        <f>IFERROR(RD[[#This Row],[E_AC (WPR)]]/RD[[#This Row],[E_DC (WPR)]],"")</f>
        <v/>
      </c>
    </row>
    <row r="44" spans="1:163">
      <c r="A44" s="133">
        <f t="shared" si="157"/>
        <v>45784</v>
      </c>
      <c r="B44" s="138">
        <f>YEAR(RD[[#This Row],[Date]])+IF(MONTH(RD[[#This Row],[Date]])&gt;=4,1,0)</f>
        <v>2026</v>
      </c>
      <c r="C44" s="138">
        <f>YEAR(RD[[#This Row],[Date]])</f>
        <v>2025</v>
      </c>
      <c r="D44" s="139">
        <f t="shared" si="158"/>
        <v>45778</v>
      </c>
      <c r="E44" s="138">
        <f>DAY(EOMONTH(RD[[#This Row],[Date]],0))</f>
        <v>31</v>
      </c>
      <c r="F44" s="152">
        <v>0.25486111111111109</v>
      </c>
      <c r="G44" s="162">
        <v>0.77222222222222225</v>
      </c>
      <c r="H44" s="124">
        <v>8765</v>
      </c>
      <c r="I44" s="124">
        <v>8719</v>
      </c>
      <c r="J44" s="124">
        <v>8366</v>
      </c>
      <c r="K44" s="124">
        <v>8505</v>
      </c>
      <c r="L44" s="124">
        <v>8762</v>
      </c>
      <c r="M44" s="124">
        <v>8929</v>
      </c>
      <c r="N44" s="124">
        <v>8630</v>
      </c>
      <c r="O44" s="124">
        <v>9171</v>
      </c>
      <c r="P44" s="124">
        <v>8577</v>
      </c>
      <c r="Q44" s="124">
        <v>8588</v>
      </c>
      <c r="R44" s="124">
        <v>8858</v>
      </c>
      <c r="S44" s="124">
        <v>8807</v>
      </c>
      <c r="T44" s="124">
        <v>9012</v>
      </c>
      <c r="U44" s="124">
        <v>8898</v>
      </c>
      <c r="V44" s="124">
        <v>8935</v>
      </c>
      <c r="W44" s="124">
        <v>8577</v>
      </c>
      <c r="X44" s="203">
        <v>12187</v>
      </c>
      <c r="Y44" s="203">
        <v>13013</v>
      </c>
      <c r="Z44" s="203">
        <v>11857</v>
      </c>
      <c r="AA44" s="203">
        <v>12234</v>
      </c>
      <c r="AB44" s="203">
        <v>12963</v>
      </c>
      <c r="AC44" s="203">
        <v>8403</v>
      </c>
      <c r="AD44" s="203">
        <v>12283</v>
      </c>
      <c r="AE44" s="203">
        <v>12439</v>
      </c>
      <c r="AF44" s="203">
        <v>12204</v>
      </c>
      <c r="AG44" s="203">
        <v>12194</v>
      </c>
      <c r="AH44" s="203">
        <v>12176</v>
      </c>
      <c r="AI44" s="203">
        <v>12441</v>
      </c>
      <c r="AJ44" s="142">
        <v>10748</v>
      </c>
      <c r="AK44" s="142">
        <v>10996</v>
      </c>
      <c r="AL44" s="142">
        <v>10712</v>
      </c>
      <c r="AM44" s="142">
        <v>10835</v>
      </c>
      <c r="AN44" s="142">
        <v>10100</v>
      </c>
      <c r="AO44" s="142">
        <v>10428</v>
      </c>
      <c r="AP44" s="142">
        <v>10922</v>
      </c>
      <c r="AQ44" s="142">
        <v>10782</v>
      </c>
      <c r="AR44" s="142">
        <v>8648</v>
      </c>
      <c r="AS44" s="142">
        <v>8710</v>
      </c>
      <c r="AT44" s="142">
        <v>7266</v>
      </c>
      <c r="AU44" s="142">
        <v>7230</v>
      </c>
      <c r="AV44" s="142">
        <v>7378</v>
      </c>
      <c r="AW44" s="142">
        <v>7133</v>
      </c>
      <c r="AX44" s="142">
        <v>11100</v>
      </c>
      <c r="AY44" s="142">
        <v>11943</v>
      </c>
      <c r="AZ44" s="142">
        <v>9038</v>
      </c>
      <c r="BA44" s="142">
        <v>10852</v>
      </c>
      <c r="BB44" s="142">
        <v>12117</v>
      </c>
      <c r="BC44" s="142">
        <v>10231</v>
      </c>
      <c r="BD44" s="142">
        <v>8488</v>
      </c>
      <c r="BE44" s="142">
        <v>11592</v>
      </c>
      <c r="BF44" s="142">
        <v>12369</v>
      </c>
      <c r="BG44" s="142">
        <v>12321</v>
      </c>
      <c r="BH44" s="142">
        <v>7296</v>
      </c>
      <c r="BI44" s="142">
        <v>4623</v>
      </c>
      <c r="BJ44" s="142">
        <v>8293</v>
      </c>
      <c r="BK44" s="142">
        <v>5966</v>
      </c>
      <c r="BL44" s="142">
        <v>7742</v>
      </c>
      <c r="BM44" s="142">
        <v>7668</v>
      </c>
      <c r="BN44" s="142">
        <v>7582</v>
      </c>
      <c r="BO44" s="142">
        <v>7739</v>
      </c>
      <c r="BP44" s="142">
        <v>7859</v>
      </c>
      <c r="BQ44" s="142">
        <v>7232</v>
      </c>
      <c r="BR44" s="142">
        <v>6468</v>
      </c>
      <c r="BS44" s="142">
        <v>2698</v>
      </c>
      <c r="BT44" s="142">
        <v>3075</v>
      </c>
      <c r="BU44" s="142">
        <v>1613</v>
      </c>
      <c r="BV44" s="142"/>
      <c r="BW44" s="142"/>
      <c r="BX44" s="142"/>
      <c r="BY44" s="142"/>
      <c r="BZ44" s="142">
        <v>1324</v>
      </c>
      <c r="CA44" s="142">
        <v>1114</v>
      </c>
      <c r="CB44" s="142">
        <v>4735</v>
      </c>
      <c r="CC44" s="142">
        <v>8511</v>
      </c>
      <c r="CD44" s="59">
        <v>6.7690000000000001</v>
      </c>
      <c r="CE44" s="59">
        <v>6.8959999999999999</v>
      </c>
      <c r="CF44" s="206">
        <v>6.9509999999999996</v>
      </c>
      <c r="CG44" s="206">
        <v>6.899</v>
      </c>
      <c r="CH44" s="206">
        <v>0.90700000000000003</v>
      </c>
      <c r="CI44" s="206">
        <v>1.004</v>
      </c>
      <c r="CJ44" s="59">
        <v>1.2629999999999999</v>
      </c>
      <c r="CK44" s="59">
        <v>1.133</v>
      </c>
      <c r="CL44" s="206">
        <v>26.716000000000001</v>
      </c>
      <c r="CM44" s="206">
        <v>26.552</v>
      </c>
      <c r="CN44" s="206">
        <v>41.006999999999998</v>
      </c>
      <c r="CO44" s="206">
        <v>38.631999999999998</v>
      </c>
      <c r="CP44" s="206">
        <v>52.8</v>
      </c>
      <c r="CQ44" s="206">
        <v>55.661999999999999</v>
      </c>
      <c r="CR44" s="59">
        <v>0</v>
      </c>
      <c r="CS44" s="59">
        <v>0</v>
      </c>
      <c r="CT44" s="206">
        <v>1.1639999999999999</v>
      </c>
      <c r="CU44" s="206">
        <v>1.175</v>
      </c>
      <c r="CV44" s="206">
        <v>4.47</v>
      </c>
      <c r="CW44" s="260">
        <v>3.84</v>
      </c>
      <c r="CX44" s="204">
        <f>IFERROR(AVERAGEIF(RD[[#This Row],[IS1POA1 (KWh/m2)]:[IS7POA2 (KWh/m2)]],"&lt;&gt;0",RD[[#This Row],[IS1POA1 (KWh/m2)]:[IS7POA2 (KWh/m2)]]),"")</f>
        <v>6.8324999999999996</v>
      </c>
      <c r="CY44" s="204">
        <f>IFERROR(AVERAGEIF(RD[[#This Row],[IS1GHI1 (KWh/m2)]:[IS7GHI2 (KWh/m2)]],"&lt;&gt;0",RD[[#This Row],[IS1GHI1 (KWh/m2)]:[IS7GHI2 (KWh/m2)]]),"")</f>
        <v>6.9249999999999998</v>
      </c>
      <c r="CZ44" s="204">
        <f>IFERROR(AVERAGEIF(RD[[#This Row],[IS1POA_BS1 (KWh/m2)]:[IS7POA_BS2 (KWh/m2)]],"&lt;&gt;0",RD[[#This Row],[IS1POA_BS1 (KWh/m2)]:[IS7POA_BS2 (KWh/m2)]]),"")</f>
        <v>0.95550000000000002</v>
      </c>
      <c r="DA44" s="204">
        <f>IFERROR(AVERAGEIF(RD[[#This Row],[IS1GHI_BS1 (KWh/m2)]:[IS1GHI_BS1 (KWh/m2)2]],"&lt;&gt;0",RD[[#This Row],[IS1GHI_BS1 (KWh/m2)]:[IS1GHI_BS1 (KWh/m2)2]]),"")</f>
        <v>1.198</v>
      </c>
      <c r="DB44" s="204">
        <f>IFERROR(AVERAGEIF(RD[[#This Row],[IS1AT1 (°C)]:[IS7AT2 (°C)]],"&lt;&gt;0",RD[[#This Row],[IS1AT1 (°C)]:[IS7AT2 (°C)]]),"")</f>
        <v>26.634</v>
      </c>
      <c r="DC44" s="204">
        <f>IFERROR(AVERAGEIF(RD[[#This Row],[IS1MT1 (°C)]:[IS7MT2 (°C)]],"&lt;&gt;0",RD[[#This Row],[IS1MT1 (°C)]:[IS7MT2 (°C)]]),"")</f>
        <v>39.819499999999998</v>
      </c>
      <c r="DD44" s="204">
        <f>IFERROR(AVERAGEIF(RD[[#This Row],[IS1RH1 (%)]:[IS7RH2 (%)]],"&lt;&gt;0",RD[[#This Row],[IS1RH1 (%)]:[IS7RH2 (%)]]),"")</f>
        <v>54.230999999999995</v>
      </c>
      <c r="DE44" s="51" t="str">
        <f>IFERROR(AVERAGEIF(RD[[#This Row],[IS1Rain1 (mm)]:[IS7Rain2 (mm)]],"&lt;&gt;0",RD[[#This Row],[IS1Rain1 (mm)]:[IS7Rain2 (mm)]]),"")</f>
        <v/>
      </c>
      <c r="DF44" s="204">
        <f>IFERROR(AVERAGEIF(RD[[#This Row],[WS_Solar1_Avg (m/s)]:[IS7_WS_Solar1_Avg (m/s)]],"&lt;&gt;0",RD[[#This Row],[WS_Solar1_Avg (m/s)]:[IS7_WS_Solar1_Avg (m/s)]]),"")</f>
        <v>1.1695</v>
      </c>
      <c r="DG44" s="204">
        <f>IFERROR(AVERAGEIF(RD[[#This Row],[WS_Solar1_Max (m/s)]:[IS7_WS_Solar1_Max (m/s)]],"&lt;&gt;0",RD[[#This Row],[WS_Solar1_Max (m/s)]:[IS7_WS_Solar1_Max (m/s)]]),"")</f>
        <v>4.1549999999999994</v>
      </c>
      <c r="DH44" s="204">
        <f>SUM(RD[[#This Row],[IS1Inv1M1]:[IS4Inv4M2]])</f>
        <v>284493</v>
      </c>
      <c r="DI44" s="205">
        <f>SUM(RD[[#This Row],[IS7Inv1M1]]+RD[[#This Row],[IS7Inv2M1]])</f>
        <v>17358</v>
      </c>
      <c r="DJ44" s="204">
        <f>SUM(RD[[#This Row],[IS5Inv1M1]:[IS5Inv2M2]])</f>
        <v>43291</v>
      </c>
      <c r="DK44" s="204">
        <f>SUM(RD[[#This Row],[IS8Inv1M1]:[IS9Inv2M2]])</f>
        <v>71940</v>
      </c>
      <c r="DL44" s="60">
        <f>SUM(RD[[#This Row],[IS6Inv1M1]:[IS6Inv2M2]])</f>
        <v>42232</v>
      </c>
      <c r="DM44" s="51">
        <f>SUM(RD[[#This Row],[IS10Inv1M1]:[IS11Inv1M4]],RD[[#This Row],[IS14Inv1M1]:[IS14Inv2M4]])</f>
        <v>124390</v>
      </c>
      <c r="DN44" s="288">
        <f>SUM(RD[[#This Row],[IS12Inv1M1]:[IS12Inv1M4]])</f>
        <v>30412</v>
      </c>
      <c r="DO44" s="288">
        <f>SUM(RD[[#This Row],[IS13Inv1M1]:[IS13Inv2M2]])</f>
        <v>13854</v>
      </c>
      <c r="DP44" s="204">
        <f>SUM(RD[[#This Row],[O2R15]:[O2R26]])</f>
        <v>627970</v>
      </c>
      <c r="DQ44" s="164">
        <v>39160.199999999997</v>
      </c>
      <c r="DR44" s="168">
        <v>207.2</v>
      </c>
      <c r="DS44" s="164">
        <v>33810</v>
      </c>
      <c r="DT44" s="164">
        <v>219.6</v>
      </c>
      <c r="DU44" s="168">
        <v>39187.4</v>
      </c>
      <c r="DV44" s="168">
        <v>393.8</v>
      </c>
      <c r="DW44" s="164">
        <v>7097.3</v>
      </c>
      <c r="DX44" s="168">
        <v>31.4</v>
      </c>
      <c r="DY44" s="168"/>
      <c r="DZ44" s="168"/>
      <c r="EA44" s="140">
        <v>92.3</v>
      </c>
      <c r="EB44" s="243">
        <v>122570506</v>
      </c>
      <c r="EC44" s="242">
        <v>909515.26399999997</v>
      </c>
      <c r="ED44" s="243">
        <v>1090</v>
      </c>
      <c r="EE44" s="243">
        <v>116882</v>
      </c>
      <c r="EF44" s="164">
        <v>169996.2</v>
      </c>
      <c r="EG44" s="164">
        <v>1788.5</v>
      </c>
      <c r="EH44" s="146">
        <f>IF((RD[[#This Row],[33 kV_F3_Ex
Incomer1]]-DQ43)*1000&lt;0,0,(RD[[#This Row],[33 kV_F3_Ex
Incomer1]]-DQ43)*1000)</f>
        <v>143199.99999999709</v>
      </c>
      <c r="EI44" s="146">
        <f>IF((RD[[#This Row],[34 kV_F3_Im
Incomer1]]-DR43)*1000&lt;0,0,(RD[[#This Row],[34 kV_F3_Im
Incomer1]]-DR43)*1000)</f>
        <v>199.99999999998863</v>
      </c>
      <c r="EJ44" s="146">
        <f>IF((RD[[#This Row],[33 kV_F4_Ex
Incomer2]]-DS43)*1000&lt;0,0,(RD[[#This Row],[33 kV_F4_Ex
Incomer2]]-DS43)*1000)</f>
        <v>136099.99999999854</v>
      </c>
      <c r="EK44" s="146">
        <f>IF((RD[[#This Row],[34 kV_F4_Im
Incomer2]]-DT43)*1000&lt;0,0,(RD[[#This Row],[34 kV_F4_Im
Incomer2]]-DT43)*1000)</f>
        <v>400.00000000000568</v>
      </c>
      <c r="EL44" s="146">
        <f>IF((RD[[#This Row],[33 kV_F5_Ex
Incomer3]]-DU43)*1000&lt;0,0,(RD[[#This Row],[33 kV_F5_Ex
Incomer3]]-DU43)*1000)</f>
        <v>173599.99999999854</v>
      </c>
      <c r="EM44" s="146">
        <f>IF((RD[[#This Row],[34 kV_F5_Im
Incomer3]]-DV43)*1000&lt;0,0,(RD[[#This Row],[34 kV_F5_Im
Incomer3]]-DV43)*1000)</f>
        <v>100.00000000002274</v>
      </c>
      <c r="EN44" s="146">
        <f>IF((RD[[#This Row],[33 kV_F6_Ex
Incomer4]]-DW43)*1000&lt;0,0,(RD[[#This Row],[33 kV_F6_Ex
Incomer4]]-DW43)*1000)</f>
        <v>165100.00000000035</v>
      </c>
      <c r="EO44" s="146">
        <f>IF((RD[[#This Row],[33 kV_F6_Im
Incomer4]]-DX43)*1000&lt;0,0,(RD[[#This Row],[33 kV_F6_Im
Incomer4]]-DX43)*1000)</f>
        <v>99.999999999997868</v>
      </c>
      <c r="EP44" s="146">
        <f>IF((RD[[#This Row],[33 kV_F7_Ex
Incomer5]]-DY43)*1000&lt;0,0,(RD[[#This Row],[33 kV_F7_Ex
Incomer5]]-DY43)*1000)</f>
        <v>0</v>
      </c>
      <c r="EQ44" s="146">
        <f>IF((RD[[#This Row],[33 kV_F7_Im
Incomer5]]-DZ43)*1000&lt;0,0,(RD[[#This Row],[33 kV_F7_Im
Incomer5]]-DZ43)*1000)</f>
        <v>0</v>
      </c>
      <c r="ER44" s="146">
        <f>IF((RD[[#This Row],[33 kV_Aux Trafo]]-EA43)*1000&lt;0,0,(RD[[#This Row],[33 kV_Aux Trafo]]-EA43)*1000)</f>
        <v>259.99999999999091</v>
      </c>
      <c r="ES44" s="158">
        <f>IF((RD[[#This Row],[33kV_OG1_Ex_]]-EB43)*1&lt;0,0,(RD[[#This Row],[33kV_OG1_Ex_]]-EB43)*1)</f>
        <v>618554</v>
      </c>
      <c r="ET44" s="146">
        <f>IF((RD[[#This Row],[33kV_OG1_Im]]-EC43)*1&lt;0,0,(RD[[#This Row],[33kV_OG1_Im]]-EC43)*1)</f>
        <v>961.08799999998882</v>
      </c>
      <c r="EU44" s="146">
        <f>IF((RD[[#This Row],[132kV_TX1_EX]]-ED43)*720&lt;=0,"",(RD[[#This Row],[132kV_TX1_EX]]-ED43)*720)</f>
        <v>720</v>
      </c>
      <c r="EV44" s="146">
        <f>IF((RD[[#This Row],[132 kV_Tx1_Im]]-EE43)*720&lt;=0,0,(RD[[#This Row],[132 kV_Tx1_Im]]-EE43)*720)</f>
        <v>443520</v>
      </c>
      <c r="EW44" s="146">
        <f>IF((RD[[#This Row],[132kV_L1_Ex]]-EF43)*720&lt;=0,0,(RD[[#This Row],[132kV_L1_Ex]]-EF43)*720)</f>
        <v>616392.00000000419</v>
      </c>
      <c r="EX44" s="146">
        <f>IF((RD[[#This Row],[132kV_L1_Im]]-EG43)*720&lt;=0,0,(RD[[#This Row],[132kV_L1_Im]]-EG43)*720)</f>
        <v>1655.9999999999673</v>
      </c>
      <c r="EY44" s="244">
        <f>IFERROR(RD[[#This Row],[33kV_OG1_Ex (MWh)]]+RD[[#This Row],[33kV_OG1_Im (MWh)]],"")</f>
        <v>619515.08799999999</v>
      </c>
      <c r="EZ44" s="148">
        <f>RD[[#This Row],[33kV_OG1_Ex (MWh)]]-RD[[#This Row],[33kV_OG1_Im (MWh)]]</f>
        <v>617592.91200000001</v>
      </c>
      <c r="FA44" s="148">
        <f>IFERROR(RD[[#This Row],[132kV_L1_Ex(MWh)]]-RD[[#This Row],[132kV_L1_Im(MWh)]],"")</f>
        <v>614736.00000000419</v>
      </c>
      <c r="FB44" s="55">
        <f>IFERROR(RD[[#This Row],[33kV_Ex(MWh)]]/RD[[#This Row],[Inv Total Gneration (MWh)]]-1,"")</f>
        <v>-1.3463878847715716E-2</v>
      </c>
      <c r="FC44" s="245">
        <f>IFERROR((RD[[#This Row],[Sunset Time (POA&lt;20 W/m2)]]-RD[[#This Row],[Sunrise Time (POA&gt;20 W/m2)]])*24,0)</f>
        <v>12.416666666666668</v>
      </c>
      <c r="FD44" s="246">
        <v>106</v>
      </c>
      <c r="FE44" t="s">
        <v>265</v>
      </c>
      <c r="FG44" s="144" t="str">
        <f>IFERROR(RD[[#This Row],[E_AC (WPR)]]/RD[[#This Row],[E_DC (WPR)]],"")</f>
        <v/>
      </c>
    </row>
    <row r="45" spans="1:163">
      <c r="A45" s="133">
        <f t="shared" si="157"/>
        <v>45785</v>
      </c>
      <c r="B45" s="138">
        <f>YEAR(RD[[#This Row],[Date]])+IF(MONTH(RD[[#This Row],[Date]])&gt;=4,1,0)</f>
        <v>2026</v>
      </c>
      <c r="C45" s="138">
        <f>YEAR(RD[[#This Row],[Date]])</f>
        <v>2025</v>
      </c>
      <c r="D45" s="139">
        <f t="shared" si="158"/>
        <v>45778</v>
      </c>
      <c r="E45" s="138">
        <f>DAY(EOMONTH(RD[[#This Row],[Date]],0))</f>
        <v>31</v>
      </c>
      <c r="F45" s="152">
        <v>0.27916666666666667</v>
      </c>
      <c r="G45" s="162">
        <v>0.76736111111111116</v>
      </c>
      <c r="H45" s="124">
        <v>4199.8999999999996</v>
      </c>
      <c r="I45" s="124">
        <v>4166.8999999999996</v>
      </c>
      <c r="J45" s="124">
        <v>3878.4</v>
      </c>
      <c r="K45" s="124">
        <v>3887.4</v>
      </c>
      <c r="L45" s="124">
        <v>4024</v>
      </c>
      <c r="M45" s="124">
        <v>4180</v>
      </c>
      <c r="N45" s="124">
        <v>3980.4</v>
      </c>
      <c r="O45" s="124">
        <v>4500.5</v>
      </c>
      <c r="P45" s="124">
        <v>4073</v>
      </c>
      <c r="Q45" s="124">
        <v>3984.4</v>
      </c>
      <c r="R45" s="124">
        <v>4161.2</v>
      </c>
      <c r="S45" s="124">
        <v>4157.6000000000004</v>
      </c>
      <c r="T45" s="124">
        <v>4305.8</v>
      </c>
      <c r="U45" s="124">
        <v>4188.8999999999996</v>
      </c>
      <c r="V45" s="124">
        <v>4290.2</v>
      </c>
      <c r="W45" s="124">
        <v>4096.1000000000004</v>
      </c>
      <c r="X45" s="203">
        <v>5806.2</v>
      </c>
      <c r="Y45" s="203">
        <v>6561.3</v>
      </c>
      <c r="Z45" s="203">
        <v>5625.3</v>
      </c>
      <c r="AA45" s="203">
        <v>5882.7</v>
      </c>
      <c r="AB45" s="203">
        <v>6411.4</v>
      </c>
      <c r="AC45" s="203">
        <v>3910</v>
      </c>
      <c r="AD45" s="203">
        <v>5826.2</v>
      </c>
      <c r="AE45" s="203">
        <v>5911.9</v>
      </c>
      <c r="AF45" s="203">
        <v>5757.6</v>
      </c>
      <c r="AG45" s="203">
        <v>5663</v>
      </c>
      <c r="AH45" s="203">
        <v>5759.5</v>
      </c>
      <c r="AI45" s="203">
        <v>5804</v>
      </c>
      <c r="AJ45" s="142">
        <v>4643.8999999999996</v>
      </c>
      <c r="AK45" s="142">
        <v>4766.1000000000004</v>
      </c>
      <c r="AL45" s="142">
        <v>4609.1000000000004</v>
      </c>
      <c r="AM45" s="142">
        <v>4668</v>
      </c>
      <c r="AN45" s="142">
        <v>4633.5</v>
      </c>
      <c r="AO45" s="142">
        <v>4794</v>
      </c>
      <c r="AP45" s="142">
        <v>4709.2</v>
      </c>
      <c r="AQ45" s="142">
        <v>4669.8999999999996</v>
      </c>
      <c r="AR45" s="142">
        <v>3717.1</v>
      </c>
      <c r="AS45" s="142">
        <v>3753.5</v>
      </c>
      <c r="AT45" s="142">
        <v>3767</v>
      </c>
      <c r="AU45" s="142">
        <v>3733.6</v>
      </c>
      <c r="AV45" s="142">
        <v>3835.7</v>
      </c>
      <c r="AW45" s="142">
        <v>3699.1</v>
      </c>
      <c r="AX45" s="142">
        <v>11700</v>
      </c>
      <c r="AY45" s="142">
        <v>13054</v>
      </c>
      <c r="AZ45" s="142">
        <v>9537</v>
      </c>
      <c r="BA45" s="142">
        <v>11354</v>
      </c>
      <c r="BB45" s="142">
        <v>10428</v>
      </c>
      <c r="BC45" s="142">
        <v>8416</v>
      </c>
      <c r="BD45" s="142">
        <v>8246.7999999999993</v>
      </c>
      <c r="BE45" s="142">
        <v>11728.8</v>
      </c>
      <c r="BF45" s="142">
        <v>12168.3</v>
      </c>
      <c r="BG45" s="142">
        <v>12083.1</v>
      </c>
      <c r="BH45" s="142">
        <v>7292</v>
      </c>
      <c r="BI45" s="142">
        <v>4482.1000000000004</v>
      </c>
      <c r="BJ45" s="142">
        <v>7887</v>
      </c>
      <c r="BK45" s="142">
        <v>5586</v>
      </c>
      <c r="BL45" s="142">
        <v>7561</v>
      </c>
      <c r="BM45" s="142">
        <v>7036</v>
      </c>
      <c r="BN45" s="142">
        <v>7563</v>
      </c>
      <c r="BO45" s="142">
        <v>7968</v>
      </c>
      <c r="BP45" s="142">
        <v>7245</v>
      </c>
      <c r="BQ45" s="142">
        <v>4771</v>
      </c>
      <c r="BR45" s="142">
        <v>2742</v>
      </c>
      <c r="BS45" s="142">
        <v>1990</v>
      </c>
      <c r="BT45" s="142">
        <v>2631</v>
      </c>
      <c r="BU45" s="142">
        <v>964.1</v>
      </c>
      <c r="BV45" s="142"/>
      <c r="BW45" s="142"/>
      <c r="BX45" s="142"/>
      <c r="BY45" s="142"/>
      <c r="BZ45" s="142">
        <v>1318</v>
      </c>
      <c r="CA45" s="142">
        <v>1127</v>
      </c>
      <c r="CB45" s="142">
        <v>4697</v>
      </c>
      <c r="CC45" s="142">
        <v>8529</v>
      </c>
      <c r="CD45" s="59">
        <v>2.8943908666666673</v>
      </c>
      <c r="CE45" s="59">
        <v>2.7064875500000007</v>
      </c>
      <c r="CF45" s="206">
        <v>2.8900878666666698</v>
      </c>
      <c r="CG45" s="206">
        <v>0.3956199333333329</v>
      </c>
      <c r="CH45" s="206">
        <v>0.37743831666666677</v>
      </c>
      <c r="CI45" s="206">
        <v>2.7064875500000007</v>
      </c>
      <c r="CJ45" s="59">
        <v>0.55234044999999965</v>
      </c>
      <c r="CK45" s="59">
        <v>2.6991934333333329</v>
      </c>
      <c r="CL45" s="206">
        <v>27.222673350041759</v>
      </c>
      <c r="CM45" s="206">
        <v>27.146055045871606</v>
      </c>
      <c r="CN45" s="206">
        <v>37.965178780284049</v>
      </c>
      <c r="CO45" s="206">
        <v>35.352849874895803</v>
      </c>
      <c r="CP45" s="206">
        <v>53.543842940685067</v>
      </c>
      <c r="CQ45" s="206">
        <v>55.598523769808203</v>
      </c>
      <c r="CR45" s="59">
        <v>0</v>
      </c>
      <c r="CS45" s="59">
        <v>0</v>
      </c>
      <c r="CT45" s="206">
        <v>0.76298997493734388</v>
      </c>
      <c r="CU45" s="206">
        <v>0.77621184320266945</v>
      </c>
      <c r="CV45" s="206">
        <v>1.827</v>
      </c>
      <c r="CW45" s="260">
        <v>2.0489999999999999</v>
      </c>
      <c r="CX45" s="204">
        <f>IFERROR(AVERAGEIF(RD[[#This Row],[IS1POA1 (KWh/m2)]:[IS7POA2 (KWh/m2)]],"&lt;&gt;0",RD[[#This Row],[IS1POA1 (KWh/m2)]:[IS7POA2 (KWh/m2)]]),"")</f>
        <v>2.800439208333334</v>
      </c>
      <c r="CY45" s="204">
        <f>IFERROR(AVERAGEIF(RD[[#This Row],[IS1GHI1 (KWh/m2)]:[IS7GHI2 (KWh/m2)]],"&lt;&gt;0",RD[[#This Row],[IS1GHI1 (KWh/m2)]:[IS7GHI2 (KWh/m2)]]),"")</f>
        <v>1.6428539000000013</v>
      </c>
      <c r="CZ45" s="204">
        <f>IFERROR(AVERAGEIF(RD[[#This Row],[IS1POA_BS1 (KWh/m2)]:[IS7POA_BS2 (KWh/m2)]],"&lt;&gt;0",RD[[#This Row],[IS1POA_BS1 (KWh/m2)]:[IS7POA_BS2 (KWh/m2)]]),"")</f>
        <v>1.5419629333333338</v>
      </c>
      <c r="DA45" s="204">
        <f>IFERROR(AVERAGEIF(RD[[#This Row],[IS1GHI_BS1 (KWh/m2)]:[IS1GHI_BS1 (KWh/m2)2]],"&lt;&gt;0",RD[[#This Row],[IS1GHI_BS1 (KWh/m2)]:[IS1GHI_BS1 (KWh/m2)2]]),"")</f>
        <v>1.6257669416666662</v>
      </c>
      <c r="DB45" s="204">
        <f>IFERROR(AVERAGEIF(RD[[#This Row],[IS1AT1 (°C)]:[IS7AT2 (°C)]],"&lt;&gt;0",RD[[#This Row],[IS1AT1 (°C)]:[IS7AT2 (°C)]]),"")</f>
        <v>27.184364197956683</v>
      </c>
      <c r="DC45" s="204">
        <f>IFERROR(AVERAGEIF(RD[[#This Row],[IS1MT1 (°C)]:[IS7MT2 (°C)]],"&lt;&gt;0",RD[[#This Row],[IS1MT1 (°C)]:[IS7MT2 (°C)]]),"")</f>
        <v>36.659014327589929</v>
      </c>
      <c r="DD45" s="204">
        <f>IFERROR(AVERAGEIF(RD[[#This Row],[IS1RH1 (%)]:[IS7RH2 (%)]],"&lt;&gt;0",RD[[#This Row],[IS1RH1 (%)]:[IS7RH2 (%)]]),"")</f>
        <v>54.571183355246632</v>
      </c>
      <c r="DE45" s="51" t="str">
        <f>IFERROR(AVERAGEIF(RD[[#This Row],[IS1Rain1 (mm)]:[IS7Rain2 (mm)]],"&lt;&gt;0",RD[[#This Row],[IS1Rain1 (mm)]:[IS7Rain2 (mm)]]),"")</f>
        <v/>
      </c>
      <c r="DF45" s="204">
        <f>IFERROR(AVERAGEIF(RD[[#This Row],[WS_Solar1_Avg (m/s)]:[IS7_WS_Solar1_Avg (m/s)]],"&lt;&gt;0",RD[[#This Row],[WS_Solar1_Avg (m/s)]:[IS7_WS_Solar1_Avg (m/s)]]),"")</f>
        <v>0.76960090907000667</v>
      </c>
      <c r="DG45" s="204">
        <f>IFERROR(AVERAGEIF(RD[[#This Row],[WS_Solar1_Max (m/s)]:[IS7_WS_Solar1_Max (m/s)]],"&lt;&gt;0",RD[[#This Row],[WS_Solar1_Max (m/s)]:[IS7_WS_Solar1_Max (m/s)]]),"")</f>
        <v>1.9379999999999999</v>
      </c>
      <c r="DH45" s="204">
        <f>SUM(RD[[#This Row],[IS1Inv1M1]:[IS4Inv4M2]])</f>
        <v>134993.79999999999</v>
      </c>
      <c r="DI45" s="205">
        <f>SUM(RD[[#This Row],[IS7Inv1M1]]+RD[[#This Row],[IS7Inv2M1]])</f>
        <v>7470.6</v>
      </c>
      <c r="DJ45" s="204">
        <f>SUM(RD[[#This Row],[IS5Inv1M1]:[IS5Inv2M2]])</f>
        <v>18687.099999999999</v>
      </c>
      <c r="DK45" s="204">
        <f>SUM(RD[[#This Row],[IS8Inv1M1]:[IS9Inv2M2]])</f>
        <v>60680.4</v>
      </c>
      <c r="DL45" s="60">
        <f>SUM(RD[[#This Row],[IS6Inv1M1]:[IS6Inv2M2]])</f>
        <v>18806.599999999999</v>
      </c>
      <c r="DM45" s="51">
        <f>SUM(RD[[#This Row],[IS10Inv1M1]:[IS11Inv1M4]],RD[[#This Row],[IS14Inv1M1]:[IS14Inv2M4]])</f>
        <v>118586.1</v>
      </c>
      <c r="DN45" s="288">
        <f>SUM(RD[[#This Row],[IS12Inv1M1]:[IS12Inv1M4]])</f>
        <v>27547</v>
      </c>
      <c r="DO45" s="288">
        <f>SUM(RD[[#This Row],[IS13Inv1M1]:[IS13Inv2M2]])</f>
        <v>8327.1</v>
      </c>
      <c r="DP45" s="204">
        <f>SUM(RD[[#This Row],[O2R15]:[O2R26]])</f>
        <v>395098.69999999995</v>
      </c>
      <c r="DQ45" s="164">
        <v>39228.9</v>
      </c>
      <c r="DR45" s="168">
        <v>207.6</v>
      </c>
      <c r="DS45" s="164">
        <v>33876.400000000001</v>
      </c>
      <c r="DT45" s="164">
        <v>220</v>
      </c>
      <c r="DU45" s="168">
        <v>39268.1</v>
      </c>
      <c r="DV45" s="168">
        <v>394.5</v>
      </c>
      <c r="DW45" s="164">
        <v>7179.6</v>
      </c>
      <c r="DX45" s="168">
        <v>32</v>
      </c>
      <c r="DY45" s="168"/>
      <c r="DZ45" s="168"/>
      <c r="EA45" s="140">
        <v>92.54</v>
      </c>
      <c r="EB45" s="243">
        <v>122867957</v>
      </c>
      <c r="EC45" s="242">
        <v>911764.73600000003</v>
      </c>
      <c r="ED45" s="243">
        <v>1093</v>
      </c>
      <c r="EE45" s="243">
        <v>117178</v>
      </c>
      <c r="EF45" s="164">
        <v>170407.9</v>
      </c>
      <c r="EG45" s="164">
        <v>1792.4</v>
      </c>
      <c r="EH45" s="146">
        <f>IF((RD[[#This Row],[33 kV_F3_Ex
Incomer1]]-DQ44)*1000&lt;0,0,(RD[[#This Row],[33 kV_F3_Ex
Incomer1]]-DQ44)*1000)</f>
        <v>68700.000000004366</v>
      </c>
      <c r="EI45" s="146">
        <f>IF((RD[[#This Row],[34 kV_F3_Im
Incomer1]]-DR44)*1000&lt;0,0,(RD[[#This Row],[34 kV_F3_Im
Incomer1]]-DR44)*1000)</f>
        <v>400.00000000000568</v>
      </c>
      <c r="EJ45" s="146">
        <f>IF((RD[[#This Row],[33 kV_F4_Ex
Incomer2]]-DS44)*1000&lt;0,0,(RD[[#This Row],[33 kV_F4_Ex
Incomer2]]-DS44)*1000)</f>
        <v>66400.000000001455</v>
      </c>
      <c r="EK45" s="146">
        <f>IF((RD[[#This Row],[34 kV_F4_Im
Incomer2]]-DT44)*1000&lt;0,0,(RD[[#This Row],[34 kV_F4_Im
Incomer2]]-DT44)*1000)</f>
        <v>400.00000000000568</v>
      </c>
      <c r="EL45" s="146">
        <f>IF((RD[[#This Row],[33 kV_F5_Ex
Incomer3]]-DU44)*1000&lt;0,0,(RD[[#This Row],[33 kV_F5_Ex
Incomer3]]-DU44)*1000)</f>
        <v>80699.99999999709</v>
      </c>
      <c r="EM45" s="146">
        <f>IF((RD[[#This Row],[34 kV_F5_Im
Incomer3]]-DV44)*1000&lt;0,0,(RD[[#This Row],[34 kV_F5_Im
Incomer3]]-DV44)*1000)</f>
        <v>699.99999999998863</v>
      </c>
      <c r="EN45" s="146">
        <f>IF((RD[[#This Row],[33 kV_F6_Ex
Incomer4]]-DW44)*1000&lt;0,0,(RD[[#This Row],[33 kV_F6_Ex
Incomer4]]-DW44)*1000)</f>
        <v>82300.000000000175</v>
      </c>
      <c r="EO45" s="146">
        <f>IF((RD[[#This Row],[33 kV_F6_Im
Incomer4]]-DX44)*1000&lt;0,0,(RD[[#This Row],[33 kV_F6_Im
Incomer4]]-DX44)*1000)</f>
        <v>600.00000000000136</v>
      </c>
      <c r="EP45" s="146">
        <f>IF((RD[[#This Row],[33 kV_F7_Ex
Incomer5]]-DY44)*1000&lt;0,0,(RD[[#This Row],[33 kV_F7_Ex
Incomer5]]-DY44)*1000)</f>
        <v>0</v>
      </c>
      <c r="EQ45" s="146">
        <f>IF((RD[[#This Row],[33 kV_F7_Im
Incomer5]]-DZ44)*1000&lt;0,0,(RD[[#This Row],[33 kV_F7_Im
Incomer5]]-DZ44)*1000)</f>
        <v>0</v>
      </c>
      <c r="ER45" s="146">
        <f>IF((RD[[#This Row],[33 kV_Aux Trafo]]-EA44)*1000&lt;0,0,(RD[[#This Row],[33 kV_Aux Trafo]]-EA44)*1000)</f>
        <v>240.00000000000909</v>
      </c>
      <c r="ES45" s="158">
        <f>IF((RD[[#This Row],[33kV_OG1_Ex_]]-EB44)*1&lt;0,0,(RD[[#This Row],[33kV_OG1_Ex_]]-EB44)*1)</f>
        <v>297451</v>
      </c>
      <c r="ET45" s="146">
        <f>IF((RD[[#This Row],[33kV_OG1_Im]]-EC44)*1&lt;0,0,(RD[[#This Row],[33kV_OG1_Im]]-EC44)*1)</f>
        <v>2249.4720000000671</v>
      </c>
      <c r="EU45" s="146">
        <f>IF((RD[[#This Row],[132kV_TX1_EX]]-ED44)*720&lt;=0,"",(RD[[#This Row],[132kV_TX1_EX]]-ED44)*720)</f>
        <v>2160</v>
      </c>
      <c r="EV45" s="146">
        <f>IF((RD[[#This Row],[132 kV_Tx1_Im]]-EE44)*720&lt;=0,0,(RD[[#This Row],[132 kV_Tx1_Im]]-EE44)*720)</f>
        <v>213120</v>
      </c>
      <c r="EW45" s="146">
        <f>IF((RD[[#This Row],[132kV_L1_Ex]]-EF44)*720&lt;=0,0,(RD[[#This Row],[132kV_L1_Ex]]-EF44)*720)</f>
        <v>296423.99999998743</v>
      </c>
      <c r="EX45" s="146">
        <f>IF((RD[[#This Row],[132kV_L1_Im]]-EG44)*720&lt;=0,0,(RD[[#This Row],[132kV_L1_Im]]-EG44)*720)</f>
        <v>2808.0000000000655</v>
      </c>
      <c r="EY45" s="244">
        <f>IFERROR(RD[[#This Row],[33kV_OG1_Ex (MWh)]]+RD[[#This Row],[33kV_OG1_Im (MWh)]],"")</f>
        <v>299700.47200000007</v>
      </c>
      <c r="EZ45" s="148">
        <f>RD[[#This Row],[33kV_OG1_Ex (MWh)]]-RD[[#This Row],[33kV_OG1_Im (MWh)]]</f>
        <v>295201.52799999993</v>
      </c>
      <c r="FA45" s="148">
        <f>IFERROR(RD[[#This Row],[132kV_L1_Ex(MWh)]]-RD[[#This Row],[132kV_L1_Im(MWh)]],"")</f>
        <v>293615.99999998737</v>
      </c>
      <c r="FB45" s="55">
        <f>IFERROR(RD[[#This Row],[33kV_Ex(MWh)]]/RD[[#This Row],[Inv Total Gneration (MWh)]]-1,"")</f>
        <v>-0.24145416828756938</v>
      </c>
      <c r="FC45" s="245">
        <f>IFERROR((RD[[#This Row],[Sunset Time (POA&lt;20 W/m2)]]-RD[[#This Row],[Sunrise Time (POA&gt;20 W/m2)]])*24,0)</f>
        <v>11.716666666666669</v>
      </c>
      <c r="FD45" s="246">
        <v>111</v>
      </c>
      <c r="FE45" t="s">
        <v>279</v>
      </c>
      <c r="FG45" s="144" t="str">
        <f>IFERROR(RD[[#This Row],[E_AC (WPR)]]/RD[[#This Row],[E_DC (WPR)]],"")</f>
        <v/>
      </c>
    </row>
    <row r="46" spans="1:163">
      <c r="A46" s="133">
        <f t="shared" si="157"/>
        <v>45786</v>
      </c>
      <c r="B46" s="138">
        <f>YEAR(RD[[#This Row],[Date]])+IF(MONTH(RD[[#This Row],[Date]])&gt;=4,1,0)</f>
        <v>2026</v>
      </c>
      <c r="C46" s="138">
        <f>YEAR(RD[[#This Row],[Date]])</f>
        <v>2025</v>
      </c>
      <c r="D46" s="139">
        <f t="shared" si="158"/>
        <v>45778</v>
      </c>
      <c r="E46" s="138">
        <f>DAY(EOMONTH(RD[[#This Row],[Date]],0))</f>
        <v>31</v>
      </c>
      <c r="F46" s="152">
        <v>0.25694444444444442</v>
      </c>
      <c r="G46" s="162">
        <v>0.77083333333333337</v>
      </c>
      <c r="H46" s="124">
        <v>7936.5</v>
      </c>
      <c r="I46" s="124">
        <v>7902.1</v>
      </c>
      <c r="J46" s="124">
        <v>7513.3</v>
      </c>
      <c r="K46" s="124">
        <v>7523.4</v>
      </c>
      <c r="L46" s="124">
        <v>7712.1</v>
      </c>
      <c r="M46" s="124">
        <v>7942.9</v>
      </c>
      <c r="N46" s="124">
        <v>7690.3</v>
      </c>
      <c r="O46" s="124">
        <v>8358.2999999999993</v>
      </c>
      <c r="P46" s="124">
        <v>7771.4</v>
      </c>
      <c r="Q46" s="124">
        <v>7680.4</v>
      </c>
      <c r="R46" s="124">
        <v>8021</v>
      </c>
      <c r="S46" s="124">
        <v>7996.7</v>
      </c>
      <c r="T46" s="124">
        <v>8221.7999999999993</v>
      </c>
      <c r="U46" s="124">
        <v>8114.8</v>
      </c>
      <c r="V46" s="124">
        <v>8158.6</v>
      </c>
      <c r="W46" s="124">
        <v>7863.1</v>
      </c>
      <c r="X46" s="203">
        <v>11176.9</v>
      </c>
      <c r="Y46" s="203">
        <v>11969.5</v>
      </c>
      <c r="Z46" s="203">
        <v>10812.3</v>
      </c>
      <c r="AA46" s="203">
        <v>11177.2</v>
      </c>
      <c r="AB46" s="203">
        <v>11700.4</v>
      </c>
      <c r="AC46" s="203">
        <v>7362.7</v>
      </c>
      <c r="AD46" s="203">
        <v>10993</v>
      </c>
      <c r="AE46" s="203">
        <v>11382.3</v>
      </c>
      <c r="AF46" s="203">
        <v>10975.5</v>
      </c>
      <c r="AG46" s="203">
        <v>10934</v>
      </c>
      <c r="AH46" s="203">
        <v>11012.4</v>
      </c>
      <c r="AI46" s="203">
        <v>11276.1</v>
      </c>
      <c r="AJ46" s="142">
        <v>9147.7000000000007</v>
      </c>
      <c r="AK46" s="142">
        <v>9353.9</v>
      </c>
      <c r="AL46" s="142">
        <v>9164.6</v>
      </c>
      <c r="AM46" s="142">
        <v>9341.7000000000007</v>
      </c>
      <c r="AN46" s="142">
        <v>9220.2999999999993</v>
      </c>
      <c r="AO46" s="142">
        <v>9570.7000000000007</v>
      </c>
      <c r="AP46" s="142">
        <v>9355.7000000000007</v>
      </c>
      <c r="AQ46" s="142">
        <v>9302.9</v>
      </c>
      <c r="AR46" s="142">
        <v>7467.2</v>
      </c>
      <c r="AS46" s="142">
        <v>7573.6</v>
      </c>
      <c r="AT46" s="142">
        <v>7557.6</v>
      </c>
      <c r="AU46" s="142">
        <v>7535.4</v>
      </c>
      <c r="AV46" s="142">
        <v>7708</v>
      </c>
      <c r="AW46" s="142">
        <v>7477.8</v>
      </c>
      <c r="AX46" s="142">
        <v>10618</v>
      </c>
      <c r="AY46" s="142">
        <v>11660</v>
      </c>
      <c r="AZ46" s="142">
        <v>8812</v>
      </c>
      <c r="BA46" s="142">
        <v>10634</v>
      </c>
      <c r="BB46" s="142">
        <v>10621</v>
      </c>
      <c r="BC46" s="142">
        <v>8996</v>
      </c>
      <c r="BD46" s="142">
        <v>7428</v>
      </c>
      <c r="BE46" s="142">
        <v>10148</v>
      </c>
      <c r="BF46" s="142">
        <v>10791</v>
      </c>
      <c r="BG46" s="142">
        <v>10780</v>
      </c>
      <c r="BH46" s="142">
        <v>6444</v>
      </c>
      <c r="BI46" s="142">
        <v>4120</v>
      </c>
      <c r="BJ46" s="142">
        <v>7345</v>
      </c>
      <c r="BK46" s="142">
        <v>5290</v>
      </c>
      <c r="BL46" s="142">
        <v>6980</v>
      </c>
      <c r="BM46" s="142">
        <v>6836</v>
      </c>
      <c r="BN46" s="142">
        <v>7108</v>
      </c>
      <c r="BO46" s="142">
        <v>6890</v>
      </c>
      <c r="BP46" s="142">
        <v>7332</v>
      </c>
      <c r="BQ46" s="142">
        <v>6656</v>
      </c>
      <c r="BR46" s="142">
        <v>6871</v>
      </c>
      <c r="BS46" s="142">
        <v>3052</v>
      </c>
      <c r="BT46" s="142">
        <v>2731</v>
      </c>
      <c r="BU46" s="142">
        <v>1587</v>
      </c>
      <c r="BV46" s="142"/>
      <c r="BW46" s="142"/>
      <c r="BX46" s="142"/>
      <c r="BY46" s="142"/>
      <c r="BZ46" s="142">
        <v>1173</v>
      </c>
      <c r="CA46" s="142">
        <v>984</v>
      </c>
      <c r="CB46" s="142">
        <v>4206</v>
      </c>
      <c r="CC46" s="142">
        <v>7468</v>
      </c>
      <c r="CD46" s="59">
        <v>6.6069165166666721</v>
      </c>
      <c r="CE46" s="59">
        <v>6.1783353333333384</v>
      </c>
      <c r="CF46" s="206">
        <v>6.7839831999999971</v>
      </c>
      <c r="CG46" s="206">
        <v>6.2100607166666721</v>
      </c>
      <c r="CH46" s="206">
        <v>0.89711423333333407</v>
      </c>
      <c r="CI46" s="206">
        <v>0.92602863333333318</v>
      </c>
      <c r="CJ46" s="59">
        <v>1.3424037833333324</v>
      </c>
      <c r="CK46" s="59">
        <v>6.2100607166666721</v>
      </c>
      <c r="CL46" s="206">
        <v>30.201518367346988</v>
      </c>
      <c r="CM46" s="206">
        <v>30.277938741721844</v>
      </c>
      <c r="CN46" s="206">
        <v>45.574770612244855</v>
      </c>
      <c r="CO46" s="206">
        <v>42.863171357615883</v>
      </c>
      <c r="CP46" s="206">
        <v>52.364457142857169</v>
      </c>
      <c r="CQ46" s="206">
        <v>53.28491721854288</v>
      </c>
      <c r="CR46" s="59">
        <v>0</v>
      </c>
      <c r="CS46" s="59">
        <v>0</v>
      </c>
      <c r="CT46" s="206">
        <v>0.86715428571428621</v>
      </c>
      <c r="CU46" s="206">
        <v>0.93809850993377419</v>
      </c>
      <c r="CV46" s="206">
        <v>2.625</v>
      </c>
      <c r="CW46" s="260">
        <v>2.706</v>
      </c>
      <c r="CX46" s="204">
        <f>IFERROR(AVERAGEIF(RD[[#This Row],[IS1POA1 (KWh/m2)]:[IS7POA2 (KWh/m2)]],"&lt;&gt;0",RD[[#This Row],[IS1POA1 (KWh/m2)]:[IS7POA2 (KWh/m2)]]),"")</f>
        <v>6.3926259250000053</v>
      </c>
      <c r="CY46" s="204">
        <f>IFERROR(AVERAGEIF(RD[[#This Row],[IS1GHI1 (KWh/m2)]:[IS7GHI2 (KWh/m2)]],"&lt;&gt;0",RD[[#This Row],[IS1GHI1 (KWh/m2)]:[IS7GHI2 (KWh/m2)]]),"")</f>
        <v>6.4970219583333346</v>
      </c>
      <c r="CZ46" s="204">
        <f>IFERROR(AVERAGEIF(RD[[#This Row],[IS1POA_BS1 (KWh/m2)]:[IS7POA_BS2 (KWh/m2)]],"&lt;&gt;0",RD[[#This Row],[IS1POA_BS1 (KWh/m2)]:[IS7POA_BS2 (KWh/m2)]]),"")</f>
        <v>0.91157143333333357</v>
      </c>
      <c r="DA46" s="204">
        <f>IFERROR(AVERAGEIF(RD[[#This Row],[IS1GHI_BS1 (KWh/m2)]:[IS1GHI_BS1 (KWh/m2)2]],"&lt;&gt;0",RD[[#This Row],[IS1GHI_BS1 (KWh/m2)]:[IS1GHI_BS1 (KWh/m2)2]]),"")</f>
        <v>3.7762322500000023</v>
      </c>
      <c r="DB46" s="204">
        <f>IFERROR(AVERAGEIF(RD[[#This Row],[IS1AT1 (°C)]:[IS7AT2 (°C)]],"&lt;&gt;0",RD[[#This Row],[IS1AT1 (°C)]:[IS7AT2 (°C)]]),"")</f>
        <v>30.239728554534416</v>
      </c>
      <c r="DC46" s="204">
        <f>IFERROR(AVERAGEIF(RD[[#This Row],[IS1MT1 (°C)]:[IS7MT2 (°C)]],"&lt;&gt;0",RD[[#This Row],[IS1MT1 (°C)]:[IS7MT2 (°C)]]),"")</f>
        <v>44.218970984930365</v>
      </c>
      <c r="DD46" s="204">
        <f>IFERROR(AVERAGEIF(RD[[#This Row],[IS1RH1 (%)]:[IS7RH2 (%)]],"&lt;&gt;0",RD[[#This Row],[IS1RH1 (%)]:[IS7RH2 (%)]]),"")</f>
        <v>52.824687180700025</v>
      </c>
      <c r="DE46" s="51" t="str">
        <f>IFERROR(AVERAGEIF(RD[[#This Row],[IS1Rain1 (mm)]:[IS7Rain2 (mm)]],"&lt;&gt;0",RD[[#This Row],[IS1Rain1 (mm)]:[IS7Rain2 (mm)]]),"")</f>
        <v/>
      </c>
      <c r="DF46" s="204">
        <f>IFERROR(AVERAGEIF(RD[[#This Row],[WS_Solar1_Avg (m/s)]:[IS7_WS_Solar1_Avg (m/s)]],"&lt;&gt;0",RD[[#This Row],[WS_Solar1_Avg (m/s)]:[IS7_WS_Solar1_Avg (m/s)]]),"")</f>
        <v>0.9026263978240302</v>
      </c>
      <c r="DG46" s="204">
        <f>IFERROR(AVERAGEIF(RD[[#This Row],[WS_Solar1_Max (m/s)]:[IS7_WS_Solar1_Max (m/s)]],"&lt;&gt;0",RD[[#This Row],[WS_Solar1_Max (m/s)]:[IS7_WS_Solar1_Max (m/s)]]),"")</f>
        <v>2.6654999999999998</v>
      </c>
      <c r="DH46" s="204">
        <f>SUM(RD[[#This Row],[IS1Inv1M1]:[IS4Inv4M2]])</f>
        <v>257179</v>
      </c>
      <c r="DI46" s="205">
        <f>SUM(RD[[#This Row],[IS7Inv1M1]]+RD[[#This Row],[IS7Inv2M1]])</f>
        <v>15040.8</v>
      </c>
      <c r="DJ46" s="204">
        <f>SUM(RD[[#This Row],[IS5Inv1M1]:[IS5Inv2M2]])</f>
        <v>37007.899999999994</v>
      </c>
      <c r="DK46" s="204">
        <f>SUM(RD[[#This Row],[IS8Inv1M1]:[IS9Inv2M2]])</f>
        <v>72002.8</v>
      </c>
      <c r="DL46" s="60">
        <f>SUM(RD[[#This Row],[IS6Inv1M1]:[IS6Inv2M2]])</f>
        <v>37449.599999999999</v>
      </c>
      <c r="DM46" s="51">
        <f>SUM(RD[[#This Row],[IS10Inv1M1]:[IS11Inv1M4]],RD[[#This Row],[IS14Inv1M1]:[IS14Inv2M4]])</f>
        <v>109610</v>
      </c>
      <c r="DN46" s="288">
        <f>SUM(RD[[#This Row],[IS12Inv1M1]:[IS12Inv1M4]])</f>
        <v>27986</v>
      </c>
      <c r="DO46" s="288">
        <f>SUM(RD[[#This Row],[IS13Inv1M1]:[IS13Inv2M2]])</f>
        <v>14241</v>
      </c>
      <c r="DP46" s="204">
        <f>SUM(RD[[#This Row],[O2R15]:[O2R26]])</f>
        <v>570517.09999999986</v>
      </c>
      <c r="DQ46" s="164">
        <v>39358.699999999997</v>
      </c>
      <c r="DR46" s="168">
        <v>208</v>
      </c>
      <c r="DS46" s="164">
        <v>33992.300000000003</v>
      </c>
      <c r="DT46" s="164">
        <v>220.3</v>
      </c>
      <c r="DU46" s="168">
        <v>39427.300000000003</v>
      </c>
      <c r="DV46" s="168">
        <v>395.1</v>
      </c>
      <c r="DW46" s="164">
        <v>7328.5</v>
      </c>
      <c r="DX46" s="168">
        <v>32.299999999999997</v>
      </c>
      <c r="DY46" s="168"/>
      <c r="DZ46" s="168"/>
      <c r="EA46" s="140">
        <v>92.81</v>
      </c>
      <c r="EB46" s="243">
        <v>123429380</v>
      </c>
      <c r="EC46" s="242">
        <v>913647.61600000004</v>
      </c>
      <c r="ED46" s="243">
        <v>1096</v>
      </c>
      <c r="EE46" s="243">
        <v>117737</v>
      </c>
      <c r="EF46" s="164">
        <v>171185</v>
      </c>
      <c r="EG46" s="164">
        <v>1795.8</v>
      </c>
      <c r="EH46" s="146">
        <f>IF((RD[[#This Row],[33 kV_F3_Ex
Incomer1]]-DQ45)*1000&lt;0,0,(RD[[#This Row],[33 kV_F3_Ex
Incomer1]]-DQ45)*1000)</f>
        <v>129799.99999999563</v>
      </c>
      <c r="EI46" s="146">
        <f>IF((RD[[#This Row],[34 kV_F3_Im
Incomer1]]-DR45)*1000&lt;0,0,(RD[[#This Row],[34 kV_F3_Im
Incomer1]]-DR45)*1000)</f>
        <v>400.00000000000568</v>
      </c>
      <c r="EJ46" s="146">
        <f>IF((RD[[#This Row],[33 kV_F4_Ex
Incomer2]]-DS45)*1000&lt;0,0,(RD[[#This Row],[33 kV_F4_Ex
Incomer2]]-DS45)*1000)</f>
        <v>115900.00000000146</v>
      </c>
      <c r="EK46" s="146">
        <f>IF((RD[[#This Row],[34 kV_F4_Im
Incomer2]]-DT45)*1000&lt;0,0,(RD[[#This Row],[34 kV_F4_Im
Incomer2]]-DT45)*1000)</f>
        <v>300.00000000001137</v>
      </c>
      <c r="EL46" s="146">
        <f>IF((RD[[#This Row],[33 kV_F5_Ex
Incomer3]]-DU45)*1000&lt;0,0,(RD[[#This Row],[33 kV_F5_Ex
Incomer3]]-DU45)*1000)</f>
        <v>159200.00000000437</v>
      </c>
      <c r="EM46" s="146">
        <f>IF((RD[[#This Row],[34 kV_F5_Im
Incomer3]]-DV45)*1000&lt;0,0,(RD[[#This Row],[34 kV_F5_Im
Incomer3]]-DV45)*1000)</f>
        <v>600.00000000002274</v>
      </c>
      <c r="EN46" s="146">
        <f>IF((RD[[#This Row],[33 kV_F6_Ex
Incomer4]]-DW45)*1000&lt;0,0,(RD[[#This Row],[33 kV_F6_Ex
Incomer4]]-DW45)*1000)</f>
        <v>148899.99999999965</v>
      </c>
      <c r="EO46" s="146">
        <f>IF((RD[[#This Row],[33 kV_F6_Im
Incomer4]]-DX45)*1000&lt;0,0,(RD[[#This Row],[33 kV_F6_Im
Incomer4]]-DX45)*1000)</f>
        <v>299.99999999999716</v>
      </c>
      <c r="EP46" s="146">
        <f>IF((RD[[#This Row],[33 kV_F7_Ex
Incomer5]]-DY45)*1000&lt;0,0,(RD[[#This Row],[33 kV_F7_Ex
Incomer5]]-DY45)*1000)</f>
        <v>0</v>
      </c>
      <c r="EQ46" s="146">
        <f>IF((RD[[#This Row],[33 kV_F7_Im
Incomer5]]-DZ45)*1000&lt;0,0,(RD[[#This Row],[33 kV_F7_Im
Incomer5]]-DZ45)*1000)</f>
        <v>0</v>
      </c>
      <c r="ER46" s="146">
        <f>IF((RD[[#This Row],[33 kV_Aux Trafo]]-EA45)*1000&lt;0,0,(RD[[#This Row],[33 kV_Aux Trafo]]-EA45)*1000)</f>
        <v>269.99999999999602</v>
      </c>
      <c r="ES46" s="158">
        <f>IF((RD[[#This Row],[33kV_OG1_Ex_]]-EB45)*1&lt;0,0,(RD[[#This Row],[33kV_OG1_Ex_]]-EB45)*1)</f>
        <v>561423</v>
      </c>
      <c r="ET46" s="146">
        <f>IF((RD[[#This Row],[33kV_OG1_Im]]-EC45)*1&lt;0,0,(RD[[#This Row],[33kV_OG1_Im]]-EC45)*1)</f>
        <v>1882.8800000000047</v>
      </c>
      <c r="EU46" s="146">
        <f>IF((RD[[#This Row],[132kV_TX1_EX]]-ED45)*720&lt;=0,"",(RD[[#This Row],[132kV_TX1_EX]]-ED45)*720)</f>
        <v>2160</v>
      </c>
      <c r="EV46" s="146">
        <f>IF((RD[[#This Row],[132 kV_Tx1_Im]]-EE45)*720&lt;=0,0,(RD[[#This Row],[132 kV_Tx1_Im]]-EE45)*720)</f>
        <v>402480</v>
      </c>
      <c r="EW46" s="146">
        <f>IF((RD[[#This Row],[132kV_L1_Ex]]-EF45)*720&lt;=0,0,(RD[[#This Row],[132kV_L1_Ex]]-EF45)*720)</f>
        <v>559512.00000000419</v>
      </c>
      <c r="EX46" s="146">
        <f>IF((RD[[#This Row],[132kV_L1_Im]]-EG45)*720&lt;=0,0,(RD[[#This Row],[132kV_L1_Im]]-EG45)*720)</f>
        <v>2447.9999999999018</v>
      </c>
      <c r="EY46" s="244">
        <f>IFERROR(RD[[#This Row],[33kV_OG1_Ex (MWh)]]+RD[[#This Row],[33kV_OG1_Im (MWh)]],"")</f>
        <v>563305.88</v>
      </c>
      <c r="EZ46" s="148">
        <f>RD[[#This Row],[33kV_OG1_Ex (MWh)]]-RD[[#This Row],[33kV_OG1_Im (MWh)]]</f>
        <v>559540.12</v>
      </c>
      <c r="FA46" s="148">
        <f>IFERROR(RD[[#This Row],[132kV_L1_Ex(MWh)]]-RD[[#This Row],[132kV_L1_Im(MWh)]],"")</f>
        <v>557064.00000000431</v>
      </c>
      <c r="FB46" s="55">
        <f>IFERROR(RD[[#This Row],[33kV_Ex(MWh)]]/RD[[#This Row],[Inv Total Gneration (MWh)]]-1,"")</f>
        <v>-1.2639796423279615E-2</v>
      </c>
      <c r="FC46" s="245">
        <f>IFERROR((RD[[#This Row],[Sunset Time (POA&lt;20 W/m2)]]-RD[[#This Row],[Sunrise Time (POA&gt;20 W/m2)]])*24,0)</f>
        <v>12.333333333333336</v>
      </c>
      <c r="FD46" s="246">
        <v>111</v>
      </c>
      <c r="FE46" t="s">
        <v>280</v>
      </c>
      <c r="FG46" s="144" t="str">
        <f>IFERROR(RD[[#This Row],[E_AC (WPR)]]/RD[[#This Row],[E_DC (WPR)]],"")</f>
        <v/>
      </c>
    </row>
    <row r="47" spans="1:163">
      <c r="A47" s="133">
        <f t="shared" si="157"/>
        <v>45787</v>
      </c>
      <c r="B47" s="138">
        <f>YEAR(RD[[#This Row],[Date]])+IF(MONTH(RD[[#This Row],[Date]])&gt;=4,1,0)</f>
        <v>2026</v>
      </c>
      <c r="C47" s="138">
        <f>YEAR(RD[[#This Row],[Date]])</f>
        <v>2025</v>
      </c>
      <c r="D47" s="139">
        <f t="shared" si="158"/>
        <v>45778</v>
      </c>
      <c r="E47" s="138">
        <f>DAY(EOMONTH(RD[[#This Row],[Date]],0))</f>
        <v>31</v>
      </c>
      <c r="F47" s="152">
        <v>0.25624999999999998</v>
      </c>
      <c r="G47" s="162">
        <v>0.76944444444444449</v>
      </c>
      <c r="H47" s="124">
        <v>8530.9</v>
      </c>
      <c r="I47" s="124">
        <v>8513.9</v>
      </c>
      <c r="J47" s="124">
        <v>8073.1</v>
      </c>
      <c r="K47" s="124">
        <v>8182.9</v>
      </c>
      <c r="L47" s="124">
        <v>8417.2999999999993</v>
      </c>
      <c r="M47" s="124">
        <v>8601.6</v>
      </c>
      <c r="N47" s="124">
        <v>8288.6</v>
      </c>
      <c r="O47" s="124">
        <v>8940.7000000000007</v>
      </c>
      <c r="P47" s="124">
        <v>8350.6</v>
      </c>
      <c r="Q47" s="124">
        <v>8288.1</v>
      </c>
      <c r="R47" s="124">
        <v>8599.4</v>
      </c>
      <c r="S47" s="124">
        <v>8559.7999999999993</v>
      </c>
      <c r="T47" s="124">
        <v>8843</v>
      </c>
      <c r="U47" s="124">
        <v>8664.7999999999993</v>
      </c>
      <c r="V47" s="124">
        <v>8739.5</v>
      </c>
      <c r="W47" s="124">
        <v>8446.6</v>
      </c>
      <c r="X47" s="203">
        <v>12089.4</v>
      </c>
      <c r="Y47" s="203">
        <v>13088.5</v>
      </c>
      <c r="Z47" s="203">
        <v>11595.3</v>
      </c>
      <c r="AA47" s="203">
        <v>12094.9</v>
      </c>
      <c r="AB47" s="203">
        <v>13202.2</v>
      </c>
      <c r="AC47" s="203">
        <v>8147.5</v>
      </c>
      <c r="AD47" s="203">
        <v>12052.9</v>
      </c>
      <c r="AE47" s="203">
        <v>12258.3</v>
      </c>
      <c r="AF47" s="203">
        <v>12017.3</v>
      </c>
      <c r="AG47" s="203">
        <v>12012.4</v>
      </c>
      <c r="AH47" s="203">
        <v>11934.1</v>
      </c>
      <c r="AI47" s="203">
        <v>12059</v>
      </c>
      <c r="AJ47" s="142">
        <v>9879.2000000000007</v>
      </c>
      <c r="AK47" s="142">
        <v>10131.4</v>
      </c>
      <c r="AL47" s="142">
        <v>9845.2999999999993</v>
      </c>
      <c r="AM47" s="142">
        <v>9967.2999999999993</v>
      </c>
      <c r="AN47" s="142">
        <v>9961</v>
      </c>
      <c r="AO47" s="142">
        <v>10289.200000000001</v>
      </c>
      <c r="AP47" s="142">
        <v>10118.799999999999</v>
      </c>
      <c r="AQ47" s="142">
        <v>10014.5</v>
      </c>
      <c r="AR47" s="142">
        <v>8133</v>
      </c>
      <c r="AS47" s="142">
        <v>8232.7999999999993</v>
      </c>
      <c r="AT47" s="142">
        <v>8177</v>
      </c>
      <c r="AU47" s="142">
        <v>8147.7</v>
      </c>
      <c r="AV47" s="142">
        <v>8379.9</v>
      </c>
      <c r="AW47" s="142">
        <v>8124</v>
      </c>
      <c r="AX47" s="142">
        <v>11616.3</v>
      </c>
      <c r="AY47" s="142">
        <v>12781.2</v>
      </c>
      <c r="AZ47" s="142">
        <v>9421.5</v>
      </c>
      <c r="BA47" s="142">
        <v>11426.9</v>
      </c>
      <c r="BB47" s="142">
        <v>11582.9</v>
      </c>
      <c r="BC47" s="142">
        <v>9710</v>
      </c>
      <c r="BD47" s="142">
        <v>8096.4</v>
      </c>
      <c r="BE47" s="142">
        <v>10923</v>
      </c>
      <c r="BF47" s="142">
        <v>11530</v>
      </c>
      <c r="BG47" s="142">
        <v>11510</v>
      </c>
      <c r="BH47" s="142">
        <v>6969.7</v>
      </c>
      <c r="BI47" s="142">
        <v>4440.3</v>
      </c>
      <c r="BJ47" s="142">
        <v>8026.1</v>
      </c>
      <c r="BK47" s="142">
        <v>5758.1</v>
      </c>
      <c r="BL47" s="142">
        <v>7706.6</v>
      </c>
      <c r="BM47" s="142">
        <v>7475.6</v>
      </c>
      <c r="BN47" s="142">
        <v>7923.2</v>
      </c>
      <c r="BO47" s="142">
        <v>7568.9</v>
      </c>
      <c r="BP47" s="142">
        <v>8571.1</v>
      </c>
      <c r="BQ47" s="142">
        <v>7674.8</v>
      </c>
      <c r="BR47" s="142">
        <v>6871.2</v>
      </c>
      <c r="BS47" s="142">
        <v>3051.5</v>
      </c>
      <c r="BT47" s="142">
        <v>3049.2</v>
      </c>
      <c r="BU47" s="142">
        <v>1740.2</v>
      </c>
      <c r="BV47" s="142"/>
      <c r="BW47" s="142"/>
      <c r="BX47" s="142"/>
      <c r="BY47" s="142"/>
      <c r="BZ47" s="142">
        <v>1251.5999999999999</v>
      </c>
      <c r="CA47" s="142">
        <v>1052.4000000000001</v>
      </c>
      <c r="CB47" s="142">
        <v>4499</v>
      </c>
      <c r="CC47" s="142">
        <v>8192.2999999999993</v>
      </c>
      <c r="CD47" s="59">
        <v>6.6940024499999957</v>
      </c>
      <c r="CE47" s="59">
        <v>6.5345817999999971</v>
      </c>
      <c r="CF47" s="206">
        <v>6.8186932166666665</v>
      </c>
      <c r="CG47" s="206">
        <v>6.4830149333333322</v>
      </c>
      <c r="CH47" s="206">
        <v>0.89043181666666726</v>
      </c>
      <c r="CI47" s="206">
        <v>0.98447174999999953</v>
      </c>
      <c r="CJ47" s="59">
        <v>1.3779289499999965</v>
      </c>
      <c r="CK47" s="59">
        <v>1.1162860833333323</v>
      </c>
      <c r="CL47" s="206">
        <v>31.204563176895242</v>
      </c>
      <c r="CM47" s="206">
        <v>31.419807359307409</v>
      </c>
      <c r="CN47" s="206">
        <v>45.431043321299647</v>
      </c>
      <c r="CO47" s="206">
        <v>43.241523088023129</v>
      </c>
      <c r="CP47" s="206">
        <v>50.129703971119177</v>
      </c>
      <c r="CQ47" s="206">
        <v>50.893953823953851</v>
      </c>
      <c r="CR47" s="59">
        <v>0</v>
      </c>
      <c r="CS47" s="59">
        <v>0</v>
      </c>
      <c r="CT47" s="206">
        <v>1.1677494584837542</v>
      </c>
      <c r="CU47" s="206">
        <v>1.2757113997113996</v>
      </c>
      <c r="CV47" s="206">
        <v>3.4049999999999998</v>
      </c>
      <c r="CW47" s="260">
        <v>3.7440000000000002</v>
      </c>
      <c r="CX47" s="204">
        <f>IFERROR(AVERAGEIF(RD[[#This Row],[IS1POA1 (KWh/m2)]:[IS7POA2 (KWh/m2)]],"&lt;&gt;0",RD[[#This Row],[IS1POA1 (KWh/m2)]:[IS7POA2 (KWh/m2)]]),"")</f>
        <v>6.6142921249999969</v>
      </c>
      <c r="CY47" s="204">
        <f>IFERROR(AVERAGEIF(RD[[#This Row],[IS1GHI1 (KWh/m2)]:[IS7GHI2 (KWh/m2)]],"&lt;&gt;0",RD[[#This Row],[IS1GHI1 (KWh/m2)]:[IS7GHI2 (KWh/m2)]]),"")</f>
        <v>6.6508540749999998</v>
      </c>
      <c r="CZ47" s="204">
        <f>IFERROR(AVERAGEIF(RD[[#This Row],[IS1POA_BS1 (KWh/m2)]:[IS7POA_BS2 (KWh/m2)]],"&lt;&gt;0",RD[[#This Row],[IS1POA_BS1 (KWh/m2)]:[IS7POA_BS2 (KWh/m2)]]),"")</f>
        <v>0.93745178333333334</v>
      </c>
      <c r="DA47" s="204">
        <f>IFERROR(AVERAGEIF(RD[[#This Row],[IS1GHI_BS1 (KWh/m2)]:[IS1GHI_BS1 (KWh/m2)2]],"&lt;&gt;0",RD[[#This Row],[IS1GHI_BS1 (KWh/m2)]:[IS1GHI_BS1 (KWh/m2)2]]),"")</f>
        <v>1.2471075166666643</v>
      </c>
      <c r="DB47" s="204">
        <f>IFERROR(AVERAGEIF(RD[[#This Row],[IS1AT1 (°C)]:[IS7AT2 (°C)]],"&lt;&gt;0",RD[[#This Row],[IS1AT1 (°C)]:[IS7AT2 (°C)]]),"")</f>
        <v>31.312185268101324</v>
      </c>
      <c r="DC47" s="204">
        <f>IFERROR(AVERAGEIF(RD[[#This Row],[IS1MT1 (°C)]:[IS7MT2 (°C)]],"&lt;&gt;0",RD[[#This Row],[IS1MT1 (°C)]:[IS7MT2 (°C)]]),"")</f>
        <v>44.336283204661385</v>
      </c>
      <c r="DD47" s="204">
        <f>IFERROR(AVERAGEIF(RD[[#This Row],[IS1RH1 (%)]:[IS7RH2 (%)]],"&lt;&gt;0",RD[[#This Row],[IS1RH1 (%)]:[IS7RH2 (%)]]),"")</f>
        <v>50.511828897536518</v>
      </c>
      <c r="DE47" s="51" t="str">
        <f>IFERROR(AVERAGEIF(RD[[#This Row],[IS1Rain1 (mm)]:[IS7Rain2 (mm)]],"&lt;&gt;0",RD[[#This Row],[IS1Rain1 (mm)]:[IS7Rain2 (mm)]]),"")</f>
        <v/>
      </c>
      <c r="DF47" s="204">
        <f>IFERROR(AVERAGEIF(RD[[#This Row],[WS_Solar1_Avg (m/s)]:[IS7_WS_Solar1_Avg (m/s)]],"&lt;&gt;0",RD[[#This Row],[WS_Solar1_Avg (m/s)]:[IS7_WS_Solar1_Avg (m/s)]]),"")</f>
        <v>1.221730429097577</v>
      </c>
      <c r="DG47" s="204">
        <f>IFERROR(AVERAGEIF(RD[[#This Row],[WS_Solar1_Max (m/s)]:[IS7_WS_Solar1_Max (m/s)]],"&lt;&gt;0",RD[[#This Row],[WS_Solar1_Max (m/s)]:[IS7_WS_Solar1_Max (m/s)]]),"")</f>
        <v>3.5745</v>
      </c>
      <c r="DH47" s="204">
        <f>SUM(RD[[#This Row],[IS1Inv1M1]:[IS4Inv4M2]])</f>
        <v>278592.59999999998</v>
      </c>
      <c r="DI47" s="205">
        <f>SUM(RD[[#This Row],[IS7Inv1M1]]+RD[[#This Row],[IS7Inv2M1]])</f>
        <v>16365.8</v>
      </c>
      <c r="DJ47" s="204">
        <f>SUM(RD[[#This Row],[IS5Inv1M1]:[IS5Inv2M2]])</f>
        <v>39823.199999999997</v>
      </c>
      <c r="DK47" s="204">
        <f>SUM(RD[[#This Row],[IS8Inv1M1]:[IS9Inv2M2]])</f>
        <v>78074.499999999985</v>
      </c>
      <c r="DL47" s="60">
        <f>SUM(RD[[#This Row],[IS6Inv1M1]:[IS6Inv2M2]])</f>
        <v>40383.5</v>
      </c>
      <c r="DM47" s="51">
        <f>SUM(RD[[#This Row],[IS10Inv1M1]:[IS11Inv1M4]],RD[[#This Row],[IS14Inv1M1]:[IS14Inv2M4]])</f>
        <v>118724.00000000003</v>
      </c>
      <c r="DN47" s="288">
        <f>SUM(RD[[#This Row],[IS12Inv1M1]:[IS12Inv1M4]])</f>
        <v>31737.999999999996</v>
      </c>
      <c r="DO47" s="288">
        <f>SUM(RD[[#This Row],[IS13Inv1M1]:[IS13Inv2M2]])</f>
        <v>14712.100000000002</v>
      </c>
      <c r="DP47" s="204">
        <f>SUM(RD[[#This Row],[O2R15]:[O2R26]])</f>
        <v>618413.69999999995</v>
      </c>
      <c r="DQ47" s="164">
        <v>39500.199999999997</v>
      </c>
      <c r="DR47" s="168">
        <v>208.4</v>
      </c>
      <c r="DS47" s="164">
        <v>34119.9</v>
      </c>
      <c r="DT47" s="164">
        <v>220.6</v>
      </c>
      <c r="DU47" s="168">
        <v>39599.4</v>
      </c>
      <c r="DV47" s="168">
        <v>395.7</v>
      </c>
      <c r="DW47" s="164">
        <v>7493</v>
      </c>
      <c r="DX47" s="168">
        <v>33.1</v>
      </c>
      <c r="DY47" s="168"/>
      <c r="DZ47" s="168"/>
      <c r="EA47" s="140">
        <v>93.08</v>
      </c>
      <c r="EB47" s="243">
        <v>124039970</v>
      </c>
      <c r="EC47" s="242">
        <v>915893.18400000001</v>
      </c>
      <c r="ED47" s="243">
        <v>1098</v>
      </c>
      <c r="EE47" s="243">
        <v>118346</v>
      </c>
      <c r="EF47" s="164">
        <v>172029.9</v>
      </c>
      <c r="EG47" s="164">
        <v>1799.6</v>
      </c>
      <c r="EH47" s="146">
        <f>IF((RD[[#This Row],[33 kV_F3_Ex
Incomer1]]-DQ46)*1000&lt;0,0,(RD[[#This Row],[33 kV_F3_Ex
Incomer1]]-DQ46)*1000)</f>
        <v>141500</v>
      </c>
      <c r="EI47" s="146">
        <f>IF((RD[[#This Row],[34 kV_F3_Im
Incomer1]]-DR46)*1000&lt;0,0,(RD[[#This Row],[34 kV_F3_Im
Incomer1]]-DR46)*1000)</f>
        <v>400.00000000000568</v>
      </c>
      <c r="EJ47" s="146">
        <f>IF((RD[[#This Row],[33 kV_F4_Ex
Incomer2]]-DS46)*1000&lt;0,0,(RD[[#This Row],[33 kV_F4_Ex
Incomer2]]-DS46)*1000)</f>
        <v>127599.99999999854</v>
      </c>
      <c r="EK47" s="146">
        <f>IF((RD[[#This Row],[34 kV_F4_Im
Incomer2]]-DT46)*1000&lt;0,0,(RD[[#This Row],[34 kV_F4_Im
Incomer2]]-DT46)*1000)</f>
        <v>299.99999999998295</v>
      </c>
      <c r="EL47" s="146">
        <f>IF((RD[[#This Row],[33 kV_F5_Ex
Incomer3]]-DU46)*1000&lt;0,0,(RD[[#This Row],[33 kV_F5_Ex
Incomer3]]-DU46)*1000)</f>
        <v>172099.99999999854</v>
      </c>
      <c r="EM47" s="146">
        <f>IF((RD[[#This Row],[34 kV_F5_Im
Incomer3]]-DV46)*1000&lt;0,0,(RD[[#This Row],[34 kV_F5_Im
Incomer3]]-DV46)*1000)</f>
        <v>599.99999999996589</v>
      </c>
      <c r="EN47" s="146">
        <f>IF((RD[[#This Row],[33 kV_F6_Ex
Incomer4]]-DW46)*1000&lt;0,0,(RD[[#This Row],[33 kV_F6_Ex
Incomer4]]-DW46)*1000)</f>
        <v>164500</v>
      </c>
      <c r="EO47" s="146">
        <f>IF((RD[[#This Row],[33 kV_F6_Im
Incomer4]]-DX46)*1000&lt;0,0,(RD[[#This Row],[33 kV_F6_Im
Incomer4]]-DX46)*1000)</f>
        <v>800.00000000000432</v>
      </c>
      <c r="EP47" s="146">
        <f>IF((RD[[#This Row],[33 kV_F7_Ex
Incomer5]]-DY46)*1000&lt;0,0,(RD[[#This Row],[33 kV_F7_Ex
Incomer5]]-DY46)*1000)</f>
        <v>0</v>
      </c>
      <c r="EQ47" s="146">
        <f>IF((RD[[#This Row],[33 kV_F7_Im
Incomer5]]-DZ46)*1000&lt;0,0,(RD[[#This Row],[33 kV_F7_Im
Incomer5]]-DZ46)*1000)</f>
        <v>0</v>
      </c>
      <c r="ER47" s="146">
        <f>IF((RD[[#This Row],[33 kV_Aux Trafo]]-EA46)*1000&lt;0,0,(RD[[#This Row],[33 kV_Aux Trafo]]-EA46)*1000)</f>
        <v>269.99999999999602</v>
      </c>
      <c r="ES47" s="158">
        <f>IF((RD[[#This Row],[33kV_OG1_Ex_]]-EB46)*1&lt;0,0,(RD[[#This Row],[33kV_OG1_Ex_]]-EB46)*1)</f>
        <v>610590</v>
      </c>
      <c r="ET47" s="146">
        <f>IF((RD[[#This Row],[33kV_OG1_Im]]-EC46)*1&lt;0,0,(RD[[#This Row],[33kV_OG1_Im]]-EC46)*1)</f>
        <v>2245.5679999999702</v>
      </c>
      <c r="EU47" s="146">
        <f>IF((RD[[#This Row],[132kV_TX1_EX]]-ED46)*720&lt;=0,"",(RD[[#This Row],[132kV_TX1_EX]]-ED46)*720)</f>
        <v>1440</v>
      </c>
      <c r="EV47" s="146">
        <f>IF((RD[[#This Row],[132 kV_Tx1_Im]]-EE46)*720&lt;=0,0,(RD[[#This Row],[132 kV_Tx1_Im]]-EE46)*720)</f>
        <v>438480</v>
      </c>
      <c r="EW47" s="146">
        <f>IF((RD[[#This Row],[132kV_L1_Ex]]-EF46)*720&lt;=0,0,(RD[[#This Row],[132kV_L1_Ex]]-EF46)*720)</f>
        <v>608327.99999999581</v>
      </c>
      <c r="EX47" s="146">
        <f>IF((RD[[#This Row],[132kV_L1_Im]]-EG46)*720&lt;=0,0,(RD[[#This Row],[132kV_L1_Im]]-EG46)*720)</f>
        <v>2735.9999999999673</v>
      </c>
      <c r="EY47" s="244">
        <f>IFERROR(RD[[#This Row],[33kV_OG1_Ex (MWh)]]+RD[[#This Row],[33kV_OG1_Im (MWh)]],"")</f>
        <v>612835.56799999997</v>
      </c>
      <c r="EZ47" s="148">
        <f>RD[[#This Row],[33kV_OG1_Ex (MWh)]]-RD[[#This Row],[33kV_OG1_Im (MWh)]]</f>
        <v>608344.43200000003</v>
      </c>
      <c r="FA47" s="148">
        <f>IFERROR(RD[[#This Row],[132kV_L1_Ex(MWh)]]-RD[[#This Row],[132kV_L1_Im(MWh)]],"")</f>
        <v>605591.99999999581</v>
      </c>
      <c r="FB47" s="55">
        <f>IFERROR(RD[[#This Row],[33kV_Ex(MWh)]]/RD[[#This Row],[Inv Total Gneration (MWh)]]-1,"")</f>
        <v>-9.0200653704792799E-3</v>
      </c>
      <c r="FC47" s="245">
        <v>12.4</v>
      </c>
      <c r="FD47" s="246">
        <v>111</v>
      </c>
      <c r="FE47" t="s">
        <v>279</v>
      </c>
      <c r="FG47" s="144" t="str">
        <f>IFERROR(RD[[#This Row],[E_AC (WPR)]]/RD[[#This Row],[E_DC (WPR)]],"")</f>
        <v/>
      </c>
    </row>
    <row r="48" spans="1:163">
      <c r="A48" s="133">
        <f t="shared" si="157"/>
        <v>45788</v>
      </c>
      <c r="B48" s="138">
        <f>YEAR(RD[[#This Row],[Date]])+IF(MONTH(RD[[#This Row],[Date]])&gt;=4,1,0)</f>
        <v>2026</v>
      </c>
      <c r="C48" s="138">
        <f>YEAR(RD[[#This Row],[Date]])</f>
        <v>2025</v>
      </c>
      <c r="D48" s="139">
        <f t="shared" si="158"/>
        <v>45778</v>
      </c>
      <c r="E48" s="138">
        <f>DAY(EOMONTH(RD[[#This Row],[Date]],0))</f>
        <v>31</v>
      </c>
      <c r="F48" s="152">
        <v>0.25763888888888886</v>
      </c>
      <c r="G48" s="162">
        <v>0.7583333333333333</v>
      </c>
      <c r="H48" s="124">
        <v>6311.3</v>
      </c>
      <c r="I48" s="124">
        <v>6224.5</v>
      </c>
      <c r="J48" s="124">
        <v>5851.8</v>
      </c>
      <c r="K48" s="124">
        <v>5901.8</v>
      </c>
      <c r="L48" s="124">
        <v>6163.3</v>
      </c>
      <c r="M48" s="124">
        <v>6454</v>
      </c>
      <c r="N48" s="124">
        <v>6079.9</v>
      </c>
      <c r="O48" s="124">
        <v>6861.2</v>
      </c>
      <c r="P48" s="124">
        <v>5936.2</v>
      </c>
      <c r="Q48" s="124">
        <v>5960.2</v>
      </c>
      <c r="R48" s="124">
        <v>6215.4</v>
      </c>
      <c r="S48" s="124">
        <v>6173.3</v>
      </c>
      <c r="T48" s="124">
        <v>6325.4</v>
      </c>
      <c r="U48" s="124">
        <v>6240.6</v>
      </c>
      <c r="V48" s="124">
        <v>6286</v>
      </c>
      <c r="W48" s="124">
        <v>5994.6</v>
      </c>
      <c r="X48" s="203">
        <v>8467.9</v>
      </c>
      <c r="Y48" s="203">
        <v>9308.7000000000007</v>
      </c>
      <c r="Z48" s="203">
        <v>8176.1</v>
      </c>
      <c r="AA48" s="203">
        <v>8480.2000000000007</v>
      </c>
      <c r="AB48" s="203">
        <v>9686.1</v>
      </c>
      <c r="AC48" s="203">
        <v>5949.3</v>
      </c>
      <c r="AD48" s="203">
        <v>8892</v>
      </c>
      <c r="AE48" s="203">
        <v>9006.2000000000007</v>
      </c>
      <c r="AF48" s="203">
        <v>8757.6</v>
      </c>
      <c r="AG48" s="203">
        <v>8658</v>
      </c>
      <c r="AH48" s="203">
        <v>8699.2999999999993</v>
      </c>
      <c r="AI48" s="203">
        <v>8803.2000000000007</v>
      </c>
      <c r="AJ48" s="142">
        <v>7834.3</v>
      </c>
      <c r="AK48" s="142">
        <v>7908.9</v>
      </c>
      <c r="AL48" s="142">
        <v>7614.2</v>
      </c>
      <c r="AM48" s="142">
        <v>7714.1</v>
      </c>
      <c r="AN48" s="142">
        <v>7809.9</v>
      </c>
      <c r="AO48" s="142">
        <v>8027.6</v>
      </c>
      <c r="AP48" s="142">
        <v>8004.8</v>
      </c>
      <c r="AQ48" s="142">
        <v>7833.5</v>
      </c>
      <c r="AR48" s="142">
        <v>6317</v>
      </c>
      <c r="AS48" s="142">
        <v>6360.7</v>
      </c>
      <c r="AT48" s="142">
        <v>6311</v>
      </c>
      <c r="AU48" s="142">
        <v>6278.4</v>
      </c>
      <c r="AV48" s="142">
        <v>6433.3</v>
      </c>
      <c r="AW48" s="142">
        <v>6218.1</v>
      </c>
      <c r="AX48" s="142">
        <v>9263</v>
      </c>
      <c r="AY48" s="142">
        <v>10253</v>
      </c>
      <c r="AZ48" s="142">
        <v>7522</v>
      </c>
      <c r="BA48" s="142">
        <v>9031</v>
      </c>
      <c r="BB48" s="142">
        <v>9399</v>
      </c>
      <c r="BC48" s="142">
        <v>7899</v>
      </c>
      <c r="BD48" s="142">
        <v>6760</v>
      </c>
      <c r="BE48" s="142">
        <v>8923</v>
      </c>
      <c r="BF48" s="142">
        <v>9643</v>
      </c>
      <c r="BG48" s="142">
        <v>9742</v>
      </c>
      <c r="BH48" s="142">
        <v>5804</v>
      </c>
      <c r="BI48" s="142">
        <v>3563</v>
      </c>
      <c r="BJ48" s="142">
        <v>6330</v>
      </c>
      <c r="BK48" s="142">
        <v>4562</v>
      </c>
      <c r="BL48" s="142">
        <v>5938</v>
      </c>
      <c r="BM48" s="142">
        <v>5864</v>
      </c>
      <c r="BN48" s="142">
        <v>6412</v>
      </c>
      <c r="BO48" s="142">
        <v>5956</v>
      </c>
      <c r="BP48" s="142">
        <v>6757</v>
      </c>
      <c r="BQ48" s="142">
        <v>6054</v>
      </c>
      <c r="BR48" s="142">
        <v>7001</v>
      </c>
      <c r="BS48" s="142">
        <v>3538</v>
      </c>
      <c r="BT48" s="142">
        <v>2906</v>
      </c>
      <c r="BU48" s="142">
        <v>1357</v>
      </c>
      <c r="BV48" s="142"/>
      <c r="BW48" s="142"/>
      <c r="BX48" s="142"/>
      <c r="BY48" s="142"/>
      <c r="BZ48" s="142">
        <v>981</v>
      </c>
      <c r="CA48" s="142">
        <v>821</v>
      </c>
      <c r="CB48" s="142">
        <v>3573</v>
      </c>
      <c r="CC48" s="142">
        <v>6521</v>
      </c>
      <c r="CD48" s="59">
        <v>4.9530996333333315</v>
      </c>
      <c r="CE48" s="59">
        <v>5.0945720666666769</v>
      </c>
      <c r="CF48" s="206">
        <v>5.0113836166666665</v>
      </c>
      <c r="CG48" s="206">
        <v>5.0277726666666709</v>
      </c>
      <c r="CH48" s="206">
        <v>0.72585924999999962</v>
      </c>
      <c r="CI48" s="206">
        <v>0.72518864999999966</v>
      </c>
      <c r="CJ48" s="59">
        <v>1.0112918833333326</v>
      </c>
      <c r="CK48" s="59">
        <v>5.0277726666666709</v>
      </c>
      <c r="CL48" s="206">
        <v>30.355556471558241</v>
      </c>
      <c r="CM48" s="206">
        <v>30.703996710526297</v>
      </c>
      <c r="CN48" s="206">
        <v>43.100967023907671</v>
      </c>
      <c r="CO48" s="206">
        <v>41.624725328947441</v>
      </c>
      <c r="CP48" s="206">
        <v>53.924237427864774</v>
      </c>
      <c r="CQ48" s="206">
        <v>52.968659539473705</v>
      </c>
      <c r="CR48" s="59">
        <v>3.9571310799670224E-2</v>
      </c>
      <c r="CS48" s="59">
        <v>0</v>
      </c>
      <c r="CT48" s="206">
        <v>0.97938994229183807</v>
      </c>
      <c r="CU48" s="206">
        <v>0.99714967105263053</v>
      </c>
      <c r="CV48" s="206">
        <v>3.81</v>
      </c>
      <c r="CW48" s="260">
        <v>4.38</v>
      </c>
      <c r="CX48" s="204">
        <f>IFERROR(AVERAGEIF(RD[[#This Row],[IS1POA1 (KWh/m2)]:[IS7POA2 (KWh/m2)]],"&lt;&gt;0",RD[[#This Row],[IS1POA1 (KWh/m2)]:[IS7POA2 (KWh/m2)]]),"")</f>
        <v>5.0238358500000047</v>
      </c>
      <c r="CY48" s="204">
        <f>IFERROR(AVERAGEIF(RD[[#This Row],[IS1GHI1 (KWh/m2)]:[IS7GHI2 (KWh/m2)]],"&lt;&gt;0",RD[[#This Row],[IS1GHI1 (KWh/m2)]:[IS7GHI2 (KWh/m2)]]),"")</f>
        <v>5.0195781416666687</v>
      </c>
      <c r="CZ48" s="204">
        <f>IFERROR(AVERAGEIF(RD[[#This Row],[IS1POA_BS1 (KWh/m2)]:[IS7POA_BS2 (KWh/m2)]],"&lt;&gt;0",RD[[#This Row],[IS1POA_BS1 (KWh/m2)]:[IS7POA_BS2 (KWh/m2)]]),"")</f>
        <v>0.7255239499999997</v>
      </c>
      <c r="DA48" s="204">
        <f>IFERROR(AVERAGEIF(RD[[#This Row],[IS1GHI_BS1 (KWh/m2)]:[IS1GHI_BS1 (KWh/m2)2]],"&lt;&gt;0",RD[[#This Row],[IS1GHI_BS1 (KWh/m2)]:[IS1GHI_BS1 (KWh/m2)2]]),"")</f>
        <v>3.0195322750000018</v>
      </c>
      <c r="DB48" s="204">
        <f>IFERROR(AVERAGEIF(RD[[#This Row],[IS1AT1 (°C)]:[IS7AT2 (°C)]],"&lt;&gt;0",RD[[#This Row],[IS1AT1 (°C)]:[IS7AT2 (°C)]]),"")</f>
        <v>30.529776591042271</v>
      </c>
      <c r="DC48" s="204">
        <f>IFERROR(AVERAGEIF(RD[[#This Row],[IS1MT1 (°C)]:[IS7MT2 (°C)]],"&lt;&gt;0",RD[[#This Row],[IS1MT1 (°C)]:[IS7MT2 (°C)]]),"")</f>
        <v>42.362846176427553</v>
      </c>
      <c r="DD48" s="204">
        <f>IFERROR(AVERAGEIF(RD[[#This Row],[IS1RH1 (%)]:[IS7RH2 (%)]],"&lt;&gt;0",RD[[#This Row],[IS1RH1 (%)]:[IS7RH2 (%)]]),"")</f>
        <v>53.446448483669244</v>
      </c>
      <c r="DE48" s="51">
        <f>IFERROR(AVERAGEIF(RD[[#This Row],[IS1Rain1 (mm)]:[IS7Rain2 (mm)]],"&lt;&gt;0",RD[[#This Row],[IS1Rain1 (mm)]:[IS7Rain2 (mm)]]),"")</f>
        <v>3.9571310799670224E-2</v>
      </c>
      <c r="DF48" s="204">
        <f>IFERROR(AVERAGEIF(RD[[#This Row],[WS_Solar1_Avg (m/s)]:[IS7_WS_Solar1_Avg (m/s)]],"&lt;&gt;0",RD[[#This Row],[WS_Solar1_Avg (m/s)]:[IS7_WS_Solar1_Avg (m/s)]]),"")</f>
        <v>0.9882698066722343</v>
      </c>
      <c r="DG48" s="204">
        <f>IFERROR(AVERAGEIF(RD[[#This Row],[WS_Solar1_Max (m/s)]:[IS7_WS_Solar1_Max (m/s)]],"&lt;&gt;0",RD[[#This Row],[WS_Solar1_Max (m/s)]:[IS7_WS_Solar1_Max (m/s)]]),"")</f>
        <v>4.0949999999999998</v>
      </c>
      <c r="DH48" s="204">
        <f>SUM(RD[[#This Row],[IS1Inv1M1]:[IS4Inv4M2]])</f>
        <v>201864.1</v>
      </c>
      <c r="DI48" s="205">
        <f>SUM(RD[[#This Row],[IS7Inv1M1]]+RD[[#This Row],[IS7Inv2M1]])</f>
        <v>12677.7</v>
      </c>
      <c r="DJ48" s="204">
        <f>SUM(RD[[#This Row],[IS5Inv1M1]:[IS5Inv2M2]])</f>
        <v>31071.5</v>
      </c>
      <c r="DK48" s="204">
        <f>SUM(RD[[#This Row],[IS8Inv1M1]:[IS9Inv2M2]])</f>
        <v>61309.8</v>
      </c>
      <c r="DL48" s="60">
        <f>SUM(RD[[#This Row],[IS6Inv1M1]:[IS6Inv2M2]])</f>
        <v>31675.8</v>
      </c>
      <c r="DM48" s="51">
        <f>SUM(RD[[#This Row],[IS10Inv1M1]:[IS11Inv1M4]],RD[[#This Row],[IS14Inv1M1]:[IS14Inv2M4]])</f>
        <v>96323</v>
      </c>
      <c r="DN48" s="288">
        <f>SUM(RD[[#This Row],[IS12Inv1M1]:[IS12Inv1M4]])</f>
        <v>25179</v>
      </c>
      <c r="DO48" s="288">
        <f>SUM(RD[[#This Row],[IS13Inv1M1]:[IS13Inv2M2]])</f>
        <v>14802</v>
      </c>
      <c r="DP48" s="204">
        <f>SUM(RD[[#This Row],[O2R15]:[O2R26]])</f>
        <v>474902.9</v>
      </c>
      <c r="DQ48" s="164">
        <v>39602.300000000003</v>
      </c>
      <c r="DR48" s="168">
        <v>208.8</v>
      </c>
      <c r="DS48" s="164">
        <v>34215.699999999997</v>
      </c>
      <c r="DT48" s="164">
        <v>221</v>
      </c>
      <c r="DU48" s="168">
        <v>39734.300000000003</v>
      </c>
      <c r="DV48" s="168">
        <v>396.4</v>
      </c>
      <c r="DW48" s="164">
        <v>7626.7</v>
      </c>
      <c r="DX48" s="168">
        <v>34.1</v>
      </c>
      <c r="DY48" s="168"/>
      <c r="DZ48" s="168"/>
      <c r="EA48" s="140">
        <v>93.36</v>
      </c>
      <c r="EB48" s="243">
        <v>124507570</v>
      </c>
      <c r="EC48" s="242">
        <v>918594.88</v>
      </c>
      <c r="ED48" s="243">
        <v>1102</v>
      </c>
      <c r="EE48" s="243">
        <v>118811</v>
      </c>
      <c r="EF48" s="164">
        <v>172676.9</v>
      </c>
      <c r="EG48" s="164">
        <v>1804.1</v>
      </c>
      <c r="EH48" s="146">
        <f>IF((RD[[#This Row],[33 kV_F3_Ex
Incomer1]]-DQ47)*1000&lt;0,0,(RD[[#This Row],[33 kV_F3_Ex
Incomer1]]-DQ47)*1000)</f>
        <v>102100.00000000582</v>
      </c>
      <c r="EI48" s="146">
        <f>IF((RD[[#This Row],[34 kV_F3_Im
Incomer1]]-DR47)*1000&lt;0,0,(RD[[#This Row],[34 kV_F3_Im
Incomer1]]-DR47)*1000)</f>
        <v>400.00000000000568</v>
      </c>
      <c r="EJ48" s="146">
        <f>IF((RD[[#This Row],[33 kV_F4_Ex
Incomer2]]-DS47)*1000&lt;0,0,(RD[[#This Row],[33 kV_F4_Ex
Incomer2]]-DS47)*1000)</f>
        <v>95799.999999995634</v>
      </c>
      <c r="EK48" s="146">
        <f>IF((RD[[#This Row],[34 kV_F4_Im
Incomer2]]-DT47)*1000&lt;0,0,(RD[[#This Row],[34 kV_F4_Im
Incomer2]]-DT47)*1000)</f>
        <v>400.00000000000568</v>
      </c>
      <c r="EL48" s="146">
        <f>IF((RD[[#This Row],[33 kV_F5_Ex
Incomer3]]-DU47)*1000&lt;0,0,(RD[[#This Row],[33 kV_F5_Ex
Incomer3]]-DU47)*1000)</f>
        <v>134900.00000000146</v>
      </c>
      <c r="EM48" s="146">
        <f>IF((RD[[#This Row],[34 kV_F5_Im
Incomer3]]-DV47)*1000&lt;0,0,(RD[[#This Row],[34 kV_F5_Im
Incomer3]]-DV47)*1000)</f>
        <v>699.99999999998863</v>
      </c>
      <c r="EN48" s="146">
        <f>IF((RD[[#This Row],[33 kV_F6_Ex
Incomer4]]-DW47)*1000&lt;0,0,(RD[[#This Row],[33 kV_F6_Ex
Incomer4]]-DW47)*1000)</f>
        <v>133699.99999999983</v>
      </c>
      <c r="EO48" s="146">
        <f>IF((RD[[#This Row],[33 kV_F6_Im
Incomer4]]-DX47)*1000&lt;0,0,(RD[[#This Row],[33 kV_F6_Im
Incomer4]]-DX47)*1000)</f>
        <v>1000</v>
      </c>
      <c r="EP48" s="146">
        <f>IF((RD[[#This Row],[33 kV_F7_Ex
Incomer5]]-DY47)*1000&lt;0,0,(RD[[#This Row],[33 kV_F7_Ex
Incomer5]]-DY47)*1000)</f>
        <v>0</v>
      </c>
      <c r="EQ48" s="146">
        <f>IF((RD[[#This Row],[33 kV_F7_Im
Incomer5]]-DZ47)*1000&lt;0,0,(RD[[#This Row],[33 kV_F7_Im
Incomer5]]-DZ47)*1000)</f>
        <v>0</v>
      </c>
      <c r="ER48" s="146">
        <f>IF((RD[[#This Row],[33 kV_Aux Trafo]]-EA47)*1000&lt;0,0,(RD[[#This Row],[33 kV_Aux Trafo]]-EA47)*1000)</f>
        <v>280.00000000000114</v>
      </c>
      <c r="ES48" s="158">
        <f>IF((RD[[#This Row],[33kV_OG1_Ex_]]-EB47)*1&lt;0,0,(RD[[#This Row],[33kV_OG1_Ex_]]-EB47)*1)</f>
        <v>467600</v>
      </c>
      <c r="ET48" s="146">
        <f>IF((RD[[#This Row],[33kV_OG1_Im]]-EC47)*1&lt;0,0,(RD[[#This Row],[33kV_OG1_Im]]-EC47)*1)</f>
        <v>2701.6959999999963</v>
      </c>
      <c r="EU48" s="146">
        <f>IF((RD[[#This Row],[132kV_TX1_EX]]-ED47)*720&lt;=0,"",(RD[[#This Row],[132kV_TX1_EX]]-ED47)*720)</f>
        <v>2880</v>
      </c>
      <c r="EV48" s="146">
        <f>IF((RD[[#This Row],[132 kV_Tx1_Im]]-EE47)*720&lt;=0,0,(RD[[#This Row],[132 kV_Tx1_Im]]-EE47)*720)</f>
        <v>334800</v>
      </c>
      <c r="EW48" s="146">
        <f>IF((RD[[#This Row],[132kV_L1_Ex]]-EF47)*720&lt;=0,0,(RD[[#This Row],[132kV_L1_Ex]]-EF47)*720)</f>
        <v>465840</v>
      </c>
      <c r="EX48" s="146">
        <f>IF((RD[[#This Row],[132kV_L1_Im]]-EG47)*720&lt;=0,0,(RD[[#This Row],[132kV_L1_Im]]-EG47)*720)</f>
        <v>3240</v>
      </c>
      <c r="EY48" s="244">
        <f>IFERROR(RD[[#This Row],[33kV_OG1_Ex (MWh)]]+RD[[#This Row],[33kV_OG1_Im (MWh)]],"")</f>
        <v>470301.696</v>
      </c>
      <c r="EZ48" s="148">
        <f>RD[[#This Row],[33kV_OG1_Ex (MWh)]]-RD[[#This Row],[33kV_OG1_Im (MWh)]]</f>
        <v>464898.304</v>
      </c>
      <c r="FA48" s="148">
        <f>IFERROR(RD[[#This Row],[132kV_L1_Ex(MWh)]]-RD[[#This Row],[132kV_L1_Im(MWh)]],"")</f>
        <v>462600</v>
      </c>
      <c r="FB48" s="55">
        <f>IFERROR(RD[[#This Row],[33kV_Ex(MWh)]]/RD[[#This Row],[Inv Total Gneration (MWh)]]-1,"")</f>
        <v>-9.6887258426934242E-3</v>
      </c>
      <c r="FC48" s="245">
        <v>12.4</v>
      </c>
      <c r="FD48" s="246">
        <v>111</v>
      </c>
      <c r="FE48" t="s">
        <v>281</v>
      </c>
      <c r="FG48" s="144" t="str">
        <f>IFERROR(RD[[#This Row],[E_AC (WPR)]]/RD[[#This Row],[E_DC (WPR)]],"")</f>
        <v/>
      </c>
    </row>
    <row r="49" spans="1:163">
      <c r="A49" s="133">
        <f t="shared" ref="A49:A52" si="159">A48+1</f>
        <v>45789</v>
      </c>
      <c r="B49" s="138">
        <f>YEAR(RD[[#This Row],[Date]])+IF(MONTH(RD[[#This Row],[Date]])&gt;=4,1,0)</f>
        <v>2026</v>
      </c>
      <c r="C49" s="138">
        <f>YEAR(RD[[#This Row],[Date]])</f>
        <v>2025</v>
      </c>
      <c r="D49" s="139">
        <f t="shared" ref="D49:D52" si="160">A49-DAY(A49)+1</f>
        <v>45778</v>
      </c>
      <c r="E49" s="138">
        <f>DAY(EOMONTH(RD[[#This Row],[Date]],0))</f>
        <v>31</v>
      </c>
      <c r="F49" s="152">
        <v>0.26250000000000001</v>
      </c>
      <c r="G49" s="162">
        <v>0.74722222222222223</v>
      </c>
      <c r="H49" s="124">
        <v>6592.3</v>
      </c>
      <c r="I49" s="124">
        <v>6570.9</v>
      </c>
      <c r="J49" s="124">
        <v>6189.4</v>
      </c>
      <c r="K49" s="124">
        <v>6189</v>
      </c>
      <c r="L49" s="124">
        <v>6393.3</v>
      </c>
      <c r="M49" s="124">
        <v>6629.7</v>
      </c>
      <c r="N49" s="124">
        <v>6335.8</v>
      </c>
      <c r="O49" s="124">
        <v>6963.2</v>
      </c>
      <c r="P49" s="124">
        <v>6314.5</v>
      </c>
      <c r="Q49" s="124">
        <v>6209</v>
      </c>
      <c r="R49" s="124">
        <v>6474.4</v>
      </c>
      <c r="S49" s="124">
        <v>6478.7</v>
      </c>
      <c r="T49" s="124">
        <v>6691.7</v>
      </c>
      <c r="U49" s="124">
        <v>6663.1</v>
      </c>
      <c r="V49" s="124">
        <v>6580.9</v>
      </c>
      <c r="W49" s="124">
        <v>6295.3</v>
      </c>
      <c r="X49" s="203">
        <v>9197.7999999999993</v>
      </c>
      <c r="Y49" s="203">
        <v>10111.1</v>
      </c>
      <c r="Z49" s="203">
        <v>8749.1</v>
      </c>
      <c r="AA49" s="203">
        <v>9227.1</v>
      </c>
      <c r="AB49" s="203">
        <v>9930.1</v>
      </c>
      <c r="AC49" s="203">
        <v>6147.4</v>
      </c>
      <c r="AD49" s="203">
        <v>9199.9</v>
      </c>
      <c r="AE49" s="203">
        <v>9440.1</v>
      </c>
      <c r="AF49" s="203">
        <v>9085.9</v>
      </c>
      <c r="AG49" s="203">
        <v>9078</v>
      </c>
      <c r="AH49" s="203">
        <v>9078.7000000000007</v>
      </c>
      <c r="AI49" s="203">
        <v>9224.4</v>
      </c>
      <c r="AJ49" s="142">
        <v>8055.3</v>
      </c>
      <c r="AK49" s="142">
        <v>8268.6</v>
      </c>
      <c r="AL49" s="142">
        <v>8078.3</v>
      </c>
      <c r="AM49" s="142">
        <v>8166.8</v>
      </c>
      <c r="AN49" s="142">
        <v>8098.8</v>
      </c>
      <c r="AO49" s="142">
        <v>8408.2000000000007</v>
      </c>
      <c r="AP49" s="142">
        <v>8242.7000000000007</v>
      </c>
      <c r="AQ49" s="142">
        <v>8155.3</v>
      </c>
      <c r="AR49" s="142">
        <v>1539.4</v>
      </c>
      <c r="AS49" s="142">
        <v>6642.9</v>
      </c>
      <c r="AT49" s="142">
        <v>6704.3</v>
      </c>
      <c r="AU49" s="142">
        <v>6667.5</v>
      </c>
      <c r="AV49" s="142">
        <v>6804.9</v>
      </c>
      <c r="AW49" s="142">
        <v>6570.8</v>
      </c>
      <c r="AX49" s="142">
        <v>9415.2999999999993</v>
      </c>
      <c r="AY49" s="142">
        <v>10380.6</v>
      </c>
      <c r="AZ49" s="142">
        <v>7715.5</v>
      </c>
      <c r="BA49" s="142">
        <v>9175</v>
      </c>
      <c r="BB49" s="142">
        <v>9147</v>
      </c>
      <c r="BC49" s="142">
        <v>7619</v>
      </c>
      <c r="BD49" s="142">
        <v>6472</v>
      </c>
      <c r="BE49" s="142">
        <v>8609</v>
      </c>
      <c r="BF49" s="142">
        <v>9389</v>
      </c>
      <c r="BG49" s="142">
        <v>9453</v>
      </c>
      <c r="BH49" s="142">
        <v>3402</v>
      </c>
      <c r="BI49" s="142">
        <v>3325</v>
      </c>
      <c r="BJ49" s="142">
        <v>6240</v>
      </c>
      <c r="BK49" s="142">
        <v>4562</v>
      </c>
      <c r="BL49" s="142">
        <v>5891</v>
      </c>
      <c r="BM49" s="142">
        <v>5976</v>
      </c>
      <c r="BN49" s="142">
        <v>6434</v>
      </c>
      <c r="BO49" s="142">
        <v>6062</v>
      </c>
      <c r="BP49" s="142">
        <v>6612</v>
      </c>
      <c r="BQ49" s="142">
        <v>6032</v>
      </c>
      <c r="BR49" s="142">
        <v>6795</v>
      </c>
      <c r="BS49" s="142">
        <v>3583</v>
      </c>
      <c r="BT49" s="142">
        <v>2837</v>
      </c>
      <c r="BU49" s="142">
        <v>1464</v>
      </c>
      <c r="BV49" s="142"/>
      <c r="BW49" s="142"/>
      <c r="BX49" s="142"/>
      <c r="BY49" s="142"/>
      <c r="BZ49" s="142">
        <v>977</v>
      </c>
      <c r="CA49" s="142">
        <v>821</v>
      </c>
      <c r="CB49" s="142">
        <v>3577</v>
      </c>
      <c r="CC49" s="142">
        <v>6374</v>
      </c>
      <c r="CD49" s="59">
        <v>5.0291793833333331</v>
      </c>
      <c r="CE49" s="59">
        <v>5.2711933333333318</v>
      </c>
      <c r="CF49" s="206">
        <v>5.0540594666666712</v>
      </c>
      <c r="CG49" s="206">
        <v>5.1416458500000086</v>
      </c>
      <c r="CH49" s="206">
        <v>0.70067843333333424</v>
      </c>
      <c r="CI49" s="206">
        <v>0.76439630000000136</v>
      </c>
      <c r="CJ49" s="59">
        <v>0.98661575000000012</v>
      </c>
      <c r="CK49" s="59">
        <v>0.8732916000000005</v>
      </c>
      <c r="CL49" s="206">
        <v>30.609363354037342</v>
      </c>
      <c r="CM49" s="206">
        <v>30.883146153846212</v>
      </c>
      <c r="CN49" s="206">
        <v>43.31430745341617</v>
      </c>
      <c r="CO49" s="206">
        <v>41.920611538461479</v>
      </c>
      <c r="CP49" s="206">
        <v>56.721218944099292</v>
      </c>
      <c r="CQ49" s="206">
        <v>56.668815384615378</v>
      </c>
      <c r="CR49" s="59">
        <v>8.6024844720496846E-3</v>
      </c>
      <c r="CS49" s="59">
        <v>0</v>
      </c>
      <c r="CT49" s="206">
        <v>1.1710527950310563</v>
      </c>
      <c r="CU49" s="206">
        <v>1.2461884615384613</v>
      </c>
      <c r="CV49" s="206">
        <v>3.7530000000000001</v>
      </c>
      <c r="CW49" s="260">
        <v>3.7829999999999999</v>
      </c>
      <c r="CX49" s="204">
        <f>IFERROR(AVERAGEIF(RD[[#This Row],[IS1POA1 (KWh/m2)]:[IS7POA2 (KWh/m2)]],"&lt;&gt;0",RD[[#This Row],[IS1POA1 (KWh/m2)]:[IS7POA2 (KWh/m2)]]),"")</f>
        <v>5.1501863583333325</v>
      </c>
      <c r="CY49" s="204">
        <f>IFERROR(AVERAGEIF(RD[[#This Row],[IS1GHI1 (KWh/m2)]:[IS7GHI2 (KWh/m2)]],"&lt;&gt;0",RD[[#This Row],[IS1GHI1 (KWh/m2)]:[IS7GHI2 (KWh/m2)]]),"")</f>
        <v>5.0978526583333394</v>
      </c>
      <c r="CZ49" s="204">
        <f>IFERROR(AVERAGEIF(RD[[#This Row],[IS1POA_BS1 (KWh/m2)]:[IS7POA_BS2 (KWh/m2)]],"&lt;&gt;0",RD[[#This Row],[IS1POA_BS1 (KWh/m2)]:[IS7POA_BS2 (KWh/m2)]]),"")</f>
        <v>0.7325373666666678</v>
      </c>
      <c r="DA49" s="204">
        <f>IFERROR(AVERAGEIF(RD[[#This Row],[IS1GHI_BS1 (KWh/m2)]:[IS1GHI_BS1 (KWh/m2)2]],"&lt;&gt;0",RD[[#This Row],[IS1GHI_BS1 (KWh/m2)]:[IS1GHI_BS1 (KWh/m2)2]]),"")</f>
        <v>0.92995367500000037</v>
      </c>
      <c r="DB49" s="204">
        <f>IFERROR(AVERAGEIF(RD[[#This Row],[IS1AT1 (°C)]:[IS7AT2 (°C)]],"&lt;&gt;0",RD[[#This Row],[IS1AT1 (°C)]:[IS7AT2 (°C)]]),"")</f>
        <v>30.746254753941777</v>
      </c>
      <c r="DC49" s="204">
        <f>IFERROR(AVERAGEIF(RD[[#This Row],[IS1MT1 (°C)]:[IS7MT2 (°C)]],"&lt;&gt;0",RD[[#This Row],[IS1MT1 (°C)]:[IS7MT2 (°C)]]),"")</f>
        <v>42.617459495938824</v>
      </c>
      <c r="DD49" s="204">
        <f>IFERROR(AVERAGEIF(RD[[#This Row],[IS1RH1 (%)]:[IS7RH2 (%)]],"&lt;&gt;0",RD[[#This Row],[IS1RH1 (%)]:[IS7RH2 (%)]]),"")</f>
        <v>56.695017164357338</v>
      </c>
      <c r="DE49" s="51">
        <f>IFERROR(AVERAGEIF(RD[[#This Row],[IS1Rain1 (mm)]:[IS7Rain2 (mm)]],"&lt;&gt;0",RD[[#This Row],[IS1Rain1 (mm)]:[IS7Rain2 (mm)]]),"")</f>
        <v>8.6024844720496846E-3</v>
      </c>
      <c r="DF49" s="204">
        <f>IFERROR(AVERAGEIF(RD[[#This Row],[WS_Solar1_Avg (m/s)]:[IS7_WS_Solar1_Avg (m/s)]],"&lt;&gt;0",RD[[#This Row],[WS_Solar1_Avg (m/s)]:[IS7_WS_Solar1_Avg (m/s)]]),"")</f>
        <v>1.2086206282847587</v>
      </c>
      <c r="DG49" s="204">
        <f>IFERROR(AVERAGEIF(RD[[#This Row],[WS_Solar1_Max (m/s)]:[IS7_WS_Solar1_Max (m/s)]],"&lt;&gt;0",RD[[#This Row],[WS_Solar1_Max (m/s)]:[IS7_WS_Solar1_Max (m/s)]]),"")</f>
        <v>3.7679999999999998</v>
      </c>
      <c r="DH49" s="204">
        <f>SUM(RD[[#This Row],[IS1Inv1M1]:[IS4Inv4M2]])</f>
        <v>212040.80000000002</v>
      </c>
      <c r="DI49" s="205">
        <f>SUM(RD[[#This Row],[IS7Inv1M1]]+RD[[#This Row],[IS7Inv2M1]])</f>
        <v>8182.2999999999993</v>
      </c>
      <c r="DJ49" s="204">
        <f>SUM(RD[[#This Row],[IS5Inv1M1]:[IS5Inv2M2]])</f>
        <v>32569</v>
      </c>
      <c r="DK49" s="204">
        <f>SUM(RD[[#This Row],[IS8Inv1M1]:[IS9Inv2M2]])</f>
        <v>63433.899999999994</v>
      </c>
      <c r="DL49" s="60">
        <f>SUM(RD[[#This Row],[IS6Inv1M1]:[IS6Inv2M2]])</f>
        <v>32905</v>
      </c>
      <c r="DM49" s="51">
        <f>SUM(RD[[#This Row],[IS10Inv1M1]:[IS11Inv1M4]],RD[[#This Row],[IS14Inv1M1]:[IS14Inv2M4]])</f>
        <v>91834</v>
      </c>
      <c r="DN49" s="288">
        <f>SUM(RD[[#This Row],[IS12Inv1M1]:[IS12Inv1M4]])</f>
        <v>25140</v>
      </c>
      <c r="DO49" s="288">
        <f>SUM(RD[[#This Row],[IS13Inv1M1]:[IS13Inv2M2]])</f>
        <v>14679</v>
      </c>
      <c r="DP49" s="204">
        <f>SUM(RD[[#This Row],[O2R15]:[O2R26]])</f>
        <v>480784</v>
      </c>
      <c r="DQ49" s="164">
        <v>39710</v>
      </c>
      <c r="DR49" s="168">
        <v>209.2</v>
      </c>
      <c r="DS49" s="164">
        <v>34316.1</v>
      </c>
      <c r="DT49" s="164">
        <v>221.4</v>
      </c>
      <c r="DU49" s="168">
        <v>39874.5</v>
      </c>
      <c r="DV49" s="168">
        <v>397.1</v>
      </c>
      <c r="DW49" s="164">
        <v>7755.8</v>
      </c>
      <c r="DX49" s="168">
        <v>35.1</v>
      </c>
      <c r="DY49" s="168"/>
      <c r="DZ49" s="168"/>
      <c r="EA49" s="140">
        <v>93.61</v>
      </c>
      <c r="EB49" s="243">
        <v>124986056</v>
      </c>
      <c r="EC49" s="242">
        <v>921149.63199999998</v>
      </c>
      <c r="ED49" s="243">
        <v>1105</v>
      </c>
      <c r="EE49" s="243">
        <v>119288</v>
      </c>
      <c r="EF49" s="164">
        <v>173339.1</v>
      </c>
      <c r="EG49" s="164">
        <v>1808.4</v>
      </c>
      <c r="EH49" s="146">
        <f>IF((RD[[#This Row],[33 kV_F3_Ex
Incomer1]]-DQ48)*1000&lt;0,0,(RD[[#This Row],[33 kV_F3_Ex
Incomer1]]-DQ48)*1000)</f>
        <v>107699.99999999709</v>
      </c>
      <c r="EI49" s="146">
        <f>IF((RD[[#This Row],[34 kV_F3_Im
Incomer1]]-DR48)*1000&lt;0,0,(RD[[#This Row],[34 kV_F3_Im
Incomer1]]-DR48)*1000)</f>
        <v>399.99999999997726</v>
      </c>
      <c r="EJ49" s="146">
        <f>IF((RD[[#This Row],[33 kV_F4_Ex
Incomer2]]-DS48)*1000&lt;0,0,(RD[[#This Row],[33 kV_F4_Ex
Incomer2]]-DS48)*1000)</f>
        <v>100400.00000000146</v>
      </c>
      <c r="EK49" s="146">
        <f>IF((RD[[#This Row],[34 kV_F4_Im
Incomer2]]-DT48)*1000&lt;0,0,(RD[[#This Row],[34 kV_F4_Im
Incomer2]]-DT48)*1000)</f>
        <v>400.00000000000568</v>
      </c>
      <c r="EL49" s="146">
        <f>IF((RD[[#This Row],[33 kV_F5_Ex
Incomer3]]-DU48)*1000&lt;0,0,(RD[[#This Row],[33 kV_F5_Ex
Incomer3]]-DU48)*1000)</f>
        <v>140199.99999999709</v>
      </c>
      <c r="EM49" s="146">
        <f>IF((RD[[#This Row],[34 kV_F5_Im
Incomer3]]-DV48)*1000&lt;0,0,(RD[[#This Row],[34 kV_F5_Im
Incomer3]]-DV48)*1000)</f>
        <v>700.00000000004547</v>
      </c>
      <c r="EN49" s="146">
        <f>IF((RD[[#This Row],[33 kV_F6_Ex
Incomer4]]-DW48)*1000&lt;0,0,(RD[[#This Row],[33 kV_F6_Ex
Incomer4]]-DW48)*1000)</f>
        <v>129100.00000000036</v>
      </c>
      <c r="EO49" s="146">
        <f>IF((RD[[#This Row],[33 kV_F6_Im
Incomer4]]-DX48)*1000&lt;0,0,(RD[[#This Row],[33 kV_F6_Im
Incomer4]]-DX48)*1000)</f>
        <v>1000</v>
      </c>
      <c r="EP49" s="146">
        <f>IF((RD[[#This Row],[33 kV_F7_Ex
Incomer5]]-DY48)*1000&lt;0,0,(RD[[#This Row],[33 kV_F7_Ex
Incomer5]]-DY48)*1000)</f>
        <v>0</v>
      </c>
      <c r="EQ49" s="146">
        <f>IF((RD[[#This Row],[33 kV_F7_Im
Incomer5]]-DZ48)*1000&lt;0,0,(RD[[#This Row],[33 kV_F7_Im
Incomer5]]-DZ48)*1000)</f>
        <v>0</v>
      </c>
      <c r="ER49" s="146">
        <f>IF((RD[[#This Row],[33 kV_Aux Trafo]]-EA48)*1000&lt;0,0,(RD[[#This Row],[33 kV_Aux Trafo]]-EA48)*1000)</f>
        <v>250</v>
      </c>
      <c r="ES49" s="158">
        <f>IF((RD[[#This Row],[33kV_OG1_Ex_]]-EB48)*1&lt;0,0,(RD[[#This Row],[33kV_OG1_Ex_]]-EB48)*1)</f>
        <v>478486</v>
      </c>
      <c r="ET49" s="146">
        <f>IF((RD[[#This Row],[33kV_OG1_Im]]-EC48)*1&lt;0,0,(RD[[#This Row],[33kV_OG1_Im]]-EC48)*1)</f>
        <v>2554.7519999999786</v>
      </c>
      <c r="EU49" s="146">
        <f>IF((RD[[#This Row],[132kV_TX1_EX]]-ED48)*720&lt;=0,"",(RD[[#This Row],[132kV_TX1_EX]]-ED48)*720)</f>
        <v>2160</v>
      </c>
      <c r="EV49" s="146">
        <f>IF((RD[[#This Row],[132 kV_Tx1_Im]]-EE48)*720&lt;=0,0,(RD[[#This Row],[132 kV_Tx1_Im]]-EE48)*720)</f>
        <v>343440</v>
      </c>
      <c r="EW49" s="146">
        <f>IF((RD[[#This Row],[132kV_L1_Ex]]-EF48)*720&lt;=0,0,(RD[[#This Row],[132kV_L1_Ex]]-EF48)*720)</f>
        <v>476784.00000000838</v>
      </c>
      <c r="EX49" s="146">
        <f>IF((RD[[#This Row],[132kV_L1_Im]]-EG48)*720&lt;=0,0,(RD[[#This Row],[132kV_L1_Im]]-EG48)*720)</f>
        <v>3096.000000000131</v>
      </c>
      <c r="EY49" s="244">
        <f>IFERROR(RD[[#This Row],[33kV_OG1_Ex (MWh)]]+RD[[#This Row],[33kV_OG1_Im (MWh)]],"")</f>
        <v>481040.75199999998</v>
      </c>
      <c r="EZ49" s="148">
        <f>RD[[#This Row],[33kV_OG1_Ex (MWh)]]-RD[[#This Row],[33kV_OG1_Im (MWh)]]</f>
        <v>475931.24800000002</v>
      </c>
      <c r="FA49" s="148">
        <f>IFERROR(RD[[#This Row],[132kV_L1_Ex(MWh)]]-RD[[#This Row],[132kV_L1_Im(MWh)]],"")</f>
        <v>473688.00000000827</v>
      </c>
      <c r="FB49" s="55">
        <f>IFERROR(RD[[#This Row],[33kV_Ex(MWh)]]/RD[[#This Row],[Inv Total Gneration (MWh)]]-1,"")</f>
        <v>5.340277546672656E-4</v>
      </c>
      <c r="FC49" s="245">
        <v>12.4</v>
      </c>
      <c r="FD49" s="246">
        <v>111</v>
      </c>
      <c r="FE49" t="s">
        <v>281</v>
      </c>
      <c r="FG49" s="144" t="str">
        <f>IFERROR(RD[[#This Row],[E_AC (WPR)]]/RD[[#This Row],[E_DC (WPR)]],"")</f>
        <v/>
      </c>
    </row>
    <row r="50" spans="1:163">
      <c r="A50" s="133">
        <f t="shared" si="159"/>
        <v>45790</v>
      </c>
      <c r="B50" s="138">
        <f>YEAR(RD[[#This Row],[Date]])+IF(MONTH(RD[[#This Row],[Date]])&gt;=4,1,0)</f>
        <v>2026</v>
      </c>
      <c r="C50" s="138">
        <f>YEAR(RD[[#This Row],[Date]])</f>
        <v>2025</v>
      </c>
      <c r="D50" s="139">
        <f t="shared" si="160"/>
        <v>45778</v>
      </c>
      <c r="E50" s="138">
        <f>DAY(EOMONTH(RD[[#This Row],[Date]],0))</f>
        <v>31</v>
      </c>
      <c r="F50" s="152">
        <v>0.27708333333333335</v>
      </c>
      <c r="G50" s="162">
        <v>0.76944444444444449</v>
      </c>
      <c r="H50" s="124">
        <v>4633.6000000000004</v>
      </c>
      <c r="I50" s="124">
        <v>4482.6000000000004</v>
      </c>
      <c r="J50" s="124">
        <v>4244.8999999999996</v>
      </c>
      <c r="K50" s="124">
        <v>4323.7</v>
      </c>
      <c r="L50" s="124">
        <v>4449.7</v>
      </c>
      <c r="M50" s="124">
        <v>4624.2</v>
      </c>
      <c r="N50" s="124">
        <v>4417.8999999999996</v>
      </c>
      <c r="O50" s="124">
        <v>4962.7</v>
      </c>
      <c r="P50" s="124">
        <v>4493.6000000000004</v>
      </c>
      <c r="Q50" s="124">
        <v>4399.3999999999996</v>
      </c>
      <c r="R50" s="124">
        <v>4558.6000000000004</v>
      </c>
      <c r="S50" s="124">
        <v>4497</v>
      </c>
      <c r="T50" s="124">
        <v>4751.8999999999996</v>
      </c>
      <c r="U50" s="124">
        <v>4577.6000000000004</v>
      </c>
      <c r="V50" s="124">
        <v>4679.5</v>
      </c>
      <c r="W50" s="124">
        <v>4435.8999999999996</v>
      </c>
      <c r="X50" s="203">
        <v>6242.3</v>
      </c>
      <c r="Y50" s="203">
        <v>7042.3</v>
      </c>
      <c r="Z50" s="203">
        <v>6074.4</v>
      </c>
      <c r="AA50" s="203">
        <v>6380.9</v>
      </c>
      <c r="AB50" s="203">
        <v>6811.4</v>
      </c>
      <c r="AC50" s="203">
        <v>4130.8999999999996</v>
      </c>
      <c r="AD50" s="203">
        <v>6194.1</v>
      </c>
      <c r="AE50" s="203">
        <v>6350.7</v>
      </c>
      <c r="AF50" s="203">
        <v>6208.1</v>
      </c>
      <c r="AG50" s="203">
        <v>6184.7</v>
      </c>
      <c r="AH50" s="203">
        <v>6217.9</v>
      </c>
      <c r="AI50" s="203">
        <v>6265.1</v>
      </c>
      <c r="AJ50" s="142">
        <v>5286.5</v>
      </c>
      <c r="AK50" s="142">
        <v>5443.9</v>
      </c>
      <c r="AL50" s="142">
        <v>5350.4</v>
      </c>
      <c r="AM50" s="142">
        <v>5414.7</v>
      </c>
      <c r="AN50" s="142">
        <v>5359.9</v>
      </c>
      <c r="AO50" s="142">
        <v>5583.3</v>
      </c>
      <c r="AP50" s="142">
        <v>5449.6</v>
      </c>
      <c r="AQ50" s="142">
        <v>5433.9</v>
      </c>
      <c r="AR50" s="142">
        <v>1539.4</v>
      </c>
      <c r="AS50" s="142">
        <v>4428.8</v>
      </c>
      <c r="AT50" s="142">
        <v>4415.3</v>
      </c>
      <c r="AU50" s="142">
        <v>4370.3999999999996</v>
      </c>
      <c r="AV50" s="142">
        <v>4507.8</v>
      </c>
      <c r="AW50" s="142">
        <v>4446.3</v>
      </c>
      <c r="AX50" s="142">
        <v>6183.9</v>
      </c>
      <c r="AY50" s="142">
        <v>7057.9</v>
      </c>
      <c r="AZ50" s="142">
        <v>5169.2</v>
      </c>
      <c r="BA50" s="142">
        <v>6266</v>
      </c>
      <c r="BB50" s="142">
        <v>6098.8</v>
      </c>
      <c r="BC50" s="142">
        <v>5136</v>
      </c>
      <c r="BD50" s="142">
        <v>4333.8999999999996</v>
      </c>
      <c r="BE50" s="142">
        <v>5835.6</v>
      </c>
      <c r="BF50" s="142">
        <v>9050</v>
      </c>
      <c r="BG50" s="142">
        <v>9175</v>
      </c>
      <c r="BH50" s="142">
        <v>3623.3</v>
      </c>
      <c r="BI50" s="142">
        <v>1525.1</v>
      </c>
      <c r="BJ50" s="142">
        <v>4122.5</v>
      </c>
      <c r="BK50" s="142">
        <v>2393.1999999999998</v>
      </c>
      <c r="BL50" s="142">
        <v>3950.6</v>
      </c>
      <c r="BM50" s="142">
        <v>3975.2</v>
      </c>
      <c r="BN50" s="142">
        <v>4353.2</v>
      </c>
      <c r="BO50" s="142">
        <v>4117.3999999999996</v>
      </c>
      <c r="BP50" s="142">
        <v>4532.3</v>
      </c>
      <c r="BQ50" s="142">
        <v>4043</v>
      </c>
      <c r="BR50" s="142">
        <v>4670.3</v>
      </c>
      <c r="BS50" s="142">
        <v>2579.9</v>
      </c>
      <c r="BT50" s="142">
        <v>1915.9</v>
      </c>
      <c r="BU50" s="142">
        <v>976.3</v>
      </c>
      <c r="BV50" s="142"/>
      <c r="BW50" s="142"/>
      <c r="BX50" s="142"/>
      <c r="BY50" s="142"/>
      <c r="BZ50" s="142">
        <v>627.29999999999995</v>
      </c>
      <c r="CA50" s="142">
        <v>521.5</v>
      </c>
      <c r="CB50" s="142">
        <v>2508.4</v>
      </c>
      <c r="CC50" s="142">
        <v>4341.8999999999996</v>
      </c>
      <c r="CD50" s="59">
        <v>3.2975159666666678</v>
      </c>
      <c r="CE50" s="59">
        <v>3.3833456666666679</v>
      </c>
      <c r="CF50" s="206">
        <v>3.4430666666666658</v>
      </c>
      <c r="CG50" s="206">
        <v>3.4629116666666602</v>
      </c>
      <c r="CH50" s="206">
        <v>0.39894789999999991</v>
      </c>
      <c r="CI50" s="206">
        <v>0.53684808333333356</v>
      </c>
      <c r="CJ50" s="59">
        <v>0.63484161666666683</v>
      </c>
      <c r="CK50" s="59">
        <v>0.56911154999999991</v>
      </c>
      <c r="CL50" s="206">
        <v>30.263802704852782</v>
      </c>
      <c r="CM50" s="206">
        <v>30.510841269841301</v>
      </c>
      <c r="CN50" s="206">
        <v>41.158244232299218</v>
      </c>
      <c r="CO50" s="206">
        <v>39.443309523809468</v>
      </c>
      <c r="CP50" s="206">
        <v>58.046793953858327</v>
      </c>
      <c r="CQ50" s="206">
        <v>58.342634920634829</v>
      </c>
      <c r="CR50" s="59">
        <v>0</v>
      </c>
      <c r="CS50" s="59">
        <v>0</v>
      </c>
      <c r="CT50" s="206">
        <v>1.1238162291169473</v>
      </c>
      <c r="CU50" s="206">
        <v>1.2337761904761899</v>
      </c>
      <c r="CV50" s="206">
        <v>1.2337761904761899</v>
      </c>
      <c r="CW50" s="260">
        <v>2.7450000000000001</v>
      </c>
      <c r="CX50" s="204">
        <f>IFERROR(AVERAGEIF(RD[[#This Row],[IS1POA1 (KWh/m2)]:[IS7POA2 (KWh/m2)]],"&lt;&gt;0",RD[[#This Row],[IS1POA1 (KWh/m2)]:[IS7POA2 (KWh/m2)]]),"")</f>
        <v>3.3404308166666681</v>
      </c>
      <c r="CY50" s="204">
        <f>IFERROR(AVERAGEIF(RD[[#This Row],[IS1GHI1 (KWh/m2)]:[IS7GHI2 (KWh/m2)]],"&lt;&gt;0",RD[[#This Row],[IS1GHI1 (KWh/m2)]:[IS7GHI2 (KWh/m2)]]),"")</f>
        <v>3.4529891666666632</v>
      </c>
      <c r="CZ50" s="204">
        <f>IFERROR(AVERAGEIF(RD[[#This Row],[IS1POA_BS1 (KWh/m2)]:[IS7POA_BS2 (KWh/m2)]],"&lt;&gt;0",RD[[#This Row],[IS1POA_BS1 (KWh/m2)]:[IS7POA_BS2 (KWh/m2)]]),"")</f>
        <v>0.46789799166666673</v>
      </c>
      <c r="DA50" s="204">
        <f>IFERROR(AVERAGEIF(RD[[#This Row],[IS1GHI_BS1 (KWh/m2)]:[IS1GHI_BS1 (KWh/m2)2]],"&lt;&gt;0",RD[[#This Row],[IS1GHI_BS1 (KWh/m2)]:[IS1GHI_BS1 (KWh/m2)2]]),"")</f>
        <v>0.60197658333333337</v>
      </c>
      <c r="DB50" s="204">
        <f>IFERROR(AVERAGEIF(RD[[#This Row],[IS1AT1 (°C)]:[IS7AT2 (°C)]],"&lt;&gt;0",RD[[#This Row],[IS1AT1 (°C)]:[IS7AT2 (°C)]]),"")</f>
        <v>30.387321987347043</v>
      </c>
      <c r="DC50" s="204">
        <f>IFERROR(AVERAGEIF(RD[[#This Row],[IS1MT1 (°C)]:[IS7MT2 (°C)]],"&lt;&gt;0",RD[[#This Row],[IS1MT1 (°C)]:[IS7MT2 (°C)]]),"")</f>
        <v>40.300776878054343</v>
      </c>
      <c r="DD50" s="204">
        <f>IFERROR(AVERAGEIF(RD[[#This Row],[IS1RH1 (%)]:[IS7RH2 (%)]],"&lt;&gt;0",RD[[#This Row],[IS1RH1 (%)]:[IS7RH2 (%)]]),"")</f>
        <v>58.194714437246574</v>
      </c>
      <c r="DE50" s="51" t="str">
        <f>IFERROR(AVERAGEIF(RD[[#This Row],[IS1Rain1 (mm)]:[IS7Rain2 (mm)]],"&lt;&gt;0",RD[[#This Row],[IS1Rain1 (mm)]:[IS7Rain2 (mm)]]),"")</f>
        <v/>
      </c>
      <c r="DF50" s="204">
        <f>IFERROR(AVERAGEIF(RD[[#This Row],[WS_Solar1_Avg (m/s)]:[IS7_WS_Solar1_Avg (m/s)]],"&lt;&gt;0",RD[[#This Row],[WS_Solar1_Avg (m/s)]:[IS7_WS_Solar1_Avg (m/s)]]),"")</f>
        <v>1.1787962097965687</v>
      </c>
      <c r="DG50" s="204">
        <f>IFERROR(AVERAGEIF(RD[[#This Row],[WS_Solar1_Max (m/s)]:[IS7_WS_Solar1_Max (m/s)]],"&lt;&gt;0",RD[[#This Row],[WS_Solar1_Max (m/s)]:[IS7_WS_Solar1_Max (m/s)]]),"")</f>
        <v>1.9893880952380951</v>
      </c>
      <c r="DH50" s="204">
        <f>SUM(RD[[#This Row],[IS1Inv1M1]:[IS4Inv4M2]])</f>
        <v>146635.59999999998</v>
      </c>
      <c r="DI50" s="205">
        <f>SUM(RD[[#This Row],[IS7Inv1M1]]+RD[[#This Row],[IS7Inv2M1]])</f>
        <v>5968.2000000000007</v>
      </c>
      <c r="DJ50" s="204">
        <f>SUM(RD[[#This Row],[IS5Inv1M1]:[IS5Inv2M2]])</f>
        <v>21495.5</v>
      </c>
      <c r="DK50" s="204">
        <f>SUM(RD[[#This Row],[IS8Inv1M1]:[IS9Inv2M2]])</f>
        <v>42416.799999999996</v>
      </c>
      <c r="DL50" s="60">
        <f>SUM(RD[[#This Row],[IS6Inv1M1]:[IS6Inv2M2]])</f>
        <v>21826.700000000004</v>
      </c>
      <c r="DM50" s="51">
        <f>SUM(RD[[#This Row],[IS10Inv1M1]:[IS11Inv1M4]],RD[[#This Row],[IS14Inv1M1]:[IS14Inv2M4]])</f>
        <v>67218.3</v>
      </c>
      <c r="DN50" s="288">
        <f>SUM(RD[[#This Row],[IS12Inv1M1]:[IS12Inv1M4]])</f>
        <v>17045.899999999998</v>
      </c>
      <c r="DO50" s="288">
        <f>SUM(RD[[#This Row],[IS13Inv1M1]:[IS13Inv2M2]])</f>
        <v>10142.4</v>
      </c>
      <c r="DP50" s="204">
        <f>SUM(RD[[#This Row],[O2R15]:[O2R26]])</f>
        <v>332749.40000000002</v>
      </c>
      <c r="DQ50" s="164">
        <v>39783.699999999997</v>
      </c>
      <c r="DR50" s="168">
        <v>209.7</v>
      </c>
      <c r="DS50" s="164">
        <v>34387.599999999999</v>
      </c>
      <c r="DT50" s="164">
        <v>221.8</v>
      </c>
      <c r="DU50" s="168">
        <v>39968.300000000003</v>
      </c>
      <c r="DV50" s="168">
        <v>397.9</v>
      </c>
      <c r="DW50" s="164">
        <v>7843.8</v>
      </c>
      <c r="DX50" s="168">
        <v>36.1</v>
      </c>
      <c r="DY50" s="168"/>
      <c r="DZ50" s="168"/>
      <c r="EA50" s="140">
        <v>93.88</v>
      </c>
      <c r="EB50" s="243">
        <v>125313302</v>
      </c>
      <c r="EC50" s="242">
        <v>923961.34400000004</v>
      </c>
      <c r="ED50" s="243">
        <v>1108</v>
      </c>
      <c r="EE50" s="243">
        <v>119614</v>
      </c>
      <c r="EF50" s="164">
        <v>173792.1</v>
      </c>
      <c r="EG50" s="164">
        <v>1813.2</v>
      </c>
      <c r="EH50" s="146">
        <f>IF((RD[[#This Row],[33 kV_F3_Ex
Incomer1]]-DQ49)*1000&lt;0,0,(RD[[#This Row],[33 kV_F3_Ex
Incomer1]]-DQ49)*1000)</f>
        <v>73699.99999999709</v>
      </c>
      <c r="EI50" s="146">
        <f>IF((RD[[#This Row],[34 kV_F3_Im
Incomer1]]-DR49)*1000&lt;0,0,(RD[[#This Row],[34 kV_F3_Im
Incomer1]]-DR49)*1000)</f>
        <v>500</v>
      </c>
      <c r="EJ50" s="146">
        <f>IF((RD[[#This Row],[33 kV_F4_Ex
Incomer2]]-DS49)*1000&lt;0,0,(RD[[#This Row],[33 kV_F4_Ex
Incomer2]]-DS49)*1000)</f>
        <v>71500</v>
      </c>
      <c r="EK50" s="146">
        <f>IF((RD[[#This Row],[34 kV_F4_Im
Incomer2]]-DT49)*1000&lt;0,0,(RD[[#This Row],[34 kV_F4_Im
Incomer2]]-DT49)*1000)</f>
        <v>400.00000000000568</v>
      </c>
      <c r="EL50" s="146">
        <f>IF((RD[[#This Row],[33 kV_F5_Ex
Incomer3]]-DU49)*1000&lt;0,0,(RD[[#This Row],[33 kV_F5_Ex
Incomer3]]-DU49)*1000)</f>
        <v>93800.00000000291</v>
      </c>
      <c r="EM50" s="146">
        <f>IF((RD[[#This Row],[34 kV_F5_Im
Incomer3]]-DV49)*1000&lt;0,0,(RD[[#This Row],[34 kV_F5_Im
Incomer3]]-DV49)*1000)</f>
        <v>799.99999999995453</v>
      </c>
      <c r="EN50" s="146">
        <f>IF((RD[[#This Row],[33 kV_F6_Ex
Incomer4]]-DW49)*1000&lt;0,0,(RD[[#This Row],[33 kV_F6_Ex
Incomer4]]-DW49)*1000)</f>
        <v>88000</v>
      </c>
      <c r="EO50" s="146">
        <f>IF((RD[[#This Row],[33 kV_F6_Im
Incomer4]]-DX49)*1000&lt;0,0,(RD[[#This Row],[33 kV_F6_Im
Incomer4]]-DX49)*1000)</f>
        <v>1000</v>
      </c>
      <c r="EP50" s="146">
        <f>IF((RD[[#This Row],[33 kV_F7_Ex
Incomer5]]-DY49)*1000&lt;0,0,(RD[[#This Row],[33 kV_F7_Ex
Incomer5]]-DY49)*1000)</f>
        <v>0</v>
      </c>
      <c r="EQ50" s="146">
        <f>IF((RD[[#This Row],[33 kV_F7_Im
Incomer5]]-DZ49)*1000&lt;0,0,(RD[[#This Row],[33 kV_F7_Im
Incomer5]]-DZ49)*1000)</f>
        <v>0</v>
      </c>
      <c r="ER50" s="146">
        <f>IF((RD[[#This Row],[33 kV_Aux Trafo]]-EA49)*1000&lt;0,0,(RD[[#This Row],[33 kV_Aux Trafo]]-EA49)*1000)</f>
        <v>269.99999999999602</v>
      </c>
      <c r="ES50" s="158">
        <f>IF((RD[[#This Row],[33kV_OG1_Ex_]]-EB49)*1&lt;0,0,(RD[[#This Row],[33kV_OG1_Ex_]]-EB49)*1)</f>
        <v>327246</v>
      </c>
      <c r="ET50" s="146">
        <f>IF((RD[[#This Row],[33kV_OG1_Im]]-EC49)*1&lt;0,0,(RD[[#This Row],[33kV_OG1_Im]]-EC49)*1)</f>
        <v>2811.7120000000577</v>
      </c>
      <c r="EU50" s="146">
        <f>IF((RD[[#This Row],[132kV_TX1_EX]]-ED49)*720&lt;=0,"",(RD[[#This Row],[132kV_TX1_EX]]-ED49)*720)</f>
        <v>2160</v>
      </c>
      <c r="EV50" s="146">
        <f>IF((RD[[#This Row],[132 kV_Tx1_Im]]-EE49)*720&lt;=0,0,(RD[[#This Row],[132 kV_Tx1_Im]]-EE49)*720)</f>
        <v>234720</v>
      </c>
      <c r="EW50" s="146">
        <f>IF((RD[[#This Row],[132kV_L1_Ex]]-EF49)*720&lt;=0,0,(RD[[#This Row],[132kV_L1_Ex]]-EF49)*720)</f>
        <v>326160</v>
      </c>
      <c r="EX50" s="146">
        <f>IF((RD[[#This Row],[132kV_L1_Im]]-EG49)*720&lt;=0,0,(RD[[#This Row],[132kV_L1_Im]]-EG49)*720)</f>
        <v>3455.9999999999673</v>
      </c>
      <c r="EY50" s="244">
        <f>IFERROR(RD[[#This Row],[33kV_OG1_Ex (MWh)]]+RD[[#This Row],[33kV_OG1_Im (MWh)]],"")</f>
        <v>330057.71200000006</v>
      </c>
      <c r="EZ50" s="148">
        <f>RD[[#This Row],[33kV_OG1_Ex (MWh)]]-RD[[#This Row],[33kV_OG1_Im (MWh)]]</f>
        <v>324434.28799999994</v>
      </c>
      <c r="FA50" s="148">
        <f>IFERROR(RD[[#This Row],[132kV_L1_Ex(MWh)]]-RD[[#This Row],[132kV_L1_Im(MWh)]],"")</f>
        <v>322704.00000000006</v>
      </c>
      <c r="FB50" s="55">
        <f>IFERROR(RD[[#This Row],[33kV_Ex(MWh)]]/RD[[#This Row],[Inv Total Gneration (MWh)]]-1,"")</f>
        <v>-8.0892347213847859E-3</v>
      </c>
      <c r="FC50" s="245">
        <v>12.4</v>
      </c>
      <c r="FD50" s="246">
        <v>111</v>
      </c>
      <c r="FE50" t="s">
        <v>282</v>
      </c>
      <c r="FG50" s="144" t="str">
        <f>IFERROR(RD[[#This Row],[E_AC (WPR)]]/RD[[#This Row],[E_DC (WPR)]],"")</f>
        <v/>
      </c>
    </row>
    <row r="51" spans="1:163">
      <c r="A51" s="133">
        <f t="shared" si="159"/>
        <v>45791</v>
      </c>
      <c r="B51" s="138">
        <f>YEAR(RD[[#This Row],[Date]])+IF(MONTH(RD[[#This Row],[Date]])&gt;=4,1,0)</f>
        <v>2026</v>
      </c>
      <c r="C51" s="138">
        <f>YEAR(RD[[#This Row],[Date]])</f>
        <v>2025</v>
      </c>
      <c r="D51" s="139">
        <f t="shared" si="160"/>
        <v>45778</v>
      </c>
      <c r="E51" s="138">
        <f>DAY(EOMONTH(RD[[#This Row],[Date]],0))</f>
        <v>31</v>
      </c>
      <c r="F51" s="152">
        <v>0.26180555555555557</v>
      </c>
      <c r="G51" s="162">
        <v>0.7680555555555556</v>
      </c>
      <c r="H51" s="124">
        <v>6118.3</v>
      </c>
      <c r="I51" s="124">
        <v>5926.4</v>
      </c>
      <c r="J51" s="124">
        <v>5629.2</v>
      </c>
      <c r="K51" s="124">
        <v>5730.8</v>
      </c>
      <c r="L51" s="124">
        <v>5877.4</v>
      </c>
      <c r="M51" s="124">
        <v>6080</v>
      </c>
      <c r="N51" s="124">
        <v>5836</v>
      </c>
      <c r="O51" s="124">
        <v>6531.7</v>
      </c>
      <c r="P51" s="124">
        <v>5979.8</v>
      </c>
      <c r="Q51" s="124">
        <v>5818.3</v>
      </c>
      <c r="R51" s="124">
        <v>6041.1</v>
      </c>
      <c r="S51" s="124">
        <v>5997.9</v>
      </c>
      <c r="T51" s="124">
        <v>6327.5</v>
      </c>
      <c r="U51" s="124">
        <v>6089.1</v>
      </c>
      <c r="V51" s="124">
        <v>6230.8</v>
      </c>
      <c r="W51" s="124">
        <v>5957.2</v>
      </c>
      <c r="X51" s="203">
        <v>7754</v>
      </c>
      <c r="Y51" s="203">
        <v>8775</v>
      </c>
      <c r="Z51" s="203">
        <v>7603.5</v>
      </c>
      <c r="AA51" s="203">
        <v>8006.6</v>
      </c>
      <c r="AB51" s="203">
        <v>8510.5</v>
      </c>
      <c r="AC51" s="203">
        <v>5179.1000000000004</v>
      </c>
      <c r="AD51" s="203">
        <v>7756.6</v>
      </c>
      <c r="AE51" s="203">
        <v>7943.1</v>
      </c>
      <c r="AF51" s="203">
        <v>7749</v>
      </c>
      <c r="AG51" s="203">
        <v>7685.8</v>
      </c>
      <c r="AH51" s="203">
        <v>7767.4</v>
      </c>
      <c r="AI51" s="203">
        <v>7790.3</v>
      </c>
      <c r="AJ51" s="142">
        <v>6841.9</v>
      </c>
      <c r="AK51" s="142">
        <v>7054.3</v>
      </c>
      <c r="AL51" s="142">
        <v>6852.5</v>
      </c>
      <c r="AM51" s="142">
        <v>6915.3</v>
      </c>
      <c r="AN51" s="142">
        <v>6897.4</v>
      </c>
      <c r="AO51" s="142">
        <v>7129.7</v>
      </c>
      <c r="AP51" s="142">
        <v>6978.9</v>
      </c>
      <c r="AQ51" s="142">
        <v>6918.1</v>
      </c>
      <c r="AR51" s="142">
        <v>5578.6</v>
      </c>
      <c r="AS51" s="142">
        <v>5624.3</v>
      </c>
      <c r="AT51" s="142">
        <v>5679.6</v>
      </c>
      <c r="AU51" s="142">
        <v>5619.4</v>
      </c>
      <c r="AV51" s="142">
        <v>5756.4</v>
      </c>
      <c r="AW51" s="142">
        <v>5652.1</v>
      </c>
      <c r="AX51" s="142">
        <v>7884.7</v>
      </c>
      <c r="AY51" s="142">
        <v>8922.7999999999993</v>
      </c>
      <c r="AZ51" s="142">
        <v>6459.9</v>
      </c>
      <c r="BA51" s="142">
        <v>7838.3</v>
      </c>
      <c r="BB51" s="142">
        <v>8246.2999999999993</v>
      </c>
      <c r="BC51" s="142">
        <v>6904.9</v>
      </c>
      <c r="BD51" s="142">
        <v>5781</v>
      </c>
      <c r="BE51" s="142">
        <v>7794.7</v>
      </c>
      <c r="BF51" s="142">
        <v>1123</v>
      </c>
      <c r="BG51" s="142">
        <v>1113.5</v>
      </c>
      <c r="BH51" s="142">
        <v>5294</v>
      </c>
      <c r="BI51" s="142">
        <v>3559.1</v>
      </c>
      <c r="BJ51" s="142">
        <v>5465.7</v>
      </c>
      <c r="BK51" s="142">
        <v>3095.7</v>
      </c>
      <c r="BL51" s="142">
        <v>5203.1000000000004</v>
      </c>
      <c r="BM51" s="142">
        <v>5272.3</v>
      </c>
      <c r="BN51" s="142">
        <v>5838.8</v>
      </c>
      <c r="BO51" s="142">
        <v>5455.9</v>
      </c>
      <c r="BP51" s="142">
        <v>6128.6</v>
      </c>
      <c r="BQ51" s="142">
        <v>5579</v>
      </c>
      <c r="BR51" s="142">
        <v>6108.4</v>
      </c>
      <c r="BS51" s="142">
        <v>3863.6</v>
      </c>
      <c r="BT51" s="142">
        <v>2500.1</v>
      </c>
      <c r="BU51" s="142">
        <v>1406.9</v>
      </c>
      <c r="BV51" s="142"/>
      <c r="BW51" s="142"/>
      <c r="BX51" s="142"/>
      <c r="BY51" s="142"/>
      <c r="BZ51" s="142">
        <v>862.3</v>
      </c>
      <c r="CA51" s="142">
        <v>721.3</v>
      </c>
      <c r="CB51" s="142">
        <v>3313.7</v>
      </c>
      <c r="CC51" s="142">
        <v>5698.7</v>
      </c>
      <c r="CD51" s="59">
        <v>4.4298657499999976</v>
      </c>
      <c r="CE51" s="59">
        <v>4.2536578499999953</v>
      </c>
      <c r="CF51" s="206">
        <v>4.7243235333333313</v>
      </c>
      <c r="CG51" s="206">
        <v>4.3613279333333352</v>
      </c>
      <c r="CH51" s="206">
        <v>0.49736919999999962</v>
      </c>
      <c r="CI51" s="206">
        <v>0.68891694999999942</v>
      </c>
      <c r="CJ51" s="59">
        <v>0.8705549166666664</v>
      </c>
      <c r="CK51" s="59">
        <v>0.72542579999999934</v>
      </c>
      <c r="CL51" s="206">
        <v>31.283929712459944</v>
      </c>
      <c r="CM51" s="206">
        <v>31.479534136546217</v>
      </c>
      <c r="CN51" s="206">
        <v>43.882380990415392</v>
      </c>
      <c r="CO51" s="206">
        <v>41.629840963855379</v>
      </c>
      <c r="CP51" s="206">
        <v>54.087939297124549</v>
      </c>
      <c r="CQ51" s="206">
        <v>54.335194377509872</v>
      </c>
      <c r="CR51" s="59">
        <v>0</v>
      </c>
      <c r="CS51" s="59">
        <v>0</v>
      </c>
      <c r="CT51" s="206">
        <v>1.2172212460063909</v>
      </c>
      <c r="CU51" s="206">
        <v>1.3202690763052227</v>
      </c>
      <c r="CV51" s="206">
        <v>2.1509999999999998</v>
      </c>
      <c r="CW51" s="260">
        <v>2.7749999999999999</v>
      </c>
      <c r="CX51" s="204">
        <f>IFERROR(AVERAGEIF(RD[[#This Row],[IS1POA1 (KWh/m2)]:[IS7POA2 (KWh/m2)]],"&lt;&gt;0",RD[[#This Row],[IS1POA1 (KWh/m2)]:[IS7POA2 (KWh/m2)]]),"")</f>
        <v>4.3417617999999969</v>
      </c>
      <c r="CY51" s="204">
        <f>IFERROR(AVERAGEIF(RD[[#This Row],[IS1GHI1 (KWh/m2)]:[IS7GHI2 (KWh/m2)]],"&lt;&gt;0",RD[[#This Row],[IS1GHI1 (KWh/m2)]:[IS7GHI2 (KWh/m2)]]),"")</f>
        <v>4.5428257333333333</v>
      </c>
      <c r="CZ51" s="204">
        <f>IFERROR(AVERAGEIF(RD[[#This Row],[IS1POA_BS1 (KWh/m2)]:[IS7POA_BS2 (KWh/m2)]],"&lt;&gt;0",RD[[#This Row],[IS1POA_BS1 (KWh/m2)]:[IS7POA_BS2 (KWh/m2)]]),"")</f>
        <v>0.59314307499999952</v>
      </c>
      <c r="DA51" s="204">
        <f>IFERROR(AVERAGEIF(RD[[#This Row],[IS1GHI_BS1 (KWh/m2)]:[IS1GHI_BS1 (KWh/m2)2]],"&lt;&gt;0",RD[[#This Row],[IS1GHI_BS1 (KWh/m2)]:[IS1GHI_BS1 (KWh/m2)2]]),"")</f>
        <v>0.79799035833333287</v>
      </c>
      <c r="DB51" s="204">
        <f>IFERROR(AVERAGEIF(RD[[#This Row],[IS1AT1 (°C)]:[IS7AT2 (°C)]],"&lt;&gt;0",RD[[#This Row],[IS1AT1 (°C)]:[IS7AT2 (°C)]]),"")</f>
        <v>31.381731924503079</v>
      </c>
      <c r="DC51" s="204">
        <f>IFERROR(AVERAGEIF(RD[[#This Row],[IS1MT1 (°C)]:[IS7MT2 (°C)]],"&lt;&gt;0",RD[[#This Row],[IS1MT1 (°C)]:[IS7MT2 (°C)]]),"")</f>
        <v>42.756110977135386</v>
      </c>
      <c r="DD51" s="204">
        <f>IFERROR(AVERAGEIF(RD[[#This Row],[IS1RH1 (%)]:[IS7RH2 (%)]],"&lt;&gt;0",RD[[#This Row],[IS1RH1 (%)]:[IS7RH2 (%)]]),"")</f>
        <v>54.211566837317207</v>
      </c>
      <c r="DE51" s="51" t="str">
        <f>IFERROR(AVERAGEIF(RD[[#This Row],[IS1Rain1 (mm)]:[IS7Rain2 (mm)]],"&lt;&gt;0",RD[[#This Row],[IS1Rain1 (mm)]:[IS7Rain2 (mm)]]),"")</f>
        <v/>
      </c>
      <c r="DF51" s="204">
        <f>IFERROR(AVERAGEIF(RD[[#This Row],[WS_Solar1_Avg (m/s)]:[IS7_WS_Solar1_Avg (m/s)]],"&lt;&gt;0",RD[[#This Row],[WS_Solar1_Avg (m/s)]:[IS7_WS_Solar1_Avg (m/s)]]),"")</f>
        <v>1.2687451611558069</v>
      </c>
      <c r="DG51" s="204">
        <f>IFERROR(AVERAGEIF(RD[[#This Row],[WS_Solar1_Max (m/s)]:[IS7_WS_Solar1_Max (m/s)]],"&lt;&gt;0",RD[[#This Row],[WS_Solar1_Max (m/s)]:[IS7_WS_Solar1_Max (m/s)]]),"")</f>
        <v>2.4630000000000001</v>
      </c>
      <c r="DH51" s="204">
        <f>SUM(RD[[#This Row],[IS1Inv1M1]:[IS4Inv4M2]])</f>
        <v>188692.4</v>
      </c>
      <c r="DI51" s="205">
        <f>SUM(RD[[#This Row],[IS7Inv1M1]]+RD[[#This Row],[IS7Inv2M1]])</f>
        <v>11202.900000000001</v>
      </c>
      <c r="DJ51" s="204">
        <f>SUM(RD[[#This Row],[IS5Inv1M1]:[IS5Inv2M2]])</f>
        <v>27664</v>
      </c>
      <c r="DK51" s="204">
        <f>SUM(RD[[#This Row],[IS8Inv1M1]:[IS9Inv2M2]])</f>
        <v>53813.200000000004</v>
      </c>
      <c r="DL51" s="60">
        <f>SUM(RD[[#This Row],[IS6Inv1M1]:[IS6Inv2M2]])</f>
        <v>27924.1</v>
      </c>
      <c r="DM51" s="51">
        <f>SUM(RD[[#This Row],[IS10Inv1M1]:[IS11Inv1M4]],RD[[#This Row],[IS14Inv1M1]:[IS14Inv2M4]])</f>
        <v>69449.299999999988</v>
      </c>
      <c r="DN51" s="288">
        <f>SUM(RD[[#This Row],[IS12Inv1M1]:[IS12Inv1M4]])</f>
        <v>23002.300000000003</v>
      </c>
      <c r="DO51" s="288">
        <f>SUM(RD[[#This Row],[IS13Inv1M1]:[IS13Inv2M2]])</f>
        <v>13879</v>
      </c>
      <c r="DP51" s="204">
        <f>SUM(RD[[#This Row],[O2R15]:[O2R26]])</f>
        <v>415627.19999999995</v>
      </c>
      <c r="DQ51" s="164">
        <v>39875.800000000003</v>
      </c>
      <c r="DR51" s="168">
        <v>210</v>
      </c>
      <c r="DS51" s="164">
        <v>34481</v>
      </c>
      <c r="DT51" s="164">
        <v>222.1</v>
      </c>
      <c r="DU51" s="168">
        <v>40087.800000000003</v>
      </c>
      <c r="DV51" s="168">
        <v>398.5</v>
      </c>
      <c r="DW51" s="164">
        <v>7963</v>
      </c>
      <c r="DX51" s="168">
        <v>36.799999999999997</v>
      </c>
      <c r="DY51" s="168"/>
      <c r="DZ51" s="168"/>
      <c r="EA51" s="140">
        <v>94.11</v>
      </c>
      <c r="EB51" s="243">
        <v>125738500</v>
      </c>
      <c r="EC51" s="242">
        <v>926045.37600000005</v>
      </c>
      <c r="ED51" s="243">
        <v>1111</v>
      </c>
      <c r="EE51" s="243">
        <v>120037</v>
      </c>
      <c r="EF51" s="164">
        <v>174380.79999999999</v>
      </c>
      <c r="EG51" s="164">
        <v>1816.7</v>
      </c>
      <c r="EH51" s="146">
        <f>IF((RD[[#This Row],[33 kV_F3_Ex
Incomer1]]-DQ50)*1000&lt;0,0,(RD[[#This Row],[33 kV_F3_Ex
Incomer1]]-DQ50)*1000)</f>
        <v>92100.000000005821</v>
      </c>
      <c r="EI51" s="146">
        <f>IF((RD[[#This Row],[34 kV_F3_Im
Incomer1]]-DR50)*1000&lt;0,0,(RD[[#This Row],[34 kV_F3_Im
Incomer1]]-DR50)*1000)</f>
        <v>300.00000000001137</v>
      </c>
      <c r="EJ51" s="146">
        <f>IF((RD[[#This Row],[33 kV_F4_Ex
Incomer2]]-DS50)*1000&lt;0,0,(RD[[#This Row],[33 kV_F4_Ex
Incomer2]]-DS50)*1000)</f>
        <v>93400.000000001455</v>
      </c>
      <c r="EK51" s="146">
        <f>IF((RD[[#This Row],[34 kV_F4_Im
Incomer2]]-DT50)*1000&lt;0,0,(RD[[#This Row],[34 kV_F4_Im
Incomer2]]-DT50)*1000)</f>
        <v>299.99999999998295</v>
      </c>
      <c r="EL51" s="146">
        <f>IF((RD[[#This Row],[33 kV_F5_Ex
Incomer3]]-DU50)*1000&lt;0,0,(RD[[#This Row],[33 kV_F5_Ex
Incomer3]]-DU50)*1000)</f>
        <v>119500</v>
      </c>
      <c r="EM51" s="146">
        <f>IF((RD[[#This Row],[34 kV_F5_Im
Incomer3]]-DV50)*1000&lt;0,0,(RD[[#This Row],[34 kV_F5_Im
Incomer3]]-DV50)*1000)</f>
        <v>600.00000000002274</v>
      </c>
      <c r="EN51" s="146">
        <f>IF((RD[[#This Row],[33 kV_F6_Ex
Incomer4]]-DW50)*1000&lt;0,0,(RD[[#This Row],[33 kV_F6_Ex
Incomer4]]-DW50)*1000)</f>
        <v>119199.99999999983</v>
      </c>
      <c r="EO51" s="146">
        <f>IF((RD[[#This Row],[33 kV_F6_Im
Incomer4]]-DX50)*1000&lt;0,0,(RD[[#This Row],[33 kV_F6_Im
Incomer4]]-DX50)*1000)</f>
        <v>699.99999999999568</v>
      </c>
      <c r="EP51" s="146">
        <f>IF((RD[[#This Row],[33 kV_F7_Ex
Incomer5]]-DY50)*1000&lt;0,0,(RD[[#This Row],[33 kV_F7_Ex
Incomer5]]-DY50)*1000)</f>
        <v>0</v>
      </c>
      <c r="EQ51" s="146">
        <f>IF((RD[[#This Row],[33 kV_F7_Im
Incomer5]]-DZ50)*1000&lt;0,0,(RD[[#This Row],[33 kV_F7_Im
Incomer5]]-DZ50)*1000)</f>
        <v>0</v>
      </c>
      <c r="ER51" s="146">
        <f>IF((RD[[#This Row],[33 kV_Aux Trafo]]-EA50)*1000&lt;0,0,(RD[[#This Row],[33 kV_Aux Trafo]]-EA50)*1000)</f>
        <v>230.00000000000398</v>
      </c>
      <c r="ES51" s="158">
        <f>IF((RD[[#This Row],[33kV_OG1_Ex_]]-EB50)*1&lt;0,0,(RD[[#This Row],[33kV_OG1_Ex_]]-EB50)*1)</f>
        <v>425198</v>
      </c>
      <c r="ET51" s="146">
        <f>IF((RD[[#This Row],[33kV_OG1_Im]]-EC50)*1&lt;0,0,(RD[[#This Row],[33kV_OG1_Im]]-EC50)*1)</f>
        <v>2084.0320000000065</v>
      </c>
      <c r="EU51" s="146">
        <f>IF((RD[[#This Row],[132kV_TX1_EX]]-ED50)*720&lt;=0,"",(RD[[#This Row],[132kV_TX1_EX]]-ED50)*720)</f>
        <v>2160</v>
      </c>
      <c r="EV51" s="146">
        <f>IF((RD[[#This Row],[132 kV_Tx1_Im]]-EE50)*720&lt;=0,0,(RD[[#This Row],[132 kV_Tx1_Im]]-EE50)*720)</f>
        <v>304560</v>
      </c>
      <c r="EW51" s="146">
        <f>IF((RD[[#This Row],[132kV_L1_Ex]]-EF50)*720&lt;=0,0,(RD[[#This Row],[132kV_L1_Ex]]-EF50)*720)</f>
        <v>423863.99999998743</v>
      </c>
      <c r="EX51" s="146">
        <f>IF((RD[[#This Row],[132kV_L1_Im]]-EG50)*720&lt;=0,0,(RD[[#This Row],[132kV_L1_Im]]-EG50)*720)</f>
        <v>2520</v>
      </c>
      <c r="EY51" s="244">
        <f>IFERROR(RD[[#This Row],[33kV_OG1_Ex (MWh)]]+RD[[#This Row],[33kV_OG1_Im (MWh)]],"")</f>
        <v>427282.03200000001</v>
      </c>
      <c r="EZ51" s="148">
        <f>RD[[#This Row],[33kV_OG1_Ex (MWh)]]-RD[[#This Row],[33kV_OG1_Im (MWh)]]</f>
        <v>423113.96799999999</v>
      </c>
      <c r="FA51" s="148">
        <f>IFERROR(RD[[#This Row],[132kV_L1_Ex(MWh)]]-RD[[#This Row],[132kV_L1_Im(MWh)]],"")</f>
        <v>421343.99999998743</v>
      </c>
      <c r="FB51" s="55">
        <f>IFERROR(RD[[#This Row],[33kV_Ex(MWh)]]/RD[[#This Row],[Inv Total Gneration (MWh)]]-1,"")</f>
        <v>2.8041552622157573E-2</v>
      </c>
      <c r="FC51" s="245">
        <v>12.4</v>
      </c>
      <c r="FD51" s="246">
        <v>114</v>
      </c>
      <c r="FE51" t="s">
        <v>282</v>
      </c>
      <c r="FG51" s="144" t="str">
        <f>IFERROR(RD[[#This Row],[E_AC (WPR)]]/RD[[#This Row],[E_DC (WPR)]],"")</f>
        <v/>
      </c>
    </row>
    <row r="52" spans="1:163">
      <c r="A52" s="133">
        <f t="shared" si="159"/>
        <v>45792</v>
      </c>
      <c r="B52" s="138">
        <f>YEAR(RD[[#This Row],[Date]])+IF(MONTH(RD[[#This Row],[Date]])&gt;=4,1,0)</f>
        <v>2026</v>
      </c>
      <c r="C52" s="138">
        <f>YEAR(RD[[#This Row],[Date]])</f>
        <v>2025</v>
      </c>
      <c r="D52" s="139">
        <f t="shared" si="160"/>
        <v>45778</v>
      </c>
      <c r="E52" s="138">
        <f>DAY(EOMONTH(RD[[#This Row],[Date]],0))</f>
        <v>31</v>
      </c>
      <c r="F52" s="152">
        <v>0.26319444444444445</v>
      </c>
      <c r="G52" s="162">
        <v>0.73958333333333337</v>
      </c>
      <c r="H52" s="124">
        <v>5690.5</v>
      </c>
      <c r="I52" s="124">
        <v>5501.3</v>
      </c>
      <c r="J52" s="124">
        <v>5303.7</v>
      </c>
      <c r="K52" s="124">
        <v>5476.1</v>
      </c>
      <c r="L52" s="124">
        <v>5577.9</v>
      </c>
      <c r="M52" s="124">
        <v>5750.8</v>
      </c>
      <c r="N52" s="124">
        <v>5576.5</v>
      </c>
      <c r="O52" s="124">
        <v>6036.1</v>
      </c>
      <c r="P52" s="124">
        <v>5669.8</v>
      </c>
      <c r="Q52" s="124">
        <v>5608.9</v>
      </c>
      <c r="R52" s="124">
        <v>5777.7</v>
      </c>
      <c r="S52" s="124">
        <v>5722.4</v>
      </c>
      <c r="T52" s="124">
        <v>5945.7</v>
      </c>
      <c r="U52" s="124">
        <v>5829.5</v>
      </c>
      <c r="V52" s="124">
        <v>5882.8</v>
      </c>
      <c r="W52" s="124">
        <v>5598</v>
      </c>
      <c r="X52" s="203">
        <v>7477.5</v>
      </c>
      <c r="Y52" s="203">
        <v>8234.2000000000007</v>
      </c>
      <c r="Z52" s="203">
        <v>7188.5</v>
      </c>
      <c r="AA52" s="203">
        <v>7477</v>
      </c>
      <c r="AB52" s="203">
        <v>8754.2000000000007</v>
      </c>
      <c r="AC52" s="203">
        <v>5347.3</v>
      </c>
      <c r="AD52" s="203">
        <v>7969.3</v>
      </c>
      <c r="AE52" s="203">
        <v>8129.5</v>
      </c>
      <c r="AF52" s="203">
        <v>7975.8</v>
      </c>
      <c r="AG52" s="203">
        <v>7926.6</v>
      </c>
      <c r="AH52" s="203">
        <v>7978.3</v>
      </c>
      <c r="AI52" s="203">
        <v>7991.9</v>
      </c>
      <c r="AJ52" s="142">
        <v>5975.9</v>
      </c>
      <c r="AK52" s="142">
        <v>6232.8</v>
      </c>
      <c r="AL52" s="142">
        <v>6222.8</v>
      </c>
      <c r="AM52" s="142">
        <v>6319</v>
      </c>
      <c r="AN52" s="142">
        <v>6091.2</v>
      </c>
      <c r="AO52" s="142">
        <v>6341.2</v>
      </c>
      <c r="AP52" s="142">
        <v>6158.8</v>
      </c>
      <c r="AQ52" s="142">
        <v>6140.8</v>
      </c>
      <c r="AR52" s="142">
        <v>5031.3</v>
      </c>
      <c r="AS52" s="142">
        <v>5082.8999999999996</v>
      </c>
      <c r="AT52" s="142">
        <v>5128.8999999999996</v>
      </c>
      <c r="AU52" s="142">
        <v>5116.8999999999996</v>
      </c>
      <c r="AV52" s="142">
        <v>5223.3</v>
      </c>
      <c r="AW52" s="142">
        <v>5101.8999999999996</v>
      </c>
      <c r="AX52" s="142">
        <v>6967.1</v>
      </c>
      <c r="AY52" s="142">
        <v>7744.7</v>
      </c>
      <c r="AZ52" s="142">
        <v>5672.7</v>
      </c>
      <c r="BA52" s="142">
        <v>6921.2</v>
      </c>
      <c r="BB52" s="142">
        <v>7529.6</v>
      </c>
      <c r="BC52" s="142">
        <v>6305.2</v>
      </c>
      <c r="BD52" s="142">
        <v>5350.5</v>
      </c>
      <c r="BE52" s="142">
        <v>7181.3</v>
      </c>
      <c r="BF52" s="142">
        <v>1071.5</v>
      </c>
      <c r="BG52" s="142">
        <v>1182.5</v>
      </c>
      <c r="BH52" s="142">
        <v>4988.8999999999996</v>
      </c>
      <c r="BI52" s="142">
        <v>3575.4</v>
      </c>
      <c r="BJ52" s="142">
        <v>5236.3999999999996</v>
      </c>
      <c r="BK52" s="142">
        <v>3004</v>
      </c>
      <c r="BL52" s="142">
        <v>5073.6000000000004</v>
      </c>
      <c r="BM52" s="142">
        <v>5090.6000000000004</v>
      </c>
      <c r="BN52" s="142">
        <v>4484</v>
      </c>
      <c r="BO52" s="142">
        <v>4232.6000000000004</v>
      </c>
      <c r="BP52" s="142">
        <v>4729.3999999999996</v>
      </c>
      <c r="BQ52" s="142">
        <v>4272.8</v>
      </c>
      <c r="BR52" s="142">
        <v>5816.3</v>
      </c>
      <c r="BS52" s="142">
        <v>4101.6000000000004</v>
      </c>
      <c r="BT52" s="142">
        <v>2385.4</v>
      </c>
      <c r="BU52" s="142">
        <v>1467</v>
      </c>
      <c r="BV52" s="142"/>
      <c r="BW52" s="142"/>
      <c r="BX52" s="142"/>
      <c r="BY52" s="142"/>
      <c r="BZ52" s="142">
        <v>855.8</v>
      </c>
      <c r="CA52" s="142">
        <v>721.1</v>
      </c>
      <c r="CB52" s="142">
        <v>3231.2</v>
      </c>
      <c r="CC52" s="142">
        <v>5491.1</v>
      </c>
      <c r="CD52" s="59">
        <v>4.3346419166666674</v>
      </c>
      <c r="CE52" s="59">
        <v>3.9174768499999981</v>
      </c>
      <c r="CF52" s="206">
        <v>4.4218124833333361</v>
      </c>
      <c r="CG52" s="206">
        <v>4.0064483499999968</v>
      </c>
      <c r="CH52" s="206">
        <v>0.50340774999999993</v>
      </c>
      <c r="CI52" s="206">
        <v>0.63521394999999958</v>
      </c>
      <c r="CJ52" s="59">
        <v>0.84212328333333319</v>
      </c>
      <c r="CK52" s="59">
        <v>0.66795186666666539</v>
      </c>
      <c r="CL52" s="206">
        <v>29.868613707165149</v>
      </c>
      <c r="CM52" s="206">
        <v>30.073478295185495</v>
      </c>
      <c r="CN52" s="206">
        <v>41.911445482865993</v>
      </c>
      <c r="CO52" s="206">
        <v>39.514062352012537</v>
      </c>
      <c r="CP52" s="206">
        <v>61.77861370716515</v>
      </c>
      <c r="CQ52" s="206">
        <v>61.953060773480715</v>
      </c>
      <c r="CR52" s="59">
        <v>3.7383177570093497E-2</v>
      </c>
      <c r="CS52" s="59">
        <v>0</v>
      </c>
      <c r="CT52" s="206">
        <v>1.3289182242990671</v>
      </c>
      <c r="CU52" s="206">
        <v>1.355965272296765</v>
      </c>
      <c r="CV52" s="206">
        <v>5.6459999999999999</v>
      </c>
      <c r="CW52" s="260">
        <v>5.8259999999999996</v>
      </c>
      <c r="CX52" s="204">
        <f>IFERROR(AVERAGEIF(RD[[#This Row],[IS1POA1 (KWh/m2)]:[IS7POA2 (KWh/m2)]],"&lt;&gt;0",RD[[#This Row],[IS1POA1 (KWh/m2)]:[IS7POA2 (KWh/m2)]]),"")</f>
        <v>4.1260593833333328</v>
      </c>
      <c r="CY52" s="204">
        <f>IFERROR(AVERAGEIF(RD[[#This Row],[IS1GHI1 (KWh/m2)]:[IS7GHI2 (KWh/m2)]],"&lt;&gt;0",RD[[#This Row],[IS1GHI1 (KWh/m2)]:[IS7GHI2 (KWh/m2)]]),"")</f>
        <v>4.2141304166666664</v>
      </c>
      <c r="CZ52" s="204">
        <f>IFERROR(AVERAGEIF(RD[[#This Row],[IS1POA_BS1 (KWh/m2)]:[IS7POA_BS2 (KWh/m2)]],"&lt;&gt;0",RD[[#This Row],[IS1POA_BS1 (KWh/m2)]:[IS7POA_BS2 (KWh/m2)]]),"")</f>
        <v>0.5693108499999997</v>
      </c>
      <c r="DA52" s="204">
        <f>IFERROR(AVERAGEIF(RD[[#This Row],[IS1GHI_BS1 (KWh/m2)]:[IS1GHI_BS1 (KWh/m2)2]],"&lt;&gt;0",RD[[#This Row],[IS1GHI_BS1 (KWh/m2)]:[IS1GHI_BS1 (KWh/m2)2]]),"")</f>
        <v>0.75503757499999935</v>
      </c>
      <c r="DB52" s="204">
        <f>IFERROR(AVERAGEIF(RD[[#This Row],[IS1AT1 (°C)]:[IS7AT2 (°C)]],"&lt;&gt;0",RD[[#This Row],[IS1AT1 (°C)]:[IS7AT2 (°C)]]),"")</f>
        <v>29.971046001175324</v>
      </c>
      <c r="DC52" s="204">
        <f>IFERROR(AVERAGEIF(RD[[#This Row],[IS1MT1 (°C)]:[IS7MT2 (°C)]],"&lt;&gt;0",RD[[#This Row],[IS1MT1 (°C)]:[IS7MT2 (°C)]]),"")</f>
        <v>40.712753917439265</v>
      </c>
      <c r="DD52" s="204">
        <f>IFERROR(AVERAGEIF(RD[[#This Row],[IS1RH1 (%)]:[IS7RH2 (%)]],"&lt;&gt;0",RD[[#This Row],[IS1RH1 (%)]:[IS7RH2 (%)]]),"")</f>
        <v>61.865837240322932</v>
      </c>
      <c r="DE52" s="51">
        <f>IFERROR(AVERAGEIF(RD[[#This Row],[IS1Rain1 (mm)]:[IS7Rain2 (mm)]],"&lt;&gt;0",RD[[#This Row],[IS1Rain1 (mm)]:[IS7Rain2 (mm)]]),"")</f>
        <v>3.7383177570093497E-2</v>
      </c>
      <c r="DF52" s="204">
        <f>IFERROR(AVERAGEIF(RD[[#This Row],[WS_Solar1_Avg (m/s)]:[IS7_WS_Solar1_Avg (m/s)]],"&lt;&gt;0",RD[[#This Row],[WS_Solar1_Avg (m/s)]:[IS7_WS_Solar1_Avg (m/s)]]),"")</f>
        <v>1.3424417482979161</v>
      </c>
      <c r="DG52" s="204">
        <f>IFERROR(AVERAGEIF(RD[[#This Row],[WS_Solar1_Max (m/s)]:[IS7_WS_Solar1_Max (m/s)]],"&lt;&gt;0",RD[[#This Row],[WS_Solar1_Max (m/s)]:[IS7_WS_Solar1_Max (m/s)]]),"")</f>
        <v>5.7359999999999998</v>
      </c>
      <c r="DH52" s="204">
        <f>SUM(RD[[#This Row],[IS1Inv1M1]:[IS4Inv4M2]])</f>
        <v>183397.79999999996</v>
      </c>
      <c r="DI52" s="205">
        <f>SUM(RD[[#This Row],[IS7Inv1M1]]+RD[[#This Row],[IS7Inv2M1]])</f>
        <v>10114.200000000001</v>
      </c>
      <c r="DJ52" s="204">
        <f>SUM(RD[[#This Row],[IS5Inv1M1]:[IS5Inv2M2]])</f>
        <v>24750.5</v>
      </c>
      <c r="DK52" s="204">
        <f>SUM(RD[[#This Row],[IS8Inv1M1]:[IS9Inv2M2]])</f>
        <v>47876.69999999999</v>
      </c>
      <c r="DL52" s="60">
        <f>SUM(RD[[#This Row],[IS6Inv1M1]:[IS6Inv2M2]])</f>
        <v>24732</v>
      </c>
      <c r="DM52" s="51">
        <f>SUM(RD[[#This Row],[IS10Inv1M1]:[IS11Inv1M4]],RD[[#This Row],[IS14Inv1M1]:[IS14Inv2M4]])</f>
        <v>65888.7</v>
      </c>
      <c r="DN52" s="288">
        <f>SUM(RD[[#This Row],[IS12Inv1M1]:[IS12Inv1M4]])</f>
        <v>17718.8</v>
      </c>
      <c r="DO52" s="288">
        <f>SUM(RD[[#This Row],[IS13Inv1M1]:[IS13Inv2M2]])</f>
        <v>13770.300000000001</v>
      </c>
      <c r="DP52" s="204">
        <f>SUM(RD[[#This Row],[O2R15]:[O2R26]])</f>
        <v>388248.99999999994</v>
      </c>
      <c r="DQ52" s="164">
        <v>39967.599999999999</v>
      </c>
      <c r="DR52" s="168">
        <v>210.4</v>
      </c>
      <c r="DS52" s="164">
        <v>34569.300000000003</v>
      </c>
      <c r="DT52" s="164">
        <v>222.5</v>
      </c>
      <c r="DU52" s="168">
        <v>40194</v>
      </c>
      <c r="DV52" s="168">
        <v>399.2</v>
      </c>
      <c r="DW52" s="164">
        <v>8071.9</v>
      </c>
      <c r="DX52" s="168">
        <v>37.6</v>
      </c>
      <c r="DY52" s="168"/>
      <c r="DZ52" s="168"/>
      <c r="EA52" s="140">
        <v>94.36</v>
      </c>
      <c r="EB52" s="243">
        <v>126134534</v>
      </c>
      <c r="EC52" s="242">
        <v>928454.65599999996</v>
      </c>
      <c r="ED52" s="243">
        <v>1114</v>
      </c>
      <c r="EE52" s="243">
        <v>120432</v>
      </c>
      <c r="EF52" s="164">
        <v>174928.9</v>
      </c>
      <c r="EG52" s="164">
        <v>1820.9</v>
      </c>
      <c r="EH52" s="146">
        <f>IF((RD[[#This Row],[33 kV_F3_Ex
Incomer1]]-DQ51)*1000&lt;0,0,(RD[[#This Row],[33 kV_F3_Ex
Incomer1]]-DQ51)*1000)</f>
        <v>91799.999999995634</v>
      </c>
      <c r="EI52" s="146">
        <f>IF((RD[[#This Row],[34 kV_F3_Im
Incomer1]]-DR51)*1000&lt;0,0,(RD[[#This Row],[34 kV_F3_Im
Incomer1]]-DR51)*1000)</f>
        <v>400.00000000000568</v>
      </c>
      <c r="EJ52" s="146">
        <f>IF((RD[[#This Row],[33 kV_F4_Ex
Incomer2]]-DS51)*1000&lt;0,0,(RD[[#This Row],[33 kV_F4_Ex
Incomer2]]-DS51)*1000)</f>
        <v>88300.00000000291</v>
      </c>
      <c r="EK52" s="146">
        <f>IF((RD[[#This Row],[34 kV_F4_Im
Incomer2]]-DT51)*1000&lt;0,0,(RD[[#This Row],[34 kV_F4_Im
Incomer2]]-DT51)*1000)</f>
        <v>400.00000000000568</v>
      </c>
      <c r="EL52" s="146">
        <f>IF((RD[[#This Row],[33 kV_F5_Ex
Incomer3]]-DU51)*1000&lt;0,0,(RD[[#This Row],[33 kV_F5_Ex
Incomer3]]-DU51)*1000)</f>
        <v>106199.99999999709</v>
      </c>
      <c r="EM52" s="146">
        <f>IF((RD[[#This Row],[34 kV_F5_Im
Incomer3]]-DV51)*1000&lt;0,0,(RD[[#This Row],[34 kV_F5_Im
Incomer3]]-DV51)*1000)</f>
        <v>699.99999999998863</v>
      </c>
      <c r="EN52" s="146">
        <f>IF((RD[[#This Row],[33 kV_F6_Ex
Incomer4]]-DW51)*1000&lt;0,0,(RD[[#This Row],[33 kV_F6_Ex
Incomer4]]-DW51)*1000)</f>
        <v>108899.99999999964</v>
      </c>
      <c r="EO52" s="146">
        <f>IF((RD[[#This Row],[33 kV_F6_Im
Incomer4]]-DX51)*1000&lt;0,0,(RD[[#This Row],[33 kV_F6_Im
Incomer4]]-DX51)*1000)</f>
        <v>800.00000000000432</v>
      </c>
      <c r="EP52" s="146">
        <f>IF((RD[[#This Row],[33 kV_F7_Ex
Incomer5]]-DY51)*1000&lt;0,0,(RD[[#This Row],[33 kV_F7_Ex
Incomer5]]-DY51)*1000)</f>
        <v>0</v>
      </c>
      <c r="EQ52" s="146">
        <f>IF((RD[[#This Row],[33 kV_F7_Im
Incomer5]]-DZ51)*1000&lt;0,0,(RD[[#This Row],[33 kV_F7_Im
Incomer5]]-DZ51)*1000)</f>
        <v>0</v>
      </c>
      <c r="ER52" s="146">
        <f>IF((RD[[#This Row],[33 kV_Aux Trafo]]-EA51)*1000&lt;0,0,(RD[[#This Row],[33 kV_Aux Trafo]]-EA51)*1000)</f>
        <v>250</v>
      </c>
      <c r="ES52" s="158">
        <f>IF((RD[[#This Row],[33kV_OG1_Ex_]]-EB51)*1&lt;0,0,(RD[[#This Row],[33kV_OG1_Ex_]]-EB51)*1)</f>
        <v>396034</v>
      </c>
      <c r="ET52" s="146">
        <f>IF((RD[[#This Row],[33kV_OG1_Im]]-EC51)*1&lt;0,0,(RD[[#This Row],[33kV_OG1_Im]]-EC51)*1)</f>
        <v>2409.2799999999115</v>
      </c>
      <c r="EU52" s="146">
        <f>IF((RD[[#This Row],[132kV_TX1_EX]]-ED51)*720&lt;=0,"",(RD[[#This Row],[132kV_TX1_EX]]-ED51)*720)</f>
        <v>2160</v>
      </c>
      <c r="EV52" s="146">
        <f>IF((RD[[#This Row],[132 kV_Tx1_Im]]-EE51)*720&lt;=0,0,(RD[[#This Row],[132 kV_Tx1_Im]]-EE51)*720)</f>
        <v>284400</v>
      </c>
      <c r="EW52" s="146">
        <f>IF((RD[[#This Row],[132kV_L1_Ex]]-EF51)*720&lt;=0,0,(RD[[#This Row],[132kV_L1_Ex]]-EF51)*720)</f>
        <v>394632.00000000419</v>
      </c>
      <c r="EX52" s="146">
        <f>IF((RD[[#This Row],[132kV_L1_Im]]-EG51)*720&lt;=0,0,(RD[[#This Row],[132kV_L1_Im]]-EG51)*720)</f>
        <v>3024.0000000000327</v>
      </c>
      <c r="EY52" s="244">
        <f>IFERROR(RD[[#This Row],[33kV_OG1_Ex (MWh)]]+RD[[#This Row],[33kV_OG1_Im (MWh)]],"")</f>
        <v>398443.27999999991</v>
      </c>
      <c r="EZ52" s="148">
        <f>RD[[#This Row],[33kV_OG1_Ex (MWh)]]-RD[[#This Row],[33kV_OG1_Im (MWh)]]</f>
        <v>393624.72000000009</v>
      </c>
      <c r="FA52" s="148">
        <f>IFERROR(RD[[#This Row],[132kV_L1_Ex(MWh)]]-RD[[#This Row],[132kV_L1_Im(MWh)]],"")</f>
        <v>391608.00000000413</v>
      </c>
      <c r="FB52" s="55">
        <f>IFERROR(RD[[#This Row],[33kV_Ex(MWh)]]/RD[[#This Row],[Inv Total Gneration (MWh)]]-1,"")</f>
        <v>2.6257066985362343E-2</v>
      </c>
      <c r="FC52" s="245">
        <v>12.9</v>
      </c>
      <c r="FD52" s="246">
        <v>114</v>
      </c>
      <c r="FE52" t="s">
        <v>281</v>
      </c>
      <c r="FG52" s="144" t="str">
        <f>IFERROR(RD[[#This Row],[E_AC (WPR)]]/RD[[#This Row],[E_DC (WPR)]],"")</f>
        <v/>
      </c>
    </row>
    <row r="53" spans="1:163">
      <c r="A53" s="133">
        <f>A52+1</f>
        <v>45793</v>
      </c>
      <c r="B53" s="138">
        <f>YEAR(RD[[#This Row],[Date]])+IF(MONTH(RD[[#This Row],[Date]])&gt;=4,1,0)</f>
        <v>2026</v>
      </c>
      <c r="C53" s="138">
        <f>YEAR(RD[[#This Row],[Date]])</f>
        <v>2025</v>
      </c>
      <c r="D53" s="139">
        <f>A53-DAY(A53)+1</f>
        <v>45778</v>
      </c>
      <c r="E53" s="138">
        <f>DAY(EOMONTH(RD[[#This Row],[Date]],0))</f>
        <v>31</v>
      </c>
      <c r="F53" s="152">
        <v>0.25277777777777777</v>
      </c>
      <c r="G53" s="162">
        <v>0.75902777777777775</v>
      </c>
      <c r="H53" s="124">
        <v>6251</v>
      </c>
      <c r="I53" s="124">
        <v>6252.5</v>
      </c>
      <c r="J53" s="124">
        <v>5977.1</v>
      </c>
      <c r="K53" s="124">
        <v>5994.5</v>
      </c>
      <c r="L53" s="124">
        <v>6144.9</v>
      </c>
      <c r="M53" s="124">
        <v>6275.4</v>
      </c>
      <c r="N53" s="124">
        <v>6105.5</v>
      </c>
      <c r="O53" s="124">
        <v>6549</v>
      </c>
      <c r="P53" s="124">
        <v>6177.7</v>
      </c>
      <c r="Q53" s="124">
        <v>6107.2</v>
      </c>
      <c r="R53" s="124">
        <v>6334.2</v>
      </c>
      <c r="S53" s="124">
        <v>6341.3</v>
      </c>
      <c r="T53" s="124">
        <v>6512.8</v>
      </c>
      <c r="U53" s="124">
        <v>6424.7</v>
      </c>
      <c r="V53" s="124">
        <v>6430</v>
      </c>
      <c r="W53" s="124">
        <v>6215.1</v>
      </c>
      <c r="X53" s="203">
        <v>8831.1</v>
      </c>
      <c r="Y53" s="203">
        <v>9574.5</v>
      </c>
      <c r="Z53" s="203">
        <v>8567</v>
      </c>
      <c r="AA53" s="203">
        <v>8853.6</v>
      </c>
      <c r="AB53" s="203">
        <v>9845.9</v>
      </c>
      <c r="AC53" s="203">
        <v>6149.9</v>
      </c>
      <c r="AD53" s="203">
        <v>9116.7999999999993</v>
      </c>
      <c r="AE53" s="203">
        <v>9285.2999999999993</v>
      </c>
      <c r="AF53" s="203">
        <v>9009.1</v>
      </c>
      <c r="AG53" s="203">
        <v>8947</v>
      </c>
      <c r="AH53" s="203">
        <v>8959.7000000000007</v>
      </c>
      <c r="AI53" s="203">
        <v>9018.9</v>
      </c>
      <c r="AJ53" s="203">
        <v>7382.9</v>
      </c>
      <c r="AK53" s="203">
        <v>7568.3</v>
      </c>
      <c r="AL53" s="203">
        <v>6222.8</v>
      </c>
      <c r="AM53" s="203">
        <v>6319</v>
      </c>
      <c r="AN53" s="203">
        <v>7385.9</v>
      </c>
      <c r="AO53" s="203">
        <v>7628.4</v>
      </c>
      <c r="AP53" s="203">
        <v>7494.3</v>
      </c>
      <c r="AQ53" s="203">
        <v>7404</v>
      </c>
      <c r="AR53" s="203">
        <v>6000.5</v>
      </c>
      <c r="AS53" s="203">
        <v>6042.7</v>
      </c>
      <c r="AT53" s="203">
        <v>6055.8</v>
      </c>
      <c r="AU53" s="203">
        <v>6032.8</v>
      </c>
      <c r="AV53" s="203">
        <v>6153</v>
      </c>
      <c r="AW53" s="203">
        <v>6076.4</v>
      </c>
      <c r="AX53" s="203">
        <v>8532.7000000000007</v>
      </c>
      <c r="AY53" s="203">
        <v>9361.2000000000007</v>
      </c>
      <c r="AZ53" s="203">
        <v>6905.3</v>
      </c>
      <c r="BA53" s="203">
        <v>8352.1</v>
      </c>
      <c r="BB53" s="203">
        <v>8689</v>
      </c>
      <c r="BC53" s="203">
        <v>7224</v>
      </c>
      <c r="BD53" s="203">
        <v>6129</v>
      </c>
      <c r="BE53" s="203">
        <v>8192</v>
      </c>
      <c r="BF53" s="203">
        <v>8813</v>
      </c>
      <c r="BG53" s="203">
        <v>8933</v>
      </c>
      <c r="BH53" s="203">
        <v>5549</v>
      </c>
      <c r="BI53" s="203">
        <v>3008</v>
      </c>
      <c r="BJ53" s="203">
        <v>6002</v>
      </c>
      <c r="BK53" s="203">
        <v>3379</v>
      </c>
      <c r="BL53" s="203">
        <v>5657</v>
      </c>
      <c r="BM53" s="203">
        <v>5751</v>
      </c>
      <c r="BN53" s="203">
        <v>6240</v>
      </c>
      <c r="BO53" s="203">
        <v>5901</v>
      </c>
      <c r="BP53" s="203">
        <v>6511</v>
      </c>
      <c r="BQ53" s="203">
        <v>6049</v>
      </c>
      <c r="BR53" s="203">
        <v>6587</v>
      </c>
      <c r="BS53" s="203">
        <v>5210</v>
      </c>
      <c r="BT53" s="203">
        <v>2639</v>
      </c>
      <c r="BU53" s="203">
        <v>1686</v>
      </c>
      <c r="BV53" s="203"/>
      <c r="BW53" s="203"/>
      <c r="BX53" s="203"/>
      <c r="BY53" s="203"/>
      <c r="BZ53" s="203">
        <v>950</v>
      </c>
      <c r="CA53" s="203">
        <v>805</v>
      </c>
      <c r="CB53" s="203">
        <v>3585</v>
      </c>
      <c r="CC53" s="203">
        <v>6245</v>
      </c>
      <c r="CD53" s="263">
        <v>4.7751695166666721</v>
      </c>
      <c r="CE53" s="263">
        <v>4.7071561499999994</v>
      </c>
      <c r="CF53" s="263">
        <v>4.8163242999999945</v>
      </c>
      <c r="CG53" s="263">
        <v>4.7833447499999897</v>
      </c>
      <c r="CH53" s="263">
        <v>0.59292093333333251</v>
      </c>
      <c r="CI53" s="263">
        <v>0.68631950000000019</v>
      </c>
      <c r="CJ53" s="263">
        <v>0.66859999999899999</v>
      </c>
      <c r="CK53" s="263">
        <v>0.77624051666666627</v>
      </c>
      <c r="CL53" s="263">
        <v>29.393847222222202</v>
      </c>
      <c r="CM53" s="263">
        <v>30.097181528662478</v>
      </c>
      <c r="CN53" s="263">
        <v>40.985718055555509</v>
      </c>
      <c r="CO53" s="263">
        <v>40.379086783439433</v>
      </c>
      <c r="CP53" s="263">
        <v>67.488125000000053</v>
      </c>
      <c r="CQ53" s="263">
        <v>64.900469745222992</v>
      </c>
      <c r="CR53" s="263">
        <v>0</v>
      </c>
      <c r="CS53" s="263">
        <v>0</v>
      </c>
      <c r="CT53" s="263">
        <v>1.1453041666666661</v>
      </c>
      <c r="CU53" s="263">
        <v>1.2828479299363043</v>
      </c>
      <c r="CV53" s="263">
        <v>4.4550000000000001</v>
      </c>
      <c r="CW53" s="263">
        <v>4.9080000000000004</v>
      </c>
      <c r="CX53" s="204">
        <f>IFERROR(AVERAGEIF(RD[[#This Row],[IS1POA1 (KWh/m2)]:[IS7POA2 (KWh/m2)]],"&lt;&gt;0",RD[[#This Row],[IS1POA1 (KWh/m2)]:[IS7POA2 (KWh/m2)]]),"")</f>
        <v>4.7411628333333358</v>
      </c>
      <c r="CY53" s="204">
        <f>IFERROR(AVERAGEIF(RD[[#This Row],[IS1GHI1 (KWh/m2)]:[IS7GHI2 (KWh/m2)]],"&lt;&gt;0",RD[[#This Row],[IS1GHI1 (KWh/m2)]:[IS7GHI2 (KWh/m2)]]),"")</f>
        <v>4.7998345249999925</v>
      </c>
      <c r="CZ53" s="204">
        <f>IFERROR(AVERAGEIF(RD[[#This Row],[IS1POA_BS1 (KWh/m2)]:[IS7POA_BS2 (KWh/m2)]],"&lt;&gt;0",RD[[#This Row],[IS1POA_BS1 (KWh/m2)]:[IS7POA_BS2 (KWh/m2)]]),"")</f>
        <v>0.63962021666666635</v>
      </c>
      <c r="DA53" s="204">
        <f>IFERROR(AVERAGEIF(RD[[#This Row],[IS1GHI_BS1 (KWh/m2)]:[IS1GHI_BS1 (KWh/m2)2]],"&lt;&gt;0",RD[[#This Row],[IS1GHI_BS1 (KWh/m2)]:[IS1GHI_BS1 (KWh/m2)2]]),"")</f>
        <v>0.72242025833283319</v>
      </c>
      <c r="DB53" s="204">
        <f>IFERROR(AVERAGEIF(RD[[#This Row],[IS1AT1 (°C)]:[IS7AT2 (°C)]],"&lt;&gt;0",RD[[#This Row],[IS1AT1 (°C)]:[IS7AT2 (°C)]]),"")</f>
        <v>29.74551437544234</v>
      </c>
      <c r="DC53" s="204">
        <f>IFERROR(AVERAGEIF(RD[[#This Row],[IS1MT1 (°C)]:[IS7MT2 (°C)]],"&lt;&gt;0",RD[[#This Row],[IS1MT1 (°C)]:[IS7MT2 (°C)]]),"")</f>
        <v>40.682402419497471</v>
      </c>
      <c r="DD53" s="204">
        <f>IFERROR(AVERAGEIF(RD[[#This Row],[IS1RH1 (%)]:[IS7RH2 (%)]],"&lt;&gt;0",RD[[#This Row],[IS1RH1 (%)]:[IS7RH2 (%)]]),"")</f>
        <v>66.194297372611516</v>
      </c>
      <c r="DE53" s="51" t="str">
        <f>IFERROR(AVERAGEIF(RD[[#This Row],[IS1Rain1 (mm)]:[IS7Rain2 (mm)]],"&lt;&gt;0",RD[[#This Row],[IS1Rain1 (mm)]:[IS7Rain2 (mm)]]),"")</f>
        <v/>
      </c>
      <c r="DF53" s="204">
        <f>IFERROR(AVERAGEIF(RD[[#This Row],[WS_Solar1_Avg (m/s)]:[IS7_WS_Solar1_Avg (m/s)]],"&lt;&gt;0",RD[[#This Row],[WS_Solar1_Avg (m/s)]:[IS7_WS_Solar1_Avg (m/s)]]),"")</f>
        <v>1.2140760483014852</v>
      </c>
      <c r="DG53" s="204">
        <f>IFERROR(AVERAGEIF(RD[[#This Row],[WS_Solar1_Max (m/s)]:[IS7_WS_Solar1_Max (m/s)]],"&lt;&gt;0",RD[[#This Row],[WS_Solar1_Max (m/s)]:[IS7_WS_Solar1_Max (m/s)]]),"")</f>
        <v>4.6814999999999998</v>
      </c>
      <c r="DH53" s="204">
        <f>SUM(RD[[#This Row],[IS1Inv1M1]:[IS4Inv4M2]])</f>
        <v>206251.69999999998</v>
      </c>
      <c r="DI53" s="205">
        <f>SUM(RD[[#This Row],[IS7Inv1M1]]+RD[[#This Row],[IS7Inv2M1]])</f>
        <v>12043.2</v>
      </c>
      <c r="DJ53" s="204">
        <f>SUM(RD[[#This Row],[IS5Inv1M1]:[IS5Inv2M2]])</f>
        <v>27493</v>
      </c>
      <c r="DK53" s="204">
        <f>SUM(RD[[#This Row],[IS8Inv1M1]:[IS9Inv2M2]])</f>
        <v>57469.299999999996</v>
      </c>
      <c r="DL53" s="60">
        <f>SUM(RD[[#This Row],[IS6Inv1M1]:[IS6Inv2M2]])</f>
        <v>29912.6</v>
      </c>
      <c r="DM53" s="51">
        <f>SUM(RD[[#This Row],[IS10Inv1M1]:[IS11Inv1M4]],RD[[#This Row],[IS14Inv1M1]:[IS14Inv2M4]])</f>
        <v>88911</v>
      </c>
      <c r="DN53" s="288">
        <f>SUM(RD[[#This Row],[IS12Inv1M1]:[IS12Inv1M4]])</f>
        <v>24701</v>
      </c>
      <c r="DO53" s="288">
        <f>SUM(RD[[#This Row],[IS13Inv1M1]:[IS13Inv2M2]])</f>
        <v>16122</v>
      </c>
      <c r="DP53" s="204">
        <f>SUM(RD[[#This Row],[O2R15]:[O2R26]])</f>
        <v>462903.8</v>
      </c>
      <c r="DQ53" s="164">
        <v>40072.9</v>
      </c>
      <c r="DR53" s="168">
        <v>210.8</v>
      </c>
      <c r="DS53" s="164">
        <v>34666.400000000001</v>
      </c>
      <c r="DT53" s="164">
        <v>222.8</v>
      </c>
      <c r="DU53" s="168">
        <v>40321.599999999999</v>
      </c>
      <c r="DV53" s="168">
        <v>399.8</v>
      </c>
      <c r="DW53" s="164">
        <v>8199.5</v>
      </c>
      <c r="DX53" s="168">
        <v>38.6</v>
      </c>
      <c r="DY53" s="168"/>
      <c r="DZ53" s="168"/>
      <c r="EA53" s="140">
        <v>94.6</v>
      </c>
      <c r="EB53" s="243">
        <v>126593277</v>
      </c>
      <c r="EC53" s="242">
        <v>930819.26399999997</v>
      </c>
      <c r="ED53" s="243">
        <v>1117</v>
      </c>
      <c r="EE53" s="243">
        <v>120888</v>
      </c>
      <c r="EF53" s="164">
        <v>175563.7</v>
      </c>
      <c r="EG53" s="164">
        <v>1824.7</v>
      </c>
      <c r="EH53" s="146">
        <f>IF((RD[[#This Row],[33 kV_F3_Ex
Incomer1]]-DQ52)*1000&lt;0,0,(RD[[#This Row],[33 kV_F3_Ex
Incomer1]]-DQ52)*1000)</f>
        <v>105300.00000000291</v>
      </c>
      <c r="EI53" s="146">
        <f>IF((RD[[#This Row],[34 kV_F3_Im
Incomer1]]-DR52)*1000&lt;0,0,(RD[[#This Row],[34 kV_F3_Im
Incomer1]]-DR52)*1000)</f>
        <v>400.00000000000568</v>
      </c>
      <c r="EJ53" s="146">
        <f>IF((RD[[#This Row],[33 kV_F4_Ex
Incomer2]]-DS52)*1000&lt;0,0,(RD[[#This Row],[33 kV_F4_Ex
Incomer2]]-DS52)*1000)</f>
        <v>97099.999999998545</v>
      </c>
      <c r="EK53" s="146">
        <f>IF((RD[[#This Row],[34 kV_F4_Im
Incomer2]]-DT52)*1000&lt;0,0,(RD[[#This Row],[34 kV_F4_Im
Incomer2]]-DT52)*1000)</f>
        <v>300.00000000001137</v>
      </c>
      <c r="EL53" s="146">
        <f>IF((RD[[#This Row],[33 kV_F5_Ex
Incomer3]]-DU52)*1000&lt;0,0,(RD[[#This Row],[33 kV_F5_Ex
Incomer3]]-DU52)*1000)</f>
        <v>127599.99999999854</v>
      </c>
      <c r="EM53" s="146">
        <f>IF((RD[[#This Row],[34 kV_F5_Im
Incomer3]]-DV52)*1000&lt;0,0,(RD[[#This Row],[34 kV_F5_Im
Incomer3]]-DV52)*1000)</f>
        <v>600.00000000002274</v>
      </c>
      <c r="EN53" s="146">
        <f>IF((RD[[#This Row],[33 kV_F6_Ex
Incomer4]]-DW52)*1000&lt;0,0,(RD[[#This Row],[33 kV_F6_Ex
Incomer4]]-DW52)*1000)</f>
        <v>127600.00000000036</v>
      </c>
      <c r="EO53" s="146">
        <f>IF((RD[[#This Row],[33 kV_F6_Im
Incomer4]]-DX52)*1000&lt;0,0,(RD[[#This Row],[33 kV_F6_Im
Incomer4]]-DX52)*1000)</f>
        <v>1000</v>
      </c>
      <c r="EP53" s="146">
        <f>IF((RD[[#This Row],[33 kV_F7_Ex
Incomer5]]-DY52)*1000&lt;0,0,(RD[[#This Row],[33 kV_F7_Ex
Incomer5]]-DY52)*1000)</f>
        <v>0</v>
      </c>
      <c r="EQ53" s="146">
        <f>IF((RD[[#This Row],[33 kV_F7_Im
Incomer5]]-DZ52)*1000&lt;0,0,(RD[[#This Row],[33 kV_F7_Im
Incomer5]]-DZ52)*1000)</f>
        <v>0</v>
      </c>
      <c r="ER53" s="146">
        <f>IF((RD[[#This Row],[33 kV_Aux Trafo]]-EA52)*1000&lt;0,0,(RD[[#This Row],[33 kV_Aux Trafo]]-EA52)*1000)</f>
        <v>239.99999999999488</v>
      </c>
      <c r="ES53" s="158">
        <f>IF((RD[[#This Row],[33kV_OG1_Ex_]]-EB52)*1&lt;0,0,(RD[[#This Row],[33kV_OG1_Ex_]]-EB52)*1)</f>
        <v>458743</v>
      </c>
      <c r="ET53" s="146">
        <f>IF((RD[[#This Row],[33kV_OG1_Im]]-EC52)*1&lt;0,0,(RD[[#This Row],[33kV_OG1_Im]]-EC52)*1)</f>
        <v>2364.6080000000075</v>
      </c>
      <c r="EU53" s="146">
        <f>IF((RD[[#This Row],[132kV_TX1_EX]]-ED52)*720&lt;=0,"",(RD[[#This Row],[132kV_TX1_EX]]-ED52)*720)</f>
        <v>2160</v>
      </c>
      <c r="EV53" s="146">
        <f>IF((RD[[#This Row],[132 kV_Tx1_Im]]-EE52)*720&lt;=0,0,(RD[[#This Row],[132 kV_Tx1_Im]]-EE52)*720)</f>
        <v>328320</v>
      </c>
      <c r="EW53" s="146">
        <f>IF((RD[[#This Row],[132kV_L1_Ex]]-EF52)*720&lt;=0,0,(RD[[#This Row],[132kV_L1_Ex]]-EF52)*720)</f>
        <v>457056.00000001257</v>
      </c>
      <c r="EX53" s="146">
        <f>IF((RD[[#This Row],[132kV_L1_Im]]-EG52)*720&lt;=0,0,(RD[[#This Row],[132kV_L1_Im]]-EG52)*720)</f>
        <v>2735.9999999999673</v>
      </c>
      <c r="EY53" s="244">
        <f>IFERROR(RD[[#This Row],[33kV_OG1_Ex (MWh)]]+RD[[#This Row],[33kV_OG1_Im (MWh)]],"")</f>
        <v>461107.60800000001</v>
      </c>
      <c r="EZ53" s="148">
        <f>RD[[#This Row],[33kV_OG1_Ex (MWh)]]-RD[[#This Row],[33kV_OG1_Im (MWh)]]</f>
        <v>456378.39199999999</v>
      </c>
      <c r="FA53" s="148">
        <f>IFERROR(RD[[#This Row],[132kV_L1_Ex(MWh)]]-RD[[#This Row],[132kV_L1_Im(MWh)]],"")</f>
        <v>454320.00000001263</v>
      </c>
      <c r="FB53" s="55">
        <f>IFERROR(RD[[#This Row],[33kV_Ex(MWh)]]/RD[[#This Row],[Inv Total Gneration (MWh)]]-1,"")</f>
        <v>-3.8802705875389254E-3</v>
      </c>
      <c r="FC53" s="245">
        <v>12.9</v>
      </c>
      <c r="FD53" s="246">
        <v>114</v>
      </c>
      <c r="FE53" t="s">
        <v>283</v>
      </c>
      <c r="FG53" s="144" t="str">
        <f>IFERROR(RD[[#This Row],[E_AC (WPR)]]/RD[[#This Row],[E_DC (WPR)]],"")</f>
        <v/>
      </c>
    </row>
    <row r="54" spans="1:163">
      <c r="A54" s="133">
        <f t="shared" ref="A54:A100" si="161">A53+1</f>
        <v>45794</v>
      </c>
      <c r="B54" s="138">
        <f>YEAR(RD[[#This Row],[Date]])+IF(MONTH(RD[[#This Row],[Date]])&gt;=4,1,0)</f>
        <v>2026</v>
      </c>
      <c r="C54" s="138">
        <f>YEAR(RD[[#This Row],[Date]])</f>
        <v>2025</v>
      </c>
      <c r="D54" s="139">
        <f t="shared" ref="D54:D60" si="162">A54-DAY(A54)+1</f>
        <v>45778</v>
      </c>
      <c r="E54" s="138">
        <f>DAY(EOMONTH(RD[[#This Row],[Date]],0))</f>
        <v>31</v>
      </c>
      <c r="F54" s="152">
        <v>0.25486111111111109</v>
      </c>
      <c r="G54" s="162">
        <v>0.77222222222222225</v>
      </c>
      <c r="H54" s="124">
        <v>8359.5</v>
      </c>
      <c r="I54" s="124">
        <v>8265.4</v>
      </c>
      <c r="J54" s="124">
        <v>7809.3</v>
      </c>
      <c r="K54" s="124">
        <v>7963</v>
      </c>
      <c r="L54" s="124">
        <v>8169.9</v>
      </c>
      <c r="M54" s="124">
        <v>8393.5</v>
      </c>
      <c r="N54" s="124">
        <v>8095.2</v>
      </c>
      <c r="O54" s="124">
        <v>8779</v>
      </c>
      <c r="P54" s="124">
        <v>8206.1</v>
      </c>
      <c r="Q54" s="124">
        <v>8038.9</v>
      </c>
      <c r="R54" s="124">
        <v>8318</v>
      </c>
      <c r="S54" s="124">
        <v>8254.5</v>
      </c>
      <c r="T54" s="124">
        <v>8640.2000000000007</v>
      </c>
      <c r="U54" s="124">
        <v>8384.5</v>
      </c>
      <c r="V54" s="124">
        <v>8491.1</v>
      </c>
      <c r="W54" s="124">
        <v>8187.9</v>
      </c>
      <c r="X54" s="203">
        <v>11335.9</v>
      </c>
      <c r="Y54" s="203">
        <v>12187.6</v>
      </c>
      <c r="Z54" s="203">
        <v>11077.5</v>
      </c>
      <c r="AA54" s="203">
        <v>11560.1</v>
      </c>
      <c r="AB54" s="203">
        <v>12375.3</v>
      </c>
      <c r="AC54" s="203">
        <v>7634</v>
      </c>
      <c r="AD54" s="203">
        <v>11433.3</v>
      </c>
      <c r="AE54" s="203">
        <v>11678.9</v>
      </c>
      <c r="AF54" s="203">
        <v>11428</v>
      </c>
      <c r="AG54" s="203">
        <v>11297</v>
      </c>
      <c r="AH54" s="203">
        <v>11399</v>
      </c>
      <c r="AI54" s="203">
        <v>11460</v>
      </c>
      <c r="AJ54" s="203">
        <v>9652</v>
      </c>
      <c r="AK54" s="203">
        <v>9969</v>
      </c>
      <c r="AL54" s="203">
        <v>9833</v>
      </c>
      <c r="AM54" s="203">
        <v>9938</v>
      </c>
      <c r="AN54" s="203">
        <v>9789.5</v>
      </c>
      <c r="AO54" s="203">
        <v>10144</v>
      </c>
      <c r="AP54" s="203">
        <v>9910.6</v>
      </c>
      <c r="AQ54" s="203">
        <v>9821.5</v>
      </c>
      <c r="AR54" s="203">
        <v>8056.1</v>
      </c>
      <c r="AS54" s="203">
        <v>8135.9</v>
      </c>
      <c r="AT54" s="203">
        <v>8216.1</v>
      </c>
      <c r="AU54" s="203">
        <v>8145.7</v>
      </c>
      <c r="AV54" s="203">
        <v>8356.1</v>
      </c>
      <c r="AW54" s="203">
        <v>8215.6</v>
      </c>
      <c r="AX54" s="203">
        <v>11263</v>
      </c>
      <c r="AY54" s="203">
        <v>12507</v>
      </c>
      <c r="AZ54" s="203">
        <v>9081</v>
      </c>
      <c r="BA54" s="203">
        <v>11051</v>
      </c>
      <c r="BB54" s="203">
        <v>11153</v>
      </c>
      <c r="BC54" s="203">
        <v>9317</v>
      </c>
      <c r="BD54" s="203">
        <v>7859</v>
      </c>
      <c r="BE54" s="203">
        <v>10559</v>
      </c>
      <c r="BF54" s="203">
        <v>11451</v>
      </c>
      <c r="BG54" s="203">
        <v>11596</v>
      </c>
      <c r="BH54" s="203">
        <v>7206</v>
      </c>
      <c r="BI54" s="203">
        <v>4189</v>
      </c>
      <c r="BJ54" s="203">
        <v>7694</v>
      </c>
      <c r="BK54" s="203">
        <v>4270</v>
      </c>
      <c r="BL54" s="203">
        <v>7101</v>
      </c>
      <c r="BM54" s="203">
        <v>7203</v>
      </c>
      <c r="BN54" s="203">
        <v>8066</v>
      </c>
      <c r="BO54" s="203">
        <v>7544</v>
      </c>
      <c r="BP54" s="203">
        <v>8406</v>
      </c>
      <c r="BQ54" s="203">
        <v>7689</v>
      </c>
      <c r="BR54" s="203">
        <v>8230</v>
      </c>
      <c r="BS54" s="203">
        <v>7643</v>
      </c>
      <c r="BT54" s="203">
        <v>3384</v>
      </c>
      <c r="BU54" s="203">
        <v>2366</v>
      </c>
      <c r="BV54" s="203"/>
      <c r="BW54" s="203"/>
      <c r="BX54" s="203"/>
      <c r="BY54" s="203"/>
      <c r="BZ54" s="203">
        <v>1198</v>
      </c>
      <c r="CA54" s="203">
        <v>1019</v>
      </c>
      <c r="CB54" s="203">
        <v>4572</v>
      </c>
      <c r="CC54" s="203">
        <v>7767</v>
      </c>
      <c r="CD54" s="263">
        <v>4.4201695166666699</v>
      </c>
      <c r="CE54" s="263">
        <v>4.2501561499999996</v>
      </c>
      <c r="CF54" s="263">
        <v>4.8103242999999898</v>
      </c>
      <c r="CG54" s="263">
        <v>4.3603447499999897</v>
      </c>
      <c r="CH54" s="263">
        <v>0.50192093333333299</v>
      </c>
      <c r="CI54" s="263">
        <v>0.64031950000000004</v>
      </c>
      <c r="CJ54" s="263">
        <v>0.65559999999899998</v>
      </c>
      <c r="CK54" s="263">
        <v>0.66524051666666595</v>
      </c>
      <c r="CL54" s="263">
        <v>29.390847222222199</v>
      </c>
      <c r="CM54" s="263">
        <v>30.099181528662498</v>
      </c>
      <c r="CN54" s="263">
        <v>40.9957180555555</v>
      </c>
      <c r="CO54" s="263">
        <v>40.285086783439397</v>
      </c>
      <c r="CP54" s="263">
        <v>67.458125000000095</v>
      </c>
      <c r="CQ54" s="263">
        <v>62.900469745222999</v>
      </c>
      <c r="CR54" s="263">
        <v>0</v>
      </c>
      <c r="CS54" s="263">
        <v>0</v>
      </c>
      <c r="CT54" s="263">
        <v>1.1253041666666701</v>
      </c>
      <c r="CU54" s="263">
        <v>1.2758479299362999</v>
      </c>
      <c r="CV54" s="263">
        <v>4.3550000000000004</v>
      </c>
      <c r="CW54" s="263">
        <v>4.8049999999999997</v>
      </c>
      <c r="CX54" s="204">
        <f>IFERROR(AVERAGEIF(RD[[#This Row],[IS1POA1 (KWh/m2)]:[IS7POA2 (KWh/m2)]],"&lt;&gt;0",RD[[#This Row],[IS1POA1 (KWh/m2)]:[IS7POA2 (KWh/m2)]]),"")</f>
        <v>4.3351628333333352</v>
      </c>
      <c r="CY54" s="204">
        <f>IFERROR(AVERAGEIF(RD[[#This Row],[IS1GHI1 (KWh/m2)]:[IS7GHI2 (KWh/m2)]],"&lt;&gt;0",RD[[#This Row],[IS1GHI1 (KWh/m2)]:[IS7GHI2 (KWh/m2)]]),"")</f>
        <v>4.5853345249999897</v>
      </c>
      <c r="CZ54" s="204">
        <f>IFERROR(AVERAGEIF(RD[[#This Row],[IS1POA_BS1 (KWh/m2)]:[IS7POA_BS2 (KWh/m2)]],"&lt;&gt;0",RD[[#This Row],[IS1POA_BS1 (KWh/m2)]:[IS7POA_BS2 (KWh/m2)]]),"")</f>
        <v>0.57112021666666646</v>
      </c>
      <c r="DA54" s="204">
        <f>IFERROR(AVERAGEIF(RD[[#This Row],[IS1GHI_BS1 (KWh/m2)]:[IS1GHI_BS1 (KWh/m2)2]],"&lt;&gt;0",RD[[#This Row],[IS1GHI_BS1 (KWh/m2)]:[IS1GHI_BS1 (KWh/m2)2]]),"")</f>
        <v>0.66042025833283291</v>
      </c>
      <c r="DB54" s="204">
        <f>IFERROR(AVERAGEIF(RD[[#This Row],[IS1AT1 (°C)]:[IS7AT2 (°C)]],"&lt;&gt;0",RD[[#This Row],[IS1AT1 (°C)]:[IS7AT2 (°C)]]),"")</f>
        <v>29.745014375442349</v>
      </c>
      <c r="DC54" s="204">
        <f>IFERROR(AVERAGEIF(RD[[#This Row],[IS1MT1 (°C)]:[IS7MT2 (°C)]],"&lt;&gt;0",RD[[#This Row],[IS1MT1 (°C)]:[IS7MT2 (°C)]]),"")</f>
        <v>40.640402419497448</v>
      </c>
      <c r="DD54" s="204">
        <f>IFERROR(AVERAGEIF(RD[[#This Row],[IS1RH1 (%)]:[IS7RH2 (%)]],"&lt;&gt;0",RD[[#This Row],[IS1RH1 (%)]:[IS7RH2 (%)]]),"")</f>
        <v>65.179297372611543</v>
      </c>
      <c r="DE54" s="51" t="str">
        <f>IFERROR(AVERAGEIF(RD[[#This Row],[IS1Rain1 (mm)]:[IS7Rain2 (mm)]],"&lt;&gt;0",RD[[#This Row],[IS1Rain1 (mm)]:[IS7Rain2 (mm)]]),"")</f>
        <v/>
      </c>
      <c r="DF54" s="204">
        <f>IFERROR(AVERAGEIF(RD[[#This Row],[WS_Solar1_Avg (m/s)]:[IS7_WS_Solar1_Avg (m/s)]],"&lt;&gt;0",RD[[#This Row],[WS_Solar1_Avg (m/s)]:[IS7_WS_Solar1_Avg (m/s)]]),"")</f>
        <v>1.2005760483014849</v>
      </c>
      <c r="DG54" s="204">
        <f>IFERROR(AVERAGEIF(RD[[#This Row],[WS_Solar1_Max (m/s)]:[IS7_WS_Solar1_Max (m/s)]],"&lt;&gt;0",RD[[#This Row],[WS_Solar1_Max (m/s)]:[IS7_WS_Solar1_Max (m/s)]]),"")</f>
        <v>4.58</v>
      </c>
      <c r="DH54" s="204">
        <f>SUM(RD[[#This Row],[IS1Inv1M1]:[IS4Inv4M2]])</f>
        <v>267222.59999999998</v>
      </c>
      <c r="DI54" s="205">
        <f>SUM(RD[[#This Row],[IS7Inv1M1]]+RD[[#This Row],[IS7Inv2M1]])</f>
        <v>16192</v>
      </c>
      <c r="DJ54" s="204">
        <f>SUM(RD[[#This Row],[IS5Inv1M1]:[IS5Inv2M2]])</f>
        <v>39392</v>
      </c>
      <c r="DK54" s="204">
        <f>SUM(RD[[#This Row],[IS8Inv1M1]:[IS9Inv2M2]])</f>
        <v>76835.5</v>
      </c>
      <c r="DL54" s="60">
        <f>SUM(RD[[#This Row],[IS6Inv1M1]:[IS6Inv2M2]])</f>
        <v>39665.599999999999</v>
      </c>
      <c r="DM54" s="51">
        <f>SUM(RD[[#This Row],[IS10Inv1M1]:[IS11Inv1M4]],RD[[#This Row],[IS14Inv1M1]:[IS14Inv2M4]])</f>
        <v>114154</v>
      </c>
      <c r="DN54" s="288">
        <f>SUM(RD[[#This Row],[IS12Inv1M1]:[IS12Inv1M4]])</f>
        <v>31705</v>
      </c>
      <c r="DO54" s="288">
        <f>SUM(RD[[#This Row],[IS13Inv1M1]:[IS13Inv2M2]])</f>
        <v>21623</v>
      </c>
      <c r="DP54" s="204">
        <f>SUM(RD[[#This Row],[O2R15]:[O2R26]])</f>
        <v>606789.69999999995</v>
      </c>
      <c r="DQ54" s="164">
        <v>40206.800000000003</v>
      </c>
      <c r="DR54" s="168">
        <v>211</v>
      </c>
      <c r="DS54" s="164">
        <v>34794.800000000003</v>
      </c>
      <c r="DT54" s="164">
        <v>223.1</v>
      </c>
      <c r="DU54" s="168">
        <v>40491.1</v>
      </c>
      <c r="DV54" s="168">
        <v>400.1</v>
      </c>
      <c r="DW54" s="164">
        <v>8363.6</v>
      </c>
      <c r="DX54" s="168">
        <v>39.1</v>
      </c>
      <c r="DY54" s="168"/>
      <c r="DZ54" s="168"/>
      <c r="EA54" s="140">
        <v>94.84</v>
      </c>
      <c r="EB54" s="243">
        <v>127189696</v>
      </c>
      <c r="EC54" s="242">
        <v>932201.21600000001</v>
      </c>
      <c r="ED54" s="243">
        <v>1119</v>
      </c>
      <c r="EE54" s="243">
        <v>121482</v>
      </c>
      <c r="EF54" s="164">
        <v>176389.3</v>
      </c>
      <c r="EG54" s="164">
        <v>1826.9</v>
      </c>
      <c r="EH54" s="146">
        <f>IF((RD[[#This Row],[33 kV_F3_Ex
Incomer1]]-DQ53)*1000&lt;0,0,(RD[[#This Row],[33 kV_F3_Ex
Incomer1]]-DQ53)*1000)</f>
        <v>133900.00000000146</v>
      </c>
      <c r="EI54" s="146">
        <f>IF((RD[[#This Row],[34 kV_F3_Im
Incomer1]]-DR53)*1000&lt;0,0,(RD[[#This Row],[34 kV_F3_Im
Incomer1]]-DR53)*1000)</f>
        <v>199.99999999998863</v>
      </c>
      <c r="EJ54" s="146">
        <f>IF((RD[[#This Row],[33 kV_F4_Ex
Incomer2]]-DS53)*1000&lt;0,0,(RD[[#This Row],[33 kV_F4_Ex
Incomer2]]-DS53)*1000)</f>
        <v>128400.00000000146</v>
      </c>
      <c r="EK54" s="146">
        <f>IF((RD[[#This Row],[34 kV_F4_Im
Incomer2]]-DT53)*1000&lt;0,0,(RD[[#This Row],[34 kV_F4_Im
Incomer2]]-DT53)*1000)</f>
        <v>299.99999999998295</v>
      </c>
      <c r="EL54" s="146">
        <f>IF((RD[[#This Row],[33 kV_F5_Ex
Incomer3]]-DU53)*1000&lt;0,0,(RD[[#This Row],[33 kV_F5_Ex
Incomer3]]-DU53)*1000)</f>
        <v>169500</v>
      </c>
      <c r="EM54" s="146">
        <f>IF((RD[[#This Row],[34 kV_F5_Im
Incomer3]]-DV53)*1000&lt;0,0,(RD[[#This Row],[34 kV_F5_Im
Incomer3]]-DV53)*1000)</f>
        <v>300.00000000001137</v>
      </c>
      <c r="EN54" s="146">
        <f>IF((RD[[#This Row],[33 kV_F6_Ex
Incomer4]]-DW53)*1000&lt;0,0,(RD[[#This Row],[33 kV_F6_Ex
Incomer4]]-DW53)*1000)</f>
        <v>164100.00000000035</v>
      </c>
      <c r="EO54" s="146">
        <f>IF((RD[[#This Row],[33 kV_F6_Im
Incomer4]]-DX53)*1000&lt;0,0,(RD[[#This Row],[33 kV_F6_Im
Incomer4]]-DX53)*1000)</f>
        <v>500</v>
      </c>
      <c r="EP54" s="146">
        <f>IF((RD[[#This Row],[33 kV_F7_Ex
Incomer5]]-DY53)*1000&lt;0,0,(RD[[#This Row],[33 kV_F7_Ex
Incomer5]]-DY53)*1000)</f>
        <v>0</v>
      </c>
      <c r="EQ54" s="146">
        <f>IF((RD[[#This Row],[33 kV_F7_Im
Incomer5]]-DZ53)*1000&lt;0,0,(RD[[#This Row],[33 kV_F7_Im
Incomer5]]-DZ53)*1000)</f>
        <v>0</v>
      </c>
      <c r="ER54" s="146">
        <f>IF((RD[[#This Row],[33 kV_Aux Trafo]]-EA53)*1000&lt;0,0,(RD[[#This Row],[33 kV_Aux Trafo]]-EA53)*1000)</f>
        <v>240.00000000000909</v>
      </c>
      <c r="ES54" s="158">
        <f>IF((RD[[#This Row],[33kV_OG1_Ex_]]-EB53)*1&lt;0,0,(RD[[#This Row],[33kV_OG1_Ex_]]-EB53)*1)</f>
        <v>596419</v>
      </c>
      <c r="ET54" s="146">
        <f>IF((RD[[#This Row],[33kV_OG1_Im]]-EC53)*1&lt;0,0,(RD[[#This Row],[33kV_OG1_Im]]-EC53)*1)</f>
        <v>1381.9520000000484</v>
      </c>
      <c r="EU54" s="146">
        <f>IF((RD[[#This Row],[132kV_TX1_EX]]-ED53)*720&lt;=0,"",(RD[[#This Row],[132kV_TX1_EX]]-ED53)*720)</f>
        <v>1440</v>
      </c>
      <c r="EV54" s="146">
        <f>IF((RD[[#This Row],[132 kV_Tx1_Im]]-EE53)*720&lt;=0,0,(RD[[#This Row],[132 kV_Tx1_Im]]-EE53)*720)</f>
        <v>427680</v>
      </c>
      <c r="EW54" s="146">
        <f>IF((RD[[#This Row],[132kV_L1_Ex]]-EF53)*720&lt;=0,0,(RD[[#This Row],[132kV_L1_Ex]]-EF53)*720)</f>
        <v>594431.99999998324</v>
      </c>
      <c r="EX54" s="146">
        <f>IF((RD[[#This Row],[132kV_L1_Im]]-EG53)*720&lt;=0,0,(RD[[#This Row],[132kV_L1_Im]]-EG53)*720)</f>
        <v>1584.0000000000327</v>
      </c>
      <c r="EY54" s="244">
        <f>IFERROR(RD[[#This Row],[33kV_OG1_Ex (MWh)]]+RD[[#This Row],[33kV_OG1_Im (MWh)]],"")</f>
        <v>597800.95200000005</v>
      </c>
      <c r="EZ54" s="148">
        <f>RD[[#This Row],[33kV_OG1_Ex (MWh)]]-RD[[#This Row],[33kV_OG1_Im (MWh)]]</f>
        <v>595037.04799999995</v>
      </c>
      <c r="FA54" s="148">
        <f>IFERROR(RD[[#This Row],[132kV_L1_Ex(MWh)]]-RD[[#This Row],[132kV_L1_Im(MWh)]],"")</f>
        <v>592847.99999998324</v>
      </c>
      <c r="FB54" s="55">
        <f>IFERROR(RD[[#This Row],[33kV_Ex(MWh)]]/RD[[#This Row],[Inv Total Gneration (MWh)]]-1,"")</f>
        <v>-1.4813613349072829E-2</v>
      </c>
      <c r="FC54" s="245">
        <v>12.9</v>
      </c>
      <c r="FD54" s="246">
        <v>114</v>
      </c>
      <c r="FE54" t="s">
        <v>284</v>
      </c>
      <c r="FG54" s="144" t="str">
        <f>IFERROR(RD[[#This Row],[E_AC (WPR)]]/RD[[#This Row],[E_DC (WPR)]],"")</f>
        <v/>
      </c>
    </row>
    <row r="55" spans="1:163">
      <c r="A55" s="133">
        <f t="shared" si="161"/>
        <v>45795</v>
      </c>
      <c r="B55" s="138">
        <f>YEAR(RD[[#This Row],[Date]])+IF(MONTH(RD[[#This Row],[Date]])&gt;=4,1,0)</f>
        <v>2026</v>
      </c>
      <c r="C55" s="138">
        <f>YEAR(RD[[#This Row],[Date]])</f>
        <v>2025</v>
      </c>
      <c r="D55" s="139">
        <f t="shared" si="162"/>
        <v>45778</v>
      </c>
      <c r="E55" s="138">
        <f>DAY(EOMONTH(RD[[#This Row],[Date]],0))</f>
        <v>31</v>
      </c>
      <c r="F55" s="152">
        <v>0.25277777777777777</v>
      </c>
      <c r="G55" s="162">
        <v>0.76597222222222228</v>
      </c>
      <c r="H55" s="124">
        <v>7898.9</v>
      </c>
      <c r="I55" s="124">
        <v>7744.5</v>
      </c>
      <c r="J55" s="124">
        <v>7356.7</v>
      </c>
      <c r="K55" s="124">
        <v>7712</v>
      </c>
      <c r="L55" s="124">
        <v>8021.6</v>
      </c>
      <c r="M55" s="124">
        <v>8270.2999999999993</v>
      </c>
      <c r="N55" s="124">
        <v>7873</v>
      </c>
      <c r="O55" s="124">
        <v>8528.2999999999993</v>
      </c>
      <c r="P55" s="124">
        <v>7631.3</v>
      </c>
      <c r="Q55" s="124">
        <v>7693.6</v>
      </c>
      <c r="R55" s="124">
        <v>7932.6</v>
      </c>
      <c r="S55" s="124">
        <v>7747.9</v>
      </c>
      <c r="T55" s="124">
        <v>8072.5</v>
      </c>
      <c r="U55" s="124">
        <v>8030.9</v>
      </c>
      <c r="V55" s="124">
        <v>8011.7</v>
      </c>
      <c r="W55" s="124">
        <v>7530.6</v>
      </c>
      <c r="X55" s="203">
        <v>10560</v>
      </c>
      <c r="Y55" s="203">
        <v>11755.2</v>
      </c>
      <c r="Z55" s="203">
        <v>10178.5</v>
      </c>
      <c r="AA55" s="203">
        <v>10554.3</v>
      </c>
      <c r="AB55" s="203">
        <v>11454.5</v>
      </c>
      <c r="AC55" s="203">
        <v>7121.7</v>
      </c>
      <c r="AD55" s="203">
        <v>10608.6</v>
      </c>
      <c r="AE55" s="203">
        <v>10899.4</v>
      </c>
      <c r="AF55" s="203">
        <v>10674.3</v>
      </c>
      <c r="AG55" s="203">
        <v>10691.6</v>
      </c>
      <c r="AH55" s="203">
        <v>10690.9</v>
      </c>
      <c r="AI55" s="203">
        <v>10767.9</v>
      </c>
      <c r="AJ55" s="203">
        <v>7421.8</v>
      </c>
      <c r="AK55" s="203">
        <v>7613.5</v>
      </c>
      <c r="AL55" s="203">
        <v>7523.8</v>
      </c>
      <c r="AM55" s="203">
        <v>7612.6</v>
      </c>
      <c r="AN55" s="203">
        <v>9187</v>
      </c>
      <c r="AO55" s="203">
        <v>9568.2999999999993</v>
      </c>
      <c r="AP55" s="203">
        <v>9299.7000000000007</v>
      </c>
      <c r="AQ55" s="203">
        <v>9304.1</v>
      </c>
      <c r="AR55" s="203">
        <v>7691.2</v>
      </c>
      <c r="AS55" s="203">
        <v>7880.5</v>
      </c>
      <c r="AT55" s="203">
        <v>7759.6</v>
      </c>
      <c r="AU55" s="203">
        <v>7767.8</v>
      </c>
      <c r="AV55" s="203">
        <v>8022.1</v>
      </c>
      <c r="AW55" s="203">
        <v>7981.8</v>
      </c>
      <c r="AX55" s="203">
        <v>10655.1</v>
      </c>
      <c r="AY55" s="203">
        <v>12057.5</v>
      </c>
      <c r="AZ55" s="203">
        <v>8811</v>
      </c>
      <c r="BA55" s="203">
        <v>10707.8</v>
      </c>
      <c r="BB55" s="264">
        <v>11304.2</v>
      </c>
      <c r="BC55" s="264">
        <v>9403</v>
      </c>
      <c r="BD55" s="264">
        <v>7958.6</v>
      </c>
      <c r="BE55" s="264">
        <v>10717.6</v>
      </c>
      <c r="BF55" s="264">
        <v>11590</v>
      </c>
      <c r="BG55" s="264">
        <v>11620</v>
      </c>
      <c r="BH55" s="264">
        <v>7322.9</v>
      </c>
      <c r="BI55" s="264">
        <v>6858.6</v>
      </c>
      <c r="BJ55" s="264">
        <v>7664.5</v>
      </c>
      <c r="BK55" s="264">
        <v>4916.6000000000004</v>
      </c>
      <c r="BL55" s="264">
        <v>7196.2</v>
      </c>
      <c r="BM55" s="264">
        <v>7263.9</v>
      </c>
      <c r="BN55" s="264">
        <v>8127.3</v>
      </c>
      <c r="BO55" s="264">
        <v>7586.7</v>
      </c>
      <c r="BP55" s="264">
        <v>8323.2999999999993</v>
      </c>
      <c r="BQ55" s="264">
        <v>7812.4</v>
      </c>
      <c r="BR55" s="264">
        <v>8561</v>
      </c>
      <c r="BS55" s="264">
        <v>7926.9</v>
      </c>
      <c r="BT55" s="264">
        <v>3446.4</v>
      </c>
      <c r="BU55" s="264">
        <v>3206</v>
      </c>
      <c r="BV55" s="264"/>
      <c r="BW55" s="264"/>
      <c r="BX55" s="264"/>
      <c r="BY55" s="264"/>
      <c r="BZ55" s="264">
        <v>1228.8</v>
      </c>
      <c r="CA55" s="264">
        <v>1043.4000000000001</v>
      </c>
      <c r="CB55" s="264">
        <v>4731.7</v>
      </c>
      <c r="CC55" s="264">
        <v>7914.7</v>
      </c>
      <c r="CD55" s="263">
        <v>6.1103927166666612</v>
      </c>
      <c r="CE55" s="263">
        <v>5.3326652999999951</v>
      </c>
      <c r="CF55" s="263">
        <v>6.2304241666666691</v>
      </c>
      <c r="CG55" s="263">
        <v>5.4530126333333344</v>
      </c>
      <c r="CH55" s="263">
        <v>0.79716846666666674</v>
      </c>
      <c r="CI55" s="263">
        <v>0.81428471666666635</v>
      </c>
      <c r="CJ55" s="263">
        <v>1.2107732166666647</v>
      </c>
      <c r="CK55" s="263">
        <v>0.91531529999999917</v>
      </c>
      <c r="CL55" s="263">
        <v>30.904607922392938</v>
      </c>
      <c r="CM55" s="263">
        <v>30.914867026055617</v>
      </c>
      <c r="CN55" s="263">
        <v>45.883573969280526</v>
      </c>
      <c r="CO55" s="263">
        <v>43.695687331536398</v>
      </c>
      <c r="CP55" s="263">
        <v>65.242489894906953</v>
      </c>
      <c r="CQ55" s="263">
        <v>61.979568733153712</v>
      </c>
      <c r="CR55" s="263">
        <v>7.7607113985448603E-2</v>
      </c>
      <c r="CS55" s="263">
        <v>0</v>
      </c>
      <c r="CT55" s="263">
        <v>1.2860711398544862</v>
      </c>
      <c r="CU55" s="263">
        <v>1.3159829290206668</v>
      </c>
      <c r="CV55" s="263">
        <v>5.82</v>
      </c>
      <c r="CW55" s="263">
        <v>6.5579999999999998</v>
      </c>
      <c r="CX55" s="204">
        <f>IFERROR(AVERAGEIF(RD[[#This Row],[IS1POA1 (KWh/m2)]:[IS7POA2 (KWh/m2)]],"&lt;&gt;0",RD[[#This Row],[IS1POA1 (KWh/m2)]:[IS7POA2 (KWh/m2)]]),"")</f>
        <v>5.7215290083333281</v>
      </c>
      <c r="CY55" s="204">
        <f>IFERROR(AVERAGEIF(RD[[#This Row],[IS1GHI1 (KWh/m2)]:[IS7GHI2 (KWh/m2)]],"&lt;&gt;0",RD[[#This Row],[IS1GHI1 (KWh/m2)]:[IS7GHI2 (KWh/m2)]]),"")</f>
        <v>5.8417184000000013</v>
      </c>
      <c r="CZ55" s="204">
        <f>IFERROR(AVERAGEIF(RD[[#This Row],[IS1POA_BS1 (KWh/m2)]:[IS7POA_BS2 (KWh/m2)]],"&lt;&gt;0",RD[[#This Row],[IS1POA_BS1 (KWh/m2)]:[IS7POA_BS2 (KWh/m2)]]),"")</f>
        <v>0.80572659166666649</v>
      </c>
      <c r="DA55" s="204">
        <f>IFERROR(AVERAGEIF(RD[[#This Row],[IS1GHI_BS1 (KWh/m2)]:[IS1GHI_BS1 (KWh/m2)2]],"&lt;&gt;0",RD[[#This Row],[IS1GHI_BS1 (KWh/m2)]:[IS1GHI_BS1 (KWh/m2)2]]),"")</f>
        <v>1.0630442583333319</v>
      </c>
      <c r="DB55" s="204">
        <f>IFERROR(AVERAGEIF(RD[[#This Row],[IS1AT1 (°C)]:[IS7AT2 (°C)]],"&lt;&gt;0",RD[[#This Row],[IS1AT1 (°C)]:[IS7AT2 (°C)]]),"")</f>
        <v>30.909737474224279</v>
      </c>
      <c r="DC55" s="204">
        <f>IFERROR(AVERAGEIF(RD[[#This Row],[IS1MT1 (°C)]:[IS7MT2 (°C)]],"&lt;&gt;0",RD[[#This Row],[IS1MT1 (°C)]:[IS7MT2 (°C)]]),"")</f>
        <v>44.789630650408462</v>
      </c>
      <c r="DD55" s="204">
        <f>IFERROR(AVERAGEIF(RD[[#This Row],[IS1RH1 (%)]:[IS7RH2 (%)]],"&lt;&gt;0",RD[[#This Row],[IS1RH1 (%)]:[IS7RH2 (%)]]),"")</f>
        <v>63.611029314030333</v>
      </c>
      <c r="DE55" s="51">
        <f>IFERROR(AVERAGEIF(RD[[#This Row],[IS1Rain1 (mm)]:[IS7Rain2 (mm)]],"&lt;&gt;0",RD[[#This Row],[IS1Rain1 (mm)]:[IS7Rain2 (mm)]]),"")</f>
        <v>7.7607113985448603E-2</v>
      </c>
      <c r="DF55" s="204">
        <f>IFERROR(AVERAGEIF(RD[[#This Row],[WS_Solar1_Avg (m/s)]:[IS7_WS_Solar1_Avg (m/s)]],"&lt;&gt;0",RD[[#This Row],[WS_Solar1_Avg (m/s)]:[IS7_WS_Solar1_Avg (m/s)]]),"")</f>
        <v>1.3010270344375765</v>
      </c>
      <c r="DG55" s="204">
        <f>IFERROR(AVERAGEIF(RD[[#This Row],[WS_Solar1_Max (m/s)]:[IS7_WS_Solar1_Max (m/s)]],"&lt;&gt;0",RD[[#This Row],[WS_Solar1_Max (m/s)]:[IS7_WS_Solar1_Max (m/s)]]),"")</f>
        <v>6.1890000000000001</v>
      </c>
      <c r="DH55" s="204">
        <f>SUM(RD[[#This Row],[IS1Inv1M1]:[IS4Inv4M2]])</f>
        <v>252013.30000000002</v>
      </c>
      <c r="DI55" s="205">
        <f>SUM(RD[[#This Row],[IS7Inv1M1]]+RD[[#This Row],[IS7Inv2M1]])</f>
        <v>15571.7</v>
      </c>
      <c r="DJ55" s="204">
        <f>SUM(RD[[#This Row],[IS5Inv1M1]:[IS5Inv2M2]])</f>
        <v>30171.699999999997</v>
      </c>
      <c r="DK55" s="204">
        <f>SUM(RD[[#This Row],[IS8Inv1M1]:[IS9Inv2M2]])</f>
        <v>73762.7</v>
      </c>
      <c r="DL55" s="60">
        <f>SUM(RD[[#This Row],[IS6Inv1M1]:[IS6Inv2M2]])</f>
        <v>37359.1</v>
      </c>
      <c r="DM55" s="51">
        <f>SUM(RD[[#This Row],[IS10Inv1M1]:[IS11Inv1M4]],RD[[#This Row],[IS14Inv1M1]:[IS14Inv2M4]])</f>
        <v>118734.7</v>
      </c>
      <c r="DN55" s="288">
        <f>SUM(RD[[#This Row],[IS12Inv1M1]:[IS12Inv1M4]])</f>
        <v>31849.699999999997</v>
      </c>
      <c r="DO55" s="288">
        <f>SUM(RD[[#This Row],[IS13Inv1M1]:[IS13Inv2M2]])</f>
        <v>23140.300000000003</v>
      </c>
      <c r="DP55" s="204">
        <f>SUM(RD[[#This Row],[O2R15]:[O2R26]])</f>
        <v>582603.19999999995</v>
      </c>
      <c r="DQ55" s="164">
        <v>40332</v>
      </c>
      <c r="DR55" s="168">
        <v>211.3</v>
      </c>
      <c r="DS55" s="164">
        <v>34917.5</v>
      </c>
      <c r="DT55" s="164">
        <v>223.3</v>
      </c>
      <c r="DU55" s="168">
        <v>40645.9</v>
      </c>
      <c r="DV55" s="168">
        <v>400.6</v>
      </c>
      <c r="DW55" s="164">
        <v>8534.1</v>
      </c>
      <c r="DX55" s="168">
        <v>39.1</v>
      </c>
      <c r="DY55" s="168"/>
      <c r="DZ55" s="168"/>
      <c r="EA55" s="140">
        <v>95.08</v>
      </c>
      <c r="EB55" s="243">
        <v>127763161</v>
      </c>
      <c r="EC55" s="242">
        <v>933235.96799999999</v>
      </c>
      <c r="ED55" s="243">
        <v>1120</v>
      </c>
      <c r="EE55" s="243">
        <v>122054</v>
      </c>
      <c r="EF55" s="164">
        <v>177183.1</v>
      </c>
      <c r="EG55" s="164">
        <v>1829.2</v>
      </c>
      <c r="EH55" s="146">
        <f>IF((RD[[#This Row],[33 kV_F3_Ex
Incomer1]]-DQ54)*1000&lt;0,0,(RD[[#This Row],[33 kV_F3_Ex
Incomer1]]-DQ54)*1000)</f>
        <v>125199.99999999709</v>
      </c>
      <c r="EI55" s="146">
        <f>IF((RD[[#This Row],[34 kV_F3_Im
Incomer1]]-DR54)*1000&lt;0,0,(RD[[#This Row],[34 kV_F3_Im
Incomer1]]-DR54)*1000)</f>
        <v>300.00000000001137</v>
      </c>
      <c r="EJ55" s="146">
        <f>IF((RD[[#This Row],[33 kV_F4_Ex
Incomer2]]-DS54)*1000&lt;0,0,(RD[[#This Row],[33 kV_F4_Ex
Incomer2]]-DS54)*1000)</f>
        <v>122699.99999999709</v>
      </c>
      <c r="EK55" s="146">
        <f>IF((RD[[#This Row],[34 kV_F4_Im
Incomer2]]-DT54)*1000&lt;0,0,(RD[[#This Row],[34 kV_F4_Im
Incomer2]]-DT54)*1000)</f>
        <v>200.00000000001705</v>
      </c>
      <c r="EL55" s="146">
        <f>IF((RD[[#This Row],[33 kV_F5_Ex
Incomer3]]-DU54)*1000&lt;0,0,(RD[[#This Row],[33 kV_F5_Ex
Incomer3]]-DU54)*1000)</f>
        <v>154800.00000000291</v>
      </c>
      <c r="EM55" s="146">
        <f>IF((RD[[#This Row],[34 kV_F5_Im
Incomer3]]-DV54)*1000&lt;0,0,(RD[[#This Row],[34 kV_F5_Im
Incomer3]]-DV54)*1000)</f>
        <v>500</v>
      </c>
      <c r="EN55" s="146">
        <f>IF((RD[[#This Row],[33 kV_F6_Ex
Incomer4]]-DW54)*1000&lt;0,0,(RD[[#This Row],[33 kV_F6_Ex
Incomer4]]-DW54)*1000)</f>
        <v>170500</v>
      </c>
      <c r="EO55" s="146">
        <f t="shared" ref="EO55:EO70" si="163">EK52</f>
        <v>400.00000000000568</v>
      </c>
      <c r="EP55" s="146">
        <f>IF((RD[[#This Row],[33 kV_F7_Ex
Incomer5]]-DY54)*1000&lt;0,0,(RD[[#This Row],[33 kV_F7_Ex
Incomer5]]-DY54)*1000)</f>
        <v>0</v>
      </c>
      <c r="EQ55" s="146">
        <f>IF((RD[[#This Row],[33 kV_F7_Im
Incomer5]]-DZ54)*1000&lt;0,0,(RD[[#This Row],[33 kV_F7_Im
Incomer5]]-DZ54)*1000)</f>
        <v>0</v>
      </c>
      <c r="ER55" s="146">
        <f>IF((RD[[#This Row],[33 kV_Aux Trafo]]-EA54)*1000&lt;0,0,(RD[[#This Row],[33 kV_Aux Trafo]]-EA54)*1000)</f>
        <v>239.99999999999488</v>
      </c>
      <c r="ES55" s="158">
        <f>IF((RD[[#This Row],[33kV_OG1_Ex_]]-EB54)*1&lt;0,0,(RD[[#This Row],[33kV_OG1_Ex_]]-EB54)*1)</f>
        <v>573465</v>
      </c>
      <c r="ET55" s="146">
        <f>IF((RD[[#This Row],[33kV_OG1_Im]]-EC54)*1&lt;0,0,(RD[[#This Row],[33kV_OG1_Im]]-EC54)*1)</f>
        <v>1034.7519999999786</v>
      </c>
      <c r="EU55" s="146">
        <f>IF((RD[[#This Row],[132kV_TX1_EX]]-ED54)*720&lt;=0,"",(RD[[#This Row],[132kV_TX1_EX]]-ED54)*720)</f>
        <v>720</v>
      </c>
      <c r="EV55" s="146">
        <f>IF((RD[[#This Row],[132 kV_Tx1_Im]]-EE54)*720&lt;=0,0,(RD[[#This Row],[132 kV_Tx1_Im]]-EE54)*720)</f>
        <v>411840</v>
      </c>
      <c r="EW55" s="146">
        <f>IF((RD[[#This Row],[132kV_L1_Ex]]-EF54)*720&lt;=0,0,(RD[[#This Row],[132kV_L1_Ex]]-EF54)*720)</f>
        <v>571536.00000001257</v>
      </c>
      <c r="EX55" s="146">
        <f>IF((RD[[#This Row],[132kV_L1_Im]]-EG54)*720&lt;=0,0,(RD[[#This Row],[132kV_L1_Im]]-EG54)*720)</f>
        <v>1655.9999999999673</v>
      </c>
      <c r="EY55" s="244">
        <f>IFERROR(RD[[#This Row],[33kV_OG1_Ex (MWh)]]+RD[[#This Row],[33kV_OG1_Im (MWh)]],"")</f>
        <v>574499.75199999998</v>
      </c>
      <c r="EZ55" s="148">
        <f>RD[[#This Row],[33kV_OG1_Ex (MWh)]]-RD[[#This Row],[33kV_OG1_Im (MWh)]]</f>
        <v>572430.24800000002</v>
      </c>
      <c r="FA55" s="148">
        <f>IFERROR(RD[[#This Row],[132kV_L1_Ex(MWh)]]-RD[[#This Row],[132kV_L1_Im(MWh)]],"")</f>
        <v>569880.00000001257</v>
      </c>
      <c r="FB55" s="55">
        <f>IFERROR(RD[[#This Row],[33kV_Ex(MWh)]]/RD[[#This Row],[Inv Total Gneration (MWh)]]-1,"")</f>
        <v>-1.3909034485220739E-2</v>
      </c>
      <c r="FC55" s="245">
        <v>12.9</v>
      </c>
      <c r="FD55" s="246">
        <v>114</v>
      </c>
      <c r="FE55" s="300" t="s">
        <v>285</v>
      </c>
      <c r="FG55" s="144" t="str">
        <f>IFERROR(RD[[#This Row],[E_AC (WPR)]]/RD[[#This Row],[E_DC (WPR)]],"")</f>
        <v/>
      </c>
    </row>
    <row r="56" spans="1:163">
      <c r="A56" s="133">
        <f t="shared" si="161"/>
        <v>45796</v>
      </c>
      <c r="B56" s="138">
        <f>YEAR(RD[[#This Row],[Date]])+IF(MONTH(RD[[#This Row],[Date]])&gt;=4,1,0)</f>
        <v>2026</v>
      </c>
      <c r="C56" s="138">
        <f>YEAR(RD[[#This Row],[Date]])</f>
        <v>2025</v>
      </c>
      <c r="D56" s="139">
        <f t="shared" si="162"/>
        <v>45778</v>
      </c>
      <c r="E56" s="138">
        <f>DAY(EOMONTH(RD[[#This Row],[Date]],0))</f>
        <v>31</v>
      </c>
      <c r="F56" s="152">
        <v>0.25624999999999998</v>
      </c>
      <c r="G56" s="162">
        <v>0.74791666666666667</v>
      </c>
      <c r="H56" s="124">
        <v>7276.7</v>
      </c>
      <c r="I56" s="124">
        <v>7284</v>
      </c>
      <c r="J56" s="124">
        <v>6805.3</v>
      </c>
      <c r="K56" s="124">
        <v>6734.4</v>
      </c>
      <c r="L56" s="124">
        <v>6930.4</v>
      </c>
      <c r="M56" s="124">
        <v>7185.3</v>
      </c>
      <c r="N56" s="124">
        <v>6955.1</v>
      </c>
      <c r="O56" s="124">
        <v>7696.5</v>
      </c>
      <c r="P56" s="124">
        <v>7037</v>
      </c>
      <c r="Q56" s="124">
        <v>6820.9</v>
      </c>
      <c r="R56" s="124">
        <v>7120</v>
      </c>
      <c r="S56" s="124">
        <v>7099.7</v>
      </c>
      <c r="T56" s="124">
        <v>7453</v>
      </c>
      <c r="U56" s="124">
        <v>7231.1</v>
      </c>
      <c r="V56" s="124">
        <v>7302.9</v>
      </c>
      <c r="W56" s="124">
        <v>6948.8</v>
      </c>
      <c r="X56" s="203">
        <v>9735</v>
      </c>
      <c r="Y56" s="203">
        <v>10907.3</v>
      </c>
      <c r="Z56" s="203">
        <v>9447.2999999999993</v>
      </c>
      <c r="AA56" s="203">
        <v>9919.1</v>
      </c>
      <c r="AB56" s="203">
        <v>10607.7</v>
      </c>
      <c r="AC56" s="203">
        <v>6677.1</v>
      </c>
      <c r="AD56" s="203">
        <v>10044.4</v>
      </c>
      <c r="AE56" s="203">
        <v>10239.200000000001</v>
      </c>
      <c r="AF56" s="203">
        <v>10063.200000000001</v>
      </c>
      <c r="AG56" s="203">
        <v>9984.9</v>
      </c>
      <c r="AH56" s="203">
        <v>10006.4</v>
      </c>
      <c r="AI56" s="203">
        <v>10055.1</v>
      </c>
      <c r="AJ56" s="203">
        <v>7030.3</v>
      </c>
      <c r="AK56" s="203">
        <v>7201</v>
      </c>
      <c r="AL56" s="203">
        <v>7062.3</v>
      </c>
      <c r="AM56" s="203">
        <v>7153.2</v>
      </c>
      <c r="AN56" s="203">
        <v>7845.4</v>
      </c>
      <c r="AO56" s="203">
        <v>8129.5</v>
      </c>
      <c r="AP56" s="203">
        <v>7926</v>
      </c>
      <c r="AQ56" s="203">
        <v>7883</v>
      </c>
      <c r="AR56" s="203">
        <v>6748.4</v>
      </c>
      <c r="AS56" s="203">
        <v>6832.6</v>
      </c>
      <c r="AT56" s="203">
        <v>6827.6</v>
      </c>
      <c r="AU56" s="203">
        <v>6821.2</v>
      </c>
      <c r="AV56" s="203">
        <v>7003.9</v>
      </c>
      <c r="AW56" s="203">
        <v>6870</v>
      </c>
      <c r="AX56" s="203">
        <v>10655.4</v>
      </c>
      <c r="AY56" s="203">
        <v>12057.8</v>
      </c>
      <c r="AZ56" s="203">
        <v>8811</v>
      </c>
      <c r="BA56" s="203">
        <v>10707.8</v>
      </c>
      <c r="BB56" s="203">
        <v>10537.5</v>
      </c>
      <c r="BC56" s="203">
        <v>8802.2000000000007</v>
      </c>
      <c r="BD56" s="203">
        <v>7450.9</v>
      </c>
      <c r="BE56" s="203">
        <v>9918.6</v>
      </c>
      <c r="BF56" s="203">
        <v>11250</v>
      </c>
      <c r="BG56" s="203">
        <v>11315</v>
      </c>
      <c r="BH56" s="203">
        <v>6874.5</v>
      </c>
      <c r="BI56" s="203">
        <v>6875.9</v>
      </c>
      <c r="BJ56" s="203">
        <v>7264.3</v>
      </c>
      <c r="BK56" s="203">
        <v>5021.1000000000004</v>
      </c>
      <c r="BL56" s="203">
        <v>6898.5</v>
      </c>
      <c r="BM56" s="203">
        <v>6997.6</v>
      </c>
      <c r="BN56" s="203">
        <v>7391.8</v>
      </c>
      <c r="BO56" s="203">
        <v>7159.8</v>
      </c>
      <c r="BP56" s="203">
        <v>8020.4</v>
      </c>
      <c r="BQ56" s="203">
        <v>7246</v>
      </c>
      <c r="BR56" s="203">
        <v>8064.5</v>
      </c>
      <c r="BS56" s="203">
        <v>7474.4</v>
      </c>
      <c r="BT56" s="203">
        <v>3361.2</v>
      </c>
      <c r="BU56" s="203">
        <v>3127.3</v>
      </c>
      <c r="BV56" s="203"/>
      <c r="BW56" s="203"/>
      <c r="BX56" s="203"/>
      <c r="BY56" s="203"/>
      <c r="BZ56" s="203">
        <v>1147.0999999999999</v>
      </c>
      <c r="CA56" s="203">
        <v>975.2</v>
      </c>
      <c r="CB56" s="203">
        <v>4436.3999999999996</v>
      </c>
      <c r="CC56" s="203">
        <v>7429.7</v>
      </c>
      <c r="CD56" s="263">
        <v>5.4001377333333238</v>
      </c>
      <c r="CE56" s="263">
        <v>5.3645881999999956</v>
      </c>
      <c r="CF56" s="263">
        <v>5.5126714333333373</v>
      </c>
      <c r="CG56" s="263">
        <v>5.3625846499999898</v>
      </c>
      <c r="CH56" s="263">
        <v>0.65075798333333457</v>
      </c>
      <c r="CI56" s="263">
        <v>0.82256958333333297</v>
      </c>
      <c r="CJ56" s="263">
        <v>1.0342258999999991</v>
      </c>
      <c r="CK56" s="263">
        <v>0.91748258333333277</v>
      </c>
      <c r="CL56" s="263">
        <v>30.920164203612511</v>
      </c>
      <c r="CM56" s="263">
        <v>31.895389025389083</v>
      </c>
      <c r="CN56" s="263">
        <v>45.327146141215074</v>
      </c>
      <c r="CO56" s="263">
        <v>44.433634725634761</v>
      </c>
      <c r="CP56" s="263">
        <v>63.360131362890009</v>
      </c>
      <c r="CQ56" s="263">
        <v>58.712760032759945</v>
      </c>
      <c r="CR56" s="263">
        <v>0.29555008210180617</v>
      </c>
      <c r="CS56" s="263">
        <v>0</v>
      </c>
      <c r="CT56" s="263">
        <v>1.0485172413793118</v>
      </c>
      <c r="CU56" s="263">
        <v>1.2361056511056505</v>
      </c>
      <c r="CV56" s="263">
        <v>4.5449999999999999</v>
      </c>
      <c r="CW56" s="263">
        <v>4.4939999999999998</v>
      </c>
      <c r="CX56" s="204">
        <f>IFERROR(AVERAGEIF(RD[[#This Row],[IS1POA1 (KWh/m2)]:[IS7POA2 (KWh/m2)]],"&lt;&gt;0",RD[[#This Row],[IS1POA1 (KWh/m2)]:[IS7POA2 (KWh/m2)]]),"")</f>
        <v>5.3823629666666601</v>
      </c>
      <c r="CY56" s="204">
        <f>IFERROR(AVERAGEIF(RD[[#This Row],[IS1GHI1 (KWh/m2)]:[IS7GHI2 (KWh/m2)]],"&lt;&gt;0",RD[[#This Row],[IS1GHI1 (KWh/m2)]:[IS7GHI2 (KWh/m2)]]),"")</f>
        <v>5.4376280416666631</v>
      </c>
      <c r="CZ56" s="204">
        <f>IFERROR(AVERAGEIF(RD[[#This Row],[IS1POA_BS1 (KWh/m2)]:[IS7POA_BS2 (KWh/m2)]],"&lt;&gt;0",RD[[#This Row],[IS1POA_BS1 (KWh/m2)]:[IS7POA_BS2 (KWh/m2)]]),"")</f>
        <v>0.73666378333333382</v>
      </c>
      <c r="DA56" s="204">
        <f>IFERROR(AVERAGEIF(RD[[#This Row],[IS1GHI_BS1 (KWh/m2)]:[IS1GHI_BS1 (KWh/m2)2]],"&lt;&gt;0",RD[[#This Row],[IS1GHI_BS1 (KWh/m2)]:[IS1GHI_BS1 (KWh/m2)2]]),"")</f>
        <v>0.97585424166666601</v>
      </c>
      <c r="DB56" s="204">
        <f>IFERROR(AVERAGEIF(RD[[#This Row],[IS1AT1 (°C)]:[IS7AT2 (°C)]],"&lt;&gt;0",RD[[#This Row],[IS1AT1 (°C)]:[IS7AT2 (°C)]]),"")</f>
        <v>31.407776614500797</v>
      </c>
      <c r="DC56" s="204">
        <f>IFERROR(AVERAGEIF(RD[[#This Row],[IS1MT1 (°C)]:[IS7MT2 (°C)]],"&lt;&gt;0",RD[[#This Row],[IS1MT1 (°C)]:[IS7MT2 (°C)]]),"")</f>
        <v>44.880390433424921</v>
      </c>
      <c r="DD56" s="204">
        <f>IFERROR(AVERAGEIF(RD[[#This Row],[IS1RH1 (%)]:[IS7RH2 (%)]],"&lt;&gt;0",RD[[#This Row],[IS1RH1 (%)]:[IS7RH2 (%)]]),"")</f>
        <v>61.036445697824973</v>
      </c>
      <c r="DE56" s="51">
        <f>IFERROR(AVERAGEIF(RD[[#This Row],[IS1Rain1 (mm)]:[IS7Rain2 (mm)]],"&lt;&gt;0",RD[[#This Row],[IS1Rain1 (mm)]:[IS7Rain2 (mm)]]),"")</f>
        <v>0.29555008210180617</v>
      </c>
      <c r="DF56" s="204">
        <f>IFERROR(AVERAGEIF(RD[[#This Row],[WS_Solar1_Avg (m/s)]:[IS7_WS_Solar1_Avg (m/s)]],"&lt;&gt;0",RD[[#This Row],[WS_Solar1_Avg (m/s)]:[IS7_WS_Solar1_Avg (m/s)]]),"")</f>
        <v>1.142311446242481</v>
      </c>
      <c r="DG56" s="204">
        <f>IFERROR(AVERAGEIF(RD[[#This Row],[WS_Solar1_Max (m/s)]:[IS7_WS_Solar1_Max (m/s)]],"&lt;&gt;0",RD[[#This Row],[WS_Solar1_Max (m/s)]:[IS7_WS_Solar1_Max (m/s)]]),"")</f>
        <v>4.5194999999999999</v>
      </c>
      <c r="DH56" s="204">
        <f>SUM(RD[[#This Row],[IS1Inv1M1]:[IS4Inv4M2]])</f>
        <v>231567.80000000002</v>
      </c>
      <c r="DI56" s="205">
        <f>SUM(RD[[#This Row],[IS7Inv1M1]]+RD[[#This Row],[IS7Inv2M1]])</f>
        <v>13581</v>
      </c>
      <c r="DJ56" s="204">
        <f>SUM(RD[[#This Row],[IS5Inv1M1]:[IS5Inv2M2]])</f>
        <v>28446.799999999999</v>
      </c>
      <c r="DK56" s="204">
        <f>SUM(RD[[#This Row],[IS8Inv1M1]:[IS9Inv2M2]])</f>
        <v>69754.7</v>
      </c>
      <c r="DL56" s="60">
        <f>SUM(RD[[#This Row],[IS6Inv1M1]:[IS6Inv2M2]])</f>
        <v>31783.9</v>
      </c>
      <c r="DM56" s="51">
        <f>SUM(RD[[#This Row],[IS10Inv1M1]:[IS11Inv1M4]],RD[[#This Row],[IS14Inv1M1]:[IS14Inv2M4]])</f>
        <v>113194.5</v>
      </c>
      <c r="DN56" s="288">
        <f>SUM(RD[[#This Row],[IS12Inv1M1]:[IS12Inv1M4]])</f>
        <v>29818</v>
      </c>
      <c r="DO56" s="288">
        <f>SUM(RD[[#This Row],[IS13Inv1M1]:[IS13Inv2M2]])</f>
        <v>22027.399999999998</v>
      </c>
      <c r="DP56" s="204">
        <f>SUM(RD[[#This Row],[O2R15]:[O2R26]])</f>
        <v>540174.10000000009</v>
      </c>
      <c r="DQ56" s="164">
        <v>40448.800000000003</v>
      </c>
      <c r="DR56" s="168">
        <v>211.7</v>
      </c>
      <c r="DS56" s="164">
        <v>35028.800000000003</v>
      </c>
      <c r="DT56" s="164">
        <v>223.7</v>
      </c>
      <c r="DU56" s="168">
        <v>40782.400000000001</v>
      </c>
      <c r="DV56" s="168">
        <v>401.3</v>
      </c>
      <c r="DW56" s="164">
        <v>8694.9</v>
      </c>
      <c r="DX56" s="168">
        <v>39.799999999999997</v>
      </c>
      <c r="DY56" s="168"/>
      <c r="DZ56" s="168"/>
      <c r="EA56" s="140">
        <v>95.39</v>
      </c>
      <c r="EB56" s="243">
        <v>128288612</v>
      </c>
      <c r="EC56" s="242">
        <v>935657.08799999999</v>
      </c>
      <c r="ED56" s="243">
        <v>1123</v>
      </c>
      <c r="EE56" s="243">
        <v>122557</v>
      </c>
      <c r="EF56" s="164">
        <v>177910.5</v>
      </c>
      <c r="EG56" s="164">
        <v>1833.3</v>
      </c>
      <c r="EH56" s="146">
        <f>IF((RD[[#This Row],[33 kV_F3_Ex
Incomer1]]-DQ55)*1000&lt;0,0,(RD[[#This Row],[33 kV_F3_Ex
Incomer1]]-DQ55)*1000)</f>
        <v>116800.00000000291</v>
      </c>
      <c r="EI56" s="146">
        <f>IF((RD[[#This Row],[34 kV_F3_Im
Incomer1]]-DR55)*1000&lt;0,0,(RD[[#This Row],[34 kV_F3_Im
Incomer1]]-DR55)*1000)</f>
        <v>399.99999999997726</v>
      </c>
      <c r="EJ56" s="146">
        <f>IF((RD[[#This Row],[33 kV_F4_Ex
Incomer2]]-DS55)*1000&lt;0,0,(RD[[#This Row],[33 kV_F4_Ex
Incomer2]]-DS55)*1000)</f>
        <v>111300.00000000291</v>
      </c>
      <c r="EK56" s="146">
        <f>IF((RD[[#This Row],[34 kV_F4_Im
Incomer2]]-DT55)*1000&lt;0,0,(RD[[#This Row],[34 kV_F4_Im
Incomer2]]-DT55)*1000)</f>
        <v>399.99999999997726</v>
      </c>
      <c r="EL56" s="146">
        <f>IF((RD[[#This Row],[33 kV_F5_Ex
Incomer3]]-DU55)*1000&lt;0,0,(RD[[#This Row],[33 kV_F5_Ex
Incomer3]]-DU55)*1000)</f>
        <v>136500</v>
      </c>
      <c r="EM56" s="146">
        <f>IF((RD[[#This Row],[34 kV_F5_Im
Incomer3]]-DV55)*1000&lt;0,0,(RD[[#This Row],[34 kV_F5_Im
Incomer3]]-DV55)*1000)</f>
        <v>699.99999999998863</v>
      </c>
      <c r="EN56" s="146">
        <f>IF((RD[[#This Row],[33 kV_F6_Ex
Incomer4]]-DW55)*1000&lt;0,0,(RD[[#This Row],[33 kV_F6_Ex
Incomer4]]-DW55)*1000)</f>
        <v>160799.99999999927</v>
      </c>
      <c r="EO56" s="146">
        <f t="shared" si="163"/>
        <v>300.00000000001137</v>
      </c>
      <c r="EP56" s="146">
        <f>IF((RD[[#This Row],[33 kV_F7_Ex
Incomer5]]-DY55)*1000&lt;0,0,(RD[[#This Row],[33 kV_F7_Ex
Incomer5]]-DY55)*1000)</f>
        <v>0</v>
      </c>
      <c r="EQ56" s="146">
        <f>IF((RD[[#This Row],[33 kV_F7_Im
Incomer5]]-DZ55)*1000&lt;0,0,(RD[[#This Row],[33 kV_F7_Im
Incomer5]]-DZ55)*1000)</f>
        <v>0</v>
      </c>
      <c r="ER56" s="146">
        <f>IF((RD[[#This Row],[33 kV_Aux Trafo]]-EA55)*1000&lt;0,0,(RD[[#This Row],[33 kV_Aux Trafo]]-EA55)*1000)</f>
        <v>310.00000000000227</v>
      </c>
      <c r="ES56" s="158">
        <f>IF((RD[[#This Row],[33kV_OG1_Ex_]]-EB55)*1&lt;0,0,(RD[[#This Row],[33kV_OG1_Ex_]]-EB55)*1)</f>
        <v>525451</v>
      </c>
      <c r="ET56" s="146">
        <f>IF((RD[[#This Row],[33kV_OG1_Im]]-EC55)*1&lt;0,0,(RD[[#This Row],[33kV_OG1_Im]]-EC55)*1)</f>
        <v>2421.1199999999953</v>
      </c>
      <c r="EU56" s="146">
        <f>IF((RD[[#This Row],[132kV_TX1_EX]]-ED55)*720&lt;=0,"",(RD[[#This Row],[132kV_TX1_EX]]-ED55)*720)</f>
        <v>2160</v>
      </c>
      <c r="EV56" s="146">
        <f>IF((RD[[#This Row],[132 kV_Tx1_Im]]-EE55)*720&lt;=0,0,(RD[[#This Row],[132 kV_Tx1_Im]]-EE55)*720)</f>
        <v>362160</v>
      </c>
      <c r="EW56" s="146">
        <f>IF((RD[[#This Row],[132kV_L1_Ex]]-EF55)*720&lt;=0,0,(RD[[#This Row],[132kV_L1_Ex]]-EF55)*720)</f>
        <v>523727.99999999581</v>
      </c>
      <c r="EX56" s="146">
        <f>IF((RD[[#This Row],[132kV_L1_Im]]-EG55)*720&lt;=0,0,(RD[[#This Row],[132kV_L1_Im]]-EG55)*720)</f>
        <v>2951.9999999999345</v>
      </c>
      <c r="EY56" s="244">
        <f>IFERROR(RD[[#This Row],[33kV_OG1_Ex (MWh)]]+RD[[#This Row],[33kV_OG1_Im (MWh)]],"")</f>
        <v>527872.12</v>
      </c>
      <c r="EZ56" s="148">
        <f>RD[[#This Row],[33kV_OG1_Ex (MWh)]]-RD[[#This Row],[33kV_OG1_Im (MWh)]]</f>
        <v>523029.88</v>
      </c>
      <c r="FA56" s="148">
        <f>IFERROR(RD[[#This Row],[132kV_L1_Ex(MWh)]]-RD[[#This Row],[132kV_L1_Im(MWh)]],"")</f>
        <v>520775.99999999587</v>
      </c>
      <c r="FB56" s="55">
        <f>IFERROR(RD[[#This Row],[33kV_Ex(MWh)]]/RD[[#This Row],[Inv Total Gneration (MWh)]]-1,"")</f>
        <v>-2.2774101905293276E-2</v>
      </c>
      <c r="FC56" s="245">
        <v>12.9</v>
      </c>
      <c r="FD56" s="246">
        <v>118</v>
      </c>
      <c r="FE56" s="300" t="s">
        <v>286</v>
      </c>
      <c r="FG56" s="144" t="str">
        <f>IFERROR(RD[[#This Row],[E_AC (WPR)]]/RD[[#This Row],[E_DC (WPR)]],"")</f>
        <v/>
      </c>
    </row>
    <row r="57" spans="1:163">
      <c r="A57" s="133">
        <f t="shared" si="161"/>
        <v>45797</v>
      </c>
      <c r="B57" s="138">
        <f>YEAR(RD[[#This Row],[Date]])+IF(MONTH(RD[[#This Row],[Date]])&gt;=4,1,0)</f>
        <v>2026</v>
      </c>
      <c r="C57" s="138">
        <f>YEAR(RD[[#This Row],[Date]])</f>
        <v>2025</v>
      </c>
      <c r="D57" s="139">
        <f t="shared" si="162"/>
        <v>45778</v>
      </c>
      <c r="E57" s="138">
        <f>DAY(EOMONTH(RD[[#This Row],[Date]],0))</f>
        <v>31</v>
      </c>
      <c r="F57" s="152">
        <v>0.25486111111111109</v>
      </c>
      <c r="G57" s="162">
        <v>0.77361111111111114</v>
      </c>
      <c r="H57" s="124">
        <v>6116</v>
      </c>
      <c r="I57" s="266">
        <v>6052</v>
      </c>
      <c r="J57" s="124">
        <v>5645.5</v>
      </c>
      <c r="K57" s="124">
        <v>5715.3</v>
      </c>
      <c r="L57" s="124">
        <v>5876.7</v>
      </c>
      <c r="M57" s="124">
        <v>6100.3</v>
      </c>
      <c r="N57" s="124">
        <v>5889.6</v>
      </c>
      <c r="O57" s="124">
        <v>6587.8</v>
      </c>
      <c r="P57" s="124">
        <v>5942.7</v>
      </c>
      <c r="Q57" s="124">
        <v>5767.8</v>
      </c>
      <c r="R57" s="124">
        <v>5991.1</v>
      </c>
      <c r="S57" s="267">
        <v>5963</v>
      </c>
      <c r="T57" s="124">
        <v>6271.3</v>
      </c>
      <c r="U57" s="124">
        <v>5996.4</v>
      </c>
      <c r="V57" s="124">
        <v>6150.4</v>
      </c>
      <c r="W57" s="124">
        <v>5872.5</v>
      </c>
      <c r="X57" s="267">
        <v>8200</v>
      </c>
      <c r="Y57" s="203">
        <v>9183</v>
      </c>
      <c r="Z57" s="203">
        <v>8022</v>
      </c>
      <c r="AA57" s="203">
        <v>8421</v>
      </c>
      <c r="AB57" s="267">
        <v>8810</v>
      </c>
      <c r="AC57" s="203">
        <v>5346</v>
      </c>
      <c r="AD57" s="203">
        <v>8023</v>
      </c>
      <c r="AE57" s="203">
        <v>8211</v>
      </c>
      <c r="AF57" s="267">
        <v>8033</v>
      </c>
      <c r="AG57" s="203">
        <v>8024</v>
      </c>
      <c r="AH57" s="203">
        <v>8035</v>
      </c>
      <c r="AI57" s="268">
        <v>8092.1</v>
      </c>
      <c r="AJ57" s="203">
        <v>6561</v>
      </c>
      <c r="AK57" s="268">
        <v>6746.6</v>
      </c>
      <c r="AL57" s="203">
        <v>6667</v>
      </c>
      <c r="AM57" s="268">
        <v>6761.2</v>
      </c>
      <c r="AN57" s="203">
        <v>6649</v>
      </c>
      <c r="AO57" s="268">
        <v>6948.4</v>
      </c>
      <c r="AP57" s="203">
        <v>6670</v>
      </c>
      <c r="AQ57" s="268">
        <v>6730.8</v>
      </c>
      <c r="AR57" s="203">
        <v>5473.9</v>
      </c>
      <c r="AS57" s="268">
        <v>5510.7</v>
      </c>
      <c r="AT57" s="203">
        <v>5508</v>
      </c>
      <c r="AU57" s="268">
        <v>5489.8</v>
      </c>
      <c r="AV57" s="203">
        <v>5642</v>
      </c>
      <c r="AW57" s="203">
        <v>5554</v>
      </c>
      <c r="AX57" s="265">
        <v>7719.7</v>
      </c>
      <c r="AY57" s="203">
        <v>8766</v>
      </c>
      <c r="AZ57" s="203">
        <v>6290.1</v>
      </c>
      <c r="BA57" s="203">
        <v>7591.9</v>
      </c>
      <c r="BB57" s="203">
        <v>8785</v>
      </c>
      <c r="BC57" s="203">
        <v>7221</v>
      </c>
      <c r="BD57" s="203">
        <v>6048</v>
      </c>
      <c r="BE57" s="203">
        <v>8271</v>
      </c>
      <c r="BF57" s="203">
        <v>8951</v>
      </c>
      <c r="BG57" s="203">
        <v>9128</v>
      </c>
      <c r="BH57" s="203">
        <v>5718</v>
      </c>
      <c r="BI57" s="203">
        <v>7381</v>
      </c>
      <c r="BJ57" s="203">
        <v>5907</v>
      </c>
      <c r="BK57" s="203">
        <v>4066</v>
      </c>
      <c r="BL57" s="203">
        <v>5620</v>
      </c>
      <c r="BM57" s="203">
        <v>5701</v>
      </c>
      <c r="BN57" s="203">
        <v>6186</v>
      </c>
      <c r="BO57" s="203">
        <v>5833</v>
      </c>
      <c r="BP57" s="203">
        <v>6544</v>
      </c>
      <c r="BQ57" s="203">
        <v>6030</v>
      </c>
      <c r="BR57" s="203">
        <v>6766</v>
      </c>
      <c r="BS57" s="203">
        <v>6283</v>
      </c>
      <c r="BT57" s="203">
        <v>2833</v>
      </c>
      <c r="BU57" s="203">
        <v>2783</v>
      </c>
      <c r="BV57" s="203"/>
      <c r="BW57" s="203"/>
      <c r="BX57" s="203"/>
      <c r="BY57" s="203"/>
      <c r="BZ57" s="203">
        <v>938</v>
      </c>
      <c r="CA57" s="203">
        <v>792</v>
      </c>
      <c r="CB57" s="203">
        <v>3737</v>
      </c>
      <c r="CC57" s="203">
        <v>6227</v>
      </c>
      <c r="CD57" s="263">
        <v>4.3989248499999967</v>
      </c>
      <c r="CE57" s="263">
        <v>4.1909388166666703</v>
      </c>
      <c r="CF57" s="263">
        <v>4.5108744166666659</v>
      </c>
      <c r="CG57" s="263">
        <v>4.3077341666666644</v>
      </c>
      <c r="CH57" s="263">
        <v>0.46899571666666728</v>
      </c>
      <c r="CI57" s="263">
        <v>0.63854070000000007</v>
      </c>
      <c r="CJ57" s="263">
        <v>0.77583010000000019</v>
      </c>
      <c r="CK57" s="263">
        <v>0.71385623333333215</v>
      </c>
      <c r="CL57" s="263">
        <v>30.674038772213258</v>
      </c>
      <c r="CM57" s="263">
        <v>31.291742971887526</v>
      </c>
      <c r="CN57" s="263">
        <v>42.669014539580004</v>
      </c>
      <c r="CO57" s="263">
        <v>41.29328674698796</v>
      </c>
      <c r="CP57" s="263">
        <v>64.413271405492694</v>
      </c>
      <c r="CQ57" s="263">
        <v>61.493726907630538</v>
      </c>
      <c r="CR57" s="263">
        <v>0</v>
      </c>
      <c r="CS57" s="263">
        <v>0</v>
      </c>
      <c r="CT57" s="263">
        <v>0.89436591276251975</v>
      </c>
      <c r="CU57" s="263">
        <v>0.99593734939759204</v>
      </c>
      <c r="CV57" s="263">
        <v>2.4239999999999999</v>
      </c>
      <c r="CW57" s="263">
        <v>2.3730000000000002</v>
      </c>
      <c r="CX57" s="204">
        <f>IFERROR(AVERAGEIF(RD[[#This Row],[IS1POA1 (KWh/m2)]:[IS7POA2 (KWh/m2)]],"&lt;&gt;0",RD[[#This Row],[IS1POA1 (KWh/m2)]:[IS7POA2 (KWh/m2)]]),"")</f>
        <v>4.2949318333333331</v>
      </c>
      <c r="CY57" s="204">
        <f>IFERROR(AVERAGEIF(RD[[#This Row],[IS1GHI1 (KWh/m2)]:[IS7GHI2 (KWh/m2)]],"&lt;&gt;0",RD[[#This Row],[IS1GHI1 (KWh/m2)]:[IS7GHI2 (KWh/m2)]]),"")</f>
        <v>4.4093042916666647</v>
      </c>
      <c r="CZ57" s="204">
        <f>IFERROR(AVERAGEIF(RD[[#This Row],[IS1POA_BS1 (KWh/m2)]:[IS7POA_BS2 (KWh/m2)]],"&lt;&gt;0",RD[[#This Row],[IS1POA_BS1 (KWh/m2)]:[IS7POA_BS2 (KWh/m2)]]),"")</f>
        <v>0.55376820833333373</v>
      </c>
      <c r="DA57" s="204">
        <f>IFERROR(AVERAGEIF(RD[[#This Row],[IS1GHI_BS1 (KWh/m2)]:[IS1GHI_BS1 (KWh/m2)2]],"&lt;&gt;0",RD[[#This Row],[IS1GHI_BS1 (KWh/m2)]:[IS1GHI_BS1 (KWh/m2)2]]),"")</f>
        <v>0.74484316666666617</v>
      </c>
      <c r="DB57" s="204">
        <f>IFERROR(AVERAGEIF(RD[[#This Row],[IS1AT1 (°C)]:[IS7AT2 (°C)]],"&lt;&gt;0",RD[[#This Row],[IS1AT1 (°C)]:[IS7AT2 (°C)]]),"")</f>
        <v>30.98289087205039</v>
      </c>
      <c r="DC57" s="204">
        <f>IFERROR(AVERAGEIF(RD[[#This Row],[IS1MT1 (°C)]:[IS7MT2 (°C)]],"&lt;&gt;0",RD[[#This Row],[IS1MT1 (°C)]:[IS7MT2 (°C)]]),"")</f>
        <v>41.981150643283982</v>
      </c>
      <c r="DD57" s="204">
        <f>IFERROR(AVERAGEIF(RD[[#This Row],[IS1RH1 (%)]:[IS7RH2 (%)]],"&lt;&gt;0",RD[[#This Row],[IS1RH1 (%)]:[IS7RH2 (%)]]),"")</f>
        <v>62.95349915656162</v>
      </c>
      <c r="DE57" s="51" t="str">
        <f>IFERROR(AVERAGEIF(RD[[#This Row],[IS1Rain1 (mm)]:[IS7Rain2 (mm)]],"&lt;&gt;0",RD[[#This Row],[IS1Rain1 (mm)]:[IS7Rain2 (mm)]]),"")</f>
        <v/>
      </c>
      <c r="DF57" s="204">
        <f>IFERROR(AVERAGEIF(RD[[#This Row],[WS_Solar1_Avg (m/s)]:[IS7_WS_Solar1_Avg (m/s)]],"&lt;&gt;0",RD[[#This Row],[WS_Solar1_Avg (m/s)]:[IS7_WS_Solar1_Avg (m/s)]]),"")</f>
        <v>0.94515163108005584</v>
      </c>
      <c r="DG57" s="204">
        <f>IFERROR(AVERAGEIF(RD[[#This Row],[WS_Solar1_Max (m/s)]:[IS7_WS_Solar1_Max (m/s)]],"&lt;&gt;0",RD[[#This Row],[WS_Solar1_Max (m/s)]:[IS7_WS_Solar1_Max (m/s)]]),"")</f>
        <v>2.3985000000000003</v>
      </c>
      <c r="DH57" s="204">
        <f>SUM(RD[[#This Row],[IS1Inv1M1]:[IS4Inv4M2]])</f>
        <v>192338.5</v>
      </c>
      <c r="DI57" s="205">
        <f>SUM(RD[[#This Row],[IS7Inv1M1]]+RD[[#This Row],[IS7Inv2M1]])</f>
        <v>10984.599999999999</v>
      </c>
      <c r="DJ57" s="204">
        <f>SUM(RD[[#This Row],[IS5Inv1M1]:[IS5Inv2M2]])</f>
        <v>26735.8</v>
      </c>
      <c r="DK57" s="204">
        <f>SUM(RD[[#This Row],[IS8Inv1M1]:[IS9Inv2M2]])</f>
        <v>52561.5</v>
      </c>
      <c r="DL57" s="60">
        <f>SUM(RD[[#This Row],[IS6Inv1M1]:[IS6Inv2M2]])</f>
        <v>26998.2</v>
      </c>
      <c r="DM57" s="51">
        <f>SUM(RD[[#This Row],[IS10Inv1M1]:[IS11Inv1M4]],RD[[#This Row],[IS14Inv1M1]:[IS14Inv2M4]])</f>
        <v>94491</v>
      </c>
      <c r="DN57" s="288">
        <f>SUM(RD[[#This Row],[IS12Inv1M1]:[IS12Inv1M4]])</f>
        <v>24593</v>
      </c>
      <c r="DO57" s="288">
        <f>SUM(RD[[#This Row],[IS13Inv1M1]:[IS13Inv2M2]])</f>
        <v>18665</v>
      </c>
      <c r="DP57" s="204">
        <f>SUM(RD[[#This Row],[O2R15]:[O2R26]])</f>
        <v>447367.60000000003</v>
      </c>
      <c r="DQ57" s="164">
        <v>40544.800000000003</v>
      </c>
      <c r="DR57" s="168">
        <v>211.9</v>
      </c>
      <c r="DS57" s="164">
        <v>35123.300000000003</v>
      </c>
      <c r="DT57" s="164">
        <v>224.1</v>
      </c>
      <c r="DU57" s="168">
        <v>40898.800000000003</v>
      </c>
      <c r="DV57" s="168">
        <v>401.9</v>
      </c>
      <c r="DW57" s="164">
        <v>8830.7000000000007</v>
      </c>
      <c r="DX57" s="168">
        <v>40.799999999999997</v>
      </c>
      <c r="DY57" s="168"/>
      <c r="DZ57" s="168"/>
      <c r="EA57" s="140">
        <v>95.66</v>
      </c>
      <c r="EB57" s="243">
        <v>128731250</v>
      </c>
      <c r="EC57" s="242">
        <v>938203.52</v>
      </c>
      <c r="ED57" s="243">
        <v>1126</v>
      </c>
      <c r="EE57" s="243">
        <v>123018</v>
      </c>
      <c r="EF57" s="164">
        <v>178523.4</v>
      </c>
      <c r="EG57" s="164">
        <v>1837.7</v>
      </c>
      <c r="EH57" s="146">
        <f>IF((RD[[#This Row],[33 kV_F3_Ex
Incomer1]]-DQ56)*1000&lt;0,0,(RD[[#This Row],[33 kV_F3_Ex
Incomer1]]-DQ56)*1000)</f>
        <v>96000</v>
      </c>
      <c r="EI57" s="146">
        <f>IF((RD[[#This Row],[34 kV_F3_Im
Incomer1]]-DR56)*1000&lt;0,0,(RD[[#This Row],[34 kV_F3_Im
Incomer1]]-DR56)*1000)</f>
        <v>200.00000000001705</v>
      </c>
      <c r="EJ57" s="146">
        <f>IF((RD[[#This Row],[33 kV_F4_Ex
Incomer2]]-DS56)*1000&lt;0,0,(RD[[#This Row],[33 kV_F4_Ex
Incomer2]]-DS56)*1000)</f>
        <v>94500</v>
      </c>
      <c r="EK57" s="146">
        <f>IF((RD[[#This Row],[34 kV_F4_Im
Incomer2]]-DT56)*1000&lt;0,0,(RD[[#This Row],[34 kV_F4_Im
Incomer2]]-DT56)*1000)</f>
        <v>400.00000000000568</v>
      </c>
      <c r="EL57" s="146">
        <f>IF((RD[[#This Row],[33 kV_F5_Ex
Incomer3]]-DU56)*1000&lt;0,0,(RD[[#This Row],[33 kV_F5_Ex
Incomer3]]-DU56)*1000)</f>
        <v>116400.00000000146</v>
      </c>
      <c r="EM57" s="146">
        <f>IF((RD[[#This Row],[34 kV_F5_Im
Incomer3]]-DV56)*1000&lt;0,0,(RD[[#This Row],[34 kV_F5_Im
Incomer3]]-DV56)*1000)</f>
        <v>599.99999999996589</v>
      </c>
      <c r="EN57" s="146">
        <f>IF((RD[[#This Row],[33 kV_F6_Ex
Incomer4]]-DW56)*1000&lt;0,0,(RD[[#This Row],[33 kV_F6_Ex
Incomer4]]-DW56)*1000)</f>
        <v>135800.00000000111</v>
      </c>
      <c r="EO57" s="146">
        <f t="shared" si="163"/>
        <v>299.99999999998295</v>
      </c>
      <c r="EP57" s="146">
        <f>IF((RD[[#This Row],[33 kV_F7_Ex
Incomer5]]-DY56)*1000&lt;0,0,(RD[[#This Row],[33 kV_F7_Ex
Incomer5]]-DY56)*1000)</f>
        <v>0</v>
      </c>
      <c r="EQ57" s="146">
        <f>IF((RD[[#This Row],[33 kV_F7_Im
Incomer5]]-DZ56)*1000&lt;0,0,(RD[[#This Row],[33 kV_F7_Im
Incomer5]]-DZ56)*1000)</f>
        <v>0</v>
      </c>
      <c r="ER57" s="146">
        <f>IF((RD[[#This Row],[33 kV_Aux Trafo]]-EA56)*1000&lt;0,0,(RD[[#This Row],[33 kV_Aux Trafo]]-EA56)*1000)</f>
        <v>269.99999999999602</v>
      </c>
      <c r="ES57" s="158">
        <f>IF((RD[[#This Row],[33kV_OG1_Ex_]]-EB56)*1&lt;0,0,(RD[[#This Row],[33kV_OG1_Ex_]]-EB56)*1)</f>
        <v>442638</v>
      </c>
      <c r="ET57" s="146">
        <f>IF((RD[[#This Row],[33kV_OG1_Im]]-EC56)*1&lt;0,0,(RD[[#This Row],[33kV_OG1_Im]]-EC56)*1)</f>
        <v>2546.4320000000298</v>
      </c>
      <c r="EU57" s="146">
        <f>IF((RD[[#This Row],[132kV_TX1_EX]]-ED56)*720&lt;=0,"",(RD[[#This Row],[132kV_TX1_EX]]-ED56)*720)</f>
        <v>2160</v>
      </c>
      <c r="EV57" s="146">
        <f>IF((RD[[#This Row],[132 kV_Tx1_Im]]-EE56)*720&lt;=0,0,(RD[[#This Row],[132 kV_Tx1_Im]]-EE56)*720)</f>
        <v>331920</v>
      </c>
      <c r="EW57" s="146">
        <f>IF((RD[[#This Row],[132kV_L1_Ex]]-EF56)*720&lt;=0,0,(RD[[#This Row],[132kV_L1_Ex]]-EF56)*720)</f>
        <v>441287.99999999581</v>
      </c>
      <c r="EX57" s="146">
        <f>IF((RD[[#This Row],[132kV_L1_Im]]-EG56)*720&lt;=0,0,(RD[[#This Row],[132kV_L1_Im]]-EG56)*720)</f>
        <v>3168.0000000000655</v>
      </c>
      <c r="EY57" s="244">
        <f>IFERROR(RD[[#This Row],[33kV_OG1_Ex (MWh)]]+RD[[#This Row],[33kV_OG1_Im (MWh)]],"")</f>
        <v>445184.43200000003</v>
      </c>
      <c r="EZ57" s="148">
        <f>RD[[#This Row],[33kV_OG1_Ex (MWh)]]-RD[[#This Row],[33kV_OG1_Im (MWh)]]</f>
        <v>440091.56799999997</v>
      </c>
      <c r="FA57" s="148">
        <f>IFERROR(RD[[#This Row],[132kV_L1_Ex(MWh)]]-RD[[#This Row],[132kV_L1_Im(MWh)]],"")</f>
        <v>438119.99999999575</v>
      </c>
      <c r="FB57" s="55">
        <f>IFERROR(RD[[#This Row],[33kV_Ex(MWh)]]/RD[[#This Row],[Inv Total Gneration (MWh)]]-1,"")</f>
        <v>-4.8800315445285403E-3</v>
      </c>
      <c r="FC57" s="245">
        <v>12.9</v>
      </c>
      <c r="FD57" s="246">
        <v>118</v>
      </c>
      <c r="FE57" s="300" t="s">
        <v>287</v>
      </c>
      <c r="FG57" s="144" t="str">
        <f>IFERROR(RD[[#This Row],[E_AC (WPR)]]/RD[[#This Row],[E_DC (WPR)]],"")</f>
        <v/>
      </c>
    </row>
    <row r="58" spans="1:163">
      <c r="A58" s="133">
        <f t="shared" si="161"/>
        <v>45798</v>
      </c>
      <c r="B58" s="138">
        <f>YEAR(RD[[#This Row],[Date]])+IF(MONTH(RD[[#This Row],[Date]])&gt;=4,1,0)</f>
        <v>2026</v>
      </c>
      <c r="C58" s="138">
        <f>YEAR(RD[[#This Row],[Date]])</f>
        <v>2025</v>
      </c>
      <c r="D58" s="139">
        <f t="shared" si="162"/>
        <v>45778</v>
      </c>
      <c r="E58" s="138">
        <f>DAY(EOMONTH(RD[[#This Row],[Date]],0))</f>
        <v>31</v>
      </c>
      <c r="F58" s="152">
        <v>0.26944444444444443</v>
      </c>
      <c r="G58" s="162">
        <v>0.77638888888888891</v>
      </c>
      <c r="H58" s="124">
        <v>6946.4</v>
      </c>
      <c r="I58" s="266">
        <v>6888</v>
      </c>
      <c r="J58" s="124">
        <v>6465</v>
      </c>
      <c r="K58" s="124">
        <v>6485</v>
      </c>
      <c r="L58" s="124">
        <v>6627</v>
      </c>
      <c r="M58" s="124">
        <v>6858</v>
      </c>
      <c r="N58" s="124">
        <v>6690.5</v>
      </c>
      <c r="O58" s="124">
        <v>7374</v>
      </c>
      <c r="P58" s="124">
        <v>6846</v>
      </c>
      <c r="Q58" s="124">
        <v>6602</v>
      </c>
      <c r="R58" s="124">
        <v>6855.5</v>
      </c>
      <c r="S58" s="267">
        <v>6807</v>
      </c>
      <c r="T58" s="124">
        <v>7219.5</v>
      </c>
      <c r="U58" s="124">
        <v>6906</v>
      </c>
      <c r="V58" s="124">
        <v>7070</v>
      </c>
      <c r="W58" s="124">
        <v>6767</v>
      </c>
      <c r="X58" s="267">
        <v>9367</v>
      </c>
      <c r="Y58" s="203">
        <v>10448</v>
      </c>
      <c r="Z58" s="203">
        <v>9167.9</v>
      </c>
      <c r="AA58" s="203">
        <v>9607</v>
      </c>
      <c r="AB58" s="267">
        <v>10270</v>
      </c>
      <c r="AC58" s="203">
        <v>6347</v>
      </c>
      <c r="AD58" s="203">
        <v>9467</v>
      </c>
      <c r="AE58" s="203">
        <v>9646</v>
      </c>
      <c r="AF58" s="267">
        <v>9455</v>
      </c>
      <c r="AG58" s="203">
        <v>9371</v>
      </c>
      <c r="AH58" s="203">
        <v>9417</v>
      </c>
      <c r="AI58" s="268">
        <v>9456</v>
      </c>
      <c r="AJ58" s="203">
        <v>7526</v>
      </c>
      <c r="AK58" s="268">
        <v>7755</v>
      </c>
      <c r="AL58" s="203">
        <v>7653.3</v>
      </c>
      <c r="AM58" s="268">
        <v>7724</v>
      </c>
      <c r="AN58" s="203">
        <v>7609.7</v>
      </c>
      <c r="AO58" s="268">
        <v>7910</v>
      </c>
      <c r="AP58" s="203">
        <v>7717.9</v>
      </c>
      <c r="AQ58" s="268">
        <v>7665</v>
      </c>
      <c r="AR58" s="203">
        <v>6239.3</v>
      </c>
      <c r="AS58" s="268">
        <v>6289</v>
      </c>
      <c r="AT58" s="203">
        <v>6320.5</v>
      </c>
      <c r="AU58" s="268">
        <v>6285</v>
      </c>
      <c r="AV58" s="203">
        <v>6434</v>
      </c>
      <c r="AW58" s="203">
        <v>6343</v>
      </c>
      <c r="AX58" s="203">
        <v>8743.7999999999993</v>
      </c>
      <c r="AY58" s="203">
        <v>9831.6</v>
      </c>
      <c r="AZ58" s="203">
        <v>7162.1</v>
      </c>
      <c r="BA58" s="203">
        <v>8753.2999999999993</v>
      </c>
      <c r="BB58" s="203">
        <v>8421</v>
      </c>
      <c r="BC58" s="203">
        <v>7018</v>
      </c>
      <c r="BD58" s="203">
        <v>5937</v>
      </c>
      <c r="BE58" s="203">
        <v>8008</v>
      </c>
      <c r="BF58" s="203">
        <v>6223</v>
      </c>
      <c r="BG58" s="203">
        <v>2624</v>
      </c>
      <c r="BH58" s="203">
        <v>620</v>
      </c>
      <c r="BI58" s="203">
        <v>639</v>
      </c>
      <c r="BJ58" s="203">
        <v>6158</v>
      </c>
      <c r="BK58" s="203">
        <v>4238</v>
      </c>
      <c r="BL58" s="203">
        <v>5848</v>
      </c>
      <c r="BM58" s="203">
        <v>5914</v>
      </c>
      <c r="BN58" s="203">
        <v>6011</v>
      </c>
      <c r="BO58" s="203">
        <v>5705</v>
      </c>
      <c r="BP58" s="203">
        <v>6244</v>
      </c>
      <c r="BQ58" s="203">
        <v>5729</v>
      </c>
      <c r="BR58" s="203">
        <v>7333</v>
      </c>
      <c r="BS58" s="203">
        <v>7140</v>
      </c>
      <c r="BT58" s="203">
        <v>2818</v>
      </c>
      <c r="BU58" s="203">
        <v>3789</v>
      </c>
      <c r="BV58" s="203"/>
      <c r="BW58" s="203"/>
      <c r="BX58" s="203"/>
      <c r="BY58" s="203"/>
      <c r="BZ58" s="203">
        <v>1042</v>
      </c>
      <c r="CA58" s="203">
        <v>884</v>
      </c>
      <c r="CB58" s="203">
        <v>4096</v>
      </c>
      <c r="CC58" s="203">
        <v>6739</v>
      </c>
      <c r="CD58" s="263">
        <v>5.0558328999999933</v>
      </c>
      <c r="CE58" s="263">
        <v>4.8206496499999956</v>
      </c>
      <c r="CF58" s="263">
        <v>5.1805274666666694</v>
      </c>
      <c r="CG58" s="263">
        <v>4.9573712166666706</v>
      </c>
      <c r="CH58" s="263">
        <v>0.45500605000000022</v>
      </c>
      <c r="CI58" s="263">
        <v>0.62999689999999919</v>
      </c>
      <c r="CJ58" s="263">
        <v>0.78328044999999913</v>
      </c>
      <c r="CK58" s="263">
        <v>0.71006774999999933</v>
      </c>
      <c r="CL58" s="263">
        <v>29.055737704918016</v>
      </c>
      <c r="CM58" s="263">
        <v>28.449202279202311</v>
      </c>
      <c r="CN58" s="263">
        <v>41.55019244476123</v>
      </c>
      <c r="CO58" s="263">
        <v>39.116309116809177</v>
      </c>
      <c r="CP58" s="263">
        <v>73.722223806129676</v>
      </c>
      <c r="CQ58" s="263">
        <v>75.040142450142497</v>
      </c>
      <c r="CR58" s="263">
        <v>0.46136849607982899</v>
      </c>
      <c r="CS58" s="263">
        <v>0.46427350427350439</v>
      </c>
      <c r="CT58" s="263">
        <v>1.0673328581610821</v>
      </c>
      <c r="CU58" s="263">
        <v>1.088485042735043</v>
      </c>
      <c r="CV58" s="263">
        <v>5.2530000000000001</v>
      </c>
      <c r="CW58" s="263">
        <v>6.0659999999999998</v>
      </c>
      <c r="CX58" s="204">
        <f>IFERROR(AVERAGEIF(RD[[#This Row],[IS1POA1 (KWh/m2)]:[IS7POA2 (KWh/m2)]],"&lt;&gt;0",RD[[#This Row],[IS1POA1 (KWh/m2)]:[IS7POA2 (KWh/m2)]]),"")</f>
        <v>4.938241274999994</v>
      </c>
      <c r="CY58" s="204">
        <f>IFERROR(AVERAGEIF(RD[[#This Row],[IS1GHI1 (KWh/m2)]:[IS7GHI2 (KWh/m2)]],"&lt;&gt;0",RD[[#This Row],[IS1GHI1 (KWh/m2)]:[IS7GHI2 (KWh/m2)]]),"")</f>
        <v>5.06894934166667</v>
      </c>
      <c r="CZ58" s="204">
        <f>IFERROR(AVERAGEIF(RD[[#This Row],[IS1POA_BS1 (KWh/m2)]:[IS7POA_BS2 (KWh/m2)]],"&lt;&gt;0",RD[[#This Row],[IS1POA_BS1 (KWh/m2)]:[IS7POA_BS2 (KWh/m2)]]),"")</f>
        <v>0.54250147499999968</v>
      </c>
      <c r="DA58" s="204">
        <f>IFERROR(AVERAGEIF(RD[[#This Row],[IS1GHI_BS1 (KWh/m2)]:[IS1GHI_BS1 (KWh/m2)2]],"&lt;&gt;0",RD[[#This Row],[IS1GHI_BS1 (KWh/m2)]:[IS1GHI_BS1 (KWh/m2)2]]),"")</f>
        <v>0.74667409999999923</v>
      </c>
      <c r="DB58" s="204">
        <f>IFERROR(AVERAGEIF(RD[[#This Row],[IS1AT1 (°C)]:[IS7AT2 (°C)]],"&lt;&gt;0",RD[[#This Row],[IS1AT1 (°C)]:[IS7AT2 (°C)]]),"")</f>
        <v>28.752469992060163</v>
      </c>
      <c r="DC58" s="204">
        <f>IFERROR(AVERAGEIF(RD[[#This Row],[IS1MT1 (°C)]:[IS7MT2 (°C)]],"&lt;&gt;0",RD[[#This Row],[IS1MT1 (°C)]:[IS7MT2 (°C)]]),"")</f>
        <v>40.333250780785207</v>
      </c>
      <c r="DD58" s="204">
        <f>IFERROR(AVERAGEIF(RD[[#This Row],[IS1RH1 (%)]:[IS7RH2 (%)]],"&lt;&gt;0",RD[[#This Row],[IS1RH1 (%)]:[IS7RH2 (%)]]),"")</f>
        <v>74.381183128136087</v>
      </c>
      <c r="DE58" s="51">
        <f>IFERROR(AVERAGEIF(RD[[#This Row],[IS1Rain1 (mm)]:[IS7Rain2 (mm)]],"&lt;&gt;0",RD[[#This Row],[IS1Rain1 (mm)]:[IS7Rain2 (mm)]]),"")</f>
        <v>0.46282100017666672</v>
      </c>
      <c r="DF58" s="204">
        <f>IFERROR(AVERAGEIF(RD[[#This Row],[WS_Solar1_Avg (m/s)]:[IS7_WS_Solar1_Avg (m/s)]],"&lt;&gt;0",RD[[#This Row],[WS_Solar1_Avg (m/s)]:[IS7_WS_Solar1_Avg (m/s)]]),"")</f>
        <v>1.0779089504480626</v>
      </c>
      <c r="DG58" s="204">
        <f>IFERROR(AVERAGEIF(RD[[#This Row],[WS_Solar1_Max (m/s)]:[IS7_WS_Solar1_Max (m/s)]],"&lt;&gt;0",RD[[#This Row],[WS_Solar1_Max (m/s)]:[IS7_WS_Solar1_Max (m/s)]]),"")</f>
        <v>5.6594999999999995</v>
      </c>
      <c r="DH58" s="204">
        <f>SUM(RD[[#This Row],[IS1Inv1M1]:[IS4Inv4M2]])</f>
        <v>221425.8</v>
      </c>
      <c r="DI58" s="205">
        <f>SUM(RD[[#This Row],[IS7Inv1M1]]+RD[[#This Row],[IS7Inv2M1]])</f>
        <v>12528.3</v>
      </c>
      <c r="DJ58" s="204">
        <f>SUM(RD[[#This Row],[IS5Inv1M1]:[IS5Inv2M2]])</f>
        <v>30658.3</v>
      </c>
      <c r="DK58" s="204">
        <f>SUM(RD[[#This Row],[IS8Inv1M1]:[IS9Inv2M2]])</f>
        <v>59873.3</v>
      </c>
      <c r="DL58" s="60">
        <f>SUM(RD[[#This Row],[IS6Inv1M1]:[IS6Inv2M2]])</f>
        <v>30902.6</v>
      </c>
      <c r="DM58" s="51">
        <f>SUM(RD[[#This Row],[IS10Inv1M1]:[IS11Inv1M4]],RD[[#This Row],[IS14Inv1M1]:[IS14Inv2M4]])</f>
        <v>74409</v>
      </c>
      <c r="DN58" s="288">
        <f>SUM(RD[[#This Row],[IS12Inv1M1]:[IS12Inv1M4]])</f>
        <v>23689</v>
      </c>
      <c r="DO58" s="288">
        <f>SUM(RD[[#This Row],[IS13Inv1M1]:[IS13Inv2M2]])</f>
        <v>21080</v>
      </c>
      <c r="DP58" s="204">
        <f>SUM(RD[[#This Row],[O2R15]:[O2R26]])</f>
        <v>474566.29999999993</v>
      </c>
      <c r="DQ58" s="164">
        <v>40656.199999999997</v>
      </c>
      <c r="DR58" s="168">
        <v>212.2</v>
      </c>
      <c r="DS58" s="164">
        <v>35229.800000000003</v>
      </c>
      <c r="DT58" s="164">
        <v>224.4</v>
      </c>
      <c r="DU58" s="168">
        <v>41031.300000000003</v>
      </c>
      <c r="DV58" s="168">
        <v>402.4</v>
      </c>
      <c r="DW58" s="164">
        <v>8949</v>
      </c>
      <c r="DX58" s="168">
        <v>41</v>
      </c>
      <c r="DY58" s="168"/>
      <c r="DZ58" s="168"/>
      <c r="EA58" s="140">
        <v>95.91</v>
      </c>
      <c r="EB58" s="243">
        <v>129200668</v>
      </c>
      <c r="EC58" s="242">
        <v>939613.63199999998</v>
      </c>
      <c r="ED58" s="243">
        <v>1128</v>
      </c>
      <c r="EE58" s="243">
        <v>123486</v>
      </c>
      <c r="EF58" s="164">
        <v>179173.3</v>
      </c>
      <c r="EG58" s="164">
        <v>1840.3</v>
      </c>
      <c r="EH58" s="146">
        <f>IF((RD[[#This Row],[33 kV_F3_Ex
Incomer1]]-DQ57)*1000&lt;0,0,(RD[[#This Row],[33 kV_F3_Ex
Incomer1]]-DQ57)*1000)</f>
        <v>111399.99999999418</v>
      </c>
      <c r="EI58" s="146">
        <f>IF((RD[[#This Row],[34 kV_F3_Im
Incomer1]]-DR57)*1000&lt;0,0,(RD[[#This Row],[34 kV_F3_Im
Incomer1]]-DR57)*1000)</f>
        <v>299.99999999998295</v>
      </c>
      <c r="EJ58" s="146">
        <f>IF((RD[[#This Row],[33 kV_F4_Ex
Incomer2]]-DS57)*1000&lt;0,0,(RD[[#This Row],[33 kV_F4_Ex
Incomer2]]-DS57)*1000)</f>
        <v>106500</v>
      </c>
      <c r="EK58" s="146">
        <f>IF((RD[[#This Row],[34 kV_F4_Im
Incomer2]]-DT57)*1000&lt;0,0,(RD[[#This Row],[34 kV_F4_Im
Incomer2]]-DT57)*1000)</f>
        <v>300.00000000001137</v>
      </c>
      <c r="EL58" s="146">
        <f>IF((RD[[#This Row],[33 kV_F5_Ex
Incomer3]]-DU57)*1000&lt;0,0,(RD[[#This Row],[33 kV_F5_Ex
Incomer3]]-DU57)*1000)</f>
        <v>132500</v>
      </c>
      <c r="EM58" s="146">
        <f>IF((RD[[#This Row],[34 kV_F5_Im
Incomer3]]-DV57)*1000&lt;0,0,(RD[[#This Row],[34 kV_F5_Im
Incomer3]]-DV57)*1000)</f>
        <v>500</v>
      </c>
      <c r="EN58" s="146">
        <f>IF((RD[[#This Row],[33 kV_F6_Ex
Incomer4]]-DW57)*1000&lt;0,0,(RD[[#This Row],[33 kV_F6_Ex
Incomer4]]-DW57)*1000)</f>
        <v>118299.99999999927</v>
      </c>
      <c r="EO58" s="146">
        <f t="shared" si="163"/>
        <v>200.00000000001705</v>
      </c>
      <c r="EP58" s="146">
        <f>IF((RD[[#This Row],[33 kV_F7_Ex
Incomer5]]-DY57)*1000&lt;0,0,(RD[[#This Row],[33 kV_F7_Ex
Incomer5]]-DY57)*1000)</f>
        <v>0</v>
      </c>
      <c r="EQ58" s="146">
        <f>IF((RD[[#This Row],[33 kV_F7_Im
Incomer5]]-DZ57)*1000&lt;0,0,(RD[[#This Row],[33 kV_F7_Im
Incomer5]]-DZ57)*1000)</f>
        <v>0</v>
      </c>
      <c r="ER58" s="146">
        <f>IF((RD[[#This Row],[33 kV_Aux Trafo]]-EA57)*1000&lt;0,0,(RD[[#This Row],[33 kV_Aux Trafo]]-EA57)*1000)</f>
        <v>250</v>
      </c>
      <c r="ES58" s="158">
        <f>IF((RD[[#This Row],[33kV_OG1_Ex_]]-EB57)*1&lt;0,0,(RD[[#This Row],[33kV_OG1_Ex_]]-EB57)*1)</f>
        <v>469418</v>
      </c>
      <c r="ET58" s="146">
        <f>IF((RD[[#This Row],[33kV_OG1_Im]]-EC57)*1&lt;0,0,(RD[[#This Row],[33kV_OG1_Im]]-EC57)*1)</f>
        <v>1410.1119999999646</v>
      </c>
      <c r="EU58" s="146">
        <f>IF((RD[[#This Row],[132kV_TX1_EX]]-ED57)*720&lt;=0,"",(RD[[#This Row],[132kV_TX1_EX]]-ED57)*720)</f>
        <v>1440</v>
      </c>
      <c r="EV58" s="146">
        <f>IF((RD[[#This Row],[132 kV_Tx1_Im]]-EE57)*720&lt;=0,0,(RD[[#This Row],[132 kV_Tx1_Im]]-EE57)*720)</f>
        <v>336960</v>
      </c>
      <c r="EW58" s="146">
        <f>IF((RD[[#This Row],[132kV_L1_Ex]]-EF57)*720&lt;=0,0,(RD[[#This Row],[132kV_L1_Ex]]-EF57)*720)</f>
        <v>467927.99999999581</v>
      </c>
      <c r="EX58" s="146">
        <f>IF((RD[[#This Row],[132kV_L1_Im]]-EG57)*720&lt;=0,0,(RD[[#This Row],[132kV_L1_Im]]-EG57)*720)</f>
        <v>1871.9999999999345</v>
      </c>
      <c r="EY58" s="244">
        <f>IFERROR(RD[[#This Row],[33kV_OG1_Ex (MWh)]]+RD[[#This Row],[33kV_OG1_Im (MWh)]],"")</f>
        <v>470828.11199999996</v>
      </c>
      <c r="EZ58" s="148">
        <f>RD[[#This Row],[33kV_OG1_Ex (MWh)]]-RD[[#This Row],[33kV_OG1_Im (MWh)]]</f>
        <v>468007.88800000004</v>
      </c>
      <c r="FA58" s="148">
        <f>IFERROR(RD[[#This Row],[132kV_L1_Ex(MWh)]]-RD[[#This Row],[132kV_L1_Im(MWh)]],"")</f>
        <v>466055.99999999587</v>
      </c>
      <c r="FB58" s="55">
        <f>IFERROR(RD[[#This Row],[33kV_Ex(MWh)]]/RD[[#This Row],[Inv Total Gneration (MWh)]]-1,"")</f>
        <v>-7.8770616455486886E-3</v>
      </c>
      <c r="FC58" s="245">
        <v>12.9</v>
      </c>
      <c r="FD58" s="246">
        <v>118</v>
      </c>
      <c r="FE58" t="s">
        <v>288</v>
      </c>
      <c r="FG58" s="144" t="str">
        <f>IFERROR(RD[[#This Row],[E_AC (WPR)]]/RD[[#This Row],[E_DC (WPR)]],"")</f>
        <v/>
      </c>
    </row>
    <row r="59" spans="1:163">
      <c r="A59" s="133">
        <f t="shared" si="161"/>
        <v>45799</v>
      </c>
      <c r="B59" s="138">
        <f>YEAR(RD[[#This Row],[Date]])+IF(MONTH(RD[[#This Row],[Date]])&gt;=4,1,0)</f>
        <v>2026</v>
      </c>
      <c r="C59" s="138">
        <f>YEAR(RD[[#This Row],[Date]])</f>
        <v>2025</v>
      </c>
      <c r="D59" s="139">
        <f t="shared" si="162"/>
        <v>45778</v>
      </c>
      <c r="E59" s="138">
        <f>DAY(EOMONTH(RD[[#This Row],[Date]],0))</f>
        <v>31</v>
      </c>
      <c r="F59" s="152">
        <v>0.25069444444444444</v>
      </c>
      <c r="G59" s="162">
        <v>0.7729166666666667</v>
      </c>
      <c r="H59" s="124">
        <v>8211</v>
      </c>
      <c r="I59" s="266">
        <v>8101</v>
      </c>
      <c r="J59" s="124">
        <v>7671</v>
      </c>
      <c r="K59" s="124">
        <v>7721.6</v>
      </c>
      <c r="L59" s="124">
        <v>7904</v>
      </c>
      <c r="M59" s="124">
        <v>8138.8</v>
      </c>
      <c r="N59" s="124">
        <v>7974</v>
      </c>
      <c r="O59" s="124">
        <v>8550.5</v>
      </c>
      <c r="P59" s="124">
        <v>7873</v>
      </c>
      <c r="Q59" s="124">
        <v>7673.3</v>
      </c>
      <c r="R59" s="124">
        <v>7942</v>
      </c>
      <c r="S59" s="268">
        <v>7904.7</v>
      </c>
      <c r="T59" s="124">
        <v>8210</v>
      </c>
      <c r="U59" s="124">
        <v>7809</v>
      </c>
      <c r="V59" s="124">
        <v>8070</v>
      </c>
      <c r="W59" s="124">
        <v>7706</v>
      </c>
      <c r="X59" s="268">
        <v>10990.7</v>
      </c>
      <c r="Y59" s="203">
        <v>12010</v>
      </c>
      <c r="Z59" s="203">
        <v>10820</v>
      </c>
      <c r="AA59" s="203">
        <v>11203</v>
      </c>
      <c r="AB59" s="267">
        <v>11734</v>
      </c>
      <c r="AC59" s="203">
        <v>7583</v>
      </c>
      <c r="AD59" s="203">
        <v>11123</v>
      </c>
      <c r="AE59" s="203">
        <v>11333</v>
      </c>
      <c r="AF59" s="267">
        <v>11092</v>
      </c>
      <c r="AG59" s="203">
        <v>11053</v>
      </c>
      <c r="AH59" s="203">
        <v>11033</v>
      </c>
      <c r="AI59" s="268">
        <v>11121</v>
      </c>
      <c r="AJ59" s="203">
        <v>9706</v>
      </c>
      <c r="AK59" s="268">
        <v>9926</v>
      </c>
      <c r="AL59" s="203">
        <v>9756</v>
      </c>
      <c r="AM59" s="268">
        <v>9816</v>
      </c>
      <c r="AN59" s="203">
        <v>9773</v>
      </c>
      <c r="AO59" s="268">
        <v>10068</v>
      </c>
      <c r="AP59" s="203">
        <v>9952</v>
      </c>
      <c r="AQ59" s="268">
        <v>9830</v>
      </c>
      <c r="AR59" s="203">
        <v>7901</v>
      </c>
      <c r="AS59" s="268">
        <v>7938</v>
      </c>
      <c r="AT59" s="203">
        <v>7922</v>
      </c>
      <c r="AU59" s="268">
        <v>7761</v>
      </c>
      <c r="AV59" s="203">
        <v>8053</v>
      </c>
      <c r="AW59" s="203">
        <v>7966</v>
      </c>
      <c r="AX59" s="203">
        <v>11186</v>
      </c>
      <c r="AY59" s="269">
        <v>12239</v>
      </c>
      <c r="AZ59" s="203">
        <v>9228</v>
      </c>
      <c r="BA59" s="203">
        <v>10984</v>
      </c>
      <c r="BB59" s="203">
        <v>10839.8</v>
      </c>
      <c r="BC59" s="203">
        <v>9077</v>
      </c>
      <c r="BD59" s="203">
        <v>7689.2</v>
      </c>
      <c r="BE59" s="203">
        <v>10303.299999999999</v>
      </c>
      <c r="BF59" s="203">
        <v>6010</v>
      </c>
      <c r="BG59" s="203">
        <v>2150</v>
      </c>
      <c r="BH59" s="203">
        <v>0</v>
      </c>
      <c r="BI59" s="203">
        <v>0</v>
      </c>
      <c r="BJ59" s="203">
        <v>7346.8</v>
      </c>
      <c r="BK59" s="203">
        <v>5094.8999999999996</v>
      </c>
      <c r="BL59" s="203">
        <v>7064.6</v>
      </c>
      <c r="BM59" s="203">
        <v>7123</v>
      </c>
      <c r="BN59" s="203">
        <v>7102.9</v>
      </c>
      <c r="BO59" s="203">
        <v>6856.1</v>
      </c>
      <c r="BP59" s="203">
        <v>7368</v>
      </c>
      <c r="BQ59" s="203">
        <v>6451.3</v>
      </c>
      <c r="BR59" s="203">
        <v>8404.7000000000007</v>
      </c>
      <c r="BS59" s="203">
        <v>8163.5</v>
      </c>
      <c r="BT59" s="203">
        <v>3170.1</v>
      </c>
      <c r="BU59" s="203">
        <v>4736.7</v>
      </c>
      <c r="BV59" s="203"/>
      <c r="BW59" s="203"/>
      <c r="BX59" s="203"/>
      <c r="BY59" s="203"/>
      <c r="BZ59" s="203">
        <v>1190.0999999999999</v>
      </c>
      <c r="CA59" s="203">
        <v>1009.9</v>
      </c>
      <c r="CB59" s="203">
        <v>4631.8999999999996</v>
      </c>
      <c r="CC59" s="203">
        <v>7673.8</v>
      </c>
      <c r="CD59" s="263">
        <v>6.1690388833333376</v>
      </c>
      <c r="CE59" s="263">
        <v>6.3150799666666639</v>
      </c>
      <c r="CF59" s="263">
        <v>6.3302380833333425</v>
      </c>
      <c r="CG59" s="263">
        <v>6.4155086666666676</v>
      </c>
      <c r="CH59" s="263">
        <v>0.59561863333333298</v>
      </c>
      <c r="CI59" s="263">
        <v>0.73452880000000031</v>
      </c>
      <c r="CJ59" s="263">
        <v>0.88316408333333474</v>
      </c>
      <c r="CK59" s="263">
        <v>0.86256856666666637</v>
      </c>
      <c r="CL59" s="263">
        <v>28.135695897023407</v>
      </c>
      <c r="CM59" s="263">
        <v>27.319591549295684</v>
      </c>
      <c r="CN59" s="263">
        <v>42.177766693483562</v>
      </c>
      <c r="CO59" s="263">
        <v>39.299413380281692</v>
      </c>
      <c r="CP59" s="263">
        <v>79.75199517296862</v>
      </c>
      <c r="CQ59" s="263">
        <v>80.006535211267447</v>
      </c>
      <c r="CR59" s="263">
        <v>0.15502815768302475</v>
      </c>
      <c r="CS59" s="263">
        <v>0.13183098591549275</v>
      </c>
      <c r="CT59" s="263">
        <v>0.91345293644408632</v>
      </c>
      <c r="CU59" s="263">
        <v>0.91712323943661866</v>
      </c>
      <c r="CV59" s="263">
        <v>3.4140000000000001</v>
      </c>
      <c r="CW59" s="263">
        <v>3.5790000000000002</v>
      </c>
      <c r="CX59" s="204">
        <f>IFERROR(AVERAGEIF(RD[[#This Row],[IS1POA1 (KWh/m2)]:[IS7POA2 (KWh/m2)]],"&lt;&gt;0",RD[[#This Row],[IS1POA1 (KWh/m2)]:[IS7POA2 (KWh/m2)]]),"")</f>
        <v>6.2420594250000008</v>
      </c>
      <c r="CY59" s="204">
        <f>IFERROR(AVERAGEIF(RD[[#This Row],[IS1GHI1 (KWh/m2)]:[IS7GHI2 (KWh/m2)]],"&lt;&gt;0",RD[[#This Row],[IS1GHI1 (KWh/m2)]:[IS7GHI2 (KWh/m2)]]),"")</f>
        <v>6.3728733750000046</v>
      </c>
      <c r="CZ59" s="204">
        <f>IFERROR(AVERAGEIF(RD[[#This Row],[IS1POA_BS1 (KWh/m2)]:[IS7POA_BS2 (KWh/m2)]],"&lt;&gt;0",RD[[#This Row],[IS1POA_BS1 (KWh/m2)]:[IS7POA_BS2 (KWh/m2)]]),"")</f>
        <v>0.6650737166666667</v>
      </c>
      <c r="DA59" s="204">
        <f>IFERROR(AVERAGEIF(RD[[#This Row],[IS1GHI_BS1 (KWh/m2)]:[IS1GHI_BS1 (KWh/m2)2]],"&lt;&gt;0",RD[[#This Row],[IS1GHI_BS1 (KWh/m2)]:[IS1GHI_BS1 (KWh/m2)2]]),"")</f>
        <v>0.87286632500000061</v>
      </c>
      <c r="DB59" s="204">
        <f>IFERROR(AVERAGEIF(RD[[#This Row],[IS1AT1 (°C)]:[IS7AT2 (°C)]],"&lt;&gt;0",RD[[#This Row],[IS1AT1 (°C)]:[IS7AT2 (°C)]]),"")</f>
        <v>27.727643723159545</v>
      </c>
      <c r="DC59" s="204">
        <f>IFERROR(AVERAGEIF(RD[[#This Row],[IS1MT1 (°C)]:[IS7MT2 (°C)]],"&lt;&gt;0",RD[[#This Row],[IS1MT1 (°C)]:[IS7MT2 (°C)]]),"")</f>
        <v>40.738590036882627</v>
      </c>
      <c r="DD59" s="204">
        <f>IFERROR(AVERAGEIF(RD[[#This Row],[IS1RH1 (%)]:[IS7RH2 (%)]],"&lt;&gt;0",RD[[#This Row],[IS1RH1 (%)]:[IS7RH2 (%)]]),"")</f>
        <v>79.879265192118027</v>
      </c>
      <c r="DE59" s="51">
        <f>IFERROR(AVERAGEIF(RD[[#This Row],[IS1Rain1 (mm)]:[IS7Rain2 (mm)]],"&lt;&gt;0",RD[[#This Row],[IS1Rain1 (mm)]:[IS7Rain2 (mm)]]),"")</f>
        <v>0.14342957179925875</v>
      </c>
      <c r="DF59" s="204">
        <f>IFERROR(AVERAGEIF(RD[[#This Row],[WS_Solar1_Avg (m/s)]:[IS7_WS_Solar1_Avg (m/s)]],"&lt;&gt;0",RD[[#This Row],[WS_Solar1_Avg (m/s)]:[IS7_WS_Solar1_Avg (m/s)]]),"")</f>
        <v>0.91528808794035244</v>
      </c>
      <c r="DG59" s="204">
        <f>IFERROR(AVERAGEIF(RD[[#This Row],[WS_Solar1_Max (m/s)]:[IS7_WS_Solar1_Max (m/s)]],"&lt;&gt;0",RD[[#This Row],[WS_Solar1_Max (m/s)]:[IS7_WS_Solar1_Max (m/s)]]),"")</f>
        <v>3.4965000000000002</v>
      </c>
      <c r="DH59" s="204">
        <f>SUM(RD[[#This Row],[IS1Inv1M1]:[IS4Inv4M2]])</f>
        <v>258555.6</v>
      </c>
      <c r="DI59" s="205">
        <f>SUM(RD[[#This Row],[IS7Inv1M1]]+RD[[#This Row],[IS7Inv2M1]])</f>
        <v>15839</v>
      </c>
      <c r="DJ59" s="204">
        <f>SUM(RD[[#This Row],[IS5Inv1M1]:[IS5Inv2M2]])</f>
        <v>39204</v>
      </c>
      <c r="DK59" s="204">
        <f>SUM(RD[[#This Row],[IS8Inv1M1]:[IS9Inv2M2]])</f>
        <v>75339</v>
      </c>
      <c r="DL59" s="60">
        <f>SUM(RD[[#This Row],[IS6Inv1M1]:[IS6Inv2M2]])</f>
        <v>39623</v>
      </c>
      <c r="DM59" s="51">
        <f>SUM(RD[[#This Row],[IS10Inv1M1]:[IS11Inv1M4]],RD[[#This Row],[IS14Inv1M1]:[IS14Inv2M4]])</f>
        <v>87204.3</v>
      </c>
      <c r="DN59" s="288">
        <f>SUM(RD[[#This Row],[IS12Inv1M1]:[IS12Inv1M4]])</f>
        <v>27778.3</v>
      </c>
      <c r="DO59" s="288">
        <f>SUM(RD[[#This Row],[IS13Inv1M1]:[IS13Inv2M2]])</f>
        <v>24475</v>
      </c>
      <c r="DP59" s="204">
        <f>SUM(RD[[#This Row],[O2R15]:[O2R26]])</f>
        <v>568018.19999999995</v>
      </c>
      <c r="DQ59" s="164">
        <v>40786.400000000001</v>
      </c>
      <c r="DR59" s="168">
        <v>212.6</v>
      </c>
      <c r="DS59" s="164">
        <v>35353.4</v>
      </c>
      <c r="DT59" s="164">
        <v>224.7</v>
      </c>
      <c r="DU59" s="168">
        <v>41198.9</v>
      </c>
      <c r="DV59" s="168">
        <v>403</v>
      </c>
      <c r="DW59" s="164">
        <v>9091.4</v>
      </c>
      <c r="DX59" s="168">
        <v>41.2</v>
      </c>
      <c r="DY59" s="168"/>
      <c r="DZ59" s="168"/>
      <c r="EA59" s="140">
        <v>96.18</v>
      </c>
      <c r="EB59" s="243">
        <v>129765965</v>
      </c>
      <c r="EC59" s="242">
        <v>941221.88800000004</v>
      </c>
      <c r="ED59" s="243">
        <v>1130</v>
      </c>
      <c r="EE59" s="243">
        <v>124049</v>
      </c>
      <c r="EF59" s="164">
        <v>179955.9</v>
      </c>
      <c r="EG59" s="164">
        <v>1843.2</v>
      </c>
      <c r="EH59" s="146">
        <f>IF((RD[[#This Row],[33 kV_F3_Ex
Incomer1]]-DQ58)*1000&lt;0,0,(RD[[#This Row],[33 kV_F3_Ex
Incomer1]]-DQ58)*1000)</f>
        <v>130200.00000000437</v>
      </c>
      <c r="EI59" s="146">
        <f>IF((RD[[#This Row],[34 kV_F3_Im
Incomer1]]-DR58)*1000&lt;0,0,(RD[[#This Row],[34 kV_F3_Im
Incomer1]]-DR58)*1000)</f>
        <v>400.00000000000568</v>
      </c>
      <c r="EJ59" s="146">
        <f>IF((RD[[#This Row],[33 kV_F4_Ex
Incomer2]]-DS58)*1000&lt;0,0,(RD[[#This Row],[33 kV_F4_Ex
Incomer2]]-DS58)*1000)</f>
        <v>123599.99999999854</v>
      </c>
      <c r="EK59" s="146">
        <f>IF((RD[[#This Row],[34 kV_F4_Im
Incomer2]]-DT58)*1000&lt;0,0,(RD[[#This Row],[34 kV_F4_Im
Incomer2]]-DT58)*1000)</f>
        <v>299.99999999998295</v>
      </c>
      <c r="EL59" s="146">
        <f>IF((RD[[#This Row],[33 kV_F5_Ex
Incomer3]]-DU58)*1000&lt;0,0,(RD[[#This Row],[33 kV_F5_Ex
Incomer3]]-DU58)*1000)</f>
        <v>167599.99999999854</v>
      </c>
      <c r="EM59" s="146">
        <f>IF((RD[[#This Row],[34 kV_F5_Im
Incomer3]]-DV58)*1000&lt;0,0,(RD[[#This Row],[34 kV_F5_Im
Incomer3]]-DV58)*1000)</f>
        <v>600.00000000002274</v>
      </c>
      <c r="EN59" s="146">
        <f>IF((RD[[#This Row],[33 kV_F6_Ex
Incomer4]]-DW58)*1000&lt;0,0,(RD[[#This Row],[33 kV_F6_Ex
Incomer4]]-DW58)*1000)</f>
        <v>142399.99999999965</v>
      </c>
      <c r="EO59" s="146">
        <f t="shared" si="163"/>
        <v>399.99999999997726</v>
      </c>
      <c r="EP59" s="146">
        <f>IF((RD[[#This Row],[33 kV_F7_Ex
Incomer5]]-DY58)*1000&lt;0,0,(RD[[#This Row],[33 kV_F7_Ex
Incomer5]]-DY58)*1000)</f>
        <v>0</v>
      </c>
      <c r="EQ59" s="146">
        <f>IF((RD[[#This Row],[33 kV_F7_Im
Incomer5]]-DZ58)*1000&lt;0,0,(RD[[#This Row],[33 kV_F7_Im
Incomer5]]-DZ58)*1000)</f>
        <v>0</v>
      </c>
      <c r="ER59" s="146">
        <f>IF((RD[[#This Row],[33 kV_Aux Trafo]]-EA58)*1000&lt;0,0,(RD[[#This Row],[33 kV_Aux Trafo]]-EA58)*1000)</f>
        <v>270.00000000001023</v>
      </c>
      <c r="ES59" s="158">
        <f>IF((RD[[#This Row],[33kV_OG1_Ex_]]-EB58)*1&lt;0,0,(RD[[#This Row],[33kV_OG1_Ex_]]-EB58)*1)</f>
        <v>565297</v>
      </c>
      <c r="ET59" s="146">
        <f>IF((RD[[#This Row],[33kV_OG1_Im]]-EC58)*1&lt;0,0,(RD[[#This Row],[33kV_OG1_Im]]-EC58)*1)</f>
        <v>1608.2560000000522</v>
      </c>
      <c r="EU59" s="146">
        <f>IF((RD[[#This Row],[132kV_TX1_EX]]-ED58)*720&lt;=0,"",(RD[[#This Row],[132kV_TX1_EX]]-ED58)*720)</f>
        <v>1440</v>
      </c>
      <c r="EV59" s="146">
        <f>IF((RD[[#This Row],[132 kV_Tx1_Im]]-EE58)*720&lt;=0,0,(RD[[#This Row],[132 kV_Tx1_Im]]-EE58)*720)</f>
        <v>405360</v>
      </c>
      <c r="EW59" s="146">
        <f>IF((RD[[#This Row],[132kV_L1_Ex]]-EF58)*720&lt;=0,0,(RD[[#This Row],[132kV_L1_Ex]]-EF58)*720)</f>
        <v>563472.00000000419</v>
      </c>
      <c r="EX59" s="146">
        <f>IF((RD[[#This Row],[132kV_L1_Im]]-EG58)*720&lt;=0,0,(RD[[#This Row],[132kV_L1_Im]]-EG58)*720)</f>
        <v>2088.0000000000655</v>
      </c>
      <c r="EY59" s="244">
        <f>IFERROR(RD[[#This Row],[33kV_OG1_Ex (MWh)]]+RD[[#This Row],[33kV_OG1_Im (MWh)]],"")</f>
        <v>566905.25600000005</v>
      </c>
      <c r="EZ59" s="148">
        <f>RD[[#This Row],[33kV_OG1_Ex (MWh)]]-RD[[#This Row],[33kV_OG1_Im (MWh)]]</f>
        <v>563688.74399999995</v>
      </c>
      <c r="FA59" s="148">
        <f>IFERROR(RD[[#This Row],[132kV_L1_Ex(MWh)]]-RD[[#This Row],[132kV_L1_Im(MWh)]],"")</f>
        <v>561384.00000000407</v>
      </c>
      <c r="FB59" s="55">
        <f>IFERROR(RD[[#This Row],[33kV_Ex(MWh)]]/RD[[#This Row],[Inv Total Gneration (MWh)]]-1,"")</f>
        <v>-1.9593456688533628E-3</v>
      </c>
      <c r="FC59" s="245">
        <f>IFERROR((RD[[#This Row],[Sunset Time (POA&lt;20 W/m2)]]-RD[[#This Row],[Sunrise Time (POA&gt;20 W/m2)]])*24,0)</f>
        <v>12.533333333333335</v>
      </c>
      <c r="FD59" s="246">
        <v>118</v>
      </c>
      <c r="FE59" t="s">
        <v>289</v>
      </c>
      <c r="FG59" s="144" t="str">
        <f>IFERROR(RD[[#This Row],[E_AC (WPR)]]/RD[[#This Row],[E_DC (WPR)]],"")</f>
        <v/>
      </c>
    </row>
    <row r="60" spans="1:163">
      <c r="A60" s="133">
        <f t="shared" si="161"/>
        <v>45800</v>
      </c>
      <c r="B60" s="138">
        <f>YEAR(RD[[#This Row],[Date]])+IF(MONTH(RD[[#This Row],[Date]])&gt;=4,1,0)</f>
        <v>2026</v>
      </c>
      <c r="C60" s="138">
        <f>YEAR(RD[[#This Row],[Date]])</f>
        <v>2025</v>
      </c>
      <c r="D60" s="139">
        <f t="shared" si="162"/>
        <v>45778</v>
      </c>
      <c r="E60" s="138">
        <f>DAY(EOMONTH(RD[[#This Row],[Date]],0))</f>
        <v>31</v>
      </c>
      <c r="F60" s="152">
        <v>0.27430555555555558</v>
      </c>
      <c r="G60" s="162">
        <v>0.74722222222222223</v>
      </c>
      <c r="H60" s="124">
        <v>3698</v>
      </c>
      <c r="I60" s="266">
        <v>3662</v>
      </c>
      <c r="J60" s="124">
        <v>3425</v>
      </c>
      <c r="K60" s="124">
        <v>3482</v>
      </c>
      <c r="L60" s="124">
        <v>3599</v>
      </c>
      <c r="M60" s="124">
        <v>3692</v>
      </c>
      <c r="N60" s="124">
        <v>3572</v>
      </c>
      <c r="O60" s="124">
        <v>3962</v>
      </c>
      <c r="P60" s="124">
        <v>3690</v>
      </c>
      <c r="Q60" s="124">
        <v>3605</v>
      </c>
      <c r="R60" s="124">
        <v>3788</v>
      </c>
      <c r="S60" s="268">
        <v>3775</v>
      </c>
      <c r="T60" s="124">
        <v>3909</v>
      </c>
      <c r="U60" s="124">
        <v>3877</v>
      </c>
      <c r="V60" s="124">
        <v>3841</v>
      </c>
      <c r="W60" s="124">
        <v>3612.7</v>
      </c>
      <c r="X60" s="268">
        <v>5211.8</v>
      </c>
      <c r="Y60" s="203">
        <v>5991.3</v>
      </c>
      <c r="Z60" s="203">
        <v>4971</v>
      </c>
      <c r="AA60" s="203">
        <v>5206.5</v>
      </c>
      <c r="AB60" s="268">
        <v>6011.3</v>
      </c>
      <c r="AC60" s="203">
        <v>3711</v>
      </c>
      <c r="AD60" s="203">
        <v>5555</v>
      </c>
      <c r="AE60" s="203">
        <v>5675</v>
      </c>
      <c r="AF60" s="268">
        <v>5490.5</v>
      </c>
      <c r="AG60" s="203">
        <v>5436.5</v>
      </c>
      <c r="AH60" s="203">
        <v>5471</v>
      </c>
      <c r="AI60" s="268">
        <v>5523</v>
      </c>
      <c r="AJ60" s="203">
        <v>4689</v>
      </c>
      <c r="AK60" s="268">
        <v>4791</v>
      </c>
      <c r="AL60" s="203">
        <v>4690</v>
      </c>
      <c r="AM60" s="268">
        <v>4742.1000000000004</v>
      </c>
      <c r="AN60" s="203">
        <v>4691</v>
      </c>
      <c r="AO60" s="268">
        <v>4866</v>
      </c>
      <c r="AP60" s="203">
        <v>4778</v>
      </c>
      <c r="AQ60" s="268">
        <v>4733</v>
      </c>
      <c r="AR60" s="203">
        <v>3790</v>
      </c>
      <c r="AS60" s="268">
        <v>3820</v>
      </c>
      <c r="AT60" s="203">
        <v>3815</v>
      </c>
      <c r="AU60" s="268">
        <v>3663</v>
      </c>
      <c r="AV60" s="203">
        <v>3898</v>
      </c>
      <c r="AW60" s="203">
        <v>3847</v>
      </c>
      <c r="AX60" s="203">
        <v>5452.5</v>
      </c>
      <c r="AY60" s="203">
        <v>6159.3</v>
      </c>
      <c r="AZ60" s="203">
        <v>4422</v>
      </c>
      <c r="BA60" s="203">
        <v>5390</v>
      </c>
      <c r="BB60" s="203">
        <v>5123</v>
      </c>
      <c r="BC60" s="203">
        <v>4278</v>
      </c>
      <c r="BD60" s="203">
        <v>3611</v>
      </c>
      <c r="BE60" s="203">
        <v>4833</v>
      </c>
      <c r="BF60" s="203">
        <v>5850</v>
      </c>
      <c r="BG60" s="203">
        <v>2090</v>
      </c>
      <c r="BH60" s="203">
        <v>0</v>
      </c>
      <c r="BI60" s="203">
        <v>0</v>
      </c>
      <c r="BJ60" s="203">
        <v>3431</v>
      </c>
      <c r="BK60" s="203">
        <v>2321</v>
      </c>
      <c r="BL60" s="203">
        <v>3290</v>
      </c>
      <c r="BM60" s="203">
        <v>3255</v>
      </c>
      <c r="BN60" s="203">
        <v>3589</v>
      </c>
      <c r="BO60" s="203">
        <v>3402</v>
      </c>
      <c r="BP60" s="203">
        <v>3756</v>
      </c>
      <c r="BQ60" s="203">
        <v>3285</v>
      </c>
      <c r="BR60" s="203">
        <v>8405</v>
      </c>
      <c r="BS60" s="203">
        <v>8164</v>
      </c>
      <c r="BT60" s="203">
        <v>1756</v>
      </c>
      <c r="BU60" s="203">
        <v>2936</v>
      </c>
      <c r="BV60" s="203"/>
      <c r="BW60" s="203"/>
      <c r="BX60" s="203"/>
      <c r="BY60" s="203"/>
      <c r="BZ60" s="203">
        <v>484</v>
      </c>
      <c r="CA60" s="203">
        <v>401</v>
      </c>
      <c r="CB60" s="203">
        <v>2086</v>
      </c>
      <c r="CC60" s="203">
        <v>3529</v>
      </c>
      <c r="CD60" s="263">
        <v>2.5162932999999974</v>
      </c>
      <c r="CE60" s="263">
        <v>2.768553383333336</v>
      </c>
      <c r="CF60" s="263">
        <v>2.5669880166666639</v>
      </c>
      <c r="CG60" s="263">
        <v>2.8246211500000022</v>
      </c>
      <c r="CH60" s="263">
        <v>0.26283025000000004</v>
      </c>
      <c r="CI60" s="263">
        <v>0.32832750000000055</v>
      </c>
      <c r="CJ60" s="263">
        <v>0.36693244999999974</v>
      </c>
      <c r="CK60" s="263">
        <v>0.37569235000000001</v>
      </c>
      <c r="CL60" s="263">
        <v>28.353896604938356</v>
      </c>
      <c r="CM60" s="263">
        <v>28.093466872110884</v>
      </c>
      <c r="CN60" s="263">
        <v>38.075337191358059</v>
      </c>
      <c r="CO60" s="263">
        <v>36.421890600924456</v>
      </c>
      <c r="CP60" s="263">
        <v>80.236417438271801</v>
      </c>
      <c r="CQ60" s="263">
        <v>81.469250385208014</v>
      </c>
      <c r="CR60" s="263">
        <v>0</v>
      </c>
      <c r="CS60" s="263">
        <v>0</v>
      </c>
      <c r="CT60" s="263">
        <v>0.68925540123456808</v>
      </c>
      <c r="CU60" s="263">
        <v>0.7137704160246533</v>
      </c>
      <c r="CV60" s="263">
        <v>2.0489999999999999</v>
      </c>
      <c r="CW60" s="263">
        <v>2.016</v>
      </c>
      <c r="CX60" s="204">
        <f>IFERROR(AVERAGEIF(RD[[#This Row],[IS1POA1 (KWh/m2)]:[IS7POA2 (KWh/m2)]],"&lt;&gt;0",RD[[#This Row],[IS1POA1 (KWh/m2)]:[IS7POA2 (KWh/m2)]]),"")</f>
        <v>2.6424233416666665</v>
      </c>
      <c r="CY60" s="204">
        <f>IFERROR(AVERAGEIF(RD[[#This Row],[IS1GHI1 (KWh/m2)]:[IS7GHI2 (KWh/m2)]],"&lt;&gt;0",RD[[#This Row],[IS1GHI1 (KWh/m2)]:[IS7GHI2 (KWh/m2)]]),"")</f>
        <v>2.6958045833333331</v>
      </c>
      <c r="CZ60" s="204">
        <f>IFERROR(AVERAGEIF(RD[[#This Row],[IS1POA_BS1 (KWh/m2)]:[IS7POA_BS2 (KWh/m2)]],"&lt;&gt;0",RD[[#This Row],[IS1POA_BS1 (KWh/m2)]:[IS7POA_BS2 (KWh/m2)]]),"")</f>
        <v>0.2955788750000003</v>
      </c>
      <c r="DA60" s="204">
        <f>IFERROR(AVERAGEIF(RD[[#This Row],[IS1GHI_BS1 (KWh/m2)]:[IS1GHI_BS1 (KWh/m2)2]],"&lt;&gt;0",RD[[#This Row],[IS1GHI_BS1 (KWh/m2)]:[IS1GHI_BS1 (KWh/m2)2]]),"")</f>
        <v>0.37131239999999988</v>
      </c>
      <c r="DB60" s="204">
        <f>IFERROR(AVERAGEIF(RD[[#This Row],[IS1AT1 (°C)]:[IS7AT2 (°C)]],"&lt;&gt;0",RD[[#This Row],[IS1AT1 (°C)]:[IS7AT2 (°C)]]),"")</f>
        <v>28.223681738524618</v>
      </c>
      <c r="DC60" s="204">
        <f>IFERROR(AVERAGEIF(RD[[#This Row],[IS1MT1 (°C)]:[IS7MT2 (°C)]],"&lt;&gt;0",RD[[#This Row],[IS1MT1 (°C)]:[IS7MT2 (°C)]]),"")</f>
        <v>37.248613896141258</v>
      </c>
      <c r="DD60" s="204">
        <f>IFERROR(AVERAGEIF(RD[[#This Row],[IS1RH1 (%)]:[IS7RH2 (%)]],"&lt;&gt;0",RD[[#This Row],[IS1RH1 (%)]:[IS7RH2 (%)]]),"")</f>
        <v>80.852833911739907</v>
      </c>
      <c r="DE60" s="51" t="str">
        <f>IFERROR(AVERAGEIF(RD[[#This Row],[IS1Rain1 (mm)]:[IS7Rain2 (mm)]],"&lt;&gt;0",RD[[#This Row],[IS1Rain1 (mm)]:[IS7Rain2 (mm)]]),"")</f>
        <v/>
      </c>
      <c r="DF60" s="204">
        <f>IFERROR(AVERAGEIF(RD[[#This Row],[WS_Solar1_Avg (m/s)]:[IS7_WS_Solar1_Avg (m/s)]],"&lt;&gt;0",RD[[#This Row],[WS_Solar1_Avg (m/s)]:[IS7_WS_Solar1_Avg (m/s)]]),"")</f>
        <v>0.70151290862961069</v>
      </c>
      <c r="DG60" s="204">
        <f>IFERROR(AVERAGEIF(RD[[#This Row],[WS_Solar1_Max (m/s)]:[IS7_WS_Solar1_Max (m/s)]],"&lt;&gt;0",RD[[#This Row],[WS_Solar1_Max (m/s)]:[IS7_WS_Solar1_Max (m/s)]]),"")</f>
        <v>2.0324999999999998</v>
      </c>
      <c r="DH60" s="204">
        <f>SUM(RD[[#This Row],[IS1Inv1M1]:[IS4Inv4M2]])</f>
        <v>123443.6</v>
      </c>
      <c r="DI60" s="205">
        <f>SUM(RD[[#This Row],[IS7Inv1M1]]+RD[[#This Row],[IS7Inv2M1]])</f>
        <v>7610</v>
      </c>
      <c r="DJ60" s="204">
        <f>SUM(RD[[#This Row],[IS5Inv1M1]:[IS5Inv2M2]])</f>
        <v>18912.099999999999</v>
      </c>
      <c r="DK60" s="204">
        <f>SUM(RD[[#This Row],[IS8Inv1M1]:[IS9Inv2M2]])</f>
        <v>36646.800000000003</v>
      </c>
      <c r="DL60" s="60">
        <f>SUM(RD[[#This Row],[IS6Inv1M1]:[IS6Inv2M2]])</f>
        <v>19068</v>
      </c>
      <c r="DM60" s="51">
        <f>SUM(RD[[#This Row],[IS10Inv1M1]:[IS11Inv1M4]],RD[[#This Row],[IS14Inv1M1]:[IS14Inv2M4]])</f>
        <v>44582</v>
      </c>
      <c r="DN60" s="288">
        <f>SUM(RD[[#This Row],[IS12Inv1M1]:[IS12Inv1M4]])</f>
        <v>14032</v>
      </c>
      <c r="DO60" s="288">
        <f>SUM(RD[[#This Row],[IS13Inv1M1]:[IS13Inv2M2]])</f>
        <v>21261</v>
      </c>
      <c r="DP60" s="204">
        <f>SUM(RD[[#This Row],[O2R15]:[O2R26]])</f>
        <v>285555.5</v>
      </c>
      <c r="DQ60" s="164">
        <v>40850.300000000003</v>
      </c>
      <c r="DR60" s="168">
        <v>212.9</v>
      </c>
      <c r="DS60" s="164">
        <v>35411.800000000003</v>
      </c>
      <c r="DT60" s="164">
        <v>225.1</v>
      </c>
      <c r="DU60" s="168">
        <v>41280.800000000003</v>
      </c>
      <c r="DV60" s="168">
        <v>403.6</v>
      </c>
      <c r="DW60" s="164">
        <v>9160.6</v>
      </c>
      <c r="DX60" s="168">
        <v>42.3</v>
      </c>
      <c r="DY60" s="168"/>
      <c r="DZ60" s="168"/>
      <c r="EA60" s="140">
        <v>96.43</v>
      </c>
      <c r="EB60" s="243">
        <v>130040127</v>
      </c>
      <c r="EC60" s="242">
        <v>943945.34400000004</v>
      </c>
      <c r="ED60" s="243">
        <v>1133</v>
      </c>
      <c r="EE60" s="243">
        <v>124322</v>
      </c>
      <c r="EF60" s="164">
        <v>180335.4</v>
      </c>
      <c r="EG60" s="164">
        <v>1847.8</v>
      </c>
      <c r="EH60" s="146">
        <f>IF((RD[[#This Row],[33 kV_F3_Ex
Incomer1]]-DQ59)*1000&lt;0,0,(RD[[#This Row],[33 kV_F3_Ex
Incomer1]]-DQ59)*1000)</f>
        <v>63900.000000001455</v>
      </c>
      <c r="EI60" s="146">
        <f>IF((RD[[#This Row],[34 kV_F3_Im
Incomer1]]-DR59)*1000&lt;0,0,(RD[[#This Row],[34 kV_F3_Im
Incomer1]]-DR59)*1000)</f>
        <v>300.00000000001137</v>
      </c>
      <c r="EJ60" s="146">
        <f>IF((RD[[#This Row],[33 kV_F4_Ex
Incomer2]]-DS59)*1000&lt;0,0,(RD[[#This Row],[33 kV_F4_Ex
Incomer2]]-DS59)*1000)</f>
        <v>58400.000000001455</v>
      </c>
      <c r="EK60" s="146">
        <f>IF((RD[[#This Row],[34 kV_F4_Im
Incomer2]]-DT59)*1000&lt;0,0,(RD[[#This Row],[34 kV_F4_Im
Incomer2]]-DT59)*1000)</f>
        <v>400.00000000000568</v>
      </c>
      <c r="EL60" s="146">
        <f>IF((RD[[#This Row],[33 kV_F5_Ex
Incomer3]]-DU59)*1000&lt;0,0,(RD[[#This Row],[33 kV_F5_Ex
Incomer3]]-DU59)*1000)</f>
        <v>81900.000000001455</v>
      </c>
      <c r="EM60" s="146">
        <f>IF((RD[[#This Row],[34 kV_F5_Im
Incomer3]]-DV59)*1000&lt;0,0,(RD[[#This Row],[34 kV_F5_Im
Incomer3]]-DV59)*1000)</f>
        <v>600.00000000002274</v>
      </c>
      <c r="EN60" s="146">
        <f>IF((RD[[#This Row],[33 kV_F6_Ex
Incomer4]]-DW59)*1000&lt;0,0,(RD[[#This Row],[33 kV_F6_Ex
Incomer4]]-DW59)*1000)</f>
        <v>69200.000000000728</v>
      </c>
      <c r="EO60" s="146">
        <f t="shared" si="163"/>
        <v>400.00000000000568</v>
      </c>
      <c r="EP60" s="146">
        <f>IF((RD[[#This Row],[33 kV_F7_Ex
Incomer5]]-DY59)*1000&lt;0,0,(RD[[#This Row],[33 kV_F7_Ex
Incomer5]]-DY59)*1000)</f>
        <v>0</v>
      </c>
      <c r="EQ60" s="146">
        <f>IF((RD[[#This Row],[33 kV_F7_Im
Incomer5]]-DZ59)*1000&lt;0,0,(RD[[#This Row],[33 kV_F7_Im
Incomer5]]-DZ59)*1000)</f>
        <v>0</v>
      </c>
      <c r="ER60" s="146">
        <f>IF((RD[[#This Row],[33 kV_Aux Trafo]]-EA59)*1000&lt;0,0,(RD[[#This Row],[33 kV_Aux Trafo]]-EA59)*1000)</f>
        <v>250</v>
      </c>
      <c r="ES60" s="158">
        <f>IF((RD[[#This Row],[33kV_OG1_Ex_]]-EB59)*1&lt;0,0,(RD[[#This Row],[33kV_OG1_Ex_]]-EB59)*1)</f>
        <v>274162</v>
      </c>
      <c r="ET60" s="146">
        <f>IF((RD[[#This Row],[33kV_OG1_Im]]-EC59)*1&lt;0,0,(RD[[#This Row],[33kV_OG1_Im]]-EC59)*1)</f>
        <v>2723.4560000000056</v>
      </c>
      <c r="EU60" s="146">
        <f>IF((RD[[#This Row],[132kV_TX1_EX]]-ED59)*720&lt;=0,"",(RD[[#This Row],[132kV_TX1_EX]]-ED59)*720)</f>
        <v>2160</v>
      </c>
      <c r="EV60" s="146">
        <f>IF((RD[[#This Row],[132 kV_Tx1_Im]]-EE59)*720&lt;=0,0,(RD[[#This Row],[132 kV_Tx1_Im]]-EE59)*720)</f>
        <v>196560</v>
      </c>
      <c r="EW60" s="146">
        <f>IF((RD[[#This Row],[132kV_L1_Ex]]-EF59)*720&lt;=0,0,(RD[[#This Row],[132kV_L1_Ex]]-EF59)*720)</f>
        <v>273240</v>
      </c>
      <c r="EX60" s="146">
        <f>IF((RD[[#This Row],[132kV_L1_Im]]-EG59)*720&lt;=0,0,(RD[[#This Row],[132kV_L1_Im]]-EG59)*720)</f>
        <v>3311.9999999999345</v>
      </c>
      <c r="EY60" s="244">
        <f>IFERROR(RD[[#This Row],[33kV_OG1_Ex (MWh)]]+RD[[#This Row],[33kV_OG1_Im (MWh)]],"")</f>
        <v>276885.45600000001</v>
      </c>
      <c r="EZ60" s="148">
        <f>RD[[#This Row],[33kV_OG1_Ex (MWh)]]-RD[[#This Row],[33kV_OG1_Im (MWh)]]</f>
        <v>271438.54399999999</v>
      </c>
      <c r="FA60" s="148">
        <f>IFERROR(RD[[#This Row],[132kV_L1_Ex(MWh)]]-RD[[#This Row],[132kV_L1_Im(MWh)]],"")</f>
        <v>269928.00000000006</v>
      </c>
      <c r="FB60" s="55">
        <f>IFERROR(RD[[#This Row],[33kV_Ex(MWh)]]/RD[[#This Row],[Inv Total Gneration (MWh)]]-1,"")</f>
        <v>-3.0362027696892557E-2</v>
      </c>
      <c r="FC60" s="245">
        <f>IFERROR((RD[[#This Row],[Sunset Time (POA&lt;20 W/m2)]]-RD[[#This Row],[Sunrise Time (POA&gt;20 W/m2)]])*24,0)</f>
        <v>11.35</v>
      </c>
      <c r="FD60" s="246">
        <v>118</v>
      </c>
      <c r="FE60" s="300" t="s">
        <v>290</v>
      </c>
      <c r="FG60" s="144" t="str">
        <f>IFERROR(RD[[#This Row],[E_AC (WPR)]]/RD[[#This Row],[E_DC (WPR)]],"")</f>
        <v/>
      </c>
    </row>
    <row r="61" spans="1:163">
      <c r="A61" s="133">
        <f>A60+1</f>
        <v>45801</v>
      </c>
      <c r="B61" s="138">
        <f>YEAR(RD[[#This Row],[Date]])+IF(MONTH(RD[[#This Row],[Date]])&gt;=4,1,0)</f>
        <v>2026</v>
      </c>
      <c r="C61" s="138">
        <f>YEAR(RD[[#This Row],[Date]])</f>
        <v>2025</v>
      </c>
      <c r="D61" s="139">
        <f t="shared" ref="D61:D68" si="164">A61-DAY(A61)+1</f>
        <v>45778</v>
      </c>
      <c r="E61" s="138">
        <f>DAY(EOMONTH(RD[[#This Row],[Date]],0))</f>
        <v>31</v>
      </c>
      <c r="F61" s="152">
        <v>0.26250000000000001</v>
      </c>
      <c r="G61" s="162">
        <v>0.76736111111111116</v>
      </c>
      <c r="H61" s="124">
        <v>5103</v>
      </c>
      <c r="I61" s="266">
        <v>5042</v>
      </c>
      <c r="J61" s="124">
        <v>4730</v>
      </c>
      <c r="K61" s="124">
        <v>4788</v>
      </c>
      <c r="L61" s="124">
        <v>4930</v>
      </c>
      <c r="M61" s="124">
        <v>5101</v>
      </c>
      <c r="N61" s="124">
        <v>4925</v>
      </c>
      <c r="O61" s="124">
        <v>5487</v>
      </c>
      <c r="P61" s="124">
        <v>5032</v>
      </c>
      <c r="Q61" s="124">
        <v>4869</v>
      </c>
      <c r="R61" s="124">
        <v>5056</v>
      </c>
      <c r="S61" s="268">
        <v>5044</v>
      </c>
      <c r="T61" s="124">
        <v>5298</v>
      </c>
      <c r="U61" s="124">
        <v>5088</v>
      </c>
      <c r="V61" s="124">
        <v>5184</v>
      </c>
      <c r="W61" s="124">
        <v>4940</v>
      </c>
      <c r="X61" s="268">
        <v>6687</v>
      </c>
      <c r="Y61" s="203">
        <v>7565</v>
      </c>
      <c r="Z61" s="203">
        <v>6537</v>
      </c>
      <c r="AA61" s="203">
        <v>6862</v>
      </c>
      <c r="AB61" s="268">
        <v>7209</v>
      </c>
      <c r="AC61" s="203">
        <v>4482</v>
      </c>
      <c r="AD61" s="203">
        <v>6760</v>
      </c>
      <c r="AE61" s="203">
        <v>6917</v>
      </c>
      <c r="AF61" s="268">
        <v>6743</v>
      </c>
      <c r="AG61" s="203">
        <v>6703</v>
      </c>
      <c r="AH61" s="203">
        <v>6721</v>
      </c>
      <c r="AI61" s="268">
        <v>6770</v>
      </c>
      <c r="AJ61" s="203">
        <v>5830</v>
      </c>
      <c r="AK61" s="268">
        <v>5994</v>
      </c>
      <c r="AL61" s="203">
        <v>5893</v>
      </c>
      <c r="AM61" s="268">
        <v>5936</v>
      </c>
      <c r="AN61" s="203">
        <v>5873</v>
      </c>
      <c r="AO61" s="268">
        <v>6107</v>
      </c>
      <c r="AP61" s="203">
        <v>5980</v>
      </c>
      <c r="AQ61" s="268">
        <v>5934</v>
      </c>
      <c r="AR61" s="203">
        <v>4776</v>
      </c>
      <c r="AS61" s="268">
        <v>4808</v>
      </c>
      <c r="AT61" s="203">
        <v>4825</v>
      </c>
      <c r="AU61" s="268">
        <v>4789</v>
      </c>
      <c r="AV61" s="203">
        <v>4908</v>
      </c>
      <c r="AW61" s="203">
        <v>4849</v>
      </c>
      <c r="AX61" s="203">
        <v>6804</v>
      </c>
      <c r="AY61" s="203">
        <v>7712</v>
      </c>
      <c r="AZ61" s="203">
        <v>5549</v>
      </c>
      <c r="BA61" s="203">
        <v>6750</v>
      </c>
      <c r="BB61" s="203">
        <v>6514</v>
      </c>
      <c r="BC61" s="203">
        <v>5455</v>
      </c>
      <c r="BD61" s="203">
        <v>4592</v>
      </c>
      <c r="BE61" s="203">
        <v>6145</v>
      </c>
      <c r="BF61" s="203">
        <v>6065</v>
      </c>
      <c r="BG61" s="203">
        <v>2145</v>
      </c>
      <c r="BH61" s="203">
        <v>0</v>
      </c>
      <c r="BI61" s="203">
        <v>0</v>
      </c>
      <c r="BJ61" s="203">
        <v>4314</v>
      </c>
      <c r="BK61" s="203">
        <v>2958</v>
      </c>
      <c r="BL61" s="203">
        <v>4068.5</v>
      </c>
      <c r="BM61" s="203">
        <v>4120</v>
      </c>
      <c r="BN61" s="203">
        <v>4578</v>
      </c>
      <c r="BO61" s="203">
        <v>4317</v>
      </c>
      <c r="BP61" s="203">
        <v>4756</v>
      </c>
      <c r="BQ61" s="203">
        <v>4361</v>
      </c>
      <c r="BR61" s="203">
        <v>4809</v>
      </c>
      <c r="BS61" s="203">
        <v>4679</v>
      </c>
      <c r="BT61" s="203">
        <v>2492</v>
      </c>
      <c r="BU61" s="203">
        <v>4032</v>
      </c>
      <c r="BV61" s="203"/>
      <c r="BW61" s="203"/>
      <c r="BX61" s="203"/>
      <c r="BY61" s="203"/>
      <c r="BZ61" s="203">
        <v>650</v>
      </c>
      <c r="CA61" s="203">
        <v>544</v>
      </c>
      <c r="CB61" s="203">
        <v>2654</v>
      </c>
      <c r="CC61" s="203">
        <v>4427</v>
      </c>
      <c r="CD61" s="263">
        <v>3.5132229000000033</v>
      </c>
      <c r="CE61" s="263">
        <v>3.5273316833333355</v>
      </c>
      <c r="CF61" s="263">
        <v>3.6204422166666643</v>
      </c>
      <c r="CG61" s="263">
        <v>3.598386683333334</v>
      </c>
      <c r="CH61" s="263">
        <v>0.33900410000000047</v>
      </c>
      <c r="CI61" s="263">
        <v>0.44682861666666696</v>
      </c>
      <c r="CJ61" s="263">
        <v>0.5334439000000003</v>
      </c>
      <c r="CK61" s="263">
        <v>0.49315721666666701</v>
      </c>
      <c r="CL61" s="263">
        <v>27.957574536663984</v>
      </c>
      <c r="CM61" s="263">
        <v>27.889734513274334</v>
      </c>
      <c r="CN61" s="263">
        <v>38.828476228847656</v>
      </c>
      <c r="CO61" s="263">
        <v>37.020672566371687</v>
      </c>
      <c r="CP61" s="263">
        <v>74.745721192586643</v>
      </c>
      <c r="CQ61" s="263">
        <v>76.646291230893027</v>
      </c>
      <c r="CR61" s="263">
        <v>0</v>
      </c>
      <c r="CS61" s="263">
        <v>0</v>
      </c>
      <c r="CT61" s="263">
        <v>0.85523448831587323</v>
      </c>
      <c r="CU61" s="263">
        <v>0.94068704746580811</v>
      </c>
      <c r="CV61" s="263">
        <v>2.2949999999999999</v>
      </c>
      <c r="CW61" s="263">
        <v>2.274</v>
      </c>
      <c r="CX61" s="204">
        <f>IFERROR(AVERAGEIF(RD[[#This Row],[IS1POA1 (KWh/m2)]:[IS7POA2 (KWh/m2)]],"&lt;&gt;0",RD[[#This Row],[IS1POA1 (KWh/m2)]:[IS7POA2 (KWh/m2)]]),"")</f>
        <v>3.5202772916666696</v>
      </c>
      <c r="CY61" s="204">
        <f>IFERROR(AVERAGEIF(RD[[#This Row],[IS1GHI1 (KWh/m2)]:[IS7GHI2 (KWh/m2)]],"&lt;&gt;0",RD[[#This Row],[IS1GHI1 (KWh/m2)]:[IS7GHI2 (KWh/m2)]]),"")</f>
        <v>3.6094144499999992</v>
      </c>
      <c r="CZ61" s="204">
        <f>IFERROR(AVERAGEIF(RD[[#This Row],[IS1POA_BS1 (KWh/m2)]:[IS7POA_BS2 (KWh/m2)]],"&lt;&gt;0",RD[[#This Row],[IS1POA_BS1 (KWh/m2)]:[IS7POA_BS2 (KWh/m2)]]),"")</f>
        <v>0.39291635833333372</v>
      </c>
      <c r="DA61" s="204">
        <f>IFERROR(AVERAGEIF(RD[[#This Row],[IS1GHI_BS1 (KWh/m2)]:[IS1GHI_BS1 (KWh/m2)2]],"&lt;&gt;0",RD[[#This Row],[IS1GHI_BS1 (KWh/m2)]:[IS1GHI_BS1 (KWh/m2)2]]),"")</f>
        <v>0.51330055833333366</v>
      </c>
      <c r="DB61" s="204">
        <f>IFERROR(AVERAGEIF(RD[[#This Row],[IS1AT1 (°C)]:[IS7AT2 (°C)]],"&lt;&gt;0",RD[[#This Row],[IS1AT1 (°C)]:[IS7AT2 (°C)]]),"")</f>
        <v>27.923654524969159</v>
      </c>
      <c r="DC61" s="204">
        <f>IFERROR(AVERAGEIF(RD[[#This Row],[IS1MT1 (°C)]:[IS7MT2 (°C)]],"&lt;&gt;0",RD[[#This Row],[IS1MT1 (°C)]:[IS7MT2 (°C)]]),"")</f>
        <v>37.924574397609675</v>
      </c>
      <c r="DD61" s="204">
        <f>IFERROR(AVERAGEIF(RD[[#This Row],[IS1RH1 (%)]:[IS7RH2 (%)]],"&lt;&gt;0",RD[[#This Row],[IS1RH1 (%)]:[IS7RH2 (%)]]),"")</f>
        <v>75.696006211739842</v>
      </c>
      <c r="DE61" s="51" t="str">
        <f>IFERROR(AVERAGEIF(RD[[#This Row],[IS1Rain1 (mm)]:[IS7Rain2 (mm)]],"&lt;&gt;0",RD[[#This Row],[IS1Rain1 (mm)]:[IS7Rain2 (mm)]]),"")</f>
        <v/>
      </c>
      <c r="DF61" s="204">
        <f>IFERROR(AVERAGEIF(RD[[#This Row],[WS_Solar1_Avg (m/s)]:[IS7_WS_Solar1_Avg (m/s)]],"&lt;&gt;0",RD[[#This Row],[WS_Solar1_Avg (m/s)]:[IS7_WS_Solar1_Avg (m/s)]]),"")</f>
        <v>0.89796076789084067</v>
      </c>
      <c r="DG61" s="204">
        <f>IFERROR(AVERAGEIF(RD[[#This Row],[WS_Solar1_Max (m/s)]:[IS7_WS_Solar1_Max (m/s)]],"&lt;&gt;0",RD[[#This Row],[WS_Solar1_Max (m/s)]:[IS7_WS_Solar1_Max (m/s)]]),"")</f>
        <v>2.2845</v>
      </c>
      <c r="DH61" s="204">
        <f>SUM(RD[[#This Row],[IS1Inv1M1]:[IS4Inv4M2]])</f>
        <v>160573</v>
      </c>
      <c r="DI61" s="205">
        <f>SUM(RD[[#This Row],[IS7Inv1M1]]+RD[[#This Row],[IS7Inv2M1]])</f>
        <v>9584</v>
      </c>
      <c r="DJ61" s="204">
        <f>SUM(RD[[#This Row],[IS5Inv1M1]:[IS5Inv2M2]])</f>
        <v>23653</v>
      </c>
      <c r="DK61" s="204">
        <f>SUM(RD[[#This Row],[IS8Inv1M1]:[IS9Inv2M2]])</f>
        <v>46186</v>
      </c>
      <c r="DL61" s="60">
        <f>SUM(RD[[#This Row],[IS6Inv1M1]:[IS6Inv2M2]])</f>
        <v>23894</v>
      </c>
      <c r="DM61" s="51">
        <f>SUM(RD[[#This Row],[IS10Inv1M1]:[IS11Inv1M4]],RD[[#This Row],[IS14Inv1M1]:[IS14Inv2M4]])</f>
        <v>54651.5</v>
      </c>
      <c r="DN61" s="288">
        <f>SUM(RD[[#This Row],[IS12Inv1M1]:[IS12Inv1M4]])</f>
        <v>18012</v>
      </c>
      <c r="DO61" s="288">
        <f>SUM(RD[[#This Row],[IS13Inv1M1]:[IS13Inv2M2]])</f>
        <v>16012</v>
      </c>
      <c r="DP61" s="204">
        <f>SUM(RD[[#This Row],[O2R15]:[O2R26]])</f>
        <v>352565.5</v>
      </c>
      <c r="DQ61" s="164">
        <v>40929.9</v>
      </c>
      <c r="DR61" s="168">
        <v>213.1</v>
      </c>
      <c r="DS61" s="164">
        <v>35490.6</v>
      </c>
      <c r="DT61" s="164">
        <v>225.5</v>
      </c>
      <c r="DU61" s="168">
        <v>41383.4</v>
      </c>
      <c r="DV61" s="168">
        <v>404.3</v>
      </c>
      <c r="DW61" s="164">
        <v>9248.2999999999993</v>
      </c>
      <c r="DX61" s="168">
        <v>43.5</v>
      </c>
      <c r="DY61" s="168"/>
      <c r="DZ61" s="168"/>
      <c r="EA61" s="140">
        <v>96.68</v>
      </c>
      <c r="EB61" s="243">
        <v>130389901</v>
      </c>
      <c r="EC61" s="242">
        <v>946700.28799999994</v>
      </c>
      <c r="ED61" s="243">
        <v>1137</v>
      </c>
      <c r="EE61" s="243">
        <v>124670</v>
      </c>
      <c r="EF61" s="164">
        <v>180819.7</v>
      </c>
      <c r="EG61" s="164">
        <v>1852.4</v>
      </c>
      <c r="EH61" s="146">
        <f>IF((RD[[#This Row],[33 kV_F3_Ex
Incomer1]]-DQ60)*1000&lt;0,0,(RD[[#This Row],[33 kV_F3_Ex
Incomer1]]-DQ60)*1000)</f>
        <v>79599.999999998545</v>
      </c>
      <c r="EI61" s="146">
        <f>IF((RD[[#This Row],[34 kV_F3_Im
Incomer1]]-DR60)*1000&lt;0,0,(RD[[#This Row],[34 kV_F3_Im
Incomer1]]-DR60)*1000)</f>
        <v>199.99999999998863</v>
      </c>
      <c r="EJ61" s="146">
        <f>IF((RD[[#This Row],[33 kV_F4_Ex
Incomer2]]-DS60)*1000&lt;0,0,(RD[[#This Row],[33 kV_F4_Ex
Incomer2]]-DS60)*1000)</f>
        <v>78799.999999995634</v>
      </c>
      <c r="EK61" s="146">
        <f>IF((RD[[#This Row],[34 kV_F4_Im
Incomer2]]-DT60)*1000&lt;0,0,(RD[[#This Row],[34 kV_F4_Im
Incomer2]]-DT60)*1000)</f>
        <v>400.00000000000568</v>
      </c>
      <c r="EL61" s="146">
        <f>IF((RD[[#This Row],[33 kV_F5_Ex
Incomer3]]-DU60)*1000&lt;0,0,(RD[[#This Row],[33 kV_F5_Ex
Incomer3]]-DU60)*1000)</f>
        <v>102599.99999999854</v>
      </c>
      <c r="EM61" s="146">
        <f>IF((RD[[#This Row],[34 kV_F5_Im
Incomer3]]-DV60)*1000&lt;0,0,(RD[[#This Row],[34 kV_F5_Im
Incomer3]]-DV60)*1000)</f>
        <v>699.99999999998863</v>
      </c>
      <c r="EN61" s="146">
        <f>IF((RD[[#This Row],[33 kV_F6_Ex
Incomer4]]-DW60)*1000&lt;0,0,(RD[[#This Row],[33 kV_F6_Ex
Incomer4]]-DW60)*1000)</f>
        <v>87699.999999998909</v>
      </c>
      <c r="EO61" s="146">
        <f t="shared" si="163"/>
        <v>300.00000000001137</v>
      </c>
      <c r="EP61" s="146">
        <f>IF((RD[[#This Row],[33 kV_F7_Ex
Incomer5]]-DY60)*1000&lt;0,0,(RD[[#This Row],[33 kV_F7_Ex
Incomer5]]-DY60)*1000)</f>
        <v>0</v>
      </c>
      <c r="EQ61" s="146">
        <f>IF((RD[[#This Row],[33 kV_F7_Im
Incomer5]]-DZ60)*1000&lt;0,0,(RD[[#This Row],[33 kV_F7_Im
Incomer5]]-DZ60)*1000)</f>
        <v>0</v>
      </c>
      <c r="ER61" s="146">
        <f>IF((RD[[#This Row],[33 kV_Aux Trafo]]-EA60)*1000&lt;0,0,(RD[[#This Row],[33 kV_Aux Trafo]]-EA60)*1000)</f>
        <v>250</v>
      </c>
      <c r="ES61" s="158">
        <f>IF((RD[[#This Row],[33kV_OG1_Ex_]]-EB60)*1&lt;0,0,(RD[[#This Row],[33kV_OG1_Ex_]]-EB60)*1)</f>
        <v>349774</v>
      </c>
      <c r="ET61" s="146">
        <f>IF((RD[[#This Row],[33kV_OG1_Im]]-EC60)*1&lt;0,0,(RD[[#This Row],[33kV_OG1_Im]]-EC60)*1)</f>
        <v>2754.9439999999013</v>
      </c>
      <c r="EU61" s="146">
        <f>IF((RD[[#This Row],[132kV_TX1_EX]]-ED60)*720&lt;=0,"",(RD[[#This Row],[132kV_TX1_EX]]-ED60)*720)</f>
        <v>2880</v>
      </c>
      <c r="EV61" s="146">
        <f>IF((RD[[#This Row],[132 kV_Tx1_Im]]-EE60)*720&lt;=0,0,(RD[[#This Row],[132 kV_Tx1_Im]]-EE60)*720)</f>
        <v>250560</v>
      </c>
      <c r="EW61" s="146">
        <f>IF((RD[[#This Row],[132kV_L1_Ex]]-EF60)*720&lt;=0,0,(RD[[#This Row],[132kV_L1_Ex]]-EF60)*720)</f>
        <v>348696.00000001257</v>
      </c>
      <c r="EX61" s="146">
        <f>IF((RD[[#This Row],[132kV_L1_Im]]-EG60)*720&lt;=0,0,(RD[[#This Row],[132kV_L1_Im]]-EG60)*720)</f>
        <v>3312.0000000000982</v>
      </c>
      <c r="EY61" s="244">
        <f>IFERROR(RD[[#This Row],[33kV_OG1_Ex (MWh)]]+RD[[#This Row],[33kV_OG1_Im (MWh)]],"")</f>
        <v>352528.9439999999</v>
      </c>
      <c r="EZ61" s="148">
        <f>RD[[#This Row],[33kV_OG1_Ex (MWh)]]-RD[[#This Row],[33kV_OG1_Im (MWh)]]</f>
        <v>347019.0560000001</v>
      </c>
      <c r="FA61" s="148">
        <f>IFERROR(RD[[#This Row],[132kV_L1_Ex(MWh)]]-RD[[#This Row],[132kV_L1_Im(MWh)]],"")</f>
        <v>345384.00000001246</v>
      </c>
      <c r="FB61" s="55">
        <f>IFERROR(RD[[#This Row],[33kV_Ex(MWh)]]/RD[[#This Row],[Inv Total Gneration (MWh)]]-1,"")</f>
        <v>-1.0368569811880501E-4</v>
      </c>
      <c r="FC61" s="245">
        <f>IFERROR((RD[[#This Row],[Sunset Time (POA&lt;20 W/m2)]]-RD[[#This Row],[Sunrise Time (POA&gt;20 W/m2)]])*24,0)</f>
        <v>12.116666666666669</v>
      </c>
      <c r="FD61" s="246">
        <v>118</v>
      </c>
      <c r="FE61" s="300" t="s">
        <v>291</v>
      </c>
      <c r="FG61" s="144" t="str">
        <f>IFERROR(RD[[#This Row],[E_AC (WPR)]]/RD[[#This Row],[E_DC (WPR)]],"")</f>
        <v/>
      </c>
    </row>
    <row r="62" spans="1:163">
      <c r="A62" s="133">
        <f t="shared" si="161"/>
        <v>45802</v>
      </c>
      <c r="B62" s="138">
        <f>YEAR(RD[[#This Row],[Date]])+IF(MONTH(RD[[#This Row],[Date]])&gt;=4,1,0)</f>
        <v>2026</v>
      </c>
      <c r="C62" s="138">
        <f>YEAR(RD[[#This Row],[Date]])</f>
        <v>2025</v>
      </c>
      <c r="D62" s="139">
        <f t="shared" si="164"/>
        <v>45778</v>
      </c>
      <c r="E62" s="138">
        <f>DAY(EOMONTH(RD[[#This Row],[Date]],0))</f>
        <v>31</v>
      </c>
      <c r="F62" s="152">
        <v>0.27500000000000002</v>
      </c>
      <c r="G62" s="162">
        <v>0.76875000000000004</v>
      </c>
      <c r="H62" s="124">
        <v>2696</v>
      </c>
      <c r="I62" s="266">
        <v>2668</v>
      </c>
      <c r="J62" s="124">
        <v>2497</v>
      </c>
      <c r="K62" s="124">
        <v>2529</v>
      </c>
      <c r="L62" s="124">
        <v>2624</v>
      </c>
      <c r="M62" s="124">
        <v>2720</v>
      </c>
      <c r="N62" s="124">
        <v>2603</v>
      </c>
      <c r="O62" s="124">
        <v>2906</v>
      </c>
      <c r="P62" s="124">
        <v>2629</v>
      </c>
      <c r="Q62" s="124">
        <v>2576</v>
      </c>
      <c r="R62" s="124">
        <v>2661</v>
      </c>
      <c r="S62" s="268">
        <v>2642</v>
      </c>
      <c r="T62" s="124">
        <v>2782</v>
      </c>
      <c r="U62" s="124">
        <v>2771</v>
      </c>
      <c r="V62" s="124">
        <v>2730</v>
      </c>
      <c r="W62" s="124">
        <v>2590</v>
      </c>
      <c r="X62" s="268">
        <v>3738</v>
      </c>
      <c r="Y62" s="203">
        <v>4240</v>
      </c>
      <c r="Z62" s="203">
        <v>3634</v>
      </c>
      <c r="AA62" s="203">
        <v>3818</v>
      </c>
      <c r="AB62" s="268">
        <v>3964</v>
      </c>
      <c r="AC62" s="203">
        <v>2485</v>
      </c>
      <c r="AD62" s="203">
        <v>3756</v>
      </c>
      <c r="AE62" s="203">
        <v>3836</v>
      </c>
      <c r="AF62" s="268">
        <v>3755</v>
      </c>
      <c r="AG62" s="203">
        <v>3741</v>
      </c>
      <c r="AH62" s="203">
        <v>3725</v>
      </c>
      <c r="AI62" s="268">
        <v>3751</v>
      </c>
      <c r="AJ62" s="203">
        <v>3388</v>
      </c>
      <c r="AK62" s="268">
        <v>3469</v>
      </c>
      <c r="AL62" s="203">
        <v>3395</v>
      </c>
      <c r="AM62" s="268">
        <v>3426</v>
      </c>
      <c r="AN62" s="203">
        <v>3389</v>
      </c>
      <c r="AO62" s="268">
        <v>3494</v>
      </c>
      <c r="AP62" s="203">
        <v>3440</v>
      </c>
      <c r="AQ62" s="268">
        <v>3390</v>
      </c>
      <c r="AR62" s="203">
        <v>2625</v>
      </c>
      <c r="AS62" s="268">
        <v>2643</v>
      </c>
      <c r="AT62" s="203">
        <v>2682</v>
      </c>
      <c r="AU62" s="268">
        <v>2674</v>
      </c>
      <c r="AV62" s="203">
        <v>2729</v>
      </c>
      <c r="AW62" s="203">
        <v>2676</v>
      </c>
      <c r="AX62" s="203">
        <v>3894</v>
      </c>
      <c r="AY62" s="203">
        <v>4348.5</v>
      </c>
      <c r="AZ62" s="203">
        <v>3086</v>
      </c>
      <c r="BA62" s="203">
        <v>3722</v>
      </c>
      <c r="BB62" s="203">
        <v>3951.8</v>
      </c>
      <c r="BC62" s="203">
        <v>3347.3</v>
      </c>
      <c r="BD62" s="203">
        <v>2828</v>
      </c>
      <c r="BE62" s="203">
        <v>3757.9</v>
      </c>
      <c r="BF62" s="203">
        <v>5855</v>
      </c>
      <c r="BG62" s="203">
        <v>2030</v>
      </c>
      <c r="BH62" s="203">
        <v>0</v>
      </c>
      <c r="BI62" s="203">
        <v>0</v>
      </c>
      <c r="BJ62" s="203">
        <v>1493</v>
      </c>
      <c r="BK62" s="203">
        <v>1046</v>
      </c>
      <c r="BL62" s="203">
        <v>1417</v>
      </c>
      <c r="BM62" s="203">
        <v>1473</v>
      </c>
      <c r="BN62" s="203">
        <v>2741</v>
      </c>
      <c r="BO62" s="203">
        <v>2605</v>
      </c>
      <c r="BP62" s="203">
        <v>2858</v>
      </c>
      <c r="BQ62" s="203">
        <v>2625</v>
      </c>
      <c r="BR62" s="203">
        <v>3056</v>
      </c>
      <c r="BS62" s="203">
        <v>2988</v>
      </c>
      <c r="BT62" s="203">
        <v>1610</v>
      </c>
      <c r="BU62" s="203">
        <v>2549</v>
      </c>
      <c r="BV62" s="203"/>
      <c r="BW62" s="203"/>
      <c r="BX62" s="203"/>
      <c r="BY62" s="203"/>
      <c r="BZ62" s="203">
        <v>342</v>
      </c>
      <c r="CA62" s="203">
        <v>278</v>
      </c>
      <c r="CB62" s="203">
        <v>1599.6</v>
      </c>
      <c r="CC62" s="203">
        <v>2721</v>
      </c>
      <c r="CD62" s="263">
        <v>1.8749469999999984</v>
      </c>
      <c r="CE62" s="263">
        <v>1.9846205000000003</v>
      </c>
      <c r="CF62" s="263">
        <v>1.9224709999999987</v>
      </c>
      <c r="CG62" s="263">
        <v>1.9907261333333333</v>
      </c>
      <c r="CH62" s="263">
        <v>0.1719139833333338</v>
      </c>
      <c r="CI62" s="263">
        <v>0.21344614999999995</v>
      </c>
      <c r="CJ62" s="263">
        <v>0.25387543333333368</v>
      </c>
      <c r="CK62" s="263">
        <v>0.24135943333333357</v>
      </c>
      <c r="CL62" s="263">
        <v>27.173444976076549</v>
      </c>
      <c r="CM62" s="263">
        <v>26.188108108108096</v>
      </c>
      <c r="CN62" s="263">
        <v>34.94104146730465</v>
      </c>
      <c r="CO62" s="263">
        <v>33.144282988871218</v>
      </c>
      <c r="CP62" s="263">
        <v>91.654728867623646</v>
      </c>
      <c r="CQ62" s="263">
        <v>91.400492845786914</v>
      </c>
      <c r="CR62" s="263">
        <v>0.61244019138756312</v>
      </c>
      <c r="CS62" s="263">
        <v>0.69634340222575641</v>
      </c>
      <c r="CT62" s="263">
        <v>0.86466028708134124</v>
      </c>
      <c r="CU62" s="263">
        <v>0.80971383147853671</v>
      </c>
      <c r="CV62" s="263">
        <v>2.5230000000000001</v>
      </c>
      <c r="CW62" s="263">
        <v>2.25</v>
      </c>
      <c r="CX62" s="204">
        <f>IFERROR(AVERAGEIF(RD[[#This Row],[IS1POA1 (KWh/m2)]:[IS7POA2 (KWh/m2)]],"&lt;&gt;0",RD[[#This Row],[IS1POA1 (KWh/m2)]:[IS7POA2 (KWh/m2)]]),"")</f>
        <v>1.9297837499999995</v>
      </c>
      <c r="CY62" s="204">
        <f>IFERROR(AVERAGEIF(RD[[#This Row],[IS1GHI1 (KWh/m2)]:[IS7GHI2 (KWh/m2)]],"&lt;&gt;0",RD[[#This Row],[IS1GHI1 (KWh/m2)]:[IS7GHI2 (KWh/m2)]]),"")</f>
        <v>1.9565985666666661</v>
      </c>
      <c r="CZ62" s="204">
        <f>IFERROR(AVERAGEIF(RD[[#This Row],[IS1POA_BS1 (KWh/m2)]:[IS7POA_BS2 (KWh/m2)]],"&lt;&gt;0",RD[[#This Row],[IS1POA_BS1 (KWh/m2)]:[IS7POA_BS2 (KWh/m2)]]),"")</f>
        <v>0.19268006666666687</v>
      </c>
      <c r="DA62" s="204">
        <f>IFERROR(AVERAGEIF(RD[[#This Row],[IS1GHI_BS1 (KWh/m2)]:[IS1GHI_BS1 (KWh/m2)2]],"&lt;&gt;0",RD[[#This Row],[IS1GHI_BS1 (KWh/m2)]:[IS1GHI_BS1 (KWh/m2)2]]),"")</f>
        <v>0.24761743333333364</v>
      </c>
      <c r="DB62" s="204">
        <f>IFERROR(AVERAGEIF(RD[[#This Row],[IS1AT1 (°C)]:[IS7AT2 (°C)]],"&lt;&gt;0",RD[[#This Row],[IS1AT1 (°C)]:[IS7AT2 (°C)]]),"")</f>
        <v>26.680776542092325</v>
      </c>
      <c r="DC62" s="204">
        <f>IFERROR(AVERAGEIF(RD[[#This Row],[IS1MT1 (°C)]:[IS7MT2 (°C)]],"&lt;&gt;0",RD[[#This Row],[IS1MT1 (°C)]:[IS7MT2 (°C)]]),"")</f>
        <v>34.042662228087934</v>
      </c>
      <c r="DD62" s="204">
        <f>IFERROR(AVERAGEIF(RD[[#This Row],[IS1RH1 (%)]:[IS7RH2 (%)]],"&lt;&gt;0",RD[[#This Row],[IS1RH1 (%)]:[IS7RH2 (%)]]),"")</f>
        <v>91.52761085670528</v>
      </c>
      <c r="DE62" s="51">
        <f>IFERROR(AVERAGEIF(RD[[#This Row],[IS1Rain1 (mm)]:[IS7Rain2 (mm)]],"&lt;&gt;0",RD[[#This Row],[IS1Rain1 (mm)]:[IS7Rain2 (mm)]]),"")</f>
        <v>0.65439179680665971</v>
      </c>
      <c r="DF62" s="204">
        <f>IFERROR(AVERAGEIF(RD[[#This Row],[WS_Solar1_Avg (m/s)]:[IS7_WS_Solar1_Avg (m/s)]],"&lt;&gt;0",RD[[#This Row],[WS_Solar1_Avg (m/s)]:[IS7_WS_Solar1_Avg (m/s)]]),"")</f>
        <v>0.83718705927993897</v>
      </c>
      <c r="DG62" s="204">
        <f>IFERROR(AVERAGEIF(RD[[#This Row],[WS_Solar1_Max (m/s)]:[IS7_WS_Solar1_Max (m/s)]],"&lt;&gt;0",RD[[#This Row],[WS_Solar1_Max (m/s)]:[IS7_WS_Solar1_Max (m/s)]]),"")</f>
        <v>2.3864999999999998</v>
      </c>
      <c r="DH62" s="204">
        <f>SUM(RD[[#This Row],[IS1Inv1M1]:[IS4Inv4M2]])</f>
        <v>87067</v>
      </c>
      <c r="DI62" s="205">
        <f>SUM(RD[[#This Row],[IS7Inv1M1]]+RD[[#This Row],[IS7Inv2M1]])</f>
        <v>5268</v>
      </c>
      <c r="DJ62" s="204">
        <f>SUM(RD[[#This Row],[IS5Inv1M1]:[IS5Inv2M2]])</f>
        <v>13678</v>
      </c>
      <c r="DK62" s="204">
        <f>SUM(RD[[#This Row],[IS8Inv1M1]:[IS9Inv2M2]])</f>
        <v>25811.5</v>
      </c>
      <c r="DL62" s="60">
        <f>SUM(RD[[#This Row],[IS6Inv1M1]:[IS6Inv2M2]])</f>
        <v>13713</v>
      </c>
      <c r="DM62" s="51">
        <f>SUM(RD[[#This Row],[IS10Inv1M1]:[IS11Inv1M4]],RD[[#This Row],[IS14Inv1M1]:[IS14Inv2M4]])</f>
        <v>32139.599999999999</v>
      </c>
      <c r="DN62" s="288">
        <f>SUM(RD[[#This Row],[IS12Inv1M1]:[IS12Inv1M4]])</f>
        <v>10829</v>
      </c>
      <c r="DO62" s="288">
        <f>SUM(RD[[#This Row],[IS13Inv1M1]:[IS13Inv2M2]])</f>
        <v>10203</v>
      </c>
      <c r="DP62" s="204">
        <f>SUM(RD[[#This Row],[O2R15]:[O2R26]])</f>
        <v>198709.1</v>
      </c>
      <c r="DQ62" s="164">
        <v>40974</v>
      </c>
      <c r="DR62" s="168">
        <v>213.4</v>
      </c>
      <c r="DS62" s="164">
        <v>35532.699999999997</v>
      </c>
      <c r="DT62" s="164">
        <v>225.8</v>
      </c>
      <c r="DU62" s="168">
        <v>41441.699999999997</v>
      </c>
      <c r="DV62" s="168">
        <v>404.9</v>
      </c>
      <c r="DW62" s="164">
        <v>9298.6</v>
      </c>
      <c r="DX62" s="168">
        <v>44.5</v>
      </c>
      <c r="DY62" s="168"/>
      <c r="DZ62" s="168"/>
      <c r="EA62" s="140">
        <v>96.91</v>
      </c>
      <c r="EB62" s="243">
        <v>130585796</v>
      </c>
      <c r="EC62" s="242">
        <v>949158.52800000005</v>
      </c>
      <c r="ED62" s="243">
        <v>1140</v>
      </c>
      <c r="EE62" s="243">
        <v>124865</v>
      </c>
      <c r="EF62" s="164">
        <v>181090.7</v>
      </c>
      <c r="EG62" s="164">
        <v>1856.4</v>
      </c>
      <c r="EH62" s="146">
        <f>IF((RD[[#This Row],[33 kV_F3_Ex
Incomer1]]-DQ61)*1000&lt;0,0,(RD[[#This Row],[33 kV_F3_Ex
Incomer1]]-DQ61)*1000)</f>
        <v>44099.999999998545</v>
      </c>
      <c r="EI62" s="146">
        <f>IF((RD[[#This Row],[34 kV_F3_Im
Incomer1]]-DR61)*1000&lt;0,0,(RD[[#This Row],[34 kV_F3_Im
Incomer1]]-DR61)*1000)</f>
        <v>300.00000000001137</v>
      </c>
      <c r="EJ62" s="146">
        <f>IF((RD[[#This Row],[33 kV_F4_Ex
Incomer2]]-DS61)*1000&lt;0,0,(RD[[#This Row],[33 kV_F4_Ex
Incomer2]]-DS61)*1000)</f>
        <v>42099.999999998545</v>
      </c>
      <c r="EK62" s="146">
        <f>IF((RD[[#This Row],[34 kV_F4_Im
Incomer2]]-DT61)*1000&lt;0,0,(RD[[#This Row],[34 kV_F4_Im
Incomer2]]-DT61)*1000)</f>
        <v>300.00000000001137</v>
      </c>
      <c r="EL62" s="146">
        <f>IF((RD[[#This Row],[33 kV_F5_Ex
Incomer3]]-DU61)*1000&lt;0,0,(RD[[#This Row],[33 kV_F5_Ex
Incomer3]]-DU61)*1000)</f>
        <v>58299.999999995634</v>
      </c>
      <c r="EM62" s="146">
        <f>IF((RD[[#This Row],[34 kV_F5_Im
Incomer3]]-DV61)*1000&lt;0,0,(RD[[#This Row],[34 kV_F5_Im
Incomer3]]-DV61)*1000)</f>
        <v>599.99999999996589</v>
      </c>
      <c r="EN62" s="146">
        <f>IF((RD[[#This Row],[33 kV_F6_Ex
Incomer4]]-DW61)*1000&lt;0,0,(RD[[#This Row],[33 kV_F6_Ex
Incomer4]]-DW61)*1000)</f>
        <v>50300.000000001091</v>
      </c>
      <c r="EO62" s="146">
        <f t="shared" si="163"/>
        <v>299.99999999998295</v>
      </c>
      <c r="EP62" s="146">
        <f>IF((RD[[#This Row],[33 kV_F7_Ex
Incomer5]]-DY61)*1000&lt;0,0,(RD[[#This Row],[33 kV_F7_Ex
Incomer5]]-DY61)*1000)</f>
        <v>0</v>
      </c>
      <c r="EQ62" s="146">
        <f>IF((RD[[#This Row],[33 kV_F7_Im
Incomer5]]-DZ61)*1000&lt;0,0,(RD[[#This Row],[33 kV_F7_Im
Incomer5]]-DZ61)*1000)</f>
        <v>0</v>
      </c>
      <c r="ER62" s="146">
        <f>IF((RD[[#This Row],[33 kV_Aux Trafo]]-EA61)*1000&lt;0,0,(RD[[#This Row],[33 kV_Aux Trafo]]-EA61)*1000)</f>
        <v>229.99999999998977</v>
      </c>
      <c r="ES62" s="158">
        <f>IF((RD[[#This Row],[33kV_OG1_Ex_]]-EB61)*1&lt;0,0,(RD[[#This Row],[33kV_OG1_Ex_]]-EB61)*1)</f>
        <v>195895</v>
      </c>
      <c r="ET62" s="146">
        <f>IF((RD[[#This Row],[33kV_OG1_Im]]-EC61)*1&lt;0,0,(RD[[#This Row],[33kV_OG1_Im]]-EC61)*1)</f>
        <v>2458.2400000001071</v>
      </c>
      <c r="EU62" s="146">
        <f>IF((RD[[#This Row],[132kV_TX1_EX]]-ED61)*720&lt;=0,"",(RD[[#This Row],[132kV_TX1_EX]]-ED61)*720)</f>
        <v>2160</v>
      </c>
      <c r="EV62" s="146">
        <f>IF((RD[[#This Row],[132 kV_Tx1_Im]]-EE61)*720&lt;=0,0,(RD[[#This Row],[132 kV_Tx1_Im]]-EE61)*720)</f>
        <v>140400</v>
      </c>
      <c r="EW62" s="146">
        <f>IF((RD[[#This Row],[132kV_L1_Ex]]-EF61)*720&lt;=0,0,(RD[[#This Row],[132kV_L1_Ex]]-EF61)*720)</f>
        <v>195120</v>
      </c>
      <c r="EX62" s="146">
        <f>IF((RD[[#This Row],[132kV_L1_Im]]-EG61)*720&lt;=0,0,(RD[[#This Row],[132kV_L1_Im]]-EG61)*720)</f>
        <v>2880</v>
      </c>
      <c r="EY62" s="244">
        <f>IFERROR(RD[[#This Row],[33kV_OG1_Ex (MWh)]]+RD[[#This Row],[33kV_OG1_Im (MWh)]],"")</f>
        <v>198353.24000000011</v>
      </c>
      <c r="EZ62" s="148">
        <f>RD[[#This Row],[33kV_OG1_Ex (MWh)]]-RD[[#This Row],[33kV_OG1_Im (MWh)]]</f>
        <v>193436.75999999989</v>
      </c>
      <c r="FA62" s="148">
        <f>IFERROR(RD[[#This Row],[132kV_L1_Ex(MWh)]]-RD[[#This Row],[132kV_L1_Im(MWh)]],"")</f>
        <v>192240</v>
      </c>
      <c r="FB62" s="55">
        <f>IFERROR(RD[[#This Row],[33kV_Ex(MWh)]]/RD[[#This Row],[Inv Total Gneration (MWh)]]-1,"")</f>
        <v>-1.7908591000608265E-3</v>
      </c>
      <c r="FC62" s="245">
        <f>IFERROR((RD[[#This Row],[Sunset Time (POA&lt;20 W/m2)]]-RD[[#This Row],[Sunrise Time (POA&gt;20 W/m2)]])*24,0)</f>
        <v>11.850000000000001</v>
      </c>
      <c r="FD62" s="246">
        <v>120.7</v>
      </c>
      <c r="FE62" s="300" t="s">
        <v>292</v>
      </c>
      <c r="FG62" s="144" t="str">
        <f>IFERROR(RD[[#This Row],[E_AC (WPR)]]/RD[[#This Row],[E_DC (WPR)]],"")</f>
        <v/>
      </c>
    </row>
    <row r="63" spans="1:163">
      <c r="A63" s="133">
        <f t="shared" si="161"/>
        <v>45803</v>
      </c>
      <c r="B63" s="138">
        <f>YEAR(RD[[#This Row],[Date]])+IF(MONTH(RD[[#This Row],[Date]])&gt;=4,1,0)</f>
        <v>2026</v>
      </c>
      <c r="C63" s="138">
        <f>YEAR(RD[[#This Row],[Date]])</f>
        <v>2025</v>
      </c>
      <c r="D63" s="139">
        <f t="shared" si="164"/>
        <v>45778</v>
      </c>
      <c r="E63" s="138">
        <f>DAY(EOMONTH(RD[[#This Row],[Date]],0))</f>
        <v>31</v>
      </c>
      <c r="F63" s="152">
        <v>0.25208333333333333</v>
      </c>
      <c r="G63" s="162">
        <v>0.7631944444444444</v>
      </c>
      <c r="H63" s="124">
        <v>8748.4</v>
      </c>
      <c r="I63" s="270">
        <v>8695.4</v>
      </c>
      <c r="J63" s="124">
        <v>8252.2000000000007</v>
      </c>
      <c r="K63" s="124">
        <v>8345.4</v>
      </c>
      <c r="L63" s="124">
        <v>8550</v>
      </c>
      <c r="M63" s="124">
        <v>8791.2000000000007</v>
      </c>
      <c r="N63" s="124">
        <v>8606.2000000000007</v>
      </c>
      <c r="O63" s="124">
        <v>9231.4</v>
      </c>
      <c r="P63" s="124">
        <v>8224.1</v>
      </c>
      <c r="Q63" s="124">
        <v>8428.6</v>
      </c>
      <c r="R63" s="124">
        <v>8708.6</v>
      </c>
      <c r="S63" s="268">
        <v>8660.7000000000007</v>
      </c>
      <c r="T63" s="124">
        <v>9124.2999999999993</v>
      </c>
      <c r="U63" s="124">
        <v>8938.7000000000007</v>
      </c>
      <c r="V63" s="124">
        <v>8917.5</v>
      </c>
      <c r="W63" s="124">
        <v>8538.2999999999993</v>
      </c>
      <c r="X63" s="268">
        <v>12043</v>
      </c>
      <c r="Y63" s="203">
        <v>13169.1</v>
      </c>
      <c r="Z63" s="203">
        <v>11613.6</v>
      </c>
      <c r="AA63" s="203">
        <v>12032.2</v>
      </c>
      <c r="AB63" s="268">
        <v>12829.2</v>
      </c>
      <c r="AC63" s="203">
        <v>8100.3</v>
      </c>
      <c r="AD63" s="203">
        <v>12042.1</v>
      </c>
      <c r="AE63" s="203">
        <v>12238.7</v>
      </c>
      <c r="AF63" s="268">
        <v>12085.5</v>
      </c>
      <c r="AG63" s="203">
        <v>12108</v>
      </c>
      <c r="AH63" s="203">
        <v>12016.2</v>
      </c>
      <c r="AI63" s="268">
        <v>12089.8</v>
      </c>
      <c r="AJ63" s="203">
        <v>10294.5</v>
      </c>
      <c r="AK63" s="268">
        <v>10564.9</v>
      </c>
      <c r="AL63" s="203">
        <v>10369.4</v>
      </c>
      <c r="AM63" s="268">
        <v>10396.799999999999</v>
      </c>
      <c r="AN63" s="203">
        <v>10301.9</v>
      </c>
      <c r="AO63" s="268">
        <v>10598.5</v>
      </c>
      <c r="AP63" s="203">
        <v>10417.5</v>
      </c>
      <c r="AQ63" s="268">
        <v>10260.700000000001</v>
      </c>
      <c r="AR63" s="203">
        <v>8332.7000000000007</v>
      </c>
      <c r="AS63" s="268">
        <v>8399.2999999999993</v>
      </c>
      <c r="AT63" s="203">
        <v>8497.4</v>
      </c>
      <c r="AU63" s="268">
        <v>8455.2000000000007</v>
      </c>
      <c r="AV63" s="203">
        <v>8564.7000000000007</v>
      </c>
      <c r="AW63" s="203">
        <v>8269</v>
      </c>
      <c r="AX63" s="203">
        <v>11939.8</v>
      </c>
      <c r="AY63" s="203">
        <v>13085</v>
      </c>
      <c r="AZ63" s="203">
        <v>9619</v>
      </c>
      <c r="BA63" s="203">
        <v>11753</v>
      </c>
      <c r="BB63" s="203">
        <v>12273</v>
      </c>
      <c r="BC63" s="203">
        <v>10305</v>
      </c>
      <c r="BD63" s="203">
        <v>8653</v>
      </c>
      <c r="BE63" s="203">
        <v>11577</v>
      </c>
      <c r="BF63" s="203">
        <v>12355</v>
      </c>
      <c r="BG63" s="203">
        <v>2991</v>
      </c>
      <c r="BH63" s="203">
        <v>0</v>
      </c>
      <c r="BI63" s="203">
        <v>0</v>
      </c>
      <c r="BJ63" s="203">
        <v>8549</v>
      </c>
      <c r="BK63" s="203">
        <v>5288</v>
      </c>
      <c r="BL63" s="203">
        <v>6969</v>
      </c>
      <c r="BM63" s="203">
        <v>7220</v>
      </c>
      <c r="BN63" s="203">
        <v>8626</v>
      </c>
      <c r="BO63" s="203">
        <v>8365</v>
      </c>
      <c r="BP63" s="203">
        <v>8872</v>
      </c>
      <c r="BQ63" s="203">
        <v>8420</v>
      </c>
      <c r="BR63" s="203">
        <v>9473</v>
      </c>
      <c r="BS63" s="203">
        <v>9174</v>
      </c>
      <c r="BT63" s="203">
        <v>5337</v>
      </c>
      <c r="BU63" s="203">
        <v>8418</v>
      </c>
      <c r="BV63" s="203"/>
      <c r="BW63" s="203"/>
      <c r="BX63" s="203"/>
      <c r="BY63" s="203"/>
      <c r="BZ63" s="203">
        <v>1373</v>
      </c>
      <c r="CA63" s="203">
        <v>1164</v>
      </c>
      <c r="CB63" s="203">
        <v>2551</v>
      </c>
      <c r="CC63" s="203">
        <v>8649</v>
      </c>
      <c r="CD63" s="263">
        <v>6.702747316666664</v>
      </c>
      <c r="CE63" s="263">
        <v>6.7837472000000005</v>
      </c>
      <c r="CF63" s="263">
        <v>7.0625859833333262</v>
      </c>
      <c r="CG63" s="263">
        <v>7.0219317500000038</v>
      </c>
      <c r="CH63" s="263">
        <v>0.65230341666666647</v>
      </c>
      <c r="CI63" s="263">
        <v>0.73835403333333371</v>
      </c>
      <c r="CJ63" s="263">
        <v>0.9575759000000007</v>
      </c>
      <c r="CK63" s="263">
        <v>0.86848776666666716</v>
      </c>
      <c r="CL63" s="263">
        <v>30.005157013258927</v>
      </c>
      <c r="CM63" s="263">
        <v>29.21292887029292</v>
      </c>
      <c r="CN63" s="263">
        <v>44.094935799023055</v>
      </c>
      <c r="CO63" s="263">
        <v>42.154635983263624</v>
      </c>
      <c r="CP63" s="263">
        <v>77.974054431263127</v>
      </c>
      <c r="CQ63" s="263">
        <v>78.444602510460413</v>
      </c>
      <c r="CR63" s="263">
        <v>1.9999999999999985E-4</v>
      </c>
      <c r="CS63" s="263">
        <v>0</v>
      </c>
      <c r="CT63" s="263">
        <v>0.62154849965108161</v>
      </c>
      <c r="CU63" s="263">
        <v>0.65169037656903883</v>
      </c>
      <c r="CV63" s="263">
        <v>5.8470000000000004</v>
      </c>
      <c r="CW63" s="263">
        <v>4.7880000000000003</v>
      </c>
      <c r="CX63" s="204">
        <f>IFERROR(AVERAGEIF(RD[[#This Row],[IS1POA1 (KWh/m2)]:[IS7POA2 (KWh/m2)]],"&lt;&gt;0",RD[[#This Row],[IS1POA1 (KWh/m2)]:[IS7POA2 (KWh/m2)]]),"")</f>
        <v>6.7432472583333318</v>
      </c>
      <c r="CY63" s="204">
        <f>IFERROR(AVERAGEIF(RD[[#This Row],[IS1GHI1 (KWh/m2)]:[IS7GHI2 (KWh/m2)]],"&lt;&gt;0",RD[[#This Row],[IS1GHI1 (KWh/m2)]:[IS7GHI2 (KWh/m2)]]),"")</f>
        <v>7.042258866666665</v>
      </c>
      <c r="CZ63" s="204">
        <f>IFERROR(AVERAGEIF(RD[[#This Row],[IS1POA_BS1 (KWh/m2)]:[IS7POA_BS2 (KWh/m2)]],"&lt;&gt;0",RD[[#This Row],[IS1POA_BS1 (KWh/m2)]:[IS7POA_BS2 (KWh/m2)]]),"")</f>
        <v>0.69532872500000009</v>
      </c>
      <c r="DA63" s="204">
        <f>IFERROR(AVERAGEIF(RD[[#This Row],[IS1GHI_BS1 (KWh/m2)]:[IS1GHI_BS1 (KWh/m2)2]],"&lt;&gt;0",RD[[#This Row],[IS1GHI_BS1 (KWh/m2)]:[IS1GHI_BS1 (KWh/m2)2]]),"")</f>
        <v>0.91303183333333393</v>
      </c>
      <c r="DB63" s="204">
        <f>IFERROR(AVERAGEIF(RD[[#This Row],[IS1AT1 (°C)]:[IS7AT2 (°C)]],"&lt;&gt;0",RD[[#This Row],[IS1AT1 (°C)]:[IS7AT2 (°C)]]),"")</f>
        <v>29.609042941775925</v>
      </c>
      <c r="DC63" s="204">
        <f>IFERROR(AVERAGEIF(RD[[#This Row],[IS1MT1 (°C)]:[IS7MT2 (°C)]],"&lt;&gt;0",RD[[#This Row],[IS1MT1 (°C)]:[IS7MT2 (°C)]]),"")</f>
        <v>43.12478589114334</v>
      </c>
      <c r="DD63" s="204">
        <f>IFERROR(AVERAGEIF(RD[[#This Row],[IS1RH1 (%)]:[IS7RH2 (%)]],"&lt;&gt;0",RD[[#This Row],[IS1RH1 (%)]:[IS7RH2 (%)]]),"")</f>
        <v>78.209328470861777</v>
      </c>
      <c r="DE63" s="51">
        <f>IFERROR(AVERAGEIF(RD[[#This Row],[IS1Rain1 (mm)]:[IS7Rain2 (mm)]],"&lt;&gt;0",RD[[#This Row],[IS1Rain1 (mm)]:[IS7Rain2 (mm)]]),"")</f>
        <v>1.9999999999999985E-4</v>
      </c>
      <c r="DF63" s="204">
        <f>IFERROR(AVERAGEIF(RD[[#This Row],[WS_Solar1_Avg (m/s)]:[IS7_WS_Solar1_Avg (m/s)]],"&lt;&gt;0",RD[[#This Row],[WS_Solar1_Avg (m/s)]:[IS7_WS_Solar1_Avg (m/s)]]),"")</f>
        <v>0.63661943811006028</v>
      </c>
      <c r="DG63" s="204">
        <f>IFERROR(AVERAGEIF(RD[[#This Row],[WS_Solar1_Max (m/s)]:[IS7_WS_Solar1_Max (m/s)]],"&lt;&gt;0",RD[[#This Row],[WS_Solar1_Max (m/s)]:[IS7_WS_Solar1_Max (m/s)]]),"")</f>
        <v>5.3175000000000008</v>
      </c>
      <c r="DH63" s="204">
        <f>SUM(RD[[#This Row],[IS1Inv1M1]:[IS4Inv4M2]])</f>
        <v>281128.7</v>
      </c>
      <c r="DI63" s="205">
        <f>SUM(RD[[#This Row],[IS7Inv1M1]]+RD[[#This Row],[IS7Inv2M1]])</f>
        <v>16732</v>
      </c>
      <c r="DJ63" s="204">
        <f>SUM(RD[[#This Row],[IS5Inv1M1]:[IS5Inv2M2]])</f>
        <v>41625.600000000006</v>
      </c>
      <c r="DK63" s="204">
        <f>SUM(RD[[#This Row],[IS8Inv1M1]:[IS9Inv2M2]])</f>
        <v>80183.100000000006</v>
      </c>
      <c r="DL63" s="60">
        <f>SUM(RD[[#This Row],[IS6Inv1M1]:[IS6Inv2M2]])</f>
        <v>41578.600000000006</v>
      </c>
      <c r="DM63" s="51">
        <f>SUM(RD[[#This Row],[IS10Inv1M1]:[IS11Inv1M4]],RD[[#This Row],[IS14Inv1M1]:[IS14Inv2M4]])</f>
        <v>99917</v>
      </c>
      <c r="DN63" s="288">
        <f>SUM(RD[[#This Row],[IS12Inv1M1]:[IS12Inv1M4]])</f>
        <v>34283</v>
      </c>
      <c r="DO63" s="288">
        <f>SUM(RD[[#This Row],[IS13Inv1M1]:[IS13Inv2M2]])</f>
        <v>32402</v>
      </c>
      <c r="DP63" s="204">
        <f>SUM(RD[[#This Row],[O2R15]:[O2R26]])</f>
        <v>627850</v>
      </c>
      <c r="DQ63" s="164">
        <v>41115.300000000003</v>
      </c>
      <c r="DR63" s="168">
        <v>213.8</v>
      </c>
      <c r="DS63" s="164">
        <v>35664.300000000003</v>
      </c>
      <c r="DT63" s="164">
        <v>226.2</v>
      </c>
      <c r="DU63" s="168">
        <v>41619.199999999997</v>
      </c>
      <c r="DV63" s="168">
        <v>405.8</v>
      </c>
      <c r="DW63" s="164">
        <v>9464.2999999999993</v>
      </c>
      <c r="DX63" s="168">
        <v>45.9</v>
      </c>
      <c r="DY63" s="168"/>
      <c r="DZ63" s="168"/>
      <c r="EA63" s="140">
        <v>97.23</v>
      </c>
      <c r="EB63" s="243">
        <v>131205685</v>
      </c>
      <c r="EC63" s="242">
        <v>952748.60800000001</v>
      </c>
      <c r="ED63" s="243">
        <v>1144</v>
      </c>
      <c r="EE63" s="243">
        <v>125482</v>
      </c>
      <c r="EF63" s="164">
        <v>181949</v>
      </c>
      <c r="EG63" s="164">
        <v>1862.3</v>
      </c>
      <c r="EH63" s="146">
        <f>IF((RD[[#This Row],[33 kV_F3_Ex
Incomer1]]-DQ62)*1000&lt;0,0,(RD[[#This Row],[33 kV_F3_Ex
Incomer1]]-DQ62)*1000)</f>
        <v>141300.00000000291</v>
      </c>
      <c r="EI63" s="146">
        <f>IF((RD[[#This Row],[34 kV_F3_Im
Incomer1]]-DR62)*1000&lt;0,0,(RD[[#This Row],[34 kV_F3_Im
Incomer1]]-DR62)*1000)</f>
        <v>400.00000000000568</v>
      </c>
      <c r="EJ63" s="146">
        <f>IF((RD[[#This Row],[33 kV_F4_Ex
Incomer2]]-DS62)*1000&lt;0,0,(RD[[#This Row],[33 kV_F4_Ex
Incomer2]]-DS62)*1000)</f>
        <v>131600.00000000582</v>
      </c>
      <c r="EK63" s="146">
        <f>IF((RD[[#This Row],[34 kV_F4_Im
Incomer2]]-DT62)*1000&lt;0,0,(RD[[#This Row],[34 kV_F4_Im
Incomer2]]-DT62)*1000)</f>
        <v>399.99999999997726</v>
      </c>
      <c r="EL63" s="146">
        <f>IF((RD[[#This Row],[33 kV_F5_Ex
Incomer3]]-DU62)*1000&lt;0,0,(RD[[#This Row],[33 kV_F5_Ex
Incomer3]]-DU62)*1000)</f>
        <v>177500</v>
      </c>
      <c r="EM63" s="146">
        <f>IF((RD[[#This Row],[34 kV_F5_Im
Incomer3]]-DV62)*1000&lt;0,0,(RD[[#This Row],[34 kV_F5_Im
Incomer3]]-DV62)*1000)</f>
        <v>900.00000000003411</v>
      </c>
      <c r="EN63" s="146">
        <f>IF((RD[[#This Row],[33 kV_F6_Ex
Incomer4]]-DW62)*1000&lt;0,0,(RD[[#This Row],[33 kV_F6_Ex
Incomer4]]-DW62)*1000)</f>
        <v>165699.99999999889</v>
      </c>
      <c r="EO63" s="146">
        <f t="shared" si="163"/>
        <v>400.00000000000568</v>
      </c>
      <c r="EP63" s="146">
        <f>IF((RD[[#This Row],[33 kV_F7_Ex
Incomer5]]-DY62)*1000&lt;0,0,(RD[[#This Row],[33 kV_F7_Ex
Incomer5]]-DY62)*1000)</f>
        <v>0</v>
      </c>
      <c r="EQ63" s="146">
        <f>IF((RD[[#This Row],[33 kV_F7_Im
Incomer5]]-DZ62)*1000&lt;0,0,(RD[[#This Row],[33 kV_F7_Im
Incomer5]]-DZ62)*1000)</f>
        <v>0</v>
      </c>
      <c r="ER63" s="146">
        <f>IF((RD[[#This Row],[33 kV_Aux Trafo]]-EA62)*1000&lt;0,0,(RD[[#This Row],[33 kV_Aux Trafo]]-EA62)*1000)</f>
        <v>320.00000000000739</v>
      </c>
      <c r="ES63" s="158">
        <f>IF((RD[[#This Row],[33kV_OG1_Ex_]]-EB62)*1&lt;0,0,(RD[[#This Row],[33kV_OG1_Ex_]]-EB62)*1)</f>
        <v>619889</v>
      </c>
      <c r="ET63" s="146">
        <f>IF((RD[[#This Row],[33kV_OG1_Im]]-EC62)*1&lt;0,0,(RD[[#This Row],[33kV_OG1_Im]]-EC62)*1)</f>
        <v>3590.0799999999581</v>
      </c>
      <c r="EU63" s="146">
        <f>IF((RD[[#This Row],[132kV_TX1_EX]]-ED62)*720&lt;=0,"",(RD[[#This Row],[132kV_TX1_EX]]-ED62)*720)</f>
        <v>2880</v>
      </c>
      <c r="EV63" s="146">
        <f>IF((RD[[#This Row],[132 kV_Tx1_Im]]-EE62)*720&lt;=0,0,(RD[[#This Row],[132 kV_Tx1_Im]]-EE62)*720)</f>
        <v>444240</v>
      </c>
      <c r="EW63" s="146">
        <f>IF((RD[[#This Row],[132kV_L1_Ex]]-EF62)*720&lt;=0,0,(RD[[#This Row],[132kV_L1_Ex]]-EF62)*720)</f>
        <v>617975.99999999162</v>
      </c>
      <c r="EX63" s="146">
        <f>IF((RD[[#This Row],[132kV_L1_Im]]-EG62)*720&lt;=0,0,(RD[[#This Row],[132kV_L1_Im]]-EG62)*720)</f>
        <v>4247.9999999999018</v>
      </c>
      <c r="EY63" s="244">
        <f>IFERROR(RD[[#This Row],[33kV_OG1_Ex (MWh)]]+RD[[#This Row],[33kV_OG1_Im (MWh)]],"")</f>
        <v>623479.07999999996</v>
      </c>
      <c r="EZ63" s="148">
        <f>RD[[#This Row],[33kV_OG1_Ex (MWh)]]-RD[[#This Row],[33kV_OG1_Im (MWh)]]</f>
        <v>616298.92000000004</v>
      </c>
      <c r="FA63" s="148">
        <f>IFERROR(RD[[#This Row],[132kV_L1_Ex(MWh)]]-RD[[#This Row],[132kV_L1_Im(MWh)]],"")</f>
        <v>613727.99999999173</v>
      </c>
      <c r="FB63" s="55">
        <f>IFERROR(RD[[#This Row],[33kV_Ex(MWh)]]/RD[[#This Row],[Inv Total Gneration (MWh)]]-1,"")</f>
        <v>-6.961726527036749E-3</v>
      </c>
      <c r="FC63" s="245">
        <f>IFERROR((RD[[#This Row],[Sunset Time (POA&lt;20 W/m2)]]-RD[[#This Row],[Sunrise Time (POA&gt;20 W/m2)]])*24,0)</f>
        <v>12.266666666666666</v>
      </c>
      <c r="FD63" s="246">
        <v>120.7</v>
      </c>
      <c r="FE63" t="s">
        <v>293</v>
      </c>
      <c r="FG63" s="144" t="str">
        <f>IFERROR(RD[[#This Row],[E_AC (WPR)]]/RD[[#This Row],[E_DC (WPR)]],"")</f>
        <v/>
      </c>
    </row>
    <row r="64" spans="1:163">
      <c r="A64" s="133">
        <f t="shared" si="161"/>
        <v>45804</v>
      </c>
      <c r="B64" s="138">
        <f>YEAR(RD[[#This Row],[Date]])+IF(MONTH(RD[[#This Row],[Date]])&gt;=4,1,0)</f>
        <v>2026</v>
      </c>
      <c r="C64" s="138">
        <f>YEAR(RD[[#This Row],[Date]])</f>
        <v>2025</v>
      </c>
      <c r="D64" s="139">
        <f t="shared" si="164"/>
        <v>45778</v>
      </c>
      <c r="E64" s="138">
        <f>DAY(EOMONTH(RD[[#This Row],[Date]],0))</f>
        <v>31</v>
      </c>
      <c r="F64" s="152">
        <v>0.25347222222222221</v>
      </c>
      <c r="G64" s="162">
        <v>0.77916666666666667</v>
      </c>
      <c r="H64" s="124">
        <v>7756.7</v>
      </c>
      <c r="I64" s="270">
        <v>7652.2</v>
      </c>
      <c r="J64" s="124">
        <v>7181.9</v>
      </c>
      <c r="K64" s="124">
        <v>7249.2</v>
      </c>
      <c r="L64" s="124">
        <v>7468.9</v>
      </c>
      <c r="M64" s="124">
        <v>7737.2</v>
      </c>
      <c r="N64" s="124">
        <v>7493.4</v>
      </c>
      <c r="O64" s="124">
        <v>8306.2999999999993</v>
      </c>
      <c r="P64" s="124">
        <v>7587</v>
      </c>
      <c r="Q64" s="124">
        <v>7362</v>
      </c>
      <c r="R64" s="124">
        <v>7728.5</v>
      </c>
      <c r="S64" s="268">
        <v>7726.5</v>
      </c>
      <c r="T64" s="124">
        <v>8160.1</v>
      </c>
      <c r="U64" s="124">
        <v>7819.2</v>
      </c>
      <c r="V64" s="124">
        <v>7924.1</v>
      </c>
      <c r="W64" s="124">
        <v>7580.6</v>
      </c>
      <c r="X64" s="268">
        <v>10555.1</v>
      </c>
      <c r="Y64" s="203">
        <v>11778.5</v>
      </c>
      <c r="Z64" s="203">
        <v>10262.299999999999</v>
      </c>
      <c r="AA64" s="203">
        <v>10761.6</v>
      </c>
      <c r="AB64" s="268">
        <v>11584.6</v>
      </c>
      <c r="AC64" s="203">
        <v>7075.7</v>
      </c>
      <c r="AD64" s="203">
        <v>10710.1</v>
      </c>
      <c r="AE64" s="203">
        <v>10927.7</v>
      </c>
      <c r="AF64" s="268">
        <v>10670.4</v>
      </c>
      <c r="AG64" s="203">
        <v>10591.4</v>
      </c>
      <c r="AH64" s="203">
        <v>10582.8</v>
      </c>
      <c r="AI64" s="268">
        <v>10647.3</v>
      </c>
      <c r="AJ64" s="203">
        <v>8709.7000000000007</v>
      </c>
      <c r="AK64" s="268">
        <v>8918.9</v>
      </c>
      <c r="AL64" s="203">
        <v>8705.7000000000007</v>
      </c>
      <c r="AM64" s="268">
        <v>8789.2999999999993</v>
      </c>
      <c r="AN64" s="203">
        <v>8732.4</v>
      </c>
      <c r="AO64" s="268">
        <v>9021.5</v>
      </c>
      <c r="AP64" s="203">
        <v>8867.9</v>
      </c>
      <c r="AQ64" s="268">
        <v>8759.2000000000007</v>
      </c>
      <c r="AR64" s="203">
        <v>7113.1</v>
      </c>
      <c r="AS64" s="268">
        <v>7155.9</v>
      </c>
      <c r="AT64" s="203">
        <v>7196.7</v>
      </c>
      <c r="AU64" s="268">
        <v>7165.2</v>
      </c>
      <c r="AV64" s="271">
        <v>7345.6</v>
      </c>
      <c r="AW64" s="203">
        <v>7064</v>
      </c>
      <c r="AX64" s="265">
        <v>10103</v>
      </c>
      <c r="AY64" s="203">
        <v>11377</v>
      </c>
      <c r="AZ64" s="203">
        <v>8152</v>
      </c>
      <c r="BA64" s="203">
        <v>9848</v>
      </c>
      <c r="BB64" s="203">
        <v>10562</v>
      </c>
      <c r="BC64" s="203">
        <v>8834</v>
      </c>
      <c r="BD64" s="203">
        <v>7441</v>
      </c>
      <c r="BE64" s="203">
        <v>9934</v>
      </c>
      <c r="BF64" s="203">
        <v>11221</v>
      </c>
      <c r="BG64" s="203">
        <v>3134</v>
      </c>
      <c r="BH64" s="203">
        <v>0</v>
      </c>
      <c r="BI64" s="203">
        <v>0</v>
      </c>
      <c r="BJ64" s="203">
        <v>6867</v>
      </c>
      <c r="BK64" s="203">
        <v>4774</v>
      </c>
      <c r="BL64" s="203">
        <v>6569</v>
      </c>
      <c r="BM64" s="203">
        <v>6702</v>
      </c>
      <c r="BN64" s="203">
        <v>7533</v>
      </c>
      <c r="BO64" s="203">
        <v>7168</v>
      </c>
      <c r="BP64" s="203">
        <v>7864</v>
      </c>
      <c r="BQ64" s="203">
        <v>7225</v>
      </c>
      <c r="BR64" s="203">
        <v>8023</v>
      </c>
      <c r="BS64" s="203">
        <v>7830</v>
      </c>
      <c r="BT64" s="203">
        <v>6314</v>
      </c>
      <c r="BU64" s="203">
        <v>7785</v>
      </c>
      <c r="BV64" s="203"/>
      <c r="BW64" s="203"/>
      <c r="BX64" s="203"/>
      <c r="BY64" s="203"/>
      <c r="BZ64" s="203">
        <v>1150</v>
      </c>
      <c r="CA64" s="203">
        <v>972</v>
      </c>
      <c r="CB64" s="203">
        <v>4479</v>
      </c>
      <c r="CC64" s="203">
        <v>7416</v>
      </c>
      <c r="CD64" s="263">
        <v>5.6310136166666656</v>
      </c>
      <c r="CE64" s="263">
        <v>5.5477525166666704</v>
      </c>
      <c r="CF64" s="263">
        <v>5.8758837500000016</v>
      </c>
      <c r="CG64" s="263">
        <v>5.6701083333333342</v>
      </c>
      <c r="CH64" s="263">
        <v>0.58254346666666668</v>
      </c>
      <c r="CI64" s="263">
        <v>0.69666298333333221</v>
      </c>
      <c r="CJ64" s="263">
        <v>0.91022528333333452</v>
      </c>
      <c r="CK64" s="263">
        <v>0.76850763333333316</v>
      </c>
      <c r="CL64" s="263">
        <v>29.727699496764924</v>
      </c>
      <c r="CM64" s="263">
        <v>29.641421392677643</v>
      </c>
      <c r="CN64" s="263">
        <v>42.09742343637663</v>
      </c>
      <c r="CO64" s="263">
        <v>39.379972720746558</v>
      </c>
      <c r="CP64" s="263">
        <v>71.276757728253131</v>
      </c>
      <c r="CQ64" s="263">
        <v>72.573625269203234</v>
      </c>
      <c r="CR64" s="263">
        <v>1.2552120776419838E-2</v>
      </c>
      <c r="CS64" s="263">
        <v>1.9727207465900915E-2</v>
      </c>
      <c r="CT64" s="263">
        <v>1.3992077641984193</v>
      </c>
      <c r="CU64" s="263">
        <v>1.4713697056712132</v>
      </c>
      <c r="CV64" s="263">
        <v>4.6769999999999996</v>
      </c>
      <c r="CW64" s="263">
        <v>4.944</v>
      </c>
      <c r="CX64" s="204">
        <f>IFERROR(AVERAGEIF(RD[[#This Row],[IS1POA1 (KWh/m2)]:[IS7POA2 (KWh/m2)]],"&lt;&gt;0",RD[[#This Row],[IS1POA1 (KWh/m2)]:[IS7POA2 (KWh/m2)]]),"")</f>
        <v>5.5893830666666684</v>
      </c>
      <c r="CY64" s="204">
        <f>IFERROR(AVERAGEIF(RD[[#This Row],[IS1GHI1 (KWh/m2)]:[IS7GHI2 (KWh/m2)]],"&lt;&gt;0",RD[[#This Row],[IS1GHI1 (KWh/m2)]:[IS7GHI2 (KWh/m2)]]),"")</f>
        <v>5.7729960416666675</v>
      </c>
      <c r="CZ64" s="204">
        <f>IFERROR(AVERAGEIF(RD[[#This Row],[IS1POA_BS1 (KWh/m2)]:[IS7POA_BS2 (KWh/m2)]],"&lt;&gt;0",RD[[#This Row],[IS1POA_BS1 (KWh/m2)]:[IS7POA_BS2 (KWh/m2)]]),"")</f>
        <v>0.63960322499999944</v>
      </c>
      <c r="DA64" s="204">
        <f>IFERROR(AVERAGEIF(RD[[#This Row],[IS1GHI_BS1 (KWh/m2)]:[IS1GHI_BS1 (KWh/m2)2]],"&lt;&gt;0",RD[[#This Row],[IS1GHI_BS1 (KWh/m2)]:[IS1GHI_BS1 (KWh/m2)2]]),"")</f>
        <v>0.83936645833333379</v>
      </c>
      <c r="DB64" s="204">
        <f>IFERROR(AVERAGEIF(RD[[#This Row],[IS1AT1 (°C)]:[IS7AT2 (°C)]],"&lt;&gt;0",RD[[#This Row],[IS1AT1 (°C)]:[IS7AT2 (°C)]]),"")</f>
        <v>29.684560444721285</v>
      </c>
      <c r="DC64" s="204">
        <f>IFERROR(AVERAGEIF(RD[[#This Row],[IS1MT1 (°C)]:[IS7MT2 (°C)]],"&lt;&gt;0",RD[[#This Row],[IS1MT1 (°C)]:[IS7MT2 (°C)]]),"")</f>
        <v>40.738698078561598</v>
      </c>
      <c r="DD64" s="204">
        <f>IFERROR(AVERAGEIF(RD[[#This Row],[IS1RH1 (%)]:[IS7RH2 (%)]],"&lt;&gt;0",RD[[#This Row],[IS1RH1 (%)]:[IS7RH2 (%)]]),"")</f>
        <v>71.925191498728182</v>
      </c>
      <c r="DE64" s="51">
        <f>IFERROR(AVERAGEIF(RD[[#This Row],[IS1Rain1 (mm)]:[IS7Rain2 (mm)]],"&lt;&gt;0",RD[[#This Row],[IS1Rain1 (mm)]:[IS7Rain2 (mm)]]),"")</f>
        <v>1.6139664121160378E-2</v>
      </c>
      <c r="DF64" s="204">
        <f>IFERROR(AVERAGEIF(RD[[#This Row],[WS_Solar1_Avg (m/s)]:[IS7_WS_Solar1_Avg (m/s)]],"&lt;&gt;0",RD[[#This Row],[WS_Solar1_Avg (m/s)]:[IS7_WS_Solar1_Avg (m/s)]]),"")</f>
        <v>1.4352887349348162</v>
      </c>
      <c r="DG64" s="204">
        <f>IFERROR(AVERAGEIF(RD[[#This Row],[WS_Solar1_Max (m/s)]:[IS7_WS_Solar1_Max (m/s)]],"&lt;&gt;0",RD[[#This Row],[WS_Solar1_Max (m/s)]:[IS7_WS_Solar1_Max (m/s)]]),"")</f>
        <v>4.8104999999999993</v>
      </c>
      <c r="DH64" s="204">
        <f>SUM(RD[[#This Row],[IS1Inv1M1]:[IS4Inv4M2]])</f>
        <v>248881.30000000002</v>
      </c>
      <c r="DI64" s="205">
        <f>SUM(RD[[#This Row],[IS7Inv1M1]]+RD[[#This Row],[IS7Inv2M1]])</f>
        <v>14269</v>
      </c>
      <c r="DJ64" s="204">
        <f>SUM(RD[[#This Row],[IS5Inv1M1]:[IS5Inv2M2]])</f>
        <v>35123.599999999999</v>
      </c>
      <c r="DK64" s="204">
        <f>SUM(RD[[#This Row],[IS8Inv1M1]:[IS9Inv2M2]])</f>
        <v>68251.5</v>
      </c>
      <c r="DL64" s="60">
        <f>SUM(RD[[#This Row],[IS6Inv1M1]:[IS6Inv2M2]])</f>
        <v>35381</v>
      </c>
      <c r="DM64" s="51">
        <f>SUM(RD[[#This Row],[IS10Inv1M1]:[IS11Inv1M4]],RD[[#This Row],[IS14Inv1M1]:[IS14Inv2M4]])</f>
        <v>90055</v>
      </c>
      <c r="DN64" s="288">
        <f>SUM(RD[[#This Row],[IS12Inv1M1]:[IS12Inv1M4]])</f>
        <v>29790</v>
      </c>
      <c r="DO64" s="288">
        <f>SUM(RD[[#This Row],[IS13Inv1M1]:[IS13Inv2M2]])</f>
        <v>29952</v>
      </c>
      <c r="DP64" s="204">
        <f>SUM(RD[[#This Row],[O2R15]:[O2R26]])</f>
        <v>551703.4</v>
      </c>
      <c r="DQ64" s="164">
        <v>41240.699999999997</v>
      </c>
      <c r="DR64" s="168">
        <v>213.9</v>
      </c>
      <c r="DS64" s="164">
        <v>35781.599999999999</v>
      </c>
      <c r="DT64" s="164">
        <v>226.5</v>
      </c>
      <c r="DU64" s="168">
        <v>41770.400000000001</v>
      </c>
      <c r="DV64" s="168">
        <v>406.2</v>
      </c>
      <c r="DW64" s="164">
        <v>9610.2999999999993</v>
      </c>
      <c r="DX64" s="168">
        <v>46.5</v>
      </c>
      <c r="DY64" s="168"/>
      <c r="DZ64" s="168"/>
      <c r="EA64" s="140">
        <v>97.47</v>
      </c>
      <c r="EB64" s="243">
        <v>131748265</v>
      </c>
      <c r="EC64" s="242">
        <v>954327.424</v>
      </c>
      <c r="ED64" s="243">
        <v>1146</v>
      </c>
      <c r="EE64" s="243">
        <v>126023</v>
      </c>
      <c r="EF64" s="164">
        <v>182700.2</v>
      </c>
      <c r="EG64" s="164">
        <v>1865</v>
      </c>
      <c r="EH64" s="146">
        <f>IF((RD[[#This Row],[33 kV_F3_Ex
Incomer1]]-DQ63)*1000&lt;0,0,(RD[[#This Row],[33 kV_F3_Ex
Incomer1]]-DQ63)*1000)</f>
        <v>125399.99999999418</v>
      </c>
      <c r="EI64" s="146">
        <f>IF((RD[[#This Row],[34 kV_F3_Im
Incomer1]]-DR63)*1000&lt;0,0,(RD[[#This Row],[34 kV_F3_Im
Incomer1]]-DR63)*1000)</f>
        <v>99.999999999994316</v>
      </c>
      <c r="EJ64" s="146">
        <f>IF((RD[[#This Row],[33 kV_F4_Ex
Incomer2]]-DS63)*1000&lt;0,0,(RD[[#This Row],[33 kV_F4_Ex
Incomer2]]-DS63)*1000)</f>
        <v>117299.99999999563</v>
      </c>
      <c r="EK64" s="146">
        <f>IF((RD[[#This Row],[34 kV_F4_Im
Incomer2]]-DT63)*1000&lt;0,0,(RD[[#This Row],[34 kV_F4_Im
Incomer2]]-DT63)*1000)</f>
        <v>300.00000000001137</v>
      </c>
      <c r="EL64" s="146">
        <f>IF((RD[[#This Row],[33 kV_F5_Ex
Incomer3]]-DU63)*1000&lt;0,0,(RD[[#This Row],[33 kV_F5_Ex
Incomer3]]-DU63)*1000)</f>
        <v>151200.00000000437</v>
      </c>
      <c r="EM64" s="146">
        <f>IF((RD[[#This Row],[34 kV_F5_Im
Incomer3]]-DV63)*1000&lt;0,0,(RD[[#This Row],[34 kV_F5_Im
Incomer3]]-DV63)*1000)</f>
        <v>399.99999999997726</v>
      </c>
      <c r="EN64" s="146">
        <f>IF((RD[[#This Row],[33 kV_F6_Ex
Incomer4]]-DW63)*1000&lt;0,0,(RD[[#This Row],[33 kV_F6_Ex
Incomer4]]-DW63)*1000)</f>
        <v>146000</v>
      </c>
      <c r="EO64" s="146">
        <f t="shared" si="163"/>
        <v>400.00000000000568</v>
      </c>
      <c r="EP64" s="146">
        <f>IF((RD[[#This Row],[33 kV_F7_Ex
Incomer5]]-DY63)*1000&lt;0,0,(RD[[#This Row],[33 kV_F7_Ex
Incomer5]]-DY63)*1000)</f>
        <v>0</v>
      </c>
      <c r="EQ64" s="146">
        <f>IF((RD[[#This Row],[33 kV_F7_Im
Incomer5]]-DZ63)*1000&lt;0,0,(RD[[#This Row],[33 kV_F7_Im
Incomer5]]-DZ63)*1000)</f>
        <v>0</v>
      </c>
      <c r="ER64" s="146">
        <f>IF((RD[[#This Row],[33 kV_Aux Trafo]]-EA63)*1000&lt;0,0,(RD[[#This Row],[33 kV_Aux Trafo]]-EA63)*1000)</f>
        <v>239.99999999999488</v>
      </c>
      <c r="ES64" s="158">
        <f>IF((RD[[#This Row],[33kV_OG1_Ex_]]-EB63)*1&lt;0,0,(RD[[#This Row],[33kV_OG1_Ex_]]-EB63)*1)</f>
        <v>542580</v>
      </c>
      <c r="ET64" s="146">
        <f>IF((RD[[#This Row],[33kV_OG1_Im]]-EC63)*1&lt;0,0,(RD[[#This Row],[33kV_OG1_Im]]-EC63)*1)</f>
        <v>1578.8159999999916</v>
      </c>
      <c r="EU64" s="146">
        <f>IF((RD[[#This Row],[132kV_TX1_EX]]-ED63)*720&lt;=0,"",(RD[[#This Row],[132kV_TX1_EX]]-ED63)*720)</f>
        <v>1440</v>
      </c>
      <c r="EV64" s="146">
        <f>IF((RD[[#This Row],[132 kV_Tx1_Im]]-EE63)*720&lt;=0,0,(RD[[#This Row],[132 kV_Tx1_Im]]-EE63)*720)</f>
        <v>389520</v>
      </c>
      <c r="EW64" s="146">
        <f>IF((RD[[#This Row],[132kV_L1_Ex]]-EF63)*720&lt;=0,0,(RD[[#This Row],[132kV_L1_Ex]]-EF63)*720)</f>
        <v>540864.00000000838</v>
      </c>
      <c r="EX64" s="146">
        <f>IF((RD[[#This Row],[132kV_L1_Im]]-EG63)*720&lt;=0,0,(RD[[#This Row],[132kV_L1_Im]]-EG63)*720)</f>
        <v>1944.0000000000327</v>
      </c>
      <c r="EY64" s="244">
        <f>IFERROR(RD[[#This Row],[33kV_OG1_Ex (MWh)]]+RD[[#This Row],[33kV_OG1_Im (MWh)]],"")</f>
        <v>544158.81599999999</v>
      </c>
      <c r="EZ64" s="148">
        <f>RD[[#This Row],[33kV_OG1_Ex (MWh)]]-RD[[#This Row],[33kV_OG1_Im (MWh)]]</f>
        <v>541001.18400000001</v>
      </c>
      <c r="FA64" s="148">
        <f>IFERROR(RD[[#This Row],[132kV_L1_Ex(MWh)]]-RD[[#This Row],[132kV_L1_Im(MWh)]],"")</f>
        <v>538920.00000000838</v>
      </c>
      <c r="FB64" s="55">
        <f>IFERROR(RD[[#This Row],[33kV_Ex(MWh)]]/RD[[#This Row],[Inv Total Gneration (MWh)]]-1,"")</f>
        <v>-1.3675072511788122E-2</v>
      </c>
      <c r="FC64" s="245">
        <f>IFERROR((RD[[#This Row],[Sunset Time (POA&lt;20 W/m2)]]-RD[[#This Row],[Sunrise Time (POA&gt;20 W/m2)]])*24,0)</f>
        <v>12.616666666666667</v>
      </c>
      <c r="FD64" s="246">
        <v>120.7</v>
      </c>
      <c r="FE64" t="s">
        <v>284</v>
      </c>
      <c r="FG64" s="144" t="str">
        <f>IFERROR(RD[[#This Row],[E_AC (WPR)]]/RD[[#This Row],[E_DC (WPR)]],"")</f>
        <v/>
      </c>
    </row>
    <row r="65" spans="1:163">
      <c r="A65" s="133">
        <f t="shared" si="161"/>
        <v>45805</v>
      </c>
      <c r="B65" s="138">
        <f>YEAR(RD[[#This Row],[Date]])+IF(MONTH(RD[[#This Row],[Date]])&gt;=4,1,0)</f>
        <v>2026</v>
      </c>
      <c r="C65" s="138">
        <f>YEAR(RD[[#This Row],[Date]])</f>
        <v>2025</v>
      </c>
      <c r="D65" s="139">
        <f t="shared" si="164"/>
        <v>45778</v>
      </c>
      <c r="E65" s="138">
        <f>DAY(EOMONTH(RD[[#This Row],[Date]],0))</f>
        <v>31</v>
      </c>
      <c r="F65" s="152">
        <v>0.27638888888888891</v>
      </c>
      <c r="G65" s="162">
        <v>0.75277777777777777</v>
      </c>
      <c r="H65" s="124">
        <v>3850.1</v>
      </c>
      <c r="I65" s="270">
        <v>3805.3</v>
      </c>
      <c r="J65" s="124">
        <v>3572.9</v>
      </c>
      <c r="K65" s="124">
        <v>3636.8</v>
      </c>
      <c r="L65" s="124">
        <v>3758.5</v>
      </c>
      <c r="M65" s="124">
        <v>3867.1</v>
      </c>
      <c r="N65" s="124">
        <v>3730.5</v>
      </c>
      <c r="O65" s="124">
        <v>4131.6000000000004</v>
      </c>
      <c r="P65" s="124">
        <v>3826.9</v>
      </c>
      <c r="Q65" s="124">
        <v>3735.2</v>
      </c>
      <c r="R65" s="124">
        <v>3890.4</v>
      </c>
      <c r="S65" s="268">
        <v>3882.4</v>
      </c>
      <c r="T65" s="124">
        <v>4051</v>
      </c>
      <c r="U65" s="124">
        <v>3927.4</v>
      </c>
      <c r="V65" s="124">
        <v>3964.4</v>
      </c>
      <c r="W65" s="124">
        <v>3752.6</v>
      </c>
      <c r="X65" s="268">
        <v>5368.1</v>
      </c>
      <c r="Y65" s="203">
        <v>6123.1</v>
      </c>
      <c r="Z65" s="203">
        <v>5177.8</v>
      </c>
      <c r="AA65" s="203">
        <v>5428.3</v>
      </c>
      <c r="AB65" s="268">
        <v>5278.1</v>
      </c>
      <c r="AC65" s="203">
        <v>3621.7</v>
      </c>
      <c r="AD65" s="203">
        <v>5508.4</v>
      </c>
      <c r="AE65" s="203">
        <v>5619.6</v>
      </c>
      <c r="AF65" s="268">
        <v>5498.8</v>
      </c>
      <c r="AG65" s="203">
        <v>5462.4</v>
      </c>
      <c r="AH65" s="203">
        <v>5449.7</v>
      </c>
      <c r="AI65" s="268">
        <v>5490.3</v>
      </c>
      <c r="AJ65" s="203">
        <v>4489.8</v>
      </c>
      <c r="AK65" s="268">
        <v>4607.3999999999996</v>
      </c>
      <c r="AL65" s="203">
        <v>4504.1000000000004</v>
      </c>
      <c r="AM65" s="268">
        <v>4546.3999999999996</v>
      </c>
      <c r="AN65" s="203">
        <v>4503.6000000000004</v>
      </c>
      <c r="AO65" s="268">
        <v>4673</v>
      </c>
      <c r="AP65" s="203">
        <v>4585.2</v>
      </c>
      <c r="AQ65" s="268">
        <v>4539.8999999999996</v>
      </c>
      <c r="AR65" s="203">
        <v>3617.6</v>
      </c>
      <c r="AS65" s="268">
        <v>3644.9</v>
      </c>
      <c r="AT65" s="203">
        <v>3645.6</v>
      </c>
      <c r="AU65" s="268">
        <v>3627</v>
      </c>
      <c r="AV65" s="271">
        <v>3715.1</v>
      </c>
      <c r="AW65" s="203">
        <v>3646</v>
      </c>
      <c r="AX65" s="265">
        <v>5215.8999999999996</v>
      </c>
      <c r="AY65" s="203">
        <v>5877.9</v>
      </c>
      <c r="AZ65" s="203">
        <v>4206.7</v>
      </c>
      <c r="BA65" s="203">
        <v>5128.6000000000004</v>
      </c>
      <c r="BB65" s="203">
        <v>5156</v>
      </c>
      <c r="BC65" s="203">
        <v>4334.3</v>
      </c>
      <c r="BD65" s="203">
        <v>3662.2</v>
      </c>
      <c r="BE65" s="203">
        <v>4874.8</v>
      </c>
      <c r="BF65" s="203">
        <v>5869</v>
      </c>
      <c r="BG65" s="203">
        <v>1567</v>
      </c>
      <c r="BH65" s="203">
        <v>0</v>
      </c>
      <c r="BI65" s="203">
        <v>0</v>
      </c>
      <c r="BJ65" s="203">
        <v>3470.9</v>
      </c>
      <c r="BK65" s="203">
        <v>2394.6</v>
      </c>
      <c r="BL65" s="203">
        <v>3178.4</v>
      </c>
      <c r="BM65" s="203">
        <v>3254.3</v>
      </c>
      <c r="BN65" s="203">
        <v>3649.4</v>
      </c>
      <c r="BO65" s="203">
        <v>3472.5</v>
      </c>
      <c r="BP65" s="203">
        <v>3816.1</v>
      </c>
      <c r="BQ65" s="203">
        <v>3495.7</v>
      </c>
      <c r="BR65" s="203">
        <v>3962.1</v>
      </c>
      <c r="BS65" s="203">
        <v>3886.3</v>
      </c>
      <c r="BT65" s="203">
        <v>3694.2</v>
      </c>
      <c r="BU65" s="203">
        <v>3917.2</v>
      </c>
      <c r="BV65" s="203"/>
      <c r="BW65" s="203"/>
      <c r="BX65" s="203"/>
      <c r="BY65" s="203"/>
      <c r="BZ65" s="203">
        <v>505.6</v>
      </c>
      <c r="CA65" s="203">
        <v>420.9</v>
      </c>
      <c r="CB65" s="203">
        <v>2143.9</v>
      </c>
      <c r="CC65" s="203">
        <v>3603</v>
      </c>
      <c r="CD65" s="263">
        <v>2.6615388666666693</v>
      </c>
      <c r="CE65" s="263">
        <v>2.6957281499999977</v>
      </c>
      <c r="CF65" s="263">
        <v>2.7082277166666655</v>
      </c>
      <c r="CG65" s="263">
        <v>2.6881618499999962</v>
      </c>
      <c r="CH65" s="263">
        <v>0.22399478333333311</v>
      </c>
      <c r="CI65" s="263">
        <v>0.28848265000000001</v>
      </c>
      <c r="CJ65" s="263">
        <v>0.37205835000000032</v>
      </c>
      <c r="CK65" s="263">
        <v>0.31896305000000014</v>
      </c>
      <c r="CL65" s="263">
        <v>26.414406639004127</v>
      </c>
      <c r="CM65" s="263">
        <v>25.814458229942066</v>
      </c>
      <c r="CN65" s="263">
        <v>35.918674688796692</v>
      </c>
      <c r="CO65" s="263">
        <v>33.550726220016514</v>
      </c>
      <c r="CP65" s="263">
        <v>87.353344398340312</v>
      </c>
      <c r="CQ65" s="263">
        <v>87.573879239040522</v>
      </c>
      <c r="CR65" s="263">
        <v>0.14346887966804961</v>
      </c>
      <c r="CS65" s="263">
        <v>0.12893300248138934</v>
      </c>
      <c r="CT65" s="263">
        <v>1.2075684647302907</v>
      </c>
      <c r="CU65" s="263">
        <v>1.2820595533498764</v>
      </c>
      <c r="CV65" s="263">
        <v>3.3809999999999998</v>
      </c>
      <c r="CW65" s="263">
        <v>2.8740000000000001</v>
      </c>
      <c r="CX65" s="204">
        <f>IFERROR(AVERAGEIF(RD[[#This Row],[IS1POA1 (KWh/m2)]:[IS7POA2 (KWh/m2)]],"&lt;&gt;0",RD[[#This Row],[IS1POA1 (KWh/m2)]:[IS7POA2 (KWh/m2)]]),"")</f>
        <v>2.6786335083333332</v>
      </c>
      <c r="CY65" s="204">
        <f>IFERROR(AVERAGEIF(RD[[#This Row],[IS1GHI1 (KWh/m2)]:[IS7GHI2 (KWh/m2)]],"&lt;&gt;0",RD[[#This Row],[IS1GHI1 (KWh/m2)]:[IS7GHI2 (KWh/m2)]]),"")</f>
        <v>2.6981947833333306</v>
      </c>
      <c r="CZ65" s="204">
        <f>IFERROR(AVERAGEIF(RD[[#This Row],[IS1POA_BS1 (KWh/m2)]:[IS7POA_BS2 (KWh/m2)]],"&lt;&gt;0",RD[[#This Row],[IS1POA_BS1 (KWh/m2)]:[IS7POA_BS2 (KWh/m2)]]),"")</f>
        <v>0.25623871666666653</v>
      </c>
      <c r="DA65" s="204">
        <f>IFERROR(AVERAGEIF(RD[[#This Row],[IS1GHI_BS1 (KWh/m2)]:[IS1GHI_BS1 (KWh/m2)2]],"&lt;&gt;0",RD[[#This Row],[IS1GHI_BS1 (KWh/m2)]:[IS1GHI_BS1 (KWh/m2)2]]),"")</f>
        <v>0.34551070000000023</v>
      </c>
      <c r="DB65" s="204">
        <f>IFERROR(AVERAGEIF(RD[[#This Row],[IS1AT1 (°C)]:[IS7AT2 (°C)]],"&lt;&gt;0",RD[[#This Row],[IS1AT1 (°C)]:[IS7AT2 (°C)]]),"")</f>
        <v>26.114432434473095</v>
      </c>
      <c r="DC65" s="204">
        <f>IFERROR(AVERAGEIF(RD[[#This Row],[IS1MT1 (°C)]:[IS7MT2 (°C)]],"&lt;&gt;0",RD[[#This Row],[IS1MT1 (°C)]:[IS7MT2 (°C)]]),"")</f>
        <v>34.734700454406607</v>
      </c>
      <c r="DD65" s="204">
        <f>IFERROR(AVERAGEIF(RD[[#This Row],[IS1RH1 (%)]:[IS7RH2 (%)]],"&lt;&gt;0",RD[[#This Row],[IS1RH1 (%)]:[IS7RH2 (%)]]),"")</f>
        <v>87.463611818690424</v>
      </c>
      <c r="DE65" s="51">
        <f>IFERROR(AVERAGEIF(RD[[#This Row],[IS1Rain1 (mm)]:[IS7Rain2 (mm)]],"&lt;&gt;0",RD[[#This Row],[IS1Rain1 (mm)]:[IS7Rain2 (mm)]]),"")</f>
        <v>0.13620094107471947</v>
      </c>
      <c r="DF65" s="204">
        <f>IFERROR(AVERAGEIF(RD[[#This Row],[WS_Solar1_Avg (m/s)]:[IS7_WS_Solar1_Avg (m/s)]],"&lt;&gt;0",RD[[#This Row],[WS_Solar1_Avg (m/s)]:[IS7_WS_Solar1_Avg (m/s)]]),"")</f>
        <v>1.2448140090400837</v>
      </c>
      <c r="DG65" s="204">
        <f>IFERROR(AVERAGEIF(RD[[#This Row],[WS_Solar1_Max (m/s)]:[IS7_WS_Solar1_Max (m/s)]],"&lt;&gt;0",RD[[#This Row],[WS_Solar1_Max (m/s)]:[IS7_WS_Solar1_Max (m/s)]]),"")</f>
        <v>3.1274999999999999</v>
      </c>
      <c r="DH65" s="204">
        <f>SUM(RD[[#This Row],[IS1Inv1M1]:[IS4Inv4M2]])</f>
        <v>125409.40000000001</v>
      </c>
      <c r="DI65" s="205">
        <f>SUM(RD[[#This Row],[IS7Inv1M1]]+RD[[#This Row],[IS7Inv2M1]])</f>
        <v>7262.5</v>
      </c>
      <c r="DJ65" s="204">
        <f>SUM(RD[[#This Row],[IS5Inv1M1]:[IS5Inv2M2]])</f>
        <v>18147.7</v>
      </c>
      <c r="DK65" s="204">
        <f>SUM(RD[[#This Row],[IS8Inv1M1]:[IS9Inv2M2]])</f>
        <v>35062.800000000003</v>
      </c>
      <c r="DL65" s="60">
        <f>SUM(RD[[#This Row],[IS6Inv1M1]:[IS6Inv2M2]])</f>
        <v>18301.699999999997</v>
      </c>
      <c r="DM65" s="51">
        <f>SUM(RD[[#This Row],[IS10Inv1M1]:[IS11Inv1M4]],RD[[#This Row],[IS14Inv1M1]:[IS14Inv2M4]])</f>
        <v>44434.9</v>
      </c>
      <c r="DN65" s="288">
        <f>SUM(RD[[#This Row],[IS12Inv1M1]:[IS12Inv1M4]])</f>
        <v>14433.7</v>
      </c>
      <c r="DO65" s="288">
        <f>SUM(RD[[#This Row],[IS13Inv1M1]:[IS13Inv2M2]])</f>
        <v>15459.8</v>
      </c>
      <c r="DP65" s="204">
        <f>SUM(RD[[#This Row],[O2R15]:[O2R26]])</f>
        <v>278512.5</v>
      </c>
      <c r="DQ65" s="164">
        <v>41304.300000000003</v>
      </c>
      <c r="DR65" s="168">
        <v>214.1</v>
      </c>
      <c r="DS65" s="164">
        <v>35842.5</v>
      </c>
      <c r="DT65" s="164">
        <v>226.8</v>
      </c>
      <c r="DU65" s="168">
        <v>41848.800000000003</v>
      </c>
      <c r="DV65" s="168">
        <v>406.8</v>
      </c>
      <c r="DW65" s="164">
        <v>9683.1</v>
      </c>
      <c r="DX65" s="168">
        <v>47.4</v>
      </c>
      <c r="DY65" s="168"/>
      <c r="DZ65" s="168"/>
      <c r="EA65" s="140">
        <v>97.7</v>
      </c>
      <c r="EB65" s="243">
        <v>132024336</v>
      </c>
      <c r="EC65" s="242">
        <v>956550.46400000004</v>
      </c>
      <c r="ED65" s="243">
        <v>1148</v>
      </c>
      <c r="EE65" s="243">
        <v>126298</v>
      </c>
      <c r="EF65" s="164">
        <v>183082.3</v>
      </c>
      <c r="EG65" s="164">
        <v>1868.8</v>
      </c>
      <c r="EH65" s="146">
        <f>IF((RD[[#This Row],[33 kV_F3_Ex
Incomer1]]-DQ64)*1000&lt;0,0,(RD[[#This Row],[33 kV_F3_Ex
Incomer1]]-DQ64)*1000)</f>
        <v>63600.000000005821</v>
      </c>
      <c r="EI65" s="146">
        <f>IF((RD[[#This Row],[34 kV_F3_Im
Incomer1]]-DR64)*1000&lt;0,0,(RD[[#This Row],[34 kV_F3_Im
Incomer1]]-DR64)*1000)</f>
        <v>199.99999999998863</v>
      </c>
      <c r="EJ65" s="146">
        <f>IF((RD[[#This Row],[33 kV_F4_Ex
Incomer2]]-DS64)*1000&lt;0,0,(RD[[#This Row],[33 kV_F4_Ex
Incomer2]]-DS64)*1000)</f>
        <v>60900.000000001455</v>
      </c>
      <c r="EK65" s="146">
        <f>IF((RD[[#This Row],[34 kV_F4_Im
Incomer2]]-DT64)*1000&lt;0,0,(RD[[#This Row],[34 kV_F4_Im
Incomer2]]-DT64)*1000)</f>
        <v>300.00000000001137</v>
      </c>
      <c r="EL65" s="146">
        <f>IF((RD[[#This Row],[33 kV_F5_Ex
Incomer3]]-DU64)*1000&lt;0,0,(RD[[#This Row],[33 kV_F5_Ex
Incomer3]]-DU64)*1000)</f>
        <v>78400.000000001455</v>
      </c>
      <c r="EM65" s="146">
        <f>IF((RD[[#This Row],[34 kV_F5_Im
Incomer3]]-DV64)*1000&lt;0,0,(RD[[#This Row],[34 kV_F5_Im
Incomer3]]-DV64)*1000)</f>
        <v>600.00000000002274</v>
      </c>
      <c r="EN65" s="146">
        <f>IF((RD[[#This Row],[33 kV_F6_Ex
Incomer4]]-DW64)*1000&lt;0,0,(RD[[#This Row],[33 kV_F6_Ex
Incomer4]]-DW64)*1000)</f>
        <v>72800.000000001091</v>
      </c>
      <c r="EO65" s="146">
        <f t="shared" si="163"/>
        <v>300.00000000001137</v>
      </c>
      <c r="EP65" s="146">
        <f>IF((RD[[#This Row],[33 kV_F7_Ex
Incomer5]]-DY64)*1000&lt;0,0,(RD[[#This Row],[33 kV_F7_Ex
Incomer5]]-DY64)*1000)</f>
        <v>0</v>
      </c>
      <c r="EQ65" s="146">
        <f>IF((RD[[#This Row],[33 kV_F7_Im
Incomer5]]-DZ64)*1000&lt;0,0,(RD[[#This Row],[33 kV_F7_Im
Incomer5]]-DZ64)*1000)</f>
        <v>0</v>
      </c>
      <c r="ER65" s="146">
        <f>IF((RD[[#This Row],[33 kV_Aux Trafo]]-EA64)*1000&lt;0,0,(RD[[#This Row],[33 kV_Aux Trafo]]-EA64)*1000)</f>
        <v>230.00000000000398</v>
      </c>
      <c r="ES65" s="158">
        <f>IF((RD[[#This Row],[33kV_OG1_Ex_]]-EB64)*1&lt;0,0,(RD[[#This Row],[33kV_OG1_Ex_]]-EB64)*1)</f>
        <v>276071</v>
      </c>
      <c r="ET65" s="146">
        <f>IF((RD[[#This Row],[33kV_OG1_Im]]-EC64)*1&lt;0,0,(RD[[#This Row],[33kV_OG1_Im]]-EC64)*1)</f>
        <v>2223.0400000000373</v>
      </c>
      <c r="EU65" s="146">
        <f>IF((RD[[#This Row],[132kV_TX1_EX]]-ED64)*720&lt;=0,"",(RD[[#This Row],[132kV_TX1_EX]]-ED64)*720)</f>
        <v>1440</v>
      </c>
      <c r="EV65" s="146">
        <f>IF((RD[[#This Row],[132 kV_Tx1_Im]]-EE64)*720&lt;=0,0,(RD[[#This Row],[132 kV_Tx1_Im]]-EE64)*720)</f>
        <v>198000</v>
      </c>
      <c r="EW65" s="146">
        <f>IF((RD[[#This Row],[132kV_L1_Ex]]-EF64)*720&lt;=0,0,(RD[[#This Row],[132kV_L1_Ex]]-EF64)*720)</f>
        <v>275111.99999998324</v>
      </c>
      <c r="EX65" s="146">
        <f>IF((RD[[#This Row],[132kV_L1_Im]]-EG64)*720&lt;=0,0,(RD[[#This Row],[132kV_L1_Im]]-EG64)*720)</f>
        <v>2735.9999999999673</v>
      </c>
      <c r="EY65" s="244">
        <f>IFERROR(RD[[#This Row],[33kV_OG1_Ex (MWh)]]+RD[[#This Row],[33kV_OG1_Im (MWh)]],"")</f>
        <v>278294.04000000004</v>
      </c>
      <c r="EZ65" s="148">
        <f>RD[[#This Row],[33kV_OG1_Ex (MWh)]]-RD[[#This Row],[33kV_OG1_Im (MWh)]]</f>
        <v>273847.95999999996</v>
      </c>
      <c r="FA65" s="148">
        <f>IFERROR(RD[[#This Row],[132kV_L1_Ex(MWh)]]-RD[[#This Row],[132kV_L1_Im(MWh)]],"")</f>
        <v>272375.99999998329</v>
      </c>
      <c r="FB65" s="55">
        <f>IFERROR(RD[[#This Row],[33kV_Ex(MWh)]]/RD[[#This Row],[Inv Total Gneration (MWh)]]-1,"")</f>
        <v>-7.8438131143110379E-4</v>
      </c>
      <c r="FC65" s="245">
        <f>IFERROR((RD[[#This Row],[Sunset Time (POA&lt;20 W/m2)]]-RD[[#This Row],[Sunrise Time (POA&gt;20 W/m2)]])*24,0)</f>
        <v>11.433333333333334</v>
      </c>
      <c r="FD65" s="246">
        <v>120.7</v>
      </c>
      <c r="FE65" t="s">
        <v>281</v>
      </c>
      <c r="FG65" s="144" t="str">
        <f>IFERROR(RD[[#This Row],[E_AC (WPR)]]/RD[[#This Row],[E_DC (WPR)]],"")</f>
        <v/>
      </c>
    </row>
    <row r="66" spans="1:163">
      <c r="A66" s="133">
        <f t="shared" si="161"/>
        <v>45806</v>
      </c>
      <c r="B66" s="138">
        <f>YEAR(RD[[#This Row],[Date]])+IF(MONTH(RD[[#This Row],[Date]])&gt;=4,1,0)</f>
        <v>2026</v>
      </c>
      <c r="C66" s="138">
        <f>YEAR(RD[[#This Row],[Date]])</f>
        <v>2025</v>
      </c>
      <c r="D66" s="139">
        <f t="shared" si="164"/>
        <v>45778</v>
      </c>
      <c r="E66" s="138">
        <f>DAY(EOMONTH(RD[[#This Row],[Date]],0))</f>
        <v>31</v>
      </c>
      <c r="F66" s="152">
        <v>0.2638888888888889</v>
      </c>
      <c r="G66" s="162">
        <v>0.78263888888888888</v>
      </c>
      <c r="H66" s="124">
        <v>7148.8</v>
      </c>
      <c r="I66" s="270">
        <v>7100.8</v>
      </c>
      <c r="J66" s="124">
        <v>6770.9</v>
      </c>
      <c r="K66" s="124">
        <v>6893.5</v>
      </c>
      <c r="L66" s="124">
        <v>7066.2</v>
      </c>
      <c r="M66" s="124">
        <v>7237.1</v>
      </c>
      <c r="N66" s="124">
        <v>7047.4</v>
      </c>
      <c r="O66" s="124">
        <v>7547.7</v>
      </c>
      <c r="P66" s="124">
        <v>7160.1</v>
      </c>
      <c r="Q66" s="124">
        <v>6986.8</v>
      </c>
      <c r="R66" s="124">
        <v>7218.6</v>
      </c>
      <c r="S66" s="268">
        <v>7195.6</v>
      </c>
      <c r="T66" s="124">
        <v>7536.9</v>
      </c>
      <c r="U66" s="124">
        <v>7359.6</v>
      </c>
      <c r="V66" s="124">
        <v>7376.8</v>
      </c>
      <c r="W66" s="124">
        <v>7063.9</v>
      </c>
      <c r="X66" s="268">
        <v>9906.1</v>
      </c>
      <c r="Y66" s="203">
        <v>10854.5</v>
      </c>
      <c r="Z66" s="203">
        <v>9614.2000000000007</v>
      </c>
      <c r="AA66" s="203">
        <v>9975.4</v>
      </c>
      <c r="AB66" s="268">
        <v>10487.6</v>
      </c>
      <c r="AC66" s="203">
        <v>6733.2</v>
      </c>
      <c r="AD66" s="203">
        <v>10190.799999999999</v>
      </c>
      <c r="AE66" s="203">
        <v>10386.9</v>
      </c>
      <c r="AF66" s="268">
        <v>10185.4</v>
      </c>
      <c r="AG66" s="203">
        <v>10133.4</v>
      </c>
      <c r="AH66" s="203">
        <v>10119</v>
      </c>
      <c r="AI66" s="268">
        <v>10186.1</v>
      </c>
      <c r="AJ66" s="203">
        <v>8381.7000000000007</v>
      </c>
      <c r="AK66" s="268">
        <v>8629.7999999999993</v>
      </c>
      <c r="AL66" s="203">
        <v>8484.7000000000007</v>
      </c>
      <c r="AM66" s="268">
        <v>8544.2999999999993</v>
      </c>
      <c r="AN66" s="203">
        <v>8464.7000000000007</v>
      </c>
      <c r="AO66" s="268">
        <v>8776.7000000000007</v>
      </c>
      <c r="AP66" s="203">
        <v>8589.2000000000007</v>
      </c>
      <c r="AQ66" s="268">
        <v>8505.7999999999993</v>
      </c>
      <c r="AR66" s="203">
        <v>6945.2</v>
      </c>
      <c r="AS66" s="268">
        <v>7008.4</v>
      </c>
      <c r="AT66" s="203">
        <v>7010.8</v>
      </c>
      <c r="AU66" s="268">
        <v>6971.1</v>
      </c>
      <c r="AV66" s="271">
        <v>7155.7</v>
      </c>
      <c r="AW66" s="203">
        <v>7061</v>
      </c>
      <c r="AX66" s="265">
        <v>9740.2000000000007</v>
      </c>
      <c r="AY66" s="203">
        <v>10774.1</v>
      </c>
      <c r="AZ66" s="203">
        <v>7945.6</v>
      </c>
      <c r="BA66" s="203">
        <v>9633.4</v>
      </c>
      <c r="BB66" s="203">
        <v>10764</v>
      </c>
      <c r="BC66" s="203">
        <v>8939</v>
      </c>
      <c r="BD66" s="203">
        <v>6714.1</v>
      </c>
      <c r="BE66" s="203">
        <v>8891.2999999999993</v>
      </c>
      <c r="BF66" s="203">
        <v>9328</v>
      </c>
      <c r="BG66" s="203">
        <v>2202.6999999999998</v>
      </c>
      <c r="BH66" s="203">
        <v>0</v>
      </c>
      <c r="BI66" s="203">
        <v>0</v>
      </c>
      <c r="BJ66" s="203">
        <v>6204.1</v>
      </c>
      <c r="BK66" s="203">
        <v>4297.2</v>
      </c>
      <c r="BL66" s="203">
        <v>5628.8</v>
      </c>
      <c r="BM66" s="203">
        <v>5852.7</v>
      </c>
      <c r="BN66" s="203">
        <v>6333.4</v>
      </c>
      <c r="BO66" s="203">
        <v>6145.7</v>
      </c>
      <c r="BP66" s="203">
        <v>6546.3</v>
      </c>
      <c r="BQ66" s="203">
        <v>6556.6</v>
      </c>
      <c r="BR66" s="203">
        <v>7001.6</v>
      </c>
      <c r="BS66" s="203">
        <v>6810.7</v>
      </c>
      <c r="BT66" s="203">
        <v>7103.9</v>
      </c>
      <c r="BU66" s="203">
        <v>6962.5</v>
      </c>
      <c r="BV66" s="203"/>
      <c r="BW66" s="203"/>
      <c r="BX66" s="203"/>
      <c r="BY66" s="203"/>
      <c r="BZ66" s="203">
        <v>955.9</v>
      </c>
      <c r="CA66" s="203">
        <v>808</v>
      </c>
      <c r="CB66" s="203">
        <v>3809.4</v>
      </c>
      <c r="CC66" s="203">
        <v>6337</v>
      </c>
      <c r="CD66" s="263">
        <v>5.3235478999999915</v>
      </c>
      <c r="CE66" s="263">
        <v>5.4611858333333281</v>
      </c>
      <c r="CF66" s="263">
        <v>5.5170201833333241</v>
      </c>
      <c r="CG66" s="263">
        <v>5.5506481333333424</v>
      </c>
      <c r="CH66" s="263">
        <v>0.51712624999999968</v>
      </c>
      <c r="CI66" s="263">
        <v>0.66307354999999912</v>
      </c>
      <c r="CJ66" s="263">
        <v>0.81977708333333354</v>
      </c>
      <c r="CK66" s="263">
        <v>0.72870169999999945</v>
      </c>
      <c r="CL66" s="263">
        <v>30.046959737058359</v>
      </c>
      <c r="CM66" s="263">
        <v>29.942999999999998</v>
      </c>
      <c r="CN66" s="263">
        <v>43.790342645850437</v>
      </c>
      <c r="CO66" s="263">
        <v>41.069666393442574</v>
      </c>
      <c r="CP66" s="263">
        <v>73.678077239112753</v>
      </c>
      <c r="CQ66" s="263">
        <v>75.063786885246017</v>
      </c>
      <c r="CR66" s="263">
        <v>0</v>
      </c>
      <c r="CS66" s="263">
        <v>1.9672131147540971E-2</v>
      </c>
      <c r="CT66" s="263">
        <v>1.4556064092029568</v>
      </c>
      <c r="CU66" s="263">
        <v>1.531802459016393</v>
      </c>
      <c r="CV66" s="263">
        <v>3.105</v>
      </c>
      <c r="CW66" s="263">
        <v>3.516</v>
      </c>
      <c r="CX66" s="204">
        <f>IFERROR(AVERAGEIF(RD[[#This Row],[IS1POA1 (KWh/m2)]:[IS7POA2 (KWh/m2)]],"&lt;&gt;0",RD[[#This Row],[IS1POA1 (KWh/m2)]:[IS7POA2 (KWh/m2)]]),"")</f>
        <v>5.3923668666666593</v>
      </c>
      <c r="CY66" s="204">
        <f>IFERROR(AVERAGEIF(RD[[#This Row],[IS1GHI1 (KWh/m2)]:[IS7GHI2 (KWh/m2)]],"&lt;&gt;0",RD[[#This Row],[IS1GHI1 (KWh/m2)]:[IS7GHI2 (KWh/m2)]]),"")</f>
        <v>5.5338341583333328</v>
      </c>
      <c r="CZ66" s="204">
        <f>IFERROR(AVERAGEIF(RD[[#This Row],[IS1POA_BS1 (KWh/m2)]:[IS7POA_BS2 (KWh/m2)]],"&lt;&gt;0",RD[[#This Row],[IS1POA_BS1 (KWh/m2)]:[IS7POA_BS2 (KWh/m2)]]),"")</f>
        <v>0.59009989999999934</v>
      </c>
      <c r="DA66" s="204">
        <f>IFERROR(AVERAGEIF(RD[[#This Row],[IS1GHI_BS1 (KWh/m2)]:[IS1GHI_BS1 (KWh/m2)2]],"&lt;&gt;0",RD[[#This Row],[IS1GHI_BS1 (KWh/m2)]:[IS1GHI_BS1 (KWh/m2)2]]),"")</f>
        <v>0.77423939166666655</v>
      </c>
      <c r="DB66" s="204">
        <f>IFERROR(AVERAGEIF(RD[[#This Row],[IS1AT1 (°C)]:[IS7AT2 (°C)]],"&lt;&gt;0",RD[[#This Row],[IS1AT1 (°C)]:[IS7AT2 (°C)]]),"")</f>
        <v>29.994979868529178</v>
      </c>
      <c r="DC66" s="204">
        <f>IFERROR(AVERAGEIF(RD[[#This Row],[IS1MT1 (°C)]:[IS7MT2 (°C)]],"&lt;&gt;0",RD[[#This Row],[IS1MT1 (°C)]:[IS7MT2 (°C)]]),"")</f>
        <v>42.430004519646502</v>
      </c>
      <c r="DD66" s="204">
        <f>IFERROR(AVERAGEIF(RD[[#This Row],[IS1RH1 (%)]:[IS7RH2 (%)]],"&lt;&gt;0",RD[[#This Row],[IS1RH1 (%)]:[IS7RH2 (%)]]),"")</f>
        <v>74.370932062179378</v>
      </c>
      <c r="DE66" s="51">
        <f>IFERROR(AVERAGEIF(RD[[#This Row],[IS1Rain1 (mm)]:[IS7Rain2 (mm)]],"&lt;&gt;0",RD[[#This Row],[IS1Rain1 (mm)]:[IS7Rain2 (mm)]]),"")</f>
        <v>1.9672131147540971E-2</v>
      </c>
      <c r="DF66" s="204">
        <f>IFERROR(AVERAGEIF(RD[[#This Row],[WS_Solar1_Avg (m/s)]:[IS7_WS_Solar1_Avg (m/s)]],"&lt;&gt;0",RD[[#This Row],[WS_Solar1_Avg (m/s)]:[IS7_WS_Solar1_Avg (m/s)]]),"")</f>
        <v>1.493704434109675</v>
      </c>
      <c r="DG66" s="204">
        <f>IFERROR(AVERAGEIF(RD[[#This Row],[WS_Solar1_Max (m/s)]:[IS7_WS_Solar1_Max (m/s)]],"&lt;&gt;0",RD[[#This Row],[WS_Solar1_Max (m/s)]:[IS7_WS_Solar1_Max (m/s)]]),"")</f>
        <v>3.3105000000000002</v>
      </c>
      <c r="DH66" s="204">
        <f>SUM(RD[[#This Row],[IS1Inv1M1]:[IS4Inv4M2]])</f>
        <v>233483.3</v>
      </c>
      <c r="DI66" s="205">
        <f>SUM(RD[[#This Row],[IS7Inv1M1]]+RD[[#This Row],[IS7Inv2M1]])</f>
        <v>13953.599999999999</v>
      </c>
      <c r="DJ66" s="204">
        <f>SUM(RD[[#This Row],[IS5Inv1M1]:[IS5Inv2M2]])</f>
        <v>34040.5</v>
      </c>
      <c r="DK66" s="204">
        <f>SUM(RD[[#This Row],[IS8Inv1M1]:[IS9Inv2M2]])</f>
        <v>66291.899999999994</v>
      </c>
      <c r="DL66" s="60">
        <f>SUM(RD[[#This Row],[IS6Inv1M1]:[IS6Inv2M2]])</f>
        <v>34336.400000000001</v>
      </c>
      <c r="DM66" s="51">
        <f>SUM(RD[[#This Row],[IS10Inv1M1]:[IS11Inv1M4]],RD[[#This Row],[IS14Inv1M1]:[IS14Inv2M4]])</f>
        <v>80732.199999999983</v>
      </c>
      <c r="DN66" s="288">
        <f>SUM(RD[[#This Row],[IS12Inv1M1]:[IS12Inv1M4]])</f>
        <v>25582</v>
      </c>
      <c r="DO66" s="288">
        <f>SUM(RD[[#This Row],[IS13Inv1M1]:[IS13Inv2M2]])</f>
        <v>27878.699999999997</v>
      </c>
      <c r="DP66" s="204">
        <f>SUM(RD[[#This Row],[O2R15]:[O2R26]])</f>
        <v>516298.60000000003</v>
      </c>
      <c r="DQ66" s="164">
        <v>41422.300000000003</v>
      </c>
      <c r="DR66" s="168">
        <v>214.5</v>
      </c>
      <c r="DS66" s="164">
        <v>35953</v>
      </c>
      <c r="DT66" s="164">
        <v>227.1</v>
      </c>
      <c r="DU66" s="168">
        <v>41995.6</v>
      </c>
      <c r="DV66" s="168">
        <v>407.4</v>
      </c>
      <c r="DW66" s="164">
        <v>9812.7999999999993</v>
      </c>
      <c r="DX66" s="168">
        <v>48.2</v>
      </c>
      <c r="DY66" s="168"/>
      <c r="DZ66" s="168"/>
      <c r="EA66" s="140">
        <v>97.97</v>
      </c>
      <c r="EB66" s="243">
        <v>132531183</v>
      </c>
      <c r="EC66" s="242">
        <v>958852.16</v>
      </c>
      <c r="ED66" s="243">
        <v>1151</v>
      </c>
      <c r="EE66" s="243">
        <v>126803</v>
      </c>
      <c r="EF66" s="164">
        <v>183784.1</v>
      </c>
      <c r="EG66" s="164">
        <v>1872.7</v>
      </c>
      <c r="EH66" s="146">
        <f>IF((RD[[#This Row],[33 kV_F3_Ex
Incomer1]]-DQ65)*1000&lt;0,0,(RD[[#This Row],[33 kV_F3_Ex
Incomer1]]-DQ65)*1000)</f>
        <v>118000</v>
      </c>
      <c r="EI66" s="146">
        <f>IF((RD[[#This Row],[34 kV_F3_Im
Incomer1]]-DR65)*1000&lt;0,0,(RD[[#This Row],[34 kV_F3_Im
Incomer1]]-DR65)*1000)</f>
        <v>400.00000000000568</v>
      </c>
      <c r="EJ66" s="146">
        <f>IF((RD[[#This Row],[33 kV_F4_Ex
Incomer2]]-DS65)*1000&lt;0,0,(RD[[#This Row],[33 kV_F4_Ex
Incomer2]]-DS65)*1000)</f>
        <v>110500</v>
      </c>
      <c r="EK66" s="146">
        <f>IF((RD[[#This Row],[34 kV_F4_Im
Incomer2]]-DT65)*1000&lt;0,0,(RD[[#This Row],[34 kV_F4_Im
Incomer2]]-DT65)*1000)</f>
        <v>299.99999999998295</v>
      </c>
      <c r="EL66" s="146">
        <f>IF((RD[[#This Row],[33 kV_F5_Ex
Incomer3]]-DU65)*1000&lt;0,0,(RD[[#This Row],[33 kV_F5_Ex
Incomer3]]-DU65)*1000)</f>
        <v>146799.99999999563</v>
      </c>
      <c r="EM66" s="146">
        <f>IF((RD[[#This Row],[34 kV_F5_Im
Incomer3]]-DV65)*1000&lt;0,0,(RD[[#This Row],[34 kV_F5_Im
Incomer3]]-DV65)*1000)</f>
        <v>599.99999999996589</v>
      </c>
      <c r="EN66" s="146">
        <f>IF((RD[[#This Row],[33 kV_F6_Ex
Incomer4]]-DW65)*1000&lt;0,0,(RD[[#This Row],[33 kV_F6_Ex
Incomer4]]-DW65)*1000)</f>
        <v>129699.99999999891</v>
      </c>
      <c r="EO66" s="146">
        <f t="shared" si="163"/>
        <v>399.99999999997726</v>
      </c>
      <c r="EP66" s="146">
        <f>IF((RD[[#This Row],[33 kV_F7_Ex
Incomer5]]-DY65)*1000&lt;0,0,(RD[[#This Row],[33 kV_F7_Ex
Incomer5]]-DY65)*1000)</f>
        <v>0</v>
      </c>
      <c r="EQ66" s="146">
        <f>IF((RD[[#This Row],[33 kV_F7_Im
Incomer5]]-DZ65)*1000&lt;0,0,(RD[[#This Row],[33 kV_F7_Im
Incomer5]]-DZ65)*1000)</f>
        <v>0</v>
      </c>
      <c r="ER66" s="146">
        <f>IF((RD[[#This Row],[33 kV_Aux Trafo]]-EA65)*1000&lt;0,0,(RD[[#This Row],[33 kV_Aux Trafo]]-EA65)*1000)</f>
        <v>269.99999999999602</v>
      </c>
      <c r="ES66" s="158">
        <f>IF((RD[[#This Row],[33kV_OG1_Ex_]]-EB65)*1&lt;0,0,(RD[[#This Row],[33kV_OG1_Ex_]]-EB65)*1)</f>
        <v>506847</v>
      </c>
      <c r="ET66" s="146">
        <f>IF((RD[[#This Row],[33kV_OG1_Im]]-EC65)*1&lt;0,0,(RD[[#This Row],[33kV_OG1_Im]]-EC65)*1)</f>
        <v>2301.6959999999963</v>
      </c>
      <c r="EU66" s="146">
        <f>IF((RD[[#This Row],[132kV_TX1_EX]]-ED65)*720&lt;=0,"",(RD[[#This Row],[132kV_TX1_EX]]-ED65)*720)</f>
        <v>2160</v>
      </c>
      <c r="EV66" s="146">
        <f>IF((RD[[#This Row],[132 kV_Tx1_Im]]-EE65)*720&lt;=0,0,(RD[[#This Row],[132 kV_Tx1_Im]]-EE65)*720)</f>
        <v>363600</v>
      </c>
      <c r="EW66" s="146">
        <f>IF((RD[[#This Row],[132kV_L1_Ex]]-EF65)*720&lt;=0,0,(RD[[#This Row],[132kV_L1_Ex]]-EF65)*720)</f>
        <v>505296.00000001257</v>
      </c>
      <c r="EX66" s="146">
        <f>IF((RD[[#This Row],[132kV_L1_Im]]-EG65)*720&lt;=0,0,(RD[[#This Row],[132kV_L1_Im]]-EG65)*720)</f>
        <v>2808.0000000000655</v>
      </c>
      <c r="EY66" s="244">
        <f>IFERROR(RD[[#This Row],[33kV_OG1_Ex (MWh)]]+RD[[#This Row],[33kV_OG1_Im (MWh)]],"")</f>
        <v>509148.696</v>
      </c>
      <c r="EZ66" s="148">
        <f>RD[[#This Row],[33kV_OG1_Ex (MWh)]]-RD[[#This Row],[33kV_OG1_Im (MWh)]]</f>
        <v>504545.304</v>
      </c>
      <c r="FA66" s="148">
        <f>IFERROR(RD[[#This Row],[132kV_L1_Ex(MWh)]]-RD[[#This Row],[132kV_L1_Im(MWh)]],"")</f>
        <v>502488.00000001251</v>
      </c>
      <c r="FB66" s="55">
        <f>IFERROR(RD[[#This Row],[33kV_Ex(MWh)]]/RD[[#This Row],[Inv Total Gneration (MWh)]]-1,"")</f>
        <v>-1.3848389284805362E-2</v>
      </c>
      <c r="FC66" s="245">
        <f>IFERROR((RD[[#This Row],[Sunset Time (POA&lt;20 W/m2)]]-RD[[#This Row],[Sunrise Time (POA&gt;20 W/m2)]])*24,0)</f>
        <v>12.450000000000001</v>
      </c>
      <c r="FD66" s="246">
        <v>120.7</v>
      </c>
      <c r="FE66" t="s">
        <v>284</v>
      </c>
      <c r="FG66" s="144" t="str">
        <f>IFERROR(RD[[#This Row],[E_AC (WPR)]]/RD[[#This Row],[E_DC (WPR)]],"")</f>
        <v/>
      </c>
    </row>
    <row r="67" spans="1:163">
      <c r="A67" s="133">
        <f t="shared" si="161"/>
        <v>45807</v>
      </c>
      <c r="B67" s="138">
        <f>YEAR(RD[[#This Row],[Date]])+IF(MONTH(RD[[#This Row],[Date]])&gt;=4,1,0)</f>
        <v>2026</v>
      </c>
      <c r="C67" s="138">
        <f>YEAR(RD[[#This Row],[Date]])</f>
        <v>2025</v>
      </c>
      <c r="D67" s="139">
        <f t="shared" si="164"/>
        <v>45778</v>
      </c>
      <c r="E67" s="138">
        <f>DAY(EOMONTH(RD[[#This Row],[Date]],0))</f>
        <v>31</v>
      </c>
      <c r="F67" s="152">
        <v>0.25763888888888886</v>
      </c>
      <c r="G67" s="162">
        <v>0.77430555555555558</v>
      </c>
      <c r="H67" s="124">
        <v>7294.7</v>
      </c>
      <c r="I67" s="270">
        <v>7173.3</v>
      </c>
      <c r="J67" s="124">
        <v>6805.1</v>
      </c>
      <c r="K67" s="124">
        <v>6962.7</v>
      </c>
      <c r="L67" s="124">
        <v>7157.7</v>
      </c>
      <c r="M67" s="124">
        <v>7367.4</v>
      </c>
      <c r="N67" s="124">
        <v>7145.4</v>
      </c>
      <c r="O67" s="124">
        <v>7785.5</v>
      </c>
      <c r="P67" s="124">
        <v>7279</v>
      </c>
      <c r="Q67" s="124">
        <v>7103.5</v>
      </c>
      <c r="R67" s="124">
        <v>7409.9</v>
      </c>
      <c r="S67" s="268">
        <v>7392.4</v>
      </c>
      <c r="T67" s="124">
        <v>7679.7</v>
      </c>
      <c r="U67" s="124">
        <v>7468.7</v>
      </c>
      <c r="V67" s="124">
        <v>7493.8</v>
      </c>
      <c r="W67" s="124">
        <v>7094.4</v>
      </c>
      <c r="X67" s="268">
        <v>9986.1</v>
      </c>
      <c r="Y67" s="203">
        <v>11226.7</v>
      </c>
      <c r="Z67" s="203">
        <v>9644.5</v>
      </c>
      <c r="AA67" s="203">
        <v>10080.1</v>
      </c>
      <c r="AB67" s="268">
        <v>11079.1</v>
      </c>
      <c r="AC67" s="203">
        <v>6782.1</v>
      </c>
      <c r="AD67" s="203">
        <v>10306.4</v>
      </c>
      <c r="AE67" s="203">
        <v>10516</v>
      </c>
      <c r="AF67" s="268">
        <v>10265.700000000001</v>
      </c>
      <c r="AG67" s="203">
        <v>10162.6</v>
      </c>
      <c r="AH67" s="203">
        <v>10234.9</v>
      </c>
      <c r="AI67" s="268">
        <v>10316.1</v>
      </c>
      <c r="AJ67" s="203">
        <v>8415.9</v>
      </c>
      <c r="AK67" s="268">
        <v>8648.2000000000007</v>
      </c>
      <c r="AL67" s="203">
        <v>8476</v>
      </c>
      <c r="AM67" s="268">
        <v>8519.5</v>
      </c>
      <c r="AN67" s="203">
        <v>8507.6</v>
      </c>
      <c r="AO67" s="268">
        <v>8823.4</v>
      </c>
      <c r="AP67" s="203">
        <v>8605.1</v>
      </c>
      <c r="AQ67" s="268">
        <v>8544</v>
      </c>
      <c r="AR67" s="203">
        <v>6988.4</v>
      </c>
      <c r="AS67" s="268">
        <v>7056.7</v>
      </c>
      <c r="AT67" s="203">
        <v>7036</v>
      </c>
      <c r="AU67" s="268">
        <v>6952.5</v>
      </c>
      <c r="AV67" s="271">
        <v>7145.5</v>
      </c>
      <c r="AW67" s="203">
        <v>7078</v>
      </c>
      <c r="AX67" s="265">
        <v>9753.5</v>
      </c>
      <c r="AY67" s="203">
        <v>10885.4</v>
      </c>
      <c r="AZ67" s="203">
        <v>7872.9</v>
      </c>
      <c r="BA67" s="203">
        <v>9602.4</v>
      </c>
      <c r="BB67" s="203">
        <v>9838.4</v>
      </c>
      <c r="BC67" s="203">
        <v>8251.1</v>
      </c>
      <c r="BD67" s="203">
        <v>6939.3</v>
      </c>
      <c r="BE67" s="203">
        <v>9305.6</v>
      </c>
      <c r="BF67" s="203">
        <v>9347</v>
      </c>
      <c r="BG67" s="203">
        <v>2234</v>
      </c>
      <c r="BH67" s="203">
        <v>0</v>
      </c>
      <c r="BI67" s="203">
        <v>0</v>
      </c>
      <c r="BJ67" s="203">
        <v>6619.2</v>
      </c>
      <c r="BK67" s="203">
        <v>4625.8</v>
      </c>
      <c r="BL67" s="203">
        <v>6124.5</v>
      </c>
      <c r="BM67" s="203">
        <v>6253.2</v>
      </c>
      <c r="BN67" s="203">
        <v>6964.7</v>
      </c>
      <c r="BO67" s="203">
        <v>6703.6</v>
      </c>
      <c r="BP67" s="203">
        <v>7219.7</v>
      </c>
      <c r="BQ67" s="203">
        <v>7115</v>
      </c>
      <c r="BR67" s="203">
        <v>7468.4</v>
      </c>
      <c r="BS67" s="203">
        <v>7634.2</v>
      </c>
      <c r="BT67" s="203">
        <v>7578.3</v>
      </c>
      <c r="BU67" s="203">
        <v>7720</v>
      </c>
      <c r="BV67" s="203"/>
      <c r="BW67" s="203"/>
      <c r="BX67" s="203"/>
      <c r="BY67" s="203"/>
      <c r="BZ67" s="203">
        <v>1011.2</v>
      </c>
      <c r="CA67" s="203">
        <v>855.4</v>
      </c>
      <c r="CB67" s="203">
        <v>4014.6</v>
      </c>
      <c r="CC67" s="203">
        <v>6703.2</v>
      </c>
      <c r="CD67" s="263">
        <v>5.330911216666661</v>
      </c>
      <c r="CE67" s="263">
        <v>5.4535110666666657</v>
      </c>
      <c r="CF67" s="263">
        <v>5.5902073500000027</v>
      </c>
      <c r="CG67" s="263">
        <v>5.5915883833333346</v>
      </c>
      <c r="CH67" s="263">
        <v>0.57203045000000086</v>
      </c>
      <c r="CI67" s="263">
        <v>0.70083821666666613</v>
      </c>
      <c r="CJ67" s="263">
        <v>0.89228134999999975</v>
      </c>
      <c r="CK67" s="263">
        <v>0.76178683333333352</v>
      </c>
      <c r="CL67" s="263">
        <v>30.565907421013883</v>
      </c>
      <c r="CM67" s="263">
        <v>30.685205278592367</v>
      </c>
      <c r="CN67" s="263">
        <v>42.308822189566492</v>
      </c>
      <c r="CO67" s="263">
        <v>40.179974340175953</v>
      </c>
      <c r="CP67" s="263">
        <v>66.941623806025021</v>
      </c>
      <c r="CQ67" s="263">
        <v>68.59733137829916</v>
      </c>
      <c r="CR67" s="263">
        <v>0</v>
      </c>
      <c r="CS67" s="263">
        <v>0</v>
      </c>
      <c r="CT67" s="263">
        <v>1.620958853783981</v>
      </c>
      <c r="CU67" s="263">
        <v>1.7127382697947215</v>
      </c>
      <c r="CV67" s="263">
        <v>3.0569999999999999</v>
      </c>
      <c r="CW67" s="263">
        <v>3.492</v>
      </c>
      <c r="CX67" s="204">
        <f>IFERROR(AVERAGEIF(RD[[#This Row],[IS1POA1 (KWh/m2)]:[IS7POA2 (KWh/m2)]],"&lt;&gt;0",RD[[#This Row],[IS1POA1 (KWh/m2)]:[IS7POA2 (KWh/m2)]]),"")</f>
        <v>5.3922111416666638</v>
      </c>
      <c r="CY67" s="204">
        <f>IFERROR(AVERAGEIF(RD[[#This Row],[IS1GHI1 (KWh/m2)]:[IS7GHI2 (KWh/m2)]],"&lt;&gt;0",RD[[#This Row],[IS1GHI1 (KWh/m2)]:[IS7GHI2 (KWh/m2)]]),"")</f>
        <v>5.5908978666666691</v>
      </c>
      <c r="CZ67" s="204">
        <f>IFERROR(AVERAGEIF(RD[[#This Row],[IS1POA_BS1 (KWh/m2)]:[IS7POA_BS2 (KWh/m2)]],"&lt;&gt;0",RD[[#This Row],[IS1POA_BS1 (KWh/m2)]:[IS7POA_BS2 (KWh/m2)]]),"")</f>
        <v>0.63643433333333355</v>
      </c>
      <c r="DA67" s="204">
        <f>IFERROR(AVERAGEIF(RD[[#This Row],[IS1GHI_BS1 (KWh/m2)]:[IS1GHI_BS1 (KWh/m2)2]],"&lt;&gt;0",RD[[#This Row],[IS1GHI_BS1 (KWh/m2)]:[IS1GHI_BS1 (KWh/m2)2]]),"")</f>
        <v>0.82703409166666664</v>
      </c>
      <c r="DB67" s="204">
        <f>IFERROR(AVERAGEIF(RD[[#This Row],[IS1AT1 (°C)]:[IS7AT2 (°C)]],"&lt;&gt;0",RD[[#This Row],[IS1AT1 (°C)]:[IS7AT2 (°C)]]),"")</f>
        <v>30.625556349803126</v>
      </c>
      <c r="DC67" s="204">
        <f>IFERROR(AVERAGEIF(RD[[#This Row],[IS1MT1 (°C)]:[IS7MT2 (°C)]],"&lt;&gt;0",RD[[#This Row],[IS1MT1 (°C)]:[IS7MT2 (°C)]]),"")</f>
        <v>41.244398264871222</v>
      </c>
      <c r="DD67" s="204">
        <f>IFERROR(AVERAGEIF(RD[[#This Row],[IS1RH1 (%)]:[IS7RH2 (%)]],"&lt;&gt;0",RD[[#This Row],[IS1RH1 (%)]:[IS7RH2 (%)]]),"")</f>
        <v>67.76947759216209</v>
      </c>
      <c r="DE67" s="51" t="str">
        <f>IFERROR(AVERAGEIF(RD[[#This Row],[IS1Rain1 (mm)]:[IS7Rain2 (mm)]],"&lt;&gt;0",RD[[#This Row],[IS1Rain1 (mm)]:[IS7Rain2 (mm)]]),"")</f>
        <v/>
      </c>
      <c r="DF67" s="204">
        <f>IFERROR(AVERAGEIF(RD[[#This Row],[WS_Solar1_Avg (m/s)]:[IS7_WS_Solar1_Avg (m/s)]],"&lt;&gt;0",RD[[#This Row],[WS_Solar1_Avg (m/s)]:[IS7_WS_Solar1_Avg (m/s)]]),"")</f>
        <v>1.6668485617893514</v>
      </c>
      <c r="DG67" s="204">
        <f>IFERROR(AVERAGEIF(RD[[#This Row],[WS_Solar1_Max (m/s)]:[IS7_WS_Solar1_Max (m/s)]],"&lt;&gt;0",RD[[#This Row],[WS_Solar1_Max (m/s)]:[IS7_WS_Solar1_Max (m/s)]]),"")</f>
        <v>3.2744999999999997</v>
      </c>
      <c r="DH67" s="204">
        <f>SUM(RD[[#This Row],[IS1Inv1M1]:[IS4Inv4M2]])</f>
        <v>237213.50000000003</v>
      </c>
      <c r="DI67" s="205">
        <f>SUM(RD[[#This Row],[IS7Inv1M1]]+RD[[#This Row],[IS7Inv2M1]])</f>
        <v>14045.099999999999</v>
      </c>
      <c r="DJ67" s="204">
        <f>SUM(RD[[#This Row],[IS5Inv1M1]:[IS5Inv2M2]])</f>
        <v>34059.599999999999</v>
      </c>
      <c r="DK67" s="204">
        <f>SUM(RD[[#This Row],[IS8Inv1M1]:[IS9Inv2M2]])</f>
        <v>66326.2</v>
      </c>
      <c r="DL67" s="60">
        <f>SUM(RD[[#This Row],[IS6Inv1M1]:[IS6Inv2M2]])</f>
        <v>34480.1</v>
      </c>
      <c r="DM67" s="51">
        <f>SUM(RD[[#This Row],[IS10Inv1M1]:[IS11Inv1M4]],RD[[#This Row],[IS14Inv1M1]:[IS14Inv2M4]])</f>
        <v>82122.5</v>
      </c>
      <c r="DN67" s="288">
        <f>SUM(RD[[#This Row],[IS12Inv1M1]:[IS12Inv1M4]])</f>
        <v>28003</v>
      </c>
      <c r="DO67" s="288">
        <f>SUM(RD[[#This Row],[IS13Inv1M1]:[IS13Inv2M2]])</f>
        <v>30400.899999999998</v>
      </c>
      <c r="DP67" s="204">
        <f>SUM(RD[[#This Row],[O2R15]:[O2R26]])</f>
        <v>526650.9</v>
      </c>
      <c r="DQ67" s="164">
        <v>41542.1</v>
      </c>
      <c r="DR67" s="168">
        <v>214.9</v>
      </c>
      <c r="DS67" s="164">
        <v>36065.599999999999</v>
      </c>
      <c r="DT67" s="164">
        <v>227.5</v>
      </c>
      <c r="DU67" s="168">
        <v>42142.8</v>
      </c>
      <c r="DV67" s="168">
        <v>408.2</v>
      </c>
      <c r="DW67" s="164">
        <v>9951.7999999999993</v>
      </c>
      <c r="DX67" s="168">
        <v>49</v>
      </c>
      <c r="DY67" s="168"/>
      <c r="DZ67" s="168"/>
      <c r="EA67" s="140">
        <v>98.27</v>
      </c>
      <c r="EB67" s="243">
        <v>133051539</v>
      </c>
      <c r="EC67" s="242">
        <v>961587.52</v>
      </c>
      <c r="ED67" s="243">
        <v>1155</v>
      </c>
      <c r="EE67" s="243">
        <v>127321</v>
      </c>
      <c r="EF67" s="164">
        <v>184504.5</v>
      </c>
      <c r="EG67" s="164">
        <v>1877.3</v>
      </c>
      <c r="EH67" s="146">
        <f>IF((RD[[#This Row],[33 kV_F3_Ex
Incomer1]]-DQ66)*1000&lt;0,0,(RD[[#This Row],[33 kV_F3_Ex
Incomer1]]-DQ66)*1000)</f>
        <v>119799.99999999563</v>
      </c>
      <c r="EI67" s="146">
        <f>IF((RD[[#This Row],[34 kV_F3_Im
Incomer1]]-DR66)*1000&lt;0,0,(RD[[#This Row],[34 kV_F3_Im
Incomer1]]-DR66)*1000)</f>
        <v>400.00000000000568</v>
      </c>
      <c r="EJ67" s="146">
        <f>IF((RD[[#This Row],[33 kV_F4_Ex
Incomer2]]-DS66)*1000&lt;0,0,(RD[[#This Row],[33 kV_F4_Ex
Incomer2]]-DS66)*1000)</f>
        <v>112599.99999999854</v>
      </c>
      <c r="EK67" s="146">
        <f>IF((RD[[#This Row],[34 kV_F4_Im
Incomer2]]-DT66)*1000&lt;0,0,(RD[[#This Row],[34 kV_F4_Im
Incomer2]]-DT66)*1000)</f>
        <v>400.00000000000568</v>
      </c>
      <c r="EL67" s="146">
        <f>IF((RD[[#This Row],[33 kV_F5_Ex
Incomer3]]-DU66)*1000&lt;0,0,(RD[[#This Row],[33 kV_F5_Ex
Incomer3]]-DU66)*1000)</f>
        <v>147200.00000000437</v>
      </c>
      <c r="EM67" s="146">
        <f>IF((RD[[#This Row],[34 kV_F5_Im
Incomer3]]-DV66)*1000&lt;0,0,(RD[[#This Row],[34 kV_F5_Im
Incomer3]]-DV66)*1000)</f>
        <v>800.00000000001137</v>
      </c>
      <c r="EN67" s="146">
        <f>IF((RD[[#This Row],[33 kV_F6_Ex
Incomer4]]-DW66)*1000&lt;0,0,(RD[[#This Row],[33 kV_F6_Ex
Incomer4]]-DW66)*1000)</f>
        <v>139000</v>
      </c>
      <c r="EO67" s="146">
        <f t="shared" si="163"/>
        <v>300.00000000001137</v>
      </c>
      <c r="EP67" s="146">
        <f>IF((RD[[#This Row],[33 kV_F7_Ex
Incomer5]]-DY66)*1000&lt;0,0,(RD[[#This Row],[33 kV_F7_Ex
Incomer5]]-DY66)*1000)</f>
        <v>0</v>
      </c>
      <c r="EQ67" s="146">
        <f>IF((RD[[#This Row],[33 kV_F7_Im
Incomer5]]-DZ66)*1000&lt;0,0,(RD[[#This Row],[33 kV_F7_Im
Incomer5]]-DZ66)*1000)</f>
        <v>0</v>
      </c>
      <c r="ER67" s="146">
        <f>IF((RD[[#This Row],[33 kV_Aux Trafo]]-EA66)*1000&lt;0,0,(RD[[#This Row],[33 kV_Aux Trafo]]-EA66)*1000)</f>
        <v>299.99999999999716</v>
      </c>
      <c r="ES67" s="158">
        <f>IF((RD[[#This Row],[33kV_OG1_Ex_]]-EB66)*1&lt;0,0,(RD[[#This Row],[33kV_OG1_Ex_]]-EB66)*1)</f>
        <v>520356</v>
      </c>
      <c r="ET67" s="146">
        <f>IF((RD[[#This Row],[33kV_OG1_Im]]-EC66)*1&lt;0,0,(RD[[#This Row],[33kV_OG1_Im]]-EC66)*1)</f>
        <v>2735.359999999986</v>
      </c>
      <c r="EU67" s="146">
        <f>IF((RD[[#This Row],[132kV_TX1_EX]]-ED66)*720&lt;=0,"",(RD[[#This Row],[132kV_TX1_EX]]-ED66)*720)</f>
        <v>2880</v>
      </c>
      <c r="EV67" s="146">
        <f>IF((RD[[#This Row],[132 kV_Tx1_Im]]-EE66)*720&lt;=0,0,(RD[[#This Row],[132 kV_Tx1_Im]]-EE66)*720)</f>
        <v>372960</v>
      </c>
      <c r="EW67" s="146">
        <f>IF((RD[[#This Row],[132kV_L1_Ex]]-EF66)*720&lt;=0,0,(RD[[#This Row],[132kV_L1_Ex]]-EF66)*720)</f>
        <v>518687.99999999581</v>
      </c>
      <c r="EX67" s="146">
        <f>IF((RD[[#This Row],[132kV_L1_Im]]-EG66)*720&lt;=0,0,(RD[[#This Row],[132kV_L1_Im]]-EG66)*720)</f>
        <v>3311.9999999999345</v>
      </c>
      <c r="EY67" s="244">
        <f>IFERROR(RD[[#This Row],[33kV_OG1_Ex (MWh)]]+RD[[#This Row],[33kV_OG1_Im (MWh)]],"")</f>
        <v>523091.36</v>
      </c>
      <c r="EZ67" s="148">
        <f>RD[[#This Row],[33kV_OG1_Ex (MWh)]]-RD[[#This Row],[33kV_OG1_Im (MWh)]]</f>
        <v>517620.64</v>
      </c>
      <c r="FA67" s="148">
        <f>IFERROR(RD[[#This Row],[132kV_L1_Ex(MWh)]]-RD[[#This Row],[132kV_L1_Im(MWh)]],"")</f>
        <v>515375.99999999587</v>
      </c>
      <c r="FB67" s="55">
        <f>IFERROR(RD[[#This Row],[33kV_Ex(MWh)]]/RD[[#This Row],[Inv Total Gneration (MWh)]]-1,"")</f>
        <v>-6.7588225900687693E-3</v>
      </c>
      <c r="FC67" s="245">
        <f>IFERROR((RD[[#This Row],[Sunset Time (POA&lt;20 W/m2)]]-RD[[#This Row],[Sunrise Time (POA&gt;20 W/m2)]])*24,0)</f>
        <v>12.400000000000002</v>
      </c>
      <c r="FD67" s="246">
        <v>120.7</v>
      </c>
      <c r="FE67" t="s">
        <v>293</v>
      </c>
      <c r="FG67" s="144" t="str">
        <f>IFERROR(RD[[#This Row],[E_AC (WPR)]]/RD[[#This Row],[E_DC (WPR)]],"")</f>
        <v/>
      </c>
    </row>
    <row r="68" spans="1:163">
      <c r="A68" s="133">
        <f t="shared" si="161"/>
        <v>45808</v>
      </c>
      <c r="B68" s="138">
        <f>YEAR(RD[[#This Row],[Date]])+IF(MONTH(RD[[#This Row],[Date]])&gt;=4,1,0)</f>
        <v>2026</v>
      </c>
      <c r="C68" s="138">
        <f>YEAR(RD[[#This Row],[Date]])</f>
        <v>2025</v>
      </c>
      <c r="D68" s="139">
        <f t="shared" si="164"/>
        <v>45778</v>
      </c>
      <c r="E68" s="138">
        <f>DAY(EOMONTH(RD[[#This Row],[Date]],0))</f>
        <v>31</v>
      </c>
      <c r="F68" s="152">
        <v>0.24930555555555556</v>
      </c>
      <c r="G68" s="162">
        <v>0.78402777777777777</v>
      </c>
      <c r="H68" s="124">
        <v>9249.1</v>
      </c>
      <c r="I68" s="270">
        <v>9173.6</v>
      </c>
      <c r="J68" s="124">
        <v>8741.2000000000007</v>
      </c>
      <c r="K68" s="124">
        <v>8818.6</v>
      </c>
      <c r="L68" s="124">
        <v>9072</v>
      </c>
      <c r="M68" s="124">
        <v>9302.9</v>
      </c>
      <c r="N68" s="124">
        <v>9080</v>
      </c>
      <c r="O68" s="124">
        <v>9704.7999999999993</v>
      </c>
      <c r="P68" s="124">
        <v>9103.7000000000007</v>
      </c>
      <c r="Q68" s="124">
        <v>8943.7000000000007</v>
      </c>
      <c r="R68" s="124">
        <v>9237.5</v>
      </c>
      <c r="S68" s="268">
        <v>9211.2000000000007</v>
      </c>
      <c r="T68" s="124">
        <v>9551.7000000000007</v>
      </c>
      <c r="U68" s="124">
        <v>9287.1</v>
      </c>
      <c r="V68" s="124">
        <v>9369.1</v>
      </c>
      <c r="W68" s="124">
        <v>9115</v>
      </c>
      <c r="X68" s="268">
        <v>12638.3</v>
      </c>
      <c r="Y68" s="203">
        <v>13551.6</v>
      </c>
      <c r="Z68" s="203">
        <v>12403.7</v>
      </c>
      <c r="AA68" s="203">
        <v>12829.4</v>
      </c>
      <c r="AB68" s="268">
        <v>13639.9</v>
      </c>
      <c r="AC68" s="203">
        <v>8445</v>
      </c>
      <c r="AD68" s="203">
        <v>12908.1</v>
      </c>
      <c r="AE68" s="203">
        <v>13124.8</v>
      </c>
      <c r="AF68" s="268">
        <v>12819.9</v>
      </c>
      <c r="AG68" s="203">
        <v>12746.5</v>
      </c>
      <c r="AH68" s="203">
        <v>12835.6</v>
      </c>
      <c r="AI68" s="268">
        <v>12911.3</v>
      </c>
      <c r="AJ68" s="203">
        <v>10680.5</v>
      </c>
      <c r="AK68" s="268">
        <v>10976.6</v>
      </c>
      <c r="AL68" s="203">
        <v>10784.4</v>
      </c>
      <c r="AM68" s="268">
        <v>10871.4</v>
      </c>
      <c r="AN68" s="203">
        <v>10782.1</v>
      </c>
      <c r="AO68" s="268">
        <v>11157.5</v>
      </c>
      <c r="AP68" s="203">
        <v>10938.8</v>
      </c>
      <c r="AQ68" s="268">
        <v>10821</v>
      </c>
      <c r="AR68" s="203">
        <v>8851.6</v>
      </c>
      <c r="AS68" s="268">
        <v>8913.6</v>
      </c>
      <c r="AT68" s="203">
        <v>8926.7000000000007</v>
      </c>
      <c r="AU68" s="268">
        <v>8871.5</v>
      </c>
      <c r="AV68" s="271">
        <v>9080</v>
      </c>
      <c r="AW68" s="203">
        <v>8968</v>
      </c>
      <c r="AX68" s="265">
        <v>12487.5</v>
      </c>
      <c r="AY68" s="203">
        <v>13797.9</v>
      </c>
      <c r="AZ68" s="203">
        <v>10159.9</v>
      </c>
      <c r="BA68" s="203">
        <v>12263.7</v>
      </c>
      <c r="BB68" s="203">
        <v>12696.8</v>
      </c>
      <c r="BC68" s="203">
        <v>11047.4</v>
      </c>
      <c r="BD68" s="203">
        <v>9121.7000000000007</v>
      </c>
      <c r="BE68" s="203">
        <v>12041.5</v>
      </c>
      <c r="BF68" s="203">
        <v>11320</v>
      </c>
      <c r="BG68" s="203">
        <v>2375</v>
      </c>
      <c r="BH68" s="203">
        <v>255.7</v>
      </c>
      <c r="BI68" s="203">
        <v>241.7</v>
      </c>
      <c r="BJ68" s="203">
        <v>8675.4</v>
      </c>
      <c r="BK68" s="203">
        <v>6106.3</v>
      </c>
      <c r="BL68" s="203">
        <v>8018.1</v>
      </c>
      <c r="BM68" s="203">
        <v>8112.2</v>
      </c>
      <c r="BN68" s="203">
        <v>8816.9</v>
      </c>
      <c r="BO68" s="203">
        <v>8633.1</v>
      </c>
      <c r="BP68" s="203">
        <v>9042.9</v>
      </c>
      <c r="BQ68" s="203">
        <v>9043.1</v>
      </c>
      <c r="BR68" s="203">
        <v>9719.7999999999993</v>
      </c>
      <c r="BS68" s="203">
        <v>9881.5</v>
      </c>
      <c r="BT68" s="203">
        <v>9828.7999999999993</v>
      </c>
      <c r="BU68" s="203">
        <v>10074.799999999999</v>
      </c>
      <c r="BV68" s="203"/>
      <c r="BW68" s="203"/>
      <c r="BX68" s="203"/>
      <c r="BY68" s="203"/>
      <c r="BZ68" s="203">
        <v>1365.9</v>
      </c>
      <c r="CA68" s="203">
        <v>1159.2</v>
      </c>
      <c r="CB68" s="203">
        <v>5280.8</v>
      </c>
      <c r="CC68" s="203">
        <v>8779.6</v>
      </c>
      <c r="CD68" s="263">
        <v>6.9960679499999925</v>
      </c>
      <c r="CE68" s="263">
        <v>7.0286690833333321</v>
      </c>
      <c r="CF68" s="263">
        <v>7.3065271333333328</v>
      </c>
      <c r="CG68" s="263">
        <v>7.2285001833333293</v>
      </c>
      <c r="CH68" s="263">
        <v>0.79905140000000052</v>
      </c>
      <c r="CI68" s="263">
        <v>0.92462298333333259</v>
      </c>
      <c r="CJ68" s="263">
        <v>1.1971333499999988</v>
      </c>
      <c r="CK68" s="263">
        <v>1.0138520333333327</v>
      </c>
      <c r="CL68" s="263">
        <v>31.195616547334879</v>
      </c>
      <c r="CM68" s="263">
        <v>31.343309523809531</v>
      </c>
      <c r="CN68" s="263">
        <v>44.791287191726347</v>
      </c>
      <c r="CO68" s="263">
        <v>42.263429365079325</v>
      </c>
      <c r="CP68" s="263">
        <v>55.48245027844078</v>
      </c>
      <c r="CQ68" s="263">
        <v>56.698825396825356</v>
      </c>
      <c r="CR68" s="263">
        <v>0</v>
      </c>
      <c r="CS68" s="263">
        <v>0</v>
      </c>
      <c r="CT68" s="263">
        <v>1.8219498806682597</v>
      </c>
      <c r="CU68" s="263">
        <v>1.9286833333333349</v>
      </c>
      <c r="CV68" s="263">
        <v>3.6419999999999999</v>
      </c>
      <c r="CW68" s="263">
        <v>4.1130000000000004</v>
      </c>
      <c r="CX68" s="204">
        <f>IFERROR(AVERAGEIF(RD[[#This Row],[IS1POA1 (KWh/m2)]:[IS7POA2 (KWh/m2)]],"&lt;&gt;0",RD[[#This Row],[IS1POA1 (KWh/m2)]:[IS7POA2 (KWh/m2)]]),"")</f>
        <v>7.0123685166666618</v>
      </c>
      <c r="CY68" s="204">
        <f>IFERROR(AVERAGEIF(RD[[#This Row],[IS1GHI1 (KWh/m2)]:[IS7GHI2 (KWh/m2)]],"&lt;&gt;0",RD[[#This Row],[IS1GHI1 (KWh/m2)]:[IS7GHI2 (KWh/m2)]]),"")</f>
        <v>7.2675136583333311</v>
      </c>
      <c r="CZ68" s="204">
        <f>IFERROR(AVERAGEIF(RD[[#This Row],[IS1POA_BS1 (KWh/m2)]:[IS7POA_BS2 (KWh/m2)]],"&lt;&gt;0",RD[[#This Row],[IS1POA_BS1 (KWh/m2)]:[IS7POA_BS2 (KWh/m2)]]),"")</f>
        <v>0.8618371916666665</v>
      </c>
      <c r="DA68" s="204">
        <f>IFERROR(AVERAGEIF(RD[[#This Row],[IS1GHI_BS1 (KWh/m2)]:[IS1GHI_BS1 (KWh/m2)2]],"&lt;&gt;0",RD[[#This Row],[IS1GHI_BS1 (KWh/m2)]:[IS1GHI_BS1 (KWh/m2)2]]),"")</f>
        <v>1.1054926916666656</v>
      </c>
      <c r="DB68" s="204">
        <f>IFERROR(AVERAGEIF(RD[[#This Row],[IS1AT1 (°C)]:[IS7AT2 (°C)]],"&lt;&gt;0",RD[[#This Row],[IS1AT1 (°C)]:[IS7AT2 (°C)]]),"")</f>
        <v>31.269463035572205</v>
      </c>
      <c r="DC68" s="204">
        <f>IFERROR(AVERAGEIF(RD[[#This Row],[IS1MT1 (°C)]:[IS7MT2 (°C)]],"&lt;&gt;0",RD[[#This Row],[IS1MT1 (°C)]:[IS7MT2 (°C)]]),"")</f>
        <v>43.527358278402836</v>
      </c>
      <c r="DD68" s="204">
        <f>IFERROR(AVERAGEIF(RD[[#This Row],[IS1RH1 (%)]:[IS7RH2 (%)]],"&lt;&gt;0",RD[[#This Row],[IS1RH1 (%)]:[IS7RH2 (%)]]),"")</f>
        <v>56.090637837633068</v>
      </c>
      <c r="DE68" s="51" t="str">
        <f>IFERROR(AVERAGEIF(RD[[#This Row],[IS1Rain1 (mm)]:[IS7Rain2 (mm)]],"&lt;&gt;0",RD[[#This Row],[IS1Rain1 (mm)]:[IS7Rain2 (mm)]]),"")</f>
        <v/>
      </c>
      <c r="DF68" s="204">
        <f>IFERROR(AVERAGEIF(RD[[#This Row],[WS_Solar1_Avg (m/s)]:[IS7_WS_Solar1_Avg (m/s)]],"&lt;&gt;0",RD[[#This Row],[WS_Solar1_Avg (m/s)]:[IS7_WS_Solar1_Avg (m/s)]]),"")</f>
        <v>1.8753166070007974</v>
      </c>
      <c r="DG68" s="204">
        <f>IFERROR(AVERAGEIF(RD[[#This Row],[WS_Solar1_Max (m/s)]:[IS7_WS_Solar1_Max (m/s)]],"&lt;&gt;0",RD[[#This Row],[WS_Solar1_Max (m/s)]:[IS7_WS_Solar1_Max (m/s)]]),"")</f>
        <v>3.8775000000000004</v>
      </c>
      <c r="DH68" s="204">
        <f>SUM(RD[[#This Row],[IS1Inv1M1]:[IS4Inv4M2]])</f>
        <v>297815.29999999993</v>
      </c>
      <c r="DI68" s="205">
        <f>SUM(RD[[#This Row],[IS7Inv1M1]]+RD[[#This Row],[IS7Inv2M1]])</f>
        <v>17765.2</v>
      </c>
      <c r="DJ68" s="204">
        <f>SUM(RD[[#This Row],[IS5Inv1M1]:[IS5Inv2M2]])</f>
        <v>43312.9</v>
      </c>
      <c r="DK68" s="204">
        <f>SUM(RD[[#This Row],[IS8Inv1M1]:[IS9Inv2M2]])</f>
        <v>84555.199999999997</v>
      </c>
      <c r="DL68" s="60">
        <f>SUM(RD[[#This Row],[IS6Inv1M1]:[IS6Inv2M2]])</f>
        <v>43699.399999999994</v>
      </c>
      <c r="DM68" s="51">
        <f>SUM(RD[[#This Row],[IS10Inv1M1]:[IS11Inv1M4]],RD[[#This Row],[IS14Inv1M1]:[IS14Inv2M4]])</f>
        <v>106597.29999999999</v>
      </c>
      <c r="DN68" s="288">
        <f>SUM(RD[[#This Row],[IS12Inv1M1]:[IS12Inv1M4]])</f>
        <v>35536</v>
      </c>
      <c r="DO68" s="288">
        <f>SUM(RD[[#This Row],[IS13Inv1M1]:[IS13Inv2M2]])</f>
        <v>39504.899999999994</v>
      </c>
      <c r="DP68" s="204">
        <f>SUM(RD[[#This Row],[O2R15]:[O2R26]])</f>
        <v>668786.20000000007</v>
      </c>
      <c r="DQ68" s="164">
        <v>41698.800000000003</v>
      </c>
      <c r="DR68" s="168">
        <v>215.1</v>
      </c>
      <c r="DS68" s="164">
        <v>36207.699999999997</v>
      </c>
      <c r="DT68" s="164">
        <v>227.9</v>
      </c>
      <c r="DU68" s="168">
        <v>42329.3</v>
      </c>
      <c r="DV68" s="168">
        <v>408.8</v>
      </c>
      <c r="DW68" s="164">
        <v>10131.700000000001</v>
      </c>
      <c r="DX68" s="168">
        <v>49.5</v>
      </c>
      <c r="DY68" s="168"/>
      <c r="DZ68" s="168"/>
      <c r="EA68" s="140">
        <v>98.53</v>
      </c>
      <c r="EB68" s="243">
        <v>133710921</v>
      </c>
      <c r="EC68" s="242">
        <v>963453.18400000001</v>
      </c>
      <c r="ED68" s="243">
        <v>1157</v>
      </c>
      <c r="EE68" s="243">
        <v>127978</v>
      </c>
      <c r="EF68" s="164">
        <v>185417.2</v>
      </c>
      <c r="EG68" s="164">
        <v>1880.5</v>
      </c>
      <c r="EH68" s="146">
        <f>IF((RD[[#This Row],[33 kV_F3_Ex
Incomer1]]-DQ67)*1000&lt;0,0,(RD[[#This Row],[33 kV_F3_Ex
Incomer1]]-DQ67)*1000)</f>
        <v>156700.00000000437</v>
      </c>
      <c r="EI68" s="146">
        <f>IF((RD[[#This Row],[34 kV_F3_Im
Incomer1]]-DR67)*1000&lt;0,0,(RD[[#This Row],[34 kV_F3_Im
Incomer1]]-DR67)*1000)</f>
        <v>199.99999999998863</v>
      </c>
      <c r="EJ68" s="146">
        <f>IF((RD[[#This Row],[33 kV_F4_Ex
Incomer2]]-DS67)*1000&lt;0,0,(RD[[#This Row],[33 kV_F4_Ex
Incomer2]]-DS67)*1000)</f>
        <v>142099.99999999854</v>
      </c>
      <c r="EK68" s="146">
        <f>IF((RD[[#This Row],[34 kV_F4_Im
Incomer2]]-DT67)*1000&lt;0,0,(RD[[#This Row],[34 kV_F4_Im
Incomer2]]-DT67)*1000)</f>
        <v>400.00000000000568</v>
      </c>
      <c r="EL68" s="146">
        <f>IF((RD[[#This Row],[33 kV_F5_Ex
Incomer3]]-DU67)*1000&lt;0,0,(RD[[#This Row],[33 kV_F5_Ex
Incomer3]]-DU67)*1000)</f>
        <v>186500</v>
      </c>
      <c r="EM68" s="146">
        <f>IF((RD[[#This Row],[34 kV_F5_Im
Incomer3]]-DV67)*1000&lt;0,0,(RD[[#This Row],[34 kV_F5_Im
Incomer3]]-DV67)*1000)</f>
        <v>600.00000000002274</v>
      </c>
      <c r="EN68" s="146">
        <f>IF((RD[[#This Row],[33 kV_F6_Ex
Incomer4]]-DW67)*1000&lt;0,0,(RD[[#This Row],[33 kV_F6_Ex
Incomer4]]-DW67)*1000)</f>
        <v>179900.00000000146</v>
      </c>
      <c r="EO68" s="146">
        <f t="shared" si="163"/>
        <v>300.00000000001137</v>
      </c>
      <c r="EP68" s="146">
        <f>IF((RD[[#This Row],[33 kV_F7_Ex
Incomer5]]-DY67)*1000&lt;0,0,(RD[[#This Row],[33 kV_F7_Ex
Incomer5]]-DY67)*1000)</f>
        <v>0</v>
      </c>
      <c r="EQ68" s="146">
        <f>IF((RD[[#This Row],[33 kV_F7_Im
Incomer5]]-DZ67)*1000&lt;0,0,(RD[[#This Row],[33 kV_F7_Im
Incomer5]]-DZ67)*1000)</f>
        <v>0</v>
      </c>
      <c r="ER68" s="146">
        <f>IF((RD[[#This Row],[33 kV_Aux Trafo]]-EA67)*1000&lt;0,0,(RD[[#This Row],[33 kV_Aux Trafo]]-EA67)*1000)</f>
        <v>260.00000000000512</v>
      </c>
      <c r="ES68" s="158">
        <f>IF((RD[[#This Row],[33kV_OG1_Ex_]]-EB67)*1&lt;0,0,(RD[[#This Row],[33kV_OG1_Ex_]]-EB67)*1)</f>
        <v>659382</v>
      </c>
      <c r="ET68" s="146">
        <f>IF((RD[[#This Row],[33kV_OG1_Im]]-EC67)*1&lt;0,0,(RD[[#This Row],[33kV_OG1_Im]]-EC67)*1)</f>
        <v>1865.6639999999898</v>
      </c>
      <c r="EU68" s="146">
        <f>IF((RD[[#This Row],[132kV_TX1_EX]]-ED67)*720&lt;=0,"",(RD[[#This Row],[132kV_TX1_EX]]-ED67)*720)</f>
        <v>1440</v>
      </c>
      <c r="EV68" s="146">
        <f>IF((RD[[#This Row],[132 kV_Tx1_Im]]-EE67)*720&lt;=0,0,(RD[[#This Row],[132 kV_Tx1_Im]]-EE67)*720)</f>
        <v>473040</v>
      </c>
      <c r="EW68" s="146">
        <f>IF((RD[[#This Row],[132kV_L1_Ex]]-EF67)*720&lt;=0,0,(RD[[#This Row],[132kV_L1_Ex]]-EF67)*720)</f>
        <v>657144.00000000838</v>
      </c>
      <c r="EX68" s="146">
        <f>IF((RD[[#This Row],[132kV_L1_Im]]-EG67)*720&lt;=0,0,(RD[[#This Row],[132kV_L1_Im]]-EG67)*720)</f>
        <v>2304.0000000000327</v>
      </c>
      <c r="EY68" s="244">
        <f>IFERROR(RD[[#This Row],[33kV_OG1_Ex (MWh)]]+RD[[#This Row],[33kV_OG1_Im (MWh)]],"")</f>
        <v>661247.66399999999</v>
      </c>
      <c r="EZ68" s="148">
        <f>RD[[#This Row],[33kV_OG1_Ex (MWh)]]-RD[[#This Row],[33kV_OG1_Im (MWh)]]</f>
        <v>657516.33600000001</v>
      </c>
      <c r="FA68" s="148">
        <f>IFERROR(RD[[#This Row],[132kV_L1_Ex(MWh)]]-RD[[#This Row],[132kV_L1_Im(MWh)]],"")</f>
        <v>654840.00000000838</v>
      </c>
      <c r="FB68" s="55">
        <f>IFERROR(RD[[#This Row],[33kV_Ex(MWh)]]/RD[[#This Row],[Inv Total Gneration (MWh)]]-1,"")</f>
        <v>-1.1271967035205055E-2</v>
      </c>
      <c r="FC68" s="245">
        <f>IFERROR((RD[[#This Row],[Sunset Time (POA&lt;20 W/m2)]]-RD[[#This Row],[Sunrise Time (POA&gt;20 W/m2)]])*24,0)</f>
        <v>12.833333333333332</v>
      </c>
      <c r="FD68" s="246">
        <v>120.7</v>
      </c>
      <c r="FE68" t="s">
        <v>294</v>
      </c>
      <c r="FG68" s="144" t="str">
        <f>IFERROR(RD[[#This Row],[E_AC (WPR)]]/RD[[#This Row],[E_DC (WPR)]],"")</f>
        <v/>
      </c>
    </row>
    <row r="69" spans="1:163">
      <c r="A69" s="133">
        <f t="shared" si="161"/>
        <v>45809</v>
      </c>
      <c r="B69" s="138">
        <f>YEAR(RD[[#This Row],[Date]])+IF(MONTH(RD[[#This Row],[Date]])&gt;=4,1,0)</f>
        <v>2026</v>
      </c>
      <c r="C69" s="138">
        <f>YEAR(RD[[#This Row],[Date]])</f>
        <v>2025</v>
      </c>
      <c r="D69" s="139">
        <f t="shared" ref="D69:D100" si="165">A69-DAY(A69)+1</f>
        <v>45809</v>
      </c>
      <c r="E69" s="138">
        <f>DAY(EOMONTH(RD[[#This Row],[Date]],0))</f>
        <v>30</v>
      </c>
      <c r="F69" s="152">
        <v>0.25069444444444444</v>
      </c>
      <c r="G69" s="162">
        <v>0.78263888888888888</v>
      </c>
      <c r="H69" s="124">
        <v>3732.7</v>
      </c>
      <c r="I69" s="270">
        <v>3660</v>
      </c>
      <c r="J69" s="124">
        <v>3457.6</v>
      </c>
      <c r="K69" s="124">
        <v>3523</v>
      </c>
      <c r="L69" s="124">
        <v>3619.8</v>
      </c>
      <c r="M69" s="124">
        <v>3760.3</v>
      </c>
      <c r="N69" s="124">
        <v>3653.6</v>
      </c>
      <c r="O69" s="124">
        <v>4020.1</v>
      </c>
      <c r="P69" s="124">
        <v>3611.4</v>
      </c>
      <c r="Q69" s="124">
        <v>3624.2</v>
      </c>
      <c r="R69" s="124">
        <v>3770.1</v>
      </c>
      <c r="S69" s="268">
        <v>3739.2</v>
      </c>
      <c r="T69" s="124">
        <v>3865.3</v>
      </c>
      <c r="U69" s="124">
        <v>3739.5</v>
      </c>
      <c r="V69" s="124">
        <v>3809.1</v>
      </c>
      <c r="W69" s="124">
        <v>3624.1</v>
      </c>
      <c r="X69" s="268">
        <v>5168.5</v>
      </c>
      <c r="Y69" s="203">
        <v>5756.6</v>
      </c>
      <c r="Z69" s="203">
        <v>4985.8999999999996</v>
      </c>
      <c r="AA69" s="203">
        <v>5183.3</v>
      </c>
      <c r="AB69" s="268">
        <v>5632.2</v>
      </c>
      <c r="AC69" s="203">
        <v>3409.1</v>
      </c>
      <c r="AD69" s="203">
        <v>5240.8999999999996</v>
      </c>
      <c r="AE69" s="203">
        <v>5309.8</v>
      </c>
      <c r="AF69" s="268">
        <v>5175.7</v>
      </c>
      <c r="AG69" s="203">
        <v>5177</v>
      </c>
      <c r="AH69" s="203">
        <v>5166.3</v>
      </c>
      <c r="AI69" s="268">
        <v>5215.5</v>
      </c>
      <c r="AJ69" s="203">
        <v>4399.6000000000004</v>
      </c>
      <c r="AK69" s="268">
        <v>4447.1000000000004</v>
      </c>
      <c r="AL69" s="203">
        <v>4319.7</v>
      </c>
      <c r="AM69" s="268">
        <v>4366.3999999999996</v>
      </c>
      <c r="AN69" s="203">
        <v>4372.2</v>
      </c>
      <c r="AO69" s="268">
        <v>4514.3999999999996</v>
      </c>
      <c r="AP69" s="203">
        <v>4444.2</v>
      </c>
      <c r="AQ69" s="268">
        <v>4411.5</v>
      </c>
      <c r="AR69" s="203">
        <v>3547.6</v>
      </c>
      <c r="AS69" s="268">
        <v>3562.4</v>
      </c>
      <c r="AT69" s="203">
        <v>3554.4</v>
      </c>
      <c r="AU69" s="268">
        <v>3542.3</v>
      </c>
      <c r="AV69" s="203">
        <v>3629.4</v>
      </c>
      <c r="AW69" s="203">
        <v>3577.8</v>
      </c>
      <c r="AX69" s="203">
        <v>5187</v>
      </c>
      <c r="AY69" s="203">
        <v>5913</v>
      </c>
      <c r="AZ69" s="203">
        <v>4250</v>
      </c>
      <c r="BA69" s="203">
        <v>5150.7</v>
      </c>
      <c r="BB69" s="203">
        <v>4587</v>
      </c>
      <c r="BC69" s="203">
        <v>4229</v>
      </c>
      <c r="BD69" s="203">
        <v>3345</v>
      </c>
      <c r="BE69" s="203">
        <v>4320</v>
      </c>
      <c r="BF69" s="203">
        <v>9011</v>
      </c>
      <c r="BG69" s="203">
        <v>2350</v>
      </c>
      <c r="BH69" s="203">
        <v>938</v>
      </c>
      <c r="BI69" s="203">
        <v>1199</v>
      </c>
      <c r="BJ69" s="203">
        <v>3213</v>
      </c>
      <c r="BK69" s="203">
        <v>2336</v>
      </c>
      <c r="BL69" s="203">
        <v>2976</v>
      </c>
      <c r="BM69" s="203">
        <v>3020</v>
      </c>
      <c r="BN69" s="203">
        <v>3260</v>
      </c>
      <c r="BO69" s="203">
        <v>3192</v>
      </c>
      <c r="BP69" s="203">
        <v>3460</v>
      </c>
      <c r="BQ69" s="203">
        <v>3478</v>
      </c>
      <c r="BR69" s="203">
        <v>3711</v>
      </c>
      <c r="BS69" s="203">
        <v>3825</v>
      </c>
      <c r="BT69" s="203">
        <v>3764</v>
      </c>
      <c r="BU69" s="203">
        <v>3859</v>
      </c>
      <c r="BV69" s="203"/>
      <c r="BW69" s="203"/>
      <c r="BX69" s="203"/>
      <c r="BY69" s="203"/>
      <c r="BZ69" s="203">
        <v>477</v>
      </c>
      <c r="CA69" s="203">
        <v>396</v>
      </c>
      <c r="CB69" s="203">
        <v>1938</v>
      </c>
      <c r="CC69" s="203">
        <v>3273</v>
      </c>
      <c r="CD69" s="263">
        <v>6.2809782833333418</v>
      </c>
      <c r="CE69" s="263">
        <v>6.7065176666666853</v>
      </c>
      <c r="CF69" s="263">
        <v>6.6241442166666671</v>
      </c>
      <c r="CG69" s="263">
        <v>6.9143356666666627</v>
      </c>
      <c r="CH69" s="263">
        <v>0.74349878333333386</v>
      </c>
      <c r="CI69" s="263">
        <v>0.86923035000000004</v>
      </c>
      <c r="CJ69" s="263">
        <v>1.0943879166666663</v>
      </c>
      <c r="CK69" s="263">
        <v>0.98194678333333385</v>
      </c>
      <c r="CL69" s="263">
        <v>30.97924623115583</v>
      </c>
      <c r="CM69" s="263">
        <v>31.207401837928167</v>
      </c>
      <c r="CN69" s="263">
        <v>46.600147403685206</v>
      </c>
      <c r="CO69" s="263">
        <v>43.897540517961545</v>
      </c>
      <c r="CP69" s="263">
        <v>55.185309882747127</v>
      </c>
      <c r="CQ69" s="263">
        <v>56.027685881370104</v>
      </c>
      <c r="CR69" s="263">
        <v>0</v>
      </c>
      <c r="CS69" s="263">
        <v>0</v>
      </c>
      <c r="CT69" s="263">
        <v>1.675248743718591</v>
      </c>
      <c r="CU69" s="263">
        <v>1.7738295739348378</v>
      </c>
      <c r="CV69" s="263">
        <v>4.032</v>
      </c>
      <c r="CW69" s="263">
        <v>3.63</v>
      </c>
      <c r="CX69" s="204">
        <f>IFERROR(AVERAGEIF(RD[[#This Row],[IS1POA1 (KWh/m2)]:[IS7POA2 (KWh/m2)]],"&lt;&gt;0",RD[[#This Row],[IS1POA1 (KWh/m2)]:[IS7POA2 (KWh/m2)]]),"")</f>
        <v>6.493747975000014</v>
      </c>
      <c r="CY69" s="204">
        <f>IFERROR(AVERAGEIF(RD[[#This Row],[IS1GHI1 (KWh/m2)]:[IS7GHI2 (KWh/m2)]],"&lt;&gt;0",RD[[#This Row],[IS1GHI1 (KWh/m2)]:[IS7GHI2 (KWh/m2)]]),"")</f>
        <v>6.7692399416666653</v>
      </c>
      <c r="CZ69" s="204">
        <f>IFERROR(AVERAGEIF(RD[[#This Row],[IS1POA_BS1 (KWh/m2)]:[IS7POA_BS2 (KWh/m2)]],"&lt;&gt;0",RD[[#This Row],[IS1POA_BS1 (KWh/m2)]:[IS7POA_BS2 (KWh/m2)]]),"")</f>
        <v>0.806364566666667</v>
      </c>
      <c r="DA69" s="204">
        <f>IFERROR(AVERAGEIF(RD[[#This Row],[IS1GHI_BS1 (KWh/m2)]:[IS1GHI_BS1 (KWh/m2)2]],"&lt;&gt;0",RD[[#This Row],[IS1GHI_BS1 (KWh/m2)]:[IS1GHI_BS1 (KWh/m2)2]]),"")</f>
        <v>1.0381673500000002</v>
      </c>
      <c r="DB69" s="204">
        <f>IFERROR(AVERAGEIF(RD[[#This Row],[IS1AT1 (°C)]:[IS7AT2 (°C)]],"&lt;&gt;0",RD[[#This Row],[IS1AT1 (°C)]:[IS7AT2 (°C)]]),"")</f>
        <v>31.093324034542</v>
      </c>
      <c r="DC69" s="204">
        <f>IFERROR(AVERAGEIF(RD[[#This Row],[IS1MT1 (°C)]:[IS7MT2 (°C)]],"&lt;&gt;0",RD[[#This Row],[IS1MT1 (°C)]:[IS7MT2 (°C)]]),"")</f>
        <v>45.248843960823379</v>
      </c>
      <c r="DD69" s="204">
        <f>IFERROR(AVERAGEIF(RD[[#This Row],[IS1RH1 (%)]:[IS7RH2 (%)]],"&lt;&gt;0",RD[[#This Row],[IS1RH1 (%)]:[IS7RH2 (%)]]),"")</f>
        <v>55.606497882058619</v>
      </c>
      <c r="DE69" s="51" t="str">
        <f>IFERROR(AVERAGEIF(RD[[#This Row],[IS1Rain1 (mm)]:[IS7Rain2 (mm)]],"&lt;&gt;0",RD[[#This Row],[IS1Rain1 (mm)]:[IS7Rain2 (mm)]]),"")</f>
        <v/>
      </c>
      <c r="DF69" s="204">
        <f>IFERROR(AVERAGEIF(RD[[#This Row],[WS_Solar1_Avg (m/s)]:[IS7_WS_Solar1_Avg (m/s)]],"&lt;&gt;0",RD[[#This Row],[WS_Solar1_Avg (m/s)]:[IS7_WS_Solar1_Avg (m/s)]]),"")</f>
        <v>1.7245391588267145</v>
      </c>
      <c r="DG69" s="204">
        <f>IFERROR(AVERAGEIF(RD[[#This Row],[WS_Solar1_Max (m/s)]:[IS7_WS_Solar1_Max (m/s)]],"&lt;&gt;0",RD[[#This Row],[WS_Solar1_Max (m/s)]:[IS7_WS_Solar1_Max (m/s)]]),"")</f>
        <v>3.831</v>
      </c>
      <c r="DH69" s="204">
        <f>SUM(RD[[#This Row],[IS1Inv1M1]:[IS4Inv4M2]])</f>
        <v>120630.79999999999</v>
      </c>
      <c r="DI69" s="205">
        <f>SUM(RD[[#This Row],[IS7Inv1M1]]+RD[[#This Row],[IS7Inv2M1]])</f>
        <v>7110</v>
      </c>
      <c r="DJ69" s="204">
        <f>SUM(RD[[#This Row],[IS5Inv1M1]:[IS5Inv2M2]])</f>
        <v>17532.800000000003</v>
      </c>
      <c r="DK69" s="204">
        <f>SUM(RD[[#This Row],[IS8Inv1M1]:[IS9Inv2M2]])</f>
        <v>34804.6</v>
      </c>
      <c r="DL69" s="60">
        <f>SUM(RD[[#This Row],[IS6Inv1M1]:[IS6Inv2M2]])</f>
        <v>17742.3</v>
      </c>
      <c r="DM69" s="51">
        <f>SUM(RD[[#This Row],[IS10Inv1M1]:[IS11Inv1M4]],RD[[#This Row],[IS14Inv1M1]:[IS14Inv2M4]])</f>
        <v>47608</v>
      </c>
      <c r="DN69" s="288">
        <f>SUM(RD[[#This Row],[IS12Inv1M1]:[IS12Inv1M4]])</f>
        <v>13390</v>
      </c>
      <c r="DO69" s="288">
        <f>SUM(RD[[#This Row],[IS13Inv1M1]:[IS13Inv2M2]])</f>
        <v>15159</v>
      </c>
      <c r="DP69" s="204">
        <f>SUM(RD[[#This Row],[O2R15]:[O2R26]])</f>
        <v>273977.5</v>
      </c>
      <c r="DQ69" s="164">
        <v>41752.9</v>
      </c>
      <c r="DR69" s="168">
        <v>215.5</v>
      </c>
      <c r="DS69" s="164">
        <v>36265.300000000003</v>
      </c>
      <c r="DT69" s="164">
        <v>228.2</v>
      </c>
      <c r="DU69" s="168">
        <v>42405.8</v>
      </c>
      <c r="DV69" s="168">
        <v>409.4</v>
      </c>
      <c r="DW69" s="164">
        <v>10131.700000000001</v>
      </c>
      <c r="DX69" s="168">
        <v>49.5</v>
      </c>
      <c r="DY69" s="168">
        <v>61.7</v>
      </c>
      <c r="DZ69" s="168">
        <v>0.5</v>
      </c>
      <c r="EA69" s="140">
        <v>98.77</v>
      </c>
      <c r="EB69" s="243">
        <v>133976416</v>
      </c>
      <c r="EC69" s="242">
        <v>965425.53599999996</v>
      </c>
      <c r="ED69" s="243">
        <v>1160</v>
      </c>
      <c r="EE69" s="243">
        <v>128242</v>
      </c>
      <c r="EF69" s="164">
        <v>185784.7</v>
      </c>
      <c r="EG69" s="164">
        <v>1842.2</v>
      </c>
      <c r="EH69" s="146">
        <f>IF((RD[[#This Row],[33 kV_F3_Ex
Incomer1]]-DQ68)*1000&lt;0,0,(RD[[#This Row],[33 kV_F3_Ex
Incomer1]]-DQ68)*1000)</f>
        <v>54099.999999998545</v>
      </c>
      <c r="EI69" s="146">
        <f>IF((RD[[#This Row],[34 kV_F3_Im
Incomer1]]-DR68)*1000&lt;0,0,(RD[[#This Row],[34 kV_F3_Im
Incomer1]]-DR68)*1000)</f>
        <v>400.00000000000568</v>
      </c>
      <c r="EJ69" s="146">
        <f>IF((RD[[#This Row],[33 kV_F4_Ex
Incomer2]]-DS68)*1000&lt;0,0,(RD[[#This Row],[33 kV_F4_Ex
Incomer2]]-DS68)*1000)</f>
        <v>57600.000000005821</v>
      </c>
      <c r="EK69" s="146">
        <f>IF((RD[[#This Row],[34 kV_F4_Im
Incomer2]]-DT68)*1000&lt;0,0,(RD[[#This Row],[34 kV_F4_Im
Incomer2]]-DT68)*1000)</f>
        <v>299.99999999998295</v>
      </c>
      <c r="EL69" s="146">
        <f>IF((RD[[#This Row],[33 kV_F5_Ex
Incomer3]]-DU68)*1000&lt;0,0,(RD[[#This Row],[33 kV_F5_Ex
Incomer3]]-DU68)*1000)</f>
        <v>76500</v>
      </c>
      <c r="EM69" s="146">
        <f>IF((RD[[#This Row],[34 kV_F5_Im
Incomer3]]-DV68)*1000&lt;0,0,(RD[[#This Row],[34 kV_F5_Im
Incomer3]]-DV68)*1000)</f>
        <v>599.99999999996589</v>
      </c>
      <c r="EN69" s="146">
        <f>IF((RD[[#This Row],[33 kV_F6_Ex
Incomer4]]-DW68)*1000&lt;0,0,(RD[[#This Row],[33 kV_F6_Ex
Incomer4]]-DW68)*1000)</f>
        <v>0</v>
      </c>
      <c r="EO69" s="146">
        <f t="shared" si="163"/>
        <v>299.99999999998295</v>
      </c>
      <c r="EP69" s="146">
        <f>IF((RD[[#This Row],[33 kV_F7_Ex
Incomer5]]-DY68)*1000&lt;0,0,(RD[[#This Row],[33 kV_F7_Ex
Incomer5]]-DY68)*1000)</f>
        <v>61700</v>
      </c>
      <c r="EQ69" s="146">
        <f>IF((RD[[#This Row],[33 kV_F7_Im
Incomer5]]-DZ68)*1000&lt;0,0,(RD[[#This Row],[33 kV_F7_Im
Incomer5]]-DZ68)*1000)</f>
        <v>500</v>
      </c>
      <c r="ER69" s="146">
        <f>IF((RD[[#This Row],[33 kV_Aux Trafo]]-EA68)*1000&lt;0,0,(RD[[#This Row],[33 kV_Aux Trafo]]-EA68)*1000)</f>
        <v>239.99999999999488</v>
      </c>
      <c r="ES69" s="158">
        <f>IF((RD[[#This Row],[33kV_OG1_Ex_]]-EB68)*1&lt;0,0,(RD[[#This Row],[33kV_OG1_Ex_]]-EB68)*1)</f>
        <v>265495</v>
      </c>
      <c r="ET69" s="146">
        <f>IF((RD[[#This Row],[33kV_OG1_Im]]-EC68)*1&lt;0,0,(RD[[#This Row],[33kV_OG1_Im]]-EC68)*1)</f>
        <v>1972.3519999999553</v>
      </c>
      <c r="EU69" s="146">
        <f>IF((RD[[#This Row],[132kV_TX1_EX]]-ED68)*720&lt;=0,"",(RD[[#This Row],[132kV_TX1_EX]]-ED68)*720)</f>
        <v>2160</v>
      </c>
      <c r="EV69" s="146">
        <f>IF((RD[[#This Row],[132 kV_Tx1_Im]]-EE68)*720&lt;=0,0,(RD[[#This Row],[132 kV_Tx1_Im]]-EE68)*720)</f>
        <v>190080</v>
      </c>
      <c r="EW69" s="146">
        <f>IF((RD[[#This Row],[132kV_L1_Ex]]-EF68)*720&lt;=0,0,(RD[[#This Row],[132kV_L1_Ex]]-EF68)*720)</f>
        <v>264600</v>
      </c>
      <c r="EX69" s="146">
        <f>IF((RD[[#This Row],[132kV_L1_Im]]-EG68)*720&lt;=0,0,(RD[[#This Row],[132kV_L1_Im]]-EG68)*720)</f>
        <v>0</v>
      </c>
      <c r="EY69" s="244">
        <f>IFERROR(RD[[#This Row],[33kV_OG1_Ex (MWh)]]+RD[[#This Row],[33kV_OG1_Im (MWh)]],"")</f>
        <v>267467.35199999996</v>
      </c>
      <c r="EZ69" s="148">
        <f>RD[[#This Row],[33kV_OG1_Ex (MWh)]]-RD[[#This Row],[33kV_OG1_Im (MWh)]]</f>
        <v>263522.64800000004</v>
      </c>
      <c r="FA69" s="148">
        <f>IFERROR(RD[[#This Row],[132kV_L1_Ex(MWh)]]-RD[[#This Row],[132kV_L1_Im(MWh)]],"")</f>
        <v>264600</v>
      </c>
      <c r="FB69" s="55">
        <f>IFERROR(RD[[#This Row],[33kV_Ex(MWh)]]/RD[[#This Row],[Inv Total Gneration (MWh)]]-1,"")</f>
        <v>-2.3761615461123764E-2</v>
      </c>
      <c r="FC69" s="245">
        <f>IFERROR((RD[[#This Row],[Sunset Time (POA&lt;20 W/m2)]]-RD[[#This Row],[Sunrise Time (POA&gt;20 W/m2)]])*24,0)</f>
        <v>12.766666666666666</v>
      </c>
      <c r="FD69" s="246">
        <v>120.7</v>
      </c>
      <c r="FE69" t="s">
        <v>295</v>
      </c>
      <c r="FG69" s="144" t="str">
        <f>IFERROR(RD[[#This Row],[E_AC (WPR)]]/RD[[#This Row],[E_DC (WPR)]],"")</f>
        <v/>
      </c>
    </row>
    <row r="70" spans="1:163">
      <c r="A70" s="133">
        <f t="shared" si="161"/>
        <v>45810</v>
      </c>
      <c r="B70" s="138">
        <f>YEAR(RD[[#This Row],[Date]])+IF(MONTH(RD[[#This Row],[Date]])&gt;=4,1,0)</f>
        <v>2026</v>
      </c>
      <c r="C70" s="138">
        <f>YEAR(RD[[#This Row],[Date]])</f>
        <v>2025</v>
      </c>
      <c r="D70" s="139">
        <f t="shared" si="165"/>
        <v>45809</v>
      </c>
      <c r="E70" s="138">
        <f>DAY(EOMONTH(RD[[#This Row],[Date]],0))</f>
        <v>30</v>
      </c>
      <c r="F70" s="152">
        <v>0.25208333333333333</v>
      </c>
      <c r="G70" s="162">
        <v>0.77986111111111112</v>
      </c>
      <c r="H70" s="124">
        <v>8451.2999999999993</v>
      </c>
      <c r="I70" s="270">
        <v>8328.7000000000007</v>
      </c>
      <c r="J70" s="124">
        <v>7948.1</v>
      </c>
      <c r="K70" s="124">
        <v>7993.8</v>
      </c>
      <c r="L70" s="124">
        <v>8264.1</v>
      </c>
      <c r="M70" s="124">
        <v>8470.2999999999993</v>
      </c>
      <c r="N70" s="124">
        <v>8267.7000000000007</v>
      </c>
      <c r="O70" s="124">
        <v>8851.7000000000007</v>
      </c>
      <c r="P70" s="124">
        <v>8267.1</v>
      </c>
      <c r="Q70" s="124">
        <v>8161.6</v>
      </c>
      <c r="R70" s="124">
        <v>8406.5</v>
      </c>
      <c r="S70" s="268">
        <v>8399.5</v>
      </c>
      <c r="T70" s="124">
        <v>8725.2999999999993</v>
      </c>
      <c r="U70" s="124">
        <v>8477.1</v>
      </c>
      <c r="V70" s="124">
        <v>8601.4</v>
      </c>
      <c r="W70" s="124">
        <v>8349.2000000000007</v>
      </c>
      <c r="X70" s="268">
        <v>11615.5</v>
      </c>
      <c r="Y70" s="203">
        <v>12414.7</v>
      </c>
      <c r="Z70" s="203">
        <v>11344.9</v>
      </c>
      <c r="AA70" s="203">
        <v>11819</v>
      </c>
      <c r="AB70" s="268">
        <v>12522</v>
      </c>
      <c r="AC70" s="203">
        <v>7873.5</v>
      </c>
      <c r="AD70" s="203">
        <v>11906.3</v>
      </c>
      <c r="AE70" s="203">
        <v>12072.1</v>
      </c>
      <c r="AF70" s="268">
        <v>11763.5</v>
      </c>
      <c r="AG70" s="203">
        <v>11734.9</v>
      </c>
      <c r="AH70" s="203">
        <v>11739.1</v>
      </c>
      <c r="AI70" s="268">
        <v>11862.7</v>
      </c>
      <c r="AJ70" s="203">
        <v>10337</v>
      </c>
      <c r="AK70" s="268">
        <v>10576.2</v>
      </c>
      <c r="AL70" s="203">
        <v>10346.200000000001</v>
      </c>
      <c r="AM70" s="268">
        <v>10430.1</v>
      </c>
      <c r="AN70" s="203">
        <v>10413.200000000001</v>
      </c>
      <c r="AO70" s="268">
        <v>10765.1</v>
      </c>
      <c r="AP70" s="203">
        <v>10429.1</v>
      </c>
      <c r="AQ70" s="268">
        <v>10448.9</v>
      </c>
      <c r="AR70" s="203">
        <v>8471.7000000000007</v>
      </c>
      <c r="AS70" s="268">
        <v>8510.6</v>
      </c>
      <c r="AT70" s="203">
        <v>8514.2999999999993</v>
      </c>
      <c r="AU70" s="268">
        <v>8477.7000000000007</v>
      </c>
      <c r="AV70" s="203">
        <v>8645</v>
      </c>
      <c r="AW70" s="203">
        <v>8532.2999999999993</v>
      </c>
      <c r="AX70" s="203">
        <v>12155.5</v>
      </c>
      <c r="AY70" s="203">
        <v>13159.3</v>
      </c>
      <c r="AZ70" s="203">
        <v>9834.1</v>
      </c>
      <c r="BA70" s="203">
        <v>11840.3</v>
      </c>
      <c r="BB70" s="203">
        <v>11273</v>
      </c>
      <c r="BC70" s="203">
        <v>10663</v>
      </c>
      <c r="BD70" s="203">
        <v>9579</v>
      </c>
      <c r="BE70" s="203">
        <v>10749</v>
      </c>
      <c r="BF70" s="203">
        <v>11220</v>
      </c>
      <c r="BG70" s="203">
        <v>9124</v>
      </c>
      <c r="BH70" s="203">
        <v>11340</v>
      </c>
      <c r="BI70" s="203">
        <v>11730</v>
      </c>
      <c r="BJ70" s="203">
        <v>7899</v>
      </c>
      <c r="BK70" s="203">
        <v>6299</v>
      </c>
      <c r="BL70" s="203">
        <v>7302</v>
      </c>
      <c r="BM70" s="203">
        <v>7398</v>
      </c>
      <c r="BN70" s="203">
        <v>7845</v>
      </c>
      <c r="BO70" s="203">
        <v>7713</v>
      </c>
      <c r="BP70" s="203">
        <v>8075</v>
      </c>
      <c r="BQ70" s="203">
        <v>8131</v>
      </c>
      <c r="BR70" s="203">
        <v>8959</v>
      </c>
      <c r="BS70" s="203">
        <v>9283</v>
      </c>
      <c r="BT70" s="203">
        <v>9300</v>
      </c>
      <c r="BU70" s="203">
        <v>9432</v>
      </c>
      <c r="BV70" s="203"/>
      <c r="BW70" s="203"/>
      <c r="BX70" s="203"/>
      <c r="BY70" s="203"/>
      <c r="BZ70" s="203">
        <v>1252</v>
      </c>
      <c r="CA70" s="203">
        <v>1058</v>
      </c>
      <c r="CB70" s="203">
        <v>4849</v>
      </c>
      <c r="CC70" s="203">
        <v>7986</v>
      </c>
      <c r="CD70" s="263">
        <v>6.5451097999999908</v>
      </c>
      <c r="CE70" s="263">
        <v>6.8896765666666662</v>
      </c>
      <c r="CF70" s="263">
        <v>6.9101146833333367</v>
      </c>
      <c r="CG70" s="263">
        <v>7.133783266666673</v>
      </c>
      <c r="CH70" s="263">
        <v>0.84082736666666613</v>
      </c>
      <c r="CI70" s="263">
        <v>0.90781341666666571</v>
      </c>
      <c r="CJ70" s="263">
        <v>1.1499374166666683</v>
      </c>
      <c r="CK70" s="263">
        <v>1.0298151999999983</v>
      </c>
      <c r="CL70" s="263">
        <v>30.921530100334479</v>
      </c>
      <c r="CM70" s="263">
        <v>31.192529215358945</v>
      </c>
      <c r="CN70" s="263">
        <v>45.321191471571865</v>
      </c>
      <c r="CO70" s="263">
        <v>43.438962437395709</v>
      </c>
      <c r="CP70" s="263">
        <v>43.438962437395709</v>
      </c>
      <c r="CQ70" s="263">
        <v>53.826844741235377</v>
      </c>
      <c r="CR70" s="263">
        <v>0</v>
      </c>
      <c r="CS70" s="263">
        <v>0</v>
      </c>
      <c r="CT70" s="263">
        <v>1.582126254180602</v>
      </c>
      <c r="CU70" s="263">
        <v>1.7508681135225399</v>
      </c>
      <c r="CV70" s="263">
        <v>3.21</v>
      </c>
      <c r="CW70" s="263">
        <v>3.387</v>
      </c>
      <c r="CX70" s="204">
        <f>IFERROR(AVERAGEIF(RD[[#This Row],[IS1POA1 (KWh/m2)]:[IS7POA2 (KWh/m2)]],"&lt;&gt;0",RD[[#This Row],[IS1POA1 (KWh/m2)]:[IS7POA2 (KWh/m2)]]),"")</f>
        <v>6.7173931833333285</v>
      </c>
      <c r="CY70" s="204">
        <f>IFERROR(AVERAGEIF(RD[[#This Row],[IS1GHI1 (KWh/m2)]:[IS7GHI2 (KWh/m2)]],"&lt;&gt;0",RD[[#This Row],[IS1GHI1 (KWh/m2)]:[IS7GHI2 (KWh/m2)]]),"")</f>
        <v>7.0219489750000044</v>
      </c>
      <c r="CZ70" s="204">
        <f>IFERROR(AVERAGEIF(RD[[#This Row],[IS1POA_BS1 (KWh/m2)]:[IS7POA_BS2 (KWh/m2)]],"&lt;&gt;0",RD[[#This Row],[IS1POA_BS1 (KWh/m2)]:[IS7POA_BS2 (KWh/m2)]]),"")</f>
        <v>0.87432039166666597</v>
      </c>
      <c r="DA70" s="204">
        <f>IFERROR(AVERAGEIF(RD[[#This Row],[IS1GHI_BS1 (KWh/m2)]:[IS1GHI_BS1 (KWh/m2)2]],"&lt;&gt;0",RD[[#This Row],[IS1GHI_BS1 (KWh/m2)]:[IS1GHI_BS1 (KWh/m2)2]]),"")</f>
        <v>1.0898763083333334</v>
      </c>
      <c r="DB70" s="204">
        <f>IFERROR(AVERAGEIF(RD[[#This Row],[IS1AT1 (°C)]:[IS7AT2 (°C)]],"&lt;&gt;0",RD[[#This Row],[IS1AT1 (°C)]:[IS7AT2 (°C)]]),"")</f>
        <v>31.057029657846712</v>
      </c>
      <c r="DC70" s="204">
        <f>IFERROR(AVERAGEIF(RD[[#This Row],[IS1MT1 (°C)]:[IS7MT2 (°C)]],"&lt;&gt;0",RD[[#This Row],[IS1MT1 (°C)]:[IS7MT2 (°C)]]),"")</f>
        <v>44.380076954483783</v>
      </c>
      <c r="DD70" s="204">
        <f>IFERROR(AVERAGEIF(RD[[#This Row],[IS1RH1 (%)]:[IS7RH2 (%)]],"&lt;&gt;0",RD[[#This Row],[IS1RH1 (%)]:[IS7RH2 (%)]]),"")</f>
        <v>48.632903589315546</v>
      </c>
      <c r="DE70" s="51" t="str">
        <f>IFERROR(AVERAGEIF(RD[[#This Row],[IS1Rain1 (mm)]:[IS7Rain2 (mm)]],"&lt;&gt;0",RD[[#This Row],[IS1Rain1 (mm)]:[IS7Rain2 (mm)]]),"")</f>
        <v/>
      </c>
      <c r="DF70" s="204">
        <f>IFERROR(AVERAGEIF(RD[[#This Row],[WS_Solar1_Avg (m/s)]:[IS7_WS_Solar1_Avg (m/s)]],"&lt;&gt;0",RD[[#This Row],[WS_Solar1_Avg (m/s)]:[IS7_WS_Solar1_Avg (m/s)]]),"")</f>
        <v>1.666497183851571</v>
      </c>
      <c r="DG70" s="204">
        <f>IFERROR(AVERAGEIF(RD[[#This Row],[WS_Solar1_Max (m/s)]:[IS7_WS_Solar1_Max (m/s)]],"&lt;&gt;0",RD[[#This Row],[WS_Solar1_Max (m/s)]:[IS7_WS_Solar1_Max (m/s)]]),"")</f>
        <v>3.2984999999999998</v>
      </c>
      <c r="DH70" s="204">
        <f>SUM(RD[[#This Row],[IS1Inv1M1]:[IS4Inv4M2]])</f>
        <v>272631.60000000003</v>
      </c>
      <c r="DI70" s="205">
        <f>SUM(RD[[#This Row],[IS7Inv1M1]]+RD[[#This Row],[IS7Inv2M1]])</f>
        <v>16982.300000000003</v>
      </c>
      <c r="DJ70" s="204">
        <f>SUM(RD[[#This Row],[IS5Inv1M1]:[IS5Inv2M2]])</f>
        <v>41689.5</v>
      </c>
      <c r="DK70" s="204">
        <f>SUM(RD[[#This Row],[IS8Inv1M1]:[IS9Inv2M2]])</f>
        <v>81158.500000000015</v>
      </c>
      <c r="DL70" s="60">
        <f>SUM(RD[[#This Row],[IS6Inv1M1]:[IS6Inv2M2]])</f>
        <v>42056.3</v>
      </c>
      <c r="DM70" s="51">
        <f>SUM(RD[[#This Row],[IS10Inv1M1]:[IS11Inv1M4]],RD[[#This Row],[IS14Inv1M1]:[IS14Inv2M4]])</f>
        <v>129721</v>
      </c>
      <c r="DN70" s="288">
        <f>SUM(RD[[#This Row],[IS12Inv1M1]:[IS12Inv1M4]])</f>
        <v>31764</v>
      </c>
      <c r="DO70" s="288">
        <f>SUM(RD[[#This Row],[IS13Inv1M1]:[IS13Inv2M2]])</f>
        <v>36974</v>
      </c>
      <c r="DP70" s="204">
        <f>SUM(RD[[#This Row],[O2R15]:[O2R26]])</f>
        <v>652977.19999999995</v>
      </c>
      <c r="DQ70" s="164">
        <v>41890.6</v>
      </c>
      <c r="DR70" s="168">
        <v>215.8</v>
      </c>
      <c r="DS70" s="164">
        <v>36395.300000000003</v>
      </c>
      <c r="DT70" s="164">
        <v>228.5</v>
      </c>
      <c r="DU70" s="168">
        <v>42585</v>
      </c>
      <c r="DV70" s="168">
        <v>410</v>
      </c>
      <c r="DW70" s="164">
        <v>10146.700000000001</v>
      </c>
      <c r="DX70" s="168">
        <v>49.7</v>
      </c>
      <c r="DY70" s="168">
        <v>219.8</v>
      </c>
      <c r="DZ70" s="168">
        <v>0.9</v>
      </c>
      <c r="EA70" s="140">
        <v>99.03</v>
      </c>
      <c r="EB70" s="243">
        <v>134618800</v>
      </c>
      <c r="EC70" s="242">
        <v>967429.63199999998</v>
      </c>
      <c r="ED70" s="243">
        <v>1162</v>
      </c>
      <c r="EE70" s="243">
        <v>128882</v>
      </c>
      <c r="EF70" s="164">
        <v>186673.8</v>
      </c>
      <c r="EG70" s="164">
        <v>1887.7</v>
      </c>
      <c r="EH70" s="146">
        <f>IF((RD[[#This Row],[33 kV_F3_Ex
Incomer1]]-DQ69)*1000&lt;0,0,(RD[[#This Row],[33 kV_F3_Ex
Incomer1]]-DQ69)*1000)</f>
        <v>137699.99999999709</v>
      </c>
      <c r="EI70" s="146">
        <f>IF((RD[[#This Row],[34 kV_F3_Im
Incomer1]]-DR69)*1000&lt;0,0,(RD[[#This Row],[34 kV_F3_Im
Incomer1]]-DR69)*1000)</f>
        <v>300.00000000001137</v>
      </c>
      <c r="EJ70" s="146">
        <f>IF((RD[[#This Row],[33 kV_F4_Ex
Incomer2]]-DS69)*1000&lt;0,0,(RD[[#This Row],[33 kV_F4_Ex
Incomer2]]-DS69)*1000)</f>
        <v>130000</v>
      </c>
      <c r="EK70" s="146">
        <f>IF((RD[[#This Row],[34 kV_F4_Im
Incomer2]]-DT69)*1000&lt;0,0,(RD[[#This Row],[34 kV_F4_Im
Incomer2]]-DT69)*1000)</f>
        <v>300.00000000001137</v>
      </c>
      <c r="EL70" s="146">
        <f>IF((RD[[#This Row],[33 kV_F5_Ex
Incomer3]]-DU69)*1000&lt;0,0,(RD[[#This Row],[33 kV_F5_Ex
Incomer3]]-DU69)*1000)</f>
        <v>179199.99999999709</v>
      </c>
      <c r="EM70" s="146">
        <f>IF((RD[[#This Row],[34 kV_F5_Im
Incomer3]]-DV69)*1000&lt;0,0,(RD[[#This Row],[34 kV_F5_Im
Incomer3]]-DV69)*1000)</f>
        <v>600.00000000002274</v>
      </c>
      <c r="EN70" s="146">
        <f>IF((RD[[#This Row],[33 kV_F6_Ex
Incomer4]]-DW69)*1000&lt;0,0,(RD[[#This Row],[33 kV_F6_Ex
Incomer4]]-DW69)*1000)</f>
        <v>15000</v>
      </c>
      <c r="EO70" s="146">
        <f t="shared" si="163"/>
        <v>400.00000000000568</v>
      </c>
      <c r="EP70" s="146">
        <f>IF((RD[[#This Row],[33 kV_F7_Ex
Incomer5]]-DY69)*1000&lt;0,0,(RD[[#This Row],[33 kV_F7_Ex
Incomer5]]-DY69)*1000)</f>
        <v>158100.00000000003</v>
      </c>
      <c r="EQ70" s="146">
        <f>IF((RD[[#This Row],[33 kV_F7_Im
Incomer5]]-DZ69)*1000&lt;0,0,(RD[[#This Row],[33 kV_F7_Im
Incomer5]]-DZ69)*1000)</f>
        <v>400</v>
      </c>
      <c r="ER70" s="146">
        <f>IF((RD[[#This Row],[33 kV_Aux Trafo]]-EA69)*1000&lt;0,0,(RD[[#This Row],[33 kV_Aux Trafo]]-EA69)*1000)</f>
        <v>260.00000000000512</v>
      </c>
      <c r="ES70" s="158">
        <f>IF((RD[[#This Row],[33kV_OG1_Ex_]]-EB69)*1&lt;0,0,(RD[[#This Row],[33kV_OG1_Ex_]]-EB69)*1)</f>
        <v>642384</v>
      </c>
      <c r="ET70" s="146">
        <f>IF((RD[[#This Row],[33kV_OG1_Im]]-EC69)*1&lt;0,0,(RD[[#This Row],[33kV_OG1_Im]]-EC69)*1)</f>
        <v>2004.0960000000196</v>
      </c>
      <c r="EU70" s="146">
        <f>IF((RD[[#This Row],[132kV_TX1_EX]]-ED69)*720&lt;=0,"",(RD[[#This Row],[132kV_TX1_EX]]-ED69)*720)</f>
        <v>1440</v>
      </c>
      <c r="EV70" s="146">
        <f>IF((RD[[#This Row],[132 kV_Tx1_Im]]-EE69)*720&lt;=0,0,(RD[[#This Row],[132 kV_Tx1_Im]]-EE69)*720)</f>
        <v>460800</v>
      </c>
      <c r="EW70" s="146">
        <f>IF((RD[[#This Row],[132kV_L1_Ex]]-EF69)*720&lt;=0,0,(RD[[#This Row],[132kV_L1_Ex]]-EF69)*720)</f>
        <v>640151.99999998324</v>
      </c>
      <c r="EX70" s="146">
        <f>IF((RD[[#This Row],[132kV_L1_Im]]-EG69)*720&lt;=0,0,(RD[[#This Row],[132kV_L1_Im]]-EG69)*720)</f>
        <v>32760</v>
      </c>
      <c r="EY70" s="244">
        <f>IFERROR(RD[[#This Row],[33kV_OG1_Ex (MWh)]]+RD[[#This Row],[33kV_OG1_Im (MWh)]],"")</f>
        <v>644388.09600000002</v>
      </c>
      <c r="EZ70" s="148">
        <f>RD[[#This Row],[33kV_OG1_Ex (MWh)]]-RD[[#This Row],[33kV_OG1_Im (MWh)]]</f>
        <v>640379.90399999998</v>
      </c>
      <c r="FA70" s="148">
        <f>IFERROR(RD[[#This Row],[132kV_L1_Ex(MWh)]]-RD[[#This Row],[132kV_L1_Im(MWh)]],"")</f>
        <v>607391.99999998324</v>
      </c>
      <c r="FB70" s="55">
        <f>IFERROR(RD[[#This Row],[33kV_Ex(MWh)]]/RD[[#This Row],[Inv Total Gneration (MWh)]]-1,"")</f>
        <v>-1.3153757895375096E-2</v>
      </c>
      <c r="FC70" s="245">
        <f>IFERROR((RD[[#This Row],[Sunset Time (POA&lt;20 W/m2)]]-RD[[#This Row],[Sunrise Time (POA&gt;20 W/m2)]])*24,0)</f>
        <v>12.666666666666668</v>
      </c>
      <c r="FD70" s="246">
        <v>120.7</v>
      </c>
      <c r="FE70" t="s">
        <v>293</v>
      </c>
      <c r="FG70" s="144" t="str">
        <f>IFERROR(RD[[#This Row],[E_AC (WPR)]]/RD[[#This Row],[E_DC (WPR)]],"")</f>
        <v/>
      </c>
    </row>
    <row r="71" spans="1:163">
      <c r="A71" s="133">
        <f t="shared" si="161"/>
        <v>45811</v>
      </c>
      <c r="B71" s="138">
        <f>YEAR(RD[[#This Row],[Date]])+IF(MONTH(RD[[#This Row],[Date]])&gt;=4,1,0)</f>
        <v>2026</v>
      </c>
      <c r="C71" s="138">
        <f>YEAR(RD[[#This Row],[Date]])</f>
        <v>2025</v>
      </c>
      <c r="D71" s="139">
        <f t="shared" si="165"/>
        <v>45809</v>
      </c>
      <c r="E71" s="138">
        <f>DAY(EOMONTH(RD[[#This Row],[Date]],0))</f>
        <v>30</v>
      </c>
      <c r="F71" s="152">
        <v>0.25069444444444444</v>
      </c>
      <c r="G71" s="162">
        <v>0.77777777777777779</v>
      </c>
      <c r="H71" s="124">
        <v>8019.2</v>
      </c>
      <c r="I71" s="270">
        <v>7944.6</v>
      </c>
      <c r="J71" s="124">
        <v>7622.1</v>
      </c>
      <c r="K71" s="124">
        <v>7603</v>
      </c>
      <c r="L71" s="124">
        <v>7841.1</v>
      </c>
      <c r="M71" s="124">
        <v>8059.2</v>
      </c>
      <c r="N71" s="124">
        <v>7846.2</v>
      </c>
      <c r="O71" s="124">
        <v>8401</v>
      </c>
      <c r="P71" s="124">
        <v>7868.5</v>
      </c>
      <c r="Q71" s="124">
        <v>7770.8</v>
      </c>
      <c r="R71" s="124">
        <v>7980.3</v>
      </c>
      <c r="S71" s="268">
        <v>7953.3</v>
      </c>
      <c r="T71" s="124">
        <v>8282</v>
      </c>
      <c r="U71" s="124">
        <v>8023.3</v>
      </c>
      <c r="V71" s="124">
        <v>8190.1</v>
      </c>
      <c r="W71" s="124">
        <v>7911.1</v>
      </c>
      <c r="X71" s="268">
        <v>11026.5</v>
      </c>
      <c r="Y71" s="203">
        <v>11793.1</v>
      </c>
      <c r="Z71" s="203">
        <v>10788.6</v>
      </c>
      <c r="AA71" s="203">
        <v>11265</v>
      </c>
      <c r="AB71" s="268">
        <v>11804.5</v>
      </c>
      <c r="AC71" s="203">
        <v>7325.1</v>
      </c>
      <c r="AD71" s="203">
        <v>11134.6</v>
      </c>
      <c r="AE71" s="203">
        <v>11278.8</v>
      </c>
      <c r="AF71" s="268">
        <v>11032.9</v>
      </c>
      <c r="AG71" s="203">
        <v>11035</v>
      </c>
      <c r="AH71" s="203">
        <v>11009.6</v>
      </c>
      <c r="AI71" s="268">
        <v>11146.3</v>
      </c>
      <c r="AJ71" s="203">
        <v>9748</v>
      </c>
      <c r="AK71" s="268">
        <v>10017.5</v>
      </c>
      <c r="AL71" s="203">
        <v>9741.5</v>
      </c>
      <c r="AM71" s="268">
        <v>9836.2999999999993</v>
      </c>
      <c r="AN71" s="203">
        <v>9720.7999999999993</v>
      </c>
      <c r="AO71" s="268">
        <v>10035.200000000001</v>
      </c>
      <c r="AP71" s="203">
        <v>9704.1</v>
      </c>
      <c r="AQ71" s="268">
        <v>9768</v>
      </c>
      <c r="AR71" s="203">
        <v>7873.1</v>
      </c>
      <c r="AS71" s="268">
        <v>7923.4</v>
      </c>
      <c r="AT71" s="203">
        <v>7894.7</v>
      </c>
      <c r="AU71" s="268">
        <v>7871.1</v>
      </c>
      <c r="AV71" s="203">
        <v>8019.7</v>
      </c>
      <c r="AW71" s="203">
        <v>7929</v>
      </c>
      <c r="AX71" s="203">
        <v>11286.4</v>
      </c>
      <c r="AY71" s="203">
        <v>12436.7</v>
      </c>
      <c r="AZ71" s="203">
        <v>9350.2999999999993</v>
      </c>
      <c r="BA71" s="203">
        <v>11228.8</v>
      </c>
      <c r="BB71" s="203">
        <v>9081</v>
      </c>
      <c r="BC71" s="203">
        <v>8811</v>
      </c>
      <c r="BD71" s="203">
        <v>9432</v>
      </c>
      <c r="BE71" s="203">
        <v>10511</v>
      </c>
      <c r="BF71" s="203">
        <v>11124</v>
      </c>
      <c r="BG71" s="203">
        <v>10895</v>
      </c>
      <c r="BH71" s="203">
        <v>10820</v>
      </c>
      <c r="BI71" s="203">
        <v>11212</v>
      </c>
      <c r="BJ71" s="203">
        <v>7518</v>
      </c>
      <c r="BK71" s="203">
        <v>5991</v>
      </c>
      <c r="BL71" s="203">
        <v>7080</v>
      </c>
      <c r="BM71" s="203">
        <v>7094</v>
      </c>
      <c r="BN71" s="203">
        <v>7570</v>
      </c>
      <c r="BO71" s="203">
        <v>7472</v>
      </c>
      <c r="BP71" s="203">
        <v>7874</v>
      </c>
      <c r="BQ71" s="203">
        <v>7867</v>
      </c>
      <c r="BR71" s="203">
        <v>8811.9</v>
      </c>
      <c r="BS71" s="203">
        <v>9067.6</v>
      </c>
      <c r="BT71" s="203">
        <v>8988.2999999999993</v>
      </c>
      <c r="BU71" s="203">
        <v>9191.5</v>
      </c>
      <c r="BV71" s="203"/>
      <c r="BW71" s="203"/>
      <c r="BX71" s="203"/>
      <c r="BY71" s="203"/>
      <c r="BZ71" s="203">
        <v>1242</v>
      </c>
      <c r="CA71" s="203">
        <v>1050</v>
      </c>
      <c r="CB71" s="203">
        <v>4795</v>
      </c>
      <c r="CC71" s="203">
        <v>7776</v>
      </c>
      <c r="CD71" s="263">
        <v>6.1679249500000051</v>
      </c>
      <c r="CE71" s="263">
        <v>6.4307895833333291</v>
      </c>
      <c r="CF71" s="263">
        <v>6.5286647666666653</v>
      </c>
      <c r="CG71" s="263">
        <v>6.6684565833333229</v>
      </c>
      <c r="CH71" s="263">
        <v>0.79555931666666579</v>
      </c>
      <c r="CI71" s="263">
        <v>0.87134599999999884</v>
      </c>
      <c r="CJ71" s="263">
        <v>1.1012614999999994</v>
      </c>
      <c r="CK71" s="263">
        <v>0.98170606666666727</v>
      </c>
      <c r="CL71" s="263">
        <v>30.754493957703907</v>
      </c>
      <c r="CM71" s="263">
        <v>31.0156669178599</v>
      </c>
      <c r="CN71" s="263">
        <v>43.562589123867021</v>
      </c>
      <c r="CO71" s="263">
        <v>41.490225320271193</v>
      </c>
      <c r="CP71" s="263">
        <v>53.745015105740144</v>
      </c>
      <c r="CQ71" s="263">
        <v>54.611846269781473</v>
      </c>
      <c r="CR71" s="263">
        <v>0</v>
      </c>
      <c r="CS71" s="263">
        <v>0</v>
      </c>
      <c r="CT71" s="263">
        <v>1.7325113293051355</v>
      </c>
      <c r="CU71" s="263">
        <v>1.8588040693293189</v>
      </c>
      <c r="CV71" s="263">
        <v>3.4860000000000002</v>
      </c>
      <c r="CW71" s="263">
        <v>3.8159999999999998</v>
      </c>
      <c r="CX71" s="204">
        <f>IFERROR(AVERAGEIF(RD[[#This Row],[IS1POA1 (KWh/m2)]:[IS7POA2 (KWh/m2)]],"&lt;&gt;0",RD[[#This Row],[IS1POA1 (KWh/m2)]:[IS7POA2 (KWh/m2)]]),"")</f>
        <v>6.2993572666666671</v>
      </c>
      <c r="CY71" s="204">
        <f>IFERROR(AVERAGEIF(RD[[#This Row],[IS1GHI1 (KWh/m2)]:[IS7GHI2 (KWh/m2)]],"&lt;&gt;0",RD[[#This Row],[IS1GHI1 (KWh/m2)]:[IS7GHI2 (KWh/m2)]]),"")</f>
        <v>6.5985606749999945</v>
      </c>
      <c r="CZ71" s="204">
        <f>IFERROR(AVERAGEIF(RD[[#This Row],[IS1POA_BS1 (KWh/m2)]:[IS7POA_BS2 (KWh/m2)]],"&lt;&gt;0",RD[[#This Row],[IS1POA_BS1 (KWh/m2)]:[IS7POA_BS2 (KWh/m2)]]),"")</f>
        <v>0.83345265833333237</v>
      </c>
      <c r="DA71" s="204">
        <f>IFERROR(AVERAGEIF(RD[[#This Row],[IS1GHI_BS1 (KWh/m2)]:[IS1GHI_BS1 (KWh/m2)2]],"&lt;&gt;0",RD[[#This Row],[IS1GHI_BS1 (KWh/m2)]:[IS1GHI_BS1 (KWh/m2)2]]),"")</f>
        <v>1.0414837833333332</v>
      </c>
      <c r="DB71" s="204">
        <f>IFERROR(AVERAGEIF(RD[[#This Row],[IS1AT1 (°C)]:[IS7AT2 (°C)]],"&lt;&gt;0",RD[[#This Row],[IS1AT1 (°C)]:[IS7AT2 (°C)]]),"")</f>
        <v>30.885080437781902</v>
      </c>
      <c r="DC71" s="204">
        <f>IFERROR(AVERAGEIF(RD[[#This Row],[IS1MT1 (°C)]:[IS7MT2 (°C)]],"&lt;&gt;0",RD[[#This Row],[IS1MT1 (°C)]:[IS7MT2 (°C)]]),"")</f>
        <v>42.526407222069111</v>
      </c>
      <c r="DD71" s="204">
        <f>IFERROR(AVERAGEIF(RD[[#This Row],[IS1RH1 (%)]:[IS7RH2 (%)]],"&lt;&gt;0",RD[[#This Row],[IS1RH1 (%)]:[IS7RH2 (%)]]),"")</f>
        <v>54.178430687760809</v>
      </c>
      <c r="DE71" s="51" t="str">
        <f>IFERROR(AVERAGEIF(RD[[#This Row],[IS1Rain1 (mm)]:[IS7Rain2 (mm)]],"&lt;&gt;0",RD[[#This Row],[IS1Rain1 (mm)]:[IS7Rain2 (mm)]]),"")</f>
        <v/>
      </c>
      <c r="DF71" s="204">
        <f>IFERROR(AVERAGEIF(RD[[#This Row],[WS_Solar1_Avg (m/s)]:[IS7_WS_Solar1_Avg (m/s)]],"&lt;&gt;0",RD[[#This Row],[WS_Solar1_Avg (m/s)]:[IS7_WS_Solar1_Avg (m/s)]]),"")</f>
        <v>1.7956576993172271</v>
      </c>
      <c r="DG71" s="204">
        <f>IFERROR(AVERAGEIF(RD[[#This Row],[WS_Solar1_Max (m/s)]:[IS7_WS_Solar1_Max (m/s)]],"&lt;&gt;0",RD[[#This Row],[WS_Solar1_Max (m/s)]:[IS7_WS_Solar1_Max (m/s)]]),"")</f>
        <v>3.6509999999999998</v>
      </c>
      <c r="DH71" s="204">
        <f>SUM(RD[[#This Row],[IS1Inv1M1]:[IS4Inv4M2]])</f>
        <v>257955.80000000002</v>
      </c>
      <c r="DI71" s="205">
        <f>SUM(RD[[#This Row],[IS7Inv1M1]]+RD[[#This Row],[IS7Inv2M1]])</f>
        <v>15796.5</v>
      </c>
      <c r="DJ71" s="204">
        <f>SUM(RD[[#This Row],[IS5Inv1M1]:[IS5Inv2M2]])</f>
        <v>39343.300000000003</v>
      </c>
      <c r="DK71" s="204">
        <f>SUM(RD[[#This Row],[IS8Inv1M1]:[IS9Inv2M2]])</f>
        <v>76016.700000000012</v>
      </c>
      <c r="DL71" s="60">
        <f>SUM(RD[[#This Row],[IS6Inv1M1]:[IS6Inv2M2]])</f>
        <v>39228.1</v>
      </c>
      <c r="DM71" s="51">
        <f>SUM(RD[[#This Row],[IS10Inv1M1]:[IS11Inv1M4]],RD[[#This Row],[IS14Inv1M1]:[IS14Inv2M4]])</f>
        <v>124432</v>
      </c>
      <c r="DN71" s="288">
        <f>SUM(RD[[#This Row],[IS12Inv1M1]:[IS12Inv1M4]])</f>
        <v>30783</v>
      </c>
      <c r="DO71" s="288">
        <f>SUM(RD[[#This Row],[IS13Inv1M1]:[IS13Inv2M2]])</f>
        <v>36059.300000000003</v>
      </c>
      <c r="DP71" s="204">
        <f>SUM(RD[[#This Row],[O2R15]:[O2R26]])</f>
        <v>619614.70000000007</v>
      </c>
      <c r="DQ71" s="164">
        <v>42020.3</v>
      </c>
      <c r="DR71" s="168">
        <v>216.2</v>
      </c>
      <c r="DS71" s="164">
        <v>36519.800000000003</v>
      </c>
      <c r="DT71" s="164">
        <v>228.8</v>
      </c>
      <c r="DU71" s="168">
        <v>42753.1</v>
      </c>
      <c r="DV71" s="168">
        <v>410.6</v>
      </c>
      <c r="DW71" s="164">
        <v>10161.5</v>
      </c>
      <c r="DX71" s="168">
        <v>49.9</v>
      </c>
      <c r="DY71" s="168">
        <v>372.2</v>
      </c>
      <c r="DZ71" s="168">
        <v>1.4</v>
      </c>
      <c r="EA71" s="140">
        <v>99.29</v>
      </c>
      <c r="EB71" s="243">
        <v>135229038</v>
      </c>
      <c r="EC71" s="242">
        <v>969608.576</v>
      </c>
      <c r="ED71" s="243">
        <v>1165</v>
      </c>
      <c r="EE71" s="243">
        <v>129490</v>
      </c>
      <c r="EF71" s="164">
        <v>187518.5</v>
      </c>
      <c r="EG71" s="164">
        <v>1891.3</v>
      </c>
      <c r="EH71" s="146">
        <f>IF((RD[[#This Row],[33 kV_F3_Ex
Incomer1]]-DQ70)*1000&lt;0,0,(RD[[#This Row],[33 kV_F3_Ex
Incomer1]]-DQ70)*1000)</f>
        <v>129700.00000000437</v>
      </c>
      <c r="EI71" s="146">
        <f>IF((RD[[#This Row],[34 kV_F3_Im
Incomer1]]-DR70)*1000&lt;0,0,(RD[[#This Row],[34 kV_F3_Im
Incomer1]]-DR70)*1000)</f>
        <v>399.99999999997726</v>
      </c>
      <c r="EJ71" s="146">
        <f>IF((RD[[#This Row],[33 kV_F4_Ex
Incomer2]]-DS70)*1000&lt;0,0,(RD[[#This Row],[33 kV_F4_Ex
Incomer2]]-DS70)*1000)</f>
        <v>124500</v>
      </c>
      <c r="EK71" s="146">
        <f>IF((RD[[#This Row],[34 kV_F4_Im
Incomer2]]-DT70)*1000&lt;0,0,(RD[[#This Row],[34 kV_F4_Im
Incomer2]]-DT70)*1000)</f>
        <v>300.00000000001137</v>
      </c>
      <c r="EL71" s="146">
        <f>IF((RD[[#This Row],[33 kV_F5_Ex
Incomer3]]-DU70)*1000&lt;0,0,(RD[[#This Row],[33 kV_F5_Ex
Incomer3]]-DU70)*1000)</f>
        <v>168099.99999999854</v>
      </c>
      <c r="EM71" s="146">
        <f>IF((RD[[#This Row],[34 kV_F5_Im
Incomer3]]-DV70)*1000&lt;0,0,(RD[[#This Row],[34 kV_F5_Im
Incomer3]]-DV70)*1000)</f>
        <v>600.00000000002274</v>
      </c>
      <c r="EN71" s="146">
        <f>IF((RD[[#This Row],[33 kV_F6_Ex
Incomer4]]-DW70)*1000&lt;0,0,(RD[[#This Row],[33 kV_F6_Ex
Incomer4]]-DW70)*1000)</f>
        <v>14799.999999999272</v>
      </c>
      <c r="EO71" s="146">
        <f t="shared" ref="EO71:EO119" si="166">EK68</f>
        <v>400.00000000000568</v>
      </c>
      <c r="EP71" s="146">
        <f>IF((RD[[#This Row],[33 kV_F7_Ex
Incomer5]]-DY70)*1000&lt;0,0,(RD[[#This Row],[33 kV_F7_Ex
Incomer5]]-DY70)*1000)</f>
        <v>152399.99999999997</v>
      </c>
      <c r="EQ71" s="146">
        <f>IF((RD[[#This Row],[33 kV_F7_Im
Incomer5]]-DZ70)*1000&lt;0,0,(RD[[#This Row],[33 kV_F7_Im
Incomer5]]-DZ70)*1000)</f>
        <v>499.99999999999989</v>
      </c>
      <c r="ER71" s="146">
        <f>IF((RD[[#This Row],[33 kV_Aux Trafo]]-EA70)*1000&lt;0,0,(RD[[#This Row],[33 kV_Aux Trafo]]-EA70)*1000)</f>
        <v>260.00000000000512</v>
      </c>
      <c r="ES71" s="158">
        <f>IF((RD[[#This Row],[33kV_OG1_Ex_]]-EB70)*1&lt;0,0,(RD[[#This Row],[33kV_OG1_Ex_]]-EB70)*1)</f>
        <v>610238</v>
      </c>
      <c r="ET71" s="146">
        <f>IF((RD[[#This Row],[33kV_OG1_Im]]-EC70)*1&lt;0,0,(RD[[#This Row],[33kV_OG1_Im]]-EC70)*1)</f>
        <v>2178.9440000000177</v>
      </c>
      <c r="EU71" s="146">
        <f>IF((RD[[#This Row],[132kV_TX1_EX]]-ED70)*720&lt;=0,"",(RD[[#This Row],[132kV_TX1_EX]]-ED70)*720)</f>
        <v>2160</v>
      </c>
      <c r="EV71" s="146">
        <f>IF((RD[[#This Row],[132 kV_Tx1_Im]]-EE70)*720&lt;=0,0,(RD[[#This Row],[132 kV_Tx1_Im]]-EE70)*720)</f>
        <v>437760</v>
      </c>
      <c r="EW71" s="146">
        <f>IF((RD[[#This Row],[132kV_L1_Ex]]-EF70)*720&lt;=0,0,(RD[[#This Row],[132kV_L1_Ex]]-EF70)*720)</f>
        <v>608184.00000000838</v>
      </c>
      <c r="EX71" s="146">
        <f>IF((RD[[#This Row],[132kV_L1_Im]]-EG70)*720&lt;=0,0,(RD[[#This Row],[132kV_L1_Im]]-EG70)*720)</f>
        <v>2591.9999999999345</v>
      </c>
      <c r="EY71" s="244">
        <f>IFERROR(RD[[#This Row],[33kV_OG1_Ex (MWh)]]+RD[[#This Row],[33kV_OG1_Im (MWh)]],"")</f>
        <v>612416.94400000002</v>
      </c>
      <c r="EZ71" s="148">
        <f>RD[[#This Row],[33kV_OG1_Ex (MWh)]]-RD[[#This Row],[33kV_OG1_Im (MWh)]]</f>
        <v>608059.05599999998</v>
      </c>
      <c r="FA71" s="148">
        <f>IFERROR(RD[[#This Row],[132kV_L1_Ex(MWh)]]-RD[[#This Row],[132kV_L1_Im(MWh)]],"")</f>
        <v>605592.0000000085</v>
      </c>
      <c r="FB71" s="55">
        <f>IFERROR(RD[[#This Row],[33kV_Ex(MWh)]]/RD[[#This Row],[Inv Total Gneration (MWh)]]-1,"")</f>
        <v>-1.1616502965472009E-2</v>
      </c>
      <c r="FC71" s="245">
        <f>IFERROR((RD[[#This Row],[Sunset Time (POA&lt;20 W/m2)]]-RD[[#This Row],[Sunrise Time (POA&gt;20 W/m2)]])*24,0)</f>
        <v>12.65</v>
      </c>
      <c r="FD71" s="246">
        <v>122.7</v>
      </c>
      <c r="FE71" t="s">
        <v>293</v>
      </c>
      <c r="FG71" s="144" t="str">
        <f>IFERROR(RD[[#This Row],[E_AC (WPR)]]/RD[[#This Row],[E_DC (WPR)]],"")</f>
        <v/>
      </c>
    </row>
    <row r="72" spans="1:163">
      <c r="A72" s="133">
        <f t="shared" si="161"/>
        <v>45812</v>
      </c>
      <c r="B72" s="138">
        <f>YEAR(RD[[#This Row],[Date]])+IF(MONTH(RD[[#This Row],[Date]])&gt;=4,1,0)</f>
        <v>2026</v>
      </c>
      <c r="C72" s="138">
        <f>YEAR(RD[[#This Row],[Date]])</f>
        <v>2025</v>
      </c>
      <c r="D72" s="139">
        <f t="shared" si="165"/>
        <v>45809</v>
      </c>
      <c r="E72" s="138">
        <f>DAY(EOMONTH(RD[[#This Row],[Date]],0))</f>
        <v>30</v>
      </c>
      <c r="F72" s="152">
        <v>0.25138888888888888</v>
      </c>
      <c r="G72" s="162">
        <v>0.77847222222222223</v>
      </c>
      <c r="H72" s="124">
        <v>7632.1</v>
      </c>
      <c r="I72" s="270">
        <v>7582.8</v>
      </c>
      <c r="J72" s="124">
        <v>7210.8</v>
      </c>
      <c r="K72" s="124">
        <v>7250.3</v>
      </c>
      <c r="L72" s="124">
        <v>7450.9</v>
      </c>
      <c r="M72" s="124">
        <v>7631.9</v>
      </c>
      <c r="N72" s="124">
        <v>7436</v>
      </c>
      <c r="O72" s="124">
        <v>7898.5</v>
      </c>
      <c r="P72" s="124">
        <v>7462.1</v>
      </c>
      <c r="Q72" s="124">
        <v>7358</v>
      </c>
      <c r="R72" s="124">
        <v>7550.4</v>
      </c>
      <c r="S72" s="268">
        <v>7519.9</v>
      </c>
      <c r="T72" s="124">
        <v>7925.8</v>
      </c>
      <c r="U72" s="124">
        <v>7583.1</v>
      </c>
      <c r="V72" s="124">
        <v>7823.4</v>
      </c>
      <c r="W72" s="124">
        <v>7605.2</v>
      </c>
      <c r="X72" s="268">
        <v>10601.5</v>
      </c>
      <c r="Y72" s="203">
        <v>11403.4</v>
      </c>
      <c r="Z72" s="203">
        <v>10362.200000000001</v>
      </c>
      <c r="AA72" s="203">
        <v>10840.6</v>
      </c>
      <c r="AB72" s="268">
        <v>11327.3</v>
      </c>
      <c r="AC72" s="203">
        <v>7063.3</v>
      </c>
      <c r="AD72" s="203">
        <v>10764.3</v>
      </c>
      <c r="AE72" s="203">
        <v>10805</v>
      </c>
      <c r="AF72" s="268">
        <v>10699</v>
      </c>
      <c r="AG72" s="203">
        <v>10690</v>
      </c>
      <c r="AH72" s="203">
        <v>10609.3</v>
      </c>
      <c r="AI72" s="268">
        <v>10642.8</v>
      </c>
      <c r="AJ72" s="203">
        <v>9757.7000000000007</v>
      </c>
      <c r="AK72" s="268">
        <v>9956.9</v>
      </c>
      <c r="AL72" s="203">
        <v>9741.2999999999993</v>
      </c>
      <c r="AM72" s="268">
        <v>9822.9</v>
      </c>
      <c r="AN72" s="203">
        <v>9917.4</v>
      </c>
      <c r="AO72" s="268">
        <v>10314.200000000001</v>
      </c>
      <c r="AP72" s="203">
        <v>9975.2999999999993</v>
      </c>
      <c r="AQ72" s="268">
        <v>10036.6</v>
      </c>
      <c r="AR72" s="203">
        <v>8190.8</v>
      </c>
      <c r="AS72" s="268">
        <v>8263.5</v>
      </c>
      <c r="AT72" s="203">
        <v>8090.4</v>
      </c>
      <c r="AU72" s="268">
        <v>8011.9</v>
      </c>
      <c r="AV72" s="203">
        <v>8235.5</v>
      </c>
      <c r="AW72" s="203">
        <v>8238.7999999999993</v>
      </c>
      <c r="AX72" s="203">
        <v>11691</v>
      </c>
      <c r="AY72" s="203">
        <v>12863</v>
      </c>
      <c r="AZ72" s="203">
        <v>9585.9</v>
      </c>
      <c r="BA72" s="203">
        <v>11548.2</v>
      </c>
      <c r="BB72" s="203">
        <v>8576</v>
      </c>
      <c r="BC72" s="203">
        <v>8384</v>
      </c>
      <c r="BD72" s="203">
        <v>8705</v>
      </c>
      <c r="BE72" s="203">
        <v>9668</v>
      </c>
      <c r="BF72" s="203">
        <v>10273</v>
      </c>
      <c r="BG72" s="203">
        <v>10335</v>
      </c>
      <c r="BH72" s="203">
        <v>10176</v>
      </c>
      <c r="BI72" s="203">
        <v>10513</v>
      </c>
      <c r="BJ72" s="203">
        <v>7171</v>
      </c>
      <c r="BK72" s="203">
        <v>5724</v>
      </c>
      <c r="BL72" s="203">
        <v>6908</v>
      </c>
      <c r="BM72" s="203">
        <v>6820</v>
      </c>
      <c r="BN72" s="203">
        <v>7202</v>
      </c>
      <c r="BO72" s="203">
        <v>7068</v>
      </c>
      <c r="BP72" s="203">
        <v>7518</v>
      </c>
      <c r="BQ72" s="203">
        <v>7475</v>
      </c>
      <c r="BR72" s="203">
        <v>8620</v>
      </c>
      <c r="BS72" s="203">
        <v>8859</v>
      </c>
      <c r="BT72" s="203">
        <v>8452</v>
      </c>
      <c r="BU72" s="203">
        <v>8942</v>
      </c>
      <c r="BV72" s="203"/>
      <c r="BW72" s="203"/>
      <c r="BX72" s="203"/>
      <c r="BY72" s="203"/>
      <c r="BZ72" s="203">
        <v>1215</v>
      </c>
      <c r="CA72" s="203">
        <v>1024</v>
      </c>
      <c r="CB72" s="203">
        <v>4703</v>
      </c>
      <c r="CC72" s="203">
        <v>7639</v>
      </c>
      <c r="CD72" s="263">
        <v>5.8535785666666644</v>
      </c>
      <c r="CE72" s="263">
        <v>6.7301187833333396</v>
      </c>
      <c r="CF72" s="263">
        <v>6.1860936000000075</v>
      </c>
      <c r="CG72" s="263">
        <v>6.953709966666664</v>
      </c>
      <c r="CH72" s="263">
        <v>0.75762493333333358</v>
      </c>
      <c r="CI72" s="263">
        <v>0.90825860000000003</v>
      </c>
      <c r="CJ72" s="263">
        <v>1.0447018833333339</v>
      </c>
      <c r="CK72" s="263">
        <v>1.0297492500000009</v>
      </c>
      <c r="CL72" s="263">
        <v>30.294941471571889</v>
      </c>
      <c r="CM72" s="263">
        <v>30.269099249374449</v>
      </c>
      <c r="CN72" s="263">
        <v>44.444250836120418</v>
      </c>
      <c r="CO72" s="263">
        <v>42.723266055045826</v>
      </c>
      <c r="CP72" s="263">
        <v>57.948704013377935</v>
      </c>
      <c r="CQ72" s="263">
        <v>59.852418682235147</v>
      </c>
      <c r="CR72" s="263">
        <v>0</v>
      </c>
      <c r="CS72" s="263">
        <v>0</v>
      </c>
      <c r="CT72" s="263">
        <v>1.155366220735786</v>
      </c>
      <c r="CU72" s="263">
        <v>1.2187556296914104</v>
      </c>
      <c r="CV72" s="263">
        <v>3.0779999999999998</v>
      </c>
      <c r="CW72" s="263">
        <v>3.42</v>
      </c>
      <c r="CX72" s="204">
        <f>IFERROR(AVERAGEIF(RD[[#This Row],[IS1POA1 (KWh/m2)]:[IS7POA2 (KWh/m2)]],"&lt;&gt;0",RD[[#This Row],[IS1POA1 (KWh/m2)]:[IS7POA2 (KWh/m2)]]),"")</f>
        <v>6.2918486750000024</v>
      </c>
      <c r="CY72" s="204">
        <f>IFERROR(AVERAGEIF(RD[[#This Row],[IS1GHI1 (KWh/m2)]:[IS7GHI2 (KWh/m2)]],"&lt;&gt;0",RD[[#This Row],[IS1GHI1 (KWh/m2)]:[IS7GHI2 (KWh/m2)]]),"")</f>
        <v>6.5699017833333357</v>
      </c>
      <c r="CZ72" s="204">
        <f>IFERROR(AVERAGEIF(RD[[#This Row],[IS1POA_BS1 (KWh/m2)]:[IS7POA_BS2 (KWh/m2)]],"&lt;&gt;0",RD[[#This Row],[IS1POA_BS1 (KWh/m2)]:[IS7POA_BS2 (KWh/m2)]]),"")</f>
        <v>0.83294176666666675</v>
      </c>
      <c r="DA72" s="204">
        <f>IFERROR(AVERAGEIF(RD[[#This Row],[IS1GHI_BS1 (KWh/m2)]:[IS1GHI_BS1 (KWh/m2)2]],"&lt;&gt;0",RD[[#This Row],[IS1GHI_BS1 (KWh/m2)]:[IS1GHI_BS1 (KWh/m2)2]]),"")</f>
        <v>1.0372255666666674</v>
      </c>
      <c r="DB72" s="204">
        <f>IFERROR(AVERAGEIF(RD[[#This Row],[IS1AT1 (°C)]:[IS7AT2 (°C)]],"&lt;&gt;0",RD[[#This Row],[IS1AT1 (°C)]:[IS7AT2 (°C)]]),"")</f>
        <v>30.282020360473169</v>
      </c>
      <c r="DC72" s="204">
        <f>IFERROR(AVERAGEIF(RD[[#This Row],[IS1MT1 (°C)]:[IS7MT2 (°C)]],"&lt;&gt;0",RD[[#This Row],[IS1MT1 (°C)]:[IS7MT2 (°C)]]),"")</f>
        <v>43.583758445583122</v>
      </c>
      <c r="DD72" s="204">
        <f>IFERROR(AVERAGEIF(RD[[#This Row],[IS1RH1 (%)]:[IS7RH2 (%)]],"&lt;&gt;0",RD[[#This Row],[IS1RH1 (%)]:[IS7RH2 (%)]]),"")</f>
        <v>58.900561347806544</v>
      </c>
      <c r="DE72" s="51" t="str">
        <f>IFERROR(AVERAGEIF(RD[[#This Row],[IS1Rain1 (mm)]:[IS7Rain2 (mm)]],"&lt;&gt;0",RD[[#This Row],[IS1Rain1 (mm)]:[IS7Rain2 (mm)]]),"")</f>
        <v/>
      </c>
      <c r="DF72" s="204">
        <f>IFERROR(AVERAGEIF(RD[[#This Row],[WS_Solar1_Avg (m/s)]:[IS7_WS_Solar1_Avg (m/s)]],"&lt;&gt;0",RD[[#This Row],[WS_Solar1_Avg (m/s)]:[IS7_WS_Solar1_Avg (m/s)]]),"")</f>
        <v>1.1870609252135982</v>
      </c>
      <c r="DG72" s="204">
        <f>IFERROR(AVERAGEIF(RD[[#This Row],[WS_Solar1_Max (m/s)]:[IS7_WS_Solar1_Max (m/s)]],"&lt;&gt;0",RD[[#This Row],[WS_Solar1_Max (m/s)]:[IS7_WS_Solar1_Max (m/s)]]),"")</f>
        <v>3.2489999999999997</v>
      </c>
      <c r="DH72" s="204">
        <f>SUM(RD[[#This Row],[IS1Inv1M1]:[IS4Inv4M2]])</f>
        <v>246729.89999999997</v>
      </c>
      <c r="DI72" s="205">
        <f>SUM(RD[[#This Row],[IS7Inv1M1]]+RD[[#This Row],[IS7Inv2M1]])</f>
        <v>16454.3</v>
      </c>
      <c r="DJ72" s="204">
        <f>SUM(RD[[#This Row],[IS5Inv1M1]:[IS5Inv2M2]])</f>
        <v>39278.799999999996</v>
      </c>
      <c r="DK72" s="204">
        <f>SUM(RD[[#This Row],[IS8Inv1M1]:[IS9Inv2M2]])</f>
        <v>78264.7</v>
      </c>
      <c r="DL72" s="60">
        <f>SUM(RD[[#This Row],[IS6Inv1M1]:[IS6Inv2M2]])</f>
        <v>40243.5</v>
      </c>
      <c r="DM72" s="51">
        <f>SUM(RD[[#This Row],[IS10Inv1M1]:[IS11Inv1M4]],RD[[#This Row],[IS14Inv1M1]:[IS14Inv2M4]])</f>
        <v>117834</v>
      </c>
      <c r="DN72" s="288">
        <f>SUM(RD[[#This Row],[IS12Inv1M1]:[IS12Inv1M4]])</f>
        <v>29263</v>
      </c>
      <c r="DO72" s="288">
        <f>SUM(RD[[#This Row],[IS13Inv1M1]:[IS13Inv2M2]])</f>
        <v>34873</v>
      </c>
      <c r="DP72" s="204">
        <f>SUM(RD[[#This Row],[O2R15]:[O2R26]])</f>
        <v>602941.19999999995</v>
      </c>
      <c r="DQ72" s="164">
        <v>42145.2</v>
      </c>
      <c r="DR72" s="168">
        <v>216.6</v>
      </c>
      <c r="DS72" s="164">
        <v>36638.1</v>
      </c>
      <c r="DT72" s="164">
        <v>229.2</v>
      </c>
      <c r="DU72" s="168">
        <v>42924.9</v>
      </c>
      <c r="DV72" s="168">
        <v>411.2</v>
      </c>
      <c r="DW72" s="164">
        <v>10175.9</v>
      </c>
      <c r="DX72" s="168">
        <v>50.1</v>
      </c>
      <c r="DY72" s="168">
        <v>516.9</v>
      </c>
      <c r="DZ72" s="168">
        <v>1.9</v>
      </c>
      <c r="EA72" s="140">
        <v>99.57</v>
      </c>
      <c r="EB72" s="243">
        <v>135822893</v>
      </c>
      <c r="EC72" s="242">
        <v>971933.63199999998</v>
      </c>
      <c r="ED72" s="243">
        <v>1168</v>
      </c>
      <c r="EE72" s="243">
        <v>130001</v>
      </c>
      <c r="EF72" s="164">
        <v>188340.4</v>
      </c>
      <c r="EG72" s="164">
        <v>1895.3</v>
      </c>
      <c r="EH72" s="146">
        <f>IF((RD[[#This Row],[33 kV_F3_Ex
Incomer1]]-DQ71)*1000&lt;0,0,(RD[[#This Row],[33 kV_F3_Ex
Incomer1]]-DQ71)*1000)</f>
        <v>124899.99999999418</v>
      </c>
      <c r="EI72" s="146">
        <f>IF((RD[[#This Row],[34 kV_F3_Im
Incomer1]]-DR71)*1000&lt;0,0,(RD[[#This Row],[34 kV_F3_Im
Incomer1]]-DR71)*1000)</f>
        <v>400.00000000000568</v>
      </c>
      <c r="EJ72" s="146">
        <f>IF((RD[[#This Row],[33 kV_F4_Ex
Incomer2]]-DS71)*1000&lt;0,0,(RD[[#This Row],[33 kV_F4_Ex
Incomer2]]-DS71)*1000)</f>
        <v>118299.99999999563</v>
      </c>
      <c r="EK72" s="146">
        <f>IF((RD[[#This Row],[34 kV_F4_Im
Incomer2]]-DT71)*1000&lt;0,0,(RD[[#This Row],[34 kV_F4_Im
Incomer2]]-DT71)*1000)</f>
        <v>399.99999999997726</v>
      </c>
      <c r="EL72" s="146">
        <f>IF((RD[[#This Row],[33 kV_F5_Ex
Incomer3]]-DU71)*1000&lt;0,0,(RD[[#This Row],[33 kV_F5_Ex
Incomer3]]-DU71)*1000)</f>
        <v>171800.00000000291</v>
      </c>
      <c r="EM72" s="146">
        <f>IF((RD[[#This Row],[34 kV_F5_Im
Incomer3]]-DV71)*1000&lt;0,0,(RD[[#This Row],[34 kV_F5_Im
Incomer3]]-DV71)*1000)</f>
        <v>599.99999999996589</v>
      </c>
      <c r="EN72" s="146">
        <f>IF((RD[[#This Row],[33 kV_F6_Ex
Incomer4]]-DW71)*1000&lt;0,0,(RD[[#This Row],[33 kV_F6_Ex
Incomer4]]-DW71)*1000)</f>
        <v>14399.999999999636</v>
      </c>
      <c r="EO72" s="146">
        <f t="shared" si="166"/>
        <v>299.99999999998295</v>
      </c>
      <c r="EP72" s="146">
        <f>IF((RD[[#This Row],[33 kV_F7_Ex
Incomer5]]-DY71)*1000&lt;0,0,(RD[[#This Row],[33 kV_F7_Ex
Incomer5]]-DY71)*1000)</f>
        <v>144700</v>
      </c>
      <c r="EQ72" s="146">
        <f>IF((RD[[#This Row],[33 kV_F7_Im
Incomer5]]-DZ71)*1000&lt;0,0,(RD[[#This Row],[33 kV_F7_Im
Incomer5]]-DZ71)*1000)</f>
        <v>500</v>
      </c>
      <c r="ER72" s="146">
        <f>IF((RD[[#This Row],[33 kV_Aux Trafo]]-EA71)*1000&lt;0,0,(RD[[#This Row],[33 kV_Aux Trafo]]-EA71)*1000)</f>
        <v>279.99999999998693</v>
      </c>
      <c r="ES72" s="158">
        <f>IF((RD[[#This Row],[33kV_OG1_Ex_]]-EB71)*1&lt;0,0,(RD[[#This Row],[33kV_OG1_Ex_]]-EB71)*1)</f>
        <v>593855</v>
      </c>
      <c r="ET72" s="146">
        <f>IF((RD[[#This Row],[33kV_OG1_Im]]-EC71)*1&lt;0,0,(RD[[#This Row],[33kV_OG1_Im]]-EC71)*1)</f>
        <v>2325.0559999999823</v>
      </c>
      <c r="EU72" s="146">
        <f>IF((RD[[#This Row],[132kV_TX1_EX]]-ED71)*720&lt;=0,"",(RD[[#This Row],[132kV_TX1_EX]]-ED71)*720)</f>
        <v>2160</v>
      </c>
      <c r="EV72" s="146">
        <f>IF((RD[[#This Row],[132 kV_Tx1_Im]]-EE71)*720&lt;=0,0,(RD[[#This Row],[132 kV_Tx1_Im]]-EE71)*720)</f>
        <v>367920</v>
      </c>
      <c r="EW72" s="146">
        <f>IF((RD[[#This Row],[132kV_L1_Ex]]-EF71)*720&lt;=0,0,(RD[[#This Row],[132kV_L1_Ex]]-EF71)*720)</f>
        <v>591767.99999999581</v>
      </c>
      <c r="EX72" s="146">
        <f>IF((RD[[#This Row],[132kV_L1_Im]]-EG71)*720&lt;=0,0,(RD[[#This Row],[132kV_L1_Im]]-EG71)*720)</f>
        <v>2880</v>
      </c>
      <c r="EY72" s="244">
        <f>IFERROR(RD[[#This Row],[33kV_OG1_Ex (MWh)]]+RD[[#This Row],[33kV_OG1_Im (MWh)]],"")</f>
        <v>596180.05599999998</v>
      </c>
      <c r="EZ72" s="148">
        <f>RD[[#This Row],[33kV_OG1_Ex (MWh)]]-RD[[#This Row],[33kV_OG1_Im (MWh)]]</f>
        <v>591529.94400000002</v>
      </c>
      <c r="FA72" s="148">
        <f>IFERROR(RD[[#This Row],[132kV_L1_Ex(MWh)]]-RD[[#This Row],[132kV_L1_Im(MWh)]],"")</f>
        <v>588887.99999999581</v>
      </c>
      <c r="FB72" s="55">
        <f>IFERROR(RD[[#This Row],[33kV_Ex(MWh)]]/RD[[#This Row],[Inv Total Gneration (MWh)]]-1,"")</f>
        <v>-1.1213604245322695E-2</v>
      </c>
      <c r="FC72" s="245">
        <f>IFERROR((RD[[#This Row],[Sunset Time (POA&lt;20 W/m2)]]-RD[[#This Row],[Sunrise Time (POA&gt;20 W/m2)]])*24,0)</f>
        <v>12.65</v>
      </c>
      <c r="FD72" s="246">
        <v>122.7</v>
      </c>
      <c r="FE72" t="s">
        <v>293</v>
      </c>
      <c r="FG72" s="144" t="str">
        <f>IFERROR(RD[[#This Row],[E_AC (WPR)]]/RD[[#This Row],[E_DC (WPR)]],"")</f>
        <v/>
      </c>
    </row>
    <row r="73" spans="1:163">
      <c r="A73" s="133">
        <f t="shared" si="161"/>
        <v>45813</v>
      </c>
      <c r="B73" s="138">
        <f>YEAR(RD[[#This Row],[Date]])+IF(MONTH(RD[[#This Row],[Date]])&gt;=4,1,0)</f>
        <v>2026</v>
      </c>
      <c r="C73" s="138">
        <f>YEAR(RD[[#This Row],[Date]])</f>
        <v>2025</v>
      </c>
      <c r="D73" s="139">
        <f t="shared" si="165"/>
        <v>45809</v>
      </c>
      <c r="E73" s="138">
        <f>DAY(EOMONTH(RD[[#This Row],[Date]],0))</f>
        <v>30</v>
      </c>
      <c r="F73" s="152">
        <v>0.25694444444444442</v>
      </c>
      <c r="G73" s="162">
        <v>0.77916666666666667</v>
      </c>
      <c r="H73" s="124">
        <v>8281.1</v>
      </c>
      <c r="I73" s="270">
        <v>8262.6</v>
      </c>
      <c r="J73" s="124">
        <v>7867.2</v>
      </c>
      <c r="K73" s="124">
        <v>7912</v>
      </c>
      <c r="L73" s="124">
        <v>8087.7</v>
      </c>
      <c r="M73" s="124">
        <v>8282.7999999999993</v>
      </c>
      <c r="N73" s="124">
        <v>8116.3</v>
      </c>
      <c r="O73" s="124">
        <v>8608.2000000000007</v>
      </c>
      <c r="P73" s="124">
        <v>8254.2000000000007</v>
      </c>
      <c r="Q73" s="124">
        <v>7977.2</v>
      </c>
      <c r="R73" s="124">
        <v>8241.2999999999993</v>
      </c>
      <c r="S73" s="268">
        <v>8310.4</v>
      </c>
      <c r="T73" s="124">
        <v>8740</v>
      </c>
      <c r="U73" s="124">
        <v>8432.2999999999993</v>
      </c>
      <c r="V73" s="124">
        <v>8480.1</v>
      </c>
      <c r="W73" s="124">
        <v>8278.4</v>
      </c>
      <c r="X73" s="268">
        <v>11671.1</v>
      </c>
      <c r="Y73" s="203">
        <v>12732.4</v>
      </c>
      <c r="Z73" s="203">
        <v>11347.5</v>
      </c>
      <c r="AA73" s="203">
        <v>11970.1</v>
      </c>
      <c r="AB73" s="268">
        <v>12469</v>
      </c>
      <c r="AC73" s="203">
        <v>7791</v>
      </c>
      <c r="AD73" s="203">
        <v>11783</v>
      </c>
      <c r="AE73" s="203">
        <v>12015.7</v>
      </c>
      <c r="AF73" s="268">
        <v>11589.4</v>
      </c>
      <c r="AG73" s="203">
        <v>11553</v>
      </c>
      <c r="AH73" s="203">
        <v>11523.8</v>
      </c>
      <c r="AI73" s="268">
        <v>11585.4</v>
      </c>
      <c r="AJ73" s="203">
        <v>9492.4</v>
      </c>
      <c r="AK73" s="268">
        <v>9743.2000000000007</v>
      </c>
      <c r="AL73" s="203">
        <v>9467.9</v>
      </c>
      <c r="AM73" s="268">
        <v>9585.9</v>
      </c>
      <c r="AN73" s="203">
        <v>9559.2000000000007</v>
      </c>
      <c r="AO73" s="268">
        <v>9907.6</v>
      </c>
      <c r="AP73" s="203">
        <v>9651.2999999999993</v>
      </c>
      <c r="AQ73" s="268">
        <v>9696.2999999999993</v>
      </c>
      <c r="AR73" s="203">
        <v>7927.7</v>
      </c>
      <c r="AS73" s="268">
        <v>8013.7</v>
      </c>
      <c r="AT73" s="203">
        <v>7801.1</v>
      </c>
      <c r="AU73" s="268">
        <v>7783.1</v>
      </c>
      <c r="AV73" s="203">
        <v>8025.1</v>
      </c>
      <c r="AW73" s="203">
        <v>8005.7</v>
      </c>
      <c r="AX73" s="203">
        <v>11323</v>
      </c>
      <c r="AY73" s="203">
        <v>12556.6</v>
      </c>
      <c r="AZ73" s="203">
        <v>9277.6</v>
      </c>
      <c r="BA73" s="203">
        <v>11220.9</v>
      </c>
      <c r="BB73" s="203">
        <v>9464</v>
      </c>
      <c r="BC73" s="203">
        <v>9272</v>
      </c>
      <c r="BD73" s="203">
        <v>9868</v>
      </c>
      <c r="BE73" s="203">
        <v>11162</v>
      </c>
      <c r="BF73" s="203">
        <v>12070</v>
      </c>
      <c r="BG73" s="203">
        <v>12149</v>
      </c>
      <c r="BH73" s="203">
        <v>11945</v>
      </c>
      <c r="BI73" s="203">
        <v>12210</v>
      </c>
      <c r="BJ73" s="203">
        <v>8216</v>
      </c>
      <c r="BK73" s="203">
        <v>6472</v>
      </c>
      <c r="BL73" s="203">
        <v>7757</v>
      </c>
      <c r="BM73" s="203">
        <v>7736</v>
      </c>
      <c r="BN73" s="203">
        <v>8205</v>
      </c>
      <c r="BO73" s="203">
        <v>7968</v>
      </c>
      <c r="BP73" s="203">
        <v>8486</v>
      </c>
      <c r="BQ73" s="203">
        <v>8427</v>
      </c>
      <c r="BR73" s="203">
        <v>9188</v>
      </c>
      <c r="BS73" s="203">
        <v>9510</v>
      </c>
      <c r="BT73" s="203">
        <v>9257</v>
      </c>
      <c r="BU73" s="203">
        <v>9582</v>
      </c>
      <c r="BV73" s="203"/>
      <c r="BW73" s="203"/>
      <c r="BX73" s="203"/>
      <c r="BY73" s="203"/>
      <c r="BZ73" s="203">
        <v>1291</v>
      </c>
      <c r="CA73" s="203">
        <v>1099</v>
      </c>
      <c r="CB73" s="203">
        <v>5018</v>
      </c>
      <c r="CC73" s="203">
        <v>8213</v>
      </c>
      <c r="CD73" s="263">
        <v>6.2057633833333297</v>
      </c>
      <c r="CE73" s="263">
        <v>6.387309466666677</v>
      </c>
      <c r="CF73" s="263">
        <v>6.5733590999999967</v>
      </c>
      <c r="CG73" s="263">
        <v>6.6100831333333367</v>
      </c>
      <c r="CH73" s="263">
        <v>0.76122695000000018</v>
      </c>
      <c r="CI73" s="263">
        <v>0.90203693333333324</v>
      </c>
      <c r="CJ73" s="263">
        <v>1.0785776500000002</v>
      </c>
      <c r="CK73" s="263">
        <v>0.97542740000000017</v>
      </c>
      <c r="CL73" s="263">
        <v>29.769476228847697</v>
      </c>
      <c r="CM73" s="263">
        <v>30.050128617363331</v>
      </c>
      <c r="CN73" s="263">
        <v>44.405913779210387</v>
      </c>
      <c r="CO73" s="263">
        <v>42.52203536977494</v>
      </c>
      <c r="CP73" s="263">
        <v>61.966430298146804</v>
      </c>
      <c r="CQ73" s="263">
        <v>61.749268488746097</v>
      </c>
      <c r="CR73" s="263">
        <v>3.4037066881547208E-2</v>
      </c>
      <c r="CS73" s="263">
        <v>9.6463022508038506E-3</v>
      </c>
      <c r="CT73" s="263">
        <v>0.9535817888799355</v>
      </c>
      <c r="CU73" s="263">
        <v>1.0194501607717033</v>
      </c>
      <c r="CV73" s="263">
        <v>2.7719999999999998</v>
      </c>
      <c r="CW73" s="263">
        <v>3.0990000000000002</v>
      </c>
      <c r="CX73" s="204">
        <f>IFERROR(AVERAGEIF(RD[[#This Row],[IS1POA1 (KWh/m2)]:[IS7POA2 (KWh/m2)]],"&lt;&gt;0",RD[[#This Row],[IS1POA1 (KWh/m2)]:[IS7POA2 (KWh/m2)]]),"")</f>
        <v>6.2965364250000029</v>
      </c>
      <c r="CY73" s="204">
        <f>IFERROR(AVERAGEIF(RD[[#This Row],[IS1GHI1 (KWh/m2)]:[IS7GHI2 (KWh/m2)]],"&lt;&gt;0",RD[[#This Row],[IS1GHI1 (KWh/m2)]:[IS7GHI2 (KWh/m2)]]),"")</f>
        <v>6.5917211166666672</v>
      </c>
      <c r="CZ73" s="204">
        <f>IFERROR(AVERAGEIF(RD[[#This Row],[IS1POA_BS1 (KWh/m2)]:[IS7POA_BS2 (KWh/m2)]],"&lt;&gt;0",RD[[#This Row],[IS1POA_BS1 (KWh/m2)]:[IS7POA_BS2 (KWh/m2)]]),"")</f>
        <v>0.83163194166666665</v>
      </c>
      <c r="DA73" s="204">
        <f>IFERROR(AVERAGEIF(RD[[#This Row],[IS1GHI_BS1 (KWh/m2)]:[IS1GHI_BS1 (KWh/m2)2]],"&lt;&gt;0",RD[[#This Row],[IS1GHI_BS1 (KWh/m2)]:[IS1GHI_BS1 (KWh/m2)2]]),"")</f>
        <v>1.0270025250000001</v>
      </c>
      <c r="DB73" s="204">
        <f>IFERROR(AVERAGEIF(RD[[#This Row],[IS1AT1 (°C)]:[IS7AT2 (°C)]],"&lt;&gt;0",RD[[#This Row],[IS1AT1 (°C)]:[IS7AT2 (°C)]]),"")</f>
        <v>29.909802423105514</v>
      </c>
      <c r="DC73" s="204">
        <f>IFERROR(AVERAGEIF(RD[[#This Row],[IS1MT1 (°C)]:[IS7MT2 (°C)]],"&lt;&gt;0",RD[[#This Row],[IS1MT1 (°C)]:[IS7MT2 (°C)]]),"")</f>
        <v>43.463974574492667</v>
      </c>
      <c r="DD73" s="204">
        <f>IFERROR(AVERAGEIF(RD[[#This Row],[IS1RH1 (%)]:[IS7RH2 (%)]],"&lt;&gt;0",RD[[#This Row],[IS1RH1 (%)]:[IS7RH2 (%)]]),"")</f>
        <v>61.85784939344645</v>
      </c>
      <c r="DE73" s="51">
        <f>IFERROR(AVERAGEIF(RD[[#This Row],[IS1Rain1 (mm)]:[IS7Rain2 (mm)]],"&lt;&gt;0",RD[[#This Row],[IS1Rain1 (mm)]:[IS7Rain2 (mm)]]),"")</f>
        <v>2.184168456617553E-2</v>
      </c>
      <c r="DF73" s="204">
        <f>IFERROR(AVERAGEIF(RD[[#This Row],[WS_Solar1_Avg (m/s)]:[IS7_WS_Solar1_Avg (m/s)]],"&lt;&gt;0",RD[[#This Row],[WS_Solar1_Avg (m/s)]:[IS7_WS_Solar1_Avg (m/s)]]),"")</f>
        <v>0.98651597482581943</v>
      </c>
      <c r="DG73" s="204">
        <f>IFERROR(AVERAGEIF(RD[[#This Row],[WS_Solar1_Max (m/s)]:[IS7_WS_Solar1_Max (m/s)]],"&lt;&gt;0",RD[[#This Row],[WS_Solar1_Max (m/s)]:[IS7_WS_Solar1_Max (m/s)]]),"")</f>
        <v>2.9355000000000002</v>
      </c>
      <c r="DH73" s="204">
        <f>SUM(RD[[#This Row],[IS1Inv1M1]:[IS4Inv4M2]])</f>
        <v>270163.20000000001</v>
      </c>
      <c r="DI73" s="205">
        <f>SUM(RD[[#This Row],[IS7Inv1M1]]+RD[[#This Row],[IS7Inv2M1]])</f>
        <v>15941.4</v>
      </c>
      <c r="DJ73" s="204">
        <f>SUM(RD[[#This Row],[IS5Inv1M1]:[IS5Inv2M2]])</f>
        <v>38289.4</v>
      </c>
      <c r="DK73" s="204">
        <f>SUM(RD[[#This Row],[IS8Inv1M1]:[IS9Inv2M2]])</f>
        <v>75993.099999999991</v>
      </c>
      <c r="DL73" s="60">
        <f>SUM(RD[[#This Row],[IS6Inv1M1]:[IS6Inv2M2]])</f>
        <v>38814.400000000001</v>
      </c>
      <c r="DM73" s="51">
        <f>SUM(RD[[#This Row],[IS10Inv1M1]:[IS11Inv1M4]],RD[[#This Row],[IS14Inv1M1]:[IS14Inv2M4]])</f>
        <v>133942</v>
      </c>
      <c r="DN73" s="288">
        <f>SUM(RD[[#This Row],[IS12Inv1M1]:[IS12Inv1M4]])</f>
        <v>33086</v>
      </c>
      <c r="DO73" s="288">
        <f>SUM(RD[[#This Row],[IS13Inv1M1]:[IS13Inv2M2]])</f>
        <v>37537</v>
      </c>
      <c r="DP73" s="204">
        <f>SUM(RD[[#This Row],[O2R15]:[O2R26]])</f>
        <v>643766.5</v>
      </c>
      <c r="DQ73" s="164">
        <v>42282.3</v>
      </c>
      <c r="DR73" s="168">
        <v>216.9</v>
      </c>
      <c r="DS73" s="164">
        <v>36766.5</v>
      </c>
      <c r="DT73" s="164">
        <v>229.5</v>
      </c>
      <c r="DU73" s="168">
        <v>43091.5</v>
      </c>
      <c r="DV73" s="168">
        <v>411.8</v>
      </c>
      <c r="DW73" s="164">
        <v>10191.4</v>
      </c>
      <c r="DX73" s="168">
        <v>50.3</v>
      </c>
      <c r="DY73" s="168">
        <v>679</v>
      </c>
      <c r="DZ73" s="168">
        <v>2.4</v>
      </c>
      <c r="EA73" s="140">
        <v>99.84</v>
      </c>
      <c r="EB73" s="243">
        <v>136456110</v>
      </c>
      <c r="EC73" s="242">
        <v>974043.45600000001</v>
      </c>
      <c r="ED73" s="243">
        <v>1171</v>
      </c>
      <c r="EE73" s="243">
        <v>130712</v>
      </c>
      <c r="EF73" s="164">
        <v>189217</v>
      </c>
      <c r="EG73" s="164">
        <v>1898.9</v>
      </c>
      <c r="EH73" s="146">
        <f>IF((RD[[#This Row],[33 kV_F3_Ex
Incomer1]]-DQ72)*1000&lt;0,0,(RD[[#This Row],[33 kV_F3_Ex
Incomer1]]-DQ72)*1000)</f>
        <v>137100.00000000582</v>
      </c>
      <c r="EI73" s="146">
        <f>IF((RD[[#This Row],[34 kV_F3_Im
Incomer1]]-DR72)*1000&lt;0,0,(RD[[#This Row],[34 kV_F3_Im
Incomer1]]-DR72)*1000)</f>
        <v>300.00000000001137</v>
      </c>
      <c r="EJ73" s="146">
        <f>IF((RD[[#This Row],[33 kV_F4_Ex
Incomer2]]-DS72)*1000&lt;0,0,(RD[[#This Row],[33 kV_F4_Ex
Incomer2]]-DS72)*1000)</f>
        <v>128400.00000000146</v>
      </c>
      <c r="EK73" s="146">
        <f>IF((RD[[#This Row],[34 kV_F4_Im
Incomer2]]-DT72)*1000&lt;0,0,(RD[[#This Row],[34 kV_F4_Im
Incomer2]]-DT72)*1000)</f>
        <v>300.00000000001137</v>
      </c>
      <c r="EL73" s="146">
        <f>IF((RD[[#This Row],[33 kV_F5_Ex
Incomer3]]-DU72)*1000&lt;0,0,(RD[[#This Row],[33 kV_F5_Ex
Incomer3]]-DU72)*1000)</f>
        <v>166599.99999999854</v>
      </c>
      <c r="EM73" s="146">
        <f>IF((RD[[#This Row],[34 kV_F5_Im
Incomer3]]-DV72)*1000&lt;0,0,(RD[[#This Row],[34 kV_F5_Im
Incomer3]]-DV72)*1000)</f>
        <v>600.00000000002274</v>
      </c>
      <c r="EN73" s="146">
        <f>IF((RD[[#This Row],[33 kV_F6_Ex
Incomer4]]-DW72)*1000&lt;0,0,(RD[[#This Row],[33 kV_F6_Ex
Incomer4]]-DW72)*1000)</f>
        <v>15500</v>
      </c>
      <c r="EO73" s="146">
        <f t="shared" si="166"/>
        <v>300.00000000001137</v>
      </c>
      <c r="EP73" s="146">
        <f>IF((RD[[#This Row],[33 kV_F7_Ex
Incomer5]]-DY72)*1000&lt;0,0,(RD[[#This Row],[33 kV_F7_Ex
Incomer5]]-DY72)*1000)</f>
        <v>162100.00000000003</v>
      </c>
      <c r="EQ73" s="146">
        <f>IF((RD[[#This Row],[33 kV_F7_Im
Incomer5]]-DZ72)*1000&lt;0,0,(RD[[#This Row],[33 kV_F7_Im
Incomer5]]-DZ72)*1000)</f>
        <v>500</v>
      </c>
      <c r="ER73" s="146">
        <f>IF((RD[[#This Row],[33 kV_Aux Trafo]]-EA72)*1000&lt;0,0,(RD[[#This Row],[33 kV_Aux Trafo]]-EA72)*1000)</f>
        <v>270.00000000001023</v>
      </c>
      <c r="ES73" s="158">
        <f>IF((RD[[#This Row],[33kV_OG1_Ex_]]-EB72)*1&lt;0,0,(RD[[#This Row],[33kV_OG1_Ex_]]-EB72)*1)</f>
        <v>633217</v>
      </c>
      <c r="ET73" s="146">
        <f>IF((RD[[#This Row],[33kV_OG1_Im]]-EC72)*1&lt;0,0,(RD[[#This Row],[33kV_OG1_Im]]-EC72)*1)</f>
        <v>2109.8240000000224</v>
      </c>
      <c r="EU73" s="146">
        <f>IF((RD[[#This Row],[132kV_TX1_EX]]-ED72)*720&lt;=0,"",(RD[[#This Row],[132kV_TX1_EX]]-ED72)*720)</f>
        <v>2160</v>
      </c>
      <c r="EV73" s="146">
        <f>IF((RD[[#This Row],[132 kV_Tx1_Im]]-EE72)*720&lt;=0,0,(RD[[#This Row],[132 kV_Tx1_Im]]-EE72)*720)</f>
        <v>511920</v>
      </c>
      <c r="EW73" s="146">
        <f>IF((RD[[#This Row],[132kV_L1_Ex]]-EF72)*720&lt;=0,0,(RD[[#This Row],[132kV_L1_Ex]]-EF72)*720)</f>
        <v>631152.00000000419</v>
      </c>
      <c r="EX73" s="146">
        <f>IF((RD[[#This Row],[132kV_L1_Im]]-EG72)*720&lt;=0,0,(RD[[#This Row],[132kV_L1_Im]]-EG72)*720)</f>
        <v>2592.0000000000982</v>
      </c>
      <c r="EY73" s="244">
        <f>IFERROR(RD[[#This Row],[33kV_OG1_Ex (MWh)]]+RD[[#This Row],[33kV_OG1_Im (MWh)]],"")</f>
        <v>635326.82400000002</v>
      </c>
      <c r="EZ73" s="148">
        <f>RD[[#This Row],[33kV_OG1_Ex (MWh)]]-RD[[#This Row],[33kV_OG1_Im (MWh)]]</f>
        <v>631107.17599999998</v>
      </c>
      <c r="FA73" s="148">
        <f>IFERROR(RD[[#This Row],[132kV_L1_Ex(MWh)]]-RD[[#This Row],[132kV_L1_Im(MWh)]],"")</f>
        <v>628560.00000000407</v>
      </c>
      <c r="FB73" s="55">
        <f>IFERROR(RD[[#This Row],[33kV_Ex(MWh)]]/RD[[#This Row],[Inv Total Gneration (MWh)]]-1,"")</f>
        <v>-1.3109840291472108E-2</v>
      </c>
      <c r="FC73" s="245">
        <f>IFERROR((RD[[#This Row],[Sunset Time (POA&lt;20 W/m2)]]-RD[[#This Row],[Sunrise Time (POA&gt;20 W/m2)]])*24,0)</f>
        <v>12.533333333333335</v>
      </c>
      <c r="FD73" s="246">
        <v>122.7</v>
      </c>
      <c r="FE73" t="s">
        <v>293</v>
      </c>
      <c r="FG73" s="144" t="str">
        <f>IFERROR(RD[[#This Row],[E_AC (WPR)]]/RD[[#This Row],[E_DC (WPR)]],"")</f>
        <v/>
      </c>
    </row>
    <row r="74" spans="1:163">
      <c r="A74" s="133">
        <f t="shared" si="161"/>
        <v>45814</v>
      </c>
      <c r="B74" s="138">
        <f>YEAR(RD[[#This Row],[Date]])+IF(MONTH(RD[[#This Row],[Date]])&gt;=4,1,0)</f>
        <v>2026</v>
      </c>
      <c r="C74" s="138">
        <f>YEAR(RD[[#This Row],[Date]])</f>
        <v>2025</v>
      </c>
      <c r="D74" s="139">
        <f t="shared" si="165"/>
        <v>45809</v>
      </c>
      <c r="E74" s="138">
        <f>DAY(EOMONTH(RD[[#This Row],[Date]],0))</f>
        <v>30</v>
      </c>
      <c r="F74" s="152">
        <v>0.25277777777777777</v>
      </c>
      <c r="G74" s="162">
        <v>0.7729166666666667</v>
      </c>
      <c r="H74" s="124">
        <v>8084.3</v>
      </c>
      <c r="I74" s="270">
        <v>7928.7</v>
      </c>
      <c r="J74" s="124">
        <v>7489.5</v>
      </c>
      <c r="K74" s="124">
        <v>7685.5</v>
      </c>
      <c r="L74" s="124">
        <v>7962.5</v>
      </c>
      <c r="M74" s="124">
        <v>8215.6</v>
      </c>
      <c r="N74" s="124">
        <v>7907.7</v>
      </c>
      <c r="O74" s="124">
        <v>8590</v>
      </c>
      <c r="P74" s="124">
        <v>7898.9</v>
      </c>
      <c r="Q74" s="124">
        <v>7809.3</v>
      </c>
      <c r="R74" s="124">
        <v>8123.4</v>
      </c>
      <c r="S74" s="268">
        <v>8102.8</v>
      </c>
      <c r="T74" s="124">
        <v>8327.1</v>
      </c>
      <c r="U74" s="124">
        <v>8232.7999999999993</v>
      </c>
      <c r="V74" s="124">
        <v>8169.1</v>
      </c>
      <c r="W74" s="124">
        <v>7825.5</v>
      </c>
      <c r="X74" s="268">
        <v>11133.8</v>
      </c>
      <c r="Y74" s="203">
        <v>12222.2</v>
      </c>
      <c r="Z74" s="203">
        <v>10708</v>
      </c>
      <c r="AA74" s="203">
        <v>11205.4</v>
      </c>
      <c r="AB74" s="268">
        <v>12104</v>
      </c>
      <c r="AC74" s="203">
        <v>7353.6</v>
      </c>
      <c r="AD74" s="203">
        <v>11306.6</v>
      </c>
      <c r="AE74" s="203">
        <v>11537.1</v>
      </c>
      <c r="AF74" s="268">
        <v>11164.4</v>
      </c>
      <c r="AG74" s="203">
        <v>11106</v>
      </c>
      <c r="AH74" s="203">
        <v>11124</v>
      </c>
      <c r="AI74" s="268">
        <v>11243.4</v>
      </c>
      <c r="AJ74" s="203">
        <v>9626.6</v>
      </c>
      <c r="AK74" s="268">
        <v>9863.2999999999993</v>
      </c>
      <c r="AL74" s="203">
        <v>9669.2000000000007</v>
      </c>
      <c r="AM74" s="268">
        <v>9692.7999999999993</v>
      </c>
      <c r="AN74" s="203">
        <v>9743.1</v>
      </c>
      <c r="AO74" s="268">
        <v>10070.6</v>
      </c>
      <c r="AP74" s="203">
        <v>9897.2999999999993</v>
      </c>
      <c r="AQ74" s="268">
        <v>9799.7999999999993</v>
      </c>
      <c r="AR74" s="203">
        <v>8031.9</v>
      </c>
      <c r="AS74" s="268">
        <v>8107.7</v>
      </c>
      <c r="AT74" s="203">
        <v>8053.3</v>
      </c>
      <c r="AU74" s="268">
        <v>7966.1</v>
      </c>
      <c r="AV74" s="203">
        <v>8223.7000000000007</v>
      </c>
      <c r="AW74" s="203">
        <v>8134.2</v>
      </c>
      <c r="AX74" s="203">
        <v>11357.5</v>
      </c>
      <c r="AY74" s="203">
        <v>12721.3</v>
      </c>
      <c r="AZ74" s="203">
        <v>9299.7999999999993</v>
      </c>
      <c r="BA74" s="203">
        <v>11318.6</v>
      </c>
      <c r="BB74" s="203">
        <v>9769</v>
      </c>
      <c r="BC74" s="203">
        <v>9550</v>
      </c>
      <c r="BD74" s="203">
        <v>9904</v>
      </c>
      <c r="BE74" s="203">
        <v>11220</v>
      </c>
      <c r="BF74" s="203">
        <v>12372</v>
      </c>
      <c r="BG74" s="203">
        <v>12395</v>
      </c>
      <c r="BH74" s="203">
        <v>12041</v>
      </c>
      <c r="BI74" s="203">
        <v>12292</v>
      </c>
      <c r="BJ74" s="203">
        <v>8155</v>
      </c>
      <c r="BK74" s="203">
        <v>6577</v>
      </c>
      <c r="BL74" s="203">
        <v>7458</v>
      </c>
      <c r="BM74" s="203">
        <v>7701</v>
      </c>
      <c r="BN74" s="203">
        <v>8563</v>
      </c>
      <c r="BO74" s="203">
        <v>8204</v>
      </c>
      <c r="BP74" s="203">
        <v>8756</v>
      </c>
      <c r="BQ74" s="203">
        <v>8779</v>
      </c>
      <c r="BR74" s="203">
        <v>8897</v>
      </c>
      <c r="BS74" s="203">
        <v>9163</v>
      </c>
      <c r="BT74" s="203">
        <v>9052</v>
      </c>
      <c r="BU74" s="203">
        <v>9439</v>
      </c>
      <c r="BV74" s="203"/>
      <c r="BW74" s="203"/>
      <c r="BX74" s="203"/>
      <c r="BY74" s="203"/>
      <c r="BZ74" s="203">
        <v>1232</v>
      </c>
      <c r="CA74" s="203">
        <v>1044</v>
      </c>
      <c r="CB74" s="203">
        <v>4787</v>
      </c>
      <c r="CC74" s="203">
        <v>7999</v>
      </c>
      <c r="CD74" s="263">
        <v>6.1054593333333464</v>
      </c>
      <c r="CE74" s="263">
        <v>6.4430678833333204</v>
      </c>
      <c r="CF74" s="263">
        <v>6.4355745999999954</v>
      </c>
      <c r="CG74" s="263">
        <v>6.6994924999999892</v>
      </c>
      <c r="CH74" s="263">
        <v>0.78388908333333429</v>
      </c>
      <c r="CI74" s="263">
        <v>6.4430678833333204</v>
      </c>
      <c r="CJ74" s="263">
        <v>1.087846399999999</v>
      </c>
      <c r="CK74" s="263">
        <v>1.014569033333333</v>
      </c>
      <c r="CL74" s="263">
        <v>31.874053231939119</v>
      </c>
      <c r="CM74" s="263">
        <v>32.140728862973845</v>
      </c>
      <c r="CN74" s="263">
        <v>45.226208365018962</v>
      </c>
      <c r="CO74" s="263">
        <v>43.342778425655951</v>
      </c>
      <c r="CP74" s="263">
        <v>51.926783269961987</v>
      </c>
      <c r="CQ74" s="263">
        <v>52.110430029154571</v>
      </c>
      <c r="CR74" s="263">
        <v>0</v>
      </c>
      <c r="CS74" s="263">
        <v>0</v>
      </c>
      <c r="CT74" s="263">
        <v>1.2547756653992401</v>
      </c>
      <c r="CU74" s="263">
        <v>1.2394919825072883</v>
      </c>
      <c r="CV74" s="263">
        <v>2.7570000000000001</v>
      </c>
      <c r="CW74" s="263">
        <v>2.8860000000000001</v>
      </c>
      <c r="CX74" s="204">
        <f>IFERROR(AVERAGEIF(RD[[#This Row],[IS1POA1 (KWh/m2)]:[IS7POA2 (KWh/m2)]],"&lt;&gt;0",RD[[#This Row],[IS1POA1 (KWh/m2)]:[IS7POA2 (KWh/m2)]]),"")</f>
        <v>6.2742636083333334</v>
      </c>
      <c r="CY74" s="204">
        <f>IFERROR(AVERAGEIF(RD[[#This Row],[IS1GHI1 (KWh/m2)]:[IS7GHI2 (KWh/m2)]],"&lt;&gt;0",RD[[#This Row],[IS1GHI1 (KWh/m2)]:[IS7GHI2 (KWh/m2)]]),"")</f>
        <v>6.5675335499999923</v>
      </c>
      <c r="CZ74" s="204">
        <f>IFERROR(AVERAGEIF(RD[[#This Row],[IS1POA_BS1 (KWh/m2)]:[IS7POA_BS2 (KWh/m2)]],"&lt;&gt;0",RD[[#This Row],[IS1POA_BS1 (KWh/m2)]:[IS7POA_BS2 (KWh/m2)]]),"")</f>
        <v>3.6134784833333273</v>
      </c>
      <c r="DA74" s="204">
        <f>IFERROR(AVERAGEIF(RD[[#This Row],[IS1GHI_BS1 (KWh/m2)]:[IS1GHI_BS1 (KWh/m2)2]],"&lt;&gt;0",RD[[#This Row],[IS1GHI_BS1 (KWh/m2)]:[IS1GHI_BS1 (KWh/m2)2]]),"")</f>
        <v>1.051207716666666</v>
      </c>
      <c r="DB74" s="204">
        <f>IFERROR(AVERAGEIF(RD[[#This Row],[IS1AT1 (°C)]:[IS7AT2 (°C)]],"&lt;&gt;0",RD[[#This Row],[IS1AT1 (°C)]:[IS7AT2 (°C)]]),"")</f>
        <v>32.00739104745648</v>
      </c>
      <c r="DC74" s="204">
        <f>IFERROR(AVERAGEIF(RD[[#This Row],[IS1MT1 (°C)]:[IS7MT2 (°C)]],"&lt;&gt;0",RD[[#This Row],[IS1MT1 (°C)]:[IS7MT2 (°C)]]),"")</f>
        <v>44.284493395337456</v>
      </c>
      <c r="DD74" s="204">
        <f>IFERROR(AVERAGEIF(RD[[#This Row],[IS1RH1 (%)]:[IS7RH2 (%)]],"&lt;&gt;0",RD[[#This Row],[IS1RH1 (%)]:[IS7RH2 (%)]]),"")</f>
        <v>52.018606649558279</v>
      </c>
      <c r="DE74" s="51" t="str">
        <f>IFERROR(AVERAGEIF(RD[[#This Row],[IS1Rain1 (mm)]:[IS7Rain2 (mm)]],"&lt;&gt;0",RD[[#This Row],[IS1Rain1 (mm)]:[IS7Rain2 (mm)]]),"")</f>
        <v/>
      </c>
      <c r="DF74" s="204">
        <f>IFERROR(AVERAGEIF(RD[[#This Row],[WS_Solar1_Avg (m/s)]:[IS7_WS_Solar1_Avg (m/s)]],"&lt;&gt;0",RD[[#This Row],[WS_Solar1_Avg (m/s)]:[IS7_WS_Solar1_Avg (m/s)]]),"")</f>
        <v>1.2471338239532641</v>
      </c>
      <c r="DG74" s="204">
        <f>IFERROR(AVERAGEIF(RD[[#This Row],[WS_Solar1_Max (m/s)]:[IS7_WS_Solar1_Max (m/s)]],"&lt;&gt;0",RD[[#This Row],[WS_Solar1_Max (m/s)]:[IS7_WS_Solar1_Max (m/s)]]),"")</f>
        <v>2.8215000000000003</v>
      </c>
      <c r="DH74" s="204">
        <f>SUM(RD[[#This Row],[IS1Inv1M1]:[IS4Inv4M2]])</f>
        <v>260561.2</v>
      </c>
      <c r="DI74" s="205">
        <f>SUM(RD[[#This Row],[IS7Inv1M1]]+RD[[#This Row],[IS7Inv2M1]])</f>
        <v>16139.599999999999</v>
      </c>
      <c r="DJ74" s="204">
        <f>SUM(RD[[#This Row],[IS5Inv1M1]:[IS5Inv2M2]])</f>
        <v>38851.9</v>
      </c>
      <c r="DK74" s="204">
        <f>SUM(RD[[#This Row],[IS8Inv1M1]:[IS9Inv2M2]])</f>
        <v>77074.500000000015</v>
      </c>
      <c r="DL74" s="60">
        <f>SUM(RD[[#This Row],[IS6Inv1M1]:[IS6Inv2M2]])</f>
        <v>39510.800000000003</v>
      </c>
      <c r="DM74" s="51">
        <f>SUM(RD[[#This Row],[IS10Inv1M1]:[IS11Inv1M4]],RD[[#This Row],[IS14Inv1M1]:[IS14Inv2M4]])</f>
        <v>134496</v>
      </c>
      <c r="DN74" s="288">
        <f>SUM(RD[[#This Row],[IS12Inv1M1]:[IS12Inv1M4]])</f>
        <v>34302</v>
      </c>
      <c r="DO74" s="288">
        <f>SUM(RD[[#This Row],[IS13Inv1M1]:[IS13Inv2M2]])</f>
        <v>36551</v>
      </c>
      <c r="DP74" s="204">
        <f>SUM(RD[[#This Row],[O2R15]:[O2R26]])</f>
        <v>637487</v>
      </c>
      <c r="DQ74" s="164">
        <v>42413.5</v>
      </c>
      <c r="DR74" s="168">
        <v>217.3</v>
      </c>
      <c r="DS74" s="164">
        <v>36891.599999999999</v>
      </c>
      <c r="DT74" s="164">
        <v>229.9</v>
      </c>
      <c r="DU74" s="168">
        <v>43260.7</v>
      </c>
      <c r="DV74" s="168">
        <v>412.6</v>
      </c>
      <c r="DW74" s="164">
        <v>10206.299999999999</v>
      </c>
      <c r="DX74" s="168">
        <v>50.5</v>
      </c>
      <c r="DY74" s="168">
        <v>842.4</v>
      </c>
      <c r="DZ74" s="168">
        <v>2.9</v>
      </c>
      <c r="EA74" s="140">
        <v>100.13</v>
      </c>
      <c r="EB74" s="243">
        <v>137083346</v>
      </c>
      <c r="EC74" s="242">
        <v>976484.67200000002</v>
      </c>
      <c r="ED74" s="243">
        <v>1174</v>
      </c>
      <c r="EE74" s="243">
        <v>131336</v>
      </c>
      <c r="EF74" s="164">
        <v>190085.3</v>
      </c>
      <c r="EG74" s="164">
        <v>1903.1</v>
      </c>
      <c r="EH74" s="146">
        <f>IF((RD[[#This Row],[33 kV_F3_Ex
Incomer1]]-DQ73)*1000&lt;0,0,(RD[[#This Row],[33 kV_F3_Ex
Incomer1]]-DQ73)*1000)</f>
        <v>131199.99999999709</v>
      </c>
      <c r="EI74" s="146">
        <f>IF((RD[[#This Row],[34 kV_F3_Im
Incomer1]]-DR73)*1000&lt;0,0,(RD[[#This Row],[34 kV_F3_Im
Incomer1]]-DR73)*1000)</f>
        <v>400.00000000000568</v>
      </c>
      <c r="EJ74" s="146">
        <f>IF((RD[[#This Row],[33 kV_F4_Ex
Incomer2]]-DS73)*1000&lt;0,0,(RD[[#This Row],[33 kV_F4_Ex
Incomer2]]-DS73)*1000)</f>
        <v>125099.99999999854</v>
      </c>
      <c r="EK74" s="146">
        <f>IF((RD[[#This Row],[34 kV_F4_Im
Incomer2]]-DT73)*1000&lt;0,0,(RD[[#This Row],[34 kV_F4_Im
Incomer2]]-DT73)*1000)</f>
        <v>400.00000000000568</v>
      </c>
      <c r="EL74" s="146">
        <f>IF((RD[[#This Row],[33 kV_F5_Ex
Incomer3]]-DU73)*1000&lt;0,0,(RD[[#This Row],[33 kV_F5_Ex
Incomer3]]-DU73)*1000)</f>
        <v>169199.99999999709</v>
      </c>
      <c r="EM74" s="146">
        <f>IF((RD[[#This Row],[34 kV_F5_Im
Incomer3]]-DV73)*1000&lt;0,0,(RD[[#This Row],[34 kV_F5_Im
Incomer3]]-DV73)*1000)</f>
        <v>800.00000000001137</v>
      </c>
      <c r="EN74" s="146">
        <f>IF((RD[[#This Row],[33 kV_F6_Ex
Incomer4]]-DW73)*1000&lt;0,0,(RD[[#This Row],[33 kV_F6_Ex
Incomer4]]-DW73)*1000)</f>
        <v>14899.999999999636</v>
      </c>
      <c r="EO74" s="146">
        <f t="shared" si="166"/>
        <v>300.00000000001137</v>
      </c>
      <c r="EP74" s="146">
        <f>IF((RD[[#This Row],[33 kV_F7_Ex
Incomer5]]-DY73)*1000&lt;0,0,(RD[[#This Row],[33 kV_F7_Ex
Incomer5]]-DY73)*1000)</f>
        <v>163399.99999999997</v>
      </c>
      <c r="EQ74" s="146">
        <f>IF((RD[[#This Row],[33 kV_F7_Im
Incomer5]]-DZ73)*1000&lt;0,0,(RD[[#This Row],[33 kV_F7_Im
Incomer5]]-DZ73)*1000)</f>
        <v>500</v>
      </c>
      <c r="ER74" s="146">
        <f>IF((RD[[#This Row],[33 kV_Aux Trafo]]-EA73)*1000&lt;0,0,(RD[[#This Row],[33 kV_Aux Trafo]]-EA73)*1000)</f>
        <v>289.99999999999204</v>
      </c>
      <c r="ES74" s="158">
        <f>IF((RD[[#This Row],[33kV_OG1_Ex_]]-EB73)*1&lt;0,0,(RD[[#This Row],[33kV_OG1_Ex_]]-EB73)*1)</f>
        <v>627236</v>
      </c>
      <c r="ET74" s="146">
        <f>IF((RD[[#This Row],[33kV_OG1_Im]]-EC73)*1&lt;0,0,(RD[[#This Row],[33kV_OG1_Im]]-EC73)*1)</f>
        <v>2441.2160000000149</v>
      </c>
      <c r="EU74" s="146">
        <f>IF((RD[[#This Row],[132kV_TX1_EX]]-ED73)*720&lt;=0,"",(RD[[#This Row],[132kV_TX1_EX]]-ED73)*720)</f>
        <v>2160</v>
      </c>
      <c r="EV74" s="146">
        <f>IF((RD[[#This Row],[132 kV_Tx1_Im]]-EE73)*720&lt;=0,0,(RD[[#This Row],[132 kV_Tx1_Im]]-EE73)*720)</f>
        <v>449280</v>
      </c>
      <c r="EW74" s="146">
        <f>IF((RD[[#This Row],[132kV_L1_Ex]]-EF73)*720&lt;=0,0,(RD[[#This Row],[132kV_L1_Ex]]-EF73)*720)</f>
        <v>625175.99999999162</v>
      </c>
      <c r="EX74" s="146">
        <f>IF((RD[[#This Row],[132kV_L1_Im]]-EG73)*720&lt;=0,0,(RD[[#This Row],[132kV_L1_Im]]-EG73)*720)</f>
        <v>3023.999999999869</v>
      </c>
      <c r="EY74" s="244">
        <f>IFERROR(RD[[#This Row],[33kV_OG1_Ex (MWh)]]+RD[[#This Row],[33kV_OG1_Im (MWh)]],"")</f>
        <v>629677.21600000001</v>
      </c>
      <c r="EZ74" s="148">
        <f>RD[[#This Row],[33kV_OG1_Ex (MWh)]]-RD[[#This Row],[33kV_OG1_Im (MWh)]]</f>
        <v>624794.78399999999</v>
      </c>
      <c r="FA74" s="148">
        <f>IFERROR(RD[[#This Row],[132kV_L1_Ex(MWh)]]-RD[[#This Row],[132kV_L1_Im(MWh)]],"")</f>
        <v>622151.99999999173</v>
      </c>
      <c r="FB74" s="55">
        <f>IFERROR(RD[[#This Row],[33kV_Ex(MWh)]]/RD[[#This Row],[Inv Total Gneration (MWh)]]-1,"")</f>
        <v>-1.2250891390726326E-2</v>
      </c>
      <c r="FC74" s="245">
        <f>IFERROR((RD[[#This Row],[Sunset Time (POA&lt;20 W/m2)]]-RD[[#This Row],[Sunrise Time (POA&gt;20 W/m2)]])*24,0)</f>
        <v>12.483333333333334</v>
      </c>
      <c r="FD74" s="246">
        <v>122.7</v>
      </c>
      <c r="FE74" t="s">
        <v>293</v>
      </c>
      <c r="FG74" s="144" t="str">
        <f>IFERROR(RD[[#This Row],[E_AC (WPR)]]/RD[[#This Row],[E_DC (WPR)]],"")</f>
        <v/>
      </c>
    </row>
    <row r="75" spans="1:163">
      <c r="A75" s="133">
        <f t="shared" si="161"/>
        <v>45815</v>
      </c>
      <c r="B75" s="138">
        <f>YEAR(RD[[#This Row],[Date]])+IF(MONTH(RD[[#This Row],[Date]])&gt;=4,1,0)</f>
        <v>2026</v>
      </c>
      <c r="C75" s="138">
        <f>YEAR(RD[[#This Row],[Date]])</f>
        <v>2025</v>
      </c>
      <c r="D75" s="139">
        <f t="shared" si="165"/>
        <v>45809</v>
      </c>
      <c r="E75" s="138">
        <f>DAY(EOMONTH(RD[[#This Row],[Date]],0))</f>
        <v>30</v>
      </c>
      <c r="F75" s="152">
        <v>0.25208333333333333</v>
      </c>
      <c r="G75" s="162">
        <v>0.77708333333333335</v>
      </c>
      <c r="H75" s="124">
        <v>7710.6</v>
      </c>
      <c r="I75" s="270">
        <v>7646.2</v>
      </c>
      <c r="J75" s="124">
        <v>7228</v>
      </c>
      <c r="K75" s="124">
        <v>7291.9</v>
      </c>
      <c r="L75" s="124">
        <v>7515.8</v>
      </c>
      <c r="M75" s="124">
        <v>7762.1</v>
      </c>
      <c r="N75" s="124">
        <v>7533.9</v>
      </c>
      <c r="O75" s="124">
        <v>8116.7</v>
      </c>
      <c r="P75" s="124">
        <v>7661.1</v>
      </c>
      <c r="Q75" s="124">
        <v>7484.4</v>
      </c>
      <c r="R75" s="124">
        <v>7806.7</v>
      </c>
      <c r="S75" s="268">
        <v>7844.5</v>
      </c>
      <c r="T75" s="124">
        <v>8078.6</v>
      </c>
      <c r="U75" s="124">
        <v>7953.7</v>
      </c>
      <c r="V75" s="124">
        <v>7910.9</v>
      </c>
      <c r="W75" s="124">
        <v>7645.5</v>
      </c>
      <c r="X75" s="268">
        <v>10817.7</v>
      </c>
      <c r="Y75" s="203">
        <v>11916.2</v>
      </c>
      <c r="Z75" s="203">
        <v>10419.5</v>
      </c>
      <c r="AA75" s="203">
        <v>10878.3</v>
      </c>
      <c r="AB75" s="268">
        <v>11961.3</v>
      </c>
      <c r="AC75" s="203">
        <v>7275.2</v>
      </c>
      <c r="AD75" s="203">
        <v>11258.2</v>
      </c>
      <c r="AE75" s="203">
        <v>11448.1</v>
      </c>
      <c r="AF75" s="268">
        <v>11162.5</v>
      </c>
      <c r="AG75" s="203">
        <v>11140</v>
      </c>
      <c r="AH75" s="203">
        <v>11111</v>
      </c>
      <c r="AI75" s="268">
        <v>11186.3</v>
      </c>
      <c r="AJ75" s="203">
        <v>9284.6</v>
      </c>
      <c r="AK75" s="268">
        <v>9512</v>
      </c>
      <c r="AL75" s="203">
        <v>9312.5</v>
      </c>
      <c r="AM75" s="268">
        <v>9375.9</v>
      </c>
      <c r="AN75" s="203">
        <v>9334.7000000000007</v>
      </c>
      <c r="AO75" s="268">
        <v>9629</v>
      </c>
      <c r="AP75" s="203">
        <v>9467.4</v>
      </c>
      <c r="AQ75" s="268">
        <v>9335</v>
      </c>
      <c r="AR75" s="203">
        <v>7604</v>
      </c>
      <c r="AS75" s="268">
        <v>7648</v>
      </c>
      <c r="AT75" s="203">
        <v>7687.7</v>
      </c>
      <c r="AU75" s="268">
        <v>7627.7</v>
      </c>
      <c r="AV75" s="203">
        <v>7815.4</v>
      </c>
      <c r="AW75" s="203">
        <v>7688.9</v>
      </c>
      <c r="AX75" s="203">
        <v>10841.4</v>
      </c>
      <c r="AY75" s="203">
        <v>12169.9</v>
      </c>
      <c r="AZ75" s="203">
        <v>8766.7999999999993</v>
      </c>
      <c r="BA75" s="203">
        <v>10532.2</v>
      </c>
      <c r="BB75" s="203">
        <v>8686.7999999999993</v>
      </c>
      <c r="BC75" s="203">
        <v>8546.1</v>
      </c>
      <c r="BD75" s="203">
        <v>8885.1</v>
      </c>
      <c r="BE75" s="203">
        <v>9868.4</v>
      </c>
      <c r="BF75" s="203">
        <v>11380</v>
      </c>
      <c r="BG75" s="203">
        <v>11288</v>
      </c>
      <c r="BH75" s="203">
        <v>10444</v>
      </c>
      <c r="BI75" s="203">
        <v>10765</v>
      </c>
      <c r="BJ75" s="203">
        <v>8070</v>
      </c>
      <c r="BK75" s="203">
        <v>6176</v>
      </c>
      <c r="BL75" s="203">
        <v>7265</v>
      </c>
      <c r="BM75" s="203">
        <v>7566</v>
      </c>
      <c r="BN75" s="203">
        <v>8377</v>
      </c>
      <c r="BO75" s="203">
        <v>8035</v>
      </c>
      <c r="BP75" s="203">
        <v>8595</v>
      </c>
      <c r="BQ75" s="203">
        <v>8698</v>
      </c>
      <c r="BR75" s="203">
        <v>8400</v>
      </c>
      <c r="BS75" s="203">
        <v>8661.4</v>
      </c>
      <c r="BT75" s="203">
        <v>8331</v>
      </c>
      <c r="BU75" s="203">
        <v>8696.9</v>
      </c>
      <c r="BV75" s="203"/>
      <c r="BW75" s="203"/>
      <c r="BX75" s="203"/>
      <c r="BY75" s="203"/>
      <c r="BZ75" s="203">
        <v>1160</v>
      </c>
      <c r="CA75" s="203">
        <v>9570</v>
      </c>
      <c r="CB75" s="203">
        <v>3820</v>
      </c>
      <c r="CC75" s="203">
        <v>6870</v>
      </c>
      <c r="CD75" s="263">
        <v>5.7960502833333338</v>
      </c>
      <c r="CE75" s="263">
        <v>6.0680984166666674</v>
      </c>
      <c r="CF75" s="263">
        <v>6.1151253499999898</v>
      </c>
      <c r="CG75" s="263">
        <v>6.2708443000000038</v>
      </c>
      <c r="CH75" s="263">
        <v>0.76153498333333347</v>
      </c>
      <c r="CI75" s="263">
        <v>0.85667150000000047</v>
      </c>
      <c r="CJ75" s="263">
        <v>1.0290000666666672</v>
      </c>
      <c r="CK75" s="263">
        <v>0.95406794999999955</v>
      </c>
      <c r="CL75" s="263">
        <v>32.622713241267306</v>
      </c>
      <c r="CM75" s="263">
        <v>33.012502024291521</v>
      </c>
      <c r="CN75" s="263">
        <v>46.200777416734311</v>
      </c>
      <c r="CO75" s="263">
        <v>44.658548987854282</v>
      </c>
      <c r="CP75" s="263">
        <v>52.244955320877345</v>
      </c>
      <c r="CQ75" s="263">
        <v>52.379692307692288</v>
      </c>
      <c r="CR75" s="263">
        <v>0</v>
      </c>
      <c r="CS75" s="263">
        <v>0</v>
      </c>
      <c r="CT75" s="263">
        <v>1.4490779853777445</v>
      </c>
      <c r="CU75" s="263">
        <v>1.544555465587045</v>
      </c>
      <c r="CV75" s="263">
        <v>3.177</v>
      </c>
      <c r="CW75" s="263">
        <v>2.94</v>
      </c>
      <c r="CX75" s="204">
        <f>IFERROR(AVERAGEIF(RD[[#This Row],[IS1POA1 (KWh/m2)]:[IS7POA2 (KWh/m2)]],"&lt;&gt;0",RD[[#This Row],[IS1POA1 (KWh/m2)]:[IS7POA2 (KWh/m2)]]),"")</f>
        <v>5.9320743500000006</v>
      </c>
      <c r="CY75" s="204">
        <f>IFERROR(AVERAGEIF(RD[[#This Row],[IS1GHI1 (KWh/m2)]:[IS7GHI2 (KWh/m2)]],"&lt;&gt;0",RD[[#This Row],[IS1GHI1 (KWh/m2)]:[IS7GHI2 (KWh/m2)]]),"")</f>
        <v>6.1929848249999964</v>
      </c>
      <c r="CZ75" s="204">
        <f>IFERROR(AVERAGEIF(RD[[#This Row],[IS1POA_BS1 (KWh/m2)]:[IS7POA_BS2 (KWh/m2)]],"&lt;&gt;0",RD[[#This Row],[IS1POA_BS1 (KWh/m2)]:[IS7POA_BS2 (KWh/m2)]]),"")</f>
        <v>0.80910324166666703</v>
      </c>
      <c r="DA75" s="204">
        <f>IFERROR(AVERAGEIF(RD[[#This Row],[IS1GHI_BS1 (KWh/m2)]:[IS1GHI_BS1 (KWh/m2)2]],"&lt;&gt;0",RD[[#This Row],[IS1GHI_BS1 (KWh/m2)]:[IS1GHI_BS1 (KWh/m2)2]]),"")</f>
        <v>0.99153400833333338</v>
      </c>
      <c r="DB75" s="204">
        <f>IFERROR(AVERAGEIF(RD[[#This Row],[IS1AT1 (°C)]:[IS7AT2 (°C)]],"&lt;&gt;0",RD[[#This Row],[IS1AT1 (°C)]:[IS7AT2 (°C)]]),"")</f>
        <v>32.817607632779414</v>
      </c>
      <c r="DC75" s="204">
        <f>IFERROR(AVERAGEIF(RD[[#This Row],[IS1MT1 (°C)]:[IS7MT2 (°C)]],"&lt;&gt;0",RD[[#This Row],[IS1MT1 (°C)]:[IS7MT2 (°C)]]),"")</f>
        <v>45.429663202294293</v>
      </c>
      <c r="DD75" s="204">
        <f>IFERROR(AVERAGEIF(RD[[#This Row],[IS1RH1 (%)]:[IS7RH2 (%)]],"&lt;&gt;0",RD[[#This Row],[IS1RH1 (%)]:[IS7RH2 (%)]]),"")</f>
        <v>52.312323814284817</v>
      </c>
      <c r="DE75" s="51" t="str">
        <f>IFERROR(AVERAGEIF(RD[[#This Row],[IS1Rain1 (mm)]:[IS7Rain2 (mm)]],"&lt;&gt;0",RD[[#This Row],[IS1Rain1 (mm)]:[IS7Rain2 (mm)]]),"")</f>
        <v/>
      </c>
      <c r="DF75" s="204">
        <f>IFERROR(AVERAGEIF(RD[[#This Row],[WS_Solar1_Avg (m/s)]:[IS7_WS_Solar1_Avg (m/s)]],"&lt;&gt;0",RD[[#This Row],[WS_Solar1_Avg (m/s)]:[IS7_WS_Solar1_Avg (m/s)]]),"")</f>
        <v>1.4968167254823947</v>
      </c>
      <c r="DG75" s="204">
        <f>IFERROR(AVERAGEIF(RD[[#This Row],[WS_Solar1_Max (m/s)]:[IS7_WS_Solar1_Max (m/s)]],"&lt;&gt;0",RD[[#This Row],[WS_Solar1_Max (m/s)]:[IS7_WS_Solar1_Max (m/s)]]),"")</f>
        <v>3.0585</v>
      </c>
      <c r="DH75" s="204">
        <f>SUM(RD[[#This Row],[IS1Inv1M1]:[IS4Inv4M2]])</f>
        <v>253764.9</v>
      </c>
      <c r="DI75" s="205">
        <f>SUM(RD[[#This Row],[IS7Inv1M1]]+RD[[#This Row],[IS7Inv2M1]])</f>
        <v>15252</v>
      </c>
      <c r="DJ75" s="204">
        <f>SUM(RD[[#This Row],[IS5Inv1M1]:[IS5Inv2M2]])</f>
        <v>37485</v>
      </c>
      <c r="DK75" s="204">
        <f>SUM(RD[[#This Row],[IS8Inv1M1]:[IS9Inv2M2]])</f>
        <v>73130</v>
      </c>
      <c r="DL75" s="60">
        <f>SUM(RD[[#This Row],[IS6Inv1M1]:[IS6Inv2M2]])</f>
        <v>37766.1</v>
      </c>
      <c r="DM75" s="51">
        <f>SUM(RD[[#This Row],[IS10Inv1M1]:[IS11Inv1M4]],RD[[#This Row],[IS14Inv1M1]:[IS14Inv2M4]])</f>
        <v>130360.4</v>
      </c>
      <c r="DN75" s="288">
        <f>SUM(RD[[#This Row],[IS12Inv1M1]:[IS12Inv1M4]])</f>
        <v>33705</v>
      </c>
      <c r="DO75" s="288">
        <f>SUM(RD[[#This Row],[IS13Inv1M1]:[IS13Inv2M2]])</f>
        <v>34089.300000000003</v>
      </c>
      <c r="DP75" s="204">
        <f>SUM(RD[[#This Row],[O2R15]:[O2R26]])</f>
        <v>615552.70000000007</v>
      </c>
      <c r="DQ75" s="164">
        <v>42543.1</v>
      </c>
      <c r="DR75" s="168">
        <v>217.7</v>
      </c>
      <c r="DS75" s="164">
        <v>37012</v>
      </c>
      <c r="DT75" s="164">
        <v>230.2</v>
      </c>
      <c r="DU75" s="168">
        <v>43422.1</v>
      </c>
      <c r="DV75" s="168">
        <v>413.1</v>
      </c>
      <c r="DW75" s="164">
        <v>10220.5</v>
      </c>
      <c r="DX75" s="168">
        <v>50.6</v>
      </c>
      <c r="DY75" s="168">
        <v>988.2</v>
      </c>
      <c r="DZ75" s="168">
        <v>3.3</v>
      </c>
      <c r="EA75" s="140">
        <v>100.39</v>
      </c>
      <c r="EB75" s="243">
        <v>137675423</v>
      </c>
      <c r="EC75" s="242">
        <v>978373.696</v>
      </c>
      <c r="ED75" s="243">
        <v>1176</v>
      </c>
      <c r="EE75" s="243">
        <v>131926</v>
      </c>
      <c r="EF75" s="164">
        <v>190904.9</v>
      </c>
      <c r="EG75" s="164">
        <v>1906.3</v>
      </c>
      <c r="EH75" s="146">
        <f>IF((RD[[#This Row],[33 kV_F3_Ex
Incomer1]]-DQ74)*1000&lt;0,0,(RD[[#This Row],[33 kV_F3_Ex
Incomer1]]-DQ74)*1000)</f>
        <v>129599.99999999854</v>
      </c>
      <c r="EI75" s="146">
        <f>IF((RD[[#This Row],[34 kV_F3_Im
Incomer1]]-DR74)*1000&lt;0,0,(RD[[#This Row],[34 kV_F3_Im
Incomer1]]-DR74)*1000)</f>
        <v>399.99999999997726</v>
      </c>
      <c r="EJ75" s="146">
        <f>IF((RD[[#This Row],[33 kV_F4_Ex
Incomer2]]-DS74)*1000&lt;0,0,(RD[[#This Row],[33 kV_F4_Ex
Incomer2]]-DS74)*1000)</f>
        <v>120400.00000000146</v>
      </c>
      <c r="EK75" s="146">
        <f>IF((RD[[#This Row],[34 kV_F4_Im
Incomer2]]-DT74)*1000&lt;0,0,(RD[[#This Row],[34 kV_F4_Im
Incomer2]]-DT74)*1000)</f>
        <v>299.99999999998295</v>
      </c>
      <c r="EL75" s="146">
        <f>IF((RD[[#This Row],[33 kV_F5_Ex
Incomer3]]-DU74)*1000&lt;0,0,(RD[[#This Row],[33 kV_F5_Ex
Incomer3]]-DU74)*1000)</f>
        <v>161400.00000000146</v>
      </c>
      <c r="EM75" s="146">
        <f>IF((RD[[#This Row],[34 kV_F5_Im
Incomer3]]-DV74)*1000&lt;0,0,(RD[[#This Row],[34 kV_F5_Im
Incomer3]]-DV74)*1000)</f>
        <v>500</v>
      </c>
      <c r="EN75" s="146">
        <f>IF((RD[[#This Row],[33 kV_F6_Ex
Incomer4]]-DW74)*1000&lt;0,0,(RD[[#This Row],[33 kV_F6_Ex
Incomer4]]-DW74)*1000)</f>
        <v>14200.000000000728</v>
      </c>
      <c r="EO75" s="146">
        <f t="shared" si="166"/>
        <v>399.99999999997726</v>
      </c>
      <c r="EP75" s="146">
        <f>IF((RD[[#This Row],[33 kV_F7_Ex
Incomer5]]-DY74)*1000&lt;0,0,(RD[[#This Row],[33 kV_F7_Ex
Incomer5]]-DY74)*1000)</f>
        <v>145800.00000000006</v>
      </c>
      <c r="EQ75" s="146">
        <f>IF((RD[[#This Row],[33 kV_F7_Im
Incomer5]]-DZ74)*1000&lt;0,0,(RD[[#This Row],[33 kV_F7_Im
Incomer5]]-DZ74)*1000)</f>
        <v>399.99999999999989</v>
      </c>
      <c r="ER75" s="146">
        <f>IF((RD[[#This Row],[33 kV_Aux Trafo]]-EA74)*1000&lt;0,0,(RD[[#This Row],[33 kV_Aux Trafo]]-EA74)*1000)</f>
        <v>260.00000000000512</v>
      </c>
      <c r="ES75" s="158">
        <f>IF((RD[[#This Row],[33kV_OG1_Ex_]]-EB74)*1&lt;0,0,(RD[[#This Row],[33kV_OG1_Ex_]]-EB74)*1)</f>
        <v>592077</v>
      </c>
      <c r="ET75" s="146">
        <f>IF((RD[[#This Row],[33kV_OG1_Im]]-EC74)*1&lt;0,0,(RD[[#This Row],[33kV_OG1_Im]]-EC74)*1)</f>
        <v>1889.0239999999758</v>
      </c>
      <c r="EU75" s="146">
        <f>IF((RD[[#This Row],[132kV_TX1_EX]]-ED74)*720&lt;=0,"",(RD[[#This Row],[132kV_TX1_EX]]-ED74)*720)</f>
        <v>1440</v>
      </c>
      <c r="EV75" s="146">
        <f>IF((RD[[#This Row],[132 kV_Tx1_Im]]-EE74)*720&lt;=0,0,(RD[[#This Row],[132 kV_Tx1_Im]]-EE74)*720)</f>
        <v>424800</v>
      </c>
      <c r="EW75" s="146">
        <f>IF((RD[[#This Row],[132kV_L1_Ex]]-EF74)*720&lt;=0,0,(RD[[#This Row],[132kV_L1_Ex]]-EF74)*720)</f>
        <v>590112.00000000419</v>
      </c>
      <c r="EX75" s="146">
        <f>IF((RD[[#This Row],[132kV_L1_Im]]-EG74)*720&lt;=0,0,(RD[[#This Row],[132kV_L1_Im]]-EG74)*720)</f>
        <v>2304.0000000000327</v>
      </c>
      <c r="EY75" s="244">
        <f>IFERROR(RD[[#This Row],[33kV_OG1_Ex (MWh)]]+RD[[#This Row],[33kV_OG1_Im (MWh)]],"")</f>
        <v>593966.02399999998</v>
      </c>
      <c r="EZ75" s="148">
        <f>RD[[#This Row],[33kV_OG1_Ex (MWh)]]-RD[[#This Row],[33kV_OG1_Im (MWh)]]</f>
        <v>590187.97600000002</v>
      </c>
      <c r="FA75" s="148">
        <f>IFERROR(RD[[#This Row],[132kV_L1_Ex(MWh)]]-RD[[#This Row],[132kV_L1_Im(MWh)]],"")</f>
        <v>587808.00000000419</v>
      </c>
      <c r="FB75" s="55">
        <f>IFERROR(RD[[#This Row],[33kV_Ex(MWh)]]/RD[[#This Row],[Inv Total Gneration (MWh)]]-1,"")</f>
        <v>-3.5068769903860542E-2</v>
      </c>
      <c r="FC75" s="245">
        <f>IFERROR((RD[[#This Row],[Sunset Time (POA&lt;20 W/m2)]]-RD[[#This Row],[Sunrise Time (POA&gt;20 W/m2)]])*24,0)</f>
        <v>12.600000000000001</v>
      </c>
      <c r="FD75" s="246">
        <v>122.7</v>
      </c>
      <c r="FE75" t="s">
        <v>293</v>
      </c>
      <c r="FG75" s="144" t="str">
        <f>IFERROR(RD[[#This Row],[E_AC (WPR)]]/RD[[#This Row],[E_DC (WPR)]],"")</f>
        <v/>
      </c>
    </row>
    <row r="76" spans="1:163">
      <c r="A76" s="133">
        <f t="shared" si="161"/>
        <v>45816</v>
      </c>
      <c r="B76" s="138">
        <f>YEAR(RD[[#This Row],[Date]])+IF(MONTH(RD[[#This Row],[Date]])&gt;=4,1,0)</f>
        <v>2026</v>
      </c>
      <c r="C76" s="138">
        <f>YEAR(RD[[#This Row],[Date]])</f>
        <v>2025</v>
      </c>
      <c r="D76" s="139">
        <f t="shared" si="165"/>
        <v>45809</v>
      </c>
      <c r="E76" s="138">
        <f>DAY(EOMONTH(RD[[#This Row],[Date]],0))</f>
        <v>30</v>
      </c>
      <c r="F76" s="152">
        <v>0.25555555555555554</v>
      </c>
      <c r="G76" s="162">
        <v>0.78125</v>
      </c>
      <c r="H76" s="124">
        <v>8389.9</v>
      </c>
      <c r="I76" s="270">
        <v>8310</v>
      </c>
      <c r="J76" s="124">
        <v>7918.4</v>
      </c>
      <c r="K76" s="124">
        <v>7994.6</v>
      </c>
      <c r="L76" s="124">
        <v>8204.7999999999993</v>
      </c>
      <c r="M76" s="124">
        <v>8435.6</v>
      </c>
      <c r="N76" s="124">
        <v>8244.7000000000007</v>
      </c>
      <c r="O76" s="124">
        <v>8808</v>
      </c>
      <c r="P76" s="124">
        <v>8285.2000000000007</v>
      </c>
      <c r="Q76" s="124">
        <v>8135.1</v>
      </c>
      <c r="R76" s="124">
        <v>8407.5</v>
      </c>
      <c r="S76" s="268">
        <v>8421.2999999999993</v>
      </c>
      <c r="T76" s="124">
        <v>8666.5</v>
      </c>
      <c r="U76" s="124">
        <v>8414.6</v>
      </c>
      <c r="V76" s="124">
        <v>8535.7000000000007</v>
      </c>
      <c r="W76" s="124">
        <v>8323.9</v>
      </c>
      <c r="X76" s="268">
        <v>11615.2</v>
      </c>
      <c r="Y76" s="203">
        <v>12505.8</v>
      </c>
      <c r="Z76" s="203">
        <v>11333.6</v>
      </c>
      <c r="AA76" s="203">
        <v>11812.1</v>
      </c>
      <c r="AB76" s="268">
        <v>12216.1</v>
      </c>
      <c r="AC76" s="203">
        <v>7390</v>
      </c>
      <c r="AD76" s="203">
        <v>11510.8</v>
      </c>
      <c r="AE76" s="203">
        <v>11704</v>
      </c>
      <c r="AF76" s="268">
        <v>11504.9</v>
      </c>
      <c r="AG76" s="203">
        <v>11480.7</v>
      </c>
      <c r="AH76" s="203">
        <v>11476.9</v>
      </c>
      <c r="AI76" s="268">
        <v>11515.6</v>
      </c>
      <c r="AJ76" s="203">
        <v>9465.5</v>
      </c>
      <c r="AK76" s="268">
        <v>9695</v>
      </c>
      <c r="AL76" s="203">
        <v>9450.4</v>
      </c>
      <c r="AM76" s="268">
        <v>9512.4</v>
      </c>
      <c r="AN76" s="203">
        <v>9547.5</v>
      </c>
      <c r="AO76" s="268">
        <v>9870.6</v>
      </c>
      <c r="AP76" s="203">
        <v>9724.4</v>
      </c>
      <c r="AQ76" s="268">
        <v>9601.2000000000007</v>
      </c>
      <c r="AR76" s="203">
        <v>7846.6</v>
      </c>
      <c r="AS76" s="268">
        <v>7879.8</v>
      </c>
      <c r="AT76" s="203">
        <v>7842.4</v>
      </c>
      <c r="AU76" s="268">
        <v>7774.9</v>
      </c>
      <c r="AV76" s="203">
        <v>8025.5</v>
      </c>
      <c r="AW76" s="203">
        <v>7895.3</v>
      </c>
      <c r="AX76" s="203">
        <v>11175.8</v>
      </c>
      <c r="AY76" s="203">
        <v>12607.6</v>
      </c>
      <c r="AZ76" s="203">
        <v>9161.1</v>
      </c>
      <c r="BA76" s="203">
        <v>10995.6</v>
      </c>
      <c r="BB76" s="203">
        <v>9260.7999999999993</v>
      </c>
      <c r="BC76" s="203">
        <v>9087.9</v>
      </c>
      <c r="BD76" s="203">
        <v>9511.2999999999993</v>
      </c>
      <c r="BE76" s="203">
        <v>10687.8</v>
      </c>
      <c r="BF76" s="203">
        <v>11617</v>
      </c>
      <c r="BG76" s="203">
        <v>11512</v>
      </c>
      <c r="BH76" s="203">
        <v>11617</v>
      </c>
      <c r="BI76" s="203">
        <v>11513</v>
      </c>
      <c r="BJ76" s="203">
        <v>7807</v>
      </c>
      <c r="BK76" s="203">
        <v>6177.6</v>
      </c>
      <c r="BL76" s="203">
        <v>7112</v>
      </c>
      <c r="BM76" s="203">
        <v>7379.6</v>
      </c>
      <c r="BN76" s="203">
        <v>7930</v>
      </c>
      <c r="BO76" s="203">
        <v>7633</v>
      </c>
      <c r="BP76" s="203">
        <v>8226</v>
      </c>
      <c r="BQ76" s="203">
        <v>8227</v>
      </c>
      <c r="BR76" s="203">
        <v>8748</v>
      </c>
      <c r="BS76" s="203">
        <v>9000</v>
      </c>
      <c r="BT76" s="203">
        <v>8746</v>
      </c>
      <c r="BU76" s="203">
        <v>9103</v>
      </c>
      <c r="BV76" s="203"/>
      <c r="BW76" s="203"/>
      <c r="BX76" s="203"/>
      <c r="BY76" s="203"/>
      <c r="BZ76" s="203">
        <v>1216</v>
      </c>
      <c r="CA76" s="203">
        <v>1027</v>
      </c>
      <c r="CB76" s="203">
        <v>4716</v>
      </c>
      <c r="CC76" s="203">
        <v>7872</v>
      </c>
      <c r="CD76" s="263">
        <v>6.3824520500000075</v>
      </c>
      <c r="CE76" s="263">
        <v>6.2693425333333401</v>
      </c>
      <c r="CF76" s="263">
        <v>6.7276600666666715</v>
      </c>
      <c r="CG76" s="263">
        <v>6.4908055666666664</v>
      </c>
      <c r="CH76" s="263">
        <v>0.82117579999999835</v>
      </c>
      <c r="CI76" s="263">
        <v>0.88600540000000094</v>
      </c>
      <c r="CJ76" s="263">
        <v>1.1290253333333349</v>
      </c>
      <c r="CK76" s="263">
        <v>0.99116720000000058</v>
      </c>
      <c r="CL76" s="263">
        <v>32.673647441104798</v>
      </c>
      <c r="CM76" s="263">
        <v>33.067915652879144</v>
      </c>
      <c r="CN76" s="263">
        <v>46.481671811535371</v>
      </c>
      <c r="CO76" s="263">
        <v>44.290671532846808</v>
      </c>
      <c r="CP76" s="263">
        <v>54.234979691307878</v>
      </c>
      <c r="CQ76" s="263">
        <v>54.371492295214985</v>
      </c>
      <c r="CR76" s="263">
        <v>0</v>
      </c>
      <c r="CS76" s="263">
        <v>0</v>
      </c>
      <c r="CT76" s="263">
        <v>1.8531080422420818</v>
      </c>
      <c r="CU76" s="263">
        <v>1.9370413625304108</v>
      </c>
      <c r="CV76" s="263">
        <v>3.2610000000000001</v>
      </c>
      <c r="CW76" s="263">
        <v>3.6150000000000002</v>
      </c>
      <c r="CX76" s="204">
        <f>IFERROR(AVERAGEIF(RD[[#This Row],[IS1POA1 (KWh/m2)]:[IS7POA2 (KWh/m2)]],"&lt;&gt;0",RD[[#This Row],[IS1POA1 (KWh/m2)]:[IS7POA2 (KWh/m2)]]),"")</f>
        <v>6.3258972916666742</v>
      </c>
      <c r="CY76" s="204">
        <f>IFERROR(AVERAGEIF(RD[[#This Row],[IS1GHI1 (KWh/m2)]:[IS7GHI2 (KWh/m2)]],"&lt;&gt;0",RD[[#This Row],[IS1GHI1 (KWh/m2)]:[IS7GHI2 (KWh/m2)]]),"")</f>
        <v>6.609232816666669</v>
      </c>
      <c r="CZ76" s="204">
        <f>IFERROR(AVERAGEIF(RD[[#This Row],[IS1POA_BS1 (KWh/m2)]:[IS7POA_BS2 (KWh/m2)]],"&lt;&gt;0",RD[[#This Row],[IS1POA_BS1 (KWh/m2)]:[IS7POA_BS2 (KWh/m2)]]),"")</f>
        <v>0.85359059999999964</v>
      </c>
      <c r="DA76" s="204">
        <f>IFERROR(AVERAGEIF(RD[[#This Row],[IS1GHI_BS1 (KWh/m2)]:[IS1GHI_BS1 (KWh/m2)2]],"&lt;&gt;0",RD[[#This Row],[IS1GHI_BS1 (KWh/m2)]:[IS1GHI_BS1 (KWh/m2)2]]),"")</f>
        <v>1.0600962666666678</v>
      </c>
      <c r="DB76" s="204">
        <f>IFERROR(AVERAGEIF(RD[[#This Row],[IS1AT1 (°C)]:[IS7AT2 (°C)]],"&lt;&gt;0",RD[[#This Row],[IS1AT1 (°C)]:[IS7AT2 (°C)]]),"")</f>
        <v>32.870781546991971</v>
      </c>
      <c r="DC76" s="204">
        <f>IFERROR(AVERAGEIF(RD[[#This Row],[IS1MT1 (°C)]:[IS7MT2 (°C)]],"&lt;&gt;0",RD[[#This Row],[IS1MT1 (°C)]:[IS7MT2 (°C)]]),"")</f>
        <v>45.386171672191089</v>
      </c>
      <c r="DD76" s="204">
        <f>IFERROR(AVERAGEIF(RD[[#This Row],[IS1RH1 (%)]:[IS7RH2 (%)]],"&lt;&gt;0",RD[[#This Row],[IS1RH1 (%)]:[IS7RH2 (%)]]),"")</f>
        <v>54.303235993261431</v>
      </c>
      <c r="DE76" s="51" t="str">
        <f>IFERROR(AVERAGEIF(RD[[#This Row],[IS1Rain1 (mm)]:[IS7Rain2 (mm)]],"&lt;&gt;0",RD[[#This Row],[IS1Rain1 (mm)]:[IS7Rain2 (mm)]]),"")</f>
        <v/>
      </c>
      <c r="DF76" s="204">
        <f>IFERROR(AVERAGEIF(RD[[#This Row],[WS_Solar1_Avg (m/s)]:[IS7_WS_Solar1_Avg (m/s)]],"&lt;&gt;0",RD[[#This Row],[WS_Solar1_Avg (m/s)]:[IS7_WS_Solar1_Avg (m/s)]]),"")</f>
        <v>1.8950747023862462</v>
      </c>
      <c r="DG76" s="204">
        <f>IFERROR(AVERAGEIF(RD[[#This Row],[WS_Solar1_Max (m/s)]:[IS7_WS_Solar1_Max (m/s)]],"&lt;&gt;0",RD[[#This Row],[WS_Solar1_Max (m/s)]:[IS7_WS_Solar1_Max (m/s)]]),"")</f>
        <v>3.4380000000000002</v>
      </c>
      <c r="DH76" s="204">
        <f>SUM(RD[[#This Row],[IS1Inv1M1]:[IS4Inv4M2]])</f>
        <v>269561.5</v>
      </c>
      <c r="DI76" s="205">
        <f>SUM(RD[[#This Row],[IS7Inv1M1]]+RD[[#This Row],[IS7Inv2M1]])</f>
        <v>15726.400000000001</v>
      </c>
      <c r="DJ76" s="204">
        <f>SUM(RD[[#This Row],[IS5Inv1M1]:[IS5Inv2M2]])</f>
        <v>38123.300000000003</v>
      </c>
      <c r="DK76" s="204">
        <f>SUM(RD[[#This Row],[IS8Inv1M1]:[IS9Inv2M2]])</f>
        <v>75478.2</v>
      </c>
      <c r="DL76" s="60">
        <f>SUM(RD[[#This Row],[IS6Inv1M1]:[IS6Inv2M2]])</f>
        <v>38743.699999999997</v>
      </c>
      <c r="DM76" s="51">
        <f>SUM(RD[[#This Row],[IS10Inv1M1]:[IS11Inv1M4]],RD[[#This Row],[IS14Inv1M1]:[IS14Inv2M4]])</f>
        <v>128114</v>
      </c>
      <c r="DN76" s="288">
        <f>SUM(RD[[#This Row],[IS12Inv1M1]:[IS12Inv1M4]])</f>
        <v>32016</v>
      </c>
      <c r="DO76" s="288">
        <f>SUM(RD[[#This Row],[IS13Inv1M1]:[IS13Inv2M2]])</f>
        <v>35597</v>
      </c>
      <c r="DP76" s="204">
        <f>SUM(RD[[#This Row],[O2R15]:[O2R26]])</f>
        <v>633360.10000000009</v>
      </c>
      <c r="DQ76" s="164">
        <v>42678.1</v>
      </c>
      <c r="DR76" s="168">
        <v>218</v>
      </c>
      <c r="DS76" s="164">
        <v>37141.800000000003</v>
      </c>
      <c r="DT76" s="164">
        <v>230.6</v>
      </c>
      <c r="DU76" s="168">
        <v>43587.9</v>
      </c>
      <c r="DV76" s="168">
        <v>413.7</v>
      </c>
      <c r="DW76" s="164">
        <v>10235.200000000001</v>
      </c>
      <c r="DX76" s="168">
        <v>50.8</v>
      </c>
      <c r="DY76" s="168">
        <v>1141.9000000000001</v>
      </c>
      <c r="DZ76" s="168">
        <v>3.7</v>
      </c>
      <c r="EA76" s="140">
        <v>100.68</v>
      </c>
      <c r="EB76" s="243">
        <v>138298261</v>
      </c>
      <c r="EC76" s="242">
        <v>980442.88</v>
      </c>
      <c r="ED76" s="243">
        <v>1178</v>
      </c>
      <c r="EE76" s="243">
        <v>132546</v>
      </c>
      <c r="EF76" s="164">
        <v>191767.1</v>
      </c>
      <c r="EG76" s="164">
        <v>1909.9</v>
      </c>
      <c r="EH76" s="146">
        <f>IF((RD[[#This Row],[33 kV_F3_Ex
Incomer1]]-DQ75)*1000&lt;0,0,(RD[[#This Row],[33 kV_F3_Ex
Incomer1]]-DQ75)*1000)</f>
        <v>135000</v>
      </c>
      <c r="EI76" s="146">
        <f>IF((RD[[#This Row],[34 kV_F3_Im
Incomer1]]-DR75)*1000&lt;0,0,(RD[[#This Row],[34 kV_F3_Im
Incomer1]]-DR75)*1000)</f>
        <v>300.00000000001137</v>
      </c>
      <c r="EJ76" s="146">
        <f>IF((RD[[#This Row],[33 kV_F4_Ex
Incomer2]]-DS75)*1000&lt;0,0,(RD[[#This Row],[33 kV_F4_Ex
Incomer2]]-DS75)*1000)</f>
        <v>129800.00000000291</v>
      </c>
      <c r="EK76" s="146">
        <f>IF((RD[[#This Row],[34 kV_F4_Im
Incomer2]]-DT75)*1000&lt;0,0,(RD[[#This Row],[34 kV_F4_Im
Incomer2]]-DT75)*1000)</f>
        <v>400.00000000000568</v>
      </c>
      <c r="EL76" s="146">
        <f>IF((RD[[#This Row],[33 kV_F5_Ex
Incomer3]]-DU75)*1000&lt;0,0,(RD[[#This Row],[33 kV_F5_Ex
Incomer3]]-DU75)*1000)</f>
        <v>165800.00000000291</v>
      </c>
      <c r="EM76" s="146">
        <f>IF((RD[[#This Row],[34 kV_F5_Im
Incomer3]]-DV75)*1000&lt;0,0,(RD[[#This Row],[34 kV_F5_Im
Incomer3]]-DV75)*1000)</f>
        <v>599.99999999996589</v>
      </c>
      <c r="EN76" s="146">
        <f>IF((RD[[#This Row],[33 kV_F6_Ex
Incomer4]]-DW75)*1000&lt;0,0,(RD[[#This Row],[33 kV_F6_Ex
Incomer4]]-DW75)*1000)</f>
        <v>14700.000000000728</v>
      </c>
      <c r="EO76" s="146">
        <f t="shared" si="166"/>
        <v>300.00000000001137</v>
      </c>
      <c r="EP76" s="146">
        <f>IF((RD[[#This Row],[33 kV_F7_Ex
Incomer5]]-DY75)*1000&lt;0,0,(RD[[#This Row],[33 kV_F7_Ex
Incomer5]]-DY75)*1000)</f>
        <v>153700.00000000006</v>
      </c>
      <c r="EQ76" s="146">
        <f>IF((RD[[#This Row],[33 kV_F7_Im
Incomer5]]-DZ75)*1000&lt;0,0,(RD[[#This Row],[33 kV_F7_Im
Incomer5]]-DZ75)*1000)</f>
        <v>400.00000000000034</v>
      </c>
      <c r="ER76" s="146">
        <f>IF((RD[[#This Row],[33 kV_Aux Trafo]]-EA75)*1000&lt;0,0,(RD[[#This Row],[33 kV_Aux Trafo]]-EA75)*1000)</f>
        <v>290.00000000000625</v>
      </c>
      <c r="ES76" s="158">
        <f>IF((RD[[#This Row],[33kV_OG1_Ex_]]-EB75)*1&lt;0,0,(RD[[#This Row],[33kV_OG1_Ex_]]-EB75)*1)</f>
        <v>622838</v>
      </c>
      <c r="ET76" s="146">
        <f>IF((RD[[#This Row],[33kV_OG1_Im]]-EC75)*1&lt;0,0,(RD[[#This Row],[33kV_OG1_Im]]-EC75)*1)</f>
        <v>2069.1840000000084</v>
      </c>
      <c r="EU76" s="146">
        <f>IF((RD[[#This Row],[132kV_TX1_EX]]-ED75)*720&lt;=0,"",(RD[[#This Row],[132kV_TX1_EX]]-ED75)*720)</f>
        <v>1440</v>
      </c>
      <c r="EV76" s="146">
        <f>IF((RD[[#This Row],[132 kV_Tx1_Im]]-EE75)*720&lt;=0,0,(RD[[#This Row],[132 kV_Tx1_Im]]-EE75)*720)</f>
        <v>446400</v>
      </c>
      <c r="EW76" s="146">
        <f>IF((RD[[#This Row],[132kV_L1_Ex]]-EF75)*720&lt;=0,0,(RD[[#This Row],[132kV_L1_Ex]]-EF75)*720)</f>
        <v>620784.00000000838</v>
      </c>
      <c r="EX76" s="146">
        <f>IF((RD[[#This Row],[132kV_L1_Im]]-EG75)*720&lt;=0,0,(RD[[#This Row],[132kV_L1_Im]]-EG75)*720)</f>
        <v>2592.0000000000982</v>
      </c>
      <c r="EY76" s="244">
        <f>IFERROR(RD[[#This Row],[33kV_OG1_Ex (MWh)]]+RD[[#This Row],[33kV_OG1_Im (MWh)]],"")</f>
        <v>624907.18400000001</v>
      </c>
      <c r="EZ76" s="148">
        <f>RD[[#This Row],[33kV_OG1_Ex (MWh)]]-RD[[#This Row],[33kV_OG1_Im (MWh)]]</f>
        <v>620768.81599999999</v>
      </c>
      <c r="FA76" s="148">
        <f>IFERROR(RD[[#This Row],[132kV_L1_Ex(MWh)]]-RD[[#This Row],[132kV_L1_Im(MWh)]],"")</f>
        <v>618192.00000000827</v>
      </c>
      <c r="FB76" s="55">
        <f>IFERROR(RD[[#This Row],[33kV_Ex(MWh)]]/RD[[#This Row],[Inv Total Gneration (MWh)]]-1,"")</f>
        <v>-1.3346145423433042E-2</v>
      </c>
      <c r="FC76" s="245">
        <f>IFERROR((RD[[#This Row],[Sunset Time (POA&lt;20 W/m2)]]-RD[[#This Row],[Sunrise Time (POA&gt;20 W/m2)]])*24,0)</f>
        <v>12.616666666666667</v>
      </c>
      <c r="FD76" s="246">
        <v>122.7</v>
      </c>
      <c r="FE76" t="s">
        <v>293</v>
      </c>
      <c r="FG76" s="144" t="str">
        <f>IFERROR(RD[[#This Row],[E_AC (WPR)]]/RD[[#This Row],[E_DC (WPR)]],"")</f>
        <v/>
      </c>
    </row>
    <row r="77" spans="1:163">
      <c r="A77" s="133">
        <f t="shared" si="161"/>
        <v>45817</v>
      </c>
      <c r="B77" s="138">
        <f>YEAR(RD[[#This Row],[Date]])+IF(MONTH(RD[[#This Row],[Date]])&gt;=4,1,0)</f>
        <v>2026</v>
      </c>
      <c r="C77" s="138">
        <f>YEAR(RD[[#This Row],[Date]])</f>
        <v>2025</v>
      </c>
      <c r="D77" s="139">
        <f t="shared" si="165"/>
        <v>45809</v>
      </c>
      <c r="E77" s="138">
        <f>DAY(EOMONTH(RD[[#This Row],[Date]],0))</f>
        <v>30</v>
      </c>
      <c r="F77" s="152">
        <v>0.25138888888888888</v>
      </c>
      <c r="G77" s="162">
        <v>0.78263888888888888</v>
      </c>
      <c r="H77" s="124">
        <v>8870.7999999999993</v>
      </c>
      <c r="I77" s="270">
        <v>8753.2999999999993</v>
      </c>
      <c r="J77" s="124">
        <v>8254.2000000000007</v>
      </c>
      <c r="K77" s="124">
        <v>8285.7000000000007</v>
      </c>
      <c r="L77" s="124">
        <v>8527.2000000000007</v>
      </c>
      <c r="M77" s="124">
        <v>8844.4</v>
      </c>
      <c r="N77" s="124">
        <v>8591.9</v>
      </c>
      <c r="O77" s="124">
        <v>9311.5</v>
      </c>
      <c r="P77" s="124">
        <v>8673.4</v>
      </c>
      <c r="Q77" s="124">
        <v>8496.2000000000007</v>
      </c>
      <c r="R77" s="124">
        <v>8818.7999999999993</v>
      </c>
      <c r="S77" s="268">
        <v>8806.2999999999993</v>
      </c>
      <c r="T77" s="124">
        <v>9098.5</v>
      </c>
      <c r="U77" s="124">
        <v>8844</v>
      </c>
      <c r="V77" s="124">
        <v>8980.7999999999993</v>
      </c>
      <c r="W77" s="124">
        <v>8674.1</v>
      </c>
      <c r="X77" s="268">
        <v>12087</v>
      </c>
      <c r="Y77" s="203">
        <v>13147.5</v>
      </c>
      <c r="Z77" s="203">
        <v>11759.5</v>
      </c>
      <c r="AA77" s="203">
        <v>12304.4</v>
      </c>
      <c r="AB77" s="268">
        <v>13076</v>
      </c>
      <c r="AC77" s="203">
        <v>7828.1</v>
      </c>
      <c r="AD77" s="203">
        <v>12161.6</v>
      </c>
      <c r="AE77" s="203">
        <v>12308.8</v>
      </c>
      <c r="AF77" s="268">
        <v>12132.8</v>
      </c>
      <c r="AG77" s="203">
        <v>12101.5</v>
      </c>
      <c r="AH77" s="203">
        <v>12106.5</v>
      </c>
      <c r="AI77" s="268">
        <v>12133.1</v>
      </c>
      <c r="AJ77" s="203">
        <v>9797</v>
      </c>
      <c r="AK77" s="268">
        <v>10039.6</v>
      </c>
      <c r="AL77" s="203">
        <v>9872.6</v>
      </c>
      <c r="AM77" s="268">
        <v>9954.2999999999993</v>
      </c>
      <c r="AN77" s="203">
        <v>9910.7999999999993</v>
      </c>
      <c r="AO77" s="268">
        <v>10259.4</v>
      </c>
      <c r="AP77" s="203">
        <v>10078</v>
      </c>
      <c r="AQ77" s="268">
        <v>9952.2999999999993</v>
      </c>
      <c r="AR77" s="203">
        <v>8150.8</v>
      </c>
      <c r="AS77" s="268">
        <v>8194.2999999999993</v>
      </c>
      <c r="AT77" s="203">
        <v>8179</v>
      </c>
      <c r="AU77" s="268">
        <v>8117.4</v>
      </c>
      <c r="AV77" s="203">
        <v>8352.7999999999993</v>
      </c>
      <c r="AW77" s="203">
        <v>8223.9</v>
      </c>
      <c r="AX77" s="203">
        <v>11562.6</v>
      </c>
      <c r="AY77" s="203">
        <v>12940.5</v>
      </c>
      <c r="AZ77" s="203">
        <v>9393</v>
      </c>
      <c r="BA77" s="203">
        <v>11331.1</v>
      </c>
      <c r="BB77" s="203">
        <v>9708</v>
      </c>
      <c r="BC77" s="203">
        <v>9467</v>
      </c>
      <c r="BD77" s="203">
        <v>9678.7000000000007</v>
      </c>
      <c r="BE77" s="203">
        <v>10911</v>
      </c>
      <c r="BF77" s="203">
        <v>11882.7</v>
      </c>
      <c r="BG77" s="203">
        <v>11956</v>
      </c>
      <c r="BH77" s="203">
        <v>11746</v>
      </c>
      <c r="BI77" s="203">
        <v>12063</v>
      </c>
      <c r="BJ77" s="203">
        <v>8066</v>
      </c>
      <c r="BK77" s="203">
        <v>6370</v>
      </c>
      <c r="BL77" s="203">
        <v>7534</v>
      </c>
      <c r="BM77" s="203">
        <v>7643</v>
      </c>
      <c r="BN77" s="203">
        <v>8066</v>
      </c>
      <c r="BO77" s="203">
        <v>6370</v>
      </c>
      <c r="BP77" s="203">
        <v>7534</v>
      </c>
      <c r="BQ77" s="203">
        <v>7643</v>
      </c>
      <c r="BR77" s="203">
        <v>9121</v>
      </c>
      <c r="BS77" s="203">
        <v>9387</v>
      </c>
      <c r="BT77" s="203">
        <v>9151</v>
      </c>
      <c r="BU77" s="203">
        <v>9519</v>
      </c>
      <c r="BV77" s="203"/>
      <c r="BW77" s="203"/>
      <c r="BX77" s="203"/>
      <c r="BY77" s="203"/>
      <c r="BZ77" s="203">
        <v>1288</v>
      </c>
      <c r="CA77" s="203">
        <v>1090</v>
      </c>
      <c r="CB77" s="203">
        <v>4975</v>
      </c>
      <c r="CC77" s="203">
        <v>8261</v>
      </c>
      <c r="CD77" s="263">
        <v>7.1267390333333331</v>
      </c>
      <c r="CE77" s="263">
        <v>6.523469300000003</v>
      </c>
      <c r="CF77" s="263">
        <v>6.9949185499999986</v>
      </c>
      <c r="CG77" s="263">
        <v>6.7713917333333349</v>
      </c>
      <c r="CH77" s="263">
        <v>0.84054511666666565</v>
      </c>
      <c r="CI77" s="263">
        <v>0.94987036666666769</v>
      </c>
      <c r="CJ77" s="263">
        <v>1.1921985666666675</v>
      </c>
      <c r="CK77" s="263">
        <v>1.0488072333333338</v>
      </c>
      <c r="CL77" s="263">
        <v>32.965233128834363</v>
      </c>
      <c r="CM77" s="263">
        <v>33.285543644716697</v>
      </c>
      <c r="CN77" s="263">
        <v>46.295125000000041</v>
      </c>
      <c r="CO77" s="263">
        <v>44.045260336906615</v>
      </c>
      <c r="CP77" s="263">
        <v>53.459170245398688</v>
      </c>
      <c r="CQ77" s="263">
        <v>53.854471669219024</v>
      </c>
      <c r="CR77" s="263">
        <v>0</v>
      </c>
      <c r="CS77" s="263">
        <v>0</v>
      </c>
      <c r="CT77" s="263">
        <v>2.3182047546012212</v>
      </c>
      <c r="CU77" s="263">
        <v>2.4537220520673788</v>
      </c>
      <c r="CV77" s="263">
        <v>4.0469999999999997</v>
      </c>
      <c r="CW77" s="263">
        <v>4.4429999999999996</v>
      </c>
      <c r="CX77" s="204">
        <f>IFERROR(AVERAGEIF(RD[[#This Row],[IS1POA1 (KWh/m2)]:[IS7POA2 (KWh/m2)]],"&lt;&gt;0",RD[[#This Row],[IS1POA1 (KWh/m2)]:[IS7POA2 (KWh/m2)]]),"")</f>
        <v>6.8251041666666676</v>
      </c>
      <c r="CY77" s="204">
        <f>IFERROR(AVERAGEIF(RD[[#This Row],[IS1GHI1 (KWh/m2)]:[IS7GHI2 (KWh/m2)]],"&lt;&gt;0",RD[[#This Row],[IS1GHI1 (KWh/m2)]:[IS7GHI2 (KWh/m2)]]),"")</f>
        <v>6.8831551416666663</v>
      </c>
      <c r="CZ77" s="204">
        <f>IFERROR(AVERAGEIF(RD[[#This Row],[IS1POA_BS1 (KWh/m2)]:[IS7POA_BS2 (KWh/m2)]],"&lt;&gt;0",RD[[#This Row],[IS1POA_BS1 (KWh/m2)]:[IS7POA_BS2 (KWh/m2)]]),"")</f>
        <v>0.89520774166666661</v>
      </c>
      <c r="DA77" s="204">
        <f>IFERROR(AVERAGEIF(RD[[#This Row],[IS1GHI_BS1 (KWh/m2)]:[IS1GHI_BS1 (KWh/m2)2]],"&lt;&gt;0",RD[[#This Row],[IS1GHI_BS1 (KWh/m2)]:[IS1GHI_BS1 (KWh/m2)2]]),"")</f>
        <v>1.1205029000000006</v>
      </c>
      <c r="DB77" s="204">
        <f>IFERROR(AVERAGEIF(RD[[#This Row],[IS1AT1 (°C)]:[IS7AT2 (°C)]],"&lt;&gt;0",RD[[#This Row],[IS1AT1 (°C)]:[IS7AT2 (°C)]]),"")</f>
        <v>33.125388386775526</v>
      </c>
      <c r="DC77" s="204">
        <f>IFERROR(AVERAGEIF(RD[[#This Row],[IS1MT1 (°C)]:[IS7MT2 (°C)]],"&lt;&gt;0",RD[[#This Row],[IS1MT1 (°C)]:[IS7MT2 (°C)]]),"")</f>
        <v>45.170192668453325</v>
      </c>
      <c r="DD77" s="204">
        <f>IFERROR(AVERAGEIF(RD[[#This Row],[IS1RH1 (%)]:[IS7RH2 (%)]],"&lt;&gt;0",RD[[#This Row],[IS1RH1 (%)]:[IS7RH2 (%)]]),"")</f>
        <v>53.656820957308852</v>
      </c>
      <c r="DE77" s="51" t="str">
        <f>IFERROR(AVERAGEIF(RD[[#This Row],[IS1Rain1 (mm)]:[IS7Rain2 (mm)]],"&lt;&gt;0",RD[[#This Row],[IS1Rain1 (mm)]:[IS7Rain2 (mm)]]),"")</f>
        <v/>
      </c>
      <c r="DF77" s="204">
        <f>IFERROR(AVERAGEIF(RD[[#This Row],[WS_Solar1_Avg (m/s)]:[IS7_WS_Solar1_Avg (m/s)]],"&lt;&gt;0",RD[[#This Row],[WS_Solar1_Avg (m/s)]:[IS7_WS_Solar1_Avg (m/s)]]),"")</f>
        <v>2.3859634033343</v>
      </c>
      <c r="DG77" s="204">
        <f>IFERROR(AVERAGEIF(RD[[#This Row],[WS_Solar1_Max (m/s)]:[IS7_WS_Solar1_Max (m/s)]],"&lt;&gt;0",RD[[#This Row],[WS_Solar1_Max (m/s)]:[IS7_WS_Solar1_Max (m/s)]]),"")</f>
        <v>4.2449999999999992</v>
      </c>
      <c r="DH77" s="204">
        <f>SUM(RD[[#This Row],[IS1Inv1M1]:[IS4Inv4M2]])</f>
        <v>282977.89999999997</v>
      </c>
      <c r="DI77" s="205">
        <f>SUM(RD[[#This Row],[IS7Inv1M1]]+RD[[#This Row],[IS7Inv2M1]])</f>
        <v>16345.099999999999</v>
      </c>
      <c r="DJ77" s="204">
        <f>SUM(RD[[#This Row],[IS5Inv1M1]:[IS5Inv2M2]])</f>
        <v>39663.5</v>
      </c>
      <c r="DK77" s="204">
        <f>SUM(RD[[#This Row],[IS8Inv1M1]:[IS9Inv2M2]])</f>
        <v>78100.3</v>
      </c>
      <c r="DL77" s="60">
        <f>SUM(RD[[#This Row],[IS6Inv1M1]:[IS6Inv2M2]])</f>
        <v>40200.5</v>
      </c>
      <c r="DM77" s="51">
        <f>SUM(RD[[#This Row],[IS10Inv1M1]:[IS11Inv1M4]],RD[[#This Row],[IS14Inv1M1]:[IS14Inv2M4]])</f>
        <v>132639.4</v>
      </c>
      <c r="DN77" s="288">
        <f>SUM(RD[[#This Row],[IS12Inv1M1]:[IS12Inv1M4]])</f>
        <v>29613</v>
      </c>
      <c r="DO77" s="288">
        <f>SUM(RD[[#This Row],[IS13Inv1M1]:[IS13Inv2M2]])</f>
        <v>37178</v>
      </c>
      <c r="DP77" s="204">
        <f>SUM(RD[[#This Row],[O2R15]:[O2R26]])</f>
        <v>656717.69999999995</v>
      </c>
      <c r="DQ77" s="164">
        <v>42820.2</v>
      </c>
      <c r="DR77" s="168">
        <v>218.4</v>
      </c>
      <c r="DS77" s="164">
        <v>37277.800000000003</v>
      </c>
      <c r="DT77" s="164">
        <v>231</v>
      </c>
      <c r="DU77" s="168">
        <v>43759.8</v>
      </c>
      <c r="DV77" s="168">
        <v>414.5</v>
      </c>
      <c r="DW77" s="164">
        <v>10250.6</v>
      </c>
      <c r="DX77" s="168">
        <v>50.9</v>
      </c>
      <c r="DY77" s="168">
        <v>1301.5</v>
      </c>
      <c r="DZ77" s="168">
        <v>4.0999999999999996</v>
      </c>
      <c r="EA77" s="140">
        <v>100.99</v>
      </c>
      <c r="EB77" s="243">
        <v>138947952</v>
      </c>
      <c r="EC77" s="242">
        <v>982710.4</v>
      </c>
      <c r="ED77" s="243">
        <v>1181</v>
      </c>
      <c r="EE77" s="243">
        <v>133193</v>
      </c>
      <c r="EF77" s="164">
        <v>192666.4</v>
      </c>
      <c r="EG77" s="164">
        <v>1913.8</v>
      </c>
      <c r="EH77" s="146">
        <f>IF((RD[[#This Row],[33 kV_F3_Ex
Incomer1]]-DQ76)*1000&lt;0,0,(RD[[#This Row],[33 kV_F3_Ex
Incomer1]]-DQ76)*1000)</f>
        <v>142099.99999999854</v>
      </c>
      <c r="EI77" s="146">
        <f>IF((RD[[#This Row],[34 kV_F3_Im
Incomer1]]-DR76)*1000&lt;0,0,(RD[[#This Row],[34 kV_F3_Im
Incomer1]]-DR76)*1000)</f>
        <v>400.00000000000568</v>
      </c>
      <c r="EJ77" s="146">
        <f>IF((RD[[#This Row],[33 kV_F4_Ex
Incomer2]]-DS76)*1000&lt;0,0,(RD[[#This Row],[33 kV_F4_Ex
Incomer2]]-DS76)*1000)</f>
        <v>136000</v>
      </c>
      <c r="EK77" s="146">
        <f>IF((RD[[#This Row],[34 kV_F4_Im
Incomer2]]-DT76)*1000&lt;0,0,(RD[[#This Row],[34 kV_F4_Im
Incomer2]]-DT76)*1000)</f>
        <v>400.00000000000568</v>
      </c>
      <c r="EL77" s="146">
        <f>IF((RD[[#This Row],[33 kV_F5_Ex
Incomer3]]-DU76)*1000&lt;0,0,(RD[[#This Row],[33 kV_F5_Ex
Incomer3]]-DU76)*1000)</f>
        <v>171900.00000000146</v>
      </c>
      <c r="EM77" s="146">
        <f>IF((RD[[#This Row],[34 kV_F5_Im
Incomer3]]-DV76)*1000&lt;0,0,(RD[[#This Row],[34 kV_F5_Im
Incomer3]]-DV76)*1000)</f>
        <v>800.00000000001137</v>
      </c>
      <c r="EN77" s="146">
        <f>IF((RD[[#This Row],[33 kV_F6_Ex
Incomer4]]-DW76)*1000&lt;0,0,(RD[[#This Row],[33 kV_F6_Ex
Incomer4]]-DW76)*1000)</f>
        <v>15399.999999999636</v>
      </c>
      <c r="EO77" s="146">
        <f t="shared" si="166"/>
        <v>400.00000000000568</v>
      </c>
      <c r="EP77" s="146">
        <f>IF((RD[[#This Row],[33 kV_F7_Ex
Incomer5]]-DY76)*1000&lt;0,0,(RD[[#This Row],[33 kV_F7_Ex
Incomer5]]-DY76)*1000)</f>
        <v>159599.99999999991</v>
      </c>
      <c r="EQ77" s="146">
        <f>IF((RD[[#This Row],[33 kV_F7_Im
Incomer5]]-DZ76)*1000&lt;0,0,(RD[[#This Row],[33 kV_F7_Im
Incomer5]]-DZ76)*1000)</f>
        <v>399.99999999999949</v>
      </c>
      <c r="ER77" s="146">
        <f>IF((RD[[#This Row],[33 kV_Aux Trafo]]-EA76)*1000&lt;0,0,(RD[[#This Row],[33 kV_Aux Trafo]]-EA76)*1000)</f>
        <v>309.99999999998806</v>
      </c>
      <c r="ES77" s="158">
        <f>IF((RD[[#This Row],[33kV_OG1_Ex_]]-EB76)*1&lt;0,0,(RD[[#This Row],[33kV_OG1_Ex_]]-EB76)*1)</f>
        <v>649691</v>
      </c>
      <c r="ET77" s="146">
        <f>IF((RD[[#This Row],[33kV_OG1_Im]]-EC76)*1&lt;0,0,(RD[[#This Row],[33kV_OG1_Im]]-EC76)*1)</f>
        <v>2267.5200000000186</v>
      </c>
      <c r="EU77" s="146">
        <f>IF((RD[[#This Row],[132kV_TX1_EX]]-ED76)*720&lt;=0,"",(RD[[#This Row],[132kV_TX1_EX]]-ED76)*720)</f>
        <v>2160</v>
      </c>
      <c r="EV77" s="146">
        <f>IF((RD[[#This Row],[132 kV_Tx1_Im]]-EE76)*720&lt;=0,0,(RD[[#This Row],[132 kV_Tx1_Im]]-EE76)*720)</f>
        <v>465840</v>
      </c>
      <c r="EW77" s="146">
        <f>IF((RD[[#This Row],[132kV_L1_Ex]]-EF76)*720&lt;=0,0,(RD[[#This Row],[132kV_L1_Ex]]-EF76)*720)</f>
        <v>647495.99999999162</v>
      </c>
      <c r="EX77" s="146">
        <f>IF((RD[[#This Row],[132kV_L1_Im]]-EG76)*720&lt;=0,0,(RD[[#This Row],[132kV_L1_Im]]-EG76)*720)</f>
        <v>2807.9999999999018</v>
      </c>
      <c r="EY77" s="244">
        <f>IFERROR(RD[[#This Row],[33kV_OG1_Ex (MWh)]]+RD[[#This Row],[33kV_OG1_Im (MWh)]],"")</f>
        <v>651958.52</v>
      </c>
      <c r="EZ77" s="148">
        <f>RD[[#This Row],[33kV_OG1_Ex (MWh)]]-RD[[#This Row],[33kV_OG1_Im (MWh)]]</f>
        <v>647423.48</v>
      </c>
      <c r="FA77" s="148">
        <f>IFERROR(RD[[#This Row],[132kV_L1_Ex(MWh)]]-RD[[#This Row],[132kV_L1_Im(MWh)]],"")</f>
        <v>644687.99999999173</v>
      </c>
      <c r="FB77" s="55">
        <f>IFERROR(RD[[#This Row],[33kV_Ex(MWh)]]/RD[[#This Row],[Inv Total Gneration (MWh)]]-1,"")</f>
        <v>-7.2469190338556588E-3</v>
      </c>
      <c r="FC77" s="245">
        <f>IFERROR((RD[[#This Row],[Sunset Time (POA&lt;20 W/m2)]]-RD[[#This Row],[Sunrise Time (POA&gt;20 W/m2)]])*24,0)</f>
        <v>12.75</v>
      </c>
      <c r="FD77" s="246">
        <v>122.7</v>
      </c>
      <c r="FE77" t="s">
        <v>293</v>
      </c>
      <c r="FG77" s="144" t="str">
        <f>IFERROR(RD[[#This Row],[E_AC (WPR)]]/RD[[#This Row],[E_DC (WPR)]],"")</f>
        <v/>
      </c>
    </row>
    <row r="78" spans="1:163">
      <c r="A78" s="133">
        <f t="shared" si="161"/>
        <v>45818</v>
      </c>
      <c r="B78" s="138">
        <f>YEAR(RD[[#This Row],[Date]])+IF(MONTH(RD[[#This Row],[Date]])&gt;=4,1,0)</f>
        <v>2026</v>
      </c>
      <c r="C78" s="138">
        <f>YEAR(RD[[#This Row],[Date]])</f>
        <v>2025</v>
      </c>
      <c r="D78" s="139">
        <f t="shared" si="165"/>
        <v>45809</v>
      </c>
      <c r="E78" s="138">
        <f>DAY(EOMONTH(RD[[#This Row],[Date]],0))</f>
        <v>30</v>
      </c>
      <c r="F78" s="152">
        <v>0.25208333333333333</v>
      </c>
      <c r="G78" s="162">
        <v>0.78125</v>
      </c>
      <c r="H78" s="124">
        <v>8065.9</v>
      </c>
      <c r="I78" s="270">
        <v>7972.5</v>
      </c>
      <c r="J78" s="124">
        <v>7534.8</v>
      </c>
      <c r="K78" s="124">
        <v>7570.3</v>
      </c>
      <c r="L78" s="124">
        <v>7773.5</v>
      </c>
      <c r="M78" s="124">
        <v>8041.5</v>
      </c>
      <c r="N78" s="124">
        <v>7826</v>
      </c>
      <c r="O78" s="124">
        <v>8451.6</v>
      </c>
      <c r="P78" s="124">
        <v>7929</v>
      </c>
      <c r="Q78" s="124">
        <v>7705.4</v>
      </c>
      <c r="R78" s="124">
        <v>7953.4</v>
      </c>
      <c r="S78" s="268">
        <v>7929.3</v>
      </c>
      <c r="T78" s="124">
        <v>8271.5</v>
      </c>
      <c r="U78" s="124">
        <v>7948.4</v>
      </c>
      <c r="V78" s="124">
        <v>8165.1</v>
      </c>
      <c r="W78" s="124">
        <v>7927.1</v>
      </c>
      <c r="X78" s="268">
        <v>10990.9</v>
      </c>
      <c r="Y78" s="203">
        <v>11910.5</v>
      </c>
      <c r="Z78" s="203">
        <v>10772</v>
      </c>
      <c r="AA78" s="203">
        <v>11279.4</v>
      </c>
      <c r="AB78" s="268">
        <v>11833</v>
      </c>
      <c r="AC78" s="203">
        <v>7072.2</v>
      </c>
      <c r="AD78" s="203">
        <v>10972.9</v>
      </c>
      <c r="AE78" s="203">
        <v>11079.2</v>
      </c>
      <c r="AF78" s="268">
        <v>10969.8</v>
      </c>
      <c r="AG78" s="203">
        <v>10942</v>
      </c>
      <c r="AH78" s="203">
        <v>10933</v>
      </c>
      <c r="AI78" s="268">
        <v>10936.9</v>
      </c>
      <c r="AJ78" s="203">
        <v>8938.7999999999993</v>
      </c>
      <c r="AK78" s="268">
        <v>9152.5</v>
      </c>
      <c r="AL78" s="203">
        <v>9001.2000000000007</v>
      </c>
      <c r="AM78" s="268">
        <v>9055.7000000000007</v>
      </c>
      <c r="AN78" s="203">
        <v>9046.7000000000007</v>
      </c>
      <c r="AO78" s="268">
        <v>9367.7000000000007</v>
      </c>
      <c r="AP78" s="203">
        <v>9221.1</v>
      </c>
      <c r="AQ78" s="268">
        <v>9093.5</v>
      </c>
      <c r="AR78" s="203">
        <v>7399</v>
      </c>
      <c r="AS78" s="268">
        <v>7454.2</v>
      </c>
      <c r="AT78" s="203">
        <v>7438.6</v>
      </c>
      <c r="AU78" s="268">
        <v>7375.7</v>
      </c>
      <c r="AV78" s="203">
        <v>7585.5</v>
      </c>
      <c r="AW78" s="203">
        <v>7497.3</v>
      </c>
      <c r="AX78" s="203">
        <v>10546.6</v>
      </c>
      <c r="AY78" s="203">
        <v>11818.9</v>
      </c>
      <c r="AZ78" s="203">
        <v>8561.6</v>
      </c>
      <c r="BA78" s="203">
        <v>10316.799999999999</v>
      </c>
      <c r="BB78" s="203">
        <v>9303</v>
      </c>
      <c r="BC78" s="203">
        <v>9078</v>
      </c>
      <c r="BD78" s="203">
        <v>9261</v>
      </c>
      <c r="BE78" s="203">
        <v>10506</v>
      </c>
      <c r="BF78" s="203">
        <v>11395</v>
      </c>
      <c r="BG78" s="203">
        <v>11447</v>
      </c>
      <c r="BH78" s="203">
        <v>11264</v>
      </c>
      <c r="BI78" s="203">
        <v>11520</v>
      </c>
      <c r="BJ78" s="203">
        <v>7675</v>
      </c>
      <c r="BK78" s="203">
        <v>6069</v>
      </c>
      <c r="BL78" s="203">
        <v>7154</v>
      </c>
      <c r="BM78" s="203">
        <v>7249</v>
      </c>
      <c r="BN78" s="203">
        <v>7869</v>
      </c>
      <c r="BO78" s="203">
        <v>7640</v>
      </c>
      <c r="BP78" s="203">
        <v>8225</v>
      </c>
      <c r="BQ78" s="203">
        <v>8187</v>
      </c>
      <c r="BR78" s="203">
        <v>5971</v>
      </c>
      <c r="BS78" s="203">
        <v>6458</v>
      </c>
      <c r="BT78" s="203">
        <v>7341</v>
      </c>
      <c r="BU78" s="203">
        <v>7540</v>
      </c>
      <c r="BV78" s="203"/>
      <c r="BW78" s="203"/>
      <c r="BX78" s="203"/>
      <c r="BY78" s="203"/>
      <c r="BZ78" s="203">
        <v>1206</v>
      </c>
      <c r="CA78" s="203">
        <v>1022</v>
      </c>
      <c r="CB78" s="203">
        <v>4704</v>
      </c>
      <c r="CC78" s="203">
        <v>7820</v>
      </c>
      <c r="CD78" s="263">
        <v>7.204574066666658</v>
      </c>
      <c r="CE78" s="263">
        <v>5.8837973333333409</v>
      </c>
      <c r="CF78" s="263">
        <v>5.4856224333333348</v>
      </c>
      <c r="CG78" s="263">
        <v>6.0199839000000042</v>
      </c>
      <c r="CH78" s="263">
        <v>0.7281406666666661</v>
      </c>
      <c r="CI78" s="263">
        <v>0.87009781666666708</v>
      </c>
      <c r="CJ78" s="263">
        <v>1.059802216666667</v>
      </c>
      <c r="CK78" s="263">
        <v>0.93598535000000016</v>
      </c>
      <c r="CL78" s="263">
        <v>32.936788321167967</v>
      </c>
      <c r="CM78" s="263">
        <v>33.249967611335947</v>
      </c>
      <c r="CN78" s="263">
        <v>46.301298459042968</v>
      </c>
      <c r="CO78" s="263">
        <v>43.978092307692343</v>
      </c>
      <c r="CP78" s="263">
        <v>52.113463098134652</v>
      </c>
      <c r="CQ78" s="263">
        <v>52.654874493927124</v>
      </c>
      <c r="CR78" s="263">
        <v>0</v>
      </c>
      <c r="CS78" s="263">
        <v>0</v>
      </c>
      <c r="CT78" s="263">
        <v>2.099330900243308</v>
      </c>
      <c r="CU78" s="263">
        <v>2.1610469635627574</v>
      </c>
      <c r="CV78" s="263">
        <v>3.9180000000000001</v>
      </c>
      <c r="CW78" s="263">
        <v>3.8519999999999999</v>
      </c>
      <c r="CX78" s="204">
        <f>IFERROR(AVERAGEIF(RD[[#This Row],[IS1POA1 (KWh/m2)]:[IS7POA2 (KWh/m2)]],"&lt;&gt;0",RD[[#This Row],[IS1POA1 (KWh/m2)]:[IS7POA2 (KWh/m2)]]),"")</f>
        <v>6.5441856999999999</v>
      </c>
      <c r="CY78" s="204">
        <f>IFERROR(AVERAGEIF(RD[[#This Row],[IS1GHI1 (KWh/m2)]:[IS7GHI2 (KWh/m2)]],"&lt;&gt;0",RD[[#This Row],[IS1GHI1 (KWh/m2)]:[IS7GHI2 (KWh/m2)]]),"")</f>
        <v>5.7528031666666699</v>
      </c>
      <c r="CZ78" s="204">
        <f>IFERROR(AVERAGEIF(RD[[#This Row],[IS1POA_BS1 (KWh/m2)]:[IS7POA_BS2 (KWh/m2)]],"&lt;&gt;0",RD[[#This Row],[IS1POA_BS1 (KWh/m2)]:[IS7POA_BS2 (KWh/m2)]]),"")</f>
        <v>0.79911924166666659</v>
      </c>
      <c r="DA78" s="204">
        <f>IFERROR(AVERAGEIF(RD[[#This Row],[IS1GHI_BS1 (KWh/m2)]:[IS1GHI_BS1 (KWh/m2)2]],"&lt;&gt;0",RD[[#This Row],[IS1GHI_BS1 (KWh/m2)]:[IS1GHI_BS1 (KWh/m2)2]]),"")</f>
        <v>0.99789378333333356</v>
      </c>
      <c r="DB78" s="204">
        <f>IFERROR(AVERAGEIF(RD[[#This Row],[IS1AT1 (°C)]:[IS7AT2 (°C)]],"&lt;&gt;0",RD[[#This Row],[IS1AT1 (°C)]:[IS7AT2 (°C)]]),"")</f>
        <v>33.093377966251957</v>
      </c>
      <c r="DC78" s="204">
        <f>IFERROR(AVERAGEIF(RD[[#This Row],[IS1MT1 (°C)]:[IS7MT2 (°C)]],"&lt;&gt;0",RD[[#This Row],[IS1MT1 (°C)]:[IS7MT2 (°C)]]),"")</f>
        <v>45.139695383367652</v>
      </c>
      <c r="DD78" s="204">
        <f>IFERROR(AVERAGEIF(RD[[#This Row],[IS1RH1 (%)]:[IS7RH2 (%)]],"&lt;&gt;0",RD[[#This Row],[IS1RH1 (%)]:[IS7RH2 (%)]]),"")</f>
        <v>52.384168796030892</v>
      </c>
      <c r="DE78" s="51" t="str">
        <f>IFERROR(AVERAGEIF(RD[[#This Row],[IS1Rain1 (mm)]:[IS7Rain2 (mm)]],"&lt;&gt;0",RD[[#This Row],[IS1Rain1 (mm)]:[IS7Rain2 (mm)]]),"")</f>
        <v/>
      </c>
      <c r="DF78" s="204">
        <f>IFERROR(AVERAGEIF(RD[[#This Row],[WS_Solar1_Avg (m/s)]:[IS7_WS_Solar1_Avg (m/s)]],"&lt;&gt;0",RD[[#This Row],[WS_Solar1_Avg (m/s)]:[IS7_WS_Solar1_Avg (m/s)]]),"")</f>
        <v>2.1301889319030325</v>
      </c>
      <c r="DG78" s="204">
        <f>IFERROR(AVERAGEIF(RD[[#This Row],[WS_Solar1_Max (m/s)]:[IS7_WS_Solar1_Max (m/s)]],"&lt;&gt;0",RD[[#This Row],[WS_Solar1_Max (m/s)]:[IS7_WS_Solar1_Max (m/s)]]),"")</f>
        <v>3.8849999999999998</v>
      </c>
      <c r="DH78" s="204">
        <f>SUM(RD[[#This Row],[IS1Inv1M1]:[IS4Inv4M2]])</f>
        <v>256757.1</v>
      </c>
      <c r="DI78" s="205">
        <f>SUM(RD[[#This Row],[IS7Inv1M1]]+RD[[#This Row],[IS7Inv2M1]])</f>
        <v>14853.2</v>
      </c>
      <c r="DJ78" s="204">
        <f>SUM(RD[[#This Row],[IS5Inv1M1]:[IS5Inv2M2]])</f>
        <v>36148.199999999997</v>
      </c>
      <c r="DK78" s="204">
        <f>SUM(RD[[#This Row],[IS8Inv1M1]:[IS9Inv2M2]])</f>
        <v>71141</v>
      </c>
      <c r="DL78" s="60">
        <f>SUM(RD[[#This Row],[IS6Inv1M1]:[IS6Inv2M2]])</f>
        <v>36729</v>
      </c>
      <c r="DM78" s="51">
        <f>SUM(RD[[#This Row],[IS10Inv1M1]:[IS11Inv1M4]],RD[[#This Row],[IS14Inv1M1]:[IS14Inv2M4]])</f>
        <v>126673</v>
      </c>
      <c r="DN78" s="288">
        <f>SUM(RD[[#This Row],[IS12Inv1M1]:[IS12Inv1M4]])</f>
        <v>31921</v>
      </c>
      <c r="DO78" s="288">
        <f>SUM(RD[[#This Row],[IS13Inv1M1]:[IS13Inv2M2]])</f>
        <v>27310</v>
      </c>
      <c r="DP78" s="204">
        <f>SUM(RD[[#This Row],[O2R15]:[O2R26]])</f>
        <v>601532.5</v>
      </c>
      <c r="DQ78" s="164">
        <v>42949</v>
      </c>
      <c r="DR78" s="168">
        <v>218.7</v>
      </c>
      <c r="DS78" s="164">
        <v>37401.9</v>
      </c>
      <c r="DT78" s="164">
        <v>231.3</v>
      </c>
      <c r="DU78" s="168">
        <v>43916.6</v>
      </c>
      <c r="DV78" s="168">
        <v>415</v>
      </c>
      <c r="DW78" s="164">
        <v>10265.299999999999</v>
      </c>
      <c r="DX78" s="168">
        <v>51</v>
      </c>
      <c r="DY78" s="168">
        <v>1446</v>
      </c>
      <c r="DZ78" s="168">
        <v>4.4000000000000004</v>
      </c>
      <c r="EA78" s="140">
        <v>101.28</v>
      </c>
      <c r="EB78" s="243">
        <v>139540135</v>
      </c>
      <c r="EC78" s="242">
        <v>984623.68</v>
      </c>
      <c r="ED78" s="243">
        <v>1184</v>
      </c>
      <c r="EE78" s="243">
        <v>133783</v>
      </c>
      <c r="EF78" s="164">
        <v>193486.1</v>
      </c>
      <c r="EG78" s="164">
        <v>1917.1</v>
      </c>
      <c r="EH78" s="146">
        <f>IF((RD[[#This Row],[33 kV_F3_Ex
Incomer1]]-DQ77)*1000&lt;0,0,(RD[[#This Row],[33 kV_F3_Ex
Incomer1]]-DQ77)*1000)</f>
        <v>128800.00000000291</v>
      </c>
      <c r="EI78" s="146">
        <f>IF((RD[[#This Row],[34 kV_F3_Im
Incomer1]]-DR77)*1000&lt;0,0,(RD[[#This Row],[34 kV_F3_Im
Incomer1]]-DR77)*1000)</f>
        <v>299.99999999998295</v>
      </c>
      <c r="EJ78" s="146">
        <f>IF((RD[[#This Row],[33 kV_F4_Ex
Incomer2]]-DS77)*1000&lt;0,0,(RD[[#This Row],[33 kV_F4_Ex
Incomer2]]-DS77)*1000)</f>
        <v>124099.99999999854</v>
      </c>
      <c r="EK78" s="146">
        <f>IF((RD[[#This Row],[34 kV_F4_Im
Incomer2]]-DT77)*1000&lt;0,0,(RD[[#This Row],[34 kV_F4_Im
Incomer2]]-DT77)*1000)</f>
        <v>300.00000000001137</v>
      </c>
      <c r="EL78" s="146">
        <f>IF((RD[[#This Row],[33 kV_F5_Ex
Incomer3]]-DU77)*1000&lt;0,0,(RD[[#This Row],[33 kV_F5_Ex
Incomer3]]-DU77)*1000)</f>
        <v>156799.99999999563</v>
      </c>
      <c r="EM78" s="146">
        <f>IF((RD[[#This Row],[34 kV_F5_Im
Incomer3]]-DV77)*1000&lt;0,0,(RD[[#This Row],[34 kV_F5_Im
Incomer3]]-DV77)*1000)</f>
        <v>500</v>
      </c>
      <c r="EN78" s="146">
        <f>IF((RD[[#This Row],[33 kV_F6_Ex
Incomer4]]-DW77)*1000&lt;0,0,(RD[[#This Row],[33 kV_F6_Ex
Incomer4]]-DW77)*1000)</f>
        <v>14699.999999998909</v>
      </c>
      <c r="EO78" s="146">
        <f t="shared" si="166"/>
        <v>299.99999999998295</v>
      </c>
      <c r="EP78" s="146">
        <f>IF((RD[[#This Row],[33 kV_F7_Ex
Incomer5]]-DY77)*1000&lt;0,0,(RD[[#This Row],[33 kV_F7_Ex
Incomer5]]-DY77)*1000)</f>
        <v>144500</v>
      </c>
      <c r="EQ78" s="146">
        <f>IF((RD[[#This Row],[33 kV_F7_Im
Incomer5]]-DZ77)*1000&lt;0,0,(RD[[#This Row],[33 kV_F7_Im
Incomer5]]-DZ77)*1000)</f>
        <v>300.00000000000068</v>
      </c>
      <c r="ER78" s="146">
        <f>IF((RD[[#This Row],[33 kV_Aux Trafo]]-EA77)*1000&lt;0,0,(RD[[#This Row],[33 kV_Aux Trafo]]-EA77)*1000)</f>
        <v>290.00000000000625</v>
      </c>
      <c r="ES78" s="158">
        <f>IF((RD[[#This Row],[33kV_OG1_Ex_]]-EB77)*1&lt;0,0,(RD[[#This Row],[33kV_OG1_Ex_]]-EB77)*1)</f>
        <v>592183</v>
      </c>
      <c r="ET78" s="146">
        <f>IF((RD[[#This Row],[33kV_OG1_Im]]-EC77)*1&lt;0,0,(RD[[#This Row],[33kV_OG1_Im]]-EC77)*1)</f>
        <v>1913.2800000000279</v>
      </c>
      <c r="EU78" s="146">
        <f>IF((RD[[#This Row],[132kV_TX1_EX]]-ED77)*720&lt;=0,"",(RD[[#This Row],[132kV_TX1_EX]]-ED77)*720)</f>
        <v>2160</v>
      </c>
      <c r="EV78" s="146">
        <f>IF((RD[[#This Row],[132 kV_Tx1_Im]]-EE77)*720&lt;=0,0,(RD[[#This Row],[132 kV_Tx1_Im]]-EE77)*720)</f>
        <v>424800</v>
      </c>
      <c r="EW78" s="146">
        <f>IF((RD[[#This Row],[132kV_L1_Ex]]-EF77)*720&lt;=0,0,(RD[[#This Row],[132kV_L1_Ex]]-EF77)*720)</f>
        <v>590184.00000000838</v>
      </c>
      <c r="EX78" s="146">
        <f>IF((RD[[#This Row],[132kV_L1_Im]]-EG77)*720&lt;=0,0,(RD[[#This Row],[132kV_L1_Im]]-EG77)*720)</f>
        <v>2375.9999999999673</v>
      </c>
      <c r="EY78" s="244">
        <f>IFERROR(RD[[#This Row],[33kV_OG1_Ex (MWh)]]+RD[[#This Row],[33kV_OG1_Im (MWh)]],"")</f>
        <v>594096.28</v>
      </c>
      <c r="EZ78" s="148">
        <f>RD[[#This Row],[33kV_OG1_Ex (MWh)]]-RD[[#This Row],[33kV_OG1_Im (MWh)]]</f>
        <v>590269.72</v>
      </c>
      <c r="FA78" s="148">
        <f>IFERROR(RD[[#This Row],[132kV_L1_Ex(MWh)]]-RD[[#This Row],[132kV_L1_Im(MWh)]],"")</f>
        <v>587808.00000000838</v>
      </c>
      <c r="FB78" s="55">
        <f>IFERROR(RD[[#This Row],[33kV_Ex(MWh)]]/RD[[#This Row],[Inv Total Gneration (MWh)]]-1,"")</f>
        <v>-1.236212507221135E-2</v>
      </c>
      <c r="FC78" s="245">
        <f>IFERROR((RD[[#This Row],[Sunset Time (POA&lt;20 W/m2)]]-RD[[#This Row],[Sunrise Time (POA&gt;20 W/m2)]])*24,0)</f>
        <v>12.7</v>
      </c>
      <c r="FD78" s="246">
        <v>122.7</v>
      </c>
      <c r="FE78" t="s">
        <v>296</v>
      </c>
      <c r="FG78" s="144" t="str">
        <f>IFERROR(RD[[#This Row],[E_AC (WPR)]]/RD[[#This Row],[E_DC (WPR)]],"")</f>
        <v/>
      </c>
    </row>
    <row r="79" spans="1:163">
      <c r="A79" s="133">
        <f t="shared" si="161"/>
        <v>45819</v>
      </c>
      <c r="B79" s="138">
        <f>YEAR(RD[[#This Row],[Date]])+IF(MONTH(RD[[#This Row],[Date]])&gt;=4,1,0)</f>
        <v>2026</v>
      </c>
      <c r="C79" s="138">
        <f>YEAR(RD[[#This Row],[Date]])</f>
        <v>2025</v>
      </c>
      <c r="D79" s="139">
        <f t="shared" si="165"/>
        <v>45809</v>
      </c>
      <c r="E79" s="138">
        <f>DAY(EOMONTH(RD[[#This Row],[Date]],0))</f>
        <v>30</v>
      </c>
      <c r="F79" s="152">
        <v>0.25138888888888888</v>
      </c>
      <c r="G79" s="162">
        <v>0.76041666666666663</v>
      </c>
      <c r="H79" s="124">
        <v>4930</v>
      </c>
      <c r="I79" s="270">
        <v>4839</v>
      </c>
      <c r="J79" s="124">
        <v>4535.8</v>
      </c>
      <c r="K79" s="124">
        <v>4538.5</v>
      </c>
      <c r="L79" s="124">
        <v>4676</v>
      </c>
      <c r="M79" s="124">
        <v>4853.2</v>
      </c>
      <c r="N79" s="124">
        <v>4711.6000000000004</v>
      </c>
      <c r="O79" s="124">
        <v>5251.2</v>
      </c>
      <c r="P79" s="124">
        <v>4826.7</v>
      </c>
      <c r="Q79" s="124">
        <v>4685.3999999999996</v>
      </c>
      <c r="R79" s="124">
        <v>4851.8999999999996</v>
      </c>
      <c r="S79" s="268">
        <v>4823.2</v>
      </c>
      <c r="T79" s="124">
        <v>5064.1000000000004</v>
      </c>
      <c r="U79" s="124">
        <v>4831.8</v>
      </c>
      <c r="V79" s="124">
        <v>5024.6000000000004</v>
      </c>
      <c r="W79" s="124">
        <v>4802.2</v>
      </c>
      <c r="X79" s="268">
        <v>6650.6</v>
      </c>
      <c r="Y79" s="203">
        <v>7493</v>
      </c>
      <c r="Z79" s="203">
        <v>6538.7</v>
      </c>
      <c r="AA79" s="203">
        <v>6821</v>
      </c>
      <c r="AB79" s="268">
        <v>7225.7</v>
      </c>
      <c r="AC79" s="203">
        <v>4285.8</v>
      </c>
      <c r="AD79" s="203">
        <v>6696.6</v>
      </c>
      <c r="AE79" s="203">
        <v>6830.4</v>
      </c>
      <c r="AF79" s="268">
        <v>6634.4</v>
      </c>
      <c r="AG79" s="203">
        <v>6594.8</v>
      </c>
      <c r="AH79" s="203">
        <v>6669.3</v>
      </c>
      <c r="AI79" s="268">
        <v>6702.2</v>
      </c>
      <c r="AJ79" s="203">
        <v>5514.6</v>
      </c>
      <c r="AK79" s="268">
        <v>5689.3</v>
      </c>
      <c r="AL79" s="203">
        <v>5611.6</v>
      </c>
      <c r="AM79" s="268">
        <v>5666.7</v>
      </c>
      <c r="AN79" s="203">
        <v>5617.3</v>
      </c>
      <c r="AO79" s="268">
        <v>5839.6</v>
      </c>
      <c r="AP79" s="203">
        <v>5728.9</v>
      </c>
      <c r="AQ79" s="268">
        <v>5660.6</v>
      </c>
      <c r="AR79" s="203">
        <v>4577.3999999999996</v>
      </c>
      <c r="AS79" s="268">
        <v>4609.3</v>
      </c>
      <c r="AT79" s="203">
        <v>4597.6000000000004</v>
      </c>
      <c r="AU79" s="268">
        <v>4561.3</v>
      </c>
      <c r="AV79" s="203">
        <v>4690.2</v>
      </c>
      <c r="AW79" s="203">
        <v>4634.8999999999996</v>
      </c>
      <c r="AX79" s="203">
        <v>6529.7</v>
      </c>
      <c r="AY79" s="203">
        <v>7385.9</v>
      </c>
      <c r="AZ79" s="203">
        <v>5323.7</v>
      </c>
      <c r="BA79" s="203">
        <v>6447.3</v>
      </c>
      <c r="BB79" s="203">
        <v>6380.6</v>
      </c>
      <c r="BC79" s="203">
        <v>6164.7</v>
      </c>
      <c r="BD79" s="203">
        <v>5521.1</v>
      </c>
      <c r="BE79" s="203">
        <v>6209</v>
      </c>
      <c r="BF79" s="203">
        <v>6726.7</v>
      </c>
      <c r="BG79" s="203">
        <v>6705</v>
      </c>
      <c r="BH79" s="203">
        <v>6593.3</v>
      </c>
      <c r="BI79" s="203">
        <v>6774</v>
      </c>
      <c r="BJ79" s="203">
        <v>4372</v>
      </c>
      <c r="BK79" s="203">
        <v>3422</v>
      </c>
      <c r="BL79" s="203">
        <v>4041</v>
      </c>
      <c r="BM79" s="203">
        <v>4103</v>
      </c>
      <c r="BN79" s="203">
        <v>4508.5</v>
      </c>
      <c r="BO79" s="203">
        <v>4331.8999999999996</v>
      </c>
      <c r="BP79" s="203">
        <v>4810</v>
      </c>
      <c r="BQ79" s="203">
        <v>4792.2</v>
      </c>
      <c r="BR79" s="203">
        <v>4915.2</v>
      </c>
      <c r="BS79" s="203">
        <v>5074.8</v>
      </c>
      <c r="BT79" s="203">
        <v>4988.3</v>
      </c>
      <c r="BU79" s="203">
        <v>5146</v>
      </c>
      <c r="BV79" s="203"/>
      <c r="BW79" s="203"/>
      <c r="BX79" s="203"/>
      <c r="BY79" s="203"/>
      <c r="BZ79" s="203">
        <v>633</v>
      </c>
      <c r="CA79" s="203">
        <v>530</v>
      </c>
      <c r="CB79" s="203">
        <v>2602</v>
      </c>
      <c r="CC79" s="203">
        <v>4389.8</v>
      </c>
      <c r="CD79" s="263">
        <v>4.1416427166666718</v>
      </c>
      <c r="CE79" s="263">
        <v>3.5241049000000042</v>
      </c>
      <c r="CF79" s="263">
        <v>3.1590414000000009</v>
      </c>
      <c r="CG79" s="263">
        <v>3.5745955166666641</v>
      </c>
      <c r="CH79" s="263">
        <v>0.40037251666666712</v>
      </c>
      <c r="CI79" s="263">
        <v>0.54498210000000036</v>
      </c>
      <c r="CJ79" s="263">
        <v>0.62536391666666646</v>
      </c>
      <c r="CK79" s="263">
        <v>0.57115420000000006</v>
      </c>
      <c r="CL79" s="263">
        <v>30.328360927152321</v>
      </c>
      <c r="CM79" s="263">
        <v>30.52962840627578</v>
      </c>
      <c r="CN79" s="263">
        <v>40.999921357615897</v>
      </c>
      <c r="CO79" s="263">
        <v>38.77404211395541</v>
      </c>
      <c r="CP79" s="263">
        <v>61.67705298013243</v>
      </c>
      <c r="CQ79" s="263">
        <v>62.643616845582173</v>
      </c>
      <c r="CR79" s="263">
        <v>0</v>
      </c>
      <c r="CS79" s="263">
        <v>0</v>
      </c>
      <c r="CT79" s="263">
        <v>1.8192864238410622</v>
      </c>
      <c r="CU79" s="263">
        <v>2.0122246077621799</v>
      </c>
      <c r="CV79" s="263">
        <v>3.4409999999999998</v>
      </c>
      <c r="CW79" s="263">
        <v>3.6</v>
      </c>
      <c r="CX79" s="204">
        <f>IFERROR(AVERAGEIF(RD[[#This Row],[IS1POA1 (KWh/m2)]:[IS7POA2 (KWh/m2)]],"&lt;&gt;0",RD[[#This Row],[IS1POA1 (KWh/m2)]:[IS7POA2 (KWh/m2)]]),"")</f>
        <v>3.8328738083333382</v>
      </c>
      <c r="CY79" s="204">
        <f>IFERROR(AVERAGEIF(RD[[#This Row],[IS1GHI1 (KWh/m2)]:[IS7GHI2 (KWh/m2)]],"&lt;&gt;0",RD[[#This Row],[IS1GHI1 (KWh/m2)]:[IS7GHI2 (KWh/m2)]]),"")</f>
        <v>3.3668184583333325</v>
      </c>
      <c r="CZ79" s="204">
        <f>IFERROR(AVERAGEIF(RD[[#This Row],[IS1POA_BS1 (KWh/m2)]:[IS7POA_BS2 (KWh/m2)]],"&lt;&gt;0",RD[[#This Row],[IS1POA_BS1 (KWh/m2)]:[IS7POA_BS2 (KWh/m2)]]),"")</f>
        <v>0.47267730833333377</v>
      </c>
      <c r="DA79" s="204">
        <f>IFERROR(AVERAGEIF(RD[[#This Row],[IS1GHI_BS1 (KWh/m2)]:[IS1GHI_BS1 (KWh/m2)2]],"&lt;&gt;0",RD[[#This Row],[IS1GHI_BS1 (KWh/m2)]:[IS1GHI_BS1 (KWh/m2)2]]),"")</f>
        <v>0.59825905833333326</v>
      </c>
      <c r="DB79" s="204">
        <f>IFERROR(AVERAGEIF(RD[[#This Row],[IS1AT1 (°C)]:[IS7AT2 (°C)]],"&lt;&gt;0",RD[[#This Row],[IS1AT1 (°C)]:[IS7AT2 (°C)]]),"")</f>
        <v>30.428994666714051</v>
      </c>
      <c r="DC79" s="204">
        <f>IFERROR(AVERAGEIF(RD[[#This Row],[IS1MT1 (°C)]:[IS7MT2 (°C)]],"&lt;&gt;0",RD[[#This Row],[IS1MT1 (°C)]:[IS7MT2 (°C)]]),"")</f>
        <v>39.886981735785653</v>
      </c>
      <c r="DD79" s="204">
        <f>IFERROR(AVERAGEIF(RD[[#This Row],[IS1RH1 (%)]:[IS7RH2 (%)]],"&lt;&gt;0",RD[[#This Row],[IS1RH1 (%)]:[IS7RH2 (%)]]),"")</f>
        <v>62.160334912857302</v>
      </c>
      <c r="DE79" s="51" t="str">
        <f>IFERROR(AVERAGEIF(RD[[#This Row],[IS1Rain1 (mm)]:[IS7Rain2 (mm)]],"&lt;&gt;0",RD[[#This Row],[IS1Rain1 (mm)]:[IS7Rain2 (mm)]]),"")</f>
        <v/>
      </c>
      <c r="DF79" s="204">
        <f>IFERROR(AVERAGEIF(RD[[#This Row],[WS_Solar1_Avg (m/s)]:[IS7_WS_Solar1_Avg (m/s)]],"&lt;&gt;0",RD[[#This Row],[WS_Solar1_Avg (m/s)]:[IS7_WS_Solar1_Avg (m/s)]]),"")</f>
        <v>1.9157555158016211</v>
      </c>
      <c r="DG79" s="204">
        <f>IFERROR(AVERAGEIF(RD[[#This Row],[WS_Solar1_Max (m/s)]:[IS7_WS_Solar1_Max (m/s)]],"&lt;&gt;0",RD[[#This Row],[WS_Solar1_Max (m/s)]:[IS7_WS_Solar1_Max (m/s)]]),"")</f>
        <v>3.5205000000000002</v>
      </c>
      <c r="DH79" s="204">
        <f>SUM(RD[[#This Row],[IS1Inv1M1]:[IS4Inv4M2]])</f>
        <v>156387.69999999998</v>
      </c>
      <c r="DI79" s="205">
        <f>SUM(RD[[#This Row],[IS7Inv1M1]]+RD[[#This Row],[IS7Inv2M1]])</f>
        <v>9186.7000000000007</v>
      </c>
      <c r="DJ79" s="204">
        <f>SUM(RD[[#This Row],[IS5Inv1M1]:[IS5Inv2M2]])</f>
        <v>22482.2</v>
      </c>
      <c r="DK79" s="204">
        <f>SUM(RD[[#This Row],[IS8Inv1M1]:[IS9Inv2M2]])</f>
        <v>44170.6</v>
      </c>
      <c r="DL79" s="60">
        <f>SUM(RD[[#This Row],[IS6Inv1M1]:[IS6Inv2M2]])</f>
        <v>22846.400000000001</v>
      </c>
      <c r="DM79" s="51">
        <f>SUM(RD[[#This Row],[IS10Inv1M1]:[IS11Inv1M4]],RD[[#This Row],[IS14Inv1M1]:[IS14Inv2M4]])</f>
        <v>75167.200000000012</v>
      </c>
      <c r="DN79" s="288">
        <f>SUM(RD[[#This Row],[IS12Inv1M1]:[IS12Inv1M4]])</f>
        <v>18442.599999999999</v>
      </c>
      <c r="DO79" s="288">
        <f>SUM(RD[[#This Row],[IS13Inv1M1]:[IS13Inv2M2]])</f>
        <v>20124.3</v>
      </c>
      <c r="DP79" s="204">
        <f>SUM(RD[[#This Row],[O2R15]:[O2R26]])</f>
        <v>368807.7</v>
      </c>
      <c r="DQ79" s="164">
        <v>43027.7</v>
      </c>
      <c r="DR79" s="168">
        <v>219.1</v>
      </c>
      <c r="DS79" s="164">
        <v>37478.300000000003</v>
      </c>
      <c r="DT79" s="164">
        <v>231.7</v>
      </c>
      <c r="DU79" s="168">
        <v>44014.400000000001</v>
      </c>
      <c r="DV79" s="168">
        <v>415.7</v>
      </c>
      <c r="DW79" s="164">
        <v>10273.5</v>
      </c>
      <c r="DX79" s="168">
        <v>51.2</v>
      </c>
      <c r="DY79" s="168">
        <v>1535.6</v>
      </c>
      <c r="DZ79" s="168">
        <v>4.9000000000000004</v>
      </c>
      <c r="EA79" s="140">
        <v>101.55</v>
      </c>
      <c r="EB79" s="243">
        <v>139905236</v>
      </c>
      <c r="EC79" s="242">
        <v>986738.81599999999</v>
      </c>
      <c r="ED79" s="243">
        <v>1186</v>
      </c>
      <c r="EE79" s="243">
        <v>134147</v>
      </c>
      <c r="EF79" s="164">
        <v>193991.5</v>
      </c>
      <c r="EG79" s="164">
        <v>1920.7</v>
      </c>
      <c r="EH79" s="146">
        <f>IF((RD[[#This Row],[33 kV_F3_Ex
Incomer1]]-DQ78)*1000&lt;0,0,(RD[[#This Row],[33 kV_F3_Ex
Incomer1]]-DQ78)*1000)</f>
        <v>78699.99999999709</v>
      </c>
      <c r="EI79" s="146">
        <f>IF((RD[[#This Row],[34 kV_F3_Im
Incomer1]]-DR78)*1000&lt;0,0,(RD[[#This Row],[34 kV_F3_Im
Incomer1]]-DR78)*1000)</f>
        <v>400.00000000000568</v>
      </c>
      <c r="EJ79" s="146">
        <f>IF((RD[[#This Row],[33 kV_F4_Ex
Incomer2]]-DS78)*1000&lt;0,0,(RD[[#This Row],[33 kV_F4_Ex
Incomer2]]-DS78)*1000)</f>
        <v>76400.000000001455</v>
      </c>
      <c r="EK79" s="146">
        <f>IF((RD[[#This Row],[34 kV_F4_Im
Incomer2]]-DT78)*1000&lt;0,0,(RD[[#This Row],[34 kV_F4_Im
Incomer2]]-DT78)*1000)</f>
        <v>399.99999999997726</v>
      </c>
      <c r="EL79" s="146">
        <f>IF((RD[[#This Row],[33 kV_F5_Ex
Incomer3]]-DU78)*1000&lt;0,0,(RD[[#This Row],[33 kV_F5_Ex
Incomer3]]-DU78)*1000)</f>
        <v>97800.00000000291</v>
      </c>
      <c r="EM79" s="146">
        <f>IF((RD[[#This Row],[34 kV_F5_Im
Incomer3]]-DV78)*1000&lt;0,0,(RD[[#This Row],[34 kV_F5_Im
Incomer3]]-DV78)*1000)</f>
        <v>699.99999999998863</v>
      </c>
      <c r="EN79" s="146">
        <f>IF((RD[[#This Row],[33 kV_F6_Ex
Incomer4]]-DW78)*1000&lt;0,0,(RD[[#This Row],[33 kV_F6_Ex
Incomer4]]-DW78)*1000)</f>
        <v>8200.0000000007276</v>
      </c>
      <c r="EO79" s="146">
        <f t="shared" si="166"/>
        <v>400.00000000000568</v>
      </c>
      <c r="EP79" s="146">
        <f>IF((RD[[#This Row],[33 kV_F7_Ex
Incomer5]]-DY78)*1000&lt;0,0,(RD[[#This Row],[33 kV_F7_Ex
Incomer5]]-DY78)*1000)</f>
        <v>89599.999999999913</v>
      </c>
      <c r="EQ79" s="146">
        <f>IF((RD[[#This Row],[33 kV_F7_Im
Incomer5]]-DZ78)*1000&lt;0,0,(RD[[#This Row],[33 kV_F7_Im
Incomer5]]-DZ78)*1000)</f>
        <v>500</v>
      </c>
      <c r="ER79" s="146">
        <f>IF((RD[[#This Row],[33 kV_Aux Trafo]]-EA78)*1000&lt;0,0,(RD[[#This Row],[33 kV_Aux Trafo]]-EA78)*1000)</f>
        <v>269.99999999999602</v>
      </c>
      <c r="ES79" s="158">
        <f>IF((RD[[#This Row],[33kV_OG1_Ex_]]-EB78)*1&lt;0,0,(RD[[#This Row],[33kV_OG1_Ex_]]-EB78)*1)</f>
        <v>365101</v>
      </c>
      <c r="ET79" s="146">
        <f>IF((RD[[#This Row],[33kV_OG1_Im]]-EC78)*1&lt;0,0,(RD[[#This Row],[33kV_OG1_Im]]-EC78)*1)</f>
        <v>2115.1359999999404</v>
      </c>
      <c r="EU79" s="146">
        <f>IF((RD[[#This Row],[132kV_TX1_EX]]-ED78)*720&lt;=0,"",(RD[[#This Row],[132kV_TX1_EX]]-ED78)*720)</f>
        <v>1440</v>
      </c>
      <c r="EV79" s="146">
        <f>IF((RD[[#This Row],[132 kV_Tx1_Im]]-EE78)*720&lt;=0,0,(RD[[#This Row],[132 kV_Tx1_Im]]-EE78)*720)</f>
        <v>262080</v>
      </c>
      <c r="EW79" s="146">
        <f>IF((RD[[#This Row],[132kV_L1_Ex]]-EF78)*720&lt;=0,0,(RD[[#This Row],[132kV_L1_Ex]]-EF78)*720)</f>
        <v>363887.99999999581</v>
      </c>
      <c r="EX79" s="146">
        <f>IF((RD[[#This Row],[132kV_L1_Im]]-EG78)*720&lt;=0,0,(RD[[#This Row],[132kV_L1_Im]]-EG78)*720)</f>
        <v>2592.0000000000982</v>
      </c>
      <c r="EY79" s="244">
        <f>IFERROR(RD[[#This Row],[33kV_OG1_Ex (MWh)]]+RD[[#This Row],[33kV_OG1_Im (MWh)]],"")</f>
        <v>367216.13599999994</v>
      </c>
      <c r="EZ79" s="148">
        <f>RD[[#This Row],[33kV_OG1_Ex (MWh)]]-RD[[#This Row],[33kV_OG1_Im (MWh)]]</f>
        <v>362985.86400000006</v>
      </c>
      <c r="FA79" s="148">
        <f>IFERROR(RD[[#This Row],[132kV_L1_Ex(MWh)]]-RD[[#This Row],[132kV_L1_Im(MWh)]],"")</f>
        <v>361295.99999999569</v>
      </c>
      <c r="FB79" s="55">
        <f>IFERROR(RD[[#This Row],[33kV_Ex(MWh)]]/RD[[#This Row],[Inv Total Gneration (MWh)]]-1,"")</f>
        <v>-4.3154305075520094E-3</v>
      </c>
      <c r="FC79" s="245">
        <f>IFERROR((RD[[#This Row],[Sunset Time (POA&lt;20 W/m2)]]-RD[[#This Row],[Sunrise Time (POA&gt;20 W/m2)]])*24,0)</f>
        <v>12.216666666666665</v>
      </c>
      <c r="FD79" s="246">
        <v>122.7</v>
      </c>
      <c r="FE79" t="s">
        <v>297</v>
      </c>
      <c r="FG79" s="144" t="str">
        <f>IFERROR(RD[[#This Row],[E_AC (WPR)]]/RD[[#This Row],[E_DC (WPR)]],"")</f>
        <v/>
      </c>
    </row>
    <row r="80" spans="1:163">
      <c r="A80" s="133">
        <f t="shared" si="161"/>
        <v>45820</v>
      </c>
      <c r="B80" s="138">
        <f>YEAR(RD[[#This Row],[Date]])+IF(MONTH(RD[[#This Row],[Date]])&gt;=4,1,0)</f>
        <v>2026</v>
      </c>
      <c r="C80" s="138">
        <f>YEAR(RD[[#This Row],[Date]])</f>
        <v>2025</v>
      </c>
      <c r="D80" s="139">
        <f t="shared" si="165"/>
        <v>45809</v>
      </c>
      <c r="E80" s="138">
        <f>DAY(EOMONTH(RD[[#This Row],[Date]],0))</f>
        <v>30</v>
      </c>
      <c r="F80" s="152">
        <v>0.25069444444444444</v>
      </c>
      <c r="G80" s="162">
        <v>0.74652777777777779</v>
      </c>
      <c r="H80" s="124">
        <v>7348.3</v>
      </c>
      <c r="I80" s="270">
        <v>7307.8</v>
      </c>
      <c r="J80" s="124">
        <v>6868.6</v>
      </c>
      <c r="K80" s="124">
        <v>6804.2</v>
      </c>
      <c r="L80" s="124">
        <v>6983.9</v>
      </c>
      <c r="M80" s="124">
        <v>7253.4</v>
      </c>
      <c r="N80" s="124">
        <v>7063.4</v>
      </c>
      <c r="O80" s="124">
        <v>7806.8</v>
      </c>
      <c r="P80" s="124">
        <v>7172</v>
      </c>
      <c r="Q80" s="124">
        <v>6944.9</v>
      </c>
      <c r="R80" s="124">
        <v>7230.1</v>
      </c>
      <c r="S80" s="268">
        <v>7239</v>
      </c>
      <c r="T80" s="124">
        <v>7567</v>
      </c>
      <c r="U80" s="124">
        <v>7226.5</v>
      </c>
      <c r="V80" s="124">
        <v>7359.8</v>
      </c>
      <c r="W80" s="124">
        <v>7114.1</v>
      </c>
      <c r="X80" s="268">
        <v>9905.5</v>
      </c>
      <c r="Y80" s="203">
        <v>10960.5</v>
      </c>
      <c r="Z80" s="203">
        <v>9664.2000000000007</v>
      </c>
      <c r="AA80" s="203">
        <v>10137.4</v>
      </c>
      <c r="AB80" s="268">
        <v>10610.8</v>
      </c>
      <c r="AC80" s="203">
        <v>6380.8</v>
      </c>
      <c r="AD80" s="203">
        <v>9796.1</v>
      </c>
      <c r="AE80" s="203">
        <v>9967.2999999999993</v>
      </c>
      <c r="AF80" s="268">
        <v>9767.2000000000007</v>
      </c>
      <c r="AG80" s="203">
        <v>9776.9</v>
      </c>
      <c r="AH80" s="203">
        <v>9696.9</v>
      </c>
      <c r="AI80" s="268">
        <v>9743.7000000000007</v>
      </c>
      <c r="AJ80" s="203">
        <v>8192.2999999999993</v>
      </c>
      <c r="AK80" s="268">
        <v>8393</v>
      </c>
      <c r="AL80" s="203">
        <v>8175</v>
      </c>
      <c r="AM80" s="268">
        <v>8234.5</v>
      </c>
      <c r="AN80" s="203">
        <v>8257.2000000000007</v>
      </c>
      <c r="AO80" s="268">
        <v>8536.6</v>
      </c>
      <c r="AP80" s="203">
        <v>8431.7999999999993</v>
      </c>
      <c r="AQ80" s="268">
        <v>8292.6</v>
      </c>
      <c r="AR80" s="203">
        <v>6777.6</v>
      </c>
      <c r="AS80" s="268">
        <v>6806.8</v>
      </c>
      <c r="AT80" s="203">
        <v>6771.7</v>
      </c>
      <c r="AU80" s="268">
        <v>6713</v>
      </c>
      <c r="AV80" s="203">
        <v>6914.9</v>
      </c>
      <c r="AW80" s="203">
        <v>6834.2</v>
      </c>
      <c r="AX80" s="203">
        <v>9651.9</v>
      </c>
      <c r="AY80" s="203">
        <v>10852.9</v>
      </c>
      <c r="AZ80" s="203">
        <v>7805.9</v>
      </c>
      <c r="BA80" s="203">
        <v>9409.9</v>
      </c>
      <c r="BB80" s="203">
        <v>8838</v>
      </c>
      <c r="BC80" s="203">
        <v>8677</v>
      </c>
      <c r="BD80" s="203">
        <v>9095.5</v>
      </c>
      <c r="BE80" s="203">
        <v>10058.5</v>
      </c>
      <c r="BF80" s="203">
        <v>11230</v>
      </c>
      <c r="BG80" s="203">
        <v>10990</v>
      </c>
      <c r="BH80" s="203">
        <v>10671.7</v>
      </c>
      <c r="BI80" s="203">
        <v>11001.2</v>
      </c>
      <c r="BJ80" s="203">
        <v>7377</v>
      </c>
      <c r="BK80" s="203">
        <v>5820.5</v>
      </c>
      <c r="BL80" s="203">
        <v>6820</v>
      </c>
      <c r="BM80" s="203">
        <v>6951.9</v>
      </c>
      <c r="BN80" s="203">
        <v>7434.7</v>
      </c>
      <c r="BO80" s="203">
        <v>7194</v>
      </c>
      <c r="BP80" s="203">
        <v>7802.6</v>
      </c>
      <c r="BQ80" s="203">
        <v>7798.6</v>
      </c>
      <c r="BR80" s="203">
        <v>8267.1</v>
      </c>
      <c r="BS80" s="203">
        <v>8527.1</v>
      </c>
      <c r="BT80" s="203">
        <v>8274</v>
      </c>
      <c r="BU80" s="203">
        <v>8582</v>
      </c>
      <c r="BV80" s="203"/>
      <c r="BW80" s="203"/>
      <c r="BX80" s="203"/>
      <c r="BY80" s="203"/>
      <c r="BZ80" s="203">
        <v>1180</v>
      </c>
      <c r="CA80" s="203">
        <v>1000</v>
      </c>
      <c r="CB80" s="203">
        <v>4516</v>
      </c>
      <c r="CC80" s="203">
        <v>7506.9</v>
      </c>
      <c r="CD80" s="263">
        <v>6.5062667500000009</v>
      </c>
      <c r="CE80" s="263">
        <v>5.3872034999999965</v>
      </c>
      <c r="CF80" s="263">
        <v>4.9435502333333377</v>
      </c>
      <c r="CG80" s="263">
        <v>5.522758016666665</v>
      </c>
      <c r="CH80" s="263">
        <v>0.68390245000000005</v>
      </c>
      <c r="CI80" s="263">
        <v>0.78629981666666693</v>
      </c>
      <c r="CJ80" s="263">
        <v>0.96310836666666566</v>
      </c>
      <c r="CK80" s="263">
        <v>0.86410233333333319</v>
      </c>
      <c r="CL80" s="263">
        <v>29.245390505359875</v>
      </c>
      <c r="CM80" s="263">
        <v>28.986417112299488</v>
      </c>
      <c r="CN80" s="263">
        <v>41.833496937212892</v>
      </c>
      <c r="CO80" s="263">
        <v>39.638981665393409</v>
      </c>
      <c r="CP80" s="263">
        <v>74.287993874425752</v>
      </c>
      <c r="CQ80" s="263">
        <v>73.765721925133676</v>
      </c>
      <c r="CR80" s="263">
        <v>0.24808575803981689</v>
      </c>
      <c r="CS80" s="263">
        <v>0.15584415584415584</v>
      </c>
      <c r="CT80" s="263">
        <v>1.3921010719754963</v>
      </c>
      <c r="CU80" s="263">
        <v>1.3734751718869358</v>
      </c>
      <c r="CV80" s="263">
        <v>7.2629999999999999</v>
      </c>
      <c r="CW80" s="263">
        <v>6.0540000000000003</v>
      </c>
      <c r="CX80" s="204">
        <f>IFERROR(AVERAGEIF(RD[[#This Row],[IS1POA1 (KWh/m2)]:[IS7POA2 (KWh/m2)]],"&lt;&gt;0",RD[[#This Row],[IS1POA1 (KWh/m2)]:[IS7POA2 (KWh/m2)]]),"")</f>
        <v>5.9467351249999982</v>
      </c>
      <c r="CY80" s="204">
        <f>IFERROR(AVERAGEIF(RD[[#This Row],[IS1GHI1 (KWh/m2)]:[IS7GHI2 (KWh/m2)]],"&lt;&gt;0",RD[[#This Row],[IS1GHI1 (KWh/m2)]:[IS7GHI2 (KWh/m2)]]),"")</f>
        <v>5.2331541250000013</v>
      </c>
      <c r="CZ80" s="204">
        <f>IFERROR(AVERAGEIF(RD[[#This Row],[IS1POA_BS1 (KWh/m2)]:[IS7POA_BS2 (KWh/m2)]],"&lt;&gt;0",RD[[#This Row],[IS1POA_BS1 (KWh/m2)]:[IS7POA_BS2 (KWh/m2)]]),"")</f>
        <v>0.73510113333333349</v>
      </c>
      <c r="DA80" s="204">
        <f>IFERROR(AVERAGEIF(RD[[#This Row],[IS1GHI_BS1 (KWh/m2)]:[IS1GHI_BS1 (KWh/m2)2]],"&lt;&gt;0",RD[[#This Row],[IS1GHI_BS1 (KWh/m2)]:[IS1GHI_BS1 (KWh/m2)2]]),"")</f>
        <v>0.91360534999999943</v>
      </c>
      <c r="DB80" s="204">
        <f>IFERROR(AVERAGEIF(RD[[#This Row],[IS1AT1 (°C)]:[IS7AT2 (°C)]],"&lt;&gt;0",RD[[#This Row],[IS1AT1 (°C)]:[IS7AT2 (°C)]]),"")</f>
        <v>29.115903808829682</v>
      </c>
      <c r="DC80" s="204">
        <f>IFERROR(AVERAGEIF(RD[[#This Row],[IS1MT1 (°C)]:[IS7MT2 (°C)]],"&lt;&gt;0",RD[[#This Row],[IS1MT1 (°C)]:[IS7MT2 (°C)]]),"")</f>
        <v>40.736239301303151</v>
      </c>
      <c r="DD80" s="204">
        <f>IFERROR(AVERAGEIF(RD[[#This Row],[IS1RH1 (%)]:[IS7RH2 (%)]],"&lt;&gt;0",RD[[#This Row],[IS1RH1 (%)]:[IS7RH2 (%)]]),"")</f>
        <v>74.026857899779714</v>
      </c>
      <c r="DE80" s="51">
        <f>IFERROR(AVERAGEIF(RD[[#This Row],[IS1Rain1 (mm)]:[IS7Rain2 (mm)]],"&lt;&gt;0",RD[[#This Row],[IS1Rain1 (mm)]:[IS7Rain2 (mm)]]),"")</f>
        <v>0.20196495694198635</v>
      </c>
      <c r="DF80" s="204">
        <f>IFERROR(AVERAGEIF(RD[[#This Row],[WS_Solar1_Avg (m/s)]:[IS7_WS_Solar1_Avg (m/s)]],"&lt;&gt;0",RD[[#This Row],[WS_Solar1_Avg (m/s)]:[IS7_WS_Solar1_Avg (m/s)]]),"")</f>
        <v>1.3827881219312159</v>
      </c>
      <c r="DG80" s="204">
        <f>IFERROR(AVERAGEIF(RD[[#This Row],[WS_Solar1_Max (m/s)]:[IS7_WS_Solar1_Max (m/s)]],"&lt;&gt;0",RD[[#This Row],[WS_Solar1_Max (m/s)]:[IS7_WS_Solar1_Max (m/s)]]),"")</f>
        <v>6.6585000000000001</v>
      </c>
      <c r="DH80" s="204">
        <f>SUM(RD[[#This Row],[IS1Inv1M1]:[IS4Inv4M2]])</f>
        <v>231697.1</v>
      </c>
      <c r="DI80" s="205">
        <f>SUM(RD[[#This Row],[IS7Inv1M1]]+RD[[#This Row],[IS7Inv2M1]])</f>
        <v>13584.400000000001</v>
      </c>
      <c r="DJ80" s="204">
        <f>SUM(RD[[#This Row],[IS5Inv1M1]:[IS5Inv2M2]])</f>
        <v>32994.800000000003</v>
      </c>
      <c r="DK80" s="204">
        <f>SUM(RD[[#This Row],[IS8Inv1M1]:[IS9Inv2M2]])</f>
        <v>64954.400000000001</v>
      </c>
      <c r="DL80" s="60">
        <f>SUM(RD[[#This Row],[IS6Inv1M1]:[IS6Inv2M2]])</f>
        <v>33518.200000000004</v>
      </c>
      <c r="DM80" s="51">
        <f>SUM(RD[[#This Row],[IS10Inv1M1]:[IS11Inv1M4]],RD[[#This Row],[IS14Inv1M1]:[IS14Inv2M4]])</f>
        <v>121734.19999999998</v>
      </c>
      <c r="DN80" s="288">
        <f>SUM(RD[[#This Row],[IS12Inv1M1]:[IS12Inv1M4]])</f>
        <v>30229.9</v>
      </c>
      <c r="DO80" s="288">
        <f>SUM(RD[[#This Row],[IS13Inv1M1]:[IS13Inv2M2]])</f>
        <v>33650.199999999997</v>
      </c>
      <c r="DP80" s="204">
        <f>SUM(RD[[#This Row],[O2R15]:[O2R26]])</f>
        <v>562363.19999999995</v>
      </c>
      <c r="DQ80" s="164">
        <v>43143.3</v>
      </c>
      <c r="DR80" s="168">
        <v>219.5</v>
      </c>
      <c r="DS80" s="164">
        <v>37590.699999999997</v>
      </c>
      <c r="DT80" s="164">
        <v>232.1</v>
      </c>
      <c r="DU80" s="168">
        <v>44157.599999999999</v>
      </c>
      <c r="DV80" s="168">
        <v>416.4</v>
      </c>
      <c r="DW80" s="164">
        <v>10287.5</v>
      </c>
      <c r="DX80" s="168">
        <v>51.4</v>
      </c>
      <c r="DY80" s="168">
        <v>1679.8</v>
      </c>
      <c r="DZ80" s="168">
        <v>5.6</v>
      </c>
      <c r="EA80" s="140">
        <v>101.82</v>
      </c>
      <c r="EB80" s="243">
        <v>140458016</v>
      </c>
      <c r="EC80" s="242">
        <v>989624.19200000004</v>
      </c>
      <c r="ED80" s="243">
        <v>1190</v>
      </c>
      <c r="EE80" s="243">
        <v>134697</v>
      </c>
      <c r="EF80" s="164">
        <v>194756.8</v>
      </c>
      <c r="EG80" s="164">
        <v>1925.6</v>
      </c>
      <c r="EH80" s="146">
        <f>IF((RD[[#This Row],[33 kV_F3_Ex
Incomer1]]-DQ79)*1000&lt;0,0,(RD[[#This Row],[33 kV_F3_Ex
Incomer1]]-DQ79)*1000)</f>
        <v>115600.00000000582</v>
      </c>
      <c r="EI80" s="146">
        <f>IF((RD[[#This Row],[34 kV_F3_Im
Incomer1]]-DR79)*1000&lt;0,0,(RD[[#This Row],[34 kV_F3_Im
Incomer1]]-DR79)*1000)</f>
        <v>400.00000000000568</v>
      </c>
      <c r="EJ80" s="146">
        <f>IF((RD[[#This Row],[33 kV_F4_Ex
Incomer2]]-DS79)*1000&lt;0,0,(RD[[#This Row],[33 kV_F4_Ex
Incomer2]]-DS79)*1000)</f>
        <v>112399.99999999418</v>
      </c>
      <c r="EK80" s="146">
        <f>IF((RD[[#This Row],[34 kV_F4_Im
Incomer2]]-DT79)*1000&lt;0,0,(RD[[#This Row],[34 kV_F4_Im
Incomer2]]-DT79)*1000)</f>
        <v>400.00000000000568</v>
      </c>
      <c r="EL80" s="146">
        <f>IF((RD[[#This Row],[33 kV_F5_Ex
Incomer3]]-DU79)*1000&lt;0,0,(RD[[#This Row],[33 kV_F5_Ex
Incomer3]]-DU79)*1000)</f>
        <v>143199.99999999709</v>
      </c>
      <c r="EM80" s="146">
        <f>IF((RD[[#This Row],[34 kV_F5_Im
Incomer3]]-DV79)*1000&lt;0,0,(RD[[#This Row],[34 kV_F5_Im
Incomer3]]-DV79)*1000)</f>
        <v>699.99999999998863</v>
      </c>
      <c r="EN80" s="146">
        <f>IF((RD[[#This Row],[33 kV_F6_Ex
Incomer4]]-DW79)*1000&lt;0,0,(RD[[#This Row],[33 kV_F6_Ex
Incomer4]]-DW79)*1000)</f>
        <v>14000</v>
      </c>
      <c r="EO80" s="146">
        <f t="shared" si="166"/>
        <v>400.00000000000568</v>
      </c>
      <c r="EP80" s="146">
        <f>IF((RD[[#This Row],[33 kV_F7_Ex
Incomer5]]-DY79)*1000&lt;0,0,(RD[[#This Row],[33 kV_F7_Ex
Incomer5]]-DY79)*1000)</f>
        <v>144200.00000000006</v>
      </c>
      <c r="EQ80" s="146">
        <f>IF((RD[[#This Row],[33 kV_F7_Im
Incomer5]]-DZ79)*1000&lt;0,0,(RD[[#This Row],[33 kV_F7_Im
Incomer5]]-DZ79)*1000)</f>
        <v>699.99999999999932</v>
      </c>
      <c r="ER80" s="146">
        <f>IF((RD[[#This Row],[33 kV_Aux Trafo]]-EA79)*1000&lt;0,0,(RD[[#This Row],[33 kV_Aux Trafo]]-EA79)*1000)</f>
        <v>269.99999999999602</v>
      </c>
      <c r="ES80" s="158">
        <f>IF((RD[[#This Row],[33kV_OG1_Ex_]]-EB79)*1&lt;0,0,(RD[[#This Row],[33kV_OG1_Ex_]]-EB79)*1)</f>
        <v>552780</v>
      </c>
      <c r="ET80" s="146">
        <f>IF((RD[[#This Row],[33kV_OG1_Im]]-EC79)*1&lt;0,0,(RD[[#This Row],[33kV_OG1_Im]]-EC79)*1)</f>
        <v>2885.3760000000475</v>
      </c>
      <c r="EU80" s="146">
        <f>IF((RD[[#This Row],[132kV_TX1_EX]]-ED79)*720&lt;=0,"",(RD[[#This Row],[132kV_TX1_EX]]-ED79)*720)</f>
        <v>2880</v>
      </c>
      <c r="EV80" s="146">
        <f>IF((RD[[#This Row],[132 kV_Tx1_Im]]-EE79)*720&lt;=0,0,(RD[[#This Row],[132 kV_Tx1_Im]]-EE79)*720)</f>
        <v>396000</v>
      </c>
      <c r="EW80" s="146">
        <f>IF((RD[[#This Row],[132kV_L1_Ex]]-EF79)*720&lt;=0,0,(RD[[#This Row],[132kV_L1_Ex]]-EF79)*720)</f>
        <v>551015.99999999162</v>
      </c>
      <c r="EX80" s="146">
        <f>IF((RD[[#This Row],[132kV_L1_Im]]-EG79)*720&lt;=0,0,(RD[[#This Row],[132kV_L1_Im]]-EG79)*720)</f>
        <v>3527.9999999999018</v>
      </c>
      <c r="EY80" s="244">
        <f>IFERROR(RD[[#This Row],[33kV_OG1_Ex (MWh)]]+RD[[#This Row],[33kV_OG1_Im (MWh)]],"")</f>
        <v>555665.37600000005</v>
      </c>
      <c r="EZ80" s="148">
        <f>RD[[#This Row],[33kV_OG1_Ex (MWh)]]-RD[[#This Row],[33kV_OG1_Im (MWh)]]</f>
        <v>549894.62399999995</v>
      </c>
      <c r="FA80" s="148">
        <f>IFERROR(RD[[#This Row],[132kV_L1_Ex(MWh)]]-RD[[#This Row],[132kV_L1_Im(MWh)]],"")</f>
        <v>547487.99999999173</v>
      </c>
      <c r="FB80" s="55">
        <f>IFERROR(RD[[#This Row],[33kV_Ex(MWh)]]/RD[[#This Row],[Inv Total Gneration (MWh)]]-1,"")</f>
        <v>-1.1910139212523041E-2</v>
      </c>
      <c r="FC80" s="245">
        <f>IFERROR((RD[[#This Row],[Sunset Time (POA&lt;20 W/m2)]]-RD[[#This Row],[Sunrise Time (POA&gt;20 W/m2)]])*24,0)</f>
        <v>11.9</v>
      </c>
      <c r="FD80" s="246">
        <v>122.7</v>
      </c>
      <c r="FE80" t="s">
        <v>298</v>
      </c>
      <c r="FG80" s="144" t="str">
        <f>IFERROR(RD[[#This Row],[E_AC (WPR)]]/RD[[#This Row],[E_DC (WPR)]],"")</f>
        <v/>
      </c>
    </row>
    <row r="81" spans="1:163">
      <c r="A81" s="133">
        <f t="shared" si="161"/>
        <v>45821</v>
      </c>
      <c r="B81" s="138">
        <f>YEAR(RD[[#This Row],[Date]])+IF(MONTH(RD[[#This Row],[Date]])&gt;=4,1,0)</f>
        <v>2026</v>
      </c>
      <c r="C81" s="138">
        <f>YEAR(RD[[#This Row],[Date]])</f>
        <v>2025</v>
      </c>
      <c r="D81" s="139">
        <f t="shared" si="165"/>
        <v>45809</v>
      </c>
      <c r="E81" s="138">
        <f>DAY(EOMONTH(RD[[#This Row],[Date]],0))</f>
        <v>30</v>
      </c>
      <c r="F81" s="152">
        <v>0.25069444444444444</v>
      </c>
      <c r="G81" s="162">
        <v>0.77638888888888891</v>
      </c>
      <c r="H81" s="124">
        <v>8210.1</v>
      </c>
      <c r="I81" s="270">
        <v>8159.7</v>
      </c>
      <c r="J81" s="124">
        <v>7744.1</v>
      </c>
      <c r="K81" s="124">
        <v>7846.4</v>
      </c>
      <c r="L81" s="124">
        <v>8108.4</v>
      </c>
      <c r="M81" s="124">
        <v>8353.2999999999993</v>
      </c>
      <c r="N81" s="124">
        <v>8074.8</v>
      </c>
      <c r="O81" s="124">
        <v>8690.7999999999993</v>
      </c>
      <c r="P81" s="124">
        <v>8079.8</v>
      </c>
      <c r="Q81" s="124">
        <v>7851.2</v>
      </c>
      <c r="R81" s="124">
        <v>8122.2</v>
      </c>
      <c r="S81" s="268">
        <v>8130.7</v>
      </c>
      <c r="T81" s="124">
        <v>8518.4</v>
      </c>
      <c r="U81" s="124">
        <v>8071.6</v>
      </c>
      <c r="V81" s="124">
        <v>8240.6</v>
      </c>
      <c r="W81" s="124">
        <v>8060.5</v>
      </c>
      <c r="X81" s="268">
        <v>11157.5</v>
      </c>
      <c r="Y81" s="203">
        <v>11932.2</v>
      </c>
      <c r="Z81" s="203">
        <v>10962.6</v>
      </c>
      <c r="AA81" s="203">
        <v>11537.4</v>
      </c>
      <c r="AB81" s="268">
        <v>11635.2</v>
      </c>
      <c r="AC81" s="203">
        <v>7274.9</v>
      </c>
      <c r="AD81" s="203">
        <v>11132.6</v>
      </c>
      <c r="AE81" s="203">
        <v>11272</v>
      </c>
      <c r="AF81" s="268">
        <v>11047.9</v>
      </c>
      <c r="AG81" s="203">
        <v>11088</v>
      </c>
      <c r="AH81" s="203">
        <v>10936</v>
      </c>
      <c r="AI81" s="268">
        <v>10963.4</v>
      </c>
      <c r="AJ81" s="203">
        <v>9247.5</v>
      </c>
      <c r="AK81" s="268">
        <v>9501</v>
      </c>
      <c r="AL81" s="203">
        <v>9511.5</v>
      </c>
      <c r="AM81" s="268">
        <v>9717</v>
      </c>
      <c r="AN81" s="203">
        <v>9457</v>
      </c>
      <c r="AO81" s="268">
        <v>9889.6</v>
      </c>
      <c r="AP81" s="203">
        <v>9641.7000000000007</v>
      </c>
      <c r="AQ81" s="268">
        <v>9643.2999999999993</v>
      </c>
      <c r="AR81" s="203">
        <v>8000.7</v>
      </c>
      <c r="AS81" s="268">
        <v>8109.7</v>
      </c>
      <c r="AT81" s="203">
        <v>7942</v>
      </c>
      <c r="AU81" s="268">
        <v>7875</v>
      </c>
      <c r="AV81" s="203">
        <v>8191.6</v>
      </c>
      <c r="AW81" s="203">
        <v>8149</v>
      </c>
      <c r="AX81" s="203">
        <v>10947.5</v>
      </c>
      <c r="AY81" s="203">
        <v>12157</v>
      </c>
      <c r="AZ81" s="203">
        <v>9040</v>
      </c>
      <c r="BA81" s="203">
        <v>11042.5</v>
      </c>
      <c r="BB81" s="203">
        <v>9320.7999999999993</v>
      </c>
      <c r="BC81" s="203">
        <v>9029.6</v>
      </c>
      <c r="BD81" s="203">
        <v>9678</v>
      </c>
      <c r="BE81" s="203">
        <v>10718</v>
      </c>
      <c r="BF81" s="203">
        <v>12510</v>
      </c>
      <c r="BG81" s="203">
        <v>11215</v>
      </c>
      <c r="BH81" s="203">
        <v>11343.5</v>
      </c>
      <c r="BI81" s="203">
        <v>11721</v>
      </c>
      <c r="BJ81" s="203">
        <v>7757</v>
      </c>
      <c r="BK81" s="203">
        <v>6200</v>
      </c>
      <c r="BL81" s="203">
        <v>7294.9</v>
      </c>
      <c r="BM81" s="203">
        <v>7311</v>
      </c>
      <c r="BN81" s="203">
        <v>8075</v>
      </c>
      <c r="BO81" s="203">
        <v>7990</v>
      </c>
      <c r="BP81" s="203">
        <v>8233</v>
      </c>
      <c r="BQ81" s="203">
        <v>8102</v>
      </c>
      <c r="BR81" s="203">
        <v>8843.9</v>
      </c>
      <c r="BS81" s="203">
        <v>9162</v>
      </c>
      <c r="BT81" s="203">
        <v>8990</v>
      </c>
      <c r="BU81" s="203">
        <v>9321</v>
      </c>
      <c r="BV81" s="203"/>
      <c r="BW81" s="203"/>
      <c r="BX81" s="203"/>
      <c r="BY81" s="203"/>
      <c r="BZ81" s="203">
        <v>1231.8</v>
      </c>
      <c r="CA81" s="203">
        <v>1050</v>
      </c>
      <c r="CB81" s="203">
        <v>4759</v>
      </c>
      <c r="CC81" s="203">
        <v>7932</v>
      </c>
      <c r="CD81" s="263">
        <v>7.5539500333333249</v>
      </c>
      <c r="CE81" s="263">
        <v>4.3333333333333304</v>
      </c>
      <c r="CF81" s="263">
        <v>5.7569642499999949</v>
      </c>
      <c r="CG81" s="263">
        <v>3.4166666666666701</v>
      </c>
      <c r="CH81" s="263">
        <v>0.74359071666666754</v>
      </c>
      <c r="CI81" s="263">
        <v>2.3461666666666687E-3</v>
      </c>
      <c r="CJ81" s="263">
        <v>1.0490957333333351</v>
      </c>
      <c r="CK81" s="263">
        <v>1.6295999999999999E-3</v>
      </c>
      <c r="CL81" s="263">
        <v>30.571987720644639</v>
      </c>
      <c r="CM81" s="263">
        <v>5.2325727411944882</v>
      </c>
      <c r="CN81" s="263">
        <v>45.633159631619357</v>
      </c>
      <c r="CO81" s="263">
        <v>6.0656676875957096</v>
      </c>
      <c r="CP81" s="263">
        <v>73.476438986953411</v>
      </c>
      <c r="CQ81" s="263">
        <v>19.251898928024506</v>
      </c>
      <c r="CR81" s="263">
        <v>0</v>
      </c>
      <c r="CS81" s="263">
        <v>0</v>
      </c>
      <c r="CT81" s="263">
        <v>0.84872141212586116</v>
      </c>
      <c r="CU81" s="263">
        <v>0.17374732006125587</v>
      </c>
      <c r="CV81" s="263">
        <v>2.9729999999999999</v>
      </c>
      <c r="CW81" s="263">
        <v>1.6679999999999999</v>
      </c>
      <c r="CX81" s="204">
        <f>IFERROR(AVERAGEIF(RD[[#This Row],[IS1POA1 (KWh/m2)]:[IS7POA2 (KWh/m2)]],"&lt;&gt;0",RD[[#This Row],[IS1POA1 (KWh/m2)]:[IS7POA2 (KWh/m2)]]),"")</f>
        <v>5.9436416833333272</v>
      </c>
      <c r="CY81" s="204">
        <f>IFERROR(AVERAGEIF(RD[[#This Row],[IS1GHI1 (KWh/m2)]:[IS7GHI2 (KWh/m2)]],"&lt;&gt;0",RD[[#This Row],[IS1GHI1 (KWh/m2)]:[IS7GHI2 (KWh/m2)]]),"")</f>
        <v>4.5868154583333327</v>
      </c>
      <c r="CZ81" s="204">
        <f>IFERROR(AVERAGEIF(RD[[#This Row],[IS1POA_BS1 (KWh/m2)]:[IS7POA_BS2 (KWh/m2)]],"&lt;&gt;0",RD[[#This Row],[IS1POA_BS1 (KWh/m2)]:[IS7POA_BS2 (KWh/m2)]]),"")</f>
        <v>0.37296844166666709</v>
      </c>
      <c r="DA81" s="204">
        <f>IFERROR(AVERAGEIF(RD[[#This Row],[IS1GHI_BS1 (KWh/m2)]:[IS1GHI_BS1 (KWh/m2)2]],"&lt;&gt;0",RD[[#This Row],[IS1GHI_BS1 (KWh/m2)]:[IS1GHI_BS1 (KWh/m2)2]]),"")</f>
        <v>0.52536266666666753</v>
      </c>
      <c r="DB81" s="204">
        <f>IFERROR(AVERAGEIF(RD[[#This Row],[IS1AT1 (°C)]:[IS7AT2 (°C)]],"&lt;&gt;0",RD[[#This Row],[IS1AT1 (°C)]:[IS7AT2 (°C)]]),"")</f>
        <v>17.902280230919565</v>
      </c>
      <c r="DC81" s="204">
        <f>IFERROR(AVERAGEIF(RD[[#This Row],[IS1MT1 (°C)]:[IS7MT2 (°C)]],"&lt;&gt;0",RD[[#This Row],[IS1MT1 (°C)]:[IS7MT2 (°C)]]),"")</f>
        <v>25.849413659607535</v>
      </c>
      <c r="DD81" s="204">
        <f>IFERROR(AVERAGEIF(RD[[#This Row],[IS1RH1 (%)]:[IS7RH2 (%)]],"&lt;&gt;0",RD[[#This Row],[IS1RH1 (%)]:[IS7RH2 (%)]]),"")</f>
        <v>46.364168957488957</v>
      </c>
      <c r="DE81" s="51" t="str">
        <f>IFERROR(AVERAGEIF(RD[[#This Row],[IS1Rain1 (mm)]:[IS7Rain2 (mm)]],"&lt;&gt;0",RD[[#This Row],[IS1Rain1 (mm)]:[IS7Rain2 (mm)]]),"")</f>
        <v/>
      </c>
      <c r="DF81" s="204">
        <f>IFERROR(AVERAGEIF(RD[[#This Row],[WS_Solar1_Avg (m/s)]:[IS7_WS_Solar1_Avg (m/s)]],"&lt;&gt;0",RD[[#This Row],[WS_Solar1_Avg (m/s)]:[IS7_WS_Solar1_Avg (m/s)]]),"")</f>
        <v>0.51123436609355855</v>
      </c>
      <c r="DG81" s="204">
        <f>IFERROR(AVERAGEIF(RD[[#This Row],[WS_Solar1_Max (m/s)]:[IS7_WS_Solar1_Max (m/s)]],"&lt;&gt;0",RD[[#This Row],[WS_Solar1_Max (m/s)]:[IS7_WS_Solar1_Max (m/s)]]),"")</f>
        <v>2.3205</v>
      </c>
      <c r="DH81" s="204">
        <f>SUM(RD[[#This Row],[IS1Inv1M1]:[IS4Inv4M2]])</f>
        <v>261202.30000000002</v>
      </c>
      <c r="DI81" s="205">
        <f>SUM(RD[[#This Row],[IS7Inv1M1]]+RD[[#This Row],[IS7Inv2M1]])</f>
        <v>16110.4</v>
      </c>
      <c r="DJ81" s="204">
        <f>SUM(RD[[#This Row],[IS5Inv1M1]:[IS5Inv2M2]])</f>
        <v>37977</v>
      </c>
      <c r="DK81" s="204">
        <f>SUM(RD[[#This Row],[IS8Inv1M1]:[IS9Inv2M2]])</f>
        <v>75344.600000000006</v>
      </c>
      <c r="DL81" s="60">
        <f>SUM(RD[[#This Row],[IS6Inv1M1]:[IS6Inv2M2]])</f>
        <v>38631.599999999999</v>
      </c>
      <c r="DM81" s="51">
        <f>SUM(RD[[#This Row],[IS10Inv1M1]:[IS11Inv1M4]],RD[[#This Row],[IS14Inv1M1]:[IS14Inv2M4]])</f>
        <v>129071.59999999999</v>
      </c>
      <c r="DN81" s="288">
        <f>SUM(RD[[#This Row],[IS12Inv1M1]:[IS12Inv1M4]])</f>
        <v>32400</v>
      </c>
      <c r="DO81" s="288">
        <f>SUM(RD[[#This Row],[IS13Inv1M1]:[IS13Inv2M2]])</f>
        <v>36316.9</v>
      </c>
      <c r="DP81" s="204">
        <f>SUM(RD[[#This Row],[O2R15]:[O2R26]])</f>
        <v>627054.4</v>
      </c>
      <c r="DQ81" s="164">
        <v>43273.3</v>
      </c>
      <c r="DR81" s="168">
        <v>219.9</v>
      </c>
      <c r="DS81" s="164">
        <v>37715.5</v>
      </c>
      <c r="DT81" s="164">
        <v>232.4</v>
      </c>
      <c r="DU81" s="168">
        <v>44323.199999999997</v>
      </c>
      <c r="DV81" s="168">
        <v>417.7</v>
      </c>
      <c r="DW81" s="164">
        <v>10302.4</v>
      </c>
      <c r="DX81" s="168">
        <v>51.7</v>
      </c>
      <c r="DY81" s="168">
        <v>1829.7</v>
      </c>
      <c r="DZ81" s="168">
        <v>6.4</v>
      </c>
      <c r="EA81" s="140">
        <v>102.11</v>
      </c>
      <c r="EB81" s="243">
        <v>141069860</v>
      </c>
      <c r="EC81" s="242">
        <v>992910.33600000001</v>
      </c>
      <c r="ED81" s="243">
        <v>1194</v>
      </c>
      <c r="EE81" s="243">
        <v>135307</v>
      </c>
      <c r="EF81" s="164">
        <v>195603.8</v>
      </c>
      <c r="EG81" s="164">
        <v>1930.8</v>
      </c>
      <c r="EH81" s="146">
        <f>IF((RD[[#This Row],[33 kV_F3_Ex
Incomer1]]-DQ80)*1000&lt;0,0,(RD[[#This Row],[33 kV_F3_Ex
Incomer1]]-DQ80)*1000)</f>
        <v>130000</v>
      </c>
      <c r="EI81" s="146">
        <f>IF((RD[[#This Row],[34 kV_F3_Im
Incomer1]]-DR80)*1000&lt;0,0,(RD[[#This Row],[34 kV_F3_Im
Incomer1]]-DR80)*1000)</f>
        <v>400.00000000000568</v>
      </c>
      <c r="EJ81" s="146">
        <f>IF((RD[[#This Row],[33 kV_F4_Ex
Incomer2]]-DS80)*1000&lt;0,0,(RD[[#This Row],[33 kV_F4_Ex
Incomer2]]-DS80)*1000)</f>
        <v>124800.00000000291</v>
      </c>
      <c r="EK81" s="146">
        <f>IF((RD[[#This Row],[34 kV_F4_Im
Incomer2]]-DT80)*1000&lt;0,0,(RD[[#This Row],[34 kV_F4_Im
Incomer2]]-DT80)*1000)</f>
        <v>300.00000000001137</v>
      </c>
      <c r="EL81" s="146">
        <f>IF((RD[[#This Row],[33 kV_F5_Ex
Incomer3]]-DU80)*1000&lt;0,0,(RD[[#This Row],[33 kV_F5_Ex
Incomer3]]-DU80)*1000)</f>
        <v>165599.99999999854</v>
      </c>
      <c r="EM81" s="146">
        <f>IF((RD[[#This Row],[34 kV_F5_Im
Incomer3]]-DV80)*1000&lt;0,0,(RD[[#This Row],[34 kV_F5_Im
Incomer3]]-DV80)*1000)</f>
        <v>1300.0000000000114</v>
      </c>
      <c r="EN81" s="146">
        <f>IF((RD[[#This Row],[33 kV_F6_Ex
Incomer4]]-DW80)*1000&lt;0,0,(RD[[#This Row],[33 kV_F6_Ex
Incomer4]]-DW80)*1000)</f>
        <v>14899.999999999636</v>
      </c>
      <c r="EO81" s="146">
        <f t="shared" si="166"/>
        <v>300.00000000001137</v>
      </c>
      <c r="EP81" s="146">
        <f>IF((RD[[#This Row],[33 kV_F7_Ex
Incomer5]]-DY80)*1000&lt;0,0,(RD[[#This Row],[33 kV_F7_Ex
Incomer5]]-DY80)*1000)</f>
        <v>149900.00000000009</v>
      </c>
      <c r="EQ81" s="146">
        <f>IF((RD[[#This Row],[33 kV_F7_Im
Incomer5]]-DZ80)*1000&lt;0,0,(RD[[#This Row],[33 kV_F7_Im
Incomer5]]-DZ80)*1000)</f>
        <v>800.00000000000068</v>
      </c>
      <c r="ER81" s="146">
        <f>IF((RD[[#This Row],[33 kV_Aux Trafo]]-EA80)*1000&lt;0,0,(RD[[#This Row],[33 kV_Aux Trafo]]-EA80)*1000)</f>
        <v>290.00000000000625</v>
      </c>
      <c r="ES81" s="158">
        <f>IF((RD[[#This Row],[33kV_OG1_Ex_]]-EB80)*1&lt;0,0,(RD[[#This Row],[33kV_OG1_Ex_]]-EB80)*1)</f>
        <v>611844</v>
      </c>
      <c r="ET81" s="146">
        <f>IF((RD[[#This Row],[33kV_OG1_Im]]-EC80)*1&lt;0,0,(RD[[#This Row],[33kV_OG1_Im]]-EC80)*1)</f>
        <v>3286.1439999999711</v>
      </c>
      <c r="EU81" s="146">
        <f>IF((RD[[#This Row],[132kV_TX1_EX]]-ED80)*720&lt;=0,"",(RD[[#This Row],[132kV_TX1_EX]]-ED80)*720)</f>
        <v>2880</v>
      </c>
      <c r="EV81" s="146">
        <f>IF((RD[[#This Row],[132 kV_Tx1_Im]]-EE80)*720&lt;=0,0,(RD[[#This Row],[132 kV_Tx1_Im]]-EE80)*720)</f>
        <v>439200</v>
      </c>
      <c r="EW81" s="146">
        <f>IF((RD[[#This Row],[132kV_L1_Ex]]-EF80)*720&lt;=0,0,(RD[[#This Row],[132kV_L1_Ex]]-EF80)*720)</f>
        <v>609840</v>
      </c>
      <c r="EX81" s="146">
        <f>IF((RD[[#This Row],[132kV_L1_Im]]-EG80)*720&lt;=0,0,(RD[[#This Row],[132kV_L1_Im]]-EG80)*720)</f>
        <v>3744.0000000000327</v>
      </c>
      <c r="EY81" s="244">
        <f>IFERROR(RD[[#This Row],[33kV_OG1_Ex (MWh)]]+RD[[#This Row],[33kV_OG1_Im (MWh)]],"")</f>
        <v>615130.14399999997</v>
      </c>
      <c r="EZ81" s="148">
        <f>RD[[#This Row],[33kV_OG1_Ex (MWh)]]-RD[[#This Row],[33kV_OG1_Im (MWh)]]</f>
        <v>608557.85600000003</v>
      </c>
      <c r="FA81" s="148">
        <f>IFERROR(RD[[#This Row],[132kV_L1_Ex(MWh)]]-RD[[#This Row],[132kV_L1_Im(MWh)]],"")</f>
        <v>606096</v>
      </c>
      <c r="FB81" s="55">
        <f>IFERROR(RD[[#This Row],[33kV_Ex(MWh)]]/RD[[#This Row],[Inv Total Gneration (MWh)]]-1,"")</f>
        <v>-1.9016302253839656E-2</v>
      </c>
      <c r="FC81" s="245">
        <f>IFERROR((RD[[#This Row],[Sunset Time (POA&lt;20 W/m2)]]-RD[[#This Row],[Sunrise Time (POA&gt;20 W/m2)]])*24,0)</f>
        <v>12.616666666666667</v>
      </c>
      <c r="FD81" s="246">
        <v>122.7</v>
      </c>
      <c r="FE81" t="s">
        <v>299</v>
      </c>
      <c r="FG81" s="144" t="str">
        <f>IFERROR(RD[[#This Row],[E_AC (WPR)]]/RD[[#This Row],[E_DC (WPR)]],"")</f>
        <v/>
      </c>
    </row>
    <row r="82" spans="1:163">
      <c r="A82" s="133">
        <f t="shared" si="161"/>
        <v>45822</v>
      </c>
      <c r="B82" s="138">
        <f>YEAR(RD[[#This Row],[Date]])+IF(MONTH(RD[[#This Row],[Date]])&gt;=4,1,0)</f>
        <v>2026</v>
      </c>
      <c r="C82" s="138">
        <f>YEAR(RD[[#This Row],[Date]])</f>
        <v>2025</v>
      </c>
      <c r="D82" s="139">
        <f t="shared" si="165"/>
        <v>45809</v>
      </c>
      <c r="E82" s="138">
        <f>DAY(EOMONTH(RD[[#This Row],[Date]],0))</f>
        <v>30</v>
      </c>
      <c r="F82" s="152">
        <v>0.24722222222222223</v>
      </c>
      <c r="G82" s="162">
        <v>0.77222222222222225</v>
      </c>
      <c r="H82" s="124">
        <v>7578.7</v>
      </c>
      <c r="I82" s="270">
        <v>7593.7</v>
      </c>
      <c r="J82" s="124">
        <v>7075.9</v>
      </c>
      <c r="K82" s="124">
        <v>6973.4</v>
      </c>
      <c r="L82" s="124">
        <v>7262.4</v>
      </c>
      <c r="M82" s="124">
        <v>7550</v>
      </c>
      <c r="N82" s="124">
        <v>7277.3</v>
      </c>
      <c r="O82" s="124">
        <v>7994.8</v>
      </c>
      <c r="P82" s="124">
        <v>7407.5</v>
      </c>
      <c r="Q82" s="124">
        <v>7151.1</v>
      </c>
      <c r="R82" s="124">
        <v>7592.5</v>
      </c>
      <c r="S82" s="268">
        <v>7643.1</v>
      </c>
      <c r="T82" s="124">
        <v>7898.1</v>
      </c>
      <c r="U82" s="124">
        <v>7840.2</v>
      </c>
      <c r="V82" s="124">
        <v>7657.8</v>
      </c>
      <c r="W82" s="124">
        <v>7376.2</v>
      </c>
      <c r="X82" s="268">
        <v>10755.6</v>
      </c>
      <c r="Y82" s="203">
        <v>11929.6</v>
      </c>
      <c r="Z82" s="203">
        <v>10211.299999999999</v>
      </c>
      <c r="AA82" s="203">
        <v>10803</v>
      </c>
      <c r="AB82" s="268">
        <v>11515.1</v>
      </c>
      <c r="AC82" s="203">
        <v>7180.4</v>
      </c>
      <c r="AD82" s="203">
        <v>10956.9</v>
      </c>
      <c r="AE82" s="203">
        <v>10995.5</v>
      </c>
      <c r="AF82" s="268">
        <v>10849.8</v>
      </c>
      <c r="AG82" s="203">
        <v>10889</v>
      </c>
      <c r="AH82" s="203">
        <v>10785.9</v>
      </c>
      <c r="AI82" s="268">
        <v>10828.4</v>
      </c>
      <c r="AJ82" s="203">
        <v>8837.5</v>
      </c>
      <c r="AK82" s="268">
        <v>8972.4</v>
      </c>
      <c r="AL82" s="203">
        <v>8423</v>
      </c>
      <c r="AM82" s="268">
        <v>8365.7999999999993</v>
      </c>
      <c r="AN82" s="203">
        <v>8762</v>
      </c>
      <c r="AO82" s="268">
        <v>8875.6</v>
      </c>
      <c r="AP82" s="203">
        <v>8881.9</v>
      </c>
      <c r="AQ82" s="268">
        <v>8611</v>
      </c>
      <c r="AR82" s="203">
        <v>6843</v>
      </c>
      <c r="AS82" s="268">
        <v>6803.8</v>
      </c>
      <c r="AT82" s="203">
        <v>6918</v>
      </c>
      <c r="AU82" s="268">
        <v>6837.6</v>
      </c>
      <c r="AV82" s="203">
        <v>6941.9</v>
      </c>
      <c r="AW82" s="203">
        <v>6811</v>
      </c>
      <c r="AX82" s="203">
        <v>10304</v>
      </c>
      <c r="AY82" s="203">
        <v>11440</v>
      </c>
      <c r="AZ82" s="203">
        <v>8292</v>
      </c>
      <c r="BA82" s="203">
        <v>9690</v>
      </c>
      <c r="BB82" s="203">
        <v>9065</v>
      </c>
      <c r="BC82" s="203">
        <v>8793.7999999999993</v>
      </c>
      <c r="BD82" s="203">
        <v>8925.7000000000007</v>
      </c>
      <c r="BE82" s="203">
        <v>9931.7000000000007</v>
      </c>
      <c r="BF82" s="203">
        <v>9057</v>
      </c>
      <c r="BG82" s="203">
        <v>9503</v>
      </c>
      <c r="BH82" s="203">
        <v>10791.6</v>
      </c>
      <c r="BI82" s="203">
        <v>11126</v>
      </c>
      <c r="BJ82" s="203">
        <v>7749</v>
      </c>
      <c r="BK82" s="203">
        <v>6249.8</v>
      </c>
      <c r="BL82" s="203">
        <v>7508</v>
      </c>
      <c r="BM82" s="203">
        <v>7453.9</v>
      </c>
      <c r="BN82" s="203">
        <v>7972</v>
      </c>
      <c r="BO82" s="203">
        <v>7749</v>
      </c>
      <c r="BP82" s="203">
        <v>8433.6</v>
      </c>
      <c r="BQ82" s="203">
        <v>8373</v>
      </c>
      <c r="BR82" s="203">
        <v>9105</v>
      </c>
      <c r="BS82" s="203">
        <v>9403</v>
      </c>
      <c r="BT82" s="203">
        <v>8969.6</v>
      </c>
      <c r="BU82" s="203">
        <v>9540</v>
      </c>
      <c r="BV82" s="203"/>
      <c r="BW82" s="203"/>
      <c r="BX82" s="203"/>
      <c r="BY82" s="203"/>
      <c r="BZ82" s="203">
        <v>1318</v>
      </c>
      <c r="CA82" s="203">
        <v>1115</v>
      </c>
      <c r="CB82" s="203">
        <v>5002</v>
      </c>
      <c r="CC82" s="203">
        <v>8284</v>
      </c>
      <c r="CD82" s="263">
        <v>6.871251516666673</v>
      </c>
      <c r="CE82" s="263">
        <v>6.871251516666673</v>
      </c>
      <c r="CF82" s="263">
        <v>5.2343621666666644</v>
      </c>
      <c r="CG82" s="263">
        <v>5.2343621666666644</v>
      </c>
      <c r="CH82" s="263">
        <v>0.71466563333333322</v>
      </c>
      <c r="CI82" s="263">
        <v>0.71466563333333322</v>
      </c>
      <c r="CJ82" s="263">
        <v>0.9810536999999997</v>
      </c>
      <c r="CK82" s="263">
        <v>0.9810536999999997</v>
      </c>
      <c r="CL82" s="263">
        <v>30.935410764872515</v>
      </c>
      <c r="CM82" s="263">
        <v>30.935410764872515</v>
      </c>
      <c r="CN82" s="263">
        <v>44.854223087818717</v>
      </c>
      <c r="CO82" s="263">
        <v>44.854223087818717</v>
      </c>
      <c r="CP82" s="263">
        <v>68.348158640226629</v>
      </c>
      <c r="CQ82" s="263">
        <v>68.348158640226629</v>
      </c>
      <c r="CR82" s="263">
        <v>0</v>
      </c>
      <c r="CS82" s="263">
        <v>0</v>
      </c>
      <c r="CT82" s="263">
        <v>0.81648441926345705</v>
      </c>
      <c r="CU82" s="263">
        <v>0.81648441926345705</v>
      </c>
      <c r="CV82" s="263">
        <v>4.2210000000000001</v>
      </c>
      <c r="CW82" s="263">
        <v>4.2210000000000001</v>
      </c>
      <c r="CX82" s="204">
        <f>IFERROR(AVERAGEIF(RD[[#This Row],[IS1POA1 (KWh/m2)]:[IS7POA2 (KWh/m2)]],"&lt;&gt;0",RD[[#This Row],[IS1POA1 (KWh/m2)]:[IS7POA2 (KWh/m2)]]),"")</f>
        <v>6.871251516666673</v>
      </c>
      <c r="CY82" s="204">
        <f>IFERROR(AVERAGEIF(RD[[#This Row],[IS1GHI1 (KWh/m2)]:[IS7GHI2 (KWh/m2)]],"&lt;&gt;0",RD[[#This Row],[IS1GHI1 (KWh/m2)]:[IS7GHI2 (KWh/m2)]]),"")</f>
        <v>5.2343621666666644</v>
      </c>
      <c r="CZ82" s="204">
        <f>IFERROR(AVERAGEIF(RD[[#This Row],[IS1POA_BS1 (KWh/m2)]:[IS7POA_BS2 (KWh/m2)]],"&lt;&gt;0",RD[[#This Row],[IS1POA_BS1 (KWh/m2)]:[IS7POA_BS2 (KWh/m2)]]),"")</f>
        <v>0.71466563333333322</v>
      </c>
      <c r="DA82" s="204">
        <f>IFERROR(AVERAGEIF(RD[[#This Row],[IS1GHI_BS1 (KWh/m2)]:[IS1GHI_BS1 (KWh/m2)2]],"&lt;&gt;0",RD[[#This Row],[IS1GHI_BS1 (KWh/m2)]:[IS1GHI_BS1 (KWh/m2)2]]),"")</f>
        <v>0.9810536999999997</v>
      </c>
      <c r="DB82" s="204">
        <f>IFERROR(AVERAGEIF(RD[[#This Row],[IS1AT1 (°C)]:[IS7AT2 (°C)]],"&lt;&gt;0",RD[[#This Row],[IS1AT1 (°C)]:[IS7AT2 (°C)]]),"")</f>
        <v>30.935410764872515</v>
      </c>
      <c r="DC82" s="204">
        <f>IFERROR(AVERAGEIF(RD[[#This Row],[IS1MT1 (°C)]:[IS7MT2 (°C)]],"&lt;&gt;0",RD[[#This Row],[IS1MT1 (°C)]:[IS7MT2 (°C)]]),"")</f>
        <v>44.854223087818717</v>
      </c>
      <c r="DD82" s="204">
        <f>IFERROR(AVERAGEIF(RD[[#This Row],[IS1RH1 (%)]:[IS7RH2 (%)]],"&lt;&gt;0",RD[[#This Row],[IS1RH1 (%)]:[IS7RH2 (%)]]),"")</f>
        <v>68.348158640226629</v>
      </c>
      <c r="DE82" s="51" t="str">
        <f>IFERROR(AVERAGEIF(RD[[#This Row],[IS1Rain1 (mm)]:[IS7Rain2 (mm)]],"&lt;&gt;0",RD[[#This Row],[IS1Rain1 (mm)]:[IS7Rain2 (mm)]]),"")</f>
        <v/>
      </c>
      <c r="DF82" s="204">
        <f>IFERROR(AVERAGEIF(RD[[#This Row],[WS_Solar1_Avg (m/s)]:[IS7_WS_Solar1_Avg (m/s)]],"&lt;&gt;0",RD[[#This Row],[WS_Solar1_Avg (m/s)]:[IS7_WS_Solar1_Avg (m/s)]]),"")</f>
        <v>0.81648441926345705</v>
      </c>
      <c r="DG82" s="204">
        <f>IFERROR(AVERAGEIF(RD[[#This Row],[WS_Solar1_Max (m/s)]:[IS7_WS_Solar1_Max (m/s)]],"&lt;&gt;0",RD[[#This Row],[WS_Solar1_Max (m/s)]:[IS7_WS_Solar1_Max (m/s)]]),"")</f>
        <v>4.2210000000000001</v>
      </c>
      <c r="DH82" s="204">
        <f>SUM(RD[[#This Row],[IS1Inv1M1]:[IS4Inv4M2]])</f>
        <v>247573.19999999998</v>
      </c>
      <c r="DI82" s="205">
        <f>SUM(RD[[#This Row],[IS7Inv1M1]]+RD[[#This Row],[IS7Inv2M1]])</f>
        <v>13646.8</v>
      </c>
      <c r="DJ82" s="204">
        <f>SUM(RD[[#This Row],[IS5Inv1M1]:[IS5Inv2M2]])</f>
        <v>34598.699999999997</v>
      </c>
      <c r="DK82" s="204">
        <f>SUM(RD[[#This Row],[IS8Inv1M1]:[IS9Inv2M2]])</f>
        <v>67234.5</v>
      </c>
      <c r="DL82" s="60">
        <f>SUM(RD[[#This Row],[IS6Inv1M1]:[IS6Inv2M2]])</f>
        <v>35130.5</v>
      </c>
      <c r="DM82" s="51">
        <f>SUM(RD[[#This Row],[IS10Inv1M1]:[IS11Inv1M4]],RD[[#This Row],[IS14Inv1M1]:[IS14Inv2M4]])</f>
        <v>121873.5</v>
      </c>
      <c r="DN82" s="288">
        <f>SUM(RD[[#This Row],[IS12Inv1M1]:[IS12Inv1M4]])</f>
        <v>32527.599999999999</v>
      </c>
      <c r="DO82" s="288">
        <f>SUM(RD[[#This Row],[IS13Inv1M1]:[IS13Inv2M2]])</f>
        <v>37017.599999999999</v>
      </c>
      <c r="DP82" s="204">
        <f>SUM(RD[[#This Row],[O2R15]:[O2R26]])</f>
        <v>589602.39999999991</v>
      </c>
      <c r="DQ82" s="164">
        <v>43400.2</v>
      </c>
      <c r="DR82" s="168">
        <v>220.4</v>
      </c>
      <c r="DS82" s="164">
        <v>37830.6</v>
      </c>
      <c r="DT82" s="164">
        <v>232.9</v>
      </c>
      <c r="DU82" s="168">
        <v>44472</v>
      </c>
      <c r="DV82" s="168">
        <v>419.4</v>
      </c>
      <c r="DW82" s="164">
        <v>10317.9</v>
      </c>
      <c r="DX82" s="168">
        <v>52</v>
      </c>
      <c r="DY82" s="168">
        <v>1980.7</v>
      </c>
      <c r="DZ82" s="168">
        <v>7.1</v>
      </c>
      <c r="EA82" s="140">
        <v>102.45</v>
      </c>
      <c r="EB82" s="243">
        <v>141654163</v>
      </c>
      <c r="EC82" s="242">
        <v>996937.85600000003</v>
      </c>
      <c r="ED82" s="243">
        <v>1198</v>
      </c>
      <c r="EE82" s="243">
        <v>135889</v>
      </c>
      <c r="EF82" s="164">
        <v>196412.79999999999</v>
      </c>
      <c r="EG82" s="164">
        <v>1937.4</v>
      </c>
      <c r="EH82" s="146">
        <f>IF((RD[[#This Row],[33 kV_F3_Ex
Incomer1]]-DQ81)*1000&lt;0,0,(RD[[#This Row],[33 kV_F3_Ex
Incomer1]]-DQ81)*1000)</f>
        <v>126899.99999999418</v>
      </c>
      <c r="EI82" s="146">
        <f>IF((RD[[#This Row],[34 kV_F3_Im
Incomer1]]-DR81)*1000&lt;0,0,(RD[[#This Row],[34 kV_F3_Im
Incomer1]]-DR81)*1000)</f>
        <v>500</v>
      </c>
      <c r="EJ82" s="146">
        <f>IF((RD[[#This Row],[33 kV_F4_Ex
Incomer2]]-DS81)*1000&lt;0,0,(RD[[#This Row],[33 kV_F4_Ex
Incomer2]]-DS81)*1000)</f>
        <v>115099.99999999854</v>
      </c>
      <c r="EK82" s="146">
        <f>IF((RD[[#This Row],[34 kV_F4_Im
Incomer2]]-DT81)*1000&lt;0,0,(RD[[#This Row],[34 kV_F4_Im
Incomer2]]-DT81)*1000)</f>
        <v>500</v>
      </c>
      <c r="EL82" s="146">
        <f>IF((RD[[#This Row],[33 kV_F5_Ex
Incomer3]]-DU81)*1000&lt;0,0,(RD[[#This Row],[33 kV_F5_Ex
Incomer3]]-DU81)*1000)</f>
        <v>148800.00000000291</v>
      </c>
      <c r="EM82" s="146">
        <f>IF((RD[[#This Row],[34 kV_F5_Im
Incomer3]]-DV81)*1000&lt;0,0,(RD[[#This Row],[34 kV_F5_Im
Incomer3]]-DV81)*1000)</f>
        <v>1699.9999999999886</v>
      </c>
      <c r="EN82" s="146">
        <f>IF((RD[[#This Row],[33 kV_F6_Ex
Incomer4]]-DW81)*1000&lt;0,0,(RD[[#This Row],[33 kV_F6_Ex
Incomer4]]-DW81)*1000)</f>
        <v>15500</v>
      </c>
      <c r="EO82" s="146">
        <f t="shared" si="166"/>
        <v>399.99999999997726</v>
      </c>
      <c r="EP82" s="146">
        <f>IF((RD[[#This Row],[33 kV_F7_Ex
Incomer5]]-DY81)*1000&lt;0,0,(RD[[#This Row],[33 kV_F7_Ex
Incomer5]]-DY81)*1000)</f>
        <v>151000</v>
      </c>
      <c r="EQ82" s="146">
        <f>IF((RD[[#This Row],[33 kV_F7_Im
Incomer5]]-DZ81)*1000&lt;0,0,(RD[[#This Row],[33 kV_F7_Im
Incomer5]]-DZ81)*1000)</f>
        <v>699.99999999999932</v>
      </c>
      <c r="ER82" s="146">
        <f>IF((RD[[#This Row],[33 kV_Aux Trafo]]-EA81)*1000&lt;0,0,(RD[[#This Row],[33 kV_Aux Trafo]]-EA81)*1000)</f>
        <v>340.00000000000341</v>
      </c>
      <c r="ES82" s="158">
        <f>IF((RD[[#This Row],[33kV_OG1_Ex_]]-EB81)*1&lt;0,0,(RD[[#This Row],[33kV_OG1_Ex_]]-EB81)*1)</f>
        <v>584303</v>
      </c>
      <c r="ET82" s="146">
        <f>IF((RD[[#This Row],[33kV_OG1_Im]]-EC81)*1&lt;0,0,(RD[[#This Row],[33kV_OG1_Im]]-EC81)*1)</f>
        <v>4027.5200000000186</v>
      </c>
      <c r="EU82" s="146">
        <f>IF((RD[[#This Row],[132kV_TX1_EX]]-ED81)*720&lt;=0,"",(RD[[#This Row],[132kV_TX1_EX]]-ED81)*720)</f>
        <v>2880</v>
      </c>
      <c r="EV82" s="146">
        <f>IF((RD[[#This Row],[132 kV_Tx1_Im]]-EE81)*720&lt;=0,0,(RD[[#This Row],[132 kV_Tx1_Im]]-EE81)*720)</f>
        <v>419040</v>
      </c>
      <c r="EW82" s="146">
        <f>IF((RD[[#This Row],[132kV_L1_Ex]]-EF81)*720&lt;=0,0,(RD[[#This Row],[132kV_L1_Ex]]-EF81)*720)</f>
        <v>582480</v>
      </c>
      <c r="EX82" s="146">
        <f>IF((RD[[#This Row],[132kV_L1_Im]]-EG81)*720&lt;=0,0,(RD[[#This Row],[132kV_L1_Im]]-EG81)*720)</f>
        <v>4752.0000000000982</v>
      </c>
      <c r="EY82" s="244">
        <f>IFERROR(RD[[#This Row],[33kV_OG1_Ex (MWh)]]+RD[[#This Row],[33kV_OG1_Im (MWh)]],"")</f>
        <v>588330.52</v>
      </c>
      <c r="EZ82" s="148">
        <f>RD[[#This Row],[33kV_OG1_Ex (MWh)]]-RD[[#This Row],[33kV_OG1_Im (MWh)]]</f>
        <v>580275.48</v>
      </c>
      <c r="FA82" s="148">
        <f>IFERROR(RD[[#This Row],[132kV_L1_Ex(MWh)]]-RD[[#This Row],[132kV_L1_Im(MWh)]],"")</f>
        <v>577727.99999999988</v>
      </c>
      <c r="FB82" s="55">
        <f>IFERROR(RD[[#This Row],[33kV_Ex(MWh)]]/RD[[#This Row],[Inv Total Gneration (MWh)]]-1,"")</f>
        <v>-2.1571825352133533E-3</v>
      </c>
      <c r="FC82" s="245">
        <f>IFERROR((RD[[#This Row],[Sunset Time (POA&lt;20 W/m2)]]-RD[[#This Row],[Sunrise Time (POA&gt;20 W/m2)]])*24,0)</f>
        <v>12.600000000000001</v>
      </c>
      <c r="FD82" s="246">
        <v>122.7</v>
      </c>
      <c r="FE82" s="300" t="s">
        <v>293</v>
      </c>
      <c r="FG82" s="144" t="str">
        <f>IFERROR(RD[[#This Row],[E_AC (WPR)]]/RD[[#This Row],[E_DC (WPR)]],"")</f>
        <v/>
      </c>
    </row>
    <row r="83" spans="1:163">
      <c r="A83" s="133">
        <f t="shared" si="161"/>
        <v>45823</v>
      </c>
      <c r="B83" s="138">
        <f>YEAR(RD[[#This Row],[Date]])+IF(MONTH(RD[[#This Row],[Date]])&gt;=4,1,0)</f>
        <v>2026</v>
      </c>
      <c r="C83" s="138">
        <f>YEAR(RD[[#This Row],[Date]])</f>
        <v>2025</v>
      </c>
      <c r="D83" s="139">
        <f t="shared" si="165"/>
        <v>45809</v>
      </c>
      <c r="E83" s="138">
        <f>DAY(EOMONTH(RD[[#This Row],[Date]],0))</f>
        <v>30</v>
      </c>
      <c r="F83" s="152">
        <v>0.25694444444444442</v>
      </c>
      <c r="G83" s="162">
        <v>0.76111111111111107</v>
      </c>
      <c r="H83" s="124">
        <v>7252.8</v>
      </c>
      <c r="I83" s="270">
        <v>7317.7</v>
      </c>
      <c r="J83" s="124">
        <v>6979.5</v>
      </c>
      <c r="K83" s="124">
        <v>6687</v>
      </c>
      <c r="L83" s="124">
        <v>6735.1</v>
      </c>
      <c r="M83" s="124">
        <v>7138.4</v>
      </c>
      <c r="N83" s="124">
        <v>7024.1</v>
      </c>
      <c r="O83" s="124">
        <v>7553.1</v>
      </c>
      <c r="P83" s="124">
        <v>6927.4</v>
      </c>
      <c r="Q83" s="124">
        <v>6542</v>
      </c>
      <c r="R83" s="124">
        <v>6661.7</v>
      </c>
      <c r="S83" s="268">
        <v>6697.9</v>
      </c>
      <c r="T83" s="124">
        <v>7254.5</v>
      </c>
      <c r="U83" s="124">
        <v>6291</v>
      </c>
      <c r="V83" s="124">
        <v>7022.9</v>
      </c>
      <c r="W83" s="124">
        <v>6903.7</v>
      </c>
      <c r="X83" s="268">
        <v>9264.9</v>
      </c>
      <c r="Y83" s="203">
        <v>9725.7999999999993</v>
      </c>
      <c r="Z83" s="203">
        <v>9434.2000000000007</v>
      </c>
      <c r="AA83" s="203">
        <v>10013.299999999999</v>
      </c>
      <c r="AB83" s="268">
        <v>9562.9</v>
      </c>
      <c r="AC83" s="203">
        <v>6039.6</v>
      </c>
      <c r="AD83" s="203">
        <v>9095.7999999999993</v>
      </c>
      <c r="AE83" s="203">
        <v>9142.6</v>
      </c>
      <c r="AF83" s="268">
        <v>8855.9</v>
      </c>
      <c r="AG83" s="203">
        <v>8857.7999999999993</v>
      </c>
      <c r="AH83" s="203">
        <v>8872.2999999999993</v>
      </c>
      <c r="AI83" s="268">
        <v>8790.1</v>
      </c>
      <c r="AJ83" s="203">
        <v>7096.8</v>
      </c>
      <c r="AK83" s="268">
        <v>7232.8</v>
      </c>
      <c r="AL83" s="203">
        <v>7110.8</v>
      </c>
      <c r="AM83" s="268">
        <v>7172.9</v>
      </c>
      <c r="AN83" s="203">
        <v>7063.9</v>
      </c>
      <c r="AO83" s="268">
        <v>7257.8</v>
      </c>
      <c r="AP83" s="203">
        <v>7155.8</v>
      </c>
      <c r="AQ83" s="268">
        <v>7080.3</v>
      </c>
      <c r="AR83" s="203">
        <v>5614</v>
      </c>
      <c r="AS83" s="268">
        <v>5648.2</v>
      </c>
      <c r="AT83" s="203">
        <v>5681</v>
      </c>
      <c r="AU83" s="268">
        <v>5680.7</v>
      </c>
      <c r="AV83" s="203">
        <v>5771.3</v>
      </c>
      <c r="AW83" s="203">
        <v>5693</v>
      </c>
      <c r="AX83" s="203">
        <v>8261</v>
      </c>
      <c r="AY83" s="203">
        <v>9352.7999999999993</v>
      </c>
      <c r="AZ83" s="203">
        <v>6667.8</v>
      </c>
      <c r="BA83" s="203">
        <v>7863.8</v>
      </c>
      <c r="BB83" s="203">
        <v>8851.7000000000007</v>
      </c>
      <c r="BC83" s="203">
        <v>8503.9</v>
      </c>
      <c r="BD83" s="203">
        <v>9082.1</v>
      </c>
      <c r="BE83" s="203">
        <v>10040.799999999999</v>
      </c>
      <c r="BF83" s="203">
        <v>10840</v>
      </c>
      <c r="BG83" s="203">
        <v>10971.9</v>
      </c>
      <c r="BH83" s="203">
        <v>10816</v>
      </c>
      <c r="BI83" s="203">
        <v>11200.4</v>
      </c>
      <c r="BJ83" s="203">
        <v>7603.5</v>
      </c>
      <c r="BK83" s="203">
        <v>6136</v>
      </c>
      <c r="BL83" s="203">
        <v>7289.8</v>
      </c>
      <c r="BM83" s="203">
        <v>6136</v>
      </c>
      <c r="BN83" s="203">
        <v>7655.1</v>
      </c>
      <c r="BO83" s="203">
        <v>7345.9</v>
      </c>
      <c r="BP83" s="203">
        <v>7833</v>
      </c>
      <c r="BQ83" s="203">
        <v>7869.2</v>
      </c>
      <c r="BR83" s="203">
        <v>8864.6</v>
      </c>
      <c r="BS83" s="203">
        <v>9237.2999999999993</v>
      </c>
      <c r="BT83" s="203">
        <v>8577.7999999999993</v>
      </c>
      <c r="BU83" s="203">
        <v>9229.6</v>
      </c>
      <c r="BV83" s="203"/>
      <c r="BW83" s="203"/>
      <c r="BX83" s="203"/>
      <c r="BY83" s="203"/>
      <c r="BZ83" s="203">
        <v>1268.7</v>
      </c>
      <c r="CA83" s="203">
        <v>1075.5</v>
      </c>
      <c r="CB83" s="203">
        <v>4858.1000000000004</v>
      </c>
      <c r="CC83" s="203">
        <v>7882.5</v>
      </c>
      <c r="CD83" s="263">
        <v>6.834107899999994</v>
      </c>
      <c r="CE83" s="263">
        <v>6.834107899999994</v>
      </c>
      <c r="CF83" s="263">
        <v>5.2119190499999979</v>
      </c>
      <c r="CG83" s="263">
        <v>5.2119190499999979</v>
      </c>
      <c r="CH83" s="263">
        <v>0.68744010000000055</v>
      </c>
      <c r="CI83" s="263">
        <v>0.68744010000000055</v>
      </c>
      <c r="CJ83" s="263">
        <v>0.96393041666666623</v>
      </c>
      <c r="CK83" s="263">
        <v>0.96393041666666623</v>
      </c>
      <c r="CL83" s="263">
        <v>30.29257188498401</v>
      </c>
      <c r="CM83" s="263">
        <v>30.29257188498401</v>
      </c>
      <c r="CN83" s="263">
        <v>44.882682108626092</v>
      </c>
      <c r="CO83" s="263">
        <v>44.882682108626092</v>
      </c>
      <c r="CP83" s="263">
        <v>74.660862619808299</v>
      </c>
      <c r="CQ83" s="263">
        <v>74.660862619808299</v>
      </c>
      <c r="CR83" s="263">
        <v>0.10716627634660419</v>
      </c>
      <c r="CS83" s="263">
        <v>7.0962609387430375E-2</v>
      </c>
      <c r="CT83" s="263">
        <v>1.1507822014051516</v>
      </c>
      <c r="CU83" s="263">
        <v>1.1507822014051516</v>
      </c>
      <c r="CV83" s="263">
        <v>3.3420000000000001</v>
      </c>
      <c r="CW83" s="263">
        <v>3.3420000000000001</v>
      </c>
      <c r="CX83" s="204">
        <f>IFERROR(AVERAGEIF(RD[[#This Row],[IS1POA1 (KWh/m2)]:[IS7POA2 (KWh/m2)]],"&lt;&gt;0",RD[[#This Row],[IS1POA1 (KWh/m2)]:[IS7POA2 (KWh/m2)]]),"")</f>
        <v>6.834107899999994</v>
      </c>
      <c r="CY83" s="204">
        <f>IFERROR(AVERAGEIF(RD[[#This Row],[IS1GHI1 (KWh/m2)]:[IS7GHI2 (KWh/m2)]],"&lt;&gt;0",RD[[#This Row],[IS1GHI1 (KWh/m2)]:[IS7GHI2 (KWh/m2)]]),"")</f>
        <v>5.2119190499999979</v>
      </c>
      <c r="CZ83" s="204">
        <f>IFERROR(AVERAGEIF(RD[[#This Row],[IS1POA_BS1 (KWh/m2)]:[IS7POA_BS2 (KWh/m2)]],"&lt;&gt;0",RD[[#This Row],[IS1POA_BS1 (KWh/m2)]:[IS7POA_BS2 (KWh/m2)]]),"")</f>
        <v>0.68744010000000055</v>
      </c>
      <c r="DA83" s="204">
        <f>IFERROR(AVERAGEIF(RD[[#This Row],[IS1GHI_BS1 (KWh/m2)]:[IS1GHI_BS1 (KWh/m2)2]],"&lt;&gt;0",RD[[#This Row],[IS1GHI_BS1 (KWh/m2)]:[IS1GHI_BS1 (KWh/m2)2]]),"")</f>
        <v>0.96393041666666623</v>
      </c>
      <c r="DB83" s="204">
        <f>IFERROR(AVERAGEIF(RD[[#This Row],[IS1AT1 (°C)]:[IS7AT2 (°C)]],"&lt;&gt;0",RD[[#This Row],[IS1AT1 (°C)]:[IS7AT2 (°C)]]),"")</f>
        <v>30.29257188498401</v>
      </c>
      <c r="DC83" s="204">
        <f>IFERROR(AVERAGEIF(RD[[#This Row],[IS1MT1 (°C)]:[IS7MT2 (°C)]],"&lt;&gt;0",RD[[#This Row],[IS1MT1 (°C)]:[IS7MT2 (°C)]]),"")</f>
        <v>44.882682108626092</v>
      </c>
      <c r="DD83" s="204">
        <f>IFERROR(AVERAGEIF(RD[[#This Row],[IS1RH1 (%)]:[IS7RH2 (%)]],"&lt;&gt;0",RD[[#This Row],[IS1RH1 (%)]:[IS7RH2 (%)]]),"")</f>
        <v>74.660862619808299</v>
      </c>
      <c r="DE83" s="51">
        <f>IFERROR(AVERAGEIF(RD[[#This Row],[IS1Rain1 (mm)]:[IS7Rain2 (mm)]],"&lt;&gt;0",RD[[#This Row],[IS1Rain1 (mm)]:[IS7Rain2 (mm)]]),"")</f>
        <v>8.9064442867017285E-2</v>
      </c>
      <c r="DF83" s="204">
        <f>IFERROR(AVERAGEIF(RD[[#This Row],[WS_Solar1_Avg (m/s)]:[IS7_WS_Solar1_Avg (m/s)]],"&lt;&gt;0",RD[[#This Row],[WS_Solar1_Avg (m/s)]:[IS7_WS_Solar1_Avg (m/s)]]),"")</f>
        <v>1.1507822014051516</v>
      </c>
      <c r="DG83" s="204">
        <f>IFERROR(AVERAGEIF(RD[[#This Row],[WS_Solar1_Max (m/s)]:[IS7_WS_Solar1_Max (m/s)]],"&lt;&gt;0",RD[[#This Row],[WS_Solar1_Max (m/s)]:[IS7_WS_Solar1_Max (m/s)]]),"")</f>
        <v>3.3420000000000001</v>
      </c>
      <c r="DH83" s="204">
        <f>SUM(RD[[#This Row],[IS1Inv1M1]:[IS4Inv4M2]])</f>
        <v>218643.99999999994</v>
      </c>
      <c r="DI83" s="205">
        <f>SUM(RD[[#This Row],[IS7Inv1M1]]+RD[[#This Row],[IS7Inv2M1]])</f>
        <v>11262.2</v>
      </c>
      <c r="DJ83" s="204">
        <f>SUM(RD[[#This Row],[IS5Inv1M1]:[IS5Inv2M2]])</f>
        <v>28613.300000000003</v>
      </c>
      <c r="DK83" s="204">
        <f>SUM(RD[[#This Row],[IS8Inv1M1]:[IS9Inv2M2]])</f>
        <v>54971.400000000009</v>
      </c>
      <c r="DL83" s="60">
        <f>SUM(RD[[#This Row],[IS6Inv1M1]:[IS6Inv2M2]])</f>
        <v>28557.8</v>
      </c>
      <c r="DM83" s="51">
        <f>SUM(RD[[#This Row],[IS10Inv1M1]:[IS11Inv1M4]],RD[[#This Row],[IS14Inv1M1]:[IS14Inv2M4]])</f>
        <v>122556.9</v>
      </c>
      <c r="DN83" s="288">
        <f>SUM(RD[[#This Row],[IS12Inv1M1]:[IS12Inv1M4]])</f>
        <v>30703.200000000001</v>
      </c>
      <c r="DO83" s="288">
        <f>SUM(RD[[#This Row],[IS13Inv1M1]:[IS13Inv2M2]])</f>
        <v>35909.300000000003</v>
      </c>
      <c r="DP83" s="204">
        <f>SUM(RD[[#This Row],[O2R15]:[O2R26]])</f>
        <v>531218.1</v>
      </c>
      <c r="DQ83" s="164">
        <v>43507.1</v>
      </c>
      <c r="DR83" s="168">
        <v>220.6</v>
      </c>
      <c r="DS83" s="164">
        <v>37938</v>
      </c>
      <c r="DT83" s="164">
        <v>233.1</v>
      </c>
      <c r="DU83" s="168">
        <v>44594.1</v>
      </c>
      <c r="DV83" s="168">
        <v>420.3</v>
      </c>
      <c r="DW83" s="164">
        <v>10332.9</v>
      </c>
      <c r="DX83" s="168">
        <v>52.1</v>
      </c>
      <c r="DY83" s="168">
        <v>2128.1</v>
      </c>
      <c r="DZ83" s="168">
        <v>7.6</v>
      </c>
      <c r="EA83" s="140">
        <v>102.68</v>
      </c>
      <c r="EB83" s="243">
        <v>142178959</v>
      </c>
      <c r="EC83" s="242">
        <v>999191.16799999995</v>
      </c>
      <c r="ED83" s="243">
        <v>1201</v>
      </c>
      <c r="EE83" s="243">
        <v>136411</v>
      </c>
      <c r="EF83" s="164">
        <v>197139.4</v>
      </c>
      <c r="EG83" s="164">
        <v>1941</v>
      </c>
      <c r="EH83" s="146">
        <f>IF((RD[[#This Row],[33 kV_F3_Ex
Incomer1]]-DQ82)*1000&lt;0,0,(RD[[#This Row],[33 kV_F3_Ex
Incomer1]]-DQ82)*1000)</f>
        <v>106900.00000000146</v>
      </c>
      <c r="EI83" s="146">
        <f>IF((RD[[#This Row],[34 kV_F3_Im
Incomer1]]-DR82)*1000&lt;0,0,(RD[[#This Row],[34 kV_F3_Im
Incomer1]]-DR82)*1000)</f>
        <v>199.99999999998863</v>
      </c>
      <c r="EJ83" s="146">
        <f>IF((RD[[#This Row],[33 kV_F4_Ex
Incomer2]]-DS82)*1000&lt;0,0,(RD[[#This Row],[33 kV_F4_Ex
Incomer2]]-DS82)*1000)</f>
        <v>107400.00000000146</v>
      </c>
      <c r="EK83" s="146">
        <f>IF((RD[[#This Row],[34 kV_F4_Im
Incomer2]]-DT82)*1000&lt;0,0,(RD[[#This Row],[34 kV_F4_Im
Incomer2]]-DT82)*1000)</f>
        <v>199.99999999998863</v>
      </c>
      <c r="EL83" s="146">
        <f>IF((RD[[#This Row],[33 kV_F5_Ex
Incomer3]]-DU82)*1000&lt;0,0,(RD[[#This Row],[33 kV_F5_Ex
Incomer3]]-DU82)*1000)</f>
        <v>122099.99999999854</v>
      </c>
      <c r="EM83" s="146">
        <f>IF((RD[[#This Row],[34 kV_F5_Im
Incomer3]]-DV82)*1000&lt;0,0,(RD[[#This Row],[34 kV_F5_Im
Incomer3]]-DV82)*1000)</f>
        <v>900.00000000003411</v>
      </c>
      <c r="EN83" s="146">
        <f>IF((RD[[#This Row],[33 kV_F6_Ex
Incomer4]]-DW82)*1000&lt;0,0,(RD[[#This Row],[33 kV_F6_Ex
Incomer4]]-DW82)*1000)</f>
        <v>15000</v>
      </c>
      <c r="EO83" s="146">
        <f t="shared" si="166"/>
        <v>400.00000000000568</v>
      </c>
      <c r="EP83" s="146">
        <f>IF((RD[[#This Row],[33 kV_F7_Ex
Incomer5]]-DY82)*1000&lt;0,0,(RD[[#This Row],[33 kV_F7_Ex
Incomer5]]-DY82)*1000)</f>
        <v>147399.99999999985</v>
      </c>
      <c r="EQ83" s="146">
        <f>IF((RD[[#This Row],[33 kV_F7_Im
Incomer5]]-DZ82)*1000&lt;0,0,(RD[[#This Row],[33 kV_F7_Im
Incomer5]]-DZ82)*1000)</f>
        <v>500</v>
      </c>
      <c r="ER83" s="146">
        <f>IF((RD[[#This Row],[33 kV_Aux Trafo]]-EA82)*1000&lt;0,0,(RD[[#This Row],[33 kV_Aux Trafo]]-EA82)*1000)</f>
        <v>230.00000000000398</v>
      </c>
      <c r="ES83" s="158">
        <f>IF((RD[[#This Row],[33kV_OG1_Ex_]]-EB82)*1&lt;0,0,(RD[[#This Row],[33kV_OG1_Ex_]]-EB82)*1)</f>
        <v>524796</v>
      </c>
      <c r="ET83" s="146">
        <f>IF((RD[[#This Row],[33kV_OG1_Im]]-EC82)*1&lt;0,0,(RD[[#This Row],[33kV_OG1_Im]]-EC82)*1)</f>
        <v>2253.311999999918</v>
      </c>
      <c r="EU83" s="146">
        <f>IF((RD[[#This Row],[132kV_TX1_EX]]-ED82)*720&lt;=0,"",(RD[[#This Row],[132kV_TX1_EX]]-ED82)*720)</f>
        <v>2160</v>
      </c>
      <c r="EV83" s="146">
        <f>IF((RD[[#This Row],[132 kV_Tx1_Im]]-EE82)*720&lt;=0,0,(RD[[#This Row],[132 kV_Tx1_Im]]-EE82)*720)</f>
        <v>375840</v>
      </c>
      <c r="EW83" s="146">
        <f>IF((RD[[#This Row],[132kV_L1_Ex]]-EF82)*720&lt;=0,0,(RD[[#This Row],[132kV_L1_Ex]]-EF82)*720)</f>
        <v>523152.00000000419</v>
      </c>
      <c r="EX83" s="146">
        <f>IF((RD[[#This Row],[132kV_L1_Im]]-EG82)*720&lt;=0,0,(RD[[#This Row],[132kV_L1_Im]]-EG82)*720)</f>
        <v>2591.9999999999345</v>
      </c>
      <c r="EY83" s="244">
        <f>IFERROR(RD[[#This Row],[33kV_OG1_Ex (MWh)]]+RD[[#This Row],[33kV_OG1_Im (MWh)]],"")</f>
        <v>527049.31199999992</v>
      </c>
      <c r="EZ83" s="148">
        <f>RD[[#This Row],[33kV_OG1_Ex (MWh)]]-RD[[#This Row],[33kV_OG1_Im (MWh)]]</f>
        <v>522542.68800000008</v>
      </c>
      <c r="FA83" s="148">
        <f>IFERROR(RD[[#This Row],[132kV_L1_Ex(MWh)]]-RD[[#This Row],[132kV_L1_Im(MWh)]],"")</f>
        <v>520560.00000000425</v>
      </c>
      <c r="FB83" s="55">
        <f>IFERROR(RD[[#This Row],[33kV_Ex(MWh)]]/RD[[#This Row],[Inv Total Gneration (MWh)]]-1,"")</f>
        <v>-7.8476015783348618E-3</v>
      </c>
      <c r="FC83" s="245">
        <f>IFERROR((RD[[#This Row],[Sunset Time (POA&lt;20 W/m2)]]-RD[[#This Row],[Sunrise Time (POA&gt;20 W/m2)]])*24,0)</f>
        <v>12.1</v>
      </c>
      <c r="FD83" s="246">
        <v>122.7</v>
      </c>
      <c r="FE83" s="300" t="s">
        <v>297</v>
      </c>
      <c r="FG83" s="144" t="str">
        <f>IFERROR(RD[[#This Row],[E_AC (WPR)]]/RD[[#This Row],[E_DC (WPR)]],"")</f>
        <v/>
      </c>
    </row>
    <row r="84" spans="1:163">
      <c r="A84" s="133">
        <f t="shared" si="161"/>
        <v>45824</v>
      </c>
      <c r="B84" s="138">
        <f>YEAR(RD[[#This Row],[Date]])+IF(MONTH(RD[[#This Row],[Date]])&gt;=4,1,0)</f>
        <v>2026</v>
      </c>
      <c r="C84" s="138">
        <f>YEAR(RD[[#This Row],[Date]])</f>
        <v>2025</v>
      </c>
      <c r="D84" s="139">
        <f t="shared" si="165"/>
        <v>45809</v>
      </c>
      <c r="E84" s="138">
        <f>DAY(EOMONTH(RD[[#This Row],[Date]],0))</f>
        <v>30</v>
      </c>
      <c r="F84" s="152">
        <v>0.24722222222222223</v>
      </c>
      <c r="G84" s="162">
        <v>0.78472222222222221</v>
      </c>
      <c r="H84" s="124">
        <v>6264.3</v>
      </c>
      <c r="I84" s="270">
        <v>6230.5</v>
      </c>
      <c r="J84" s="124">
        <v>5935.7</v>
      </c>
      <c r="K84" s="124">
        <v>5918.3</v>
      </c>
      <c r="L84" s="124">
        <v>6084.2</v>
      </c>
      <c r="M84" s="124">
        <v>6303.5</v>
      </c>
      <c r="N84" s="124">
        <v>6117.1</v>
      </c>
      <c r="O84" s="124">
        <v>6554.9</v>
      </c>
      <c r="P84" s="124">
        <v>6156</v>
      </c>
      <c r="Q84" s="124">
        <v>5967.3</v>
      </c>
      <c r="R84" s="124">
        <v>6240.7</v>
      </c>
      <c r="S84" s="268">
        <v>6290.9</v>
      </c>
      <c r="T84" s="124">
        <v>6575</v>
      </c>
      <c r="U84" s="124">
        <v>6531.4</v>
      </c>
      <c r="V84" s="124">
        <v>6373.1</v>
      </c>
      <c r="W84" s="124">
        <v>6179.6</v>
      </c>
      <c r="X84" s="268">
        <v>8924.9</v>
      </c>
      <c r="Y84" s="203">
        <v>9869.2000000000007</v>
      </c>
      <c r="Z84" s="203">
        <v>8527.9</v>
      </c>
      <c r="AA84" s="203">
        <v>9107</v>
      </c>
      <c r="AB84" s="268">
        <v>9668.1</v>
      </c>
      <c r="AC84" s="203">
        <v>6212</v>
      </c>
      <c r="AD84" s="203">
        <v>9358.1</v>
      </c>
      <c r="AE84" s="203">
        <v>9242.4</v>
      </c>
      <c r="AF84" s="268">
        <v>9139.7999999999993</v>
      </c>
      <c r="AG84" s="203">
        <v>9172.6</v>
      </c>
      <c r="AH84" s="203">
        <v>9263.1</v>
      </c>
      <c r="AI84" s="268">
        <v>9078.2000000000007</v>
      </c>
      <c r="AJ84" s="203">
        <v>7633.4</v>
      </c>
      <c r="AK84" s="268">
        <v>7775.4</v>
      </c>
      <c r="AL84" s="203">
        <v>7606.4</v>
      </c>
      <c r="AM84" s="268">
        <v>7628.3</v>
      </c>
      <c r="AN84" s="203">
        <v>7632.3</v>
      </c>
      <c r="AO84" s="268">
        <v>7862.5</v>
      </c>
      <c r="AP84" s="203">
        <v>7773.7</v>
      </c>
      <c r="AQ84" s="268">
        <v>7676.7</v>
      </c>
      <c r="AR84" s="203">
        <v>6020.6</v>
      </c>
      <c r="AS84" s="268">
        <v>5994.1</v>
      </c>
      <c r="AT84" s="203">
        <v>6012.3</v>
      </c>
      <c r="AU84" s="268">
        <v>5980.8</v>
      </c>
      <c r="AV84" s="203">
        <v>6068.3</v>
      </c>
      <c r="AW84" s="203">
        <v>6006</v>
      </c>
      <c r="AX84" s="203">
        <v>8777</v>
      </c>
      <c r="AY84" s="203">
        <v>9591</v>
      </c>
      <c r="AZ84" s="203">
        <v>7292</v>
      </c>
      <c r="BA84" s="203">
        <v>8493.9</v>
      </c>
      <c r="BB84" s="203">
        <v>8022.2</v>
      </c>
      <c r="BC84" s="203">
        <v>7751.3</v>
      </c>
      <c r="BD84" s="203">
        <v>7938</v>
      </c>
      <c r="BE84" s="203">
        <v>8562.7999999999993</v>
      </c>
      <c r="BF84" s="203">
        <v>9127.5</v>
      </c>
      <c r="BG84" s="203">
        <v>9102.7000000000007</v>
      </c>
      <c r="BH84" s="203">
        <v>8888</v>
      </c>
      <c r="BI84" s="203">
        <v>9277.7999999999993</v>
      </c>
      <c r="BJ84" s="203">
        <v>6075.9</v>
      </c>
      <c r="BK84" s="203">
        <v>4869.2</v>
      </c>
      <c r="BL84" s="203">
        <v>5738.4</v>
      </c>
      <c r="BM84" s="203">
        <v>5685.4</v>
      </c>
      <c r="BN84" s="203">
        <v>6170.6</v>
      </c>
      <c r="BO84" s="203">
        <v>5797.1</v>
      </c>
      <c r="BP84" s="203">
        <v>6314.1</v>
      </c>
      <c r="BQ84" s="203">
        <v>6399.5</v>
      </c>
      <c r="BR84" s="203">
        <v>6889.3</v>
      </c>
      <c r="BS84" s="203">
        <v>7144.4</v>
      </c>
      <c r="BT84" s="203">
        <v>6695.6</v>
      </c>
      <c r="BU84" s="203">
        <v>7170.8</v>
      </c>
      <c r="BV84" s="203"/>
      <c r="BW84" s="203"/>
      <c r="BX84" s="203"/>
      <c r="BY84" s="203"/>
      <c r="BZ84" s="203">
        <v>906.9</v>
      </c>
      <c r="CA84" s="203">
        <v>758.7</v>
      </c>
      <c r="CB84" s="203">
        <v>3630.5</v>
      </c>
      <c r="CC84" s="203">
        <v>6041.2</v>
      </c>
      <c r="CD84" s="263">
        <v>5.8581051999999998</v>
      </c>
      <c r="CE84" s="263">
        <v>5.007673700000006</v>
      </c>
      <c r="CF84" s="263">
        <v>4.4696527999999995</v>
      </c>
      <c r="CG84" s="263">
        <v>5.1749865833333288</v>
      </c>
      <c r="CH84" s="263">
        <v>0.60221363333333311</v>
      </c>
      <c r="CI84" s="263">
        <v>0.64480575000000029</v>
      </c>
      <c r="CJ84" s="263">
        <v>0.81990478333333328</v>
      </c>
      <c r="CK84" s="263">
        <v>0.72478804999999868</v>
      </c>
      <c r="CL84" s="263">
        <v>29.729337105901458</v>
      </c>
      <c r="CM84" s="263">
        <v>28.241559485530548</v>
      </c>
      <c r="CN84" s="263">
        <v>42.334820533548942</v>
      </c>
      <c r="CO84" s="263">
        <v>39.881704983922852</v>
      </c>
      <c r="CP84" s="263">
        <v>78.556572352465622</v>
      </c>
      <c r="CQ84" s="263">
        <v>84.073553054662213</v>
      </c>
      <c r="CR84" s="263">
        <v>6.7890056588520611E-2</v>
      </c>
      <c r="CS84" s="263">
        <v>0.20257234726688103</v>
      </c>
      <c r="CT84" s="263">
        <v>1.1323654001616803</v>
      </c>
      <c r="CU84" s="263">
        <v>0.93926045016077098</v>
      </c>
      <c r="CV84" s="263">
        <v>3.5430000000000001</v>
      </c>
      <c r="CW84" s="263">
        <v>3.8610000000000002</v>
      </c>
      <c r="CX84" s="204">
        <f>IFERROR(AVERAGEIF(RD[[#This Row],[IS1POA1 (KWh/m2)]:[IS7POA2 (KWh/m2)]],"&lt;&gt;0",RD[[#This Row],[IS1POA1 (KWh/m2)]:[IS7POA2 (KWh/m2)]]),"")</f>
        <v>5.4328894500000029</v>
      </c>
      <c r="CY84" s="204">
        <f>IFERROR(AVERAGEIF(RD[[#This Row],[IS1GHI1 (KWh/m2)]:[IS7GHI2 (KWh/m2)]],"&lt;&gt;0",RD[[#This Row],[IS1GHI1 (KWh/m2)]:[IS7GHI2 (KWh/m2)]]),"")</f>
        <v>4.8223196916666637</v>
      </c>
      <c r="CZ84" s="204">
        <f>IFERROR(AVERAGEIF(RD[[#This Row],[IS1POA_BS1 (KWh/m2)]:[IS7POA_BS2 (KWh/m2)]],"&lt;&gt;0",RD[[#This Row],[IS1POA_BS1 (KWh/m2)]:[IS7POA_BS2 (KWh/m2)]]),"")</f>
        <v>0.6235096916666667</v>
      </c>
      <c r="DA84" s="204">
        <f>IFERROR(AVERAGEIF(RD[[#This Row],[IS1GHI_BS1 (KWh/m2)]:[IS1GHI_BS1 (KWh/m2)2]],"&lt;&gt;0",RD[[#This Row],[IS1GHI_BS1 (KWh/m2)]:[IS1GHI_BS1 (KWh/m2)2]]),"")</f>
        <v>0.77234641666666604</v>
      </c>
      <c r="DB84" s="204">
        <f>IFERROR(AVERAGEIF(RD[[#This Row],[IS1AT1 (°C)]:[IS7AT2 (°C)]],"&lt;&gt;0",RD[[#This Row],[IS1AT1 (°C)]:[IS7AT2 (°C)]]),"")</f>
        <v>28.985448295716004</v>
      </c>
      <c r="DC84" s="204">
        <f>IFERROR(AVERAGEIF(RD[[#This Row],[IS1MT1 (°C)]:[IS7MT2 (°C)]],"&lt;&gt;0",RD[[#This Row],[IS1MT1 (°C)]:[IS7MT2 (°C)]]),"")</f>
        <v>41.108262758735897</v>
      </c>
      <c r="DD84" s="204">
        <f>IFERROR(AVERAGEIF(RD[[#This Row],[IS1RH1 (%)]:[IS7RH2 (%)]],"&lt;&gt;0",RD[[#This Row],[IS1RH1 (%)]:[IS7RH2 (%)]]),"")</f>
        <v>81.31506270356391</v>
      </c>
      <c r="DE84" s="51">
        <f>IFERROR(AVERAGEIF(RD[[#This Row],[IS1Rain1 (mm)]:[IS7Rain2 (mm)]],"&lt;&gt;0",RD[[#This Row],[IS1Rain1 (mm)]:[IS7Rain2 (mm)]]),"")</f>
        <v>0.13523120192770083</v>
      </c>
      <c r="DF84" s="204">
        <f>IFERROR(AVERAGEIF(RD[[#This Row],[WS_Solar1_Avg (m/s)]:[IS7_WS_Solar1_Avg (m/s)]],"&lt;&gt;0",RD[[#This Row],[WS_Solar1_Avg (m/s)]:[IS7_WS_Solar1_Avg (m/s)]]),"")</f>
        <v>1.0358129251612256</v>
      </c>
      <c r="DG84" s="204">
        <f>IFERROR(AVERAGEIF(RD[[#This Row],[WS_Solar1_Max (m/s)]:[IS7_WS_Solar1_Max (m/s)]],"&lt;&gt;0",RD[[#This Row],[WS_Solar1_Max (m/s)]:[IS7_WS_Solar1_Max (m/s)]]),"")</f>
        <v>3.702</v>
      </c>
      <c r="DH84" s="204">
        <f>SUM(RD[[#This Row],[IS1Inv1M1]:[IS4Inv4M2]])</f>
        <v>207285.80000000002</v>
      </c>
      <c r="DI84" s="205">
        <f>SUM(RD[[#This Row],[IS7Inv1M1]]+RD[[#This Row],[IS7Inv2M1]])</f>
        <v>12014.7</v>
      </c>
      <c r="DJ84" s="204">
        <f>SUM(RD[[#This Row],[IS5Inv1M1]:[IS5Inv2M2]])</f>
        <v>30643.499999999996</v>
      </c>
      <c r="DK84" s="204">
        <f>SUM(RD[[#This Row],[IS8Inv1M1]:[IS9Inv2M2]])</f>
        <v>58221.3</v>
      </c>
      <c r="DL84" s="60">
        <f>SUM(RD[[#This Row],[IS6Inv1M1]:[IS6Inv2M2]])</f>
        <v>30945.200000000001</v>
      </c>
      <c r="DM84" s="51">
        <f>SUM(RD[[#This Row],[IS10Inv1M1]:[IS11Inv1M4]],RD[[#This Row],[IS14Inv1M1]:[IS14Inv2M4]])</f>
        <v>102376.49999999997</v>
      </c>
      <c r="DN84" s="288">
        <f>SUM(RD[[#This Row],[IS12Inv1M1]:[IS12Inv1M4]])</f>
        <v>24681.300000000003</v>
      </c>
      <c r="DO84" s="288">
        <f>SUM(RD[[#This Row],[IS13Inv1M1]:[IS13Inv2M2]])</f>
        <v>27900.100000000002</v>
      </c>
      <c r="DP84" s="204">
        <f>SUM(RD[[#This Row],[O2R15]:[O2R26]])</f>
        <v>494068.39999999997</v>
      </c>
      <c r="DQ84" s="164">
        <v>43614</v>
      </c>
      <c r="DR84" s="168">
        <v>221</v>
      </c>
      <c r="DS84" s="164">
        <v>38034.699999999997</v>
      </c>
      <c r="DT84" s="164">
        <v>233.5</v>
      </c>
      <c r="DU84" s="168">
        <v>44724.5</v>
      </c>
      <c r="DV84" s="168">
        <v>421.6</v>
      </c>
      <c r="DW84" s="164">
        <v>10344.200000000001</v>
      </c>
      <c r="DX84" s="168">
        <v>52.3</v>
      </c>
      <c r="DY84" s="168">
        <v>2249.5</v>
      </c>
      <c r="DZ84" s="168">
        <v>8.3000000000000007</v>
      </c>
      <c r="EA84" s="140">
        <v>102.94</v>
      </c>
      <c r="EB84" s="243">
        <v>142667268</v>
      </c>
      <c r="EC84" s="242">
        <v>1002321.216</v>
      </c>
      <c r="ED84" s="243">
        <v>1205</v>
      </c>
      <c r="EE84" s="243">
        <v>136898</v>
      </c>
      <c r="EF84" s="164">
        <v>197815.5</v>
      </c>
      <c r="EG84" s="164">
        <v>1946.1</v>
      </c>
      <c r="EH84" s="146">
        <f>IF((RD[[#This Row],[33 kV_F3_Ex
Incomer1]]-DQ83)*1000&lt;0,0,(RD[[#This Row],[33 kV_F3_Ex
Incomer1]]-DQ83)*1000)</f>
        <v>106900.00000000146</v>
      </c>
      <c r="EI84" s="146">
        <f>IF((RD[[#This Row],[34 kV_F3_Im
Incomer1]]-DR83)*1000&lt;0,0,(RD[[#This Row],[34 kV_F3_Im
Incomer1]]-DR83)*1000)</f>
        <v>400.00000000000568</v>
      </c>
      <c r="EJ84" s="146">
        <f>IF((RD[[#This Row],[33 kV_F4_Ex
Incomer2]]-DS83)*1000&lt;0,0,(RD[[#This Row],[33 kV_F4_Ex
Incomer2]]-DS83)*1000)</f>
        <v>96699.99999999709</v>
      </c>
      <c r="EK84" s="146">
        <f>IF((RD[[#This Row],[34 kV_F4_Im
Incomer2]]-DT83)*1000&lt;0,0,(RD[[#This Row],[34 kV_F4_Im
Incomer2]]-DT83)*1000)</f>
        <v>400.00000000000568</v>
      </c>
      <c r="EL84" s="146">
        <f>IF((RD[[#This Row],[33 kV_F5_Ex
Incomer3]]-DU83)*1000&lt;0,0,(RD[[#This Row],[33 kV_F5_Ex
Incomer3]]-DU83)*1000)</f>
        <v>130400.00000000146</v>
      </c>
      <c r="EM84" s="146">
        <f>IF((RD[[#This Row],[34 kV_F5_Im
Incomer3]]-DV83)*1000&lt;0,0,(RD[[#This Row],[34 kV_F5_Im
Incomer3]]-DV83)*1000)</f>
        <v>1300.0000000000114</v>
      </c>
      <c r="EN84" s="146">
        <f>IF((RD[[#This Row],[33 kV_F6_Ex
Incomer4]]-DW83)*1000&lt;0,0,(RD[[#This Row],[33 kV_F6_Ex
Incomer4]]-DW83)*1000)</f>
        <v>11300.000000001091</v>
      </c>
      <c r="EO84" s="146">
        <f t="shared" si="166"/>
        <v>300.00000000001137</v>
      </c>
      <c r="EP84" s="146">
        <f>IF((RD[[#This Row],[33 kV_F7_Ex
Incomer5]]-DY83)*1000&lt;0,0,(RD[[#This Row],[33 kV_F7_Ex
Incomer5]]-DY83)*1000)</f>
        <v>121400.00000000009</v>
      </c>
      <c r="EQ84" s="146">
        <f>IF((RD[[#This Row],[33 kV_F7_Im
Incomer5]]-DZ83)*1000&lt;0,0,(RD[[#This Row],[33 kV_F7_Im
Incomer5]]-DZ83)*1000)</f>
        <v>700.00000000000102</v>
      </c>
      <c r="ER84" s="146">
        <f>IF((RD[[#This Row],[33 kV_Aux Trafo]]-EA83)*1000&lt;0,0,(RD[[#This Row],[33 kV_Aux Trafo]]-EA83)*1000)</f>
        <v>259.99999999999091</v>
      </c>
      <c r="ES84" s="158">
        <f>IF((RD[[#This Row],[33kV_OG1_Ex_]]-EB83)*1&lt;0,0,(RD[[#This Row],[33kV_OG1_Ex_]]-EB83)*1)</f>
        <v>488309</v>
      </c>
      <c r="ET84" s="146">
        <f>IF((RD[[#This Row],[33kV_OG1_Im]]-EC83)*1&lt;0,0,(RD[[#This Row],[33kV_OG1_Im]]-EC83)*1)</f>
        <v>3130.048000000068</v>
      </c>
      <c r="EU84" s="146">
        <f>IF((RD[[#This Row],[132kV_TX1_EX]]-ED83)*720&lt;=0,"",(RD[[#This Row],[132kV_TX1_EX]]-ED83)*720)</f>
        <v>2880</v>
      </c>
      <c r="EV84" s="146">
        <f>IF((RD[[#This Row],[132 kV_Tx1_Im]]-EE83)*720&lt;=0,0,(RD[[#This Row],[132 kV_Tx1_Im]]-EE83)*720)</f>
        <v>350640</v>
      </c>
      <c r="EW84" s="146">
        <f>IF((RD[[#This Row],[132kV_L1_Ex]]-EF83)*720&lt;=0,0,(RD[[#This Row],[132kV_L1_Ex]]-EF83)*720)</f>
        <v>486792.00000000419</v>
      </c>
      <c r="EX84" s="146">
        <f>IF((RD[[#This Row],[132kV_L1_Im]]-EG83)*720&lt;=0,0,(RD[[#This Row],[132kV_L1_Im]]-EG83)*720)</f>
        <v>3671.9999999999345</v>
      </c>
      <c r="EY84" s="244">
        <f>IFERROR(RD[[#This Row],[33kV_OG1_Ex (MWh)]]+RD[[#This Row],[33kV_OG1_Im (MWh)]],"")</f>
        <v>491439.04800000007</v>
      </c>
      <c r="EZ84" s="148">
        <f>RD[[#This Row],[33kV_OG1_Ex (MWh)]]-RD[[#This Row],[33kV_OG1_Im (MWh)]]</f>
        <v>485178.95199999993</v>
      </c>
      <c r="FA84" s="148">
        <f>IFERROR(RD[[#This Row],[132kV_L1_Ex(MWh)]]-RD[[#This Row],[132kV_L1_Im(MWh)]],"")</f>
        <v>483120.00000000425</v>
      </c>
      <c r="FB84" s="55">
        <f>IFERROR(RD[[#This Row],[33kV_Ex(MWh)]]/RD[[#This Row],[Inv Total Gneration (MWh)]]-1,"")</f>
        <v>-5.321838028904291E-3</v>
      </c>
      <c r="FC84" s="245">
        <f>IFERROR((RD[[#This Row],[Sunset Time (POA&lt;20 W/m2)]]-RD[[#This Row],[Sunrise Time (POA&gt;20 W/m2)]])*24,0)</f>
        <v>12.899999999999999</v>
      </c>
      <c r="FD84" s="246">
        <v>122.7</v>
      </c>
      <c r="FE84" s="300" t="s">
        <v>300</v>
      </c>
      <c r="FG84" s="144" t="str">
        <f>IFERROR(RD[[#This Row],[E_AC (WPR)]]/RD[[#This Row],[E_DC (WPR)]],"")</f>
        <v/>
      </c>
    </row>
    <row r="85" spans="1:163">
      <c r="A85" s="133">
        <f t="shared" si="161"/>
        <v>45825</v>
      </c>
      <c r="B85" s="138">
        <f>YEAR(RD[[#This Row],[Date]])+IF(MONTH(RD[[#This Row],[Date]])&gt;=4,1,0)</f>
        <v>2026</v>
      </c>
      <c r="C85" s="138">
        <f>YEAR(RD[[#This Row],[Date]])</f>
        <v>2025</v>
      </c>
      <c r="D85" s="139">
        <f t="shared" si="165"/>
        <v>45809</v>
      </c>
      <c r="E85" s="138">
        <f>DAY(EOMONTH(RD[[#This Row],[Date]],0))</f>
        <v>30</v>
      </c>
      <c r="F85" s="152">
        <v>0.25763888888888886</v>
      </c>
      <c r="G85" s="162">
        <v>0.78402777777777777</v>
      </c>
      <c r="H85" s="124">
        <v>7829</v>
      </c>
      <c r="I85" s="270">
        <v>7899.7</v>
      </c>
      <c r="J85" s="124">
        <v>7589.5</v>
      </c>
      <c r="K85" s="124">
        <v>7418.4</v>
      </c>
      <c r="L85" s="124">
        <v>7520.1</v>
      </c>
      <c r="M85" s="124">
        <v>7726.1</v>
      </c>
      <c r="N85" s="124">
        <v>7649.7</v>
      </c>
      <c r="O85" s="124">
        <v>8123.5</v>
      </c>
      <c r="P85" s="124">
        <v>7786.6</v>
      </c>
      <c r="Q85" s="124">
        <v>7569.6</v>
      </c>
      <c r="R85" s="124">
        <v>7878.5</v>
      </c>
      <c r="S85" s="268">
        <v>7941.7</v>
      </c>
      <c r="T85" s="124">
        <v>8302.7999999999993</v>
      </c>
      <c r="U85" s="124">
        <v>8170.6</v>
      </c>
      <c r="V85" s="124">
        <v>8080.4</v>
      </c>
      <c r="W85" s="124">
        <v>7885.2</v>
      </c>
      <c r="X85" s="268">
        <v>11189.2</v>
      </c>
      <c r="Y85" s="203">
        <v>12049.6</v>
      </c>
      <c r="Z85" s="203">
        <v>10808.5</v>
      </c>
      <c r="AA85" s="203">
        <v>11624.6</v>
      </c>
      <c r="AB85" s="268">
        <v>12117.2</v>
      </c>
      <c r="AC85" s="203">
        <v>7745.3</v>
      </c>
      <c r="AD85" s="203">
        <v>11790.6</v>
      </c>
      <c r="AE85" s="203">
        <v>11595.5</v>
      </c>
      <c r="AF85" s="268">
        <v>11463.6</v>
      </c>
      <c r="AG85" s="203">
        <v>11430</v>
      </c>
      <c r="AH85" s="203">
        <v>11599.8</v>
      </c>
      <c r="AI85" s="268">
        <v>11622.2</v>
      </c>
      <c r="AJ85" s="203">
        <v>8368.6</v>
      </c>
      <c r="AK85" s="268">
        <v>8592.1</v>
      </c>
      <c r="AL85" s="203">
        <v>8402.4</v>
      </c>
      <c r="AM85" s="268">
        <v>8517.5</v>
      </c>
      <c r="AN85" s="203">
        <v>8435.1</v>
      </c>
      <c r="AO85" s="268">
        <v>8771.2000000000007</v>
      </c>
      <c r="AP85" s="203">
        <v>8623.1</v>
      </c>
      <c r="AQ85" s="268">
        <v>8563.7999999999993</v>
      </c>
      <c r="AR85" s="203">
        <v>6859.8</v>
      </c>
      <c r="AS85" s="268">
        <v>6918.6</v>
      </c>
      <c r="AT85" s="203">
        <v>6784.2</v>
      </c>
      <c r="AU85" s="268">
        <v>6779.4</v>
      </c>
      <c r="AV85" s="203">
        <v>6895</v>
      </c>
      <c r="AW85" s="203">
        <v>6896.2</v>
      </c>
      <c r="AX85" s="203">
        <v>9750.2999999999993</v>
      </c>
      <c r="AY85" s="203">
        <v>10715.1</v>
      </c>
      <c r="AZ85" s="203">
        <v>8070.5</v>
      </c>
      <c r="BA85" s="203">
        <v>9646.7999999999993</v>
      </c>
      <c r="BB85" s="203">
        <v>9044.5</v>
      </c>
      <c r="BC85" s="203">
        <v>8769.6</v>
      </c>
      <c r="BD85" s="203">
        <v>9427.6</v>
      </c>
      <c r="BE85" s="203">
        <v>10323.200000000001</v>
      </c>
      <c r="BF85" s="203">
        <v>11031.6</v>
      </c>
      <c r="BG85" s="203">
        <v>11055.6</v>
      </c>
      <c r="BH85" s="203">
        <v>10841.1</v>
      </c>
      <c r="BI85" s="203">
        <v>11208.8</v>
      </c>
      <c r="BJ85" s="203">
        <v>7584.6</v>
      </c>
      <c r="BK85" s="203">
        <v>6087.5</v>
      </c>
      <c r="BL85" s="203">
        <v>7178.9</v>
      </c>
      <c r="BM85" s="203">
        <v>6087.5</v>
      </c>
      <c r="BN85" s="203">
        <v>7686</v>
      </c>
      <c r="BO85" s="203">
        <v>7359</v>
      </c>
      <c r="BP85" s="203">
        <v>7880.3</v>
      </c>
      <c r="BQ85" s="203">
        <v>7904.9</v>
      </c>
      <c r="BR85" s="203">
        <v>8782.1</v>
      </c>
      <c r="BS85" s="203">
        <v>9057.6</v>
      </c>
      <c r="BT85" s="203">
        <v>8568.2999999999993</v>
      </c>
      <c r="BU85" s="203">
        <v>9212.5</v>
      </c>
      <c r="BV85" s="203"/>
      <c r="BW85" s="203"/>
      <c r="BX85" s="203"/>
      <c r="BY85" s="203"/>
      <c r="BZ85" s="203">
        <v>1233.9000000000001</v>
      </c>
      <c r="CA85" s="203">
        <v>1045</v>
      </c>
      <c r="CB85" s="203">
        <v>4770</v>
      </c>
      <c r="CC85" s="203">
        <v>7784.4</v>
      </c>
      <c r="CD85" s="263">
        <v>6.9962027333333277</v>
      </c>
      <c r="CE85" s="263">
        <v>5.6715885500000072</v>
      </c>
      <c r="CF85" s="263">
        <v>5.6283849500000018</v>
      </c>
      <c r="CG85" s="263">
        <v>5.8647795000000018</v>
      </c>
      <c r="CH85" s="263">
        <v>0.75191903333333265</v>
      </c>
      <c r="CI85" s="263">
        <v>0.77415861666666708</v>
      </c>
      <c r="CJ85" s="263">
        <v>1.0799913833333323</v>
      </c>
      <c r="CK85" s="263">
        <v>0.87412676666666655</v>
      </c>
      <c r="CL85" s="263">
        <v>30.48822847682122</v>
      </c>
      <c r="CM85" s="263">
        <v>30.158538587848902</v>
      </c>
      <c r="CN85" s="263">
        <v>44.885300496688764</v>
      </c>
      <c r="CO85" s="263">
        <v>41.15810016420361</v>
      </c>
      <c r="CP85" s="263">
        <v>62.429478476821309</v>
      </c>
      <c r="CQ85" s="263">
        <v>65.81847290640394</v>
      </c>
      <c r="CR85" s="263">
        <v>0</v>
      </c>
      <c r="CS85" s="263">
        <v>1.9704433497536932E-2</v>
      </c>
      <c r="CT85" s="263">
        <v>1.6341953642384108</v>
      </c>
      <c r="CU85" s="263">
        <v>1.573842364532019</v>
      </c>
      <c r="CV85" s="263">
        <v>4.6379999999999999</v>
      </c>
      <c r="CW85" s="263">
        <v>4.1189999999999998</v>
      </c>
      <c r="CX85" s="204">
        <f>IFERROR(AVERAGEIF(RD[[#This Row],[IS1POA1 (KWh/m2)]:[IS7POA2 (KWh/m2)]],"&lt;&gt;0",RD[[#This Row],[IS1POA1 (KWh/m2)]:[IS7POA2 (KWh/m2)]]),"")</f>
        <v>6.3338956416666674</v>
      </c>
      <c r="CY85" s="204">
        <f>IFERROR(AVERAGEIF(RD[[#This Row],[IS1GHI1 (KWh/m2)]:[IS7GHI2 (KWh/m2)]],"&lt;&gt;0",RD[[#This Row],[IS1GHI1 (KWh/m2)]:[IS7GHI2 (KWh/m2)]]),"")</f>
        <v>5.7465822250000018</v>
      </c>
      <c r="CZ85" s="204">
        <f>IFERROR(AVERAGEIF(RD[[#This Row],[IS1POA_BS1 (KWh/m2)]:[IS7POA_BS2 (KWh/m2)]],"&lt;&gt;0",RD[[#This Row],[IS1POA_BS1 (KWh/m2)]:[IS7POA_BS2 (KWh/m2)]]),"")</f>
        <v>0.76303882499999987</v>
      </c>
      <c r="DA85" s="204">
        <f>IFERROR(AVERAGEIF(RD[[#This Row],[IS1GHI_BS1 (KWh/m2)]:[IS1GHI_BS1 (KWh/m2)2]],"&lt;&gt;0",RD[[#This Row],[IS1GHI_BS1 (KWh/m2)]:[IS1GHI_BS1 (KWh/m2)2]]),"")</f>
        <v>0.97705907499999944</v>
      </c>
      <c r="DB85" s="204">
        <f>IFERROR(AVERAGEIF(RD[[#This Row],[IS1AT1 (°C)]:[IS7AT2 (°C)]],"&lt;&gt;0",RD[[#This Row],[IS1AT1 (°C)]:[IS7AT2 (°C)]]),"")</f>
        <v>30.323383532335061</v>
      </c>
      <c r="DC85" s="204">
        <f>IFERROR(AVERAGEIF(RD[[#This Row],[IS1MT1 (°C)]:[IS7MT2 (°C)]],"&lt;&gt;0",RD[[#This Row],[IS1MT1 (°C)]:[IS7MT2 (°C)]]),"")</f>
        <v>43.021700330446187</v>
      </c>
      <c r="DD85" s="204">
        <f>IFERROR(AVERAGEIF(RD[[#This Row],[IS1RH1 (%)]:[IS7RH2 (%)]],"&lt;&gt;0",RD[[#This Row],[IS1RH1 (%)]:[IS7RH2 (%)]]),"")</f>
        <v>64.123975691612628</v>
      </c>
      <c r="DE85" s="51">
        <f>IFERROR(AVERAGEIF(RD[[#This Row],[IS1Rain1 (mm)]:[IS7Rain2 (mm)]],"&lt;&gt;0",RD[[#This Row],[IS1Rain1 (mm)]:[IS7Rain2 (mm)]]),"")</f>
        <v>1.9704433497536932E-2</v>
      </c>
      <c r="DF85" s="204">
        <f>IFERROR(AVERAGEIF(RD[[#This Row],[WS_Solar1_Avg (m/s)]:[IS7_WS_Solar1_Avg (m/s)]],"&lt;&gt;0",RD[[#This Row],[WS_Solar1_Avg (m/s)]:[IS7_WS_Solar1_Avg (m/s)]]),"")</f>
        <v>1.6040188643852149</v>
      </c>
      <c r="DG85" s="204">
        <f>IFERROR(AVERAGEIF(RD[[#This Row],[WS_Solar1_Max (m/s)]:[IS7_WS_Solar1_Max (m/s)]],"&lt;&gt;0",RD[[#This Row],[WS_Solar1_Max (m/s)]:[IS7_WS_Solar1_Max (m/s)]]),"")</f>
        <v>4.3784999999999998</v>
      </c>
      <c r="DH85" s="204">
        <f>SUM(RD[[#This Row],[IS1Inv1M1]:[IS4Inv4M2]])</f>
        <v>260407.50000000003</v>
      </c>
      <c r="DI85" s="205">
        <f>SUM(RD[[#This Row],[IS7Inv1M1]]+RD[[#This Row],[IS7Inv2M1]])</f>
        <v>13778.400000000001</v>
      </c>
      <c r="DJ85" s="204">
        <f>SUM(RD[[#This Row],[IS5Inv1M1]:[IS5Inv2M2]])</f>
        <v>33880.6</v>
      </c>
      <c r="DK85" s="204">
        <f>SUM(RD[[#This Row],[IS8Inv1M1]:[IS9Inv2M2]])</f>
        <v>65537.5</v>
      </c>
      <c r="DL85" s="60">
        <f>SUM(RD[[#This Row],[IS6Inv1M1]:[IS6Inv2M2]])</f>
        <v>34393.199999999997</v>
      </c>
      <c r="DM85" s="51">
        <f>SUM(RD[[#This Row],[IS10Inv1M1]:[IS11Inv1M4]],RD[[#This Row],[IS14Inv1M1]:[IS14Inv2M4]])</f>
        <v>123473.79999999999</v>
      </c>
      <c r="DN85" s="288">
        <f>SUM(RD[[#This Row],[IS12Inv1M1]:[IS12Inv1M4]])</f>
        <v>30830.199999999997</v>
      </c>
      <c r="DO85" s="288">
        <f>SUM(RD[[#This Row],[IS13Inv1M1]:[IS13Inv2M2]])</f>
        <v>35620.5</v>
      </c>
      <c r="DP85" s="204">
        <f>SUM(RD[[#This Row],[O2R15]:[O2R26]])</f>
        <v>597921.69999999995</v>
      </c>
      <c r="DQ85" s="164">
        <v>43748</v>
      </c>
      <c r="DR85" s="168">
        <v>221.4</v>
      </c>
      <c r="DS85" s="164">
        <v>38156</v>
      </c>
      <c r="DT85" s="164">
        <v>233.8</v>
      </c>
      <c r="DU85" s="168">
        <v>44870.3</v>
      </c>
      <c r="DV85" s="168">
        <v>422.9</v>
      </c>
      <c r="DW85" s="164">
        <v>10359</v>
      </c>
      <c r="DX85" s="168">
        <v>52.6</v>
      </c>
      <c r="DY85" s="168">
        <v>2397.9</v>
      </c>
      <c r="DZ85" s="168">
        <v>9.1</v>
      </c>
      <c r="EA85" s="140">
        <v>103.22</v>
      </c>
      <c r="EB85" s="243">
        <v>143257403</v>
      </c>
      <c r="EC85" s="242">
        <v>1005652.224</v>
      </c>
      <c r="ED85" s="243">
        <v>1209</v>
      </c>
      <c r="EE85" s="243">
        <v>137486</v>
      </c>
      <c r="EF85" s="164">
        <v>198632.4</v>
      </c>
      <c r="EG85" s="164">
        <v>1951.4</v>
      </c>
      <c r="EH85" s="146">
        <f>IF((RD[[#This Row],[33 kV_F3_Ex
Incomer1]]-DQ84)*1000&lt;0,0,(RD[[#This Row],[33 kV_F3_Ex
Incomer1]]-DQ84)*1000)</f>
        <v>134000</v>
      </c>
      <c r="EI85" s="146">
        <f>IF((RD[[#This Row],[34 kV_F3_Im
Incomer1]]-DR84)*1000&lt;0,0,(RD[[#This Row],[34 kV_F3_Im
Incomer1]]-DR84)*1000)</f>
        <v>400.00000000000568</v>
      </c>
      <c r="EJ85" s="146">
        <f>IF((RD[[#This Row],[33 kV_F4_Ex
Incomer2]]-DS84)*1000&lt;0,0,(RD[[#This Row],[33 kV_F4_Ex
Incomer2]]-DS84)*1000)</f>
        <v>121300.00000000291</v>
      </c>
      <c r="EK85" s="146">
        <f>IF((RD[[#This Row],[34 kV_F4_Im
Incomer2]]-DT84)*1000&lt;0,0,(RD[[#This Row],[34 kV_F4_Im
Incomer2]]-DT84)*1000)</f>
        <v>300.00000000001137</v>
      </c>
      <c r="EL85" s="146">
        <f>IF((RD[[#This Row],[33 kV_F5_Ex
Incomer3]]-DU84)*1000&lt;0,0,(RD[[#This Row],[33 kV_F5_Ex
Incomer3]]-DU84)*1000)</f>
        <v>145800.00000000291</v>
      </c>
      <c r="EM85" s="146">
        <f>IF((RD[[#This Row],[34 kV_F5_Im
Incomer3]]-DV84)*1000&lt;0,0,(RD[[#This Row],[34 kV_F5_Im
Incomer3]]-DV84)*1000)</f>
        <v>1299.9999999999545</v>
      </c>
      <c r="EN85" s="146">
        <f>IF((RD[[#This Row],[33 kV_F6_Ex
Incomer4]]-DW84)*1000&lt;0,0,(RD[[#This Row],[33 kV_F6_Ex
Incomer4]]-DW84)*1000)</f>
        <v>14799.999999999272</v>
      </c>
      <c r="EO85" s="146">
        <f t="shared" si="166"/>
        <v>500</v>
      </c>
      <c r="EP85" s="146">
        <f>IF((RD[[#This Row],[33 kV_F7_Ex
Incomer5]]-DY84)*1000&lt;0,0,(RD[[#This Row],[33 kV_F7_Ex
Incomer5]]-DY84)*1000)</f>
        <v>148400.00000000009</v>
      </c>
      <c r="EQ85" s="146">
        <f>IF((RD[[#This Row],[33 kV_F7_Im
Incomer5]]-DZ84)*1000&lt;0,0,(RD[[#This Row],[33 kV_F7_Im
Incomer5]]-DZ84)*1000)</f>
        <v>799.99999999999898</v>
      </c>
      <c r="ER85" s="146">
        <f>IF((RD[[#This Row],[33 kV_Aux Trafo]]-EA84)*1000&lt;0,0,(RD[[#This Row],[33 kV_Aux Trafo]]-EA84)*1000)</f>
        <v>280.00000000000114</v>
      </c>
      <c r="ES85" s="158">
        <f>IF((RD[[#This Row],[33kV_OG1_Ex_]]-EB84)*1&lt;0,0,(RD[[#This Row],[33kV_OG1_Ex_]]-EB84)*1)</f>
        <v>590135</v>
      </c>
      <c r="ET85" s="146">
        <f>IF((RD[[#This Row],[33kV_OG1_Im]]-EC84)*1&lt;0,0,(RD[[#This Row],[33kV_OG1_Im]]-EC84)*1)</f>
        <v>3331.0080000000307</v>
      </c>
      <c r="EU85" s="146">
        <f>IF((RD[[#This Row],[132kV_TX1_EX]]-ED84)*720&lt;=0,"",(RD[[#This Row],[132kV_TX1_EX]]-ED84)*720)</f>
        <v>2880</v>
      </c>
      <c r="EV85" s="146">
        <f>IF((RD[[#This Row],[132 kV_Tx1_Im]]-EE84)*720&lt;=0,0,(RD[[#This Row],[132 kV_Tx1_Im]]-EE84)*720)</f>
        <v>423360</v>
      </c>
      <c r="EW85" s="146">
        <f>IF((RD[[#This Row],[132kV_L1_Ex]]-EF84)*720&lt;=0,0,(RD[[#This Row],[132kV_L1_Ex]]-EF84)*720)</f>
        <v>588167.99999999581</v>
      </c>
      <c r="EX85" s="146">
        <f>IF((RD[[#This Row],[132kV_L1_Im]]-EG84)*720&lt;=0,0,(RD[[#This Row],[132kV_L1_Im]]-EG84)*720)</f>
        <v>3816.000000000131</v>
      </c>
      <c r="EY85" s="244">
        <f>IFERROR(RD[[#This Row],[33kV_OG1_Ex (MWh)]]+RD[[#This Row],[33kV_OG1_Im (MWh)]],"")</f>
        <v>593466.00800000003</v>
      </c>
      <c r="EZ85" s="148">
        <f>RD[[#This Row],[33kV_OG1_Ex (MWh)]]-RD[[#This Row],[33kV_OG1_Im (MWh)]]</f>
        <v>586803.99199999997</v>
      </c>
      <c r="FA85" s="148">
        <f>IFERROR(RD[[#This Row],[132kV_L1_Ex(MWh)]]-RD[[#This Row],[132kV_L1_Im(MWh)]],"")</f>
        <v>584351.99999999569</v>
      </c>
      <c r="FB85" s="55">
        <f>IFERROR(RD[[#This Row],[33kV_Ex(MWh)]]/RD[[#This Row],[Inv Total Gneration (MWh)]]-1,"")</f>
        <v>-7.4519657005255313E-3</v>
      </c>
      <c r="FC85" s="245">
        <f>IFERROR((RD[[#This Row],[Sunset Time (POA&lt;20 W/m2)]]-RD[[#This Row],[Sunrise Time (POA&gt;20 W/m2)]])*24,0)</f>
        <v>12.633333333333333</v>
      </c>
      <c r="FD85" s="246">
        <v>122.7</v>
      </c>
      <c r="FE85" t="s">
        <v>294</v>
      </c>
      <c r="FG85" s="144" t="str">
        <f>IFERROR(RD[[#This Row],[E_AC (WPR)]]/RD[[#This Row],[E_DC (WPR)]],"")</f>
        <v/>
      </c>
    </row>
    <row r="86" spans="1:163">
      <c r="A86" s="133">
        <f t="shared" si="161"/>
        <v>45826</v>
      </c>
      <c r="B86" s="138">
        <f>YEAR(RD[[#This Row],[Date]])+IF(MONTH(RD[[#This Row],[Date]])&gt;=4,1,0)</f>
        <v>2026</v>
      </c>
      <c r="C86" s="138">
        <f>YEAR(RD[[#This Row],[Date]])</f>
        <v>2025</v>
      </c>
      <c r="D86" s="139">
        <f t="shared" si="165"/>
        <v>45809</v>
      </c>
      <c r="E86" s="138">
        <f>DAY(EOMONTH(RD[[#This Row],[Date]],0))</f>
        <v>30</v>
      </c>
      <c r="F86" s="152">
        <v>0.25416666666666665</v>
      </c>
      <c r="G86" s="162">
        <v>0.77430555555555558</v>
      </c>
      <c r="H86" s="124">
        <v>5006.2</v>
      </c>
      <c r="I86" s="270">
        <v>4981.3999999999996</v>
      </c>
      <c r="J86" s="124">
        <v>4689.8999999999996</v>
      </c>
      <c r="K86" s="124">
        <v>4720.3</v>
      </c>
      <c r="L86" s="124">
        <v>4878.1000000000004</v>
      </c>
      <c r="M86" s="124">
        <v>4995.8999999999996</v>
      </c>
      <c r="N86" s="124">
        <v>4846.8999999999996</v>
      </c>
      <c r="O86" s="124">
        <v>5341.9</v>
      </c>
      <c r="P86" s="124">
        <v>4989</v>
      </c>
      <c r="Q86" s="124">
        <v>4840.8999999999996</v>
      </c>
      <c r="R86" s="124">
        <v>5038.7</v>
      </c>
      <c r="S86" s="268">
        <v>5079.1000000000004</v>
      </c>
      <c r="T86" s="124">
        <v>5310.2</v>
      </c>
      <c r="U86" s="124">
        <v>5127.8</v>
      </c>
      <c r="V86" s="124">
        <v>5170.6000000000004</v>
      </c>
      <c r="W86" s="124">
        <v>4951.7</v>
      </c>
      <c r="X86" s="268">
        <v>7030.6</v>
      </c>
      <c r="Y86" s="203">
        <v>7920.7</v>
      </c>
      <c r="Z86" s="203">
        <v>6801.4</v>
      </c>
      <c r="AA86" s="203">
        <v>7132.1</v>
      </c>
      <c r="AB86" s="268">
        <v>7731.7</v>
      </c>
      <c r="AC86" s="203">
        <v>4722.8</v>
      </c>
      <c r="AD86" s="203">
        <v>7212</v>
      </c>
      <c r="AE86" s="203">
        <v>7349.3</v>
      </c>
      <c r="AF86" s="268">
        <v>7127.1</v>
      </c>
      <c r="AG86" s="203">
        <v>7119.5</v>
      </c>
      <c r="AH86" s="203">
        <v>7095.5</v>
      </c>
      <c r="AI86" s="268">
        <v>7153.5</v>
      </c>
      <c r="AJ86" s="203">
        <v>6012.1</v>
      </c>
      <c r="AK86" s="268">
        <v>6181</v>
      </c>
      <c r="AL86" s="203">
        <v>6063</v>
      </c>
      <c r="AM86" s="268">
        <v>6147.4</v>
      </c>
      <c r="AN86" s="203">
        <v>6029.9</v>
      </c>
      <c r="AO86" s="268">
        <v>6226</v>
      </c>
      <c r="AP86" s="203">
        <v>6094.8</v>
      </c>
      <c r="AQ86" s="268">
        <v>6055.7</v>
      </c>
      <c r="AR86" s="203">
        <v>4832.6000000000004</v>
      </c>
      <c r="AS86" s="268">
        <v>4870.8</v>
      </c>
      <c r="AT86" s="203">
        <v>4893.7</v>
      </c>
      <c r="AU86" s="268">
        <v>4897.5</v>
      </c>
      <c r="AV86" s="203">
        <v>4992.3</v>
      </c>
      <c r="AW86" s="203">
        <v>4926.3999999999996</v>
      </c>
      <c r="AX86" s="203">
        <v>6872</v>
      </c>
      <c r="AY86" s="203">
        <v>7721.2</v>
      </c>
      <c r="AZ86" s="203">
        <v>5616.4</v>
      </c>
      <c r="BA86" s="203">
        <v>6799.8</v>
      </c>
      <c r="BB86" s="203">
        <v>6695.4</v>
      </c>
      <c r="BC86" s="203">
        <v>6424.7</v>
      </c>
      <c r="BD86" s="203">
        <v>5996.9</v>
      </c>
      <c r="BE86" s="203">
        <v>6578.3</v>
      </c>
      <c r="BF86" s="203">
        <v>7152.4</v>
      </c>
      <c r="BG86" s="203">
        <v>7135.1</v>
      </c>
      <c r="BH86" s="203">
        <v>6924.8</v>
      </c>
      <c r="BI86" s="203">
        <v>7200.3</v>
      </c>
      <c r="BJ86" s="203">
        <v>4645.1000000000004</v>
      </c>
      <c r="BK86" s="203">
        <v>3687.7</v>
      </c>
      <c r="BL86" s="203">
        <v>4313.2</v>
      </c>
      <c r="BM86" s="203">
        <v>3687.7</v>
      </c>
      <c r="BN86" s="203">
        <v>4924.8</v>
      </c>
      <c r="BO86" s="203">
        <v>4589.8</v>
      </c>
      <c r="BP86" s="203">
        <v>5089.7</v>
      </c>
      <c r="BQ86" s="203">
        <v>5104.1000000000004</v>
      </c>
      <c r="BR86" s="203">
        <v>5362</v>
      </c>
      <c r="BS86" s="203">
        <v>5532.1</v>
      </c>
      <c r="BT86" s="203">
        <v>5230.7</v>
      </c>
      <c r="BU86" s="203">
        <v>5642.9</v>
      </c>
      <c r="BV86" s="203">
        <v>121</v>
      </c>
      <c r="BW86" s="203">
        <v>44</v>
      </c>
      <c r="BX86" s="203">
        <v>21</v>
      </c>
      <c r="BY86" s="203">
        <v>33</v>
      </c>
      <c r="BZ86" s="203">
        <v>690.4</v>
      </c>
      <c r="CA86" s="203">
        <v>575.5</v>
      </c>
      <c r="CB86" s="203">
        <v>2842.7</v>
      </c>
      <c r="CC86" s="203">
        <v>4742.7</v>
      </c>
      <c r="CD86" s="263">
        <v>4.1243214333333285</v>
      </c>
      <c r="CE86" s="263">
        <v>3.7579417499999987</v>
      </c>
      <c r="CF86" s="263">
        <v>3.2680838166666657</v>
      </c>
      <c r="CG86" s="263">
        <v>3.8209683166666659</v>
      </c>
      <c r="CH86" s="263">
        <v>0.44054498333333375</v>
      </c>
      <c r="CI86" s="263">
        <v>0.53942839999999992</v>
      </c>
      <c r="CJ86" s="263">
        <v>0.63137855000000009</v>
      </c>
      <c r="CK86" s="263">
        <v>0.58529831666666698</v>
      </c>
      <c r="CL86" s="263">
        <v>29.453617200674511</v>
      </c>
      <c r="CM86" s="263">
        <v>29.411989881956224</v>
      </c>
      <c r="CN86" s="263">
        <v>40.356493254637421</v>
      </c>
      <c r="CO86" s="263">
        <v>37.997263069139976</v>
      </c>
      <c r="CP86" s="263">
        <v>66.203102866779091</v>
      </c>
      <c r="CQ86" s="263">
        <v>67.96060708263073</v>
      </c>
      <c r="CR86" s="263">
        <v>4.0489038785834756E-2</v>
      </c>
      <c r="CS86" s="263">
        <v>0.11129848229342335</v>
      </c>
      <c r="CT86" s="263">
        <v>1.7751323777403052</v>
      </c>
      <c r="CU86" s="263">
        <v>1.8103912310286676</v>
      </c>
      <c r="CV86" s="263">
        <v>3.9089999999999998</v>
      </c>
      <c r="CW86" s="263">
        <v>4.1790000000000003</v>
      </c>
      <c r="CX86" s="204">
        <f>IFERROR(AVERAGEIF(RD[[#This Row],[IS1POA1 (KWh/m2)]:[IS7POA2 (KWh/m2)]],"&lt;&gt;0",RD[[#This Row],[IS1POA1 (KWh/m2)]:[IS7POA2 (KWh/m2)]]),"")</f>
        <v>3.9411315916666636</v>
      </c>
      <c r="CY86" s="204">
        <f>IFERROR(AVERAGEIF(RD[[#This Row],[IS1GHI1 (KWh/m2)]:[IS7GHI2 (KWh/m2)]],"&lt;&gt;0",RD[[#This Row],[IS1GHI1 (KWh/m2)]:[IS7GHI2 (KWh/m2)]]),"")</f>
        <v>3.5445260666666658</v>
      </c>
      <c r="CZ86" s="204">
        <f>IFERROR(AVERAGEIF(RD[[#This Row],[IS1POA_BS1 (KWh/m2)]:[IS7POA_BS2 (KWh/m2)]],"&lt;&gt;0",RD[[#This Row],[IS1POA_BS1 (KWh/m2)]:[IS7POA_BS2 (KWh/m2)]]),"")</f>
        <v>0.48998669166666686</v>
      </c>
      <c r="DA86" s="204">
        <f>IFERROR(AVERAGEIF(RD[[#This Row],[IS1GHI_BS1 (KWh/m2)]:[IS1GHI_BS1 (KWh/m2)2]],"&lt;&gt;0",RD[[#This Row],[IS1GHI_BS1 (KWh/m2)]:[IS1GHI_BS1 (KWh/m2)2]]),"")</f>
        <v>0.60833843333333348</v>
      </c>
      <c r="DB86" s="204">
        <f>IFERROR(AVERAGEIF(RD[[#This Row],[IS1AT1 (°C)]:[IS7AT2 (°C)]],"&lt;&gt;0",RD[[#This Row],[IS1AT1 (°C)]:[IS7AT2 (°C)]]),"")</f>
        <v>29.432803541315366</v>
      </c>
      <c r="DC86" s="204">
        <f>IFERROR(AVERAGEIF(RD[[#This Row],[IS1MT1 (°C)]:[IS7MT2 (°C)]],"&lt;&gt;0",RD[[#This Row],[IS1MT1 (°C)]:[IS7MT2 (°C)]]),"")</f>
        <v>39.176878161888695</v>
      </c>
      <c r="DD86" s="204">
        <f>IFERROR(AVERAGEIF(RD[[#This Row],[IS1RH1 (%)]:[IS7RH2 (%)]],"&lt;&gt;0",RD[[#This Row],[IS1RH1 (%)]:[IS7RH2 (%)]]),"")</f>
        <v>67.08185497470491</v>
      </c>
      <c r="DE86" s="51">
        <f>IFERROR(AVERAGEIF(RD[[#This Row],[IS1Rain1 (mm)]:[IS7Rain2 (mm)]],"&lt;&gt;0",RD[[#This Row],[IS1Rain1 (mm)]:[IS7Rain2 (mm)]]),"")</f>
        <v>7.5893760539629054E-2</v>
      </c>
      <c r="DF86" s="204">
        <f>IFERROR(AVERAGEIF(RD[[#This Row],[WS_Solar1_Avg (m/s)]:[IS7_WS_Solar1_Avg (m/s)]],"&lt;&gt;0",RD[[#This Row],[WS_Solar1_Avg (m/s)]:[IS7_WS_Solar1_Avg (m/s)]]),"")</f>
        <v>1.7927618043844864</v>
      </c>
      <c r="DG86" s="204">
        <f>IFERROR(AVERAGEIF(RD[[#This Row],[WS_Solar1_Max (m/s)]:[IS7_WS_Solar1_Max (m/s)]],"&lt;&gt;0",RD[[#This Row],[WS_Solar1_Max (m/s)]:[IS7_WS_Solar1_Max (m/s)]]),"")</f>
        <v>4.0440000000000005</v>
      </c>
      <c r="DH86" s="204">
        <f>SUM(RD[[#This Row],[IS1Inv1M1]:[IS4Inv4M2]])</f>
        <v>164364.80000000002</v>
      </c>
      <c r="DI86" s="205">
        <f>SUM(RD[[#This Row],[IS7Inv1M1]]+RD[[#This Row],[IS7Inv2M1]])</f>
        <v>9703.4000000000015</v>
      </c>
      <c r="DJ86" s="204">
        <f>SUM(RD[[#This Row],[IS5Inv1M1]:[IS5Inv2M2]])</f>
        <v>24403.5</v>
      </c>
      <c r="DK86" s="204">
        <f>SUM(RD[[#This Row],[IS8Inv1M1]:[IS9Inv2M2]])</f>
        <v>46719.3</v>
      </c>
      <c r="DL86" s="60">
        <f>SUM(RD[[#This Row],[IS6Inv1M1]:[IS6Inv2M2]])</f>
        <v>24406.400000000001</v>
      </c>
      <c r="DM86" s="51">
        <f>SUM(RD[[#This Row],[IS10Inv1M1]:[IS11Inv1M4]],RD[[#This Row],[IS14Inv1M1]:[IS14Inv2M4]])</f>
        <v>79511.89999999998</v>
      </c>
      <c r="DN86" s="288">
        <f>SUM(RD[[#This Row],[IS12Inv1M1]:[IS12Inv1M4]])</f>
        <v>19708.400000000001</v>
      </c>
      <c r="DO86" s="288">
        <f>SUM(RD[[#This Row],[IS13Inv1M1]:[IS13Inv2M2]])</f>
        <v>21767.699999999997</v>
      </c>
      <c r="DP86" s="204">
        <f>SUM(RD[[#This Row],[O2R15]:[O2R26]])</f>
        <v>390585.4</v>
      </c>
      <c r="DQ86" s="164">
        <v>43832</v>
      </c>
      <c r="DR86" s="168">
        <v>221.8</v>
      </c>
      <c r="DS86" s="164">
        <v>38235.199999999997</v>
      </c>
      <c r="DT86" s="164">
        <v>234.1</v>
      </c>
      <c r="DU86" s="168">
        <v>44974.7</v>
      </c>
      <c r="DV86" s="168">
        <v>424.2</v>
      </c>
      <c r="DW86" s="164">
        <v>10368.200000000001</v>
      </c>
      <c r="DX86" s="168">
        <v>52.8</v>
      </c>
      <c r="DY86" s="168">
        <v>2493.5</v>
      </c>
      <c r="DZ86" s="168">
        <v>9.6</v>
      </c>
      <c r="EA86" s="140">
        <v>103.47</v>
      </c>
      <c r="EB86" s="243">
        <v>143645736</v>
      </c>
      <c r="EC86" s="242">
        <v>1008574.784</v>
      </c>
      <c r="ED86" s="243">
        <v>1212</v>
      </c>
      <c r="EE86" s="243">
        <v>137872</v>
      </c>
      <c r="EF86" s="164">
        <v>199170.1</v>
      </c>
      <c r="EG86" s="164">
        <v>1956.2</v>
      </c>
      <c r="EH86" s="146">
        <f>IF((RD[[#This Row],[33 kV_F3_Ex
Incomer1]]-DQ85)*1000&lt;0,0,(RD[[#This Row],[33 kV_F3_Ex
Incomer1]]-DQ85)*1000)</f>
        <v>84000</v>
      </c>
      <c r="EI86" s="146">
        <f>IF((RD[[#This Row],[34 kV_F3_Im
Incomer1]]-DR85)*1000&lt;0,0,(RD[[#This Row],[34 kV_F3_Im
Incomer1]]-DR85)*1000)</f>
        <v>400.00000000000568</v>
      </c>
      <c r="EJ86" s="146">
        <f>IF((RD[[#This Row],[33 kV_F4_Ex
Incomer2]]-DS85)*1000&lt;0,0,(RD[[#This Row],[33 kV_F4_Ex
Incomer2]]-DS85)*1000)</f>
        <v>79199.99999999709</v>
      </c>
      <c r="EK86" s="146">
        <f>IF((RD[[#This Row],[34 kV_F4_Im
Incomer2]]-DT85)*1000&lt;0,0,(RD[[#This Row],[34 kV_F4_Im
Incomer2]]-DT85)*1000)</f>
        <v>299.99999999998295</v>
      </c>
      <c r="EL86" s="146">
        <f>IF((RD[[#This Row],[33 kV_F5_Ex
Incomer3]]-DU85)*1000&lt;0,0,(RD[[#This Row],[33 kV_F5_Ex
Incomer3]]-DU85)*1000)</f>
        <v>104399.99999999418</v>
      </c>
      <c r="EM86" s="146">
        <f>IF((RD[[#This Row],[34 kV_F5_Im
Incomer3]]-DV85)*1000&lt;0,0,(RD[[#This Row],[34 kV_F5_Im
Incomer3]]-DV85)*1000)</f>
        <v>1300.0000000000114</v>
      </c>
      <c r="EN86" s="146">
        <f>IF((RD[[#This Row],[33 kV_F6_Ex
Incomer4]]-DW85)*1000&lt;0,0,(RD[[#This Row],[33 kV_F6_Ex
Incomer4]]-DW85)*1000)</f>
        <v>9200.0000000007276</v>
      </c>
      <c r="EO86" s="146">
        <f t="shared" si="166"/>
        <v>199.99999999998863</v>
      </c>
      <c r="EP86" s="146">
        <f>IF((RD[[#This Row],[33 kV_F7_Ex
Incomer5]]-DY85)*1000&lt;0,0,(RD[[#This Row],[33 kV_F7_Ex
Incomer5]]-DY85)*1000)</f>
        <v>95599.999999999913</v>
      </c>
      <c r="EQ86" s="146">
        <f>IF((RD[[#This Row],[33 kV_F7_Im
Incomer5]]-DZ85)*1000&lt;0,0,(RD[[#This Row],[33 kV_F7_Im
Incomer5]]-DZ85)*1000)</f>
        <v>500</v>
      </c>
      <c r="ER86" s="146">
        <f>IF((RD[[#This Row],[33 kV_Aux Trafo]]-EA85)*1000&lt;0,0,(RD[[#This Row],[33 kV_Aux Trafo]]-EA85)*1000)</f>
        <v>250</v>
      </c>
      <c r="ES86" s="158">
        <f>IF((RD[[#This Row],[33kV_OG1_Ex_]]-EB85)*1&lt;0,0,(RD[[#This Row],[33kV_OG1_Ex_]]-EB85)*1)</f>
        <v>388333</v>
      </c>
      <c r="ET86" s="146">
        <f>IF((RD[[#This Row],[33kV_OG1_Im]]-EC85)*1&lt;0,0,(RD[[#This Row],[33kV_OG1_Im]]-EC85)*1)</f>
        <v>2922.5599999999395</v>
      </c>
      <c r="EU86" s="146">
        <f>IF((RD[[#This Row],[132kV_TX1_EX]]-ED85)*720&lt;=0,"",(RD[[#This Row],[132kV_TX1_EX]]-ED85)*720)</f>
        <v>2160</v>
      </c>
      <c r="EV86" s="146">
        <f>IF((RD[[#This Row],[132 kV_Tx1_Im]]-EE85)*720&lt;=0,0,(RD[[#This Row],[132 kV_Tx1_Im]]-EE85)*720)</f>
        <v>277920</v>
      </c>
      <c r="EW86" s="146">
        <f>IF((RD[[#This Row],[132kV_L1_Ex]]-EF85)*720&lt;=0,0,(RD[[#This Row],[132kV_L1_Ex]]-EF85)*720)</f>
        <v>387144.00000000838</v>
      </c>
      <c r="EX86" s="146">
        <f>IF((RD[[#This Row],[132kV_L1_Im]]-EG85)*720&lt;=0,0,(RD[[#This Row],[132kV_L1_Im]]-EG85)*720)</f>
        <v>3455.9999999999673</v>
      </c>
      <c r="EY86" s="244">
        <f>IFERROR(RD[[#This Row],[33kV_OG1_Ex (MWh)]]+RD[[#This Row],[33kV_OG1_Im (MWh)]],"")</f>
        <v>391255.55999999994</v>
      </c>
      <c r="EZ86" s="148">
        <f>RD[[#This Row],[33kV_OG1_Ex (MWh)]]-RD[[#This Row],[33kV_OG1_Im (MWh)]]</f>
        <v>385410.44000000006</v>
      </c>
      <c r="FA86" s="148">
        <f>IFERROR(RD[[#This Row],[132kV_L1_Ex(MWh)]]-RD[[#This Row],[132kV_L1_Im(MWh)]],"")</f>
        <v>383688.00000000844</v>
      </c>
      <c r="FB86" s="55">
        <f>IFERROR(RD[[#This Row],[33kV_Ex(MWh)]]/RD[[#This Row],[Inv Total Gneration (MWh)]]-1,"")</f>
        <v>1.7157835392718201E-3</v>
      </c>
      <c r="FC86" s="245">
        <f>IFERROR((RD[[#This Row],[Sunset Time (POA&lt;20 W/m2)]]-RD[[#This Row],[Sunrise Time (POA&gt;20 W/m2)]])*24,0)</f>
        <v>12.483333333333334</v>
      </c>
      <c r="FD86" s="246">
        <v>122.7</v>
      </c>
      <c r="FE86" s="300" t="s">
        <v>297</v>
      </c>
      <c r="FG86" s="144" t="str">
        <f>IFERROR(RD[[#This Row],[E_AC (WPR)]]/RD[[#This Row],[E_DC (WPR)]],"")</f>
        <v/>
      </c>
    </row>
    <row r="87" spans="1:163">
      <c r="A87" s="133">
        <f t="shared" si="161"/>
        <v>45827</v>
      </c>
      <c r="B87" s="138">
        <f>YEAR(RD[[#This Row],[Date]])+IF(MONTH(RD[[#This Row],[Date]])&gt;=4,1,0)</f>
        <v>2026</v>
      </c>
      <c r="C87" s="138">
        <f>YEAR(RD[[#This Row],[Date]])</f>
        <v>2025</v>
      </c>
      <c r="D87" s="139">
        <f t="shared" si="165"/>
        <v>45809</v>
      </c>
      <c r="E87" s="138">
        <f>DAY(EOMONTH(RD[[#This Row],[Date]],0))</f>
        <v>30</v>
      </c>
      <c r="F87" s="152">
        <v>0.25277777777777777</v>
      </c>
      <c r="G87" s="162">
        <v>0.78055555555555556</v>
      </c>
      <c r="H87" s="124">
        <v>4827.5</v>
      </c>
      <c r="I87" s="270">
        <v>4762.6000000000004</v>
      </c>
      <c r="J87" s="124">
        <v>4533.6000000000004</v>
      </c>
      <c r="K87" s="124">
        <v>4592.2</v>
      </c>
      <c r="L87" s="124">
        <v>4746.8999999999996</v>
      </c>
      <c r="M87" s="124">
        <v>4863.7</v>
      </c>
      <c r="N87" s="124">
        <v>4711.8</v>
      </c>
      <c r="O87" s="124">
        <v>5092.8999999999996</v>
      </c>
      <c r="P87" s="124">
        <v>4805.1000000000004</v>
      </c>
      <c r="Q87" s="124">
        <v>4692.3</v>
      </c>
      <c r="R87" s="124">
        <v>4858.3</v>
      </c>
      <c r="S87" s="268">
        <v>4856.3</v>
      </c>
      <c r="T87" s="124">
        <v>5069.6000000000004</v>
      </c>
      <c r="U87" s="124">
        <v>4922.3999999999996</v>
      </c>
      <c r="V87" s="124">
        <v>4975.8</v>
      </c>
      <c r="W87" s="124">
        <v>4720.6000000000004</v>
      </c>
      <c r="X87" s="268">
        <v>6694.7</v>
      </c>
      <c r="Y87" s="203">
        <v>7492.2</v>
      </c>
      <c r="Z87" s="203">
        <v>6485.5</v>
      </c>
      <c r="AA87" s="203">
        <v>6818.1</v>
      </c>
      <c r="AB87" s="268">
        <v>7319.9</v>
      </c>
      <c r="AC87" s="203">
        <v>4533.2</v>
      </c>
      <c r="AD87" s="203">
        <v>6896</v>
      </c>
      <c r="AE87" s="203">
        <v>7042.5</v>
      </c>
      <c r="AF87" s="268">
        <v>6804.7</v>
      </c>
      <c r="AG87" s="203">
        <v>6779.6</v>
      </c>
      <c r="AH87" s="203">
        <v>6796.9</v>
      </c>
      <c r="AI87" s="268">
        <v>6838.5</v>
      </c>
      <c r="AJ87" s="203">
        <v>5809.9</v>
      </c>
      <c r="AK87" s="268">
        <v>5950.5</v>
      </c>
      <c r="AL87" s="203">
        <v>5836.5</v>
      </c>
      <c r="AM87" s="268">
        <v>5887.4</v>
      </c>
      <c r="AN87" s="203">
        <v>5900.8</v>
      </c>
      <c r="AO87" s="268">
        <v>6135.1</v>
      </c>
      <c r="AP87" s="203">
        <v>6058.2</v>
      </c>
      <c r="AQ87" s="268">
        <v>5986.9</v>
      </c>
      <c r="AR87" s="203">
        <v>4784.3</v>
      </c>
      <c r="AS87" s="268">
        <v>4796.3</v>
      </c>
      <c r="AT87" s="203">
        <v>4720.6000000000004</v>
      </c>
      <c r="AU87" s="268">
        <v>4686.1000000000004</v>
      </c>
      <c r="AV87" s="203">
        <v>4802.7</v>
      </c>
      <c r="AW87" s="203">
        <v>4790.3999999999996</v>
      </c>
      <c r="AX87" s="203">
        <v>6909.5</v>
      </c>
      <c r="AY87" s="203">
        <v>7768.3</v>
      </c>
      <c r="AZ87" s="203">
        <v>5749.2</v>
      </c>
      <c r="BA87" s="203">
        <v>6903.9</v>
      </c>
      <c r="BB87" s="203">
        <v>6610.5</v>
      </c>
      <c r="BC87" s="203">
        <v>6270.6</v>
      </c>
      <c r="BD87" s="203">
        <v>5893.4</v>
      </c>
      <c r="BE87" s="203">
        <v>6602.5</v>
      </c>
      <c r="BF87" s="203">
        <v>7240.8</v>
      </c>
      <c r="BG87" s="203">
        <v>7304.9</v>
      </c>
      <c r="BH87" s="203">
        <v>7204.7</v>
      </c>
      <c r="BI87" s="203">
        <v>7452.6</v>
      </c>
      <c r="BJ87" s="203">
        <v>4724.8999999999996</v>
      </c>
      <c r="BK87" s="203">
        <v>3817.9</v>
      </c>
      <c r="BL87" s="203">
        <v>4469.8</v>
      </c>
      <c r="BM87" s="203">
        <v>3817.9</v>
      </c>
      <c r="BN87" s="203">
        <v>5078</v>
      </c>
      <c r="BO87" s="203">
        <v>4761.6000000000004</v>
      </c>
      <c r="BP87" s="203">
        <v>5240.6000000000004</v>
      </c>
      <c r="BQ87" s="203">
        <v>5247.4</v>
      </c>
      <c r="BR87" s="203">
        <v>5749</v>
      </c>
      <c r="BS87" s="203">
        <v>5929.6</v>
      </c>
      <c r="BT87" s="203">
        <v>5570.8</v>
      </c>
      <c r="BU87" s="203">
        <v>6020.8</v>
      </c>
      <c r="BV87" s="203">
        <v>774</v>
      </c>
      <c r="BW87" s="203">
        <v>225</v>
      </c>
      <c r="BX87" s="203">
        <v>575</v>
      </c>
      <c r="BY87" s="203">
        <v>160</v>
      </c>
      <c r="BZ87" s="203">
        <v>762.4</v>
      </c>
      <c r="CA87" s="203">
        <v>641.5</v>
      </c>
      <c r="CB87" s="203">
        <v>3091.5</v>
      </c>
      <c r="CC87" s="203">
        <v>5096.5</v>
      </c>
      <c r="CD87" s="263">
        <v>3.9658979666666627</v>
      </c>
      <c r="CE87" s="263">
        <v>3.6993971166666646</v>
      </c>
      <c r="CF87" s="263">
        <v>3.1133417499999965</v>
      </c>
      <c r="CG87" s="263">
        <v>3.7331079999999934</v>
      </c>
      <c r="CH87" s="263">
        <v>0.41415269999999949</v>
      </c>
      <c r="CI87" s="263">
        <v>0.52956763333333345</v>
      </c>
      <c r="CJ87" s="263">
        <v>0.59487863333333368</v>
      </c>
      <c r="CK87" s="263">
        <v>0.57456168333333346</v>
      </c>
      <c r="CL87" s="263">
        <v>27.579281045751706</v>
      </c>
      <c r="CM87" s="263">
        <v>26.589804560260657</v>
      </c>
      <c r="CN87" s="263">
        <v>37.351043300653636</v>
      </c>
      <c r="CO87" s="263">
        <v>35.241377035830645</v>
      </c>
      <c r="CP87" s="263">
        <v>85.882287581699231</v>
      </c>
      <c r="CQ87" s="263">
        <v>86.065488599348527</v>
      </c>
      <c r="CR87" s="263">
        <v>0.10784313725490212</v>
      </c>
      <c r="CS87" s="263">
        <v>8.7947882736156474E-2</v>
      </c>
      <c r="CT87" s="263">
        <v>1.540825980392156</v>
      </c>
      <c r="CU87" s="263">
        <v>1.7563094462540703</v>
      </c>
      <c r="CV87" s="263">
        <v>4.5330000000000004</v>
      </c>
      <c r="CW87" s="263">
        <v>5.22</v>
      </c>
      <c r="CX87" s="204">
        <f>IFERROR(AVERAGEIF(RD[[#This Row],[IS1POA1 (KWh/m2)]:[IS7POA2 (KWh/m2)]],"&lt;&gt;0",RD[[#This Row],[IS1POA1 (KWh/m2)]:[IS7POA2 (KWh/m2)]]),"")</f>
        <v>3.8326475416666637</v>
      </c>
      <c r="CY87" s="204">
        <f>IFERROR(AVERAGEIF(RD[[#This Row],[IS1GHI1 (KWh/m2)]:[IS7GHI2 (KWh/m2)]],"&lt;&gt;0",RD[[#This Row],[IS1GHI1 (KWh/m2)]:[IS7GHI2 (KWh/m2)]]),"")</f>
        <v>3.4232248749999949</v>
      </c>
      <c r="CZ87" s="204">
        <f>IFERROR(AVERAGEIF(RD[[#This Row],[IS1POA_BS1 (KWh/m2)]:[IS7POA_BS2 (KWh/m2)]],"&lt;&gt;0",RD[[#This Row],[IS1POA_BS1 (KWh/m2)]:[IS7POA_BS2 (KWh/m2)]]),"")</f>
        <v>0.47186016666666647</v>
      </c>
      <c r="DA87" s="204">
        <f>IFERROR(AVERAGEIF(RD[[#This Row],[IS1GHI_BS1 (KWh/m2)]:[IS1GHI_BS1 (KWh/m2)2]],"&lt;&gt;0",RD[[#This Row],[IS1GHI_BS1 (KWh/m2)]:[IS1GHI_BS1 (KWh/m2)2]]),"")</f>
        <v>0.58472015833333357</v>
      </c>
      <c r="DB87" s="204">
        <f>IFERROR(AVERAGEIF(RD[[#This Row],[IS1AT1 (°C)]:[IS7AT2 (°C)]],"&lt;&gt;0",RD[[#This Row],[IS1AT1 (°C)]:[IS7AT2 (°C)]]),"")</f>
        <v>27.08454280300618</v>
      </c>
      <c r="DC87" s="204">
        <f>IFERROR(AVERAGEIF(RD[[#This Row],[IS1MT1 (°C)]:[IS7MT2 (°C)]],"&lt;&gt;0",RD[[#This Row],[IS1MT1 (°C)]:[IS7MT2 (°C)]]),"")</f>
        <v>36.296210168242141</v>
      </c>
      <c r="DD87" s="204">
        <f>IFERROR(AVERAGEIF(RD[[#This Row],[IS1RH1 (%)]:[IS7RH2 (%)]],"&lt;&gt;0",RD[[#This Row],[IS1RH1 (%)]:[IS7RH2 (%)]]),"")</f>
        <v>85.973888090523872</v>
      </c>
      <c r="DE87" s="51">
        <f>IFERROR(AVERAGEIF(RD[[#This Row],[IS1Rain1 (mm)]:[IS7Rain2 (mm)]],"&lt;&gt;0",RD[[#This Row],[IS1Rain1 (mm)]:[IS7Rain2 (mm)]]),"")</f>
        <v>9.789550999552929E-2</v>
      </c>
      <c r="DF87" s="204">
        <f>IFERROR(AVERAGEIF(RD[[#This Row],[WS_Solar1_Avg (m/s)]:[IS7_WS_Solar1_Avg (m/s)]],"&lt;&gt;0",RD[[#This Row],[WS_Solar1_Avg (m/s)]:[IS7_WS_Solar1_Avg (m/s)]]),"")</f>
        <v>1.6485677133231131</v>
      </c>
      <c r="DG87" s="204">
        <f>IFERROR(AVERAGEIF(RD[[#This Row],[WS_Solar1_Max (m/s)]:[IS7_WS_Solar1_Max (m/s)]],"&lt;&gt;0",RD[[#This Row],[WS_Solar1_Max (m/s)]:[IS7_WS_Solar1_Max (m/s)]]),"")</f>
        <v>4.8765000000000001</v>
      </c>
      <c r="DH87" s="204">
        <f>SUM(RD[[#This Row],[IS1Inv1M1]:[IS4Inv4M2]])</f>
        <v>157533.40000000002</v>
      </c>
      <c r="DI87" s="205">
        <f>SUM(RD[[#This Row],[IS7Inv1M1]]+RD[[#This Row],[IS7Inv2M1]])</f>
        <v>9580.6</v>
      </c>
      <c r="DJ87" s="204">
        <f>SUM(RD[[#This Row],[IS5Inv1M1]:[IS5Inv2M2]])</f>
        <v>23484.300000000003</v>
      </c>
      <c r="DK87" s="204">
        <f>SUM(RD[[#This Row],[IS8Inv1M1]:[IS9Inv2M2]])</f>
        <v>46330.700000000004</v>
      </c>
      <c r="DL87" s="60">
        <f>SUM(RD[[#This Row],[IS6Inv1M1]:[IS6Inv2M2]])</f>
        <v>24081</v>
      </c>
      <c r="DM87" s="51">
        <f>SUM(RD[[#This Row],[IS10Inv1M1]:[IS11Inv1M4]],RD[[#This Row],[IS14Inv1M1]:[IS14Inv2M4]])</f>
        <v>82736.39999999998</v>
      </c>
      <c r="DN87" s="288">
        <f>SUM(RD[[#This Row],[IS12Inv1M1]:[IS12Inv1M4]])</f>
        <v>20327.599999999999</v>
      </c>
      <c r="DO87" s="288">
        <f>SUM(RD[[#This Row],[IS13Inv1M1]:[IS13Inv2M2]])</f>
        <v>23270.2</v>
      </c>
      <c r="DP87" s="204">
        <f>SUM(RD[[#This Row],[O2R15]:[O2R26]])</f>
        <v>387344.2</v>
      </c>
      <c r="DQ87" s="164">
        <v>43912</v>
      </c>
      <c r="DR87" s="168">
        <v>222.2</v>
      </c>
      <c r="DS87" s="164">
        <v>38311.1</v>
      </c>
      <c r="DT87" s="164">
        <v>234.5</v>
      </c>
      <c r="DU87" s="168">
        <v>45077.4</v>
      </c>
      <c r="DV87" s="168">
        <v>425.6</v>
      </c>
      <c r="DW87" s="164">
        <v>10379.799999999999</v>
      </c>
      <c r="DX87" s="168">
        <v>52.9</v>
      </c>
      <c r="DY87" s="168">
        <v>2591.6</v>
      </c>
      <c r="DZ87" s="168">
        <v>10.4</v>
      </c>
      <c r="EA87" s="140">
        <v>103.72</v>
      </c>
      <c r="EB87" s="243">
        <v>144030826</v>
      </c>
      <c r="EC87" s="242">
        <v>1011936.512</v>
      </c>
      <c r="ED87" s="243">
        <v>1216</v>
      </c>
      <c r="EE87" s="243">
        <v>138256</v>
      </c>
      <c r="EF87" s="164">
        <v>199703.2</v>
      </c>
      <c r="EG87" s="164">
        <v>1961.6</v>
      </c>
      <c r="EH87" s="146">
        <f>IF((RD[[#This Row],[33 kV_F3_Ex
Incomer1]]-DQ86)*1000&lt;0,0,(RD[[#This Row],[33 kV_F3_Ex
Incomer1]]-DQ86)*1000)</f>
        <v>80000</v>
      </c>
      <c r="EI87" s="146">
        <f>IF((RD[[#This Row],[34 kV_F3_Im
Incomer1]]-DR86)*1000&lt;0,0,(RD[[#This Row],[34 kV_F3_Im
Incomer1]]-DR86)*1000)</f>
        <v>399.99999999997726</v>
      </c>
      <c r="EJ87" s="146">
        <f>IF((RD[[#This Row],[33 kV_F4_Ex
Incomer2]]-DS86)*1000&lt;0,0,(RD[[#This Row],[33 kV_F4_Ex
Incomer2]]-DS86)*1000)</f>
        <v>75900.000000001455</v>
      </c>
      <c r="EK87" s="146">
        <f>IF((RD[[#This Row],[34 kV_F4_Im
Incomer2]]-DT86)*1000&lt;0,0,(RD[[#This Row],[34 kV_F4_Im
Incomer2]]-DT86)*1000)</f>
        <v>400.00000000000568</v>
      </c>
      <c r="EL87" s="146">
        <f>IF((RD[[#This Row],[33 kV_F5_Ex
Incomer3]]-DU86)*1000&lt;0,0,(RD[[#This Row],[33 kV_F5_Ex
Incomer3]]-DU86)*1000)</f>
        <v>102700.00000000437</v>
      </c>
      <c r="EM87" s="146">
        <f>IF((RD[[#This Row],[34 kV_F5_Im
Incomer3]]-DV86)*1000&lt;0,0,(RD[[#This Row],[34 kV_F5_Im
Incomer3]]-DV86)*1000)</f>
        <v>1400.0000000000341</v>
      </c>
      <c r="EN87" s="146">
        <f>IF((RD[[#This Row],[33 kV_F6_Ex
Incomer4]]-DW86)*1000&lt;0,0,(RD[[#This Row],[33 kV_F6_Ex
Incomer4]]-DW86)*1000)</f>
        <v>11599.999999998545</v>
      </c>
      <c r="EO87" s="146">
        <f t="shared" si="166"/>
        <v>400.00000000000568</v>
      </c>
      <c r="EP87" s="146">
        <f>IF((RD[[#This Row],[33 kV_F7_Ex
Incomer5]]-DY86)*1000&lt;0,0,(RD[[#This Row],[33 kV_F7_Ex
Incomer5]]-DY86)*1000)</f>
        <v>98099.999999999913</v>
      </c>
      <c r="EQ87" s="146">
        <f>IF((RD[[#This Row],[33 kV_F7_Im
Incomer5]]-DZ86)*1000&lt;0,0,(RD[[#This Row],[33 kV_F7_Im
Incomer5]]-DZ86)*1000)</f>
        <v>800.00000000000068</v>
      </c>
      <c r="ER87" s="146">
        <f>IF((RD[[#This Row],[33 kV_Aux Trafo]]-EA86)*1000&lt;0,0,(RD[[#This Row],[33 kV_Aux Trafo]]-EA86)*1000)</f>
        <v>250</v>
      </c>
      <c r="ES87" s="158">
        <f>IF((RD[[#This Row],[33kV_OG1_Ex_]]-EB86)*1&lt;0,0,(RD[[#This Row],[33kV_OG1_Ex_]]-EB86)*1)</f>
        <v>385090</v>
      </c>
      <c r="ET87" s="146">
        <f>IF((RD[[#This Row],[33kV_OG1_Im]]-EC86)*1&lt;0,0,(RD[[#This Row],[33kV_OG1_Im]]-EC86)*1)</f>
        <v>3361.7280000000028</v>
      </c>
      <c r="EU87" s="146">
        <f>IF((RD[[#This Row],[132kV_TX1_EX]]-ED86)*720&lt;=0,"",(RD[[#This Row],[132kV_TX1_EX]]-ED86)*720)</f>
        <v>2880</v>
      </c>
      <c r="EV87" s="146">
        <f>IF((RD[[#This Row],[132 kV_Tx1_Im]]-EE86)*720&lt;=0,0,(RD[[#This Row],[132 kV_Tx1_Im]]-EE86)*720)</f>
        <v>276480</v>
      </c>
      <c r="EW87" s="146">
        <f>IF((RD[[#This Row],[132kV_L1_Ex]]-EF86)*720&lt;=0,0,(RD[[#This Row],[132kV_L1_Ex]]-EF86)*720)</f>
        <v>383832.00000000419</v>
      </c>
      <c r="EX87" s="146">
        <f>IF((RD[[#This Row],[132kV_L1_Im]]-EG86)*720&lt;=0,0,(RD[[#This Row],[132kV_L1_Im]]-EG86)*720)</f>
        <v>3887.9999999999018</v>
      </c>
      <c r="EY87" s="244">
        <f>IFERROR(RD[[#This Row],[33kV_OG1_Ex (MWh)]]+RD[[#This Row],[33kV_OG1_Im (MWh)]],"")</f>
        <v>388451.728</v>
      </c>
      <c r="EZ87" s="148">
        <f>RD[[#This Row],[33kV_OG1_Ex (MWh)]]-RD[[#This Row],[33kV_OG1_Im (MWh)]]</f>
        <v>381728.272</v>
      </c>
      <c r="FA87" s="148">
        <f>IFERROR(RD[[#This Row],[132kV_L1_Ex(MWh)]]-RD[[#This Row],[132kV_L1_Im(MWh)]],"")</f>
        <v>379944.00000000431</v>
      </c>
      <c r="FB87" s="55">
        <f>IFERROR(RD[[#This Row],[33kV_Ex(MWh)]]/RD[[#This Row],[Inv Total Gneration (MWh)]]-1,"")</f>
        <v>2.8592863917931144E-3</v>
      </c>
      <c r="FC87" s="245">
        <f>IFERROR((RD[[#This Row],[Sunset Time (POA&lt;20 W/m2)]]-RD[[#This Row],[Sunrise Time (POA&gt;20 W/m2)]])*24,0)</f>
        <v>12.666666666666668</v>
      </c>
      <c r="FD87" s="246">
        <v>122.7</v>
      </c>
      <c r="FE87" s="300" t="s">
        <v>300</v>
      </c>
      <c r="FG87" s="144" t="str">
        <f>IFERROR(RD[[#This Row],[E_AC (WPR)]]/RD[[#This Row],[E_DC (WPR)]],"")</f>
        <v/>
      </c>
    </row>
    <row r="88" spans="1:163">
      <c r="A88" s="133">
        <f t="shared" si="161"/>
        <v>45828</v>
      </c>
      <c r="B88" s="138">
        <f>YEAR(RD[[#This Row],[Date]])+IF(MONTH(RD[[#This Row],[Date]])&gt;=4,1,0)</f>
        <v>2026</v>
      </c>
      <c r="C88" s="138">
        <f>YEAR(RD[[#This Row],[Date]])</f>
        <v>2025</v>
      </c>
      <c r="D88" s="139">
        <f t="shared" si="165"/>
        <v>45809</v>
      </c>
      <c r="E88" s="138">
        <f>DAY(EOMONTH(RD[[#This Row],[Date]],0))</f>
        <v>30</v>
      </c>
      <c r="F88" s="152">
        <v>0.25347222222222221</v>
      </c>
      <c r="G88" s="162">
        <v>0.78125</v>
      </c>
      <c r="H88" s="124">
        <v>8059</v>
      </c>
      <c r="I88" s="270">
        <v>8051.9</v>
      </c>
      <c r="J88" s="124">
        <v>7670.5</v>
      </c>
      <c r="K88" s="124">
        <v>7607.4</v>
      </c>
      <c r="L88" s="124">
        <v>7799.8</v>
      </c>
      <c r="M88" s="124">
        <v>7995.5</v>
      </c>
      <c r="N88" s="124">
        <v>7826.6</v>
      </c>
      <c r="O88" s="124">
        <v>8444.9</v>
      </c>
      <c r="P88" s="124">
        <v>7916.2</v>
      </c>
      <c r="Q88" s="124">
        <v>7707.8</v>
      </c>
      <c r="R88" s="124">
        <v>7950.7</v>
      </c>
      <c r="S88" s="268">
        <v>7975.5</v>
      </c>
      <c r="T88" s="124">
        <v>8392.1</v>
      </c>
      <c r="U88" s="124">
        <v>8070</v>
      </c>
      <c r="V88" s="124">
        <v>8187.6</v>
      </c>
      <c r="W88" s="124">
        <v>7934.3</v>
      </c>
      <c r="X88" s="268">
        <v>11059.1</v>
      </c>
      <c r="Y88" s="203">
        <v>12003.8</v>
      </c>
      <c r="Z88" s="203">
        <v>10829.8</v>
      </c>
      <c r="AA88" s="203">
        <v>11523.8</v>
      </c>
      <c r="AB88" s="268">
        <v>11716.2</v>
      </c>
      <c r="AC88" s="203">
        <v>7326</v>
      </c>
      <c r="AD88" s="203">
        <v>11286.2</v>
      </c>
      <c r="AE88" s="203">
        <v>11451.9</v>
      </c>
      <c r="AF88" s="268">
        <v>11065.6</v>
      </c>
      <c r="AG88" s="203">
        <v>11066.8</v>
      </c>
      <c r="AH88" s="203">
        <v>11183.4</v>
      </c>
      <c r="AI88" s="268">
        <v>11193.2</v>
      </c>
      <c r="AJ88" s="203">
        <v>9500.2000000000007</v>
      </c>
      <c r="AK88" s="268">
        <v>9764.5</v>
      </c>
      <c r="AL88" s="203">
        <v>9583.6</v>
      </c>
      <c r="AM88" s="268">
        <v>9675</v>
      </c>
      <c r="AN88" s="203">
        <v>9663.4</v>
      </c>
      <c r="AO88" s="268">
        <v>10025.6</v>
      </c>
      <c r="AP88" s="203">
        <v>9864.2000000000007</v>
      </c>
      <c r="AQ88" s="268">
        <v>9750.2999999999993</v>
      </c>
      <c r="AR88" s="203">
        <v>7874.4</v>
      </c>
      <c r="AS88" s="268">
        <v>7907</v>
      </c>
      <c r="AT88" s="203">
        <v>7801.4</v>
      </c>
      <c r="AU88" s="268">
        <v>7768.4</v>
      </c>
      <c r="AV88" s="203">
        <v>7922.1</v>
      </c>
      <c r="AW88" s="203">
        <v>7901.9</v>
      </c>
      <c r="AX88" s="203">
        <v>11256.2</v>
      </c>
      <c r="AY88" s="203">
        <v>12409.9</v>
      </c>
      <c r="AZ88" s="203">
        <v>9301.6</v>
      </c>
      <c r="BA88" s="203">
        <v>11185.3</v>
      </c>
      <c r="BB88" s="203">
        <v>9545.7999999999993</v>
      </c>
      <c r="BC88" s="203">
        <v>9245.6</v>
      </c>
      <c r="BD88" s="203">
        <v>9615.1</v>
      </c>
      <c r="BE88" s="203">
        <v>10825.7</v>
      </c>
      <c r="BF88" s="203">
        <v>11575.8</v>
      </c>
      <c r="BG88" s="203">
        <v>11567.2</v>
      </c>
      <c r="BH88" s="203">
        <v>11429.3</v>
      </c>
      <c r="BI88" s="203">
        <v>11778.9</v>
      </c>
      <c r="BJ88" s="203">
        <v>7668.8</v>
      </c>
      <c r="BK88" s="203">
        <v>6204.5</v>
      </c>
      <c r="BL88" s="203">
        <v>7244.7</v>
      </c>
      <c r="BM88" s="203">
        <v>6204.5</v>
      </c>
      <c r="BN88" s="203">
        <v>8099</v>
      </c>
      <c r="BO88" s="203">
        <v>7679.7</v>
      </c>
      <c r="BP88" s="203">
        <v>8283.2000000000007</v>
      </c>
      <c r="BQ88" s="203">
        <v>8321.4</v>
      </c>
      <c r="BR88" s="203">
        <v>8946.4</v>
      </c>
      <c r="BS88" s="203">
        <v>9240.6</v>
      </c>
      <c r="BT88" s="203">
        <v>8740.7000000000007</v>
      </c>
      <c r="BU88" s="203">
        <v>9424.1</v>
      </c>
      <c r="BV88" s="203">
        <v>2296.1</v>
      </c>
      <c r="BW88" s="203">
        <v>721.4</v>
      </c>
      <c r="BX88" s="203">
        <v>2818.1</v>
      </c>
      <c r="BY88" s="203">
        <v>533.5</v>
      </c>
      <c r="BZ88" s="203">
        <v>1243.7</v>
      </c>
      <c r="CA88" s="203">
        <v>1057.5999999999999</v>
      </c>
      <c r="CB88" s="203">
        <v>4840</v>
      </c>
      <c r="CC88" s="203">
        <v>7969.8</v>
      </c>
      <c r="CD88" s="263">
        <v>6.9303976333333326</v>
      </c>
      <c r="CE88" s="263">
        <v>6.3046559833333298</v>
      </c>
      <c r="CF88" s="263">
        <v>5.5873255666666619</v>
      </c>
      <c r="CG88" s="263">
        <v>6.595676233333335</v>
      </c>
      <c r="CH88" s="263">
        <v>0.74047491666666732</v>
      </c>
      <c r="CI88" s="263">
        <v>0.95030330000000185</v>
      </c>
      <c r="CJ88" s="263">
        <v>1.0686243499999997</v>
      </c>
      <c r="CK88" s="263">
        <v>1.0345923999999997</v>
      </c>
      <c r="CL88" s="263">
        <v>29.595369458128022</v>
      </c>
      <c r="CM88" s="263">
        <v>29.607241379310349</v>
      </c>
      <c r="CN88" s="263">
        <v>42.493119047619047</v>
      </c>
      <c r="CO88" s="263">
        <v>40.01626190476189</v>
      </c>
      <c r="CP88" s="263">
        <v>68.334031198686361</v>
      </c>
      <c r="CQ88" s="263">
        <v>69.736912972085236</v>
      </c>
      <c r="CR88" s="263">
        <v>0</v>
      </c>
      <c r="CS88" s="263">
        <v>0</v>
      </c>
      <c r="CT88" s="263">
        <v>2.0351059113300498</v>
      </c>
      <c r="CU88" s="263">
        <v>2.0630197044334984</v>
      </c>
      <c r="CV88" s="263">
        <v>4.5750000000000002</v>
      </c>
      <c r="CW88" s="263">
        <v>4.7939999999999996</v>
      </c>
      <c r="CX88" s="204">
        <f>IFERROR(AVERAGEIF(RD[[#This Row],[IS1POA1 (KWh/m2)]:[IS7POA2 (KWh/m2)]],"&lt;&gt;0",RD[[#This Row],[IS1POA1 (KWh/m2)]:[IS7POA2 (KWh/m2)]]),"")</f>
        <v>6.6175268083333307</v>
      </c>
      <c r="CY88" s="204">
        <f>IFERROR(AVERAGEIF(RD[[#This Row],[IS1GHI1 (KWh/m2)]:[IS7GHI2 (KWh/m2)]],"&lt;&gt;0",RD[[#This Row],[IS1GHI1 (KWh/m2)]:[IS7GHI2 (KWh/m2)]]),"")</f>
        <v>6.091500899999998</v>
      </c>
      <c r="CZ88" s="204">
        <f>IFERROR(AVERAGEIF(RD[[#This Row],[IS1POA_BS1 (KWh/m2)]:[IS7POA_BS2 (KWh/m2)]],"&lt;&gt;0",RD[[#This Row],[IS1POA_BS1 (KWh/m2)]:[IS7POA_BS2 (KWh/m2)]]),"")</f>
        <v>0.84538910833333458</v>
      </c>
      <c r="DA88" s="204">
        <f>IFERROR(AVERAGEIF(RD[[#This Row],[IS1GHI_BS1 (KWh/m2)]:[IS1GHI_BS1 (KWh/m2)2]],"&lt;&gt;0",RD[[#This Row],[IS1GHI_BS1 (KWh/m2)]:[IS1GHI_BS1 (KWh/m2)2]]),"")</f>
        <v>1.0516083749999998</v>
      </c>
      <c r="DB88" s="204">
        <f>IFERROR(AVERAGEIF(RD[[#This Row],[IS1AT1 (°C)]:[IS7AT2 (°C)]],"&lt;&gt;0",RD[[#This Row],[IS1AT1 (°C)]:[IS7AT2 (°C)]]),"")</f>
        <v>29.601305418719186</v>
      </c>
      <c r="DC88" s="204">
        <f>IFERROR(AVERAGEIF(RD[[#This Row],[IS1MT1 (°C)]:[IS7MT2 (°C)]],"&lt;&gt;0",RD[[#This Row],[IS1MT1 (°C)]:[IS7MT2 (°C)]]),"")</f>
        <v>41.254690476190468</v>
      </c>
      <c r="DD88" s="204">
        <f>IFERROR(AVERAGEIF(RD[[#This Row],[IS1RH1 (%)]:[IS7RH2 (%)]],"&lt;&gt;0",RD[[#This Row],[IS1RH1 (%)]:[IS7RH2 (%)]]),"")</f>
        <v>69.035472085385805</v>
      </c>
      <c r="DE88" s="51" t="str">
        <f>IFERROR(AVERAGEIF(RD[[#This Row],[IS1Rain1 (mm)]:[IS7Rain2 (mm)]],"&lt;&gt;0",RD[[#This Row],[IS1Rain1 (mm)]:[IS7Rain2 (mm)]]),"")</f>
        <v/>
      </c>
      <c r="DF88" s="204">
        <f>IFERROR(AVERAGEIF(RD[[#This Row],[WS_Solar1_Avg (m/s)]:[IS7_WS_Solar1_Avg (m/s)]],"&lt;&gt;0",RD[[#This Row],[WS_Solar1_Avg (m/s)]:[IS7_WS_Solar1_Avg (m/s)]]),"")</f>
        <v>2.0490628078817741</v>
      </c>
      <c r="DG88" s="204">
        <f>IFERROR(AVERAGEIF(RD[[#This Row],[WS_Solar1_Max (m/s)]:[IS7_WS_Solar1_Max (m/s)]],"&lt;&gt;0",RD[[#This Row],[WS_Solar1_Max (m/s)]:[IS7_WS_Solar1_Max (m/s)]]),"")</f>
        <v>4.6844999999999999</v>
      </c>
      <c r="DH88" s="204">
        <f>SUM(RD[[#This Row],[IS1Inv1M1]:[IS4Inv4M2]])</f>
        <v>259295.6</v>
      </c>
      <c r="DI88" s="205">
        <f>SUM(RD[[#This Row],[IS7Inv1M1]]+RD[[#This Row],[IS7Inv2M1]])</f>
        <v>15781.4</v>
      </c>
      <c r="DJ88" s="204">
        <f>SUM(RD[[#This Row],[IS5Inv1M1]:[IS5Inv2M2]])</f>
        <v>38523.300000000003</v>
      </c>
      <c r="DK88" s="204">
        <f>SUM(RD[[#This Row],[IS8Inv1M1]:[IS9Inv2M2]])</f>
        <v>75546.8</v>
      </c>
      <c r="DL88" s="60">
        <f>SUM(RD[[#This Row],[IS6Inv1M1]:[IS6Inv2M2]])</f>
        <v>39303.5</v>
      </c>
      <c r="DM88" s="51">
        <f>SUM(RD[[#This Row],[IS10Inv1M1]:[IS11Inv1M4]],RD[[#This Row],[IS14Inv1M1]:[IS14Inv2M4]])</f>
        <v>134386.1</v>
      </c>
      <c r="DN88" s="288">
        <f>SUM(RD[[#This Row],[IS12Inv1M1]:[IS12Inv1M4]])</f>
        <v>32383.300000000003</v>
      </c>
      <c r="DO88" s="288">
        <f>SUM(RD[[#This Row],[IS13Inv1M1]:[IS13Inv2M2]])</f>
        <v>36351.800000000003</v>
      </c>
      <c r="DP88" s="204">
        <f>SUM(RD[[#This Row],[O2R15]:[O2R26]])</f>
        <v>631571.80000000005</v>
      </c>
      <c r="DQ88" s="164">
        <v>44042.8</v>
      </c>
      <c r="DR88" s="168">
        <v>222.6</v>
      </c>
      <c r="DS88" s="164">
        <v>38435</v>
      </c>
      <c r="DT88" s="164">
        <v>234.8</v>
      </c>
      <c r="DU88" s="168">
        <v>45244.3</v>
      </c>
      <c r="DV88" s="168">
        <v>426.8</v>
      </c>
      <c r="DW88" s="164">
        <v>10401.4</v>
      </c>
      <c r="DX88" s="168">
        <v>53.1</v>
      </c>
      <c r="DY88" s="168">
        <v>2745.6</v>
      </c>
      <c r="DZ88" s="168">
        <v>11.1</v>
      </c>
      <c r="EA88" s="140">
        <v>103.99</v>
      </c>
      <c r="EB88" s="243">
        <v>144654450</v>
      </c>
      <c r="EC88" s="242">
        <v>1015023.872</v>
      </c>
      <c r="ED88" s="243">
        <v>1220</v>
      </c>
      <c r="EE88" s="243">
        <v>138877</v>
      </c>
      <c r="EF88" s="164">
        <v>200566.39999999999</v>
      </c>
      <c r="EG88" s="164">
        <v>1966.5</v>
      </c>
      <c r="EH88" s="146">
        <f>IF((RD[[#This Row],[33 kV_F3_Ex
Incomer1]]-DQ87)*1000&lt;0,0,(RD[[#This Row],[33 kV_F3_Ex
Incomer1]]-DQ87)*1000)</f>
        <v>130800.00000000291</v>
      </c>
      <c r="EI88" s="146">
        <f>IF((RD[[#This Row],[34 kV_F3_Im
Incomer1]]-DR87)*1000&lt;0,0,(RD[[#This Row],[34 kV_F3_Im
Incomer1]]-DR87)*1000)</f>
        <v>400.00000000000568</v>
      </c>
      <c r="EJ88" s="146">
        <f>IF((RD[[#This Row],[33 kV_F4_Ex
Incomer2]]-DS87)*1000&lt;0,0,(RD[[#This Row],[33 kV_F4_Ex
Incomer2]]-DS87)*1000)</f>
        <v>123900.00000000146</v>
      </c>
      <c r="EK88" s="146">
        <f>IF((RD[[#This Row],[34 kV_F4_Im
Incomer2]]-DT87)*1000&lt;0,0,(RD[[#This Row],[34 kV_F4_Im
Incomer2]]-DT87)*1000)</f>
        <v>300.00000000001137</v>
      </c>
      <c r="EL88" s="146">
        <f>IF((RD[[#This Row],[33 kV_F5_Ex
Incomer3]]-DU87)*1000&lt;0,0,(RD[[#This Row],[33 kV_F5_Ex
Incomer3]]-DU87)*1000)</f>
        <v>166900.00000000146</v>
      </c>
      <c r="EM88" s="146">
        <f>IF((RD[[#This Row],[34 kV_F5_Im
Incomer3]]-DV87)*1000&lt;0,0,(RD[[#This Row],[34 kV_F5_Im
Incomer3]]-DV87)*1000)</f>
        <v>1199.9999999999886</v>
      </c>
      <c r="EN88" s="146">
        <f>IF((RD[[#This Row],[33 kV_F6_Ex
Incomer4]]-DW87)*1000&lt;0,0,(RD[[#This Row],[33 kV_F6_Ex
Incomer4]]-DW87)*1000)</f>
        <v>21600.000000000364</v>
      </c>
      <c r="EO88" s="146">
        <f t="shared" si="166"/>
        <v>300.00000000001137</v>
      </c>
      <c r="EP88" s="146">
        <f>IF((RD[[#This Row],[33 kV_F7_Ex
Incomer5]]-DY87)*1000&lt;0,0,(RD[[#This Row],[33 kV_F7_Ex
Incomer5]]-DY87)*1000)</f>
        <v>154000</v>
      </c>
      <c r="EQ88" s="146">
        <f>IF((RD[[#This Row],[33 kV_F7_Im
Incomer5]]-DZ87)*1000&lt;0,0,(RD[[#This Row],[33 kV_F7_Im
Incomer5]]-DZ87)*1000)</f>
        <v>699.99999999999932</v>
      </c>
      <c r="ER88" s="146">
        <f>IF((RD[[#This Row],[33 kV_Aux Trafo]]-EA87)*1000&lt;0,0,(RD[[#This Row],[33 kV_Aux Trafo]]-EA87)*1000)</f>
        <v>269.99999999999602</v>
      </c>
      <c r="ES88" s="158">
        <f>IF((RD[[#This Row],[33kV_OG1_Ex_]]-EB87)*1&lt;0,0,(RD[[#This Row],[33kV_OG1_Ex_]]-EB87)*1)</f>
        <v>623624</v>
      </c>
      <c r="ET88" s="146">
        <f>IF((RD[[#This Row],[33kV_OG1_Im]]-EC87)*1&lt;0,0,(RD[[#This Row],[33kV_OG1_Im]]-EC87)*1)</f>
        <v>3087.359999999986</v>
      </c>
      <c r="EU88" s="146">
        <f>IF((RD[[#This Row],[132kV_TX1_EX]]-ED87)*720&lt;=0,"",(RD[[#This Row],[132kV_TX1_EX]]-ED87)*720)</f>
        <v>2880</v>
      </c>
      <c r="EV88" s="146">
        <f>IF((RD[[#This Row],[132 kV_Tx1_Im]]-EE87)*720&lt;=0,0,(RD[[#This Row],[132 kV_Tx1_Im]]-EE87)*720)</f>
        <v>447120</v>
      </c>
      <c r="EW88" s="146">
        <f>IF((RD[[#This Row],[132kV_L1_Ex]]-EF87)*720&lt;=0,0,(RD[[#This Row],[132kV_L1_Ex]]-EF87)*720)</f>
        <v>621503.99999998743</v>
      </c>
      <c r="EX88" s="146">
        <f>IF((RD[[#This Row],[132kV_L1_Im]]-EG87)*720&lt;=0,0,(RD[[#This Row],[132kV_L1_Im]]-EG87)*720)</f>
        <v>3528.0000000000655</v>
      </c>
      <c r="EY88" s="244">
        <f>IFERROR(RD[[#This Row],[33kV_OG1_Ex (MWh)]]+RD[[#This Row],[33kV_OG1_Im (MWh)]],"")</f>
        <v>626711.36</v>
      </c>
      <c r="EZ88" s="148">
        <f>RD[[#This Row],[33kV_OG1_Ex (MWh)]]-RD[[#This Row],[33kV_OG1_Im (MWh)]]</f>
        <v>620536.64</v>
      </c>
      <c r="FA88" s="148">
        <f>IFERROR(RD[[#This Row],[132kV_L1_Ex(MWh)]]-RD[[#This Row],[132kV_L1_Im(MWh)]],"")</f>
        <v>617975.99999998731</v>
      </c>
      <c r="FB88" s="55">
        <f>IFERROR(RD[[#This Row],[33kV_Ex(MWh)]]/RD[[#This Row],[Inv Total Gneration (MWh)]]-1,"")</f>
        <v>-7.6957837572863008E-3</v>
      </c>
      <c r="FC88" s="245">
        <f>IFERROR((RD[[#This Row],[Sunset Time (POA&lt;20 W/m2)]]-RD[[#This Row],[Sunrise Time (POA&gt;20 W/m2)]])*24,0)</f>
        <v>12.666666666666668</v>
      </c>
      <c r="FD88" s="246">
        <v>122.7</v>
      </c>
      <c r="FE88" t="s">
        <v>294</v>
      </c>
      <c r="FG88" s="144" t="str">
        <f>IFERROR(RD[[#This Row],[E_AC (WPR)]]/RD[[#This Row],[E_DC (WPR)]],"")</f>
        <v/>
      </c>
    </row>
    <row r="89" spans="1:163">
      <c r="A89" s="133">
        <f t="shared" si="161"/>
        <v>45829</v>
      </c>
      <c r="B89" s="138">
        <f>YEAR(RD[[#This Row],[Date]])+IF(MONTH(RD[[#This Row],[Date]])&gt;=4,1,0)</f>
        <v>2026</v>
      </c>
      <c r="C89" s="138">
        <f>YEAR(RD[[#This Row],[Date]])</f>
        <v>2025</v>
      </c>
      <c r="D89" s="139">
        <f t="shared" si="165"/>
        <v>45809</v>
      </c>
      <c r="E89" s="138">
        <f>DAY(EOMONTH(RD[[#This Row],[Date]],0))</f>
        <v>30</v>
      </c>
      <c r="F89" s="152">
        <v>0.25277777777777777</v>
      </c>
      <c r="G89" s="162">
        <v>0.77361111111111114</v>
      </c>
      <c r="H89" s="124">
        <v>6687.6</v>
      </c>
      <c r="I89" s="270">
        <v>6588.7</v>
      </c>
      <c r="J89" s="124">
        <v>6248.8</v>
      </c>
      <c r="K89" s="124">
        <v>6370.8</v>
      </c>
      <c r="L89" s="124">
        <v>6591.2</v>
      </c>
      <c r="M89" s="124">
        <v>6770</v>
      </c>
      <c r="N89" s="124">
        <v>6529.9</v>
      </c>
      <c r="O89" s="124">
        <v>7160</v>
      </c>
      <c r="P89" s="124">
        <v>6619.2</v>
      </c>
      <c r="Q89" s="124">
        <v>6530.1</v>
      </c>
      <c r="R89" s="124">
        <v>6764.1</v>
      </c>
      <c r="S89" s="268">
        <v>6743.4</v>
      </c>
      <c r="T89" s="124">
        <v>7022.2</v>
      </c>
      <c r="U89" s="124">
        <v>6828</v>
      </c>
      <c r="V89" s="124">
        <v>6904.8</v>
      </c>
      <c r="W89" s="124">
        <v>6568.6</v>
      </c>
      <c r="X89" s="268">
        <v>9260.7000000000007</v>
      </c>
      <c r="Y89" s="203">
        <v>10329.299999999999</v>
      </c>
      <c r="Z89" s="203">
        <v>8953</v>
      </c>
      <c r="AA89" s="203">
        <v>9394.2000000000007</v>
      </c>
      <c r="AB89" s="268">
        <v>9922</v>
      </c>
      <c r="AC89" s="203">
        <v>6214.5</v>
      </c>
      <c r="AD89" s="203">
        <v>9519.9</v>
      </c>
      <c r="AE89" s="203">
        <v>9676.7000000000007</v>
      </c>
      <c r="AF89" s="268">
        <v>9350.7000000000007</v>
      </c>
      <c r="AG89" s="203">
        <v>9298.9</v>
      </c>
      <c r="AH89" s="203">
        <v>9378.1</v>
      </c>
      <c r="AI89" s="268">
        <v>9425.6</v>
      </c>
      <c r="AJ89" s="203">
        <v>7929.7</v>
      </c>
      <c r="AK89" s="268">
        <v>8155</v>
      </c>
      <c r="AL89" s="203">
        <v>7976.3</v>
      </c>
      <c r="AM89" s="268">
        <v>8093.3</v>
      </c>
      <c r="AN89" s="203">
        <v>7980.2</v>
      </c>
      <c r="AO89" s="268">
        <v>8247.1</v>
      </c>
      <c r="AP89" s="203">
        <v>8107.1</v>
      </c>
      <c r="AQ89" s="268">
        <v>8041.6</v>
      </c>
      <c r="AR89" s="203">
        <v>6475.4</v>
      </c>
      <c r="AS89" s="268">
        <v>6510.6</v>
      </c>
      <c r="AT89" s="203">
        <v>6463.1</v>
      </c>
      <c r="AU89" s="268">
        <v>6461.5</v>
      </c>
      <c r="AV89" s="203">
        <v>6588.3</v>
      </c>
      <c r="AW89" s="203">
        <v>6544</v>
      </c>
      <c r="AX89" s="203">
        <v>9204.2999999999993</v>
      </c>
      <c r="AY89" s="203">
        <v>10268.299999999999</v>
      </c>
      <c r="AZ89" s="203">
        <v>7498</v>
      </c>
      <c r="BA89" s="203">
        <v>9043.2000000000007</v>
      </c>
      <c r="BB89" s="203">
        <v>8706.2999999999993</v>
      </c>
      <c r="BC89" s="203">
        <v>8391.2000000000007</v>
      </c>
      <c r="BD89" s="203">
        <v>8102.6</v>
      </c>
      <c r="BE89" s="203">
        <v>8905.7999999999993</v>
      </c>
      <c r="BF89" s="203">
        <v>9657</v>
      </c>
      <c r="BG89" s="203">
        <v>9677.7000000000007</v>
      </c>
      <c r="BH89" s="203">
        <v>9543.6</v>
      </c>
      <c r="BI89" s="203">
        <v>9908.2999999999993</v>
      </c>
      <c r="BJ89" s="203">
        <v>6426.6</v>
      </c>
      <c r="BK89" s="203">
        <v>5141.2</v>
      </c>
      <c r="BL89" s="203">
        <v>6035.3</v>
      </c>
      <c r="BM89" s="203">
        <v>6211</v>
      </c>
      <c r="BN89" s="203">
        <v>6897</v>
      </c>
      <c r="BO89" s="203">
        <v>6459.6</v>
      </c>
      <c r="BP89" s="203">
        <v>7141.9</v>
      </c>
      <c r="BQ89" s="203">
        <v>7139</v>
      </c>
      <c r="BR89" s="203">
        <v>7531.4</v>
      </c>
      <c r="BS89" s="203">
        <v>7751</v>
      </c>
      <c r="BT89" s="203">
        <v>7367.4</v>
      </c>
      <c r="BU89" s="203">
        <v>7939.7</v>
      </c>
      <c r="BV89" s="203">
        <v>2484.5</v>
      </c>
      <c r="BW89" s="203">
        <v>602</v>
      </c>
      <c r="BX89" s="203">
        <v>2337</v>
      </c>
      <c r="BY89" s="203">
        <v>757</v>
      </c>
      <c r="BZ89" s="203">
        <v>1042.5</v>
      </c>
      <c r="CA89" s="203">
        <v>880.1</v>
      </c>
      <c r="CB89" s="203">
        <v>4075</v>
      </c>
      <c r="CC89" s="203">
        <v>6724.5</v>
      </c>
      <c r="CD89" s="263">
        <v>5.6239499333333347</v>
      </c>
      <c r="CE89" s="263">
        <v>5.0946365500000015</v>
      </c>
      <c r="CF89" s="263">
        <v>4.4673651166666684</v>
      </c>
      <c r="CG89" s="263">
        <v>5.239296966666668</v>
      </c>
      <c r="CH89" s="263">
        <v>0.60994151666666774</v>
      </c>
      <c r="CI89" s="263">
        <v>0.75791465000000025</v>
      </c>
      <c r="CJ89" s="263">
        <v>0.85265575000000038</v>
      </c>
      <c r="CK89" s="263">
        <v>0.83215006666666769</v>
      </c>
      <c r="CL89" s="263">
        <v>29.224699759807756</v>
      </c>
      <c r="CM89" s="263">
        <v>29.146885508406729</v>
      </c>
      <c r="CN89" s="263">
        <v>41.298607686148976</v>
      </c>
      <c r="CO89" s="263">
        <v>38.585703763010422</v>
      </c>
      <c r="CP89" s="263">
        <v>68.485756605284223</v>
      </c>
      <c r="CQ89" s="263">
        <v>70.300640512409913</v>
      </c>
      <c r="CR89" s="263">
        <v>0</v>
      </c>
      <c r="CS89" s="263">
        <v>0</v>
      </c>
      <c r="CT89" s="263">
        <v>1.8531857485988776</v>
      </c>
      <c r="CU89" s="263">
        <v>1.9550320256204925</v>
      </c>
      <c r="CV89" s="263">
        <v>4.548</v>
      </c>
      <c r="CW89" s="263">
        <v>4.5570000000000004</v>
      </c>
      <c r="CX89" s="204">
        <f>IFERROR(AVERAGEIF(RD[[#This Row],[IS1POA1 (KWh/m2)]:[IS7POA2 (KWh/m2)]],"&lt;&gt;0",RD[[#This Row],[IS1POA1 (KWh/m2)]:[IS7POA2 (KWh/m2)]]),"")</f>
        <v>5.3592932416666681</v>
      </c>
      <c r="CY89" s="204">
        <f>IFERROR(AVERAGEIF(RD[[#This Row],[IS1GHI1 (KWh/m2)]:[IS7GHI2 (KWh/m2)]],"&lt;&gt;0",RD[[#This Row],[IS1GHI1 (KWh/m2)]:[IS7GHI2 (KWh/m2)]]),"")</f>
        <v>4.8533310416666682</v>
      </c>
      <c r="CZ89" s="204">
        <f>IFERROR(AVERAGEIF(RD[[#This Row],[IS1POA_BS1 (KWh/m2)]:[IS7POA_BS2 (KWh/m2)]],"&lt;&gt;0",RD[[#This Row],[IS1POA_BS1 (KWh/m2)]:[IS7POA_BS2 (KWh/m2)]]),"")</f>
        <v>0.68392808333333399</v>
      </c>
      <c r="DA89" s="204">
        <f>IFERROR(AVERAGEIF(RD[[#This Row],[IS1GHI_BS1 (KWh/m2)]:[IS1GHI_BS1 (KWh/m2)2]],"&lt;&gt;0",RD[[#This Row],[IS1GHI_BS1 (KWh/m2)]:[IS1GHI_BS1 (KWh/m2)2]]),"")</f>
        <v>0.84240290833333398</v>
      </c>
      <c r="DB89" s="204">
        <f>IFERROR(AVERAGEIF(RD[[#This Row],[IS1AT1 (°C)]:[IS7AT2 (°C)]],"&lt;&gt;0",RD[[#This Row],[IS1AT1 (°C)]:[IS7AT2 (°C)]]),"")</f>
        <v>29.185792634107244</v>
      </c>
      <c r="DC89" s="204">
        <f>IFERROR(AVERAGEIF(RD[[#This Row],[IS1MT1 (°C)]:[IS7MT2 (°C)]],"&lt;&gt;0",RD[[#This Row],[IS1MT1 (°C)]:[IS7MT2 (°C)]]),"")</f>
        <v>39.942155724579699</v>
      </c>
      <c r="DD89" s="204">
        <f>IFERROR(AVERAGEIF(RD[[#This Row],[IS1RH1 (%)]:[IS7RH2 (%)]],"&lt;&gt;0",RD[[#This Row],[IS1RH1 (%)]:[IS7RH2 (%)]]),"")</f>
        <v>69.393198558847075</v>
      </c>
      <c r="DE89" s="51" t="str">
        <f>IFERROR(AVERAGEIF(RD[[#This Row],[IS1Rain1 (mm)]:[IS7Rain2 (mm)]],"&lt;&gt;0",RD[[#This Row],[IS1Rain1 (mm)]:[IS7Rain2 (mm)]]),"")</f>
        <v/>
      </c>
      <c r="DF89" s="204">
        <f>IFERROR(AVERAGEIF(RD[[#This Row],[WS_Solar1_Avg (m/s)]:[IS7_WS_Solar1_Avg (m/s)]],"&lt;&gt;0",RD[[#This Row],[WS_Solar1_Avg (m/s)]:[IS7_WS_Solar1_Avg (m/s)]]),"")</f>
        <v>1.9041088871096852</v>
      </c>
      <c r="DG89" s="204">
        <f>IFERROR(AVERAGEIF(RD[[#This Row],[WS_Solar1_Max (m/s)]:[IS7_WS_Solar1_Max (m/s)]],"&lt;&gt;0",RD[[#This Row],[WS_Solar1_Max (m/s)]:[IS7_WS_Solar1_Max (m/s)]]),"")</f>
        <v>4.5525000000000002</v>
      </c>
      <c r="DH89" s="204">
        <f>SUM(RD[[#This Row],[IS1Inv1M1]:[IS4Inv4M2]])</f>
        <v>217651.00000000006</v>
      </c>
      <c r="DI89" s="205">
        <f>SUM(RD[[#This Row],[IS7Inv1M1]]+RD[[#This Row],[IS7Inv2M1]])</f>
        <v>12986</v>
      </c>
      <c r="DJ89" s="204">
        <f>SUM(RD[[#This Row],[IS5Inv1M1]:[IS5Inv2M2]])</f>
        <v>32154.3</v>
      </c>
      <c r="DK89" s="204">
        <f>SUM(RD[[#This Row],[IS8Inv1M1]:[IS9Inv2M2]])</f>
        <v>62070.7</v>
      </c>
      <c r="DL89" s="60">
        <f>SUM(RD[[#This Row],[IS6Inv1M1]:[IS6Inv2M2]])</f>
        <v>32376</v>
      </c>
      <c r="DM89" s="51">
        <f>SUM(RD[[#This Row],[IS10Inv1M1]:[IS11Inv1M4]],RD[[#This Row],[IS14Inv1M1]:[IS14Inv2M4]])</f>
        <v>115609.2</v>
      </c>
      <c r="DN89" s="288">
        <f>SUM(RD[[#This Row],[IS12Inv1M1]:[IS12Inv1M4]])</f>
        <v>27637.5</v>
      </c>
      <c r="DO89" s="288">
        <f>SUM(RD[[#This Row],[IS13Inv1M1]:[IS13Inv2M2]])</f>
        <v>30589.5</v>
      </c>
      <c r="DP89" s="204">
        <f>SUM(RD[[#This Row],[O2R15]:[O2R26]])</f>
        <v>531074.20000000007</v>
      </c>
      <c r="DQ89" s="164">
        <v>44152.9</v>
      </c>
      <c r="DR89" s="168">
        <v>223</v>
      </c>
      <c r="DS89" s="164">
        <v>38536.5</v>
      </c>
      <c r="DT89" s="164">
        <v>235.2</v>
      </c>
      <c r="DU89" s="168">
        <v>45382.400000000001</v>
      </c>
      <c r="DV89" s="168">
        <v>428.3</v>
      </c>
      <c r="DW89" s="164">
        <v>10420.5</v>
      </c>
      <c r="DX89" s="168">
        <v>53.3</v>
      </c>
      <c r="DY89" s="168">
        <v>2876.5</v>
      </c>
      <c r="DZ89" s="168">
        <v>11.7</v>
      </c>
      <c r="EA89" s="140">
        <v>104.27</v>
      </c>
      <c r="EB89" s="243">
        <v>145179394</v>
      </c>
      <c r="EC89" s="242">
        <v>1018456.32</v>
      </c>
      <c r="ED89" s="243">
        <v>1224</v>
      </c>
      <c r="EE89" s="243">
        <v>139400</v>
      </c>
      <c r="EF89" s="164">
        <v>201293.3</v>
      </c>
      <c r="EG89" s="164">
        <v>1972.1</v>
      </c>
      <c r="EH89" s="146">
        <f>IF((RD[[#This Row],[33 kV_F3_Ex
Incomer1]]-DQ88)*1000&lt;0,0,(RD[[#This Row],[33 kV_F3_Ex
Incomer1]]-DQ88)*1000)</f>
        <v>110099.99999999854</v>
      </c>
      <c r="EI89" s="146">
        <f>IF((RD[[#This Row],[34 kV_F3_Im
Incomer1]]-DR88)*1000&lt;0,0,(RD[[#This Row],[34 kV_F3_Im
Incomer1]]-DR88)*1000)</f>
        <v>400.00000000000568</v>
      </c>
      <c r="EJ89" s="146">
        <f>IF((RD[[#This Row],[33 kV_F4_Ex
Incomer2]]-DS88)*1000&lt;0,0,(RD[[#This Row],[33 kV_F4_Ex
Incomer2]]-DS88)*1000)</f>
        <v>101500</v>
      </c>
      <c r="EK89" s="146">
        <f>IF((RD[[#This Row],[34 kV_F4_Im
Incomer2]]-DT88)*1000&lt;0,0,(RD[[#This Row],[34 kV_F4_Im
Incomer2]]-DT88)*1000)</f>
        <v>399.99999999997726</v>
      </c>
      <c r="EL89" s="146">
        <f>IF((RD[[#This Row],[33 kV_F5_Ex
Incomer3]]-DU88)*1000&lt;0,0,(RD[[#This Row],[33 kV_F5_Ex
Incomer3]]-DU88)*1000)</f>
        <v>138099.99999999854</v>
      </c>
      <c r="EM89" s="146">
        <f>IF((RD[[#This Row],[34 kV_F5_Im
Incomer3]]-DV88)*1000&lt;0,0,(RD[[#This Row],[34 kV_F5_Im
Incomer3]]-DV88)*1000)</f>
        <v>1500</v>
      </c>
      <c r="EN89" s="146">
        <f>IF((RD[[#This Row],[33 kV_F6_Ex
Incomer4]]-DW88)*1000&lt;0,0,(RD[[#This Row],[33 kV_F6_Ex
Incomer4]]-DW88)*1000)</f>
        <v>19100.000000000364</v>
      </c>
      <c r="EO89" s="146">
        <f t="shared" si="166"/>
        <v>299.99999999998295</v>
      </c>
      <c r="EP89" s="146">
        <f>IF((RD[[#This Row],[33 kV_F7_Ex
Incomer5]]-DY88)*1000&lt;0,0,(RD[[#This Row],[33 kV_F7_Ex
Incomer5]]-DY88)*1000)</f>
        <v>130900.00000000009</v>
      </c>
      <c r="EQ89" s="146">
        <f>IF((RD[[#This Row],[33 kV_F7_Im
Incomer5]]-DZ88)*1000&lt;0,0,(RD[[#This Row],[33 kV_F7_Im
Incomer5]]-DZ88)*1000)</f>
        <v>599.99999999999966</v>
      </c>
      <c r="ER89" s="146">
        <f>IF((RD[[#This Row],[33 kV_Aux Trafo]]-EA88)*1000&lt;0,0,(RD[[#This Row],[33 kV_Aux Trafo]]-EA88)*1000)</f>
        <v>280.00000000000114</v>
      </c>
      <c r="ES89" s="158">
        <f>IF((RD[[#This Row],[33kV_OG1_Ex_]]-EB88)*1&lt;0,0,(RD[[#This Row],[33kV_OG1_Ex_]]-EB88)*1)</f>
        <v>524944</v>
      </c>
      <c r="ET89" s="146">
        <f>IF((RD[[#This Row],[33kV_OG1_Im]]-EC88)*1&lt;0,0,(RD[[#This Row],[33kV_OG1_Im]]-EC88)*1)</f>
        <v>3432.4479999999749</v>
      </c>
      <c r="EU89" s="146">
        <f>IF((RD[[#This Row],[132kV_TX1_EX]]-ED88)*720&lt;=0,"",(RD[[#This Row],[132kV_TX1_EX]]-ED88)*720)</f>
        <v>2880</v>
      </c>
      <c r="EV89" s="146">
        <f>IF((RD[[#This Row],[132 kV_Tx1_Im]]-EE88)*720&lt;=0,0,(RD[[#This Row],[132 kV_Tx1_Im]]-EE88)*720)</f>
        <v>376560</v>
      </c>
      <c r="EW89" s="146">
        <f>IF((RD[[#This Row],[132kV_L1_Ex]]-EF88)*720&lt;=0,0,(RD[[#This Row],[132kV_L1_Ex]]-EF88)*720)</f>
        <v>523367.99999999581</v>
      </c>
      <c r="EX89" s="146">
        <f>IF((RD[[#This Row],[132kV_L1_Im]]-EG88)*720&lt;=0,0,(RD[[#This Row],[132kV_L1_Im]]-EG88)*720)</f>
        <v>4031.9999999999345</v>
      </c>
      <c r="EY89" s="244">
        <f>IFERROR(RD[[#This Row],[33kV_OG1_Ex (MWh)]]+RD[[#This Row],[33kV_OG1_Im (MWh)]],"")</f>
        <v>528376.44799999997</v>
      </c>
      <c r="EZ89" s="148">
        <f>RD[[#This Row],[33kV_OG1_Ex (MWh)]]-RD[[#This Row],[33kV_OG1_Im (MWh)]]</f>
        <v>521511.55200000003</v>
      </c>
      <c r="FA89" s="148">
        <f>IFERROR(RD[[#This Row],[132kV_L1_Ex(MWh)]]-RD[[#This Row],[132kV_L1_Im(MWh)]],"")</f>
        <v>519335.99999999587</v>
      </c>
      <c r="FB89" s="55">
        <f>IFERROR(RD[[#This Row],[33kV_Ex(MWh)]]/RD[[#This Row],[Inv Total Gneration (MWh)]]-1,"")</f>
        <v>-5.0798024080253024E-3</v>
      </c>
      <c r="FC89" s="245">
        <f>IFERROR((RD[[#This Row],[Sunset Time (POA&lt;20 W/m2)]]-RD[[#This Row],[Sunrise Time (POA&gt;20 W/m2)]])*24,0)</f>
        <v>12.5</v>
      </c>
      <c r="FD89" s="246">
        <v>122.7</v>
      </c>
      <c r="FE89" s="300" t="s">
        <v>294</v>
      </c>
      <c r="FG89" s="144" t="str">
        <f>IFERROR(RD[[#This Row],[E_AC (WPR)]]/RD[[#This Row],[E_DC (WPR)]],"")</f>
        <v/>
      </c>
    </row>
    <row r="90" spans="1:163">
      <c r="A90" s="133">
        <f t="shared" si="161"/>
        <v>45830</v>
      </c>
      <c r="B90" s="138">
        <f>YEAR(RD[[#This Row],[Date]])+IF(MONTH(RD[[#This Row],[Date]])&gt;=4,1,0)</f>
        <v>2026</v>
      </c>
      <c r="C90" s="138">
        <f>YEAR(RD[[#This Row],[Date]])</f>
        <v>2025</v>
      </c>
      <c r="D90" s="139">
        <f t="shared" si="165"/>
        <v>45809</v>
      </c>
      <c r="E90" s="138">
        <f>DAY(EOMONTH(RD[[#This Row],[Date]],0))</f>
        <v>30</v>
      </c>
      <c r="F90" s="152">
        <v>0.25347222222222221</v>
      </c>
      <c r="G90" s="162">
        <v>0.77013888888888893</v>
      </c>
      <c r="H90" s="124">
        <v>4193.7</v>
      </c>
      <c r="I90" s="270">
        <v>4170</v>
      </c>
      <c r="J90" s="124">
        <v>3919.9</v>
      </c>
      <c r="K90" s="124">
        <v>3932.4</v>
      </c>
      <c r="L90" s="124">
        <v>4060.1</v>
      </c>
      <c r="M90" s="124">
        <v>4171.8</v>
      </c>
      <c r="N90" s="124">
        <v>4051.6</v>
      </c>
      <c r="O90" s="124">
        <v>4426.2</v>
      </c>
      <c r="P90" s="124">
        <v>4173.1000000000004</v>
      </c>
      <c r="Q90" s="124">
        <v>4047.1</v>
      </c>
      <c r="R90" s="124">
        <v>4194.1000000000004</v>
      </c>
      <c r="S90" s="268">
        <v>4203.5</v>
      </c>
      <c r="T90" s="124">
        <v>4393.6000000000004</v>
      </c>
      <c r="U90" s="124">
        <v>4235.7</v>
      </c>
      <c r="V90" s="124">
        <v>4302.1000000000004</v>
      </c>
      <c r="W90" s="124">
        <v>4102.3</v>
      </c>
      <c r="X90" s="268">
        <v>5798.2</v>
      </c>
      <c r="Y90" s="203">
        <v>6559.8</v>
      </c>
      <c r="Z90" s="203">
        <v>5648.4</v>
      </c>
      <c r="AA90" s="203">
        <v>5926.1</v>
      </c>
      <c r="AB90" s="268">
        <v>6295.2</v>
      </c>
      <c r="AC90" s="203">
        <v>3893.5</v>
      </c>
      <c r="AD90" s="203">
        <v>5964.4</v>
      </c>
      <c r="AE90" s="203">
        <v>6070</v>
      </c>
      <c r="AF90" s="268">
        <v>5891.9</v>
      </c>
      <c r="AG90" s="203">
        <v>5867.2</v>
      </c>
      <c r="AH90" s="203">
        <v>5895.6</v>
      </c>
      <c r="AI90" s="268">
        <v>5918.4</v>
      </c>
      <c r="AJ90" s="203">
        <v>4502.8</v>
      </c>
      <c r="AK90" s="268">
        <v>4671.3</v>
      </c>
      <c r="AL90" s="203">
        <v>4585.6000000000004</v>
      </c>
      <c r="AM90" s="268">
        <v>4648.8999999999996</v>
      </c>
      <c r="AN90" s="203">
        <v>4548.3</v>
      </c>
      <c r="AO90" s="268">
        <v>4706.5</v>
      </c>
      <c r="AP90" s="203">
        <v>4604.1000000000004</v>
      </c>
      <c r="AQ90" s="268">
        <v>4557.1000000000004</v>
      </c>
      <c r="AR90" s="203">
        <v>3627.3</v>
      </c>
      <c r="AS90" s="268">
        <v>3647.8</v>
      </c>
      <c r="AT90" s="203">
        <v>3645.4</v>
      </c>
      <c r="AU90" s="268">
        <v>3660.7</v>
      </c>
      <c r="AV90" s="203">
        <v>3718.2</v>
      </c>
      <c r="AW90" s="203">
        <v>3675.2</v>
      </c>
      <c r="AX90" s="203">
        <v>5162</v>
      </c>
      <c r="AY90" s="203">
        <v>5794.3</v>
      </c>
      <c r="AZ90" s="203">
        <v>4183.6000000000004</v>
      </c>
      <c r="BA90" s="203">
        <v>5069.3</v>
      </c>
      <c r="BB90" s="203">
        <v>5806.8</v>
      </c>
      <c r="BC90" s="203">
        <v>5521.1</v>
      </c>
      <c r="BD90" s="203">
        <v>5166.7</v>
      </c>
      <c r="BE90" s="203">
        <v>5730.1</v>
      </c>
      <c r="BF90" s="203">
        <v>6239.8</v>
      </c>
      <c r="BG90" s="203">
        <v>6336.4</v>
      </c>
      <c r="BH90" s="203">
        <v>6282.3</v>
      </c>
      <c r="BI90" s="203">
        <v>6464.1</v>
      </c>
      <c r="BJ90" s="203">
        <v>4232.2</v>
      </c>
      <c r="BK90" s="203">
        <v>3287</v>
      </c>
      <c r="BL90" s="203">
        <v>3991.7</v>
      </c>
      <c r="BM90" s="203">
        <v>3954.2</v>
      </c>
      <c r="BN90" s="203">
        <v>4483.8999999999996</v>
      </c>
      <c r="BO90" s="203">
        <v>4121.2</v>
      </c>
      <c r="BP90" s="203">
        <v>4599.8999999999996</v>
      </c>
      <c r="BQ90" s="203">
        <v>4619</v>
      </c>
      <c r="BR90" s="203">
        <v>4911.3999999999996</v>
      </c>
      <c r="BS90" s="203">
        <v>5064.3</v>
      </c>
      <c r="BT90" s="203">
        <v>4890</v>
      </c>
      <c r="BU90" s="203">
        <v>5175</v>
      </c>
      <c r="BV90" s="203">
        <v>2053.1</v>
      </c>
      <c r="BW90" s="203">
        <v>552.5</v>
      </c>
      <c r="BX90" s="203">
        <v>2504.5</v>
      </c>
      <c r="BY90" s="203">
        <v>1752.7</v>
      </c>
      <c r="BZ90" s="203">
        <v>642.20000000000005</v>
      </c>
      <c r="CA90" s="203">
        <v>536.20000000000005</v>
      </c>
      <c r="CB90" s="203">
        <v>2664.1</v>
      </c>
      <c r="CC90" s="203">
        <v>4386.6000000000004</v>
      </c>
      <c r="CD90" s="263">
        <v>3.3831749166666665</v>
      </c>
      <c r="CE90" s="263">
        <v>2.7478481500000003</v>
      </c>
      <c r="CF90" s="263">
        <v>2.6358150666666718</v>
      </c>
      <c r="CG90" s="263">
        <v>2.7759333499999954</v>
      </c>
      <c r="CH90" s="263">
        <v>0.32665090000000041</v>
      </c>
      <c r="CI90" s="263">
        <v>0.44135546666666681</v>
      </c>
      <c r="CJ90" s="263">
        <v>0.50180029999999931</v>
      </c>
      <c r="CK90" s="263">
        <v>0.45140669999999961</v>
      </c>
      <c r="CL90" s="263">
        <v>28.801201716738237</v>
      </c>
      <c r="CM90" s="263">
        <v>28.599845493562256</v>
      </c>
      <c r="CN90" s="263">
        <v>38.815381974248893</v>
      </c>
      <c r="CO90" s="263">
        <v>35.995758798283291</v>
      </c>
      <c r="CP90" s="263">
        <v>67.922712446352008</v>
      </c>
      <c r="CQ90" s="263">
        <v>70.682678111587919</v>
      </c>
      <c r="CR90" s="263">
        <v>0</v>
      </c>
      <c r="CS90" s="263">
        <v>6.1802575107296226E-2</v>
      </c>
      <c r="CT90" s="263">
        <v>1.8879141630901273</v>
      </c>
      <c r="CU90" s="263">
        <v>1.8651965665236052</v>
      </c>
      <c r="CV90" s="263">
        <v>4.1159999999999997</v>
      </c>
      <c r="CW90" s="263">
        <v>4.8419999999999996</v>
      </c>
      <c r="CX90" s="204">
        <f>IFERROR(AVERAGEIF(RD[[#This Row],[IS1POA1 (KWh/m2)]:[IS7POA2 (KWh/m2)]],"&lt;&gt;0",RD[[#This Row],[IS1POA1 (KWh/m2)]:[IS7POA2 (KWh/m2)]]),"")</f>
        <v>3.0655115333333334</v>
      </c>
      <c r="CY90" s="204">
        <f>IFERROR(AVERAGEIF(RD[[#This Row],[IS1GHI1 (KWh/m2)]:[IS7GHI2 (KWh/m2)]],"&lt;&gt;0",RD[[#This Row],[IS1GHI1 (KWh/m2)]:[IS7GHI2 (KWh/m2)]]),"")</f>
        <v>2.7058742083333334</v>
      </c>
      <c r="CZ90" s="204">
        <f>IFERROR(AVERAGEIF(RD[[#This Row],[IS1POA_BS1 (KWh/m2)]:[IS7POA_BS2 (KWh/m2)]],"&lt;&gt;0",RD[[#This Row],[IS1POA_BS1 (KWh/m2)]:[IS7POA_BS2 (KWh/m2)]]),"")</f>
        <v>0.38400318333333361</v>
      </c>
      <c r="DA90" s="204">
        <f>IFERROR(AVERAGEIF(RD[[#This Row],[IS1GHI_BS1 (KWh/m2)]:[IS1GHI_BS1 (KWh/m2)2]],"&lt;&gt;0",RD[[#This Row],[IS1GHI_BS1 (KWh/m2)]:[IS1GHI_BS1 (KWh/m2)2]]),"")</f>
        <v>0.47660349999999946</v>
      </c>
      <c r="DB90" s="204">
        <f>IFERROR(AVERAGEIF(RD[[#This Row],[IS1AT1 (°C)]:[IS7AT2 (°C)]],"&lt;&gt;0",RD[[#This Row],[IS1AT1 (°C)]:[IS7AT2 (°C)]]),"")</f>
        <v>28.700523605150245</v>
      </c>
      <c r="DC90" s="204">
        <f>IFERROR(AVERAGEIF(RD[[#This Row],[IS1MT1 (°C)]:[IS7MT2 (°C)]],"&lt;&gt;0",RD[[#This Row],[IS1MT1 (°C)]:[IS7MT2 (°C)]]),"")</f>
        <v>37.405570386266092</v>
      </c>
      <c r="DD90" s="204">
        <f>IFERROR(AVERAGEIF(RD[[#This Row],[IS1RH1 (%)]:[IS7RH2 (%)]],"&lt;&gt;0",RD[[#This Row],[IS1RH1 (%)]:[IS7RH2 (%)]]),"")</f>
        <v>69.302695278969964</v>
      </c>
      <c r="DE90" s="51">
        <f>IFERROR(AVERAGEIF(RD[[#This Row],[IS1Rain1 (mm)]:[IS7Rain2 (mm)]],"&lt;&gt;0",RD[[#This Row],[IS1Rain1 (mm)]:[IS7Rain2 (mm)]]),"")</f>
        <v>6.1802575107296226E-2</v>
      </c>
      <c r="DF90" s="204">
        <f>IFERROR(AVERAGEIF(RD[[#This Row],[WS_Solar1_Avg (m/s)]:[IS7_WS_Solar1_Avg (m/s)]],"&lt;&gt;0",RD[[#This Row],[WS_Solar1_Avg (m/s)]:[IS7_WS_Solar1_Avg (m/s)]]),"")</f>
        <v>1.8765553648068662</v>
      </c>
      <c r="DG90" s="204">
        <f>IFERROR(AVERAGEIF(RD[[#This Row],[WS_Solar1_Max (m/s)]:[IS7_WS_Solar1_Max (m/s)]],"&lt;&gt;0",RD[[#This Row],[WS_Solar1_Max (m/s)]:[IS7_WS_Solar1_Max (m/s)]]),"")</f>
        <v>4.4789999999999992</v>
      </c>
      <c r="DH90" s="204">
        <f>SUM(RD[[#This Row],[IS1Inv1M1]:[IS4Inv4M2]])</f>
        <v>136305.89999999997</v>
      </c>
      <c r="DI90" s="205">
        <f>SUM(RD[[#This Row],[IS7Inv1M1]]+RD[[#This Row],[IS7Inv2M1]])</f>
        <v>7275.1</v>
      </c>
      <c r="DJ90" s="204">
        <f>SUM(RD[[#This Row],[IS5Inv1M1]:[IS5Inv2M2]])</f>
        <v>18408.599999999999</v>
      </c>
      <c r="DK90" s="204">
        <f>SUM(RD[[#This Row],[IS8Inv1M1]:[IS9Inv2M2]])</f>
        <v>34908.700000000004</v>
      </c>
      <c r="DL90" s="60">
        <f>SUM(RD[[#This Row],[IS6Inv1M1]:[IS6Inv2M2]])</f>
        <v>18416</v>
      </c>
      <c r="DM90" s="51">
        <f>SUM(RD[[#This Row],[IS10Inv1M1]:[IS11Inv1M4]],RD[[#This Row],[IS14Inv1M1]:[IS14Inv2M4]])</f>
        <v>78104.3</v>
      </c>
      <c r="DN90" s="288">
        <f>SUM(RD[[#This Row],[IS12Inv1M1]:[IS12Inv1M4]])</f>
        <v>17824</v>
      </c>
      <c r="DO90" s="288">
        <f>SUM(RD[[#This Row],[IS13Inv1M1]:[IS13Inv2M2]])</f>
        <v>20040.7</v>
      </c>
      <c r="DP90" s="204">
        <f>SUM(RD[[#This Row],[O2R15]:[O2R26]])</f>
        <v>331283.3</v>
      </c>
      <c r="DQ90" s="164">
        <v>44222.2</v>
      </c>
      <c r="DR90" s="168">
        <v>223.3</v>
      </c>
      <c r="DS90" s="164">
        <v>38600.6</v>
      </c>
      <c r="DT90" s="164">
        <v>235.5</v>
      </c>
      <c r="DU90" s="168">
        <v>45461</v>
      </c>
      <c r="DV90" s="168">
        <v>429.4</v>
      </c>
      <c r="DW90" s="164">
        <v>10435.9</v>
      </c>
      <c r="DX90" s="168">
        <v>53.5</v>
      </c>
      <c r="DY90" s="168">
        <v>2962.1</v>
      </c>
      <c r="DZ90" s="168">
        <v>12.2</v>
      </c>
      <c r="EA90" s="140">
        <v>104.48</v>
      </c>
      <c r="EB90" s="243">
        <v>145508876</v>
      </c>
      <c r="EC90" s="242">
        <v>1020830.272</v>
      </c>
      <c r="ED90" s="243">
        <v>1226</v>
      </c>
      <c r="EE90" s="243">
        <v>139728</v>
      </c>
      <c r="EF90" s="164">
        <v>201749.5</v>
      </c>
      <c r="EG90" s="164">
        <v>1976</v>
      </c>
      <c r="EH90" s="146">
        <f>IF((RD[[#This Row],[33 kV_F3_Ex
Incomer1]]-DQ89)*1000&lt;0,0,(RD[[#This Row],[33 kV_F3_Ex
Incomer1]]-DQ89)*1000)</f>
        <v>69299.999999995634</v>
      </c>
      <c r="EI90" s="146">
        <f>IF((RD[[#This Row],[34 kV_F3_Im
Incomer1]]-DR89)*1000&lt;0,0,(RD[[#This Row],[34 kV_F3_Im
Incomer1]]-DR89)*1000)</f>
        <v>300.00000000001137</v>
      </c>
      <c r="EJ90" s="146">
        <f>IF((RD[[#This Row],[33 kV_F4_Ex
Incomer2]]-DS89)*1000&lt;0,0,(RD[[#This Row],[33 kV_F4_Ex
Incomer2]]-DS89)*1000)</f>
        <v>64099.999999998545</v>
      </c>
      <c r="EK90" s="146">
        <f>IF((RD[[#This Row],[34 kV_F4_Im
Incomer2]]-DT89)*1000&lt;0,0,(RD[[#This Row],[34 kV_F4_Im
Incomer2]]-DT89)*1000)</f>
        <v>300.00000000001137</v>
      </c>
      <c r="EL90" s="146">
        <f>IF((RD[[#This Row],[33 kV_F5_Ex
Incomer3]]-DU89)*1000&lt;0,0,(RD[[#This Row],[33 kV_F5_Ex
Incomer3]]-DU89)*1000)</f>
        <v>78599.999999998545</v>
      </c>
      <c r="EM90" s="146">
        <f>IF((RD[[#This Row],[34 kV_F5_Im
Incomer3]]-DV89)*1000&lt;0,0,(RD[[#This Row],[34 kV_F5_Im
Incomer3]]-DV89)*1000)</f>
        <v>1099.9999999999659</v>
      </c>
      <c r="EN90" s="146">
        <f>IF((RD[[#This Row],[33 kV_F6_Ex
Incomer4]]-DW89)*1000&lt;0,0,(RD[[#This Row],[33 kV_F6_Ex
Incomer4]]-DW89)*1000)</f>
        <v>15399.999999999636</v>
      </c>
      <c r="EO90" s="146">
        <f t="shared" si="166"/>
        <v>400.00000000000568</v>
      </c>
      <c r="EP90" s="146">
        <f>IF((RD[[#This Row],[33 kV_F7_Ex
Incomer5]]-DY89)*1000&lt;0,0,(RD[[#This Row],[33 kV_F7_Ex
Incomer5]]-DY89)*1000)</f>
        <v>85599.999999999913</v>
      </c>
      <c r="EQ90" s="146">
        <f>IF((RD[[#This Row],[33 kV_F7_Im
Incomer5]]-DZ89)*1000&lt;0,0,(RD[[#This Row],[33 kV_F7_Im
Incomer5]]-DZ89)*1000)</f>
        <v>500</v>
      </c>
      <c r="ER90" s="146">
        <f>IF((RD[[#This Row],[33 kV_Aux Trafo]]-EA89)*1000&lt;0,0,(RD[[#This Row],[33 kV_Aux Trafo]]-EA89)*1000)</f>
        <v>210.00000000000796</v>
      </c>
      <c r="ES90" s="158">
        <f>IF((RD[[#This Row],[33kV_OG1_Ex_]]-EB89)*1&lt;0,0,(RD[[#This Row],[33kV_OG1_Ex_]]-EB89)*1)</f>
        <v>329482</v>
      </c>
      <c r="ET90" s="146">
        <f>IF((RD[[#This Row],[33kV_OG1_Im]]-EC89)*1&lt;0,0,(RD[[#This Row],[33kV_OG1_Im]]-EC89)*1)</f>
        <v>2373.9520000000484</v>
      </c>
      <c r="EU90" s="146">
        <f>IF((RD[[#This Row],[132kV_TX1_EX]]-ED89)*720&lt;=0,"",(RD[[#This Row],[132kV_TX1_EX]]-ED89)*720)</f>
        <v>1440</v>
      </c>
      <c r="EV90" s="146">
        <f>IF((RD[[#This Row],[132 kV_Tx1_Im]]-EE89)*720&lt;=0,0,(RD[[#This Row],[132 kV_Tx1_Im]]-EE89)*720)</f>
        <v>236160</v>
      </c>
      <c r="EW90" s="146">
        <f>IF((RD[[#This Row],[132kV_L1_Ex]]-EF89)*720&lt;=0,0,(RD[[#This Row],[132kV_L1_Ex]]-EF89)*720)</f>
        <v>328464.00000000838</v>
      </c>
      <c r="EX90" s="146">
        <f>IF((RD[[#This Row],[132kV_L1_Im]]-EG89)*720&lt;=0,0,(RD[[#This Row],[132kV_L1_Im]]-EG89)*720)</f>
        <v>2808.0000000000655</v>
      </c>
      <c r="EY90" s="244">
        <f>IFERROR(RD[[#This Row],[33kV_OG1_Ex (MWh)]]+RD[[#This Row],[33kV_OG1_Im (MWh)]],"")</f>
        <v>331855.95200000005</v>
      </c>
      <c r="EZ90" s="148">
        <f>RD[[#This Row],[33kV_OG1_Ex (MWh)]]-RD[[#This Row],[33kV_OG1_Im (MWh)]]</f>
        <v>327108.04799999995</v>
      </c>
      <c r="FA90" s="148">
        <f>IFERROR(RD[[#This Row],[132kV_L1_Ex(MWh)]]-RD[[#This Row],[132kV_L1_Im(MWh)]],"")</f>
        <v>325656.00000000832</v>
      </c>
      <c r="FB90" s="55">
        <f>IFERROR(RD[[#This Row],[33kV_Ex(MWh)]]/RD[[#This Row],[Inv Total Gneration (MWh)]]-1,"")</f>
        <v>1.7285869828032041E-3</v>
      </c>
      <c r="FC90" s="245">
        <f>IFERROR((RD[[#This Row],[Sunset Time (POA&lt;20 W/m2)]]-RD[[#This Row],[Sunrise Time (POA&gt;20 W/m2)]])*24,0)</f>
        <v>12.400000000000002</v>
      </c>
      <c r="FD90" s="246">
        <v>122.7</v>
      </c>
      <c r="FE90" s="300" t="s">
        <v>297</v>
      </c>
      <c r="FG90" s="144" t="str">
        <f>IFERROR(RD[[#This Row],[E_AC (WPR)]]/RD[[#This Row],[E_DC (WPR)]],"")</f>
        <v/>
      </c>
    </row>
    <row r="91" spans="1:163">
      <c r="A91" s="133">
        <f t="shared" si="161"/>
        <v>45831</v>
      </c>
      <c r="B91" s="138">
        <f>YEAR(RD[[#This Row],[Date]])+IF(MONTH(RD[[#This Row],[Date]])&gt;=4,1,0)</f>
        <v>2026</v>
      </c>
      <c r="C91" s="138">
        <f>YEAR(RD[[#This Row],[Date]])</f>
        <v>2025</v>
      </c>
      <c r="D91" s="139">
        <f t="shared" si="165"/>
        <v>45809</v>
      </c>
      <c r="E91" s="138">
        <f>DAY(EOMONTH(RD[[#This Row],[Date]],0))</f>
        <v>30</v>
      </c>
      <c r="F91" s="152">
        <v>0.25347222222222221</v>
      </c>
      <c r="G91" s="162">
        <v>0.77777777777777779</v>
      </c>
      <c r="H91" s="124">
        <v>4317.8999999999996</v>
      </c>
      <c r="I91" s="270">
        <v>4326.3</v>
      </c>
      <c r="J91" s="124">
        <v>4029.8</v>
      </c>
      <c r="K91" s="124">
        <v>4030.3</v>
      </c>
      <c r="L91" s="124">
        <v>4134.8999999999996</v>
      </c>
      <c r="M91" s="124">
        <v>4269.5</v>
      </c>
      <c r="N91" s="124">
        <v>4174.3</v>
      </c>
      <c r="O91" s="124">
        <v>4617.2</v>
      </c>
      <c r="P91" s="124">
        <v>4300.3</v>
      </c>
      <c r="Q91" s="124">
        <v>4153.3999999999996</v>
      </c>
      <c r="R91" s="124">
        <v>4310.3</v>
      </c>
      <c r="S91" s="268">
        <v>4342.8999999999996</v>
      </c>
      <c r="T91" s="124">
        <v>4531.2</v>
      </c>
      <c r="U91" s="124">
        <v>4345.6000000000004</v>
      </c>
      <c r="V91" s="124">
        <v>4424.7</v>
      </c>
      <c r="W91" s="124">
        <v>4240.3</v>
      </c>
      <c r="X91" s="268">
        <v>6027.7</v>
      </c>
      <c r="Y91" s="203">
        <v>6862.2</v>
      </c>
      <c r="Z91" s="203">
        <v>5843.3</v>
      </c>
      <c r="AA91" s="203">
        <v>6127.5</v>
      </c>
      <c r="AB91" s="268">
        <v>6557.9</v>
      </c>
      <c r="AC91" s="203">
        <v>3947.9</v>
      </c>
      <c r="AD91" s="203">
        <v>6068.1</v>
      </c>
      <c r="AE91" s="203">
        <v>6161.2</v>
      </c>
      <c r="AF91" s="268">
        <v>6032.3</v>
      </c>
      <c r="AG91" s="203">
        <v>6065</v>
      </c>
      <c r="AH91" s="203">
        <v>5993</v>
      </c>
      <c r="AI91" s="268">
        <v>6001.9</v>
      </c>
      <c r="AJ91" s="203">
        <v>4575.5</v>
      </c>
      <c r="AK91" s="268">
        <v>4716.3999999999996</v>
      </c>
      <c r="AL91" s="203">
        <v>4603.2</v>
      </c>
      <c r="AM91" s="268">
        <v>4654.1000000000004</v>
      </c>
      <c r="AN91" s="203">
        <v>4583.2</v>
      </c>
      <c r="AO91" s="268">
        <v>4731.5</v>
      </c>
      <c r="AP91" s="203">
        <v>4661</v>
      </c>
      <c r="AQ91" s="268">
        <v>4599</v>
      </c>
      <c r="AR91" s="203">
        <v>3657</v>
      </c>
      <c r="AS91" s="268">
        <v>3662.1</v>
      </c>
      <c r="AT91" s="203">
        <v>3668.6</v>
      </c>
      <c r="AU91" s="268">
        <v>3694.2</v>
      </c>
      <c r="AV91" s="203">
        <v>3732.3</v>
      </c>
      <c r="AW91" s="203">
        <v>3689.6</v>
      </c>
      <c r="AX91" s="203">
        <v>5269.2</v>
      </c>
      <c r="AY91" s="203">
        <v>5931.9</v>
      </c>
      <c r="AZ91" s="203">
        <v>4229.8999999999996</v>
      </c>
      <c r="BA91" s="203">
        <v>5127.1000000000004</v>
      </c>
      <c r="BB91" s="203">
        <v>5912.2</v>
      </c>
      <c r="BC91" s="203">
        <v>5653.1</v>
      </c>
      <c r="BD91" s="203">
        <v>5113</v>
      </c>
      <c r="BE91" s="203">
        <v>5635.2</v>
      </c>
      <c r="BF91" s="203">
        <v>6111.3</v>
      </c>
      <c r="BG91" s="203">
        <v>6146.4</v>
      </c>
      <c r="BH91" s="203">
        <v>6074.5</v>
      </c>
      <c r="BI91" s="203">
        <v>6274.1</v>
      </c>
      <c r="BJ91" s="203">
        <v>4020.4</v>
      </c>
      <c r="BK91" s="203">
        <v>3103</v>
      </c>
      <c r="BL91" s="203">
        <v>3785</v>
      </c>
      <c r="BM91" s="203">
        <v>3750</v>
      </c>
      <c r="BN91" s="203">
        <v>4264.5</v>
      </c>
      <c r="BO91" s="203">
        <v>3917.8</v>
      </c>
      <c r="BP91" s="203">
        <v>4361</v>
      </c>
      <c r="BQ91" s="203">
        <v>4404.7</v>
      </c>
      <c r="BR91" s="203">
        <v>4688.3</v>
      </c>
      <c r="BS91" s="203">
        <v>4846.2</v>
      </c>
      <c r="BT91" s="203">
        <v>4675.3</v>
      </c>
      <c r="BU91" s="203">
        <v>4945.2</v>
      </c>
      <c r="BV91" s="203">
        <v>1898.4</v>
      </c>
      <c r="BW91" s="203">
        <v>498.9</v>
      </c>
      <c r="BX91" s="203">
        <v>3492.6</v>
      </c>
      <c r="BY91" s="203">
        <v>1919.4</v>
      </c>
      <c r="BZ91" s="203">
        <v>581.9</v>
      </c>
      <c r="CA91" s="203">
        <v>483.4</v>
      </c>
      <c r="CB91" s="203">
        <v>2479.9</v>
      </c>
      <c r="CC91" s="203">
        <v>4178.8999999999996</v>
      </c>
      <c r="CD91" s="263">
        <v>3.4551595333333323</v>
      </c>
      <c r="CE91" s="263">
        <v>2.7390373833333315</v>
      </c>
      <c r="CF91" s="263">
        <v>2.6891340833333319</v>
      </c>
      <c r="CG91" s="263">
        <v>2.7390373833333315</v>
      </c>
      <c r="CH91" s="263">
        <v>0.33593361666666727</v>
      </c>
      <c r="CI91" s="263">
        <v>0.42498816666666628</v>
      </c>
      <c r="CJ91" s="263">
        <v>0.50771648333333408</v>
      </c>
      <c r="CK91" s="263">
        <v>0.44849651666666651</v>
      </c>
      <c r="CL91" s="263">
        <v>27.967526041666652</v>
      </c>
      <c r="CM91" s="263">
        <v>27.854704861111131</v>
      </c>
      <c r="CN91" s="263">
        <v>38.174468749999974</v>
      </c>
      <c r="CO91" s="263">
        <v>35.320512152777773</v>
      </c>
      <c r="CP91" s="263">
        <v>72.933307291666694</v>
      </c>
      <c r="CQ91" s="263">
        <v>74.675086805555694</v>
      </c>
      <c r="CR91" s="263">
        <v>0</v>
      </c>
      <c r="CS91" s="263">
        <v>0</v>
      </c>
      <c r="CT91" s="263">
        <v>1.7810885416666697</v>
      </c>
      <c r="CU91" s="263">
        <v>1.8733880208333342</v>
      </c>
      <c r="CV91" s="263">
        <v>4.5720000000000001</v>
      </c>
      <c r="CW91" s="263">
        <v>4.7489999999999997</v>
      </c>
      <c r="CX91" s="204">
        <f>IFERROR(AVERAGEIF(RD[[#This Row],[IS1POA1 (KWh/m2)]:[IS7POA2 (KWh/m2)]],"&lt;&gt;0",RD[[#This Row],[IS1POA1 (KWh/m2)]:[IS7POA2 (KWh/m2)]]),"")</f>
        <v>3.0970984583333321</v>
      </c>
      <c r="CY91" s="204">
        <f>IFERROR(AVERAGEIF(RD[[#This Row],[IS1GHI1 (KWh/m2)]:[IS7GHI2 (KWh/m2)]],"&lt;&gt;0",RD[[#This Row],[IS1GHI1 (KWh/m2)]:[IS7GHI2 (KWh/m2)]]),"")</f>
        <v>2.7140857333333317</v>
      </c>
      <c r="CZ91" s="204">
        <f>IFERROR(AVERAGEIF(RD[[#This Row],[IS1POA_BS1 (KWh/m2)]:[IS7POA_BS2 (KWh/m2)]],"&lt;&gt;0",RD[[#This Row],[IS1POA_BS1 (KWh/m2)]:[IS7POA_BS2 (KWh/m2)]]),"")</f>
        <v>0.38046089166666675</v>
      </c>
      <c r="DA91" s="204">
        <f>IFERROR(AVERAGEIF(RD[[#This Row],[IS1GHI_BS1 (KWh/m2)]:[IS1GHI_BS1 (KWh/m2)2]],"&lt;&gt;0",RD[[#This Row],[IS1GHI_BS1 (KWh/m2)]:[IS1GHI_BS1 (KWh/m2)2]]),"")</f>
        <v>0.47810650000000032</v>
      </c>
      <c r="DB91" s="204">
        <f>IFERROR(AVERAGEIF(RD[[#This Row],[IS1AT1 (°C)]:[IS7AT2 (°C)]],"&lt;&gt;0",RD[[#This Row],[IS1AT1 (°C)]:[IS7AT2 (°C)]]),"")</f>
        <v>27.911115451388891</v>
      </c>
      <c r="DC91" s="204">
        <f>IFERROR(AVERAGEIF(RD[[#This Row],[IS1MT1 (°C)]:[IS7MT2 (°C)]],"&lt;&gt;0",RD[[#This Row],[IS1MT1 (°C)]:[IS7MT2 (°C)]]),"")</f>
        <v>36.74749045138887</v>
      </c>
      <c r="DD91" s="204">
        <f>IFERROR(AVERAGEIF(RD[[#This Row],[IS1RH1 (%)]:[IS7RH2 (%)]],"&lt;&gt;0",RD[[#This Row],[IS1RH1 (%)]:[IS7RH2 (%)]]),"")</f>
        <v>73.804197048611201</v>
      </c>
      <c r="DE91" s="51" t="str">
        <f>IFERROR(AVERAGEIF(RD[[#This Row],[IS1Rain1 (mm)]:[IS7Rain2 (mm)]],"&lt;&gt;0",RD[[#This Row],[IS1Rain1 (mm)]:[IS7Rain2 (mm)]]),"")</f>
        <v/>
      </c>
      <c r="DF91" s="204">
        <f>IFERROR(AVERAGEIF(RD[[#This Row],[WS_Solar1_Avg (m/s)]:[IS7_WS_Solar1_Avg (m/s)]],"&lt;&gt;0",RD[[#This Row],[WS_Solar1_Avg (m/s)]:[IS7_WS_Solar1_Avg (m/s)]]),"")</f>
        <v>1.8272382812500019</v>
      </c>
      <c r="DG91" s="204">
        <f>IFERROR(AVERAGEIF(RD[[#This Row],[WS_Solar1_Max (m/s)]:[IS7_WS_Solar1_Max (m/s)]],"&lt;&gt;0",RD[[#This Row],[WS_Solar1_Max (m/s)]:[IS7_WS_Solar1_Max (m/s)]]),"")</f>
        <v>4.6604999999999999</v>
      </c>
      <c r="DH91" s="204">
        <f>SUM(RD[[#This Row],[IS1Inv1M1]:[IS4Inv4M2]])</f>
        <v>140236.9</v>
      </c>
      <c r="DI91" s="205">
        <f>SUM(RD[[#This Row],[IS7Inv1M1]]+RD[[#This Row],[IS7Inv2M1]])</f>
        <v>7319.1</v>
      </c>
      <c r="DJ91" s="204">
        <f>SUM(RD[[#This Row],[IS5Inv1M1]:[IS5Inv2M2]])</f>
        <v>18549.199999999997</v>
      </c>
      <c r="DK91" s="204">
        <f>SUM(RD[[#This Row],[IS8Inv1M1]:[IS9Inv2M2]])</f>
        <v>35342.799999999996</v>
      </c>
      <c r="DL91" s="60">
        <f>SUM(RD[[#This Row],[IS6Inv1M1]:[IS6Inv2M2]])</f>
        <v>18574.7</v>
      </c>
      <c r="DM91" s="51">
        <f>SUM(RD[[#This Row],[IS10Inv1M1]:[IS11Inv1M4]],RD[[#This Row],[IS14Inv1M1]:[IS14Inv2M4]])</f>
        <v>77111.599999999977</v>
      </c>
      <c r="DN91" s="288">
        <f>SUM(RD[[#This Row],[IS12Inv1M1]:[IS12Inv1M4]])</f>
        <v>16948</v>
      </c>
      <c r="DO91" s="288">
        <f>SUM(RD[[#This Row],[IS13Inv1M1]:[IS13Inv2M2]])</f>
        <v>19155</v>
      </c>
      <c r="DP91" s="204">
        <f>SUM(RD[[#This Row],[O2R15]:[O2R26]])</f>
        <v>333237.3</v>
      </c>
      <c r="DQ91" s="164">
        <v>44293.599999999999</v>
      </c>
      <c r="DR91" s="168">
        <v>223.7</v>
      </c>
      <c r="DS91" s="164">
        <v>38666.9</v>
      </c>
      <c r="DT91" s="164">
        <v>235.8</v>
      </c>
      <c r="DU91" s="168">
        <v>45540.5</v>
      </c>
      <c r="DV91" s="168">
        <v>430.6</v>
      </c>
      <c r="DW91" s="164">
        <v>10451.799999999999</v>
      </c>
      <c r="DX91" s="168">
        <v>53.6</v>
      </c>
      <c r="DY91" s="168">
        <v>3045.1</v>
      </c>
      <c r="DZ91" s="168">
        <v>12.7</v>
      </c>
      <c r="EA91" s="140">
        <v>104.71</v>
      </c>
      <c r="EB91" s="243">
        <v>145840848</v>
      </c>
      <c r="EC91" s="242">
        <v>1023598.272</v>
      </c>
      <c r="ED91" s="243">
        <v>1230</v>
      </c>
      <c r="EE91" s="243">
        <v>140059</v>
      </c>
      <c r="EF91" s="164">
        <v>202209.2</v>
      </c>
      <c r="EG91" s="164">
        <v>1980.4</v>
      </c>
      <c r="EH91" s="146">
        <f>IF((RD[[#This Row],[33 kV_F3_Ex
Incomer1]]-DQ90)*1000&lt;0,0,(RD[[#This Row],[33 kV_F3_Ex
Incomer1]]-DQ90)*1000)</f>
        <v>71400.000000001455</v>
      </c>
      <c r="EI91" s="146">
        <f>IF((RD[[#This Row],[34 kV_F3_Im
Incomer1]]-DR90)*1000&lt;0,0,(RD[[#This Row],[34 kV_F3_Im
Incomer1]]-DR90)*1000)</f>
        <v>399.99999999997726</v>
      </c>
      <c r="EJ91" s="146">
        <f>IF((RD[[#This Row],[33 kV_F4_Ex
Incomer2]]-DS90)*1000&lt;0,0,(RD[[#This Row],[33 kV_F4_Ex
Incomer2]]-DS90)*1000)</f>
        <v>66300.00000000291</v>
      </c>
      <c r="EK91" s="146">
        <f>IF((RD[[#This Row],[34 kV_F4_Im
Incomer2]]-DT90)*1000&lt;0,0,(RD[[#This Row],[34 kV_F4_Im
Incomer2]]-DT90)*1000)</f>
        <v>300.00000000001137</v>
      </c>
      <c r="EL91" s="146">
        <f>IF((RD[[#This Row],[33 kV_F5_Ex
Incomer3]]-DU90)*1000&lt;0,0,(RD[[#This Row],[33 kV_F5_Ex
Incomer3]]-DU90)*1000)</f>
        <v>79500</v>
      </c>
      <c r="EM91" s="146">
        <f>IF((RD[[#This Row],[34 kV_F5_Im
Incomer3]]-DV90)*1000&lt;0,0,(RD[[#This Row],[34 kV_F5_Im
Incomer3]]-DV90)*1000)</f>
        <v>1200.0000000000455</v>
      </c>
      <c r="EN91" s="146">
        <f>IF((RD[[#This Row],[33 kV_F6_Ex
Incomer4]]-DW90)*1000&lt;0,0,(RD[[#This Row],[33 kV_F6_Ex
Incomer4]]-DW90)*1000)</f>
        <v>15899.999999999636</v>
      </c>
      <c r="EO91" s="146">
        <f t="shared" si="166"/>
        <v>300.00000000001137</v>
      </c>
      <c r="EP91" s="146">
        <f>IF((RD[[#This Row],[33 kV_F7_Ex
Incomer5]]-DY90)*1000&lt;0,0,(RD[[#This Row],[33 kV_F7_Ex
Incomer5]]-DY90)*1000)</f>
        <v>83000</v>
      </c>
      <c r="EQ91" s="146">
        <f>IF((RD[[#This Row],[33 kV_F7_Im
Incomer5]]-DZ90)*1000&lt;0,0,(RD[[#This Row],[33 kV_F7_Im
Incomer5]]-DZ90)*1000)</f>
        <v>500</v>
      </c>
      <c r="ER91" s="146">
        <f>IF((RD[[#This Row],[33 kV_Aux Trafo]]-EA90)*1000&lt;0,0,(RD[[#This Row],[33 kV_Aux Trafo]]-EA90)*1000)</f>
        <v>229.99999999998977</v>
      </c>
      <c r="ES91" s="158">
        <f>IF((RD[[#This Row],[33kV_OG1_Ex_]]-EB90)*1&lt;0,0,(RD[[#This Row],[33kV_OG1_Ex_]]-EB90)*1)</f>
        <v>331972</v>
      </c>
      <c r="ET91" s="146">
        <f>IF((RD[[#This Row],[33kV_OG1_Im]]-EC90)*1&lt;0,0,(RD[[#This Row],[33kV_OG1_Im]]-EC90)*1)</f>
        <v>2768</v>
      </c>
      <c r="EU91" s="146">
        <f>IF((RD[[#This Row],[132kV_TX1_EX]]-ED90)*720&lt;=0,"",(RD[[#This Row],[132kV_TX1_EX]]-ED90)*720)</f>
        <v>2880</v>
      </c>
      <c r="EV91" s="146">
        <f>IF((RD[[#This Row],[132 kV_Tx1_Im]]-EE90)*720&lt;=0,0,(RD[[#This Row],[132 kV_Tx1_Im]]-EE90)*720)</f>
        <v>238320</v>
      </c>
      <c r="EW91" s="146">
        <f>IF((RD[[#This Row],[132kV_L1_Ex]]-EF90)*720&lt;=0,0,(RD[[#This Row],[132kV_L1_Ex]]-EF90)*720)</f>
        <v>330984.00000000838</v>
      </c>
      <c r="EX91" s="146">
        <f>IF((RD[[#This Row],[132kV_L1_Im]]-EG90)*720&lt;=0,0,(RD[[#This Row],[132kV_L1_Im]]-EG90)*720)</f>
        <v>3168.0000000000655</v>
      </c>
      <c r="EY91" s="244">
        <f>IFERROR(RD[[#This Row],[33kV_OG1_Ex (MWh)]]+RD[[#This Row],[33kV_OG1_Im (MWh)]],"")</f>
        <v>334740</v>
      </c>
      <c r="EZ91" s="148">
        <f>RD[[#This Row],[33kV_OG1_Ex (MWh)]]-RD[[#This Row],[33kV_OG1_Im (MWh)]]</f>
        <v>329204</v>
      </c>
      <c r="FA91" s="148">
        <f>IFERROR(RD[[#This Row],[132kV_L1_Ex(MWh)]]-RD[[#This Row],[132kV_L1_Im(MWh)]],"")</f>
        <v>327816.00000000832</v>
      </c>
      <c r="FB91" s="55">
        <f>IFERROR(RD[[#This Row],[33kV_Ex(MWh)]]/RD[[#This Row],[Inv Total Gneration (MWh)]]-1,"")</f>
        <v>4.5093991578974979E-3</v>
      </c>
      <c r="FC91" s="245">
        <f>IFERROR((RD[[#This Row],[Sunset Time (POA&lt;20 W/m2)]]-RD[[#This Row],[Sunrise Time (POA&gt;20 W/m2)]])*24,0)</f>
        <v>12.583333333333334</v>
      </c>
      <c r="FD91" s="246">
        <v>122.7</v>
      </c>
      <c r="FE91" s="300" t="s">
        <v>297</v>
      </c>
      <c r="FG91" s="144" t="str">
        <f>IFERROR(RD[[#This Row],[E_AC (WPR)]]/RD[[#This Row],[E_DC (WPR)]],"")</f>
        <v/>
      </c>
    </row>
    <row r="92" spans="1:163">
      <c r="A92" s="133">
        <f t="shared" si="161"/>
        <v>45832</v>
      </c>
      <c r="B92" s="138">
        <f>YEAR(RD[[#This Row],[Date]])+IF(MONTH(RD[[#This Row],[Date]])&gt;=4,1,0)</f>
        <v>2026</v>
      </c>
      <c r="C92" s="138">
        <f>YEAR(RD[[#This Row],[Date]])</f>
        <v>2025</v>
      </c>
      <c r="D92" s="139">
        <f t="shared" si="165"/>
        <v>45809</v>
      </c>
      <c r="E92" s="138">
        <f>DAY(EOMONTH(RD[[#This Row],[Date]],0))</f>
        <v>30</v>
      </c>
      <c r="F92" s="152">
        <v>0.25833333333333336</v>
      </c>
      <c r="G92" s="162">
        <v>0.75277777777777777</v>
      </c>
      <c r="H92" s="124">
        <v>886.8</v>
      </c>
      <c r="I92" s="270">
        <v>899.6</v>
      </c>
      <c r="J92" s="124">
        <v>834.6</v>
      </c>
      <c r="K92" s="124">
        <v>816.3</v>
      </c>
      <c r="L92" s="124">
        <v>838.5</v>
      </c>
      <c r="M92" s="124">
        <v>861.7</v>
      </c>
      <c r="N92" s="124">
        <v>844.7</v>
      </c>
      <c r="O92" s="124">
        <v>943</v>
      </c>
      <c r="P92" s="124">
        <v>887.9</v>
      </c>
      <c r="Q92" s="124">
        <v>853.3</v>
      </c>
      <c r="R92" s="124">
        <v>891.5</v>
      </c>
      <c r="S92" s="268">
        <v>905.4</v>
      </c>
      <c r="T92" s="124">
        <v>945.6</v>
      </c>
      <c r="U92" s="124">
        <v>913</v>
      </c>
      <c r="V92" s="124">
        <v>920.7</v>
      </c>
      <c r="W92" s="124">
        <v>884.2</v>
      </c>
      <c r="X92" s="268">
        <v>1314.9</v>
      </c>
      <c r="Y92" s="203">
        <v>1512.9</v>
      </c>
      <c r="Z92" s="203">
        <v>1261</v>
      </c>
      <c r="AA92" s="203">
        <v>1325.7</v>
      </c>
      <c r="AB92" s="268">
        <v>1405.6</v>
      </c>
      <c r="AC92" s="203">
        <v>873.1</v>
      </c>
      <c r="AD92" s="203">
        <v>1347.8</v>
      </c>
      <c r="AE92" s="203">
        <v>1370.5</v>
      </c>
      <c r="AF92" s="268">
        <v>1336</v>
      </c>
      <c r="AG92" s="203">
        <v>1341</v>
      </c>
      <c r="AH92" s="203">
        <v>1322.1</v>
      </c>
      <c r="AI92" s="268">
        <v>1326.5</v>
      </c>
      <c r="AJ92" s="203">
        <v>1050.3</v>
      </c>
      <c r="AK92" s="268">
        <v>1083</v>
      </c>
      <c r="AL92" s="203">
        <v>1059.8</v>
      </c>
      <c r="AM92" s="268">
        <v>1072.0999999999999</v>
      </c>
      <c r="AN92" s="203">
        <v>1059.2</v>
      </c>
      <c r="AO92" s="268">
        <v>1098.5999999999999</v>
      </c>
      <c r="AP92" s="203">
        <v>1080.0999999999999</v>
      </c>
      <c r="AQ92" s="268">
        <v>1069.0999999999999</v>
      </c>
      <c r="AR92" s="203">
        <v>827.7</v>
      </c>
      <c r="AS92" s="268">
        <v>831.1</v>
      </c>
      <c r="AT92" s="203">
        <v>824.5</v>
      </c>
      <c r="AU92" s="268">
        <v>830.8</v>
      </c>
      <c r="AV92" s="203">
        <v>842.4</v>
      </c>
      <c r="AW92" s="203">
        <v>836</v>
      </c>
      <c r="AX92" s="203">
        <v>1223.0999999999999</v>
      </c>
      <c r="AY92" s="203">
        <v>1377.8</v>
      </c>
      <c r="AZ92" s="203">
        <v>992.2</v>
      </c>
      <c r="BA92" s="203">
        <v>1215.5</v>
      </c>
      <c r="BB92" s="203">
        <v>1392</v>
      </c>
      <c r="BC92" s="203">
        <v>1322</v>
      </c>
      <c r="BD92" s="203">
        <v>1180</v>
      </c>
      <c r="BE92" s="203">
        <v>1301</v>
      </c>
      <c r="BF92" s="203">
        <v>1418.4</v>
      </c>
      <c r="BG92" s="203">
        <v>1433.6</v>
      </c>
      <c r="BH92" s="203">
        <v>1421</v>
      </c>
      <c r="BI92" s="203">
        <v>1471</v>
      </c>
      <c r="BJ92" s="203">
        <v>923</v>
      </c>
      <c r="BK92" s="203">
        <v>708</v>
      </c>
      <c r="BL92" s="203">
        <v>868</v>
      </c>
      <c r="BM92" s="203">
        <v>860</v>
      </c>
      <c r="BN92" s="203">
        <v>975</v>
      </c>
      <c r="BO92" s="203">
        <v>895</v>
      </c>
      <c r="BP92" s="203">
        <v>1000.3</v>
      </c>
      <c r="BQ92" s="203">
        <v>1010</v>
      </c>
      <c r="BR92" s="203">
        <v>1098.5999999999999</v>
      </c>
      <c r="BS92" s="203">
        <v>1134.4000000000001</v>
      </c>
      <c r="BT92" s="203">
        <v>1090.5999999999999</v>
      </c>
      <c r="BU92" s="203">
        <v>1156.4000000000001</v>
      </c>
      <c r="BV92" s="203">
        <v>444.2</v>
      </c>
      <c r="BW92" s="203">
        <v>96.6</v>
      </c>
      <c r="BX92" s="203">
        <v>823.9</v>
      </c>
      <c r="BY92" s="203">
        <v>504.2</v>
      </c>
      <c r="BZ92" s="203">
        <v>114.4</v>
      </c>
      <c r="CA92" s="203">
        <v>92.5</v>
      </c>
      <c r="CB92" s="203">
        <v>564.5</v>
      </c>
      <c r="CC92" s="203">
        <v>967.4</v>
      </c>
      <c r="CD92" s="263">
        <v>1.7674343000000015</v>
      </c>
      <c r="CE92" s="263">
        <v>1.5297184166666646</v>
      </c>
      <c r="CF92" s="263">
        <v>1.365506200000002</v>
      </c>
      <c r="CG92" s="263">
        <v>1.5168872333333325</v>
      </c>
      <c r="CH92" s="263">
        <v>0.16999783333333307</v>
      </c>
      <c r="CI92" s="263">
        <v>0.23726168333333295</v>
      </c>
      <c r="CJ92" s="263">
        <v>0.25271666666666681</v>
      </c>
      <c r="CK92" s="263">
        <v>0.24675636666666614</v>
      </c>
      <c r="CL92" s="263">
        <v>26.669948905109489</v>
      </c>
      <c r="CM92" s="263">
        <v>25.823970802919689</v>
      </c>
      <c r="CN92" s="263">
        <v>34.336596350364914</v>
      </c>
      <c r="CO92" s="263">
        <v>31.129043795620461</v>
      </c>
      <c r="CP92" s="263">
        <v>85.991401459854089</v>
      </c>
      <c r="CQ92" s="263">
        <v>87.814846715328486</v>
      </c>
      <c r="CR92" s="263">
        <v>7.0072992700730141E-2</v>
      </c>
      <c r="CS92" s="263">
        <v>0.14890510948905092</v>
      </c>
      <c r="CT92" s="263">
        <v>1.0230503649635039</v>
      </c>
      <c r="CU92" s="263">
        <v>1.0937540145985403</v>
      </c>
      <c r="CV92" s="263">
        <v>3.3719999999999999</v>
      </c>
      <c r="CW92" s="263">
        <v>3.5880000000000001</v>
      </c>
      <c r="CX92" s="204">
        <f>IFERROR(AVERAGEIF(RD[[#This Row],[IS1POA1 (KWh/m2)]:[IS7POA2 (KWh/m2)]],"&lt;&gt;0",RD[[#This Row],[IS1POA1 (KWh/m2)]:[IS7POA2 (KWh/m2)]]),"")</f>
        <v>1.648576358333333</v>
      </c>
      <c r="CY92" s="204">
        <f>IFERROR(AVERAGEIF(RD[[#This Row],[IS1GHI1 (KWh/m2)]:[IS7GHI2 (KWh/m2)]],"&lt;&gt;0",RD[[#This Row],[IS1GHI1 (KWh/m2)]:[IS7GHI2 (KWh/m2)]]),"")</f>
        <v>1.4411967166666673</v>
      </c>
      <c r="CZ92" s="204">
        <f>IFERROR(AVERAGEIF(RD[[#This Row],[IS1POA_BS1 (KWh/m2)]:[IS7POA_BS2 (KWh/m2)]],"&lt;&gt;0",RD[[#This Row],[IS1POA_BS1 (KWh/m2)]:[IS7POA_BS2 (KWh/m2)]]),"")</f>
        <v>0.20362975833333302</v>
      </c>
      <c r="DA92" s="204">
        <f>IFERROR(AVERAGEIF(RD[[#This Row],[IS1GHI_BS1 (KWh/m2)]:[IS1GHI_BS1 (KWh/m2)2]],"&lt;&gt;0",RD[[#This Row],[IS1GHI_BS1 (KWh/m2)]:[IS1GHI_BS1 (KWh/m2)2]]),"")</f>
        <v>0.24973651666666646</v>
      </c>
      <c r="DB92" s="204">
        <f>IFERROR(AVERAGEIF(RD[[#This Row],[IS1AT1 (°C)]:[IS7AT2 (°C)]],"&lt;&gt;0",RD[[#This Row],[IS1AT1 (°C)]:[IS7AT2 (°C)]]),"")</f>
        <v>26.246959854014591</v>
      </c>
      <c r="DC92" s="204">
        <f>IFERROR(AVERAGEIF(RD[[#This Row],[IS1MT1 (°C)]:[IS7MT2 (°C)]],"&lt;&gt;0",RD[[#This Row],[IS1MT1 (°C)]:[IS7MT2 (°C)]]),"")</f>
        <v>32.732820072992688</v>
      </c>
      <c r="DD92" s="204">
        <f>IFERROR(AVERAGEIF(RD[[#This Row],[IS1RH1 (%)]:[IS7RH2 (%)]],"&lt;&gt;0",RD[[#This Row],[IS1RH1 (%)]:[IS7RH2 (%)]]),"")</f>
        <v>86.903124087591294</v>
      </c>
      <c r="DE92" s="51">
        <f>IFERROR(AVERAGEIF(RD[[#This Row],[IS1Rain1 (mm)]:[IS7Rain2 (mm)]],"&lt;&gt;0",RD[[#This Row],[IS1Rain1 (mm)]:[IS7Rain2 (mm)]]),"")</f>
        <v>0.10948905109489053</v>
      </c>
      <c r="DF92" s="204">
        <f>IFERROR(AVERAGEIF(RD[[#This Row],[WS_Solar1_Avg (m/s)]:[IS7_WS_Solar1_Avg (m/s)]],"&lt;&gt;0",RD[[#This Row],[WS_Solar1_Avg (m/s)]:[IS7_WS_Solar1_Avg (m/s)]]),"")</f>
        <v>1.0584021897810221</v>
      </c>
      <c r="DG92" s="204">
        <f>IFERROR(AVERAGEIF(RD[[#This Row],[WS_Solar1_Max (m/s)]:[IS7_WS_Solar1_Max (m/s)]],"&lt;&gt;0",RD[[#This Row],[WS_Solar1_Max (m/s)]:[IS7_WS_Solar1_Max (m/s)]]),"")</f>
        <v>3.48</v>
      </c>
      <c r="DH92" s="204">
        <f>SUM(RD[[#This Row],[IS1Inv1M1]:[IS4Inv4M2]])</f>
        <v>29863.899999999998</v>
      </c>
      <c r="DI92" s="205">
        <f>SUM(RD[[#This Row],[IS7Inv1M1]]+RD[[#This Row],[IS7Inv2M1]])</f>
        <v>1658.8000000000002</v>
      </c>
      <c r="DJ92" s="204">
        <f>SUM(RD[[#This Row],[IS5Inv1M1]:[IS5Inv2M2]])</f>
        <v>4265.2000000000007</v>
      </c>
      <c r="DK92" s="204">
        <f>SUM(RD[[#This Row],[IS8Inv1M1]:[IS9Inv2M2]])</f>
        <v>8142.2999999999993</v>
      </c>
      <c r="DL92" s="60">
        <f>SUM(RD[[#This Row],[IS6Inv1M1]:[IS6Inv2M2]])</f>
        <v>4307</v>
      </c>
      <c r="DM92" s="51">
        <f>SUM(RD[[#This Row],[IS10Inv1M1]:[IS11Inv1M4]],RD[[#This Row],[IS14Inv1M1]:[IS14Inv2M4]])</f>
        <v>17905.700000000004</v>
      </c>
      <c r="DN92" s="288">
        <f>SUM(RD[[#This Row],[IS12Inv1M1]:[IS12Inv1M4]])</f>
        <v>3880.3</v>
      </c>
      <c r="DO92" s="288">
        <f>SUM(RD[[#This Row],[IS13Inv1M1]:[IS13Inv2M2]])</f>
        <v>4480</v>
      </c>
      <c r="DP92" s="204">
        <f>SUM(RD[[#This Row],[O2R15]:[O2R26]])</f>
        <v>74503.199999999997</v>
      </c>
      <c r="DQ92" s="164">
        <v>44309.2</v>
      </c>
      <c r="DR92" s="168">
        <v>224.1</v>
      </c>
      <c r="DS92" s="164">
        <v>38680.9</v>
      </c>
      <c r="DT92" s="164">
        <v>236.2</v>
      </c>
      <c r="DU92" s="168">
        <v>45558.9</v>
      </c>
      <c r="DV92" s="168">
        <v>432.1</v>
      </c>
      <c r="DW92" s="164">
        <v>10455.6</v>
      </c>
      <c r="DX92" s="168">
        <v>53.9</v>
      </c>
      <c r="DY92" s="168">
        <v>3064.5</v>
      </c>
      <c r="DZ92" s="168">
        <v>13.6</v>
      </c>
      <c r="EA92" s="140">
        <v>104.91</v>
      </c>
      <c r="EB92" s="243">
        <v>145915772</v>
      </c>
      <c r="EC92" s="242">
        <v>1027600.64</v>
      </c>
      <c r="ED92" s="243">
        <v>1234</v>
      </c>
      <c r="EE92" s="243">
        <v>140133</v>
      </c>
      <c r="EF92" s="164">
        <v>202312.9</v>
      </c>
      <c r="EG92" s="164">
        <v>1986.8</v>
      </c>
      <c r="EH92" s="146">
        <f>IF((RD[[#This Row],[33 kV_F3_Ex
Incomer1]]-DQ91)*1000&lt;0,0,(RD[[#This Row],[33 kV_F3_Ex
Incomer1]]-DQ91)*1000)</f>
        <v>15599.999999998545</v>
      </c>
      <c r="EI92" s="146">
        <f>IF((RD[[#This Row],[34 kV_F3_Im
Incomer1]]-DR91)*1000&lt;0,0,(RD[[#This Row],[34 kV_F3_Im
Incomer1]]-DR91)*1000)</f>
        <v>400.00000000000568</v>
      </c>
      <c r="EJ92" s="146">
        <f>IF((RD[[#This Row],[33 kV_F4_Ex
Incomer2]]-DS91)*1000&lt;0,0,(RD[[#This Row],[33 kV_F4_Ex
Incomer2]]-DS91)*1000)</f>
        <v>14000</v>
      </c>
      <c r="EK92" s="146">
        <f>IF((RD[[#This Row],[34 kV_F4_Im
Incomer2]]-DT91)*1000&lt;0,0,(RD[[#This Row],[34 kV_F4_Im
Incomer2]]-DT91)*1000)</f>
        <v>399.99999999997726</v>
      </c>
      <c r="EL92" s="146">
        <f>IF((RD[[#This Row],[33 kV_F5_Ex
Incomer3]]-DU91)*1000&lt;0,0,(RD[[#This Row],[33 kV_F5_Ex
Incomer3]]-DU91)*1000)</f>
        <v>18400.000000001455</v>
      </c>
      <c r="EM92" s="146">
        <f>IF((RD[[#This Row],[34 kV_F5_Im
Incomer3]]-DV91)*1000&lt;0,0,(RD[[#This Row],[34 kV_F5_Im
Incomer3]]-DV91)*1000)</f>
        <v>1500</v>
      </c>
      <c r="EN92" s="146">
        <f>IF((RD[[#This Row],[33 kV_F6_Ex
Incomer4]]-DW91)*1000&lt;0,0,(RD[[#This Row],[33 kV_F6_Ex
Incomer4]]-DW91)*1000)</f>
        <v>3800.0000000010914</v>
      </c>
      <c r="EO92" s="146">
        <f t="shared" si="166"/>
        <v>399.99999999997726</v>
      </c>
      <c r="EP92" s="146">
        <f>IF((RD[[#This Row],[33 kV_F7_Ex
Incomer5]]-DY91)*1000&lt;0,0,(RD[[#This Row],[33 kV_F7_Ex
Incomer5]]-DY91)*1000)</f>
        <v>19400.000000000091</v>
      </c>
      <c r="EQ92" s="146">
        <f>IF((RD[[#This Row],[33 kV_F7_Im
Incomer5]]-DZ91)*1000&lt;0,0,(RD[[#This Row],[33 kV_F7_Im
Incomer5]]-DZ91)*1000)</f>
        <v>900.00000000000034</v>
      </c>
      <c r="ER92" s="146">
        <f>IF((RD[[#This Row],[33 kV_Aux Trafo]]-EA91)*1000&lt;0,0,(RD[[#This Row],[33 kV_Aux Trafo]]-EA91)*1000)</f>
        <v>200.00000000000284</v>
      </c>
      <c r="ES92" s="158">
        <f>IF((RD[[#This Row],[33kV_OG1_Ex_]]-EB91)*1&lt;0,0,(RD[[#This Row],[33kV_OG1_Ex_]]-EB91)*1)</f>
        <v>74924</v>
      </c>
      <c r="ET92" s="146">
        <f>IF((RD[[#This Row],[33kV_OG1_Im]]-EC91)*1&lt;0,0,(RD[[#This Row],[33kV_OG1_Im]]-EC91)*1)</f>
        <v>4002.3680000000168</v>
      </c>
      <c r="EU92" s="146">
        <f>IF((RD[[#This Row],[132kV_TX1_EX]]-ED91)*720&lt;=0,"",(RD[[#This Row],[132kV_TX1_EX]]-ED91)*720)</f>
        <v>2880</v>
      </c>
      <c r="EV92" s="146">
        <f>IF((RD[[#This Row],[132 kV_Tx1_Im]]-EE91)*720&lt;=0,0,(RD[[#This Row],[132 kV_Tx1_Im]]-EE91)*720)</f>
        <v>53280</v>
      </c>
      <c r="EW92" s="146">
        <f>IF((RD[[#This Row],[132kV_L1_Ex]]-EF91)*720&lt;=0,0,(RD[[#This Row],[132kV_L1_Ex]]-EF91)*720)</f>
        <v>74663.999999987427</v>
      </c>
      <c r="EX92" s="146">
        <f>IF((RD[[#This Row],[132kV_L1_Im]]-EG91)*720&lt;=0,0,(RD[[#This Row],[132kV_L1_Im]]-EG91)*720)</f>
        <v>4607.9999999999018</v>
      </c>
      <c r="EY92" s="244">
        <f>IFERROR(RD[[#This Row],[33kV_OG1_Ex (MWh)]]+RD[[#This Row],[33kV_OG1_Im (MWh)]],"")</f>
        <v>78926.368000000017</v>
      </c>
      <c r="EZ92" s="148">
        <f>RD[[#This Row],[33kV_OG1_Ex (MWh)]]-RD[[#This Row],[33kV_OG1_Im (MWh)]]</f>
        <v>70921.631999999983</v>
      </c>
      <c r="FA92" s="148">
        <f>IFERROR(RD[[#This Row],[132kV_L1_Ex(MWh)]]-RD[[#This Row],[132kV_L1_Im(MWh)]],"")</f>
        <v>70055.999999987529</v>
      </c>
      <c r="FB92" s="55">
        <f>IFERROR(RD[[#This Row],[33kV_Ex(MWh)]]/RD[[#This Row],[Inv Total Gneration (MWh)]]-1,"")</f>
        <v>5.9368832479679057E-2</v>
      </c>
      <c r="FC92" s="245">
        <f>IFERROR((RD[[#This Row],[Sunset Time (POA&lt;20 W/m2)]]-RD[[#This Row],[Sunrise Time (POA&gt;20 W/m2)]])*24,0)</f>
        <v>11.866666666666665</v>
      </c>
      <c r="FD92" s="246">
        <v>125.2</v>
      </c>
      <c r="FE92" s="313" t="s">
        <v>1257</v>
      </c>
      <c r="FG92" s="144" t="str">
        <f>IFERROR(RD[[#This Row],[E_AC (WPR)]]/RD[[#This Row],[E_DC (WPR)]],"")</f>
        <v/>
      </c>
    </row>
    <row r="93" spans="1:163">
      <c r="A93" s="133">
        <f t="shared" si="161"/>
        <v>45833</v>
      </c>
      <c r="B93" s="138">
        <f>YEAR(RD[[#This Row],[Date]])+IF(MONTH(RD[[#This Row],[Date]])&gt;=4,1,0)</f>
        <v>2026</v>
      </c>
      <c r="C93" s="138">
        <f>YEAR(RD[[#This Row],[Date]])</f>
        <v>2025</v>
      </c>
      <c r="D93" s="139">
        <f t="shared" si="165"/>
        <v>45809</v>
      </c>
      <c r="E93" s="138">
        <f>DAY(EOMONTH(RD[[#This Row],[Date]],0))</f>
        <v>30</v>
      </c>
      <c r="F93" s="152">
        <v>0.27152777777777776</v>
      </c>
      <c r="G93" s="162">
        <v>0.78125</v>
      </c>
      <c r="H93" s="124">
        <v>4045.4</v>
      </c>
      <c r="I93" s="270">
        <v>4035.8</v>
      </c>
      <c r="J93" s="124">
        <v>3766.2</v>
      </c>
      <c r="K93" s="124">
        <v>3837</v>
      </c>
      <c r="L93" s="124">
        <v>3960.9</v>
      </c>
      <c r="M93" s="124">
        <v>4061.7</v>
      </c>
      <c r="N93" s="124">
        <v>3943.6</v>
      </c>
      <c r="O93" s="124">
        <v>4348.3999999999996</v>
      </c>
      <c r="P93" s="124">
        <v>4010.8</v>
      </c>
      <c r="Q93" s="124">
        <v>3928.2</v>
      </c>
      <c r="R93" s="124">
        <v>4048.2</v>
      </c>
      <c r="S93" s="268">
        <v>4061.7</v>
      </c>
      <c r="T93" s="124">
        <v>4232.5</v>
      </c>
      <c r="U93" s="124">
        <v>4063.5</v>
      </c>
      <c r="V93" s="124">
        <v>4139.7</v>
      </c>
      <c r="W93" s="124">
        <v>3941.9</v>
      </c>
      <c r="X93" s="268">
        <v>5589</v>
      </c>
      <c r="Y93" s="203">
        <v>6365.5</v>
      </c>
      <c r="Z93" s="203">
        <v>5424</v>
      </c>
      <c r="AA93" s="203">
        <v>5674.3</v>
      </c>
      <c r="AB93" s="268">
        <v>6143</v>
      </c>
      <c r="AC93" s="203">
        <v>3676.6</v>
      </c>
      <c r="AD93" s="203">
        <v>5649.8</v>
      </c>
      <c r="AE93" s="203">
        <v>5775.8</v>
      </c>
      <c r="AF93" s="268">
        <v>5593.7</v>
      </c>
      <c r="AG93" s="203">
        <v>5601.6</v>
      </c>
      <c r="AH93" s="203">
        <v>5581</v>
      </c>
      <c r="AI93" s="268">
        <v>5608.9</v>
      </c>
      <c r="AJ93" s="203">
        <v>4653.7</v>
      </c>
      <c r="AK93" s="268">
        <v>4826.1000000000004</v>
      </c>
      <c r="AL93" s="203">
        <v>4763.8999999999996</v>
      </c>
      <c r="AM93" s="268">
        <v>4827.8</v>
      </c>
      <c r="AN93" s="203">
        <v>4725.1000000000004</v>
      </c>
      <c r="AO93" s="268">
        <v>4901.1000000000004</v>
      </c>
      <c r="AP93" s="203">
        <v>4792.7</v>
      </c>
      <c r="AQ93" s="268">
        <v>4478.5</v>
      </c>
      <c r="AR93" s="203">
        <v>3804.5</v>
      </c>
      <c r="AS93" s="268">
        <v>3815.5</v>
      </c>
      <c r="AT93" s="203">
        <v>3802.3</v>
      </c>
      <c r="AU93" s="268">
        <v>3838</v>
      </c>
      <c r="AV93" s="203">
        <v>3881.4</v>
      </c>
      <c r="AW93" s="203">
        <v>3846.3</v>
      </c>
      <c r="AX93" s="203">
        <v>5421.6</v>
      </c>
      <c r="AY93" s="203">
        <v>6097</v>
      </c>
      <c r="AZ93" s="203">
        <v>4396.5</v>
      </c>
      <c r="BA93" s="203">
        <v>5363.5</v>
      </c>
      <c r="BB93" s="203">
        <v>5711.3</v>
      </c>
      <c r="BC93" s="203">
        <v>5392.9</v>
      </c>
      <c r="BD93" s="203">
        <v>4816.7</v>
      </c>
      <c r="BE93" s="203">
        <v>5333.3</v>
      </c>
      <c r="BF93" s="203">
        <v>5842</v>
      </c>
      <c r="BG93" s="203">
        <v>5943.4</v>
      </c>
      <c r="BH93" s="203">
        <v>5898.2</v>
      </c>
      <c r="BI93" s="203">
        <v>6102</v>
      </c>
      <c r="BJ93" s="203">
        <v>3954.7</v>
      </c>
      <c r="BK93" s="203">
        <v>3056.3</v>
      </c>
      <c r="BL93" s="203">
        <v>3739.1</v>
      </c>
      <c r="BM93" s="203">
        <v>3710.2</v>
      </c>
      <c r="BN93" s="203">
        <v>3989.9</v>
      </c>
      <c r="BO93" s="203">
        <v>3863.2</v>
      </c>
      <c r="BP93" s="203">
        <v>4297.8</v>
      </c>
      <c r="BQ93" s="203">
        <v>4330</v>
      </c>
      <c r="BR93" s="203">
        <v>4701.8</v>
      </c>
      <c r="BS93" s="203">
        <v>4867</v>
      </c>
      <c r="BT93" s="203">
        <v>4657</v>
      </c>
      <c r="BU93" s="203">
        <v>4941.5</v>
      </c>
      <c r="BV93" s="203">
        <v>2047.1</v>
      </c>
      <c r="BW93" s="203">
        <v>517.5</v>
      </c>
      <c r="BX93" s="203">
        <v>3619.8</v>
      </c>
      <c r="BY93" s="203">
        <v>2265.1</v>
      </c>
      <c r="BZ93" s="203">
        <v>606.5</v>
      </c>
      <c r="CA93" s="203">
        <v>503.8</v>
      </c>
      <c r="CB93" s="203">
        <v>2535.1999999999998</v>
      </c>
      <c r="CC93" s="203">
        <v>4229.2</v>
      </c>
      <c r="CD93" s="263">
        <v>3.2844382666666685</v>
      </c>
      <c r="CE93" s="263">
        <v>2.8657386833333325</v>
      </c>
      <c r="CF93" s="263">
        <v>2.5581634499999968</v>
      </c>
      <c r="CG93" s="263">
        <v>2.8766823833333364</v>
      </c>
      <c r="CH93" s="263">
        <v>0.31596271666666675</v>
      </c>
      <c r="CI93" s="263">
        <v>0.43690793333333394</v>
      </c>
      <c r="CJ93" s="263">
        <v>0.4712964000000005</v>
      </c>
      <c r="CK93" s="263">
        <v>0.45445846666666667</v>
      </c>
      <c r="CL93" s="263">
        <v>27.623710546574326</v>
      </c>
      <c r="CM93" s="263">
        <v>26.790669745958443</v>
      </c>
      <c r="CN93" s="263">
        <v>37.018765204003024</v>
      </c>
      <c r="CO93" s="263">
        <v>34.452007698229359</v>
      </c>
      <c r="CP93" s="263">
        <v>85.641031562740594</v>
      </c>
      <c r="CQ93" s="263">
        <v>86.731054657428857</v>
      </c>
      <c r="CR93" s="263">
        <v>0.49391839876828314</v>
      </c>
      <c r="CS93" s="263">
        <v>7.051578137028483E-2</v>
      </c>
      <c r="CT93" s="263">
        <v>0.98478290993071638</v>
      </c>
      <c r="CU93" s="263">
        <v>1.0380808314087762</v>
      </c>
      <c r="CV93" s="263">
        <v>2.9790000000000001</v>
      </c>
      <c r="CW93" s="263">
        <v>3.24</v>
      </c>
      <c r="CX93" s="204">
        <f>IFERROR(AVERAGEIF(RD[[#This Row],[IS1POA1 (KWh/m2)]:[IS7POA2 (KWh/m2)]],"&lt;&gt;0",RD[[#This Row],[IS1POA1 (KWh/m2)]:[IS7POA2 (KWh/m2)]]),"")</f>
        <v>3.0750884750000003</v>
      </c>
      <c r="CY93" s="204">
        <f>IFERROR(AVERAGEIF(RD[[#This Row],[IS1GHI1 (KWh/m2)]:[IS7GHI2 (KWh/m2)]],"&lt;&gt;0",RD[[#This Row],[IS1GHI1 (KWh/m2)]:[IS7GHI2 (KWh/m2)]]),"")</f>
        <v>2.7174229166666666</v>
      </c>
      <c r="CZ93" s="204">
        <f>IFERROR(AVERAGEIF(RD[[#This Row],[IS1POA_BS1 (KWh/m2)]:[IS7POA_BS2 (KWh/m2)]],"&lt;&gt;0",RD[[#This Row],[IS1POA_BS1 (KWh/m2)]:[IS7POA_BS2 (KWh/m2)]]),"")</f>
        <v>0.37643532500000032</v>
      </c>
      <c r="DA93" s="204">
        <f>IFERROR(AVERAGEIF(RD[[#This Row],[IS1GHI_BS1 (KWh/m2)]:[IS1GHI_BS1 (KWh/m2)2]],"&lt;&gt;0",RD[[#This Row],[IS1GHI_BS1 (KWh/m2)]:[IS1GHI_BS1 (KWh/m2)2]]),"")</f>
        <v>0.46287743333333359</v>
      </c>
      <c r="DB93" s="204">
        <f>IFERROR(AVERAGEIF(RD[[#This Row],[IS1AT1 (°C)]:[IS7AT2 (°C)]],"&lt;&gt;0",RD[[#This Row],[IS1AT1 (°C)]:[IS7AT2 (°C)]]),"")</f>
        <v>27.207190146266385</v>
      </c>
      <c r="DC93" s="204">
        <f>IFERROR(AVERAGEIF(RD[[#This Row],[IS1MT1 (°C)]:[IS7MT2 (°C)]],"&lt;&gt;0",RD[[#This Row],[IS1MT1 (°C)]:[IS7MT2 (°C)]]),"")</f>
        <v>35.735386451116192</v>
      </c>
      <c r="DD93" s="204">
        <f>IFERROR(AVERAGEIF(RD[[#This Row],[IS1RH1 (%)]:[IS7RH2 (%)]],"&lt;&gt;0",RD[[#This Row],[IS1RH1 (%)]:[IS7RH2 (%)]]),"")</f>
        <v>86.186043110084725</v>
      </c>
      <c r="DE93" s="51">
        <f>IFERROR(AVERAGEIF(RD[[#This Row],[IS1Rain1 (mm)]:[IS7Rain2 (mm)]],"&lt;&gt;0",RD[[#This Row],[IS1Rain1 (mm)]:[IS7Rain2 (mm)]]),"")</f>
        <v>0.28221709006928397</v>
      </c>
      <c r="DF93" s="204">
        <f>IFERROR(AVERAGEIF(RD[[#This Row],[WS_Solar1_Avg (m/s)]:[IS7_WS_Solar1_Avg (m/s)]],"&lt;&gt;0",RD[[#This Row],[WS_Solar1_Avg (m/s)]:[IS7_WS_Solar1_Avg (m/s)]]),"")</f>
        <v>1.0114318706697463</v>
      </c>
      <c r="DG93" s="204">
        <f>IFERROR(AVERAGEIF(RD[[#This Row],[WS_Solar1_Max (m/s)]:[IS7_WS_Solar1_Max (m/s)]],"&lt;&gt;0",RD[[#This Row],[WS_Solar1_Max (m/s)]:[IS7_WS_Solar1_Max (m/s)]]),"")</f>
        <v>3.1095000000000002</v>
      </c>
      <c r="DH93" s="204">
        <f>SUM(RD[[#This Row],[IS1Inv1M1]:[IS4Inv4M2]])</f>
        <v>131108.70000000001</v>
      </c>
      <c r="DI93" s="205">
        <f>SUM(RD[[#This Row],[IS7Inv1M1]]+RD[[#This Row],[IS7Inv2M1]])</f>
        <v>7620</v>
      </c>
      <c r="DJ93" s="204">
        <f>SUM(RD[[#This Row],[IS5Inv1M1]:[IS5Inv2M2]])</f>
        <v>19071.5</v>
      </c>
      <c r="DK93" s="204">
        <f>SUM(RD[[#This Row],[IS8Inv1M1]:[IS9Inv2M2]])</f>
        <v>36646.6</v>
      </c>
      <c r="DL93" s="60">
        <f>SUM(RD[[#This Row],[IS6Inv1M1]:[IS6Inv2M2]])</f>
        <v>18897.400000000001</v>
      </c>
      <c r="DM93" s="51">
        <f>SUM(RD[[#This Row],[IS10Inv1M1]:[IS11Inv1M4]],RD[[#This Row],[IS14Inv1M1]:[IS14Inv2M4]])</f>
        <v>75824.299999999988</v>
      </c>
      <c r="DN93" s="288">
        <f>SUM(RD[[#This Row],[IS12Inv1M1]:[IS12Inv1M4]])</f>
        <v>16480.900000000001</v>
      </c>
      <c r="DO93" s="288">
        <f>SUM(RD[[#This Row],[IS13Inv1M1]:[IS13Inv2M2]])</f>
        <v>19167.3</v>
      </c>
      <c r="DP93" s="204">
        <f>SUM(RD[[#This Row],[O2R15]:[O2R26]])</f>
        <v>324816.7</v>
      </c>
      <c r="DQ93" s="164">
        <v>44375.5</v>
      </c>
      <c r="DR93" s="168">
        <v>224.3</v>
      </c>
      <c r="DS93" s="164">
        <v>38742.5</v>
      </c>
      <c r="DT93" s="164">
        <v>236.5</v>
      </c>
      <c r="DU93" s="168">
        <v>45640.9</v>
      </c>
      <c r="DV93" s="168">
        <v>433.1</v>
      </c>
      <c r="DW93" s="164">
        <v>10472.200000000001</v>
      </c>
      <c r="DX93" s="168">
        <v>54.1</v>
      </c>
      <c r="DY93" s="168">
        <v>3145.8</v>
      </c>
      <c r="DZ93" s="168">
        <v>14.1</v>
      </c>
      <c r="EA93" s="140">
        <v>105.13</v>
      </c>
      <c r="EB93" s="243">
        <v>146239373</v>
      </c>
      <c r="EC93" s="242">
        <v>1029907.7120000001</v>
      </c>
      <c r="ED93" s="243">
        <v>1237</v>
      </c>
      <c r="EE93" s="243">
        <v>140456</v>
      </c>
      <c r="EF93" s="164">
        <v>202760.9</v>
      </c>
      <c r="EG93" s="164">
        <v>1990.6</v>
      </c>
      <c r="EH93" s="146">
        <f>IF((RD[[#This Row],[33 kV_F3_Ex
Incomer1]]-DQ92)*1000&lt;0,0,(RD[[#This Row],[33 kV_F3_Ex
Incomer1]]-DQ92)*1000)</f>
        <v>66300.00000000291</v>
      </c>
      <c r="EI93" s="146">
        <f>IF((RD[[#This Row],[34 kV_F3_Im
Incomer1]]-DR92)*1000&lt;0,0,(RD[[#This Row],[34 kV_F3_Im
Incomer1]]-DR92)*1000)</f>
        <v>200.00000000001705</v>
      </c>
      <c r="EJ93" s="146">
        <f>IF((RD[[#This Row],[33 kV_F4_Ex
Incomer2]]-DS92)*1000&lt;0,0,(RD[[#This Row],[33 kV_F4_Ex
Incomer2]]-DS92)*1000)</f>
        <v>61599.999999998545</v>
      </c>
      <c r="EK93" s="146">
        <f>IF((RD[[#This Row],[34 kV_F4_Im
Incomer2]]-DT92)*1000&lt;0,0,(RD[[#This Row],[34 kV_F4_Im
Incomer2]]-DT92)*1000)</f>
        <v>300.00000000001137</v>
      </c>
      <c r="EL93" s="146">
        <f>IF((RD[[#This Row],[33 kV_F5_Ex
Incomer3]]-DU92)*1000&lt;0,0,(RD[[#This Row],[33 kV_F5_Ex
Incomer3]]-DU92)*1000)</f>
        <v>82000</v>
      </c>
      <c r="EM93" s="146">
        <f>IF((RD[[#This Row],[34 kV_F5_Im
Incomer3]]-DV92)*1000&lt;0,0,(RD[[#This Row],[34 kV_F5_Im
Incomer3]]-DV92)*1000)</f>
        <v>1000</v>
      </c>
      <c r="EN93" s="146">
        <f>IF((RD[[#This Row],[33 kV_F6_Ex
Incomer4]]-DW92)*1000&lt;0,0,(RD[[#This Row],[33 kV_F6_Ex
Incomer4]]-DW92)*1000)</f>
        <v>16600.000000000364</v>
      </c>
      <c r="EO93" s="146">
        <f t="shared" si="166"/>
        <v>300.00000000001137</v>
      </c>
      <c r="EP93" s="146">
        <f>IF((RD[[#This Row],[33 kV_F7_Ex
Incomer5]]-DY92)*1000&lt;0,0,(RD[[#This Row],[33 kV_F7_Ex
Incomer5]]-DY92)*1000)</f>
        <v>81300.000000000175</v>
      </c>
      <c r="EQ93" s="146">
        <f>IF((RD[[#This Row],[33 kV_F7_Im
Incomer5]]-DZ92)*1000&lt;0,0,(RD[[#This Row],[33 kV_F7_Im
Incomer5]]-DZ92)*1000)</f>
        <v>500</v>
      </c>
      <c r="ER93" s="146">
        <f>IF((RD[[#This Row],[33 kV_Aux Trafo]]-EA92)*1000&lt;0,0,(RD[[#This Row],[33 kV_Aux Trafo]]-EA92)*1000)</f>
        <v>219.99999999999886</v>
      </c>
      <c r="ES93" s="158">
        <f>IF((RD[[#This Row],[33kV_OG1_Ex_]]-EB92)*1&lt;0,0,(RD[[#This Row],[33kV_OG1_Ex_]]-EB92)*1)</f>
        <v>323601</v>
      </c>
      <c r="ET93" s="146">
        <f>IF((RD[[#This Row],[33kV_OG1_Im]]-EC92)*1&lt;0,0,(RD[[#This Row],[33kV_OG1_Im]]-EC92)*1)</f>
        <v>2307.0720000000438</v>
      </c>
      <c r="EU93" s="146">
        <f>IF((RD[[#This Row],[132kV_TX1_EX]]-ED92)*720&lt;=0,"",(RD[[#This Row],[132kV_TX1_EX]]-ED92)*720)</f>
        <v>2160</v>
      </c>
      <c r="EV93" s="146">
        <f>IF((RD[[#This Row],[132 kV_Tx1_Im]]-EE92)*720&lt;=0,0,(RD[[#This Row],[132 kV_Tx1_Im]]-EE92)*720)</f>
        <v>232560</v>
      </c>
      <c r="EW93" s="146">
        <f>IF((RD[[#This Row],[132kV_L1_Ex]]-EF92)*720&lt;=0,0,(RD[[#This Row],[132kV_L1_Ex]]-EF92)*720)</f>
        <v>322560</v>
      </c>
      <c r="EX93" s="146">
        <f>IF((RD[[#This Row],[132kV_L1_Im]]-EG92)*720&lt;=0,0,(RD[[#This Row],[132kV_L1_Im]]-EG92)*720)</f>
        <v>2735.9999999999673</v>
      </c>
      <c r="EY93" s="244">
        <f>IFERROR(RD[[#This Row],[33kV_OG1_Ex (MWh)]]+RD[[#This Row],[33kV_OG1_Im (MWh)]],"")</f>
        <v>325908.07200000004</v>
      </c>
      <c r="EZ93" s="148">
        <f>RD[[#This Row],[33kV_OG1_Ex (MWh)]]-RD[[#This Row],[33kV_OG1_Im (MWh)]]</f>
        <v>321293.92799999996</v>
      </c>
      <c r="FA93" s="148">
        <f>IFERROR(RD[[#This Row],[132kV_L1_Ex(MWh)]]-RD[[#This Row],[132kV_L1_Im(MWh)]],"")</f>
        <v>319824.00000000006</v>
      </c>
      <c r="FB93" s="55">
        <f>IFERROR(RD[[#This Row],[33kV_Ex(MWh)]]/RD[[#This Row],[Inv Total Gneration (MWh)]]-1,"")</f>
        <v>3.3599627112770314E-3</v>
      </c>
      <c r="FC93" s="245">
        <f>IFERROR((RD[[#This Row],[Sunset Time (POA&lt;20 W/m2)]]-RD[[#This Row],[Sunrise Time (POA&gt;20 W/m2)]])*24,0)</f>
        <v>12.233333333333333</v>
      </c>
      <c r="FD93" s="246">
        <v>126.3</v>
      </c>
      <c r="FE93" s="300" t="s">
        <v>300</v>
      </c>
      <c r="FG93" s="144" t="str">
        <f>IFERROR(RD[[#This Row],[E_AC (WPR)]]/RD[[#This Row],[E_DC (WPR)]],"")</f>
        <v/>
      </c>
    </row>
    <row r="94" spans="1:163">
      <c r="A94" s="133">
        <f t="shared" si="161"/>
        <v>45834</v>
      </c>
      <c r="B94" s="138">
        <f>YEAR(RD[[#This Row],[Date]])+IF(MONTH(RD[[#This Row],[Date]])&gt;=4,1,0)</f>
        <v>2026</v>
      </c>
      <c r="C94" s="138">
        <f>YEAR(RD[[#This Row],[Date]])</f>
        <v>2025</v>
      </c>
      <c r="D94" s="139">
        <f t="shared" si="165"/>
        <v>45809</v>
      </c>
      <c r="E94" s="138">
        <f>DAY(EOMONTH(RD[[#This Row],[Date]],0))</f>
        <v>30</v>
      </c>
      <c r="F94" s="152">
        <v>0.26944444444444443</v>
      </c>
      <c r="G94" s="162">
        <v>0.77013888888888893</v>
      </c>
      <c r="H94" s="124">
        <v>2018.4</v>
      </c>
      <c r="I94" s="270">
        <v>2017.1</v>
      </c>
      <c r="J94" s="124">
        <v>1873.8</v>
      </c>
      <c r="K94" s="124">
        <v>1879</v>
      </c>
      <c r="L94" s="124">
        <v>1950.3</v>
      </c>
      <c r="M94" s="124">
        <v>2011.9</v>
      </c>
      <c r="N94" s="124">
        <v>1940.5</v>
      </c>
      <c r="O94" s="124">
        <v>2176.5</v>
      </c>
      <c r="P94" s="124">
        <v>1981.1</v>
      </c>
      <c r="Q94" s="124">
        <v>1927</v>
      </c>
      <c r="R94" s="124">
        <v>1978.1</v>
      </c>
      <c r="S94" s="268">
        <v>1991.1</v>
      </c>
      <c r="T94" s="124">
        <v>2086.8000000000002</v>
      </c>
      <c r="U94" s="124">
        <v>1985.3</v>
      </c>
      <c r="V94" s="124">
        <v>2044.2</v>
      </c>
      <c r="W94" s="124">
        <v>1954.2</v>
      </c>
      <c r="X94" s="268">
        <v>2832.7</v>
      </c>
      <c r="Y94" s="203">
        <v>3226.5</v>
      </c>
      <c r="Z94" s="203">
        <v>2776.3</v>
      </c>
      <c r="AA94" s="203">
        <v>2911</v>
      </c>
      <c r="AB94" s="268">
        <v>2925.6</v>
      </c>
      <c r="AC94" s="203">
        <v>1810.5</v>
      </c>
      <c r="AD94" s="203">
        <v>2816.8</v>
      </c>
      <c r="AE94" s="203">
        <v>2890.9</v>
      </c>
      <c r="AF94" s="268">
        <v>2812.4</v>
      </c>
      <c r="AG94" s="203">
        <v>2821.8</v>
      </c>
      <c r="AH94" s="203">
        <v>2825.4</v>
      </c>
      <c r="AI94" s="268">
        <v>2817.5</v>
      </c>
      <c r="AJ94" s="203">
        <v>2322.8000000000002</v>
      </c>
      <c r="AK94" s="268">
        <v>2410.6</v>
      </c>
      <c r="AL94" s="203">
        <v>2375.1</v>
      </c>
      <c r="AM94" s="268">
        <v>2417.4</v>
      </c>
      <c r="AN94" s="203">
        <v>2367.8000000000002</v>
      </c>
      <c r="AO94" s="268">
        <v>2464.5</v>
      </c>
      <c r="AP94" s="203">
        <v>2418.5</v>
      </c>
      <c r="AQ94" s="268">
        <v>2278.1999999999998</v>
      </c>
      <c r="AR94" s="203">
        <v>1862.4</v>
      </c>
      <c r="AS94" s="268">
        <v>1879.6</v>
      </c>
      <c r="AT94" s="203">
        <v>1838.1</v>
      </c>
      <c r="AU94" s="268">
        <v>1860.2</v>
      </c>
      <c r="AV94" s="203">
        <v>1889.7</v>
      </c>
      <c r="AW94" s="203">
        <v>1885.1</v>
      </c>
      <c r="AX94" s="203">
        <v>2745.6</v>
      </c>
      <c r="AY94" s="203">
        <v>3118.7</v>
      </c>
      <c r="AZ94" s="203">
        <v>2261.5</v>
      </c>
      <c r="BA94" s="203">
        <v>2788.3</v>
      </c>
      <c r="BB94" s="203">
        <v>2780.7</v>
      </c>
      <c r="BC94" s="203">
        <v>2661.2</v>
      </c>
      <c r="BD94" s="203">
        <v>2380.6</v>
      </c>
      <c r="BE94" s="203">
        <v>2607.8000000000002</v>
      </c>
      <c r="BF94" s="203">
        <v>2849.1</v>
      </c>
      <c r="BG94" s="203">
        <v>2874.1</v>
      </c>
      <c r="BH94" s="203">
        <v>2837</v>
      </c>
      <c r="BI94" s="203">
        <v>2932.8</v>
      </c>
      <c r="BJ94" s="203">
        <v>1798.7</v>
      </c>
      <c r="BK94" s="203">
        <v>1365</v>
      </c>
      <c r="BL94" s="203">
        <v>1670.2</v>
      </c>
      <c r="BM94" s="203">
        <v>1624</v>
      </c>
      <c r="BN94" s="203">
        <v>1896.2</v>
      </c>
      <c r="BO94" s="203">
        <v>1727.9</v>
      </c>
      <c r="BP94" s="203">
        <v>1934.5</v>
      </c>
      <c r="BQ94" s="203">
        <v>1964.5</v>
      </c>
      <c r="BR94" s="203">
        <v>2103.6</v>
      </c>
      <c r="BS94" s="203">
        <v>2188.4</v>
      </c>
      <c r="BT94" s="203">
        <v>2119.8000000000002</v>
      </c>
      <c r="BU94" s="203">
        <v>2227</v>
      </c>
      <c r="BV94" s="203">
        <v>143.4</v>
      </c>
      <c r="BW94" s="203">
        <v>0</v>
      </c>
      <c r="BX94" s="203">
        <v>686</v>
      </c>
      <c r="BY94" s="203">
        <v>411.4</v>
      </c>
      <c r="BZ94" s="203">
        <v>187.6</v>
      </c>
      <c r="CA94" s="203">
        <v>145.1</v>
      </c>
      <c r="CB94" s="203">
        <v>1030.9000000000001</v>
      </c>
      <c r="CC94" s="203">
        <v>1805.6</v>
      </c>
      <c r="CD94" s="263">
        <v>1.6408988833333336</v>
      </c>
      <c r="CE94" s="263">
        <v>1.4069652333333347</v>
      </c>
      <c r="CF94" s="263">
        <v>1.2418128000000008</v>
      </c>
      <c r="CG94" s="263">
        <v>1.4013690833333357</v>
      </c>
      <c r="CH94" s="263">
        <v>0.23493710000000004</v>
      </c>
      <c r="CI94" s="263">
        <v>0.18796373333333344</v>
      </c>
      <c r="CJ94" s="263">
        <v>0.21083859999999996</v>
      </c>
      <c r="CK94" s="263">
        <v>0.19320528333333317</v>
      </c>
      <c r="CL94" s="263">
        <v>26.37811980033279</v>
      </c>
      <c r="CM94" s="263">
        <v>24.888868552412692</v>
      </c>
      <c r="CN94" s="263">
        <v>32.53650499168053</v>
      </c>
      <c r="CO94" s="263">
        <v>30.000811980033308</v>
      </c>
      <c r="CP94" s="263">
        <v>97.983527454243017</v>
      </c>
      <c r="CQ94" s="263">
        <v>96.544658901830232</v>
      </c>
      <c r="CR94" s="263">
        <v>0.97645590682195982</v>
      </c>
      <c r="CS94" s="263">
        <v>0.93555740432612522</v>
      </c>
      <c r="CT94" s="263">
        <v>1.0141547420965069</v>
      </c>
      <c r="CU94" s="263">
        <v>1.1400299500831959</v>
      </c>
      <c r="CV94" s="263">
        <v>2.6819999999999999</v>
      </c>
      <c r="CW94" s="263">
        <v>3.3540000000000001</v>
      </c>
      <c r="CX94" s="204">
        <f>IFERROR(AVERAGEIF(RD[[#This Row],[IS1POA1 (KWh/m2)]:[IS7POA2 (KWh/m2)]],"&lt;&gt;0",RD[[#This Row],[IS1POA1 (KWh/m2)]:[IS7POA2 (KWh/m2)]]),"")</f>
        <v>1.523932058333334</v>
      </c>
      <c r="CY94" s="204">
        <f>IFERROR(AVERAGEIF(RD[[#This Row],[IS1GHI1 (KWh/m2)]:[IS7GHI2 (KWh/m2)]],"&lt;&gt;0",RD[[#This Row],[IS1GHI1 (KWh/m2)]:[IS7GHI2 (KWh/m2)]]),"")</f>
        <v>1.3215909416666682</v>
      </c>
      <c r="CZ94" s="204">
        <f>IFERROR(AVERAGEIF(RD[[#This Row],[IS1POA_BS1 (KWh/m2)]:[IS7POA_BS2 (KWh/m2)]],"&lt;&gt;0",RD[[#This Row],[IS1POA_BS1 (KWh/m2)]:[IS7POA_BS2 (KWh/m2)]]),"")</f>
        <v>0.21145041666666675</v>
      </c>
      <c r="DA94" s="204">
        <f>IFERROR(AVERAGEIF(RD[[#This Row],[IS1GHI_BS1 (KWh/m2)]:[IS1GHI_BS1 (KWh/m2)2]],"&lt;&gt;0",RD[[#This Row],[IS1GHI_BS1 (KWh/m2)]:[IS1GHI_BS1 (KWh/m2)2]]),"")</f>
        <v>0.20202194166666657</v>
      </c>
      <c r="DB94" s="204">
        <f>IFERROR(AVERAGEIF(RD[[#This Row],[IS1AT1 (°C)]:[IS7AT2 (°C)]],"&lt;&gt;0",RD[[#This Row],[IS1AT1 (°C)]:[IS7AT2 (°C)]]),"")</f>
        <v>25.633494176372743</v>
      </c>
      <c r="DC94" s="204">
        <f>IFERROR(AVERAGEIF(RD[[#This Row],[IS1MT1 (°C)]:[IS7MT2 (°C)]],"&lt;&gt;0",RD[[#This Row],[IS1MT1 (°C)]:[IS7MT2 (°C)]]),"")</f>
        <v>31.268658485856918</v>
      </c>
      <c r="DD94" s="204">
        <f>IFERROR(AVERAGEIF(RD[[#This Row],[IS1RH1 (%)]:[IS7RH2 (%)]],"&lt;&gt;0",RD[[#This Row],[IS1RH1 (%)]:[IS7RH2 (%)]]),"")</f>
        <v>97.264093178036632</v>
      </c>
      <c r="DE94" s="51">
        <f>IFERROR(AVERAGEIF(RD[[#This Row],[IS1Rain1 (mm)]:[IS7Rain2 (mm)]],"&lt;&gt;0",RD[[#This Row],[IS1Rain1 (mm)]:[IS7Rain2 (mm)]]),"")</f>
        <v>0.95600665557404252</v>
      </c>
      <c r="DF94" s="204">
        <f>IFERROR(AVERAGEIF(RD[[#This Row],[WS_Solar1_Avg (m/s)]:[IS7_WS_Solar1_Avg (m/s)]],"&lt;&gt;0",RD[[#This Row],[WS_Solar1_Avg (m/s)]:[IS7_WS_Solar1_Avg (m/s)]]),"")</f>
        <v>1.0770923460898514</v>
      </c>
      <c r="DG94" s="204">
        <f>IFERROR(AVERAGEIF(RD[[#This Row],[WS_Solar1_Max (m/s)]:[IS7_WS_Solar1_Max (m/s)]],"&lt;&gt;0",RD[[#This Row],[WS_Solar1_Max (m/s)]:[IS7_WS_Solar1_Max (m/s)]]),"")</f>
        <v>3.0179999999999998</v>
      </c>
      <c r="DH94" s="204">
        <f>SUM(RD[[#This Row],[IS1Inv1M1]:[IS4Inv4M2]])</f>
        <v>65282.700000000004</v>
      </c>
      <c r="DI94" s="205">
        <f>SUM(RD[[#This Row],[IS7Inv1M1]]+RD[[#This Row],[IS7Inv2M1]])</f>
        <v>3742</v>
      </c>
      <c r="DJ94" s="204">
        <f>SUM(RD[[#This Row],[IS5Inv1M1]:[IS5Inv2M2]])</f>
        <v>9525.9</v>
      </c>
      <c r="DK94" s="204">
        <f>SUM(RD[[#This Row],[IS8Inv1M1]:[IS9Inv2M2]])</f>
        <v>18387.2</v>
      </c>
      <c r="DL94" s="60">
        <f>SUM(RD[[#This Row],[IS6Inv1M1]:[IS6Inv2M2]])</f>
        <v>9529</v>
      </c>
      <c r="DM94" s="51">
        <f>SUM(RD[[#This Row],[IS10Inv1M1]:[IS11Inv1M4]],RD[[#This Row],[IS14Inv1M1]:[IS14Inv2M4]])</f>
        <v>32791.200000000004</v>
      </c>
      <c r="DN94" s="288">
        <f>SUM(RD[[#This Row],[IS12Inv1M1]:[IS12Inv1M4]])</f>
        <v>7523.1</v>
      </c>
      <c r="DO94" s="288">
        <f>SUM(RD[[#This Row],[IS13Inv1M1]:[IS13Inv2M2]])</f>
        <v>8638.7999999999993</v>
      </c>
      <c r="DP94" s="204">
        <f>SUM(RD[[#This Row],[O2R15]:[O2R26]])</f>
        <v>155419.9</v>
      </c>
      <c r="DQ94" s="164">
        <v>44408.800000000003</v>
      </c>
      <c r="DR94" s="168">
        <v>224.8</v>
      </c>
      <c r="DS94" s="164">
        <v>38773.9</v>
      </c>
      <c r="DT94" s="164">
        <v>236.9</v>
      </c>
      <c r="DU94" s="168">
        <v>45682.3</v>
      </c>
      <c r="DV94" s="168">
        <v>434.6</v>
      </c>
      <c r="DW94" s="164">
        <v>10477</v>
      </c>
      <c r="DX94" s="168">
        <v>54.3</v>
      </c>
      <c r="DY94" s="168">
        <v>3184.7</v>
      </c>
      <c r="DZ94" s="168">
        <v>14.9</v>
      </c>
      <c r="EA94" s="140">
        <v>105.38</v>
      </c>
      <c r="EB94" s="243">
        <v>146396053</v>
      </c>
      <c r="EC94" s="242">
        <v>1033591.1679999999</v>
      </c>
      <c r="ED94" s="243">
        <v>1241</v>
      </c>
      <c r="EE94" s="243">
        <v>140612</v>
      </c>
      <c r="EF94" s="164">
        <v>202977.9</v>
      </c>
      <c r="EG94" s="164">
        <v>1996.5</v>
      </c>
      <c r="EH94" s="146">
        <f>IF((RD[[#This Row],[33 kV_F3_Ex
Incomer1]]-DQ93)*1000&lt;0,0,(RD[[#This Row],[33 kV_F3_Ex
Incomer1]]-DQ93)*1000)</f>
        <v>33300.00000000291</v>
      </c>
      <c r="EI94" s="146">
        <f>IF((RD[[#This Row],[34 kV_F3_Im
Incomer1]]-DR93)*1000&lt;0,0,(RD[[#This Row],[34 kV_F3_Im
Incomer1]]-DR93)*1000)</f>
        <v>500</v>
      </c>
      <c r="EJ94" s="146">
        <f>IF((RD[[#This Row],[33 kV_F4_Ex
Incomer2]]-DS93)*1000&lt;0,0,(RD[[#This Row],[33 kV_F4_Ex
Incomer2]]-DS93)*1000)</f>
        <v>31400.000000001455</v>
      </c>
      <c r="EK94" s="146">
        <f>IF((RD[[#This Row],[34 kV_F4_Im
Incomer2]]-DT93)*1000&lt;0,0,(RD[[#This Row],[34 kV_F4_Im
Incomer2]]-DT93)*1000)</f>
        <v>400.00000000000568</v>
      </c>
      <c r="EL94" s="146">
        <f>IF((RD[[#This Row],[33 kV_F5_Ex
Incomer3]]-DU93)*1000&lt;0,0,(RD[[#This Row],[33 kV_F5_Ex
Incomer3]]-DU93)*1000)</f>
        <v>41400.000000001455</v>
      </c>
      <c r="EM94" s="146">
        <f>IF((RD[[#This Row],[34 kV_F5_Im
Incomer3]]-DV93)*1000&lt;0,0,(RD[[#This Row],[34 kV_F5_Im
Incomer3]]-DV93)*1000)</f>
        <v>1500</v>
      </c>
      <c r="EN94" s="146">
        <f>IF((RD[[#This Row],[33 kV_F6_Ex
Incomer4]]-DW93)*1000&lt;0,0,(RD[[#This Row],[33 kV_F6_Ex
Incomer4]]-DW93)*1000)</f>
        <v>4799.9999999992724</v>
      </c>
      <c r="EO94" s="146">
        <f t="shared" si="166"/>
        <v>300.00000000001137</v>
      </c>
      <c r="EP94" s="146">
        <f>IF((RD[[#This Row],[33 kV_F7_Ex
Incomer5]]-DY93)*1000&lt;0,0,(RD[[#This Row],[33 kV_F7_Ex
Incomer5]]-DY93)*1000)</f>
        <v>38899.999999999636</v>
      </c>
      <c r="EQ94" s="146">
        <f>IF((RD[[#This Row],[33 kV_F7_Im
Incomer5]]-DZ93)*1000&lt;0,0,(RD[[#This Row],[33 kV_F7_Im
Incomer5]]-DZ93)*1000)</f>
        <v>800.00000000000068</v>
      </c>
      <c r="ER94" s="146">
        <f>IF((RD[[#This Row],[33 kV_Aux Trafo]]-EA93)*1000&lt;0,0,(RD[[#This Row],[33 kV_Aux Trafo]]-EA93)*1000)</f>
        <v>250</v>
      </c>
      <c r="ES94" s="158">
        <f>IF((RD[[#This Row],[33kV_OG1_Ex_]]-EB93)*1&lt;0,0,(RD[[#This Row],[33kV_OG1_Ex_]]-EB93)*1)</f>
        <v>156680</v>
      </c>
      <c r="ET94" s="146">
        <f>IF((RD[[#This Row],[33kV_OG1_Im]]-EC93)*1&lt;0,0,(RD[[#This Row],[33kV_OG1_Im]]-EC93)*1)</f>
        <v>3683.4559999998892</v>
      </c>
      <c r="EU94" s="146">
        <f>IF((RD[[#This Row],[132kV_TX1_EX]]-ED93)*720&lt;=0,"",(RD[[#This Row],[132kV_TX1_EX]]-ED93)*720)</f>
        <v>2880</v>
      </c>
      <c r="EV94" s="146">
        <f>IF((RD[[#This Row],[132 kV_Tx1_Im]]-EE93)*720&lt;=0,0,(RD[[#This Row],[132 kV_Tx1_Im]]-EE93)*720)</f>
        <v>112320</v>
      </c>
      <c r="EW94" s="146">
        <f>IF((RD[[#This Row],[132kV_L1_Ex]]-EF93)*720&lt;=0,0,(RD[[#This Row],[132kV_L1_Ex]]-EF93)*720)</f>
        <v>156240</v>
      </c>
      <c r="EX94" s="146">
        <f>IF((RD[[#This Row],[132kV_L1_Im]]-EG93)*720&lt;=0,0,(RD[[#This Row],[132kV_L1_Im]]-EG93)*720)</f>
        <v>4248.0000000000655</v>
      </c>
      <c r="EY94" s="244">
        <f>IFERROR(RD[[#This Row],[33kV_OG1_Ex (MWh)]]+RD[[#This Row],[33kV_OG1_Im (MWh)]],"")</f>
        <v>160363.45599999989</v>
      </c>
      <c r="EZ94" s="148">
        <f>RD[[#This Row],[33kV_OG1_Ex (MWh)]]-RD[[#This Row],[33kV_OG1_Im (MWh)]]</f>
        <v>152996.54400000011</v>
      </c>
      <c r="FA94" s="148">
        <f>IFERROR(RD[[#This Row],[132kV_L1_Ex(MWh)]]-RD[[#This Row],[132kV_L1_Im(MWh)]],"")</f>
        <v>151991.99999999994</v>
      </c>
      <c r="FB94" s="55">
        <f>IFERROR(RD[[#This Row],[33kV_Ex(MWh)]]/RD[[#This Row],[Inv Total Gneration (MWh)]]-1,"")</f>
        <v>3.1807741479694007E-2</v>
      </c>
      <c r="FC94" s="245">
        <f>IFERROR((RD[[#This Row],[Sunset Time (POA&lt;20 W/m2)]]-RD[[#This Row],[Sunrise Time (POA&gt;20 W/m2)]])*24,0)</f>
        <v>12.016666666666669</v>
      </c>
      <c r="FD94" s="246">
        <v>126.3</v>
      </c>
      <c r="FE94" s="313" t="s">
        <v>1258</v>
      </c>
      <c r="FG94" s="144" t="str">
        <f>IFERROR(RD[[#This Row],[E_AC (WPR)]]/RD[[#This Row],[E_DC (WPR)]],"")</f>
        <v/>
      </c>
    </row>
    <row r="95" spans="1:163">
      <c r="A95" s="133">
        <f t="shared" si="161"/>
        <v>45835</v>
      </c>
      <c r="B95" s="138">
        <f>YEAR(RD[[#This Row],[Date]])+IF(MONTH(RD[[#This Row],[Date]])&gt;=4,1,0)</f>
        <v>2026</v>
      </c>
      <c r="C95" s="138">
        <f>YEAR(RD[[#This Row],[Date]])</f>
        <v>2025</v>
      </c>
      <c r="D95" s="139">
        <f t="shared" si="165"/>
        <v>45809</v>
      </c>
      <c r="E95" s="138">
        <f>DAY(EOMONTH(RD[[#This Row],[Date]],0))</f>
        <v>30</v>
      </c>
      <c r="F95" s="152">
        <v>0.26458333333333334</v>
      </c>
      <c r="G95" s="162">
        <v>0.77500000000000002</v>
      </c>
      <c r="H95" s="124">
        <v>6292.2</v>
      </c>
      <c r="I95" s="270">
        <v>6273</v>
      </c>
      <c r="J95" s="124">
        <v>5854.4</v>
      </c>
      <c r="K95" s="124">
        <v>5839</v>
      </c>
      <c r="L95" s="124">
        <v>6022.5</v>
      </c>
      <c r="M95" s="124">
        <v>6196.5</v>
      </c>
      <c r="N95" s="124">
        <v>6041.2</v>
      </c>
      <c r="O95" s="124">
        <v>6677.6</v>
      </c>
      <c r="P95" s="124">
        <v>6290.6</v>
      </c>
      <c r="Q95" s="124">
        <v>6031.9</v>
      </c>
      <c r="R95" s="124">
        <v>6210.6</v>
      </c>
      <c r="S95" s="268">
        <v>6252.8</v>
      </c>
      <c r="T95" s="124">
        <v>6614.6</v>
      </c>
      <c r="U95" s="124">
        <v>6286.3</v>
      </c>
      <c r="V95" s="124">
        <v>6416.9</v>
      </c>
      <c r="W95" s="124">
        <v>6172.9</v>
      </c>
      <c r="X95" s="268">
        <v>8543.4</v>
      </c>
      <c r="Y95" s="203">
        <v>9590.6</v>
      </c>
      <c r="Z95" s="203">
        <v>8408</v>
      </c>
      <c r="AA95" s="203">
        <v>8794.5</v>
      </c>
      <c r="AB95" s="268">
        <v>9406.9</v>
      </c>
      <c r="AC95" s="203">
        <v>5708.1</v>
      </c>
      <c r="AD95" s="203">
        <v>8635.9</v>
      </c>
      <c r="AE95" s="203">
        <v>8986.2000000000007</v>
      </c>
      <c r="AF95" s="268">
        <v>8667.5</v>
      </c>
      <c r="AG95" s="203">
        <v>8614</v>
      </c>
      <c r="AH95" s="203">
        <v>8715.2999999999993</v>
      </c>
      <c r="AI95" s="268">
        <v>8701.2000000000007</v>
      </c>
      <c r="AJ95" s="203">
        <v>7142.5</v>
      </c>
      <c r="AK95" s="268">
        <v>7432</v>
      </c>
      <c r="AL95" s="203">
        <v>7280</v>
      </c>
      <c r="AM95" s="268">
        <v>7343.5</v>
      </c>
      <c r="AN95" s="203">
        <v>7296.4</v>
      </c>
      <c r="AO95" s="268">
        <v>7552.6</v>
      </c>
      <c r="AP95" s="203">
        <v>7432.5</v>
      </c>
      <c r="AQ95" s="268">
        <v>7091</v>
      </c>
      <c r="AR95" s="203">
        <v>5919.8</v>
      </c>
      <c r="AS95" s="268">
        <v>5966.9</v>
      </c>
      <c r="AT95" s="203">
        <v>5862.6</v>
      </c>
      <c r="AU95" s="268">
        <v>5862.1</v>
      </c>
      <c r="AV95" s="203">
        <v>5990.8</v>
      </c>
      <c r="AW95" s="203">
        <v>5975.6</v>
      </c>
      <c r="AX95" s="203">
        <v>8367.5</v>
      </c>
      <c r="AY95" s="203">
        <v>9450.6</v>
      </c>
      <c r="AZ95" s="203">
        <v>6950.2</v>
      </c>
      <c r="BA95" s="203">
        <v>8416.5</v>
      </c>
      <c r="BB95" s="203">
        <v>7812.4</v>
      </c>
      <c r="BC95" s="203">
        <v>7526.4</v>
      </c>
      <c r="BD95" s="203">
        <v>7293.6</v>
      </c>
      <c r="BE95" s="203">
        <v>8017.3</v>
      </c>
      <c r="BF95" s="203">
        <v>8763.7999999999993</v>
      </c>
      <c r="BG95" s="203">
        <v>8855.6</v>
      </c>
      <c r="BH95" s="203">
        <v>8823.6</v>
      </c>
      <c r="BI95" s="203">
        <v>9082.7999999999993</v>
      </c>
      <c r="BJ95" s="203">
        <v>5979.9</v>
      </c>
      <c r="BK95" s="203">
        <v>4634.5</v>
      </c>
      <c r="BL95" s="203">
        <v>5595.5</v>
      </c>
      <c r="BM95" s="203">
        <v>5504</v>
      </c>
      <c r="BN95" s="203">
        <v>6248</v>
      </c>
      <c r="BO95" s="203">
        <v>5839.9</v>
      </c>
      <c r="BP95" s="203">
        <v>6416.2</v>
      </c>
      <c r="BQ95" s="203">
        <v>6435</v>
      </c>
      <c r="BR95" s="203">
        <v>7001.8</v>
      </c>
      <c r="BS95" s="203">
        <v>7085</v>
      </c>
      <c r="BT95" s="203">
        <v>7009.3</v>
      </c>
      <c r="BU95" s="203">
        <v>7382.5</v>
      </c>
      <c r="BV95" s="203">
        <v>3927.2</v>
      </c>
      <c r="BW95" s="203">
        <v>662.2</v>
      </c>
      <c r="BX95" s="203">
        <v>5102.6000000000004</v>
      </c>
      <c r="BY95" s="203">
        <v>3746.4</v>
      </c>
      <c r="BZ95" s="203">
        <v>908</v>
      </c>
      <c r="CA95" s="203">
        <v>768.8</v>
      </c>
      <c r="CB95" s="203">
        <v>3536.8</v>
      </c>
      <c r="CC95" s="203">
        <v>5749.8</v>
      </c>
      <c r="CD95" s="263">
        <v>5.0552452999999984</v>
      </c>
      <c r="CE95" s="263">
        <v>4.6346939833333378</v>
      </c>
      <c r="CF95" s="263">
        <v>4.0644446833333312</v>
      </c>
      <c r="CG95" s="263">
        <v>4.7614176999999964</v>
      </c>
      <c r="CH95" s="263">
        <v>0.45745241666666703</v>
      </c>
      <c r="CI95" s="263">
        <v>0.66512773333333342</v>
      </c>
      <c r="CJ95" s="263">
        <v>0.72989271666666666</v>
      </c>
      <c r="CK95" s="263">
        <v>0.66841501666666736</v>
      </c>
      <c r="CL95" s="263">
        <v>27.865228215767665</v>
      </c>
      <c r="CM95" s="263">
        <v>27.682655601659828</v>
      </c>
      <c r="CN95" s="263">
        <v>40.458698755186717</v>
      </c>
      <c r="CO95" s="263">
        <v>37.965505394190856</v>
      </c>
      <c r="CP95" s="263">
        <v>81.912489626555868</v>
      </c>
      <c r="CQ95" s="263">
        <v>81.962531120331931</v>
      </c>
      <c r="CR95" s="263">
        <v>1.7012448132780075E-2</v>
      </c>
      <c r="CS95" s="263">
        <v>2.431535269709539E-2</v>
      </c>
      <c r="CT95" s="263">
        <v>1.1851120331950196</v>
      </c>
      <c r="CU95" s="263">
        <v>1.2166033195020756</v>
      </c>
      <c r="CV95" s="263">
        <v>3.0630000000000002</v>
      </c>
      <c r="CW95" s="263">
        <v>3.39</v>
      </c>
      <c r="CX95" s="204">
        <f>IFERROR(AVERAGEIF(RD[[#This Row],[IS1POA1 (KWh/m2)]:[IS7POA2 (KWh/m2)]],"&lt;&gt;0",RD[[#This Row],[IS1POA1 (KWh/m2)]:[IS7POA2 (KWh/m2)]]),"")</f>
        <v>4.8449696416666681</v>
      </c>
      <c r="CY95" s="204">
        <f>IFERROR(AVERAGEIF(RD[[#This Row],[IS1GHI1 (KWh/m2)]:[IS7GHI2 (KWh/m2)]],"&lt;&gt;0",RD[[#This Row],[IS1GHI1 (KWh/m2)]:[IS7GHI2 (KWh/m2)]]),"")</f>
        <v>4.4129311916666634</v>
      </c>
      <c r="CZ95" s="204">
        <f>IFERROR(AVERAGEIF(RD[[#This Row],[IS1POA_BS1 (KWh/m2)]:[IS7POA_BS2 (KWh/m2)]],"&lt;&gt;0",RD[[#This Row],[IS1POA_BS1 (KWh/m2)]:[IS7POA_BS2 (KWh/m2)]]),"")</f>
        <v>0.56129007500000028</v>
      </c>
      <c r="DA95" s="204">
        <f>IFERROR(AVERAGEIF(RD[[#This Row],[IS1GHI_BS1 (KWh/m2)]:[IS1GHI_BS1 (KWh/m2)2]],"&lt;&gt;0",RD[[#This Row],[IS1GHI_BS1 (KWh/m2)]:[IS1GHI_BS1 (KWh/m2)2]]),"")</f>
        <v>0.69915386666666701</v>
      </c>
      <c r="DB95" s="204">
        <f>IFERROR(AVERAGEIF(RD[[#This Row],[IS1AT1 (°C)]:[IS7AT2 (°C)]],"&lt;&gt;0",RD[[#This Row],[IS1AT1 (°C)]:[IS7AT2 (°C)]]),"")</f>
        <v>27.773941908713745</v>
      </c>
      <c r="DC95" s="204">
        <f>IFERROR(AVERAGEIF(RD[[#This Row],[IS1MT1 (°C)]:[IS7MT2 (°C)]],"&lt;&gt;0",RD[[#This Row],[IS1MT1 (°C)]:[IS7MT2 (°C)]]),"")</f>
        <v>39.212102074688787</v>
      </c>
      <c r="DD95" s="204">
        <f>IFERROR(AVERAGEIF(RD[[#This Row],[IS1RH1 (%)]:[IS7RH2 (%)]],"&lt;&gt;0",RD[[#This Row],[IS1RH1 (%)]:[IS7RH2 (%)]]),"")</f>
        <v>81.937510373443899</v>
      </c>
      <c r="DE95" s="51">
        <f>IFERROR(AVERAGEIF(RD[[#This Row],[IS1Rain1 (mm)]:[IS7Rain2 (mm)]],"&lt;&gt;0",RD[[#This Row],[IS1Rain1 (mm)]:[IS7Rain2 (mm)]]),"")</f>
        <v>2.0663900414937732E-2</v>
      </c>
      <c r="DF95" s="204">
        <f>IFERROR(AVERAGEIF(RD[[#This Row],[WS_Solar1_Avg (m/s)]:[IS7_WS_Solar1_Avg (m/s)]],"&lt;&gt;0",RD[[#This Row],[WS_Solar1_Avg (m/s)]:[IS7_WS_Solar1_Avg (m/s)]]),"")</f>
        <v>1.2008576763485475</v>
      </c>
      <c r="DG95" s="204">
        <f>IFERROR(AVERAGEIF(RD[[#This Row],[WS_Solar1_Max (m/s)]:[IS7_WS_Solar1_Max (m/s)]],"&lt;&gt;0",RD[[#This Row],[WS_Solar1_Max (m/s)]:[IS7_WS_Solar1_Max (m/s)]]),"")</f>
        <v>3.2265000000000001</v>
      </c>
      <c r="DH95" s="204">
        <f>SUM(RD[[#This Row],[IS1Inv1M1]:[IS4Inv4M2]])</f>
        <v>202244.6</v>
      </c>
      <c r="DI95" s="205">
        <f>SUM(RD[[#This Row],[IS7Inv1M1]]+RD[[#This Row],[IS7Inv2M1]])</f>
        <v>11886.7</v>
      </c>
      <c r="DJ95" s="204">
        <f>SUM(RD[[#This Row],[IS5Inv1M1]:[IS5Inv2M2]])</f>
        <v>29198</v>
      </c>
      <c r="DK95" s="204">
        <f>SUM(RD[[#This Row],[IS8Inv1M1]:[IS9Inv2M2]])</f>
        <v>56875.899999999994</v>
      </c>
      <c r="DL95" s="60">
        <f>SUM(RD[[#This Row],[IS6Inv1M1]:[IS6Inv2M2]])</f>
        <v>29372.5</v>
      </c>
      <c r="DM95" s="51">
        <f>SUM(RD[[#This Row],[IS10Inv1M1]:[IS11Inv1M4]],RD[[#This Row],[IS14Inv1M1]:[IS14Inv2M4]])</f>
        <v>112291.2</v>
      </c>
      <c r="DN95" s="288">
        <f>SUM(RD[[#This Row],[IS12Inv1M1]:[IS12Inv1M4]])</f>
        <v>24939.1</v>
      </c>
      <c r="DO95" s="288">
        <f>SUM(RD[[#This Row],[IS13Inv1M1]:[IS13Inv2M2]])</f>
        <v>28478.6</v>
      </c>
      <c r="DP95" s="204">
        <f>SUM(RD[[#This Row],[O2R15]:[O2R26]])</f>
        <v>495286.6</v>
      </c>
      <c r="DQ95" s="164">
        <v>44510.9</v>
      </c>
      <c r="DR95" s="168">
        <v>225.1</v>
      </c>
      <c r="DS95" s="164">
        <v>38868</v>
      </c>
      <c r="DT95" s="164">
        <v>237.2</v>
      </c>
      <c r="DU95" s="168">
        <v>45808.5</v>
      </c>
      <c r="DV95" s="168">
        <v>435.8</v>
      </c>
      <c r="DW95" s="164">
        <v>10501.2</v>
      </c>
      <c r="DX95" s="168">
        <v>54.5</v>
      </c>
      <c r="DY95" s="168">
        <v>3305</v>
      </c>
      <c r="DZ95" s="168">
        <v>15.5</v>
      </c>
      <c r="EA95" s="140">
        <v>105.62</v>
      </c>
      <c r="EB95" s="243">
        <v>146885623</v>
      </c>
      <c r="EC95" s="242">
        <v>1036561.536</v>
      </c>
      <c r="ED95" s="243">
        <v>1245</v>
      </c>
      <c r="EE95" s="243">
        <v>141099</v>
      </c>
      <c r="EF95" s="164">
        <v>203655.3</v>
      </c>
      <c r="EG95" s="164">
        <v>2001.4</v>
      </c>
      <c r="EH95" s="146">
        <f>IF((RD[[#This Row],[33 kV_F3_Ex
Incomer1]]-DQ94)*1000&lt;0,0,(RD[[#This Row],[33 kV_F3_Ex
Incomer1]]-DQ94)*1000)</f>
        <v>102099.99999999854</v>
      </c>
      <c r="EI95" s="146">
        <f>IF((RD[[#This Row],[34 kV_F3_Im
Incomer1]]-DR94)*1000&lt;0,0,(RD[[#This Row],[34 kV_F3_Im
Incomer1]]-DR94)*1000)</f>
        <v>299.99999999998295</v>
      </c>
      <c r="EJ95" s="146">
        <f>IF((RD[[#This Row],[33 kV_F4_Ex
Incomer2]]-DS94)*1000&lt;0,0,(RD[[#This Row],[33 kV_F4_Ex
Incomer2]]-DS94)*1000)</f>
        <v>94099.999999998545</v>
      </c>
      <c r="EK95" s="146">
        <f>IF((RD[[#This Row],[34 kV_F4_Im
Incomer2]]-DT94)*1000&lt;0,0,(RD[[#This Row],[34 kV_F4_Im
Incomer2]]-DT94)*1000)</f>
        <v>299.99999999998295</v>
      </c>
      <c r="EL95" s="146">
        <f>IF((RD[[#This Row],[33 kV_F5_Ex
Incomer3]]-DU94)*1000&lt;0,0,(RD[[#This Row],[33 kV_F5_Ex
Incomer3]]-DU94)*1000)</f>
        <v>126199.99999999709</v>
      </c>
      <c r="EM95" s="146">
        <f>IF((RD[[#This Row],[34 kV_F5_Im
Incomer3]]-DV94)*1000&lt;0,0,(RD[[#This Row],[34 kV_F5_Im
Incomer3]]-DV94)*1000)</f>
        <v>1199.9999999999886</v>
      </c>
      <c r="EN95" s="146">
        <f>IF((RD[[#This Row],[33 kV_F6_Ex
Incomer4]]-DW94)*1000&lt;0,0,(RD[[#This Row],[33 kV_F6_Ex
Incomer4]]-DW94)*1000)</f>
        <v>24200.000000000728</v>
      </c>
      <c r="EO95" s="146">
        <f t="shared" si="166"/>
        <v>399.99999999997726</v>
      </c>
      <c r="EP95" s="146">
        <f>IF((RD[[#This Row],[33 kV_F7_Ex
Incomer5]]-DY94)*1000&lt;0,0,(RD[[#This Row],[33 kV_F7_Ex
Incomer5]]-DY94)*1000)</f>
        <v>120300.00000000017</v>
      </c>
      <c r="EQ95" s="146">
        <f>IF((RD[[#This Row],[33 kV_F7_Im
Incomer5]]-DZ94)*1000&lt;0,0,(RD[[#This Row],[33 kV_F7_Im
Incomer5]]-DZ94)*1000)</f>
        <v>599.99999999999966</v>
      </c>
      <c r="ER95" s="146">
        <f>IF((RD[[#This Row],[33 kV_Aux Trafo]]-EA94)*1000&lt;0,0,(RD[[#This Row],[33 kV_Aux Trafo]]-EA94)*1000)</f>
        <v>240.00000000000909</v>
      </c>
      <c r="ES95" s="158">
        <f>IF((RD[[#This Row],[33kV_OG1_Ex_]]-EB94)*1&lt;0,0,(RD[[#This Row],[33kV_OG1_Ex_]]-EB94)*1)</f>
        <v>489570</v>
      </c>
      <c r="ET95" s="146">
        <f>IF((RD[[#This Row],[33kV_OG1_Im]]-EC94)*1&lt;0,0,(RD[[#This Row],[33kV_OG1_Im]]-EC94)*1)</f>
        <v>2970.3680000000168</v>
      </c>
      <c r="EU95" s="146">
        <f>IF((RD[[#This Row],[132kV_TX1_EX]]-ED94)*720&lt;=0,"",(RD[[#This Row],[132kV_TX1_EX]]-ED94)*720)</f>
        <v>2880</v>
      </c>
      <c r="EV95" s="146">
        <f>IF((RD[[#This Row],[132 kV_Tx1_Im]]-EE94)*720&lt;=0,0,(RD[[#This Row],[132 kV_Tx1_Im]]-EE94)*720)</f>
        <v>350640</v>
      </c>
      <c r="EW95" s="146">
        <f>IF((RD[[#This Row],[132kV_L1_Ex]]-EF94)*720&lt;=0,0,(RD[[#This Row],[132kV_L1_Ex]]-EF94)*720)</f>
        <v>487727.99999999581</v>
      </c>
      <c r="EX95" s="146">
        <f>IF((RD[[#This Row],[132kV_L1_Im]]-EG94)*720&lt;=0,0,(RD[[#This Row],[132kV_L1_Im]]-EG94)*720)</f>
        <v>3528.0000000000655</v>
      </c>
      <c r="EY95" s="244">
        <f>IFERROR(RD[[#This Row],[33kV_OG1_Ex (MWh)]]+RD[[#This Row],[33kV_OG1_Im (MWh)]],"")</f>
        <v>492540.36800000002</v>
      </c>
      <c r="EZ95" s="148">
        <f>RD[[#This Row],[33kV_OG1_Ex (MWh)]]-RD[[#This Row],[33kV_OG1_Im (MWh)]]</f>
        <v>486599.63199999998</v>
      </c>
      <c r="FA95" s="148">
        <f>IFERROR(RD[[#This Row],[132kV_L1_Ex(MWh)]]-RD[[#This Row],[132kV_L1_Im(MWh)]],"")</f>
        <v>484199.99999999575</v>
      </c>
      <c r="FB95" s="55">
        <f>IFERROR(RD[[#This Row],[33kV_Ex(MWh)]]/RD[[#This Row],[Inv Total Gneration (MWh)]]-1,"")</f>
        <v>-5.5447330898916736E-3</v>
      </c>
      <c r="FC95" s="245">
        <f>IFERROR((RD[[#This Row],[Sunset Time (POA&lt;20 W/m2)]]-RD[[#This Row],[Sunrise Time (POA&gt;20 W/m2)]])*24,0)</f>
        <v>12.250000000000002</v>
      </c>
      <c r="FD95" s="246">
        <v>126.3</v>
      </c>
      <c r="FE95" s="300" t="s">
        <v>297</v>
      </c>
      <c r="FG95" s="144" t="str">
        <f>IFERROR(RD[[#This Row],[E_AC (WPR)]]/RD[[#This Row],[E_DC (WPR)]],"")</f>
        <v/>
      </c>
    </row>
    <row r="96" spans="1:163">
      <c r="A96" s="133">
        <f t="shared" si="161"/>
        <v>45836</v>
      </c>
      <c r="B96" s="138">
        <f>YEAR(RD[[#This Row],[Date]])+IF(MONTH(RD[[#This Row],[Date]])&gt;=4,1,0)</f>
        <v>2026</v>
      </c>
      <c r="C96" s="138">
        <f>YEAR(RD[[#This Row],[Date]])</f>
        <v>2025</v>
      </c>
      <c r="D96" s="139">
        <f t="shared" si="165"/>
        <v>45809</v>
      </c>
      <c r="E96" s="138">
        <f>DAY(EOMONTH(RD[[#This Row],[Date]],0))</f>
        <v>30</v>
      </c>
      <c r="F96" s="152">
        <v>0.25763888888888886</v>
      </c>
      <c r="G96" s="162">
        <v>0.75</v>
      </c>
      <c r="H96" s="124">
        <v>5832</v>
      </c>
      <c r="I96" s="270">
        <v>5862.6</v>
      </c>
      <c r="J96" s="124">
        <v>5501.9</v>
      </c>
      <c r="K96" s="124">
        <v>5414</v>
      </c>
      <c r="L96" s="124">
        <v>5581.7</v>
      </c>
      <c r="M96" s="124">
        <v>5780.5</v>
      </c>
      <c r="N96" s="124">
        <v>5642.9</v>
      </c>
      <c r="O96" s="124">
        <v>6202.6</v>
      </c>
      <c r="P96" s="124">
        <v>5725.4</v>
      </c>
      <c r="Q96" s="124">
        <v>5577.3</v>
      </c>
      <c r="R96" s="124">
        <v>5775.2</v>
      </c>
      <c r="S96" s="268">
        <v>5848.8</v>
      </c>
      <c r="T96" s="124">
        <v>6078.5</v>
      </c>
      <c r="U96" s="124">
        <v>5806</v>
      </c>
      <c r="V96" s="124">
        <v>5935.7</v>
      </c>
      <c r="W96" s="124">
        <v>5705.8</v>
      </c>
      <c r="X96" s="268">
        <v>8131</v>
      </c>
      <c r="Y96" s="203">
        <v>8968</v>
      </c>
      <c r="Z96" s="203">
        <v>7832.5</v>
      </c>
      <c r="AA96" s="203">
        <v>8202.7999999999993</v>
      </c>
      <c r="AB96" s="268">
        <v>8737.7000000000007</v>
      </c>
      <c r="AC96" s="203">
        <v>5407.7</v>
      </c>
      <c r="AD96" s="203">
        <v>8065.9</v>
      </c>
      <c r="AE96" s="203">
        <v>8214.2000000000007</v>
      </c>
      <c r="AF96" s="268">
        <v>8140</v>
      </c>
      <c r="AG96" s="203">
        <v>8188.4</v>
      </c>
      <c r="AH96" s="203">
        <v>8023.8</v>
      </c>
      <c r="AI96" s="268">
        <v>7994.2</v>
      </c>
      <c r="AJ96" s="203">
        <v>6548.2</v>
      </c>
      <c r="AK96" s="268">
        <v>6729.8</v>
      </c>
      <c r="AL96" s="203">
        <v>6550.8</v>
      </c>
      <c r="AM96" s="268">
        <v>6648.2</v>
      </c>
      <c r="AN96" s="203">
        <v>6541.3</v>
      </c>
      <c r="AO96" s="268">
        <v>6692.3</v>
      </c>
      <c r="AP96" s="203">
        <v>6631</v>
      </c>
      <c r="AQ96" s="268">
        <v>6310.9</v>
      </c>
      <c r="AR96" s="203">
        <v>5206.8</v>
      </c>
      <c r="AS96" s="268">
        <v>5249.7</v>
      </c>
      <c r="AT96" s="203">
        <v>5171.6000000000004</v>
      </c>
      <c r="AU96" s="268">
        <v>5229.8</v>
      </c>
      <c r="AV96" s="203">
        <v>5295.6</v>
      </c>
      <c r="AW96" s="203">
        <v>5250</v>
      </c>
      <c r="AX96" s="203">
        <v>7537.4</v>
      </c>
      <c r="AY96" s="203">
        <v>8402.4</v>
      </c>
      <c r="AZ96" s="203">
        <v>6219.6</v>
      </c>
      <c r="BA96" s="203">
        <v>7491.9</v>
      </c>
      <c r="BB96" s="203">
        <v>7467.3</v>
      </c>
      <c r="BC96" s="203">
        <v>7192.2</v>
      </c>
      <c r="BD96" s="203">
        <v>7105.1</v>
      </c>
      <c r="BE96" s="203">
        <v>7790.7</v>
      </c>
      <c r="BF96" s="203">
        <v>8458.2000000000007</v>
      </c>
      <c r="BG96" s="203">
        <v>8485.4</v>
      </c>
      <c r="BH96" s="203">
        <v>8265.7000000000007</v>
      </c>
      <c r="BI96" s="203">
        <v>8605.2000000000007</v>
      </c>
      <c r="BJ96" s="203">
        <v>5709</v>
      </c>
      <c r="BK96" s="203">
        <v>4594.5</v>
      </c>
      <c r="BL96" s="203">
        <v>5321.3</v>
      </c>
      <c r="BM96" s="203">
        <v>5235.3</v>
      </c>
      <c r="BN96" s="203">
        <v>5789.1</v>
      </c>
      <c r="BO96" s="203">
        <v>5451.8</v>
      </c>
      <c r="BP96" s="203">
        <v>5892.7</v>
      </c>
      <c r="BQ96" s="203">
        <v>6019.6</v>
      </c>
      <c r="BR96" s="203">
        <v>6437</v>
      </c>
      <c r="BS96" s="203">
        <v>6607</v>
      </c>
      <c r="BT96" s="203">
        <v>6424.9</v>
      </c>
      <c r="BU96" s="203">
        <v>6750.9</v>
      </c>
      <c r="BV96" s="203">
        <v>4155.6000000000004</v>
      </c>
      <c r="BW96" s="203">
        <v>1365.3</v>
      </c>
      <c r="BX96" s="203">
        <v>4626.1000000000004</v>
      </c>
      <c r="BY96" s="203">
        <v>3766.2</v>
      </c>
      <c r="BZ96" s="203">
        <v>766</v>
      </c>
      <c r="CA96" s="203">
        <v>175.6</v>
      </c>
      <c r="CB96" s="203">
        <v>5183.1000000000004</v>
      </c>
      <c r="CC96" s="203">
        <v>5627.6</v>
      </c>
      <c r="CD96" s="263">
        <v>4.8369012333333314</v>
      </c>
      <c r="CE96" s="263">
        <v>4.1130222333333357</v>
      </c>
      <c r="CF96" s="263">
        <v>3.9196503166666719</v>
      </c>
      <c r="CG96" s="263">
        <v>4.2744353999999989</v>
      </c>
      <c r="CH96" s="263">
        <v>0.54350565000000028</v>
      </c>
      <c r="CI96" s="263">
        <v>0.51695403333333345</v>
      </c>
      <c r="CJ96" s="263">
        <v>0.72768260000000062</v>
      </c>
      <c r="CK96" s="263">
        <v>0.58868384999999934</v>
      </c>
      <c r="CL96" s="263">
        <v>27.598441226575783</v>
      </c>
      <c r="CM96" s="263">
        <v>27.873594548551967</v>
      </c>
      <c r="CN96" s="263">
        <v>39.33215417376492</v>
      </c>
      <c r="CO96" s="263">
        <v>36.528782793867066</v>
      </c>
      <c r="CP96" s="263">
        <v>75.845170357751286</v>
      </c>
      <c r="CQ96" s="263">
        <v>73.926533219761509</v>
      </c>
      <c r="CR96" s="263">
        <v>5.6337308347529834E-2</v>
      </c>
      <c r="CS96" s="263">
        <v>0</v>
      </c>
      <c r="CT96" s="263">
        <v>1.2848151618398649</v>
      </c>
      <c r="CU96" s="263">
        <v>1.4181720613287907</v>
      </c>
      <c r="CV96" s="263">
        <v>3.1680000000000001</v>
      </c>
      <c r="CW96" s="263">
        <v>3.66</v>
      </c>
      <c r="CX96" s="204">
        <f>IFERROR(AVERAGEIF(RD[[#This Row],[IS1POA1 (KWh/m2)]:[IS7POA2 (KWh/m2)]],"&lt;&gt;0",RD[[#This Row],[IS1POA1 (KWh/m2)]:[IS7POA2 (KWh/m2)]]),"")</f>
        <v>4.474961733333334</v>
      </c>
      <c r="CY96" s="204">
        <f>IFERROR(AVERAGEIF(RD[[#This Row],[IS1GHI1 (KWh/m2)]:[IS7GHI2 (KWh/m2)]],"&lt;&gt;0",RD[[#This Row],[IS1GHI1 (KWh/m2)]:[IS7GHI2 (KWh/m2)]]),"")</f>
        <v>4.0970428583333351</v>
      </c>
      <c r="CZ96" s="204">
        <f>IFERROR(AVERAGEIF(RD[[#This Row],[IS1POA_BS1 (KWh/m2)]:[IS7POA_BS2 (KWh/m2)]],"&lt;&gt;0",RD[[#This Row],[IS1POA_BS1 (KWh/m2)]:[IS7POA_BS2 (KWh/m2)]]),"")</f>
        <v>0.53022984166666687</v>
      </c>
      <c r="DA96" s="204">
        <f>IFERROR(AVERAGEIF(RD[[#This Row],[IS1GHI_BS1 (KWh/m2)]:[IS1GHI_BS1 (KWh/m2)2]],"&lt;&gt;0",RD[[#This Row],[IS1GHI_BS1 (KWh/m2)]:[IS1GHI_BS1 (KWh/m2)2]]),"")</f>
        <v>0.65818322499999993</v>
      </c>
      <c r="DB96" s="204">
        <f>IFERROR(AVERAGEIF(RD[[#This Row],[IS1AT1 (°C)]:[IS7AT2 (°C)]],"&lt;&gt;0",RD[[#This Row],[IS1AT1 (°C)]:[IS7AT2 (°C)]]),"")</f>
        <v>27.736017887563875</v>
      </c>
      <c r="DC96" s="204">
        <f>IFERROR(AVERAGEIF(RD[[#This Row],[IS1MT1 (°C)]:[IS7MT2 (°C)]],"&lt;&gt;0",RD[[#This Row],[IS1MT1 (°C)]:[IS7MT2 (°C)]]),"")</f>
        <v>37.930468483815993</v>
      </c>
      <c r="DD96" s="204">
        <f>IFERROR(AVERAGEIF(RD[[#This Row],[IS1RH1 (%)]:[IS7RH2 (%)]],"&lt;&gt;0",RD[[#This Row],[IS1RH1 (%)]:[IS7RH2 (%)]]),"")</f>
        <v>74.885851788756398</v>
      </c>
      <c r="DE96" s="51">
        <f>IFERROR(AVERAGEIF(RD[[#This Row],[IS1Rain1 (mm)]:[IS7Rain2 (mm)]],"&lt;&gt;0",RD[[#This Row],[IS1Rain1 (mm)]:[IS7Rain2 (mm)]]),"")</f>
        <v>5.6337308347529834E-2</v>
      </c>
      <c r="DF96" s="204">
        <f>IFERROR(AVERAGEIF(RD[[#This Row],[WS_Solar1_Avg (m/s)]:[IS7_WS_Solar1_Avg (m/s)]],"&lt;&gt;0",RD[[#This Row],[WS_Solar1_Avg (m/s)]:[IS7_WS_Solar1_Avg (m/s)]]),"")</f>
        <v>1.3514936115843277</v>
      </c>
      <c r="DG96" s="204">
        <f>IFERROR(AVERAGEIF(RD[[#This Row],[WS_Solar1_Max (m/s)]:[IS7_WS_Solar1_Max (m/s)]],"&lt;&gt;0",RD[[#This Row],[WS_Solar1_Max (m/s)]:[IS7_WS_Solar1_Max (m/s)]]),"")</f>
        <v>3.4140000000000001</v>
      </c>
      <c r="DH96" s="204">
        <f>SUM(RD[[#This Row],[IS1Inv1M1]:[IS4Inv4M2]])</f>
        <v>188177.1</v>
      </c>
      <c r="DI96" s="205">
        <f>SUM(RD[[#This Row],[IS7Inv1M1]]+RD[[#This Row],[IS7Inv2M1]])</f>
        <v>10456.5</v>
      </c>
      <c r="DJ96" s="204">
        <f>SUM(RD[[#This Row],[IS5Inv1M1]:[IS5Inv2M2]])</f>
        <v>26477</v>
      </c>
      <c r="DK96" s="204">
        <f>SUM(RD[[#This Row],[IS8Inv1M1]:[IS9Inv2M2]])</f>
        <v>50598.3</v>
      </c>
      <c r="DL96" s="60">
        <f>SUM(RD[[#This Row],[IS6Inv1M1]:[IS6Inv2M2]])</f>
        <v>26175.5</v>
      </c>
      <c r="DM96" s="51">
        <f>SUM(RD[[#This Row],[IS10Inv1M1]:[IS11Inv1M4]],RD[[#This Row],[IS14Inv1M1]:[IS14Inv2M4]])</f>
        <v>109895.40000000004</v>
      </c>
      <c r="DN96" s="288">
        <f>SUM(RD[[#This Row],[IS12Inv1M1]:[IS12Inv1M4]])</f>
        <v>23153.200000000004</v>
      </c>
      <c r="DO96" s="288">
        <f>SUM(RD[[#This Row],[IS13Inv1M1]:[IS13Inv2M2]])</f>
        <v>26219.800000000003</v>
      </c>
      <c r="DP96" s="204">
        <f>SUM(RD[[#This Row],[O2R15]:[O2R26]])</f>
        <v>461152.80000000005</v>
      </c>
      <c r="DQ96" s="164">
        <v>44606.3</v>
      </c>
      <c r="DR96" s="168">
        <v>225.5</v>
      </c>
      <c r="DS96" s="164">
        <v>38955.5</v>
      </c>
      <c r="DT96" s="164">
        <v>237.5</v>
      </c>
      <c r="DU96" s="168">
        <v>45921.4</v>
      </c>
      <c r="DV96" s="168">
        <v>437</v>
      </c>
      <c r="DW96" s="164">
        <v>10526.8</v>
      </c>
      <c r="DX96" s="168">
        <v>54.7</v>
      </c>
      <c r="DY96" s="168">
        <v>3417.3</v>
      </c>
      <c r="DZ96" s="168">
        <v>16.2</v>
      </c>
      <c r="EA96" s="140">
        <v>105.86</v>
      </c>
      <c r="EB96" s="243">
        <v>147342163</v>
      </c>
      <c r="EC96" s="242">
        <v>1039590.848</v>
      </c>
      <c r="ED96" s="243">
        <v>1248</v>
      </c>
      <c r="EE96" s="243">
        <v>141554</v>
      </c>
      <c r="EF96" s="164">
        <v>204287.2</v>
      </c>
      <c r="EG96" s="164">
        <v>2006.2</v>
      </c>
      <c r="EH96" s="146">
        <f>IF((RD[[#This Row],[33 kV_F3_Ex
Incomer1]]-DQ95)*1000&lt;0,0,(RD[[#This Row],[33 kV_F3_Ex
Incomer1]]-DQ95)*1000)</f>
        <v>95400.000000001455</v>
      </c>
      <c r="EI96" s="146">
        <f>IF((RD[[#This Row],[34 kV_F3_Im
Incomer1]]-DR95)*1000&lt;0,0,(RD[[#This Row],[34 kV_F3_Im
Incomer1]]-DR95)*1000)</f>
        <v>400.00000000000568</v>
      </c>
      <c r="EJ96" s="146">
        <f>IF((RD[[#This Row],[33 kV_F4_Ex
Incomer2]]-DS95)*1000&lt;0,0,(RD[[#This Row],[33 kV_F4_Ex
Incomer2]]-DS95)*1000)</f>
        <v>87500</v>
      </c>
      <c r="EK96" s="146">
        <f>IF((RD[[#This Row],[34 kV_F4_Im
Incomer2]]-DT95)*1000&lt;0,0,(RD[[#This Row],[34 kV_F4_Im
Incomer2]]-DT95)*1000)</f>
        <v>300.00000000001137</v>
      </c>
      <c r="EL96" s="146">
        <f>IF((RD[[#This Row],[33 kV_F5_Ex
Incomer3]]-DU95)*1000&lt;0,0,(RD[[#This Row],[33 kV_F5_Ex
Incomer3]]-DU95)*1000)</f>
        <v>112900.00000000146</v>
      </c>
      <c r="EM96" s="146">
        <f>IF((RD[[#This Row],[34 kV_F5_Im
Incomer3]]-DV95)*1000&lt;0,0,(RD[[#This Row],[34 kV_F5_Im
Incomer3]]-DV95)*1000)</f>
        <v>1199.9999999999886</v>
      </c>
      <c r="EN96" s="146">
        <f>IF((RD[[#This Row],[33 kV_F6_Ex
Incomer4]]-DW95)*1000&lt;0,0,(RD[[#This Row],[33 kV_F6_Ex
Incomer4]]-DW95)*1000)</f>
        <v>25599.999999998545</v>
      </c>
      <c r="EO96" s="146">
        <f t="shared" si="166"/>
        <v>300.00000000001137</v>
      </c>
      <c r="EP96" s="146">
        <f>IF((RD[[#This Row],[33 kV_F7_Ex
Incomer5]]-DY95)*1000&lt;0,0,(RD[[#This Row],[33 kV_F7_Ex
Incomer5]]-DY95)*1000)</f>
        <v>112300.00000000017</v>
      </c>
      <c r="EQ96" s="146">
        <f>IF((RD[[#This Row],[33 kV_F7_Im
Incomer5]]-DZ95)*1000&lt;0,0,(RD[[#This Row],[33 kV_F7_Im
Incomer5]]-DZ95)*1000)</f>
        <v>699.99999999999932</v>
      </c>
      <c r="ER96" s="146">
        <f>IF((RD[[#This Row],[33 kV_Aux Trafo]]-EA95)*1000&lt;0,0,(RD[[#This Row],[33 kV_Aux Trafo]]-EA95)*1000)</f>
        <v>239.99999999999488</v>
      </c>
      <c r="ES96" s="158">
        <f>IF((RD[[#This Row],[33kV_OG1_Ex_]]-EB95)*1&lt;0,0,(RD[[#This Row],[33kV_OG1_Ex_]]-EB95)*1)</f>
        <v>456540</v>
      </c>
      <c r="ET96" s="146">
        <f>IF((RD[[#This Row],[33kV_OG1_Im]]-EC95)*1&lt;0,0,(RD[[#This Row],[33kV_OG1_Im]]-EC95)*1)</f>
        <v>3029.3120000000345</v>
      </c>
      <c r="EU96" s="146">
        <f>IF((RD[[#This Row],[132kV_TX1_EX]]-ED95)*720&lt;=0,"",(RD[[#This Row],[132kV_TX1_EX]]-ED95)*720)</f>
        <v>2160</v>
      </c>
      <c r="EV96" s="146">
        <f>IF((RD[[#This Row],[132 kV_Tx1_Im]]-EE95)*720&lt;=0,0,(RD[[#This Row],[132 kV_Tx1_Im]]-EE95)*720)</f>
        <v>327600</v>
      </c>
      <c r="EW96" s="146">
        <f>IF((RD[[#This Row],[132kV_L1_Ex]]-EF95)*720&lt;=0,0,(RD[[#This Row],[132kV_L1_Ex]]-EF95)*720)</f>
        <v>454968.00000001676</v>
      </c>
      <c r="EX96" s="146">
        <f>IF((RD[[#This Row],[132kV_L1_Im]]-EG95)*720&lt;=0,0,(RD[[#This Row],[132kV_L1_Im]]-EG95)*720)</f>
        <v>3455.9999999999673</v>
      </c>
      <c r="EY96" s="244">
        <f>IFERROR(RD[[#This Row],[33kV_OG1_Ex (MWh)]]+RD[[#This Row],[33kV_OG1_Im (MWh)]],"")</f>
        <v>459569.31200000003</v>
      </c>
      <c r="EZ96" s="148">
        <f>RD[[#This Row],[33kV_OG1_Ex (MWh)]]-RD[[#This Row],[33kV_OG1_Im (MWh)]]</f>
        <v>453510.68799999997</v>
      </c>
      <c r="FA96" s="148">
        <f>IFERROR(RD[[#This Row],[132kV_L1_Ex(MWh)]]-RD[[#This Row],[132kV_L1_Im(MWh)]],"")</f>
        <v>451512.00000001682</v>
      </c>
      <c r="FB96" s="55">
        <f>IFERROR(RD[[#This Row],[33kV_Ex(MWh)]]/RD[[#This Row],[Inv Total Gneration (MWh)]]-1,"")</f>
        <v>-3.4337599164528942E-3</v>
      </c>
      <c r="FC96" s="245">
        <f>IFERROR((RD[[#This Row],[Sunset Time (POA&lt;20 W/m2)]]-RD[[#This Row],[Sunrise Time (POA&gt;20 W/m2)]])*24,0)</f>
        <v>11.816666666666666</v>
      </c>
      <c r="FD96" s="246">
        <v>126.3</v>
      </c>
      <c r="FE96" s="300" t="s">
        <v>297</v>
      </c>
      <c r="FG96" s="144" t="str">
        <f>IFERROR(RD[[#This Row],[E_AC (WPR)]]/RD[[#This Row],[E_DC (WPR)]],"")</f>
        <v/>
      </c>
    </row>
    <row r="97" spans="1:163">
      <c r="A97" s="133">
        <f t="shared" si="161"/>
        <v>45837</v>
      </c>
      <c r="B97" s="138">
        <f>YEAR(RD[[#This Row],[Date]])+IF(MONTH(RD[[#This Row],[Date]])&gt;=4,1,0)</f>
        <v>2026</v>
      </c>
      <c r="C97" s="138">
        <f>YEAR(RD[[#This Row],[Date]])</f>
        <v>2025</v>
      </c>
      <c r="D97" s="139">
        <f t="shared" si="165"/>
        <v>45809</v>
      </c>
      <c r="E97" s="138">
        <f>DAY(EOMONTH(RD[[#This Row],[Date]],0))</f>
        <v>30</v>
      </c>
      <c r="F97" s="152">
        <v>0.26458333333333334</v>
      </c>
      <c r="G97" s="162">
        <v>0.7631944444444444</v>
      </c>
      <c r="H97" s="124">
        <v>3456.7</v>
      </c>
      <c r="I97" s="270">
        <v>3432</v>
      </c>
      <c r="J97" s="124">
        <v>3198.2</v>
      </c>
      <c r="K97" s="124">
        <v>3264</v>
      </c>
      <c r="L97" s="124">
        <v>3387.6</v>
      </c>
      <c r="M97" s="124">
        <v>3482.8</v>
      </c>
      <c r="N97" s="124">
        <v>3356.9</v>
      </c>
      <c r="O97" s="124">
        <v>3720.9</v>
      </c>
      <c r="P97" s="124">
        <v>3417.5</v>
      </c>
      <c r="Q97" s="124">
        <v>3348.2</v>
      </c>
      <c r="R97" s="124">
        <v>3428.8</v>
      </c>
      <c r="S97" s="268">
        <v>3450.3</v>
      </c>
      <c r="T97" s="124">
        <v>3580.9</v>
      </c>
      <c r="U97" s="124">
        <v>3406.8</v>
      </c>
      <c r="V97" s="124">
        <v>3517.1</v>
      </c>
      <c r="W97" s="124">
        <v>3345.8</v>
      </c>
      <c r="X97" s="268">
        <v>4747.6000000000004</v>
      </c>
      <c r="Y97" s="203">
        <v>5386.7</v>
      </c>
      <c r="Z97" s="203">
        <v>4632.2</v>
      </c>
      <c r="AA97" s="203">
        <v>4847.3999999999996</v>
      </c>
      <c r="AB97" s="268">
        <v>5222</v>
      </c>
      <c r="AC97" s="203">
        <v>3132.2</v>
      </c>
      <c r="AD97" s="203">
        <v>4767.3999999999996</v>
      </c>
      <c r="AE97" s="203">
        <v>4961</v>
      </c>
      <c r="AF97" s="268">
        <v>4782.7</v>
      </c>
      <c r="AG97" s="203">
        <v>4778.5</v>
      </c>
      <c r="AH97" s="203">
        <v>4806.3</v>
      </c>
      <c r="AI97" s="268">
        <v>4825.7</v>
      </c>
      <c r="AJ97" s="203">
        <v>4282.7</v>
      </c>
      <c r="AK97" s="268">
        <v>4447.3</v>
      </c>
      <c r="AL97" s="203">
        <v>4382.8</v>
      </c>
      <c r="AM97" s="268">
        <v>4429.3</v>
      </c>
      <c r="AN97" s="203">
        <v>4393.7</v>
      </c>
      <c r="AO97" s="268">
        <v>4562.5</v>
      </c>
      <c r="AP97" s="203">
        <v>4476.1000000000004</v>
      </c>
      <c r="AQ97" s="268">
        <v>4236.8</v>
      </c>
      <c r="AR97" s="203">
        <v>3554.3</v>
      </c>
      <c r="AS97" s="268">
        <v>3577.8</v>
      </c>
      <c r="AT97" s="203">
        <v>3507.4</v>
      </c>
      <c r="AU97" s="268">
        <v>3498.2</v>
      </c>
      <c r="AV97" s="203">
        <v>3592.7</v>
      </c>
      <c r="AW97" s="203">
        <v>3583.6</v>
      </c>
      <c r="AX97" s="203">
        <v>5076.8</v>
      </c>
      <c r="AY97" s="203">
        <v>5785</v>
      </c>
      <c r="AZ97" s="203">
        <v>4213.3</v>
      </c>
      <c r="BA97" s="203">
        <v>5155.3</v>
      </c>
      <c r="BB97" s="203">
        <v>4746.6000000000004</v>
      </c>
      <c r="BC97" s="203">
        <v>4517.8999999999996</v>
      </c>
      <c r="BD97" s="203">
        <v>4035.9</v>
      </c>
      <c r="BE97" s="203">
        <v>4409.8</v>
      </c>
      <c r="BF97" s="203">
        <v>4860.7</v>
      </c>
      <c r="BG97" s="203">
        <v>4908.6000000000004</v>
      </c>
      <c r="BH97" s="203">
        <v>4855.2</v>
      </c>
      <c r="BI97" s="203">
        <v>5000.3999999999996</v>
      </c>
      <c r="BJ97" s="203">
        <v>3183.8</v>
      </c>
      <c r="BK97" s="203">
        <v>2524.8000000000002</v>
      </c>
      <c r="BL97" s="203">
        <v>3064.2</v>
      </c>
      <c r="BM97" s="203">
        <v>3029</v>
      </c>
      <c r="BN97" s="203">
        <v>3392</v>
      </c>
      <c r="BO97" s="203">
        <v>3219.7</v>
      </c>
      <c r="BP97" s="203">
        <v>3515.1</v>
      </c>
      <c r="BQ97" s="203">
        <v>3498.8</v>
      </c>
      <c r="BR97" s="203">
        <v>3672</v>
      </c>
      <c r="BS97" s="203">
        <v>3796</v>
      </c>
      <c r="BT97" s="203">
        <v>3710.9</v>
      </c>
      <c r="BU97" s="203">
        <v>3893</v>
      </c>
      <c r="BV97" s="203">
        <v>2629.1</v>
      </c>
      <c r="BW97" s="203">
        <v>2102.3000000000002</v>
      </c>
      <c r="BX97" s="203">
        <v>2718.2</v>
      </c>
      <c r="BY97" s="203">
        <v>2445.9</v>
      </c>
      <c r="BZ97" s="203">
        <v>621.20000000000005</v>
      </c>
      <c r="CA97" s="203">
        <v>278.7</v>
      </c>
      <c r="CB97" s="203">
        <v>3017.7</v>
      </c>
      <c r="CC97" s="203">
        <v>3258.1</v>
      </c>
      <c r="CD97" s="263">
        <v>2.6947467999999999</v>
      </c>
      <c r="CE97" s="263">
        <v>2.6365602666666659</v>
      </c>
      <c r="CF97" s="263">
        <v>2.1412474999999982</v>
      </c>
      <c r="CG97" s="263">
        <v>2.6874499499999982</v>
      </c>
      <c r="CH97" s="263">
        <v>0.26964945000000046</v>
      </c>
      <c r="CI97" s="263">
        <v>0.37900648333333326</v>
      </c>
      <c r="CJ97" s="263">
        <v>0.40249731666666705</v>
      </c>
      <c r="CK97" s="263">
        <v>0.37876425000000019</v>
      </c>
      <c r="CL97" s="263">
        <v>26.206387520525496</v>
      </c>
      <c r="CM97" s="263">
        <v>26.212561576354727</v>
      </c>
      <c r="CN97" s="263">
        <v>34.899351395730712</v>
      </c>
      <c r="CO97" s="263">
        <v>32.60453530377665</v>
      </c>
      <c r="CP97" s="263">
        <v>83.487110016420345</v>
      </c>
      <c r="CQ97" s="263">
        <v>83.289614121510553</v>
      </c>
      <c r="CR97" s="263">
        <v>9.8522167487684748E-2</v>
      </c>
      <c r="CS97" s="263">
        <v>6.8965517241379337E-2</v>
      </c>
      <c r="CT97" s="263">
        <v>1.5754088669950728</v>
      </c>
      <c r="CU97" s="263">
        <v>1.7060344827586214</v>
      </c>
      <c r="CV97" s="263">
        <v>4.9349999999999996</v>
      </c>
      <c r="CW97" s="263">
        <v>4.8840000000000003</v>
      </c>
      <c r="CX97" s="204">
        <f>IFERROR(AVERAGEIF(RD[[#This Row],[IS1POA1 (KWh/m2)]:[IS7POA2 (KWh/m2)]],"&lt;&gt;0",RD[[#This Row],[IS1POA1 (KWh/m2)]:[IS7POA2 (KWh/m2)]]),"")</f>
        <v>2.6656535333333329</v>
      </c>
      <c r="CY97" s="204">
        <f>IFERROR(AVERAGEIF(RD[[#This Row],[IS1GHI1 (KWh/m2)]:[IS7GHI2 (KWh/m2)]],"&lt;&gt;0",RD[[#This Row],[IS1GHI1 (KWh/m2)]:[IS7GHI2 (KWh/m2)]]),"")</f>
        <v>2.4143487249999982</v>
      </c>
      <c r="CZ97" s="204">
        <f>IFERROR(AVERAGEIF(RD[[#This Row],[IS1POA_BS1 (KWh/m2)]:[IS7POA_BS2 (KWh/m2)]],"&lt;&gt;0",RD[[#This Row],[IS1POA_BS1 (KWh/m2)]:[IS7POA_BS2 (KWh/m2)]]),"")</f>
        <v>0.32432796666666686</v>
      </c>
      <c r="DA97" s="204">
        <f>IFERROR(AVERAGEIF(RD[[#This Row],[IS1GHI_BS1 (KWh/m2)]:[IS1GHI_BS1 (KWh/m2)2]],"&lt;&gt;0",RD[[#This Row],[IS1GHI_BS1 (KWh/m2)]:[IS1GHI_BS1 (KWh/m2)2]]),"")</f>
        <v>0.39063078333333362</v>
      </c>
      <c r="DB97" s="204">
        <f>IFERROR(AVERAGEIF(RD[[#This Row],[IS1AT1 (°C)]:[IS7AT2 (°C)]],"&lt;&gt;0",RD[[#This Row],[IS1AT1 (°C)]:[IS7AT2 (°C)]]),"")</f>
        <v>26.209474548440113</v>
      </c>
      <c r="DC97" s="204">
        <f>IFERROR(AVERAGEIF(RD[[#This Row],[IS1MT1 (°C)]:[IS7MT2 (°C)]],"&lt;&gt;0",RD[[#This Row],[IS1MT1 (°C)]:[IS7MT2 (°C)]]),"")</f>
        <v>33.751943349753681</v>
      </c>
      <c r="DD97" s="204">
        <f>IFERROR(AVERAGEIF(RD[[#This Row],[IS1RH1 (%)]:[IS7RH2 (%)]],"&lt;&gt;0",RD[[#This Row],[IS1RH1 (%)]:[IS7RH2 (%)]]),"")</f>
        <v>83.388362068965449</v>
      </c>
      <c r="DE97" s="51">
        <f>IFERROR(AVERAGEIF(RD[[#This Row],[IS1Rain1 (mm)]:[IS7Rain2 (mm)]],"&lt;&gt;0",RD[[#This Row],[IS1Rain1 (mm)]:[IS7Rain2 (mm)]]),"")</f>
        <v>8.3743842364532042E-2</v>
      </c>
      <c r="DF97" s="204">
        <f>IFERROR(AVERAGEIF(RD[[#This Row],[WS_Solar1_Avg (m/s)]:[IS7_WS_Solar1_Avg (m/s)]],"&lt;&gt;0",RD[[#This Row],[WS_Solar1_Avg (m/s)]:[IS7_WS_Solar1_Avg (m/s)]]),"")</f>
        <v>1.6407216748768469</v>
      </c>
      <c r="DG97" s="204">
        <f>IFERROR(AVERAGEIF(RD[[#This Row],[WS_Solar1_Max (m/s)]:[IS7_WS_Solar1_Max (m/s)]],"&lt;&gt;0",RD[[#This Row],[WS_Solar1_Max (m/s)]:[IS7_WS_Solar1_Max (m/s)]]),"")</f>
        <v>4.9094999999999995</v>
      </c>
      <c r="DH97" s="204">
        <f>SUM(RD[[#This Row],[IS1Inv1M1]:[IS4Inv4M2]])</f>
        <v>111684.2</v>
      </c>
      <c r="DI97" s="205">
        <f>SUM(RD[[#This Row],[IS7Inv1M1]]+RD[[#This Row],[IS7Inv2M1]])</f>
        <v>7132.1</v>
      </c>
      <c r="DJ97" s="204">
        <f>SUM(RD[[#This Row],[IS5Inv1M1]:[IS5Inv2M2]])</f>
        <v>17542.099999999999</v>
      </c>
      <c r="DK97" s="204">
        <f>SUM(RD[[#This Row],[IS8Inv1M1]:[IS9Inv2M2]])</f>
        <v>34412.300000000003</v>
      </c>
      <c r="DL97" s="60">
        <f>SUM(RD[[#This Row],[IS6Inv1M1]:[IS6Inv2M2]])</f>
        <v>17669.100000000002</v>
      </c>
      <c r="DM97" s="51">
        <f>SUM(RD[[#This Row],[IS10Inv1M1]:[IS11Inv1M4]],RD[[#This Row],[IS14Inv1M1]:[IS14Inv2M4]])</f>
        <v>66208.099999999991</v>
      </c>
      <c r="DN97" s="288">
        <f>SUM(RD[[#This Row],[IS12Inv1M1]:[IS12Inv1M4]])</f>
        <v>13625.599999999999</v>
      </c>
      <c r="DO97" s="288">
        <f>SUM(RD[[#This Row],[IS13Inv1M1]:[IS13Inv2M2]])</f>
        <v>15071.9</v>
      </c>
      <c r="DP97" s="204">
        <f>SUM(RD[[#This Row],[O2R15]:[O2R26]])</f>
        <v>283345.40000000002</v>
      </c>
      <c r="DQ97" s="164">
        <v>44662.9</v>
      </c>
      <c r="DR97" s="168">
        <v>225.8</v>
      </c>
      <c r="DS97" s="164">
        <v>39008.400000000001</v>
      </c>
      <c r="DT97" s="164">
        <v>237.8</v>
      </c>
      <c r="DU97" s="168">
        <v>45998.1</v>
      </c>
      <c r="DV97" s="168">
        <v>438.3</v>
      </c>
      <c r="DW97" s="164">
        <v>10544.2</v>
      </c>
      <c r="DX97" s="168">
        <v>54.9</v>
      </c>
      <c r="DY97" s="168">
        <v>3483.4</v>
      </c>
      <c r="DZ97" s="168">
        <v>16.899999999999999</v>
      </c>
      <c r="EA97" s="140">
        <v>106.08</v>
      </c>
      <c r="EB97" s="243">
        <v>147625132</v>
      </c>
      <c r="EC97" s="242">
        <v>1042627.072</v>
      </c>
      <c r="ED97" s="243">
        <v>1252</v>
      </c>
      <c r="EE97" s="243">
        <v>141836</v>
      </c>
      <c r="EF97" s="164">
        <v>204679</v>
      </c>
      <c r="EG97" s="164">
        <v>2011.1</v>
      </c>
      <c r="EH97" s="146">
        <f>IF((RD[[#This Row],[33 kV_F3_Ex
Incomer1]]-DQ96)*1000&lt;0,0,(RD[[#This Row],[33 kV_F3_Ex
Incomer1]]-DQ96)*1000)</f>
        <v>56599.999999998545</v>
      </c>
      <c r="EI97" s="146">
        <f>IF((RD[[#This Row],[34 kV_F3_Im
Incomer1]]-DR96)*1000&lt;0,0,(RD[[#This Row],[34 kV_F3_Im
Incomer1]]-DR96)*1000)</f>
        <v>300.00000000001137</v>
      </c>
      <c r="EJ97" s="146">
        <f>IF((RD[[#This Row],[33 kV_F4_Ex
Incomer2]]-DS96)*1000&lt;0,0,(RD[[#This Row],[33 kV_F4_Ex
Incomer2]]-DS96)*1000)</f>
        <v>52900.000000001455</v>
      </c>
      <c r="EK97" s="146">
        <f>IF((RD[[#This Row],[34 kV_F4_Im
Incomer2]]-DT96)*1000&lt;0,0,(RD[[#This Row],[34 kV_F4_Im
Incomer2]]-DT96)*1000)</f>
        <v>300.00000000001137</v>
      </c>
      <c r="EL97" s="146">
        <f>IF((RD[[#This Row],[33 kV_F5_Ex
Incomer3]]-DU96)*1000&lt;0,0,(RD[[#This Row],[33 kV_F5_Ex
Incomer3]]-DU96)*1000)</f>
        <v>76699.99999999709</v>
      </c>
      <c r="EM97" s="146">
        <f>IF((RD[[#This Row],[34 kV_F5_Im
Incomer3]]-DV96)*1000&lt;0,0,(RD[[#This Row],[34 kV_F5_Im
Incomer3]]-DV96)*1000)</f>
        <v>1300.0000000000114</v>
      </c>
      <c r="EN97" s="146">
        <f>IF((RD[[#This Row],[33 kV_F6_Ex
Incomer4]]-DW96)*1000&lt;0,0,(RD[[#This Row],[33 kV_F6_Ex
Incomer4]]-DW96)*1000)</f>
        <v>17400.000000001455</v>
      </c>
      <c r="EO97" s="146">
        <f t="shared" si="166"/>
        <v>400.00000000000568</v>
      </c>
      <c r="EP97" s="146">
        <f>IF((RD[[#This Row],[33 kV_F7_Ex
Incomer5]]-DY96)*1000&lt;0,0,(RD[[#This Row],[33 kV_F7_Ex
Incomer5]]-DY96)*1000)</f>
        <v>66099.999999999913</v>
      </c>
      <c r="EQ97" s="146">
        <f>IF((RD[[#This Row],[33 kV_F7_Im
Incomer5]]-DZ96)*1000&lt;0,0,(RD[[#This Row],[33 kV_F7_Im
Incomer5]]-DZ96)*1000)</f>
        <v>699.99999999999932</v>
      </c>
      <c r="ER97" s="146">
        <f>IF((RD[[#This Row],[33 kV_Aux Trafo]]-EA96)*1000&lt;0,0,(RD[[#This Row],[33 kV_Aux Trafo]]-EA96)*1000)</f>
        <v>219.99999999999886</v>
      </c>
      <c r="ES97" s="158">
        <f>IF((RD[[#This Row],[33kV_OG1_Ex_]]-EB96)*1&lt;0,0,(RD[[#This Row],[33kV_OG1_Ex_]]-EB96)*1)</f>
        <v>282969</v>
      </c>
      <c r="ET97" s="146">
        <f>IF((RD[[#This Row],[33kV_OG1_Im]]-EC96)*1&lt;0,0,(RD[[#This Row],[33kV_OG1_Im]]-EC96)*1)</f>
        <v>3036.2240000000456</v>
      </c>
      <c r="EU97" s="146">
        <f>IF((RD[[#This Row],[132kV_TX1_EX]]-ED96)*720&lt;=0,"",(RD[[#This Row],[132kV_TX1_EX]]-ED96)*720)</f>
        <v>2880</v>
      </c>
      <c r="EV97" s="146">
        <f>IF((RD[[#This Row],[132 kV_Tx1_Im]]-EE96)*720&lt;=0,0,(RD[[#This Row],[132 kV_Tx1_Im]]-EE96)*720)</f>
        <v>203040</v>
      </c>
      <c r="EW97" s="146">
        <f>IF((RD[[#This Row],[132kV_L1_Ex]]-EF96)*720&lt;=0,0,(RD[[#This Row],[132kV_L1_Ex]]-EF96)*720)</f>
        <v>282095.99999999162</v>
      </c>
      <c r="EX97" s="146">
        <f>IF((RD[[#This Row],[132kV_L1_Im]]-EG96)*720&lt;=0,0,(RD[[#This Row],[132kV_L1_Im]]-EG96)*720)</f>
        <v>3527.9999999999018</v>
      </c>
      <c r="EY97" s="244">
        <f>IFERROR(RD[[#This Row],[33kV_OG1_Ex (MWh)]]+RD[[#This Row],[33kV_OG1_Im (MWh)]],"")</f>
        <v>286005.22400000005</v>
      </c>
      <c r="EZ97" s="148">
        <f>RD[[#This Row],[33kV_OG1_Ex (MWh)]]-RD[[#This Row],[33kV_OG1_Im (MWh)]]</f>
        <v>279932.77599999995</v>
      </c>
      <c r="FA97" s="148">
        <f>IFERROR(RD[[#This Row],[132kV_L1_Ex(MWh)]]-RD[[#This Row],[132kV_L1_Im(MWh)]],"")</f>
        <v>278567.99999999173</v>
      </c>
      <c r="FB97" s="55">
        <f>IFERROR(RD[[#This Row],[33kV_Ex(MWh)]]/RD[[#This Row],[Inv Total Gneration (MWh)]]-1,"")</f>
        <v>9.3872143327544677E-3</v>
      </c>
      <c r="FC97" s="245">
        <f>IFERROR((RD[[#This Row],[Sunset Time (POA&lt;20 W/m2)]]-RD[[#This Row],[Sunrise Time (POA&gt;20 W/m2)]])*24,0)</f>
        <v>11.966666666666665</v>
      </c>
      <c r="FD97" s="246">
        <v>126.3</v>
      </c>
      <c r="FE97" s="319" t="s">
        <v>297</v>
      </c>
      <c r="FG97" s="144" t="str">
        <f>IFERROR(RD[[#This Row],[E_AC (WPR)]]/RD[[#This Row],[E_DC (WPR)]],"")</f>
        <v/>
      </c>
    </row>
    <row r="98" spans="1:163">
      <c r="A98" s="133">
        <f t="shared" si="161"/>
        <v>45838</v>
      </c>
      <c r="B98" s="138">
        <f>YEAR(RD[[#This Row],[Date]])+IF(MONTH(RD[[#This Row],[Date]])&gt;=4,1,0)</f>
        <v>2026</v>
      </c>
      <c r="C98" s="138">
        <f>YEAR(RD[[#This Row],[Date]])</f>
        <v>2025</v>
      </c>
      <c r="D98" s="139">
        <f t="shared" si="165"/>
        <v>45809</v>
      </c>
      <c r="E98" s="138">
        <f>DAY(EOMONTH(RD[[#This Row],[Date]],0))</f>
        <v>30</v>
      </c>
      <c r="F98" s="152">
        <v>0.26944444444444443</v>
      </c>
      <c r="G98" s="162">
        <v>0.78263888888888888</v>
      </c>
      <c r="H98" s="124">
        <v>4080.6</v>
      </c>
      <c r="I98" s="270">
        <v>4076.2</v>
      </c>
      <c r="J98" s="124">
        <v>3786.3</v>
      </c>
      <c r="K98" s="124">
        <v>3796.1</v>
      </c>
      <c r="L98" s="124">
        <v>3922</v>
      </c>
      <c r="M98" s="124">
        <v>4044.7</v>
      </c>
      <c r="N98" s="124">
        <v>3928.5</v>
      </c>
      <c r="O98" s="124">
        <v>4380.3999999999996</v>
      </c>
      <c r="P98" s="124">
        <v>4009.3</v>
      </c>
      <c r="Q98" s="124">
        <v>3895.3</v>
      </c>
      <c r="R98" s="124">
        <v>3994</v>
      </c>
      <c r="S98" s="268">
        <v>4043.9</v>
      </c>
      <c r="T98" s="124">
        <v>4199.2</v>
      </c>
      <c r="U98" s="124">
        <v>3967.9</v>
      </c>
      <c r="V98" s="124">
        <v>4118.7</v>
      </c>
      <c r="W98" s="124">
        <v>3956.7</v>
      </c>
      <c r="X98" s="268">
        <v>5592</v>
      </c>
      <c r="Y98" s="203">
        <v>6331.8</v>
      </c>
      <c r="Z98" s="203">
        <v>5450.7</v>
      </c>
      <c r="AA98" s="203">
        <v>5715.1</v>
      </c>
      <c r="AB98" s="268">
        <v>6045</v>
      </c>
      <c r="AC98" s="203">
        <v>3604.7</v>
      </c>
      <c r="AD98" s="203">
        <v>5476</v>
      </c>
      <c r="AE98" s="203">
        <v>5651.3</v>
      </c>
      <c r="AF98" s="268">
        <v>5535.5</v>
      </c>
      <c r="AG98" s="203">
        <v>5580.2</v>
      </c>
      <c r="AH98" s="203">
        <v>5516.3</v>
      </c>
      <c r="AI98" s="268">
        <v>5522.2</v>
      </c>
      <c r="AJ98" s="203">
        <v>4425.8</v>
      </c>
      <c r="AK98" s="268">
        <v>4588</v>
      </c>
      <c r="AL98" s="203">
        <v>4496.1000000000004</v>
      </c>
      <c r="AM98" s="268">
        <v>4565.5</v>
      </c>
      <c r="AN98" s="203">
        <v>4498.1000000000004</v>
      </c>
      <c r="AO98" s="268">
        <v>4649.8999999999996</v>
      </c>
      <c r="AP98" s="203">
        <v>4580.3</v>
      </c>
      <c r="AQ98" s="268">
        <v>4327.3</v>
      </c>
      <c r="AR98" s="203">
        <v>3611.4</v>
      </c>
      <c r="AS98" s="268">
        <v>3634.2</v>
      </c>
      <c r="AT98" s="203">
        <v>3571</v>
      </c>
      <c r="AU98" s="268">
        <v>3583.5</v>
      </c>
      <c r="AV98" s="203">
        <v>3657.6</v>
      </c>
      <c r="AW98" s="203">
        <v>3645.1</v>
      </c>
      <c r="AX98" s="203">
        <v>5179.6000000000004</v>
      </c>
      <c r="AY98" s="203">
        <v>5860.1</v>
      </c>
      <c r="AZ98" s="203">
        <v>4229.6000000000004</v>
      </c>
      <c r="BA98" s="203">
        <v>5181.8</v>
      </c>
      <c r="BB98" s="203">
        <v>5650.1</v>
      </c>
      <c r="BC98" s="203">
        <v>5401.9</v>
      </c>
      <c r="BD98" s="203">
        <v>4897.3999999999996</v>
      </c>
      <c r="BE98" s="203">
        <v>5005.5</v>
      </c>
      <c r="BF98" s="203">
        <v>5902.7</v>
      </c>
      <c r="BG98" s="203">
        <v>5979.5</v>
      </c>
      <c r="BH98" s="203">
        <v>5882.6</v>
      </c>
      <c r="BI98" s="203">
        <v>6046.2</v>
      </c>
      <c r="BJ98" s="203">
        <v>3890.2</v>
      </c>
      <c r="BK98" s="203">
        <v>3089.6</v>
      </c>
      <c r="BL98" s="203">
        <v>3751.5</v>
      </c>
      <c r="BM98" s="203">
        <v>4251</v>
      </c>
      <c r="BN98" s="203">
        <v>4144.3</v>
      </c>
      <c r="BO98" s="203">
        <v>3982.9</v>
      </c>
      <c r="BP98" s="203">
        <v>4370.7</v>
      </c>
      <c r="BQ98" s="203">
        <v>4271.6000000000004</v>
      </c>
      <c r="BR98" s="203">
        <v>4492</v>
      </c>
      <c r="BS98" s="203">
        <v>4622.2</v>
      </c>
      <c r="BT98" s="203">
        <v>4539</v>
      </c>
      <c r="BU98" s="203">
        <v>4741.8</v>
      </c>
      <c r="BV98" s="203">
        <v>3923.2</v>
      </c>
      <c r="BW98" s="203">
        <v>2688.8</v>
      </c>
      <c r="BX98" s="203">
        <v>3401.9</v>
      </c>
      <c r="BY98" s="203">
        <v>3709.5</v>
      </c>
      <c r="BZ98" s="203">
        <v>840.7</v>
      </c>
      <c r="CA98" s="203">
        <v>387.5</v>
      </c>
      <c r="CB98" s="203">
        <v>3736.1</v>
      </c>
      <c r="CC98" s="203">
        <v>4018.9</v>
      </c>
      <c r="CD98" s="263">
        <v>3.2021838999999992</v>
      </c>
      <c r="CE98" s="263">
        <v>2.7193817000000013</v>
      </c>
      <c r="CF98" s="263">
        <v>2.5280537166666668</v>
      </c>
      <c r="CG98" s="263">
        <v>2.7019890833333333</v>
      </c>
      <c r="CH98" s="263">
        <v>0.31491691666666682</v>
      </c>
      <c r="CI98" s="263">
        <v>0.36576698333333302</v>
      </c>
      <c r="CJ98" s="263">
        <v>0.47702435000000004</v>
      </c>
      <c r="CK98" s="263">
        <v>0.38634899999999961</v>
      </c>
      <c r="CL98" s="263">
        <v>27.101262135922244</v>
      </c>
      <c r="CM98" s="263">
        <v>26.995307443365721</v>
      </c>
      <c r="CN98" s="263">
        <v>36.621183656957946</v>
      </c>
      <c r="CO98" s="263">
        <v>33.700226537216793</v>
      </c>
      <c r="CP98" s="263">
        <v>80.03394822006473</v>
      </c>
      <c r="CQ98" s="263">
        <v>81.112500000000026</v>
      </c>
      <c r="CR98" s="263">
        <v>0</v>
      </c>
      <c r="CS98" s="263">
        <v>9.7087378640776621E-3</v>
      </c>
      <c r="CT98" s="263">
        <v>1.2311771844660215</v>
      </c>
      <c r="CU98" s="263">
        <v>1.2146699029126209</v>
      </c>
      <c r="CV98" s="263">
        <v>3.3029999999999999</v>
      </c>
      <c r="CW98" s="263">
        <v>3.4140000000000001</v>
      </c>
      <c r="CX98" s="204">
        <f>IFERROR(AVERAGEIF(RD[[#This Row],[IS1POA1 (KWh/m2)]:[IS7POA2 (KWh/m2)]],"&lt;&gt;0",RD[[#This Row],[IS1POA1 (KWh/m2)]:[IS7POA2 (KWh/m2)]]),"")</f>
        <v>2.9607828000000005</v>
      </c>
      <c r="CY98" s="204">
        <f>IFERROR(AVERAGEIF(RD[[#This Row],[IS1GHI1 (KWh/m2)]:[IS7GHI2 (KWh/m2)]],"&lt;&gt;0",RD[[#This Row],[IS1GHI1 (KWh/m2)]:[IS7GHI2 (KWh/m2)]]),"")</f>
        <v>2.6150213999999998</v>
      </c>
      <c r="CZ98" s="204">
        <f>IFERROR(AVERAGEIF(RD[[#This Row],[IS1POA_BS1 (KWh/m2)]:[IS7POA_BS2 (KWh/m2)]],"&lt;&gt;0",RD[[#This Row],[IS1POA_BS1 (KWh/m2)]:[IS7POA_BS2 (KWh/m2)]]),"")</f>
        <v>0.34034194999999989</v>
      </c>
      <c r="DA98" s="204">
        <f>IFERROR(AVERAGEIF(RD[[#This Row],[IS1GHI_BS1 (KWh/m2)]:[IS1GHI_BS1 (KWh/m2)2]],"&lt;&gt;0",RD[[#This Row],[IS1GHI_BS1 (KWh/m2)]:[IS1GHI_BS1 (KWh/m2)2]]),"")</f>
        <v>0.4316866749999998</v>
      </c>
      <c r="DB98" s="204">
        <f>IFERROR(AVERAGEIF(RD[[#This Row],[IS1AT1 (°C)]:[IS7AT2 (°C)]],"&lt;&gt;0",RD[[#This Row],[IS1AT1 (°C)]:[IS7AT2 (°C)]]),"")</f>
        <v>27.048284789643983</v>
      </c>
      <c r="DC98" s="204">
        <f>IFERROR(AVERAGEIF(RD[[#This Row],[IS1MT1 (°C)]:[IS7MT2 (°C)]],"&lt;&gt;0",RD[[#This Row],[IS1MT1 (°C)]:[IS7MT2 (°C)]]),"")</f>
        <v>35.160705097087373</v>
      </c>
      <c r="DD98" s="204">
        <f>IFERROR(AVERAGEIF(RD[[#This Row],[IS1RH1 (%)]:[IS7RH2 (%)]],"&lt;&gt;0",RD[[#This Row],[IS1RH1 (%)]:[IS7RH2 (%)]]),"")</f>
        <v>80.573224110032385</v>
      </c>
      <c r="DE98" s="51">
        <f>IFERROR(AVERAGEIF(RD[[#This Row],[IS1Rain1 (mm)]:[IS7Rain2 (mm)]],"&lt;&gt;0",RD[[#This Row],[IS1Rain1 (mm)]:[IS7Rain2 (mm)]]),"")</f>
        <v>9.7087378640776621E-3</v>
      </c>
      <c r="DF98" s="204">
        <f>IFERROR(AVERAGEIF(RD[[#This Row],[WS_Solar1_Avg (m/s)]:[IS7_WS_Solar1_Avg (m/s)]],"&lt;&gt;0",RD[[#This Row],[WS_Solar1_Avg (m/s)]:[IS7_WS_Solar1_Avg (m/s)]]),"")</f>
        <v>1.2229235436893213</v>
      </c>
      <c r="DG98" s="204">
        <f>IFERROR(AVERAGEIF(RD[[#This Row],[WS_Solar1_Max (m/s)]:[IS7_WS_Solar1_Max (m/s)]],"&lt;&gt;0",RD[[#This Row],[WS_Solar1_Max (m/s)]:[IS7_WS_Solar1_Max (m/s)]]),"")</f>
        <v>3.3585000000000003</v>
      </c>
      <c r="DH98" s="204">
        <f>SUM(RD[[#This Row],[IS1Inv1M1]:[IS4Inv4M2]])</f>
        <v>130220.59999999999</v>
      </c>
      <c r="DI98" s="205">
        <f>SUM(RD[[#This Row],[IS7Inv1M1]]+RD[[#This Row],[IS7Inv2M1]])</f>
        <v>7245.6</v>
      </c>
      <c r="DJ98" s="204">
        <f>SUM(RD[[#This Row],[IS5Inv1M1]:[IS5Inv2M2]])</f>
        <v>18075.400000000001</v>
      </c>
      <c r="DK98" s="204">
        <f>SUM(RD[[#This Row],[IS8Inv1M1]:[IS9Inv2M2]])</f>
        <v>34908.300000000003</v>
      </c>
      <c r="DL98" s="60">
        <f>SUM(RD[[#This Row],[IS6Inv1M1]:[IS6Inv2M2]])</f>
        <v>18055.599999999999</v>
      </c>
      <c r="DM98" s="51">
        <f>SUM(RD[[#This Row],[IS10Inv1M1]:[IS11Inv1M4]],RD[[#This Row],[IS14Inv1M1]:[IS14Inv2M4]])</f>
        <v>82454.799999999988</v>
      </c>
      <c r="DN98" s="288">
        <f>SUM(RD[[#This Row],[IS12Inv1M1]:[IS12Inv1M4]])</f>
        <v>16769.5</v>
      </c>
      <c r="DO98" s="288">
        <f>SUM(RD[[#This Row],[IS13Inv1M1]:[IS13Inv2M2]])</f>
        <v>18395</v>
      </c>
      <c r="DP98" s="204">
        <f>SUM(RD[[#This Row],[O2R15]:[O2R26]])</f>
        <v>326124.79999999993</v>
      </c>
      <c r="DQ98" s="164">
        <v>44728.7</v>
      </c>
      <c r="DR98" s="168">
        <v>226.2</v>
      </c>
      <c r="DS98" s="164">
        <v>39070.1</v>
      </c>
      <c r="DT98" s="164">
        <v>238.1</v>
      </c>
      <c r="DU98" s="168">
        <v>46076.3</v>
      </c>
      <c r="DV98" s="168">
        <v>439.6</v>
      </c>
      <c r="DW98" s="164">
        <v>10567</v>
      </c>
      <c r="DX98" s="168">
        <v>55.2</v>
      </c>
      <c r="DY98" s="168">
        <v>3563.2</v>
      </c>
      <c r="DZ98" s="168">
        <v>17.600000000000001</v>
      </c>
      <c r="EA98" s="140">
        <v>106.33</v>
      </c>
      <c r="EB98" s="243">
        <v>147949748</v>
      </c>
      <c r="EC98" s="242">
        <v>1045947.328</v>
      </c>
      <c r="ED98" s="243">
        <v>1256</v>
      </c>
      <c r="EE98" s="243">
        <v>142159</v>
      </c>
      <c r="EF98" s="164">
        <v>205128.4</v>
      </c>
      <c r="EG98" s="164">
        <v>2016.4</v>
      </c>
      <c r="EH98" s="146">
        <f>IF((RD[[#This Row],[33 kV_F3_Ex
Incomer1]]-DQ97)*1000&lt;0,0,(RD[[#This Row],[33 kV_F3_Ex
Incomer1]]-DQ97)*1000)</f>
        <v>65799.999999995634</v>
      </c>
      <c r="EI98" s="146">
        <f>IF((RD[[#This Row],[34 kV_F3_Im
Incomer1]]-DR97)*1000&lt;0,0,(RD[[#This Row],[34 kV_F3_Im
Incomer1]]-DR97)*1000)</f>
        <v>399.99999999997726</v>
      </c>
      <c r="EJ98" s="146">
        <f>IF((RD[[#This Row],[33 kV_F4_Ex
Incomer2]]-DS97)*1000&lt;0,0,(RD[[#This Row],[33 kV_F4_Ex
Incomer2]]-DS97)*1000)</f>
        <v>61699.99999999709</v>
      </c>
      <c r="EK98" s="146">
        <f>IF((RD[[#This Row],[34 kV_F4_Im
Incomer2]]-DT97)*1000&lt;0,0,(RD[[#This Row],[34 kV_F4_Im
Incomer2]]-DT97)*1000)</f>
        <v>299.99999999998295</v>
      </c>
      <c r="EL98" s="146">
        <f>IF((RD[[#This Row],[33 kV_F5_Ex
Incomer3]]-DU97)*1000&lt;0,0,(RD[[#This Row],[33 kV_F5_Ex
Incomer3]]-DU97)*1000)</f>
        <v>78200.000000004366</v>
      </c>
      <c r="EM98" s="146">
        <f>IF((RD[[#This Row],[34 kV_F5_Im
Incomer3]]-DV97)*1000&lt;0,0,(RD[[#This Row],[34 kV_F5_Im
Incomer3]]-DV97)*1000)</f>
        <v>1300.0000000000114</v>
      </c>
      <c r="EN98" s="146">
        <f>IF((RD[[#This Row],[33 kV_F6_Ex
Incomer4]]-DW97)*1000&lt;0,0,(RD[[#This Row],[33 kV_F6_Ex
Incomer4]]-DW97)*1000)</f>
        <v>22799.999999999272</v>
      </c>
      <c r="EO98" s="146">
        <f t="shared" si="166"/>
        <v>299.99999999998295</v>
      </c>
      <c r="EP98" s="146">
        <f>IF((RD[[#This Row],[33 kV_F7_Ex
Incomer5]]-DY97)*1000&lt;0,0,(RD[[#This Row],[33 kV_F7_Ex
Incomer5]]-DY97)*1000)</f>
        <v>79799.999999999724</v>
      </c>
      <c r="EQ98" s="146">
        <f>IF((RD[[#This Row],[33 kV_F7_Im
Incomer5]]-DZ97)*1000&lt;0,0,(RD[[#This Row],[33 kV_F7_Im
Incomer5]]-DZ97)*1000)</f>
        <v>700.00000000000284</v>
      </c>
      <c r="ER98" s="146">
        <f>IF((RD[[#This Row],[33 kV_Aux Trafo]]-EA97)*1000&lt;0,0,(RD[[#This Row],[33 kV_Aux Trafo]]-EA97)*1000)</f>
        <v>250</v>
      </c>
      <c r="ES98" s="158">
        <f>IF((RD[[#This Row],[33kV_OG1_Ex_]]-EB97)*1&lt;0,0,(RD[[#This Row],[33kV_OG1_Ex_]]-EB97)*1)</f>
        <v>324616</v>
      </c>
      <c r="ET98" s="146">
        <f>IF((RD[[#This Row],[33kV_OG1_Im]]-EC97)*1&lt;0,0,(RD[[#This Row],[33kV_OG1_Im]]-EC97)*1)</f>
        <v>3320.2559999999357</v>
      </c>
      <c r="EU98" s="146">
        <f>IF((RD[[#This Row],[132kV_TX1_EX]]-ED97)*720&lt;=0,"",(RD[[#This Row],[132kV_TX1_EX]]-ED97)*720)</f>
        <v>2880</v>
      </c>
      <c r="EV98" s="146">
        <f>IF((RD[[#This Row],[132 kV_Tx1_Im]]-EE97)*720&lt;=0,0,(RD[[#This Row],[132 kV_Tx1_Im]]-EE97)*720)</f>
        <v>232560</v>
      </c>
      <c r="EW98" s="146">
        <f>IF((RD[[#This Row],[132kV_L1_Ex]]-EF97)*720&lt;=0,0,(RD[[#This Row],[132kV_L1_Ex]]-EF97)*720)</f>
        <v>323567.99999999581</v>
      </c>
      <c r="EX98" s="146">
        <f>IF((RD[[#This Row],[132kV_L1_Im]]-EG97)*720&lt;=0,0,(RD[[#This Row],[132kV_L1_Im]]-EG97)*720)</f>
        <v>3816.000000000131</v>
      </c>
      <c r="EY98" s="244">
        <f>IFERROR(RD[[#This Row],[33kV_OG1_Ex (MWh)]]+RD[[#This Row],[33kV_OG1_Im (MWh)]],"")</f>
        <v>327936.25599999994</v>
      </c>
      <c r="EZ98" s="148">
        <f>RD[[#This Row],[33kV_OG1_Ex (MWh)]]-RD[[#This Row],[33kV_OG1_Im (MWh)]]</f>
        <v>321295.74400000006</v>
      </c>
      <c r="FA98" s="148">
        <f>IFERROR(RD[[#This Row],[132kV_L1_Ex(MWh)]]-RD[[#This Row],[132kV_L1_Im(MWh)]],"")</f>
        <v>319751.99999999569</v>
      </c>
      <c r="FB98" s="55">
        <f>IFERROR(RD[[#This Row],[33kV_Ex(MWh)]]/RD[[#This Row],[Inv Total Gneration (MWh)]]-1,"")</f>
        <v>5.554487116588458E-3</v>
      </c>
      <c r="FC98" s="245">
        <f>IFERROR((RD[[#This Row],[Sunset Time (POA&lt;20 W/m2)]]-RD[[#This Row],[Sunrise Time (POA&gt;20 W/m2)]])*24,0)</f>
        <v>12.316666666666668</v>
      </c>
      <c r="FD98" s="246">
        <v>128.08000000000001</v>
      </c>
      <c r="FE98" t="s">
        <v>1289</v>
      </c>
      <c r="FG98" s="144" t="str">
        <f>IFERROR(RD[[#This Row],[E_AC (WPR)]]/RD[[#This Row],[E_DC (WPR)]],"")</f>
        <v/>
      </c>
    </row>
    <row r="99" spans="1:163">
      <c r="A99" s="133">
        <f t="shared" si="161"/>
        <v>45839</v>
      </c>
      <c r="B99" s="138">
        <f>YEAR(RD[[#This Row],[Date]])+IF(MONTH(RD[[#This Row],[Date]])&gt;=4,1,0)</f>
        <v>2026</v>
      </c>
      <c r="C99" s="138">
        <f>YEAR(RD[[#This Row],[Date]])</f>
        <v>2025</v>
      </c>
      <c r="D99" s="139">
        <f t="shared" si="165"/>
        <v>45839</v>
      </c>
      <c r="E99" s="138">
        <f>DAY(EOMONTH(RD[[#This Row],[Date]],0))</f>
        <v>31</v>
      </c>
      <c r="F99" s="152">
        <v>0.26597222222222222</v>
      </c>
      <c r="G99" s="162">
        <v>0.77777777777777779</v>
      </c>
      <c r="H99" s="124">
        <v>4764.1000000000004</v>
      </c>
      <c r="I99" s="270">
        <v>4732.3999999999996</v>
      </c>
      <c r="J99" s="124">
        <v>4422.3</v>
      </c>
      <c r="K99" s="124">
        <v>4440.8</v>
      </c>
      <c r="L99" s="124">
        <v>4585.5</v>
      </c>
      <c r="M99" s="124">
        <v>4746.5</v>
      </c>
      <c r="N99" s="124">
        <v>4607</v>
      </c>
      <c r="O99" s="124">
        <v>5107.1000000000004</v>
      </c>
      <c r="P99" s="124">
        <v>4700.7</v>
      </c>
      <c r="Q99" s="124">
        <v>4554.3999999999996</v>
      </c>
      <c r="R99" s="124">
        <v>4664</v>
      </c>
      <c r="S99" s="268">
        <v>4726.2</v>
      </c>
      <c r="T99" s="124">
        <v>4897.3999999999996</v>
      </c>
      <c r="U99" s="124">
        <v>4622.7</v>
      </c>
      <c r="V99" s="124">
        <v>4801.3999999999996</v>
      </c>
      <c r="W99" s="124">
        <v>4618.7</v>
      </c>
      <c r="X99" s="268">
        <v>6475.1</v>
      </c>
      <c r="Y99" s="203">
        <v>7281.6</v>
      </c>
      <c r="Z99" s="203">
        <v>6328.7</v>
      </c>
      <c r="AA99" s="203">
        <v>6629.5</v>
      </c>
      <c r="AB99" s="268">
        <v>6941.5</v>
      </c>
      <c r="AC99" s="203">
        <v>4164.8</v>
      </c>
      <c r="AD99" s="203">
        <v>6286.2</v>
      </c>
      <c r="AE99" s="203">
        <v>6536.6</v>
      </c>
      <c r="AF99" s="268">
        <v>6380.7</v>
      </c>
      <c r="AG99" s="203">
        <v>6417</v>
      </c>
      <c r="AH99" s="203">
        <v>6375.7</v>
      </c>
      <c r="AI99" s="268">
        <v>6387.7</v>
      </c>
      <c r="AJ99" s="203">
        <v>5257.1</v>
      </c>
      <c r="AK99" s="268">
        <v>5442.8</v>
      </c>
      <c r="AL99" s="203">
        <v>5333.5</v>
      </c>
      <c r="AM99" s="268">
        <v>5402</v>
      </c>
      <c r="AN99" s="203">
        <v>5358.2</v>
      </c>
      <c r="AO99" s="268">
        <v>5542.7</v>
      </c>
      <c r="AP99" s="203">
        <v>5463.6</v>
      </c>
      <c r="AQ99" s="268">
        <v>5176.5</v>
      </c>
      <c r="AR99" s="203">
        <v>4331.7</v>
      </c>
      <c r="AS99" s="268">
        <v>4348.1000000000004</v>
      </c>
      <c r="AT99" s="203">
        <v>4268</v>
      </c>
      <c r="AU99" s="268">
        <v>4293.2</v>
      </c>
      <c r="AV99" s="203">
        <v>4368.7</v>
      </c>
      <c r="AW99" s="203">
        <v>4352.1000000000004</v>
      </c>
      <c r="AX99" s="203">
        <v>6190.4</v>
      </c>
      <c r="AY99" s="203">
        <v>7013.4</v>
      </c>
      <c r="AZ99" s="203">
        <v>5071.5</v>
      </c>
      <c r="BA99" s="203">
        <v>6192.2</v>
      </c>
      <c r="BB99" s="203">
        <v>6428.6</v>
      </c>
      <c r="BC99" s="203">
        <v>6137.1</v>
      </c>
      <c r="BD99" s="203">
        <v>5570.4</v>
      </c>
      <c r="BE99" s="203">
        <v>5615.8</v>
      </c>
      <c r="BF99" s="203">
        <v>6700.3</v>
      </c>
      <c r="BG99" s="203">
        <v>6793.6</v>
      </c>
      <c r="BH99" s="203">
        <v>6661.7</v>
      </c>
      <c r="BI99" s="203">
        <v>6877.7</v>
      </c>
      <c r="BJ99" s="203">
        <v>4455</v>
      </c>
      <c r="BK99" s="203">
        <v>3548</v>
      </c>
      <c r="BL99" s="203">
        <v>4288.8999999999996</v>
      </c>
      <c r="BM99" s="203">
        <v>4070.2</v>
      </c>
      <c r="BN99" s="203">
        <v>4700.3999999999996</v>
      </c>
      <c r="BO99" s="203">
        <v>4472.6000000000004</v>
      </c>
      <c r="BP99" s="203">
        <v>4918</v>
      </c>
      <c r="BQ99" s="203">
        <v>4842.8</v>
      </c>
      <c r="BR99" s="203">
        <v>4919.6000000000004</v>
      </c>
      <c r="BS99" s="203">
        <v>5188.5</v>
      </c>
      <c r="BT99" s="203">
        <v>5082.7</v>
      </c>
      <c r="BU99" s="203">
        <v>5496.8</v>
      </c>
      <c r="BV99" s="203">
        <v>4349.7</v>
      </c>
      <c r="BW99" s="203">
        <v>3033.3</v>
      </c>
      <c r="BX99" s="203">
        <v>3750.6</v>
      </c>
      <c r="BY99" s="203">
        <v>4081</v>
      </c>
      <c r="BZ99" s="203">
        <v>1349.6</v>
      </c>
      <c r="CA99" s="203">
        <v>437.7</v>
      </c>
      <c r="CB99" s="203">
        <v>4191.8999999999996</v>
      </c>
      <c r="CC99" s="203">
        <v>4551.5</v>
      </c>
      <c r="CD99" s="263">
        <v>3.7689169666666653</v>
      </c>
      <c r="CE99" s="263">
        <v>3.2619244333333381</v>
      </c>
      <c r="CF99" s="263">
        <v>2.9759130999999992</v>
      </c>
      <c r="CG99" s="263">
        <v>3.2627356166666699</v>
      </c>
      <c r="CH99" s="263">
        <v>0.41227006666666749</v>
      </c>
      <c r="CI99" s="263">
        <v>0.4575469166666668</v>
      </c>
      <c r="CJ99" s="263">
        <v>0.57782066666666632</v>
      </c>
      <c r="CK99" s="263">
        <v>0.47430330000000021</v>
      </c>
      <c r="CL99" s="263">
        <v>26.902974358974298</v>
      </c>
      <c r="CM99" s="263">
        <v>27.218341880341853</v>
      </c>
      <c r="CN99" s="263">
        <v>37.340736752136799</v>
      </c>
      <c r="CO99" s="263">
        <v>34.771874358974344</v>
      </c>
      <c r="CP99" s="263">
        <v>80.650982905982943</v>
      </c>
      <c r="CQ99" s="263">
        <v>79.405188034187944</v>
      </c>
      <c r="CR99" s="263">
        <v>1.0256410256410248E-2</v>
      </c>
      <c r="CS99" s="263">
        <v>0</v>
      </c>
      <c r="CT99" s="263">
        <v>1.6913230769230774</v>
      </c>
      <c r="CU99" s="263">
        <v>1.8990692307692296</v>
      </c>
      <c r="CV99" s="263">
        <v>4.0979999999999999</v>
      </c>
      <c r="CW99" s="263">
        <v>5.085</v>
      </c>
      <c r="CX99" s="204">
        <f>IFERROR(AVERAGEIF(RD[[#This Row],[IS1POA1 (KWh/m2)]:[IS7POA2 (KWh/m2)]],"&lt;&gt;0",RD[[#This Row],[IS1POA1 (KWh/m2)]:[IS7POA2 (KWh/m2)]]),"")</f>
        <v>3.5154207000000017</v>
      </c>
      <c r="CY99" s="204">
        <f>IFERROR(AVERAGEIF(RD[[#This Row],[IS1GHI1 (KWh/m2)]:[IS7GHI2 (KWh/m2)]],"&lt;&gt;0",RD[[#This Row],[IS1GHI1 (KWh/m2)]:[IS7GHI2 (KWh/m2)]]),"")</f>
        <v>3.1193243583333343</v>
      </c>
      <c r="CZ99" s="204">
        <f>IFERROR(AVERAGEIF(RD[[#This Row],[IS1POA_BS1 (KWh/m2)]:[IS7POA_BS2 (KWh/m2)]],"&lt;&gt;0",RD[[#This Row],[IS1POA_BS1 (KWh/m2)]:[IS7POA_BS2 (KWh/m2)]]),"")</f>
        <v>0.43490849166666712</v>
      </c>
      <c r="DA99" s="204">
        <f>IFERROR(AVERAGEIF(RD[[#This Row],[IS1GHI_BS1 (KWh/m2)]:[IS1GHI_BS1 (KWh/m2)2]],"&lt;&gt;0",RD[[#This Row],[IS1GHI_BS1 (KWh/m2)]:[IS1GHI_BS1 (KWh/m2)2]]),"")</f>
        <v>0.52606198333333332</v>
      </c>
      <c r="DB99" s="204">
        <f>IFERROR(AVERAGEIF(RD[[#This Row],[IS1AT1 (°C)]:[IS7AT2 (°C)]],"&lt;&gt;0",RD[[#This Row],[IS1AT1 (°C)]:[IS7AT2 (°C)]]),"")</f>
        <v>27.060658119658076</v>
      </c>
      <c r="DC99" s="204">
        <f>IFERROR(AVERAGEIF(RD[[#This Row],[IS1MT1 (°C)]:[IS7MT2 (°C)]],"&lt;&gt;0",RD[[#This Row],[IS1MT1 (°C)]:[IS7MT2 (°C)]]),"")</f>
        <v>36.056305555555568</v>
      </c>
      <c r="DD99" s="204">
        <f>IFERROR(AVERAGEIF(RD[[#This Row],[IS1RH1 (%)]:[IS7RH2 (%)]],"&lt;&gt;0",RD[[#This Row],[IS1RH1 (%)]:[IS7RH2 (%)]]),"")</f>
        <v>80.028085470085443</v>
      </c>
      <c r="DE99" s="51">
        <f>IFERROR(AVERAGEIF(RD[[#This Row],[IS1Rain1 (mm)]:[IS7Rain2 (mm)]],"&lt;&gt;0",RD[[#This Row],[IS1Rain1 (mm)]:[IS7Rain2 (mm)]]),"")</f>
        <v>1.0256410256410248E-2</v>
      </c>
      <c r="DF99" s="204">
        <f>IFERROR(AVERAGEIF(RD[[#This Row],[WS_Solar1_Avg (m/s)]:[IS7_WS_Solar1_Avg (m/s)]],"&lt;&gt;0",RD[[#This Row],[WS_Solar1_Avg (m/s)]:[IS7_WS_Solar1_Avg (m/s)]]),"")</f>
        <v>1.7951961538461534</v>
      </c>
      <c r="DG99" s="204">
        <f>IFERROR(AVERAGEIF(RD[[#This Row],[WS_Solar1_Max (m/s)]:[IS7_WS_Solar1_Max (m/s)]],"&lt;&gt;0",RD[[#This Row],[WS_Solar1_Max (m/s)]:[IS7_WS_Solar1_Max (m/s)]]),"")</f>
        <v>4.5914999999999999</v>
      </c>
      <c r="DH99" s="204">
        <f>SUM(RD[[#This Row],[IS1Inv1M1]:[IS4Inv4M2]])</f>
        <v>151196.30000000002</v>
      </c>
      <c r="DI99" s="205">
        <f>SUM(RD[[#This Row],[IS7Inv1M1]]+RD[[#This Row],[IS7Inv2M1]])</f>
        <v>8679.7999999999993</v>
      </c>
      <c r="DJ99" s="204">
        <f>SUM(RD[[#This Row],[IS5Inv1M1]:[IS5Inv2M2]])</f>
        <v>21435.4</v>
      </c>
      <c r="DK99" s="204">
        <f>SUM(RD[[#This Row],[IS8Inv1M1]:[IS9Inv2M2]])</f>
        <v>41749.5</v>
      </c>
      <c r="DL99" s="60">
        <f>SUM(RD[[#This Row],[IS6Inv1M1]:[IS6Inv2M2]])</f>
        <v>21541</v>
      </c>
      <c r="DM99" s="51">
        <f>SUM(RD[[#This Row],[IS10Inv1M1]:[IS11Inv1M4]],RD[[#This Row],[IS14Inv1M1]:[IS14Inv2M4]])</f>
        <v>92892.599999999991</v>
      </c>
      <c r="DN99" s="288">
        <f>SUM(RD[[#This Row],[IS12Inv1M1]:[IS12Inv1M4]])</f>
        <v>18933.8</v>
      </c>
      <c r="DO99" s="288">
        <f>SUM(RD[[#This Row],[IS13Inv1M1]:[IS13Inv2M2]])</f>
        <v>20687.599999999999</v>
      </c>
      <c r="DP99" s="204">
        <f>SUM(RD[[#This Row],[O2R15]:[O2R26]])</f>
        <v>377115.99999999994</v>
      </c>
      <c r="DQ99" s="164">
        <v>44804.5</v>
      </c>
      <c r="DR99" s="168">
        <v>226.6</v>
      </c>
      <c r="DS99" s="164">
        <v>39141.800000000003</v>
      </c>
      <c r="DT99" s="164">
        <v>238.5</v>
      </c>
      <c r="DU99" s="168">
        <v>46169.4</v>
      </c>
      <c r="DV99" s="168">
        <v>440.9</v>
      </c>
      <c r="DW99" s="164">
        <v>10592.8</v>
      </c>
      <c r="DX99" s="168">
        <v>55.4</v>
      </c>
      <c r="DY99" s="168">
        <v>3653.2</v>
      </c>
      <c r="DZ99" s="168">
        <v>18.3</v>
      </c>
      <c r="EA99" s="140">
        <v>106.57</v>
      </c>
      <c r="EB99" s="243">
        <v>148324630</v>
      </c>
      <c r="EC99" s="242">
        <v>1049154.7520000001</v>
      </c>
      <c r="ED99" s="243">
        <v>1259</v>
      </c>
      <c r="EE99" s="243">
        <v>142533</v>
      </c>
      <c r="EF99" s="164">
        <v>205647.4</v>
      </c>
      <c r="EG99" s="164">
        <v>2021.6</v>
      </c>
      <c r="EH99" s="146">
        <f>IF((RD[[#This Row],[33 kV_F3_Ex
Incomer1]]-DQ98)*1000&lt;0,0,(RD[[#This Row],[33 kV_F3_Ex
Incomer1]]-DQ98)*1000)</f>
        <v>75800.00000000291</v>
      </c>
      <c r="EI99" s="146">
        <f>IF((RD[[#This Row],[34 kV_F3_Im
Incomer1]]-DR98)*1000&lt;0,0,(RD[[#This Row],[34 kV_F3_Im
Incomer1]]-DR98)*1000)</f>
        <v>400.00000000000568</v>
      </c>
      <c r="EJ99" s="146">
        <f>IF((RD[[#This Row],[33 kV_F4_Ex
Incomer2]]-DS98)*1000&lt;0,0,(RD[[#This Row],[33 kV_F4_Ex
Incomer2]]-DS98)*1000)</f>
        <v>71700.000000004366</v>
      </c>
      <c r="EK99" s="146">
        <f>IF((RD[[#This Row],[34 kV_F4_Im
Incomer2]]-DT98)*1000&lt;0,0,(RD[[#This Row],[34 kV_F4_Im
Incomer2]]-DT98)*1000)</f>
        <v>400.00000000000568</v>
      </c>
      <c r="EL99" s="146">
        <f>IF((RD[[#This Row],[33 kV_F5_Ex
Incomer3]]-DU98)*1000&lt;0,0,(RD[[#This Row],[33 kV_F5_Ex
Incomer3]]-DU98)*1000)</f>
        <v>93099.999999998545</v>
      </c>
      <c r="EM99" s="146">
        <f>IF((RD[[#This Row],[34 kV_F5_Im
Incomer3]]-DV98)*1000&lt;0,0,(RD[[#This Row],[34 kV_F5_Im
Incomer3]]-DV98)*1000)</f>
        <v>1299.9999999999545</v>
      </c>
      <c r="EN99" s="146">
        <f>IF((RD[[#This Row],[33 kV_F6_Ex
Incomer4]]-DW98)*1000&lt;0,0,(RD[[#This Row],[33 kV_F6_Ex
Incomer4]]-DW98)*1000)</f>
        <v>25799.999999999272</v>
      </c>
      <c r="EO99" s="146">
        <f t="shared" si="166"/>
        <v>300.00000000001137</v>
      </c>
      <c r="EP99" s="146">
        <f>IF((RD[[#This Row],[33 kV_F7_Ex
Incomer5]]-DY98)*1000&lt;0,0,(RD[[#This Row],[33 kV_F7_Ex
Incomer5]]-DY98)*1000)</f>
        <v>90000</v>
      </c>
      <c r="EQ99" s="146">
        <f>IF((RD[[#This Row],[33 kV_F7_Im
Incomer5]]-DZ98)*1000&lt;0,0,(RD[[#This Row],[33 kV_F7_Im
Incomer5]]-DZ98)*1000)</f>
        <v>699.99999999999932</v>
      </c>
      <c r="ER99" s="146">
        <f>IF((RD[[#This Row],[33 kV_Aux Trafo]]-EA98)*1000&lt;0,0,(RD[[#This Row],[33 kV_Aux Trafo]]-EA98)*1000)</f>
        <v>239.99999999999488</v>
      </c>
      <c r="ES99" s="158">
        <f>IF((RD[[#This Row],[33kV_OG1_Ex_]]-EB98)*1&lt;0,0,(RD[[#This Row],[33kV_OG1_Ex_]]-EB98)*1)</f>
        <v>374882</v>
      </c>
      <c r="ET99" s="146">
        <f>IF((RD[[#This Row],[33kV_OG1_Im]]-EC98)*1&lt;0,0,(RD[[#This Row],[33kV_OG1_Im]]-EC98)*1)</f>
        <v>3207.4240000001155</v>
      </c>
      <c r="EU99" s="146">
        <f>IF((RD[[#This Row],[132kV_TX1_EX]]-ED98)*720&lt;=0,"",(RD[[#This Row],[132kV_TX1_EX]]-ED98)*720)</f>
        <v>2160</v>
      </c>
      <c r="EV99" s="146">
        <f>IF((RD[[#This Row],[132 kV_Tx1_Im]]-EE98)*720&lt;=0,0,(RD[[#This Row],[132 kV_Tx1_Im]]-EE98)*720)</f>
        <v>269280</v>
      </c>
      <c r="EW99" s="146">
        <f>IF((RD[[#This Row],[132kV_L1_Ex]]-EF98)*720&lt;=0,0,(RD[[#This Row],[132kV_L1_Ex]]-EF98)*720)</f>
        <v>373680</v>
      </c>
      <c r="EX99" s="146">
        <f>IF((RD[[#This Row],[132kV_L1_Im]]-EG98)*720&lt;=0,0,(RD[[#This Row],[132kV_L1_Im]]-EG98)*720)</f>
        <v>3743.999999999869</v>
      </c>
      <c r="EY99" s="244">
        <f>IFERROR(RD[[#This Row],[33kV_OG1_Ex (MWh)]]+RD[[#This Row],[33kV_OG1_Im (MWh)]],"")</f>
        <v>378089.42400000012</v>
      </c>
      <c r="EZ99" s="148">
        <f>RD[[#This Row],[33kV_OG1_Ex (MWh)]]-RD[[#This Row],[33kV_OG1_Im (MWh)]]</f>
        <v>371674.57599999988</v>
      </c>
      <c r="FA99" s="148">
        <f>IFERROR(RD[[#This Row],[132kV_L1_Ex(MWh)]]-RD[[#This Row],[132kV_L1_Im(MWh)]],"")</f>
        <v>369936.00000000012</v>
      </c>
      <c r="FB99" s="55">
        <f>IFERROR(RD[[#This Row],[33kV_Ex(MWh)]]/RD[[#This Row],[Inv Total Gneration (MWh)]]-1,"")</f>
        <v>2.5812322998763904E-3</v>
      </c>
      <c r="FC99" s="245">
        <f>IFERROR((RD[[#This Row],[Sunset Time (POA&lt;20 W/m2)]]-RD[[#This Row],[Sunrise Time (POA&gt;20 W/m2)]])*24,0)</f>
        <v>12.283333333333335</v>
      </c>
      <c r="FD99" s="246">
        <v>128.08000000000001</v>
      </c>
      <c r="FE99" t="s">
        <v>1288</v>
      </c>
      <c r="FG99" s="144" t="str">
        <f>IFERROR(RD[[#This Row],[E_AC (WPR)]]/RD[[#This Row],[E_DC (WPR)]],"")</f>
        <v/>
      </c>
    </row>
    <row r="100" spans="1:163">
      <c r="A100" s="133">
        <f t="shared" si="161"/>
        <v>45840</v>
      </c>
      <c r="B100" s="138">
        <f>YEAR(RD[[#This Row],[Date]])+IF(MONTH(RD[[#This Row],[Date]])&gt;=4,1,0)</f>
        <v>2026</v>
      </c>
      <c r="C100" s="138">
        <f>YEAR(RD[[#This Row],[Date]])</f>
        <v>2025</v>
      </c>
      <c r="D100" s="139">
        <f t="shared" si="165"/>
        <v>45839</v>
      </c>
      <c r="E100" s="138">
        <f>DAY(EOMONTH(RD[[#This Row],[Date]],0))</f>
        <v>31</v>
      </c>
      <c r="F100" s="152">
        <v>0.26041666666666669</v>
      </c>
      <c r="G100" s="162">
        <v>0.79305555555555551</v>
      </c>
      <c r="H100" s="124">
        <v>5489.5</v>
      </c>
      <c r="I100" s="270">
        <v>5494.8</v>
      </c>
      <c r="J100" s="124">
        <v>5116.8</v>
      </c>
      <c r="K100" s="124">
        <v>5102</v>
      </c>
      <c r="L100" s="124">
        <v>5292.2</v>
      </c>
      <c r="M100" s="124">
        <v>5446.9</v>
      </c>
      <c r="N100" s="124">
        <v>5286.9</v>
      </c>
      <c r="O100" s="124">
        <v>5876.1</v>
      </c>
      <c r="P100" s="124">
        <v>5376</v>
      </c>
      <c r="Q100" s="124">
        <v>5245.6</v>
      </c>
      <c r="R100" s="124">
        <v>5378.5</v>
      </c>
      <c r="S100" s="268">
        <v>5467.3</v>
      </c>
      <c r="T100" s="124">
        <v>5638.8</v>
      </c>
      <c r="U100" s="124">
        <v>5352.4</v>
      </c>
      <c r="V100" s="124">
        <v>5537.1</v>
      </c>
      <c r="W100" s="124">
        <v>5328.6</v>
      </c>
      <c r="X100" s="268">
        <v>7534.6</v>
      </c>
      <c r="Y100" s="203">
        <v>8477.1</v>
      </c>
      <c r="Z100" s="203">
        <v>7305.2</v>
      </c>
      <c r="AA100" s="203">
        <v>7660.6</v>
      </c>
      <c r="AB100" s="268">
        <v>8160</v>
      </c>
      <c r="AC100" s="203">
        <v>4931.3999999999996</v>
      </c>
      <c r="AD100" s="203">
        <v>7515.3</v>
      </c>
      <c r="AE100" s="203">
        <v>7734</v>
      </c>
      <c r="AF100" s="268">
        <v>7474.2</v>
      </c>
      <c r="AG100" s="203">
        <v>7532.3</v>
      </c>
      <c r="AH100" s="203">
        <v>7447.3</v>
      </c>
      <c r="AI100" s="268">
        <v>7503.9</v>
      </c>
      <c r="AJ100" s="203">
        <v>6369.2</v>
      </c>
      <c r="AK100" s="268">
        <v>6522</v>
      </c>
      <c r="AL100" s="203">
        <v>6351.6</v>
      </c>
      <c r="AM100" s="268">
        <v>6410.3</v>
      </c>
      <c r="AN100" s="203">
        <v>5785.5</v>
      </c>
      <c r="AO100" s="268">
        <v>5900</v>
      </c>
      <c r="AP100" s="203">
        <v>5887.3</v>
      </c>
      <c r="AQ100" s="268">
        <v>4407.3</v>
      </c>
      <c r="AR100" s="203">
        <v>5215.1000000000004</v>
      </c>
      <c r="AS100" s="268">
        <v>5244.8</v>
      </c>
      <c r="AT100" s="203">
        <v>3874</v>
      </c>
      <c r="AU100" s="268">
        <v>3902.6</v>
      </c>
      <c r="AV100" s="203">
        <v>3940.3</v>
      </c>
      <c r="AW100" s="203">
        <v>3938.7</v>
      </c>
      <c r="AX100" s="203">
        <v>7438.7</v>
      </c>
      <c r="AY100" s="203">
        <v>8307.2999999999993</v>
      </c>
      <c r="AZ100" s="203">
        <v>6007.7</v>
      </c>
      <c r="BA100" s="203">
        <v>7329.1</v>
      </c>
      <c r="BB100" s="203">
        <v>7469</v>
      </c>
      <c r="BC100" s="203">
        <v>7091.7</v>
      </c>
      <c r="BD100" s="203">
        <v>6517.6</v>
      </c>
      <c r="BE100" s="203">
        <v>6989.7</v>
      </c>
      <c r="BF100" s="203">
        <v>8045</v>
      </c>
      <c r="BG100" s="203">
        <v>8216</v>
      </c>
      <c r="BH100" s="203">
        <v>8030.5</v>
      </c>
      <c r="BI100" s="203">
        <v>8336.2999999999993</v>
      </c>
      <c r="BJ100" s="203">
        <v>5553.8</v>
      </c>
      <c r="BK100" s="203">
        <v>4454.3999999999996</v>
      </c>
      <c r="BL100" s="203">
        <v>5416</v>
      </c>
      <c r="BM100" s="203">
        <v>5371.5</v>
      </c>
      <c r="BN100" s="203">
        <v>5849.5</v>
      </c>
      <c r="BO100" s="203">
        <v>5657</v>
      </c>
      <c r="BP100" s="203">
        <v>6187.7</v>
      </c>
      <c r="BQ100" s="203">
        <v>6065.5</v>
      </c>
      <c r="BR100" s="203">
        <v>6223.2</v>
      </c>
      <c r="BS100" s="203">
        <v>6573.9</v>
      </c>
      <c r="BT100" s="203">
        <v>6449.7</v>
      </c>
      <c r="BU100" s="203">
        <v>6915.5</v>
      </c>
      <c r="BV100" s="203">
        <v>5476.9</v>
      </c>
      <c r="BW100" s="203">
        <v>4172.6000000000004</v>
      </c>
      <c r="BX100" s="203">
        <v>4796.3999999999996</v>
      </c>
      <c r="BY100" s="203">
        <v>5386.8</v>
      </c>
      <c r="BZ100" s="203">
        <v>2334.5</v>
      </c>
      <c r="CA100" s="203">
        <v>713</v>
      </c>
      <c r="CB100" s="203">
        <v>5296.5</v>
      </c>
      <c r="CC100" s="203">
        <v>5737.5</v>
      </c>
      <c r="CD100" s="263">
        <v>4.4195128499999976</v>
      </c>
      <c r="CE100" s="263">
        <v>3.9924762500000002</v>
      </c>
      <c r="CF100" s="263">
        <v>3.5275655499999998</v>
      </c>
      <c r="CG100" s="263">
        <v>4.0644706500000058</v>
      </c>
      <c r="CH100" s="263">
        <v>0.53823570000000032</v>
      </c>
      <c r="CI100" s="263">
        <v>0.54318975000000025</v>
      </c>
      <c r="CJ100" s="263">
        <v>0.6919376833333335</v>
      </c>
      <c r="CK100" s="263">
        <v>0.594339216666666</v>
      </c>
      <c r="CL100" s="263">
        <v>26.939322314049654</v>
      </c>
      <c r="CM100" s="263">
        <v>27.041008264462857</v>
      </c>
      <c r="CN100" s="263">
        <v>37.563327272727314</v>
      </c>
      <c r="CO100" s="263">
        <v>34.949607438016514</v>
      </c>
      <c r="CP100" s="263">
        <v>82.440809917355409</v>
      </c>
      <c r="CQ100" s="263">
        <v>81.913892561983602</v>
      </c>
      <c r="CR100" s="263">
        <v>0.10909090909090888</v>
      </c>
      <c r="CS100" s="263">
        <v>0.10909090909090888</v>
      </c>
      <c r="CT100" s="263">
        <v>1.5998404958677692</v>
      </c>
      <c r="CU100" s="263">
        <v>1.7767834710743839</v>
      </c>
      <c r="CV100" s="263">
        <v>3.7829999999999999</v>
      </c>
      <c r="CW100" s="263">
        <v>3.8820000000000001</v>
      </c>
      <c r="CX100" s="204">
        <f>IFERROR(AVERAGEIF(RD[[#This Row],[IS1POA1 (KWh/m2)]:[IS7POA2 (KWh/m2)]],"&lt;&gt;0",RD[[#This Row],[IS1POA1 (KWh/m2)]:[IS7POA2 (KWh/m2)]]),"")</f>
        <v>4.2059945499999989</v>
      </c>
      <c r="CY100" s="204">
        <f>IFERROR(AVERAGEIF(RD[[#This Row],[IS1GHI1 (KWh/m2)]:[IS7GHI2 (KWh/m2)]],"&lt;&gt;0",RD[[#This Row],[IS1GHI1 (KWh/m2)]:[IS7GHI2 (KWh/m2)]]),"")</f>
        <v>3.7960181000000031</v>
      </c>
      <c r="CZ100" s="204">
        <f>IFERROR(AVERAGEIF(RD[[#This Row],[IS1POA_BS1 (KWh/m2)]:[IS7POA_BS2 (KWh/m2)]],"&lt;&gt;0",RD[[#This Row],[IS1POA_BS1 (KWh/m2)]:[IS7POA_BS2 (KWh/m2)]]),"")</f>
        <v>0.54071272500000034</v>
      </c>
      <c r="DA100" s="204">
        <f>IFERROR(AVERAGEIF(RD[[#This Row],[IS1GHI_BS1 (KWh/m2)]:[IS1GHI_BS1 (KWh/m2)2]],"&lt;&gt;0",RD[[#This Row],[IS1GHI_BS1 (KWh/m2)]:[IS1GHI_BS1 (KWh/m2)2]]),"")</f>
        <v>0.6431384499999997</v>
      </c>
      <c r="DB100" s="204">
        <f>IFERROR(AVERAGEIF(RD[[#This Row],[IS1AT1 (°C)]:[IS7AT2 (°C)]],"&lt;&gt;0",RD[[#This Row],[IS1AT1 (°C)]:[IS7AT2 (°C)]]),"")</f>
        <v>26.990165289256254</v>
      </c>
      <c r="DC100" s="204">
        <f>IFERROR(AVERAGEIF(RD[[#This Row],[IS1MT1 (°C)]:[IS7MT2 (°C)]],"&lt;&gt;0",RD[[#This Row],[IS1MT1 (°C)]:[IS7MT2 (°C)]]),"")</f>
        <v>36.25646735537191</v>
      </c>
      <c r="DD100" s="204">
        <f>IFERROR(AVERAGEIF(RD[[#This Row],[IS1RH1 (%)]:[IS7RH2 (%)]],"&lt;&gt;0",RD[[#This Row],[IS1RH1 (%)]:[IS7RH2 (%)]]),"")</f>
        <v>82.177351239669505</v>
      </c>
      <c r="DE100" s="51">
        <f>IFERROR(AVERAGEIF(RD[[#This Row],[IS1Rain1 (mm)]:[IS7Rain2 (mm)]],"&lt;&gt;0",RD[[#This Row],[IS1Rain1 (mm)]:[IS7Rain2 (mm)]]),"")</f>
        <v>0.10909090909090888</v>
      </c>
      <c r="DF100" s="204">
        <f>IFERROR(AVERAGEIF(RD[[#This Row],[WS_Solar1_Avg (m/s)]:[IS7_WS_Solar1_Avg (m/s)]],"&lt;&gt;0",RD[[#This Row],[WS_Solar1_Avg (m/s)]:[IS7_WS_Solar1_Avg (m/s)]]),"")</f>
        <v>1.6883119834710767</v>
      </c>
      <c r="DG100" s="204">
        <f>IFERROR(AVERAGEIF(RD[[#This Row],[WS_Solar1_Max (m/s)]:[IS7_WS_Solar1_Max (m/s)]],"&lt;&gt;0",RD[[#This Row],[WS_Solar1_Max (m/s)]:[IS7_WS_Solar1_Max (m/s)]]),"")</f>
        <v>3.8325</v>
      </c>
      <c r="DH100" s="204">
        <f>SUM(RD[[#This Row],[IS1Inv1M1]:[IS4Inv4M2]])</f>
        <v>175705.4</v>
      </c>
      <c r="DI100" s="205">
        <f>SUM(RD[[#This Row],[IS7Inv1M1]]+RD[[#This Row],[IS7Inv2M1]])</f>
        <v>10459.900000000001</v>
      </c>
      <c r="DJ100" s="204">
        <f>SUM(RD[[#This Row],[IS5Inv1M1]:[IS5Inv2M2]])</f>
        <v>25653.100000000002</v>
      </c>
      <c r="DK100" s="204">
        <f>SUM(RD[[#This Row],[IS8Inv1M1]:[IS9Inv2M2]])</f>
        <v>44738.400000000001</v>
      </c>
      <c r="DL100" s="60">
        <f>SUM(RD[[#This Row],[IS6Inv1M1]:[IS6Inv2M2]])</f>
        <v>21980.1</v>
      </c>
      <c r="DM100" s="51">
        <f>SUM(RD[[#This Row],[IS10Inv1M1]:[IS11Inv1M4]],RD[[#This Row],[IS14Inv1M1]:[IS14Inv2M4]])</f>
        <v>115405.7</v>
      </c>
      <c r="DN100" s="288">
        <f>SUM(RD[[#This Row],[IS12Inv1M1]:[IS12Inv1M4]])</f>
        <v>23759.7</v>
      </c>
      <c r="DO100" s="288">
        <f>SUM(RD[[#This Row],[IS13Inv1M1]:[IS13Inv2M2]])</f>
        <v>26162.3</v>
      </c>
      <c r="DP100" s="204">
        <f>SUM(RD[[#This Row],[O2R15]:[O2R26]])</f>
        <v>443864.6</v>
      </c>
      <c r="DQ100" s="164">
        <v>44893.4</v>
      </c>
      <c r="DR100" s="168">
        <v>227</v>
      </c>
      <c r="DS100" s="164">
        <v>39224.1</v>
      </c>
      <c r="DT100" s="164">
        <v>238.8</v>
      </c>
      <c r="DU100" s="168">
        <v>46271.7</v>
      </c>
      <c r="DV100" s="168">
        <v>442.2</v>
      </c>
      <c r="DW100" s="164">
        <v>10626.4</v>
      </c>
      <c r="DX100" s="168">
        <v>55.6</v>
      </c>
      <c r="DY100" s="168">
        <v>3763.6</v>
      </c>
      <c r="DZ100" s="168">
        <v>18.8</v>
      </c>
      <c r="EA100" s="140">
        <v>106.82</v>
      </c>
      <c r="EB100" s="243">
        <v>148764606</v>
      </c>
      <c r="EC100" s="242">
        <v>1052034.368</v>
      </c>
      <c r="ED100" s="243">
        <v>1263</v>
      </c>
      <c r="EE100" s="243">
        <v>142971</v>
      </c>
      <c r="EF100" s="164">
        <v>206256.7</v>
      </c>
      <c r="EG100" s="164">
        <v>2026.3</v>
      </c>
      <c r="EH100" s="146">
        <f>IF((RD[[#This Row],[33 kV_F3_Ex
Incomer1]]-DQ99)*1000&lt;0,0,(RD[[#This Row],[33 kV_F3_Ex
Incomer1]]-DQ99)*1000)</f>
        <v>88900.000000001455</v>
      </c>
      <c r="EI100" s="146">
        <f>IF((RD[[#This Row],[34 kV_F3_Im
Incomer1]]-DR99)*1000&lt;0,0,(RD[[#This Row],[34 kV_F3_Im
Incomer1]]-DR99)*1000)</f>
        <v>400.00000000000568</v>
      </c>
      <c r="EJ100" s="146">
        <f>IF((RD[[#This Row],[33 kV_F4_Ex
Incomer2]]-DS99)*1000&lt;0,0,(RD[[#This Row],[33 kV_F4_Ex
Incomer2]]-DS99)*1000)</f>
        <v>82299.999999995634</v>
      </c>
      <c r="EK100" s="146">
        <f>IF((RD[[#This Row],[34 kV_F4_Im
Incomer2]]-DT99)*1000&lt;0,0,(RD[[#This Row],[34 kV_F4_Im
Incomer2]]-DT99)*1000)</f>
        <v>300.00000000001137</v>
      </c>
      <c r="EL100" s="146">
        <f>IF((RD[[#This Row],[33 kV_F5_Ex
Incomer3]]-DU99)*1000&lt;0,0,(RD[[#This Row],[33 kV_F5_Ex
Incomer3]]-DU99)*1000)</f>
        <v>102299.99999999563</v>
      </c>
      <c r="EM100" s="146">
        <f>IF((RD[[#This Row],[34 kV_F5_Im
Incomer3]]-DV99)*1000&lt;0,0,(RD[[#This Row],[34 kV_F5_Im
Incomer3]]-DV99)*1000)</f>
        <v>1300.0000000000114</v>
      </c>
      <c r="EN100" s="146">
        <f>IF((RD[[#This Row],[33 kV_F6_Ex
Incomer4]]-DW99)*1000&lt;0,0,(RD[[#This Row],[33 kV_F6_Ex
Incomer4]]-DW99)*1000)</f>
        <v>33600.000000000364</v>
      </c>
      <c r="EO100" s="146">
        <f t="shared" si="166"/>
        <v>300.00000000001137</v>
      </c>
      <c r="EP100" s="146">
        <f>IF((RD[[#This Row],[33 kV_F7_Ex
Incomer5]]-DY99)*1000&lt;0,0,(RD[[#This Row],[33 kV_F7_Ex
Incomer5]]-DY99)*1000)</f>
        <v>110400.00000000009</v>
      </c>
      <c r="EQ100" s="146">
        <f>IF((RD[[#This Row],[33 kV_F7_Im
Incomer5]]-DZ99)*1000&lt;0,0,(RD[[#This Row],[33 kV_F7_Im
Incomer5]]-DZ99)*1000)</f>
        <v>500</v>
      </c>
      <c r="ER100" s="146">
        <f>IF((RD[[#This Row],[33 kV_Aux Trafo]]-EA99)*1000&lt;0,0,(RD[[#This Row],[33 kV_Aux Trafo]]-EA99)*1000)</f>
        <v>250</v>
      </c>
      <c r="ES100" s="158">
        <f>IF((RD[[#This Row],[33kV_OG1_Ex_]]-EB99)*1&lt;0,0,(RD[[#This Row],[33kV_OG1_Ex_]]-EB99)*1)</f>
        <v>439976</v>
      </c>
      <c r="ET100" s="146">
        <f>IF((RD[[#This Row],[33kV_OG1_Im]]-EC99)*1&lt;0,0,(RD[[#This Row],[33kV_OG1_Im]]-EC99)*1)</f>
        <v>2879.6159999999218</v>
      </c>
      <c r="EU100" s="146">
        <f>IF((RD[[#This Row],[132kV_TX1_EX]]-ED99)*720&lt;=0,"",(RD[[#This Row],[132kV_TX1_EX]]-ED99)*720)</f>
        <v>2880</v>
      </c>
      <c r="EV100" s="146">
        <f>IF((RD[[#This Row],[132 kV_Tx1_Im]]-EE99)*720&lt;=0,0,(RD[[#This Row],[132 kV_Tx1_Im]]-EE99)*720)</f>
        <v>315360</v>
      </c>
      <c r="EW100" s="146">
        <f>IF((RD[[#This Row],[132kV_L1_Ex]]-EF99)*720&lt;=0,0,(RD[[#This Row],[132kV_L1_Ex]]-EF99)*720)</f>
        <v>438696.00000001257</v>
      </c>
      <c r="EX100" s="146">
        <f>IF((RD[[#This Row],[132kV_L1_Im]]-EG99)*720&lt;=0,0,(RD[[#This Row],[132kV_L1_Im]]-EG99)*720)</f>
        <v>3384.0000000000327</v>
      </c>
      <c r="EY100" s="244">
        <f>IFERROR(RD[[#This Row],[33kV_OG1_Ex (MWh)]]+RD[[#This Row],[33kV_OG1_Im (MWh)]],"")</f>
        <v>442855.61599999992</v>
      </c>
      <c r="EZ100" s="148">
        <f>RD[[#This Row],[33kV_OG1_Ex (MWh)]]-RD[[#This Row],[33kV_OG1_Im (MWh)]]</f>
        <v>437096.38400000008</v>
      </c>
      <c r="FA100" s="148">
        <f>IFERROR(RD[[#This Row],[132kV_L1_Ex(MWh)]]-RD[[#This Row],[132kV_L1_Im(MWh)]],"")</f>
        <v>435312.00000001251</v>
      </c>
      <c r="FB100" s="55">
        <f>IFERROR(RD[[#This Row],[33kV_Ex(MWh)]]/RD[[#This Row],[Inv Total Gneration (MWh)]]-1,"")</f>
        <v>-2.2731797039008406E-3</v>
      </c>
      <c r="FC100" s="245">
        <f>IFERROR((RD[[#This Row],[Sunset Time (POA&lt;20 W/m2)]]-RD[[#This Row],[Sunrise Time (POA&gt;20 W/m2)]])*24,0)</f>
        <v>12.783333333333333</v>
      </c>
      <c r="FD100" s="246">
        <v>128.08000000000001</v>
      </c>
      <c r="FE100" t="s">
        <v>1287</v>
      </c>
      <c r="FG100" s="144" t="str">
        <f>IFERROR(RD[[#This Row],[E_AC (WPR)]]/RD[[#This Row],[E_DC (WPR)]],"")</f>
        <v/>
      </c>
    </row>
    <row r="101" spans="1:163">
      <c r="A101" s="133">
        <f>A100+1</f>
        <v>45841</v>
      </c>
      <c r="B101" s="138">
        <f>YEAR(RD[[#This Row],[Date]])+IF(MONTH(RD[[#This Row],[Date]])&gt;=4,1,0)</f>
        <v>2026</v>
      </c>
      <c r="C101" s="138">
        <f>YEAR(RD[[#This Row],[Date]])</f>
        <v>2025</v>
      </c>
      <c r="D101" s="139">
        <f>A101-DAY(A101)+1</f>
        <v>45839</v>
      </c>
      <c r="E101" s="138">
        <f>DAY(EOMONTH(RD[[#This Row],[Date]],0))</f>
        <v>31</v>
      </c>
      <c r="F101" s="152">
        <v>0.25069444444444444</v>
      </c>
      <c r="G101" s="162">
        <v>0.77500000000000002</v>
      </c>
      <c r="H101" s="124">
        <v>5427.4</v>
      </c>
      <c r="I101" s="270">
        <v>5441.5</v>
      </c>
      <c r="J101" s="124">
        <v>5060.8999999999996</v>
      </c>
      <c r="K101" s="124">
        <v>5030</v>
      </c>
      <c r="L101" s="124">
        <v>5215.7</v>
      </c>
      <c r="M101" s="124">
        <v>5372.4</v>
      </c>
      <c r="N101" s="124">
        <v>5219</v>
      </c>
      <c r="O101" s="124">
        <v>5751.5</v>
      </c>
      <c r="P101" s="124">
        <v>5363</v>
      </c>
      <c r="Q101" s="124">
        <v>5210.3999999999996</v>
      </c>
      <c r="R101" s="124">
        <v>5365.6</v>
      </c>
      <c r="S101" s="268">
        <v>5455.2</v>
      </c>
      <c r="T101" s="124">
        <v>5613.7</v>
      </c>
      <c r="U101" s="124">
        <v>5383.9</v>
      </c>
      <c r="V101" s="124">
        <v>5537.6</v>
      </c>
      <c r="W101" s="124">
        <v>5322</v>
      </c>
      <c r="X101" s="296">
        <v>7521.7</v>
      </c>
      <c r="Y101" s="203">
        <v>8502.5</v>
      </c>
      <c r="Z101" s="203">
        <v>7297.4</v>
      </c>
      <c r="AA101" s="203">
        <v>7663.6</v>
      </c>
      <c r="AB101" s="296">
        <v>8376.5</v>
      </c>
      <c r="AC101" s="203">
        <v>5074.3999999999996</v>
      </c>
      <c r="AD101" s="203">
        <v>7754.4</v>
      </c>
      <c r="AE101" s="203">
        <v>7916.7</v>
      </c>
      <c r="AF101" s="296">
        <v>7628.2</v>
      </c>
      <c r="AG101" s="203">
        <v>7646.4</v>
      </c>
      <c r="AH101" s="203">
        <v>7609.3</v>
      </c>
      <c r="AI101" s="296">
        <v>7651.2</v>
      </c>
      <c r="AJ101" s="142">
        <v>6712</v>
      </c>
      <c r="AK101" s="142">
        <v>6901</v>
      </c>
      <c r="AL101" s="142">
        <v>6736.1</v>
      </c>
      <c r="AM101" s="142">
        <v>6781.3</v>
      </c>
      <c r="AN101" s="142">
        <v>6802.8</v>
      </c>
      <c r="AO101" s="142">
        <v>6997.9</v>
      </c>
      <c r="AP101" s="142">
        <v>6939.9</v>
      </c>
      <c r="AQ101" s="142">
        <v>6819.2</v>
      </c>
      <c r="AR101" s="142">
        <v>5462.1</v>
      </c>
      <c r="AS101" s="142">
        <v>5518.1</v>
      </c>
      <c r="AT101" s="142">
        <v>5474.7</v>
      </c>
      <c r="AU101" s="142">
        <v>5460.9</v>
      </c>
      <c r="AV101" s="142">
        <v>5522.3</v>
      </c>
      <c r="AW101" s="142">
        <v>5486.7</v>
      </c>
      <c r="AX101" s="142">
        <v>7864.9</v>
      </c>
      <c r="AY101" s="142">
        <v>8866.2000000000007</v>
      </c>
      <c r="AZ101" s="142">
        <v>6484.2</v>
      </c>
      <c r="BA101" s="142">
        <v>7844</v>
      </c>
      <c r="BB101" s="142">
        <v>7598.6</v>
      </c>
      <c r="BC101" s="142">
        <v>7283.7</v>
      </c>
      <c r="BD101" s="142">
        <v>6796.8</v>
      </c>
      <c r="BE101" s="142">
        <v>6480.4</v>
      </c>
      <c r="BF101" s="142">
        <v>8083.6</v>
      </c>
      <c r="BG101" s="142">
        <v>8219.4</v>
      </c>
      <c r="BH101" s="142">
        <v>8099.5</v>
      </c>
      <c r="BI101" s="142">
        <v>8359.4</v>
      </c>
      <c r="BJ101" s="142">
        <v>5464.9</v>
      </c>
      <c r="BK101" s="142">
        <v>4369.3999999999996</v>
      </c>
      <c r="BL101" s="142">
        <v>5294.4</v>
      </c>
      <c r="BM101" s="142">
        <v>5250.4</v>
      </c>
      <c r="BN101" s="142">
        <v>5779.7</v>
      </c>
      <c r="BO101" s="142">
        <v>5562.6</v>
      </c>
      <c r="BP101" s="142">
        <v>6074.5</v>
      </c>
      <c r="BQ101" s="142">
        <v>5960.1</v>
      </c>
      <c r="BR101" s="142">
        <v>6098.2</v>
      </c>
      <c r="BS101" s="142">
        <v>6519</v>
      </c>
      <c r="BT101" s="142">
        <v>6307</v>
      </c>
      <c r="BU101" s="142">
        <v>6786.4</v>
      </c>
      <c r="BV101" s="142">
        <v>5531.1</v>
      </c>
      <c r="BW101" s="142">
        <v>5133.3999999999996</v>
      </c>
      <c r="BX101" s="142">
        <v>4834.1000000000004</v>
      </c>
      <c r="BY101" s="142">
        <v>5445.4</v>
      </c>
      <c r="BZ101" s="142">
        <v>2460.3000000000002</v>
      </c>
      <c r="CA101" s="142">
        <v>722.7</v>
      </c>
      <c r="CB101" s="142">
        <v>5257.1</v>
      </c>
      <c r="CC101" s="142">
        <v>5658.3</v>
      </c>
      <c r="CD101" s="206">
        <v>4.2928790166666699</v>
      </c>
      <c r="CE101" s="59">
        <v>4.1966741166666637</v>
      </c>
      <c r="CF101" s="206">
        <v>3.3767194999999957</v>
      </c>
      <c r="CG101" s="206">
        <v>4.2045044666666636</v>
      </c>
      <c r="CH101" s="206">
        <v>0.46469108333333287</v>
      </c>
      <c r="CI101" s="206">
        <v>0.56213841666666686</v>
      </c>
      <c r="CJ101" s="59">
        <v>0.66393259999999865</v>
      </c>
      <c r="CK101" s="59">
        <v>0.6083719999999998</v>
      </c>
      <c r="CL101" s="206">
        <v>27.519025641025667</v>
      </c>
      <c r="CM101" s="206">
        <v>26.430102564102562</v>
      </c>
      <c r="CN101" s="206">
        <v>38.188204273504276</v>
      </c>
      <c r="CO101" s="206">
        <v>35.419642735042743</v>
      </c>
      <c r="CP101" s="206">
        <v>88.188051282051305</v>
      </c>
      <c r="CQ101" s="206">
        <v>88.84670940170929</v>
      </c>
      <c r="CR101" s="206">
        <v>1.0256410256410248E-2</v>
      </c>
      <c r="CS101" s="59">
        <v>1.0256410256410249E-2</v>
      </c>
      <c r="CT101" s="206">
        <v>0.99770769230769074</v>
      </c>
      <c r="CU101" s="206">
        <v>1.1033974358974363</v>
      </c>
      <c r="CV101" s="206">
        <v>3.3</v>
      </c>
      <c r="CW101" s="260">
        <v>3.339</v>
      </c>
      <c r="CX101" s="204">
        <f>IFERROR(AVERAGEIF(RD[[#This Row],[IS1POA1 (KWh/m2)]:[IS7POA2 (KWh/m2)]],"&lt;&gt;0",RD[[#This Row],[IS1POA1 (KWh/m2)]:[IS7POA2 (KWh/m2)]]),"")</f>
        <v>4.2447765666666673</v>
      </c>
      <c r="CY101" s="204">
        <f>IFERROR(AVERAGEIF(RD[[#This Row],[IS1GHI1 (KWh/m2)]:[IS7GHI2 (KWh/m2)]],"&lt;&gt;0",RD[[#This Row],[IS1GHI1 (KWh/m2)]:[IS7GHI2 (KWh/m2)]]),"")</f>
        <v>3.7906119833333296</v>
      </c>
      <c r="CZ101" s="204">
        <f>IFERROR(AVERAGEIF(RD[[#This Row],[IS1POA_BS1 (KWh/m2)]:[IS7POA_BS2 (KWh/m2)]],"&lt;&gt;0",RD[[#This Row],[IS1POA_BS1 (KWh/m2)]:[IS7POA_BS2 (KWh/m2)]]),"")</f>
        <v>0.51341474999999992</v>
      </c>
      <c r="DA101" s="204">
        <f>IFERROR(AVERAGEIF(RD[[#This Row],[IS1GHI_BS1 (KWh/m2)]:[IS1GHI_BS1 (KWh/m2)2]],"&lt;&gt;0",RD[[#This Row],[IS1GHI_BS1 (KWh/m2)]:[IS1GHI_BS1 (KWh/m2)2]]),"")</f>
        <v>0.63615229999999923</v>
      </c>
      <c r="DB101" s="204">
        <f>IFERROR(AVERAGEIF(RD[[#This Row],[IS1AT1 (°C)]:[IS7AT2 (°C)]],"&lt;&gt;0",RD[[#This Row],[IS1AT1 (°C)]:[IS7AT2 (°C)]]),"")</f>
        <v>26.974564102564116</v>
      </c>
      <c r="DC101" s="204">
        <f>IFERROR(AVERAGEIF(RD[[#This Row],[IS1MT1 (°C)]:[IS7MT2 (°C)]],"&lt;&gt;0",RD[[#This Row],[IS1MT1 (°C)]:[IS7MT2 (°C)]]),"")</f>
        <v>36.803923504273513</v>
      </c>
      <c r="DD101" s="204">
        <f>IFERROR(AVERAGEIF(RD[[#This Row],[IS1RH1 (%)]:[IS7RH2 (%)]],"&lt;&gt;0",RD[[#This Row],[IS1RH1 (%)]:[IS7RH2 (%)]]),"")</f>
        <v>88.517380341880298</v>
      </c>
      <c r="DE101" s="51">
        <f>IFERROR(AVERAGEIF(RD[[#This Row],[IS1Rain1 (mm)]:[IS7Rain2 (mm)]],"&lt;&gt;0",RD[[#This Row],[IS1Rain1 (mm)]:[IS7Rain2 (mm)]]),"")</f>
        <v>1.0256410256410248E-2</v>
      </c>
      <c r="DF101" s="204">
        <f>IFERROR(AVERAGEIF(RD[[#This Row],[WS_Solar1_Avg (m/s)]:[IS7_WS_Solar1_Avg (m/s)]],"&lt;&gt;0",RD[[#This Row],[WS_Solar1_Avg (m/s)]:[IS7_WS_Solar1_Avg (m/s)]]),"")</f>
        <v>1.0505525641025635</v>
      </c>
      <c r="DG101" s="204">
        <f>IFERROR(AVERAGEIF(RD[[#This Row],[WS_Solar1_Max (m/s)]:[IS7_WS_Solar1_Max (m/s)]],"&lt;&gt;0",RD[[#This Row],[WS_Solar1_Max (m/s)]:[IS7_WS_Solar1_Max (m/s)]]),"")</f>
        <v>3.3194999999999997</v>
      </c>
      <c r="DH101" s="204">
        <f>SUM(RD[[#This Row],[IS1Inv1M1]:[IS4Inv4M2]])</f>
        <v>176412.1</v>
      </c>
      <c r="DI101" s="205">
        <f>SUM(RD[[#This Row],[IS7Inv1M1]]+RD[[#This Row],[IS7Inv2M1]])</f>
        <v>10980.2</v>
      </c>
      <c r="DJ101" s="204">
        <f>SUM(RD[[#This Row],[IS5Inv1M1]:[IS5Inv2M2]])</f>
        <v>27130.399999999998</v>
      </c>
      <c r="DK101" s="204">
        <f>SUM(RD[[#This Row],[IS8Inv1M1]:[IS9Inv2M2]])</f>
        <v>53003.899999999994</v>
      </c>
      <c r="DL101" s="60">
        <f>SUM(RD[[#This Row],[IS6Inv1M1]:[IS6Inv2M2]])</f>
        <v>27559.8</v>
      </c>
      <c r="DM101" s="288">
        <f>SUM(RD[[#This Row],[IS10Inv1M1]:[IS11Inv1M4]],RD[[#This Row],[IS14Inv1M1]:[IS14Inv2M4]])</f>
        <v>116342.9</v>
      </c>
      <c r="DN101" s="288">
        <f>SUM(RD[[#This Row],[IS12Inv1M1]:[IS12Inv1M4]])</f>
        <v>23376.9</v>
      </c>
      <c r="DO101" s="288">
        <f>SUM(RD[[#This Row],[IS13Inv1M1]:[IS13Inv2M2]])</f>
        <v>25710.6</v>
      </c>
      <c r="DP101" s="204">
        <f>SUM(RD[[#This Row],[O2R15]:[O2R26]])</f>
        <v>460516.79999999993</v>
      </c>
      <c r="DQ101" s="164">
        <v>44983.6</v>
      </c>
      <c r="DR101" s="168">
        <v>227.4</v>
      </c>
      <c r="DS101" s="164">
        <v>39305.800000000003</v>
      </c>
      <c r="DT101" s="164">
        <v>239.1</v>
      </c>
      <c r="DU101" s="168">
        <v>46389.4</v>
      </c>
      <c r="DV101" s="168">
        <v>443.5</v>
      </c>
      <c r="DW101" s="164">
        <v>10661.1</v>
      </c>
      <c r="DX101" s="168">
        <v>55.8</v>
      </c>
      <c r="DY101" s="168">
        <v>3872.9</v>
      </c>
      <c r="DZ101" s="168">
        <v>19.399999999999999</v>
      </c>
      <c r="EA101" s="140">
        <v>107.05</v>
      </c>
      <c r="EB101" s="243">
        <v>149220737</v>
      </c>
      <c r="EC101" s="242">
        <v>1055073.8559999999</v>
      </c>
      <c r="ED101" s="243">
        <v>1266</v>
      </c>
      <c r="EE101" s="243">
        <v>143425</v>
      </c>
      <c r="EF101" s="164">
        <v>206888.3</v>
      </c>
      <c r="EG101" s="164">
        <v>2031.1</v>
      </c>
      <c r="EH101" s="146">
        <f>IF((RD[[#This Row],[33 kV_F3_Ex
Incomer1]]-DQ100)*1000&lt;0,0,(RD[[#This Row],[33 kV_F3_Ex
Incomer1]]-DQ100)*1000)</f>
        <v>90199.99999999709</v>
      </c>
      <c r="EI101" s="146">
        <f>IF((RD[[#This Row],[34 kV_F3_Im
Incomer1]]-DR100)*1000&lt;0,0,(RD[[#This Row],[34 kV_F3_Im
Incomer1]]-DR100)*1000)</f>
        <v>400.00000000000568</v>
      </c>
      <c r="EJ101" s="146">
        <f>IF((RD[[#This Row],[33 kV_F4_Ex
Incomer2]]-DS100)*1000&lt;0,0,(RD[[#This Row],[33 kV_F4_Ex
Incomer2]]-DS100)*1000)</f>
        <v>81700.000000004366</v>
      </c>
      <c r="EK101" s="146">
        <f>IF((RD[[#This Row],[34 kV_F4_Im
Incomer2]]-DT100)*1000&lt;0,0,(RD[[#This Row],[34 kV_F4_Im
Incomer2]]-DT100)*1000)</f>
        <v>299.99999999998295</v>
      </c>
      <c r="EL101" s="146">
        <f>IF((RD[[#This Row],[33 kV_F5_Ex
Incomer3]]-DU100)*1000&lt;0,0,(RD[[#This Row],[33 kV_F5_Ex
Incomer3]]-DU100)*1000)</f>
        <v>117700.00000000437</v>
      </c>
      <c r="EM101" s="146">
        <f>IF((RD[[#This Row],[34 kV_F5_Im
Incomer3]]-DV100)*1000&lt;0,0,(RD[[#This Row],[34 kV_F5_Im
Incomer3]]-DV100)*1000)</f>
        <v>1300.0000000000114</v>
      </c>
      <c r="EN101" s="146">
        <f>IF((RD[[#This Row],[33 kV_F6_Ex
Incomer4]]-DW100)*1000&lt;0,0,(RD[[#This Row],[33 kV_F6_Ex
Incomer4]]-DW100)*1000)</f>
        <v>34700.000000000728</v>
      </c>
      <c r="EO101" s="146">
        <f t="shared" si="166"/>
        <v>299.99999999998295</v>
      </c>
      <c r="EP101" s="146">
        <f>IF((RD[[#This Row],[33 kV_F7_Ex
Incomer5]]-DY100)*1000&lt;0,0,(RD[[#This Row],[33 kV_F7_Ex
Incomer5]]-DY100)*1000)</f>
        <v>109300.00000000017</v>
      </c>
      <c r="EQ101" s="146">
        <f>IF((RD[[#This Row],[33 kV_F7_Im
Incomer5]]-DZ100)*1000&lt;0,0,(RD[[#This Row],[33 kV_F7_Im
Incomer5]]-DZ100)*1000)</f>
        <v>599.99999999999784</v>
      </c>
      <c r="ER101" s="146">
        <f>IF((RD[[#This Row],[33 kV_Aux Trafo]]-EA100)*1000&lt;0,0,(RD[[#This Row],[33 kV_Aux Trafo]]-EA100)*1000)</f>
        <v>230.00000000000398</v>
      </c>
      <c r="ES101" s="158">
        <f>IF((RD[[#This Row],[33kV_OG1_Ex_]]-EB100)*1&lt;0,0,(RD[[#This Row],[33kV_OG1_Ex_]]-EB100)*1)</f>
        <v>456131</v>
      </c>
      <c r="ET101" s="146">
        <f>IF((RD[[#This Row],[33kV_OG1_Im]]-EC100)*1&lt;0,0,(RD[[#This Row],[33kV_OG1_Im]]-EC100)*1)</f>
        <v>3039.4879999998957</v>
      </c>
      <c r="EU101" s="146">
        <f>IF((RD[[#This Row],[132kV_TX1_EX]]-ED100)*720&lt;=0,"",(RD[[#This Row],[132kV_TX1_EX]]-ED100)*720)</f>
        <v>2160</v>
      </c>
      <c r="EV101" s="146">
        <f>IF((RD[[#This Row],[132 kV_Tx1_Im]]-EE100)*720&lt;=0,0,(RD[[#This Row],[132 kV_Tx1_Im]]-EE100)*720)</f>
        <v>326880</v>
      </c>
      <c r="EW101" s="146">
        <f>IF((RD[[#This Row],[132kV_L1_Ex]]-EF100)*720&lt;=0,0,(RD[[#This Row],[132kV_L1_Ex]]-EF100)*720)</f>
        <v>454751.99999998324</v>
      </c>
      <c r="EX101" s="146">
        <f>IF((RD[[#This Row],[132kV_L1_Im]]-EG100)*720&lt;=0,0,(RD[[#This Row],[132kV_L1_Im]]-EG100)*720)</f>
        <v>3455.9999999999673</v>
      </c>
      <c r="EY101" s="244">
        <f>IFERROR(RD[[#This Row],[33kV_OG1_Ex (MWh)]]+RD[[#This Row],[33kV_OG1_Im (MWh)]],"")</f>
        <v>459170.4879999999</v>
      </c>
      <c r="EZ101" s="148">
        <f>RD[[#This Row],[33kV_OG1_Ex (MWh)]]-RD[[#This Row],[33kV_OG1_Im (MWh)]]</f>
        <v>453091.5120000001</v>
      </c>
      <c r="FA101" s="148">
        <f>IFERROR(RD[[#This Row],[132kV_L1_Ex(MWh)]]-RD[[#This Row],[132kV_L1_Im(MWh)]],"")</f>
        <v>451295.99999998329</v>
      </c>
      <c r="FB101" s="299">
        <f>IFERROR(RD[[#This Row],[33kV_Ex(MWh)]]/RD[[#This Row],[Inv Total Gneration (MWh)]]-1,"")</f>
        <v>-2.9234807503223381E-3</v>
      </c>
      <c r="FC101" s="245">
        <f>IFERROR((RD[[#This Row],[Sunset Time (POA&lt;20 W/m2)]]-RD[[#This Row],[Sunrise Time (POA&gt;20 W/m2)]])*24,0)</f>
        <v>12.583333333333334</v>
      </c>
      <c r="FD101" s="246">
        <v>128.08000000000001</v>
      </c>
      <c r="FE101" s="319" t="s">
        <v>297</v>
      </c>
      <c r="FG101" s="144" t="str">
        <f>IFERROR(RD[[#This Row],[E_AC (WPR)]]/RD[[#This Row],[E_DC (WPR)]],"")</f>
        <v/>
      </c>
    </row>
    <row r="102" spans="1:163">
      <c r="A102" s="133">
        <f>A101+1</f>
        <v>45842</v>
      </c>
      <c r="B102" s="138">
        <f>YEAR(RD[[#This Row],[Date]])+IF(MONTH(RD[[#This Row],[Date]])&gt;=4,1,0)</f>
        <v>2026</v>
      </c>
      <c r="C102" s="138">
        <f>YEAR(RD[[#This Row],[Date]])</f>
        <v>2025</v>
      </c>
      <c r="D102" s="139">
        <f>A102-DAY(A102)+1</f>
        <v>45839</v>
      </c>
      <c r="E102" s="138">
        <f>DAY(EOMONTH(RD[[#This Row],[Date]],0))</f>
        <v>31</v>
      </c>
      <c r="F102" s="152">
        <v>0.25763888888888886</v>
      </c>
      <c r="G102" s="162">
        <v>0.7729166666666667</v>
      </c>
      <c r="H102" s="124">
        <v>4533.8</v>
      </c>
      <c r="I102" s="270">
        <v>4495</v>
      </c>
      <c r="J102" s="124">
        <v>4188.7</v>
      </c>
      <c r="K102" s="124">
        <v>4260.2</v>
      </c>
      <c r="L102" s="124">
        <v>4436.3</v>
      </c>
      <c r="M102" s="124">
        <v>4567.2</v>
      </c>
      <c r="N102" s="124">
        <v>4407.2</v>
      </c>
      <c r="O102" s="124">
        <v>4882</v>
      </c>
      <c r="P102" s="124">
        <v>4464.8</v>
      </c>
      <c r="Q102" s="124">
        <v>4382.3</v>
      </c>
      <c r="R102" s="124">
        <v>4469.8</v>
      </c>
      <c r="S102" s="268">
        <v>4523</v>
      </c>
      <c r="T102" s="124">
        <v>4638.6000000000004</v>
      </c>
      <c r="U102" s="124">
        <v>4436.3</v>
      </c>
      <c r="V102" s="124">
        <v>4589.8999999999996</v>
      </c>
      <c r="W102" s="124">
        <v>4378.8999999999996</v>
      </c>
      <c r="X102" s="296">
        <v>6177.9</v>
      </c>
      <c r="Y102" s="203">
        <v>7001.1</v>
      </c>
      <c r="Z102" s="203">
        <v>6008.3</v>
      </c>
      <c r="AA102" s="203">
        <v>6289.2</v>
      </c>
      <c r="AB102" s="296">
        <v>6733.6</v>
      </c>
      <c r="AC102" s="203">
        <v>4080.5</v>
      </c>
      <c r="AD102" s="203">
        <v>6250.6</v>
      </c>
      <c r="AE102" s="203">
        <v>6399.6</v>
      </c>
      <c r="AF102" s="296">
        <v>6193.8</v>
      </c>
      <c r="AG102" s="203">
        <v>6218</v>
      </c>
      <c r="AH102" s="203">
        <v>6189.1</v>
      </c>
      <c r="AI102" s="296">
        <v>6231.5</v>
      </c>
      <c r="AJ102" s="142">
        <v>5234.3</v>
      </c>
      <c r="AK102" s="142">
        <v>5421.8</v>
      </c>
      <c r="AL102" s="142">
        <v>5328.5</v>
      </c>
      <c r="AM102" s="142">
        <v>5373.1</v>
      </c>
      <c r="AN102" s="142">
        <v>5334.4</v>
      </c>
      <c r="AO102" s="142">
        <v>5524.9</v>
      </c>
      <c r="AP102" s="142">
        <v>5443</v>
      </c>
      <c r="AQ102" s="142">
        <v>5363</v>
      </c>
      <c r="AR102" s="142">
        <v>4300.5</v>
      </c>
      <c r="AS102" s="142">
        <v>4326.8</v>
      </c>
      <c r="AT102" s="142">
        <v>4352.8</v>
      </c>
      <c r="AU102" s="142">
        <v>4313.6000000000004</v>
      </c>
      <c r="AV102" s="142">
        <v>4414.1000000000004</v>
      </c>
      <c r="AW102" s="142">
        <v>4335</v>
      </c>
      <c r="AX102" s="142">
        <v>6152.5</v>
      </c>
      <c r="AY102" s="142">
        <v>6977.5</v>
      </c>
      <c r="AZ102" s="142">
        <v>5027.8999999999996</v>
      </c>
      <c r="BA102" s="142">
        <v>6142.8</v>
      </c>
      <c r="BB102" s="142">
        <v>6296.4</v>
      </c>
      <c r="BC102" s="142">
        <v>6022.9</v>
      </c>
      <c r="BD102" s="142">
        <v>5358.8</v>
      </c>
      <c r="BE102" s="142">
        <v>4255.3</v>
      </c>
      <c r="BF102" s="142">
        <v>6495.8</v>
      </c>
      <c r="BG102" s="142">
        <v>6556.8</v>
      </c>
      <c r="BH102" s="142">
        <v>6416</v>
      </c>
      <c r="BI102" s="142">
        <v>6602</v>
      </c>
      <c r="BJ102" s="142">
        <v>4242</v>
      </c>
      <c r="BK102" s="142">
        <v>3373</v>
      </c>
      <c r="BL102" s="142">
        <v>4070.3</v>
      </c>
      <c r="BM102" s="142">
        <v>4032</v>
      </c>
      <c r="BN102" s="142">
        <v>4505.2</v>
      </c>
      <c r="BO102" s="142">
        <v>4255.8999999999996</v>
      </c>
      <c r="BP102" s="142">
        <v>4726.7</v>
      </c>
      <c r="BQ102" s="142">
        <v>4645.7</v>
      </c>
      <c r="BR102" s="142">
        <v>4668.8</v>
      </c>
      <c r="BS102" s="142">
        <v>5024.6000000000004</v>
      </c>
      <c r="BT102" s="142">
        <v>4880.5</v>
      </c>
      <c r="BU102" s="142">
        <v>5236.3</v>
      </c>
      <c r="BV102" s="142">
        <v>3893.8</v>
      </c>
      <c r="BW102" s="142">
        <v>3919.2</v>
      </c>
      <c r="BX102" s="142">
        <v>3654.3</v>
      </c>
      <c r="BY102" s="142">
        <v>4156.3999999999996</v>
      </c>
      <c r="BZ102" s="142">
        <v>1842.9</v>
      </c>
      <c r="CA102" s="142">
        <v>514.9</v>
      </c>
      <c r="CB102" s="142">
        <v>4010</v>
      </c>
      <c r="CC102" s="142">
        <v>4334.1000000000004</v>
      </c>
      <c r="CD102" s="206">
        <v>3.5620863333333368</v>
      </c>
      <c r="CE102" s="59">
        <v>3.2079110500000034</v>
      </c>
      <c r="CF102" s="206">
        <v>2.7946593166666647</v>
      </c>
      <c r="CG102" s="206">
        <v>3.161724549999998</v>
      </c>
      <c r="CH102" s="206">
        <v>0.37876379999999982</v>
      </c>
      <c r="CI102" s="206">
        <v>0.44181958333333371</v>
      </c>
      <c r="CJ102" s="59">
        <v>0.54607859999999986</v>
      </c>
      <c r="CK102" s="59">
        <v>0.46659758333333429</v>
      </c>
      <c r="CL102" s="206">
        <v>27.093769633507879</v>
      </c>
      <c r="CM102" s="206">
        <v>26.950636998254783</v>
      </c>
      <c r="CN102" s="206">
        <v>37.722714659685835</v>
      </c>
      <c r="CO102" s="206">
        <v>34.79325305410125</v>
      </c>
      <c r="CP102" s="206">
        <v>81.876108202443334</v>
      </c>
      <c r="CQ102" s="206">
        <v>82.892146596858652</v>
      </c>
      <c r="CR102" s="206">
        <v>0</v>
      </c>
      <c r="CS102" s="59">
        <v>0</v>
      </c>
      <c r="CT102" s="206">
        <v>1.2828612565445003</v>
      </c>
      <c r="CU102" s="206">
        <v>1.3027984293193706</v>
      </c>
      <c r="CV102" s="206">
        <v>3.2069999999999999</v>
      </c>
      <c r="CW102" s="260">
        <v>3.2549999999999999</v>
      </c>
      <c r="CX102" s="204">
        <f>IFERROR(AVERAGEIF(RD[[#This Row],[IS1POA1 (KWh/m2)]:[IS7POA2 (KWh/m2)]],"&lt;&gt;0",RD[[#This Row],[IS1POA1 (KWh/m2)]:[IS7POA2 (KWh/m2)]]),"")</f>
        <v>3.3849986916666701</v>
      </c>
      <c r="CY102" s="204">
        <f>IFERROR(AVERAGEIF(RD[[#This Row],[IS1GHI1 (KWh/m2)]:[IS7GHI2 (KWh/m2)]],"&lt;&gt;0",RD[[#This Row],[IS1GHI1 (KWh/m2)]:[IS7GHI2 (KWh/m2)]]),"")</f>
        <v>2.9781919333333313</v>
      </c>
      <c r="CZ102" s="204">
        <f>IFERROR(AVERAGEIF(RD[[#This Row],[IS1POA_BS1 (KWh/m2)]:[IS7POA_BS2 (KWh/m2)]],"&lt;&gt;0",RD[[#This Row],[IS1POA_BS1 (KWh/m2)]:[IS7POA_BS2 (KWh/m2)]]),"")</f>
        <v>0.41029169166666679</v>
      </c>
      <c r="DA102" s="204">
        <f>IFERROR(AVERAGEIF(RD[[#This Row],[IS1GHI_BS1 (KWh/m2)]:[IS1GHI_BS1 (KWh/m2)2]],"&lt;&gt;0",RD[[#This Row],[IS1GHI_BS1 (KWh/m2)]:[IS1GHI_BS1 (KWh/m2)2]]),"")</f>
        <v>0.5063380916666671</v>
      </c>
      <c r="DB102" s="204">
        <f>IFERROR(AVERAGEIF(RD[[#This Row],[IS1AT1 (°C)]:[IS7AT2 (°C)]],"&lt;&gt;0",RD[[#This Row],[IS1AT1 (°C)]:[IS7AT2 (°C)]]),"")</f>
        <v>27.022203315881331</v>
      </c>
      <c r="DC102" s="204">
        <f>IFERROR(AVERAGEIF(RD[[#This Row],[IS1MT1 (°C)]:[IS7MT2 (°C)]],"&lt;&gt;0",RD[[#This Row],[IS1MT1 (°C)]:[IS7MT2 (°C)]]),"")</f>
        <v>36.257983856893546</v>
      </c>
      <c r="DD102" s="204">
        <f>IFERROR(AVERAGEIF(RD[[#This Row],[IS1RH1 (%)]:[IS7RH2 (%)]],"&lt;&gt;0",RD[[#This Row],[IS1RH1 (%)]:[IS7RH2 (%)]]),"")</f>
        <v>82.384127399650993</v>
      </c>
      <c r="DE102" s="51" t="str">
        <f>IFERROR(AVERAGEIF(RD[[#This Row],[IS1Rain1 (mm)]:[IS7Rain2 (mm)]],"&lt;&gt;0",RD[[#This Row],[IS1Rain1 (mm)]:[IS7Rain2 (mm)]]),"")</f>
        <v/>
      </c>
      <c r="DF102" s="204">
        <f>IFERROR(AVERAGEIF(RD[[#This Row],[WS_Solar1_Avg (m/s)]:[IS7_WS_Solar1_Avg (m/s)]],"&lt;&gt;0",RD[[#This Row],[WS_Solar1_Avg (m/s)]:[IS7_WS_Solar1_Avg (m/s)]]),"")</f>
        <v>1.2928298429319356</v>
      </c>
      <c r="DG102" s="204">
        <f>IFERROR(AVERAGEIF(RD[[#This Row],[WS_Solar1_Max (m/s)]:[IS7_WS_Solar1_Max (m/s)]],"&lt;&gt;0",RD[[#This Row],[WS_Solar1_Max (m/s)]:[IS7_WS_Solar1_Max (m/s)]]),"")</f>
        <v>3.2309999999999999</v>
      </c>
      <c r="DH102" s="204">
        <f>SUM(RD[[#This Row],[IS1Inv1M1]:[IS4Inv4M2]])</f>
        <v>145427.20000000004</v>
      </c>
      <c r="DI102" s="205">
        <f>SUM(RD[[#This Row],[IS7Inv1M1]]+RD[[#This Row],[IS7Inv2M1]])</f>
        <v>8627.2999999999993</v>
      </c>
      <c r="DJ102" s="204">
        <f>SUM(RD[[#This Row],[IS5Inv1M1]:[IS5Inv2M2]])</f>
        <v>21357.7</v>
      </c>
      <c r="DK102" s="204">
        <f>SUM(RD[[#This Row],[IS8Inv1M1]:[IS9Inv2M2]])</f>
        <v>41716.200000000004</v>
      </c>
      <c r="DL102" s="60">
        <f>SUM(RD[[#This Row],[IS6Inv1M1]:[IS6Inv2M2]])</f>
        <v>21665.3</v>
      </c>
      <c r="DM102" s="288">
        <f>SUM(RD[[#This Row],[IS10Inv1M1]:[IS11Inv1M4]],RD[[#This Row],[IS14Inv1M1]:[IS14Inv2M4]])</f>
        <v>90046.9</v>
      </c>
      <c r="DN102" s="288">
        <f>SUM(RD[[#This Row],[IS12Inv1M1]:[IS12Inv1M4]])</f>
        <v>18133.5</v>
      </c>
      <c r="DO102" s="288">
        <f>SUM(RD[[#This Row],[IS13Inv1M1]:[IS13Inv2M2]])</f>
        <v>19810.2</v>
      </c>
      <c r="DP102" s="204">
        <f>SUM(RD[[#This Row],[O2R15]:[O2R26]])</f>
        <v>366784.30000000005</v>
      </c>
      <c r="DQ102" s="164">
        <v>45057</v>
      </c>
      <c r="DR102" s="168">
        <v>227.6</v>
      </c>
      <c r="DS102" s="164">
        <v>39374.400000000001</v>
      </c>
      <c r="DT102" s="164">
        <v>239.4</v>
      </c>
      <c r="DU102" s="168">
        <v>46482.3</v>
      </c>
      <c r="DV102" s="168">
        <v>444.7</v>
      </c>
      <c r="DW102" s="164">
        <v>10687.5</v>
      </c>
      <c r="DX102" s="168">
        <v>56</v>
      </c>
      <c r="DY102" s="168">
        <v>3957.7</v>
      </c>
      <c r="DZ102" s="168">
        <v>20</v>
      </c>
      <c r="EA102" s="140">
        <v>107.28</v>
      </c>
      <c r="EB102" s="243">
        <v>149585362</v>
      </c>
      <c r="EC102" s="242">
        <v>1058098.8799999999</v>
      </c>
      <c r="ED102" s="243">
        <v>1270</v>
      </c>
      <c r="EE102" s="243">
        <v>143788</v>
      </c>
      <c r="EF102" s="164">
        <v>207393.3</v>
      </c>
      <c r="EG102" s="164">
        <v>2036.1</v>
      </c>
      <c r="EH102" s="146">
        <f>IF((RD[[#This Row],[33 kV_F3_Ex
Incomer1]]-DQ101)*1000&lt;0,0,(RD[[#This Row],[33 kV_F3_Ex
Incomer1]]-DQ101)*1000)</f>
        <v>73400.000000001455</v>
      </c>
      <c r="EI102" s="146">
        <f>IF((RD[[#This Row],[34 kV_F3_Im
Incomer1]]-DR101)*1000&lt;0,0,(RD[[#This Row],[34 kV_F3_Im
Incomer1]]-DR101)*1000)</f>
        <v>199.99999999998863</v>
      </c>
      <c r="EJ102" s="146">
        <f>IF((RD[[#This Row],[33 kV_F4_Ex
Incomer2]]-DS101)*1000&lt;0,0,(RD[[#This Row],[33 kV_F4_Ex
Incomer2]]-DS101)*1000)</f>
        <v>68599.999999998545</v>
      </c>
      <c r="EK102" s="146">
        <f>IF((RD[[#This Row],[34 kV_F4_Im
Incomer2]]-DT101)*1000&lt;0,0,(RD[[#This Row],[34 kV_F4_Im
Incomer2]]-DT101)*1000)</f>
        <v>300.00000000001137</v>
      </c>
      <c r="EL102" s="146">
        <f>IF((RD[[#This Row],[33 kV_F5_Ex
Incomer3]]-DU101)*1000&lt;0,0,(RD[[#This Row],[33 kV_F5_Ex
Incomer3]]-DU101)*1000)</f>
        <v>92900.000000001455</v>
      </c>
      <c r="EM102" s="146">
        <f>IF((RD[[#This Row],[34 kV_F5_Im
Incomer3]]-DV101)*1000&lt;0,0,(RD[[#This Row],[34 kV_F5_Im
Incomer3]]-DV101)*1000)</f>
        <v>1199.9999999999886</v>
      </c>
      <c r="EN102" s="146">
        <f>IF((RD[[#This Row],[33 kV_F6_Ex
Incomer4]]-DW101)*1000&lt;0,0,(RD[[#This Row],[33 kV_F6_Ex
Incomer4]]-DW101)*1000)</f>
        <v>26399.999999999636</v>
      </c>
      <c r="EO102" s="146">
        <f t="shared" si="166"/>
        <v>400.00000000000568</v>
      </c>
      <c r="EP102" s="146">
        <f>IF((RD[[#This Row],[33 kV_F7_Ex
Incomer5]]-DY101)*1000&lt;0,0,(RD[[#This Row],[33 kV_F7_Ex
Incomer5]]-DY101)*1000)</f>
        <v>84799.999999999724</v>
      </c>
      <c r="EQ102" s="146">
        <f>IF((RD[[#This Row],[33 kV_F7_Im
Incomer5]]-DZ101)*1000&lt;0,0,(RD[[#This Row],[33 kV_F7_Im
Incomer5]]-DZ101)*1000)</f>
        <v>600.00000000000136</v>
      </c>
      <c r="ER102" s="146">
        <f>IF((RD[[#This Row],[33 kV_Aux Trafo]]-EA101)*1000&lt;0,0,(RD[[#This Row],[33 kV_Aux Trafo]]-EA101)*1000)</f>
        <v>230.00000000000398</v>
      </c>
      <c r="ES102" s="158">
        <f>IF((RD[[#This Row],[33kV_OG1_Ex_]]-EB101)*1&lt;0,0,(RD[[#This Row],[33kV_OG1_Ex_]]-EB101)*1)</f>
        <v>364625</v>
      </c>
      <c r="ET102" s="146">
        <f>IF((RD[[#This Row],[33kV_OG1_Im]]-EC101)*1&lt;0,0,(RD[[#This Row],[33kV_OG1_Im]]-EC101)*1)</f>
        <v>3025.0239999999758</v>
      </c>
      <c r="EU102" s="146">
        <f>IF((RD[[#This Row],[132kV_TX1_EX]]-ED101)*720&lt;=0,"",(RD[[#This Row],[132kV_TX1_EX]]-ED101)*720)</f>
        <v>2880</v>
      </c>
      <c r="EV102" s="146">
        <f>IF((RD[[#This Row],[132 kV_Tx1_Im]]-EE101)*720&lt;=0,0,(RD[[#This Row],[132 kV_Tx1_Im]]-EE101)*720)</f>
        <v>261360</v>
      </c>
      <c r="EW102" s="146">
        <f>IF((RD[[#This Row],[132kV_L1_Ex]]-EF101)*720&lt;=0,0,(RD[[#This Row],[132kV_L1_Ex]]-EF101)*720)</f>
        <v>363600</v>
      </c>
      <c r="EX102" s="146">
        <f>IF((RD[[#This Row],[132kV_L1_Im]]-EG101)*720&lt;=0,0,(RD[[#This Row],[132kV_L1_Im]]-EG101)*720)</f>
        <v>3600</v>
      </c>
      <c r="EY102" s="244">
        <f>IFERROR(RD[[#This Row],[33kV_OG1_Ex (MWh)]]+RD[[#This Row],[33kV_OG1_Im (MWh)]],"")</f>
        <v>367650.02399999998</v>
      </c>
      <c r="EZ102" s="148">
        <f>RD[[#This Row],[33kV_OG1_Ex (MWh)]]-RD[[#This Row],[33kV_OG1_Im (MWh)]]</f>
        <v>361599.97600000002</v>
      </c>
      <c r="FA102" s="148">
        <f>IFERROR(RD[[#This Row],[132kV_L1_Ex(MWh)]]-RD[[#This Row],[132kV_L1_Im(MWh)]],"")</f>
        <v>360000</v>
      </c>
      <c r="FB102" s="299">
        <f>IFERROR(RD[[#This Row],[33kV_Ex(MWh)]]/RD[[#This Row],[Inv Total Gneration (MWh)]]-1,"")</f>
        <v>2.3603082247520835E-3</v>
      </c>
      <c r="FC102" s="245">
        <f>IFERROR((RD[[#This Row],[Sunset Time (POA&lt;20 W/m2)]]-RD[[#This Row],[Sunrise Time (POA&gt;20 W/m2)]])*24,0)</f>
        <v>12.366666666666667</v>
      </c>
      <c r="FD102" s="246">
        <v>128.08000000000001</v>
      </c>
      <c r="FE102" s="339" t="s">
        <v>1294</v>
      </c>
      <c r="FG102" s="144" t="str">
        <f>IFERROR(RD[[#This Row],[E_AC (WPR)]]/RD[[#This Row],[E_DC (WPR)]],"")</f>
        <v/>
      </c>
    </row>
    <row r="103" spans="1:163">
      <c r="A103" s="133">
        <f t="shared" ref="A103:A135" si="167">A102+1</f>
        <v>45843</v>
      </c>
      <c r="B103" s="138">
        <f>YEAR(RD[[#This Row],[Date]])+IF(MONTH(RD[[#This Row],[Date]])&gt;=4,1,0)</f>
        <v>2026</v>
      </c>
      <c r="C103" s="138">
        <f>YEAR(RD[[#This Row],[Date]])</f>
        <v>2025</v>
      </c>
      <c r="D103" s="139">
        <f t="shared" ref="D103:D104" si="168">A103-DAY(A103)+1</f>
        <v>45839</v>
      </c>
      <c r="E103" s="138">
        <f>DAY(EOMONTH(RD[[#This Row],[Date]],0))</f>
        <v>31</v>
      </c>
      <c r="F103" s="152">
        <v>0.25486111111111109</v>
      </c>
      <c r="G103" s="162">
        <v>0.77361111111111114</v>
      </c>
      <c r="H103" s="124">
        <v>4028.3</v>
      </c>
      <c r="I103" s="270">
        <v>4039.9</v>
      </c>
      <c r="J103" s="124">
        <v>3756.2</v>
      </c>
      <c r="K103" s="124">
        <v>3699.1</v>
      </c>
      <c r="L103" s="124">
        <v>3824.1</v>
      </c>
      <c r="M103" s="124">
        <v>3968.7</v>
      </c>
      <c r="N103" s="124">
        <v>3874.4</v>
      </c>
      <c r="O103" s="124">
        <v>4242.5</v>
      </c>
      <c r="P103" s="124">
        <v>3974</v>
      </c>
      <c r="Q103" s="124">
        <v>3842.2</v>
      </c>
      <c r="R103" s="124">
        <v>3933.2</v>
      </c>
      <c r="S103" s="268">
        <v>4014.3</v>
      </c>
      <c r="T103" s="124">
        <v>4127.1000000000004</v>
      </c>
      <c r="U103" s="124">
        <v>3928.6</v>
      </c>
      <c r="V103" s="124">
        <v>4081.6</v>
      </c>
      <c r="W103" s="124">
        <v>3940.2</v>
      </c>
      <c r="X103" s="296">
        <v>5103.1000000000004</v>
      </c>
      <c r="Y103" s="203">
        <v>5767</v>
      </c>
      <c r="Z103" s="203">
        <v>4976.2</v>
      </c>
      <c r="AA103" s="203">
        <v>5221.8999999999996</v>
      </c>
      <c r="AB103" s="296">
        <v>6028.1</v>
      </c>
      <c r="AC103" s="203">
        <v>3631.9</v>
      </c>
      <c r="AD103" s="203">
        <v>5563.1</v>
      </c>
      <c r="AE103" s="203">
        <v>5648.3</v>
      </c>
      <c r="AF103" s="296">
        <v>3587</v>
      </c>
      <c r="AG103" s="203">
        <v>3588</v>
      </c>
      <c r="AH103" s="203">
        <v>5509.6</v>
      </c>
      <c r="AI103" s="296">
        <v>5523.9</v>
      </c>
      <c r="AJ103" s="142">
        <v>4559.3</v>
      </c>
      <c r="AK103" s="142">
        <v>4708.8999999999996</v>
      </c>
      <c r="AL103" s="142">
        <v>4645.3</v>
      </c>
      <c r="AM103" s="142">
        <v>4681</v>
      </c>
      <c r="AN103" s="142">
        <v>4682.3999999999996</v>
      </c>
      <c r="AO103" s="142">
        <v>4864.8999999999996</v>
      </c>
      <c r="AP103" s="142">
        <v>4793.8</v>
      </c>
      <c r="AQ103" s="142">
        <v>4744.8</v>
      </c>
      <c r="AR103" s="142">
        <v>3780.8</v>
      </c>
      <c r="AS103" s="142">
        <v>3806.8</v>
      </c>
      <c r="AT103" s="142">
        <v>3807.3</v>
      </c>
      <c r="AU103" s="142">
        <v>3764</v>
      </c>
      <c r="AV103" s="142">
        <v>3859.9</v>
      </c>
      <c r="AW103" s="142">
        <v>3804.7</v>
      </c>
      <c r="AX103" s="142">
        <v>5446.2</v>
      </c>
      <c r="AY103" s="142">
        <v>6226.6</v>
      </c>
      <c r="AZ103" s="142">
        <v>4512.2</v>
      </c>
      <c r="BA103" s="142">
        <v>5498</v>
      </c>
      <c r="BB103" s="142">
        <v>5431.3</v>
      </c>
      <c r="BC103" s="142">
        <v>5230.8999999999996</v>
      </c>
      <c r="BD103" s="142">
        <v>2216.1</v>
      </c>
      <c r="BE103" s="142">
        <v>16</v>
      </c>
      <c r="BF103" s="142">
        <v>5805.2</v>
      </c>
      <c r="BG103" s="142">
        <v>5781.5</v>
      </c>
      <c r="BH103" s="142">
        <v>5793.2</v>
      </c>
      <c r="BI103" s="142">
        <v>5970.3</v>
      </c>
      <c r="BJ103" s="142">
        <v>3878.1</v>
      </c>
      <c r="BK103" s="142">
        <v>3091.9</v>
      </c>
      <c r="BL103" s="142">
        <v>3744.3</v>
      </c>
      <c r="BM103" s="142">
        <v>3715.4</v>
      </c>
      <c r="BN103" s="142">
        <v>4074</v>
      </c>
      <c r="BO103" s="142">
        <v>3922.6</v>
      </c>
      <c r="BP103" s="142">
        <v>4280.3999999999996</v>
      </c>
      <c r="BQ103" s="142">
        <v>4204.1000000000004</v>
      </c>
      <c r="BR103" s="142">
        <v>4313.3</v>
      </c>
      <c r="BS103" s="142">
        <v>4653.3999999999996</v>
      </c>
      <c r="BT103" s="142">
        <v>4530</v>
      </c>
      <c r="BU103" s="142">
        <v>4815</v>
      </c>
      <c r="BV103" s="203">
        <v>3815.9</v>
      </c>
      <c r="BW103" s="203">
        <v>3522.8</v>
      </c>
      <c r="BX103" s="203">
        <v>3248.7</v>
      </c>
      <c r="BY103" s="203">
        <v>3711.1</v>
      </c>
      <c r="BZ103" s="142">
        <v>1651.5</v>
      </c>
      <c r="CA103" s="142">
        <v>473.2</v>
      </c>
      <c r="CB103" s="142">
        <v>3634</v>
      </c>
      <c r="CC103" s="142">
        <v>3936.8</v>
      </c>
      <c r="CD103" s="206">
        <v>3.248289999999999</v>
      </c>
      <c r="CE103" s="59">
        <v>2.9168935666666678</v>
      </c>
      <c r="CF103" s="206">
        <v>2.5364738999999976</v>
      </c>
      <c r="CG103" s="206">
        <v>2.9056410499999989</v>
      </c>
      <c r="CH103" s="206">
        <v>0.35943033333333274</v>
      </c>
      <c r="CI103" s="206">
        <v>0.4003850499999998</v>
      </c>
      <c r="CJ103" s="59">
        <v>0.48949196666666683</v>
      </c>
      <c r="CK103" s="59">
        <v>0.42564515000000014</v>
      </c>
      <c r="CL103" s="206">
        <v>26.795273338940333</v>
      </c>
      <c r="CM103" s="206">
        <v>26.039108494533266</v>
      </c>
      <c r="CN103" s="206">
        <v>36.167381833473499</v>
      </c>
      <c r="CO103" s="206">
        <v>33.540737594617298</v>
      </c>
      <c r="CP103" s="206">
        <v>90.042220353237923</v>
      </c>
      <c r="CQ103" s="206">
        <v>89.661690496215371</v>
      </c>
      <c r="CR103" s="206">
        <v>0.65601345668629418</v>
      </c>
      <c r="CS103" s="59">
        <v>0.68363330529857158</v>
      </c>
      <c r="CT103" s="206">
        <v>0.94824474348191679</v>
      </c>
      <c r="CU103" s="206">
        <v>1.0150193439865434</v>
      </c>
      <c r="CV103" s="206">
        <v>3.99</v>
      </c>
      <c r="CW103" s="260">
        <v>4.6710000000000003</v>
      </c>
      <c r="CX103" s="204">
        <f>IFERROR(AVERAGEIF(RD[[#This Row],[IS1POA1 (KWh/m2)]:[IS7POA2 (KWh/m2)]],"&lt;&gt;0",RD[[#This Row],[IS1POA1 (KWh/m2)]:[IS7POA2 (KWh/m2)]]),"")</f>
        <v>3.0825917833333332</v>
      </c>
      <c r="CY103" s="204">
        <f>IFERROR(AVERAGEIF(RD[[#This Row],[IS1GHI1 (KWh/m2)]:[IS7GHI2 (KWh/m2)]],"&lt;&gt;0",RD[[#This Row],[IS1GHI1 (KWh/m2)]:[IS7GHI2 (KWh/m2)]]),"")</f>
        <v>2.7210574749999985</v>
      </c>
      <c r="CZ103" s="204">
        <f>IFERROR(AVERAGEIF(RD[[#This Row],[IS1POA_BS1 (KWh/m2)]:[IS7POA_BS2 (KWh/m2)]],"&lt;&gt;0",RD[[#This Row],[IS1POA_BS1 (KWh/m2)]:[IS7POA_BS2 (KWh/m2)]]),"")</f>
        <v>0.37990769166666627</v>
      </c>
      <c r="DA103" s="204">
        <f>IFERROR(AVERAGEIF(RD[[#This Row],[IS1GHI_BS1 (KWh/m2)]:[IS1GHI_BS1 (KWh/m2)2]],"&lt;&gt;0",RD[[#This Row],[IS1GHI_BS1 (KWh/m2)]:[IS1GHI_BS1 (KWh/m2)2]]),"")</f>
        <v>0.45756855833333349</v>
      </c>
      <c r="DB103" s="204">
        <f>IFERROR(AVERAGEIF(RD[[#This Row],[IS1AT1 (°C)]:[IS7AT2 (°C)]],"&lt;&gt;0",RD[[#This Row],[IS1AT1 (°C)]:[IS7AT2 (°C)]]),"")</f>
        <v>26.4171909167368</v>
      </c>
      <c r="DC103" s="204">
        <f>IFERROR(AVERAGEIF(RD[[#This Row],[IS1MT1 (°C)]:[IS7MT2 (°C)]],"&lt;&gt;0",RD[[#This Row],[IS1MT1 (°C)]:[IS7MT2 (°C)]]),"")</f>
        <v>34.854059714045398</v>
      </c>
      <c r="DD103" s="204">
        <f>IFERROR(AVERAGEIF(RD[[#This Row],[IS1RH1 (%)]:[IS7RH2 (%)]],"&lt;&gt;0",RD[[#This Row],[IS1RH1 (%)]:[IS7RH2 (%)]]),"")</f>
        <v>89.85195542472664</v>
      </c>
      <c r="DE103" s="204">
        <f>IFERROR(AVERAGEIF(RD[[#This Row],[IS1Rain1 (mm)]:[IS7Rain2 (mm)]],"&lt;&gt;0",RD[[#This Row],[IS1Rain1 (mm)]:[IS7Rain2 (mm)]]),"")</f>
        <v>0.66982338099243288</v>
      </c>
      <c r="DF103" s="204">
        <f>IFERROR(AVERAGEIF(RD[[#This Row],[WS_Solar1_Avg (m/s)]:[IS7_WS_Solar1_Avg (m/s)]],"&lt;&gt;0",RD[[#This Row],[WS_Solar1_Avg (m/s)]:[IS7_WS_Solar1_Avg (m/s)]]),"")</f>
        <v>0.98163204373423008</v>
      </c>
      <c r="DG103" s="204">
        <f>IFERROR(AVERAGEIF(RD[[#This Row],[WS_Solar1_Max (m/s)]:[IS7_WS_Solar1_Max (m/s)]],"&lt;&gt;0",RD[[#This Row],[WS_Solar1_Max (m/s)]:[IS7_WS_Solar1_Max (m/s)]]),"")</f>
        <v>4.3305000000000007</v>
      </c>
      <c r="DH103" s="204">
        <f>SUM(RD[[#This Row],[IS1Inv1M1]:[IS4Inv4M2]])</f>
        <v>123422.5</v>
      </c>
      <c r="DI103" s="205">
        <f>SUM(RD[[#This Row],[IS7Inv1M1]]+RD[[#This Row],[IS7Inv2M1]])</f>
        <v>7587.6</v>
      </c>
      <c r="DJ103" s="204">
        <f>SUM(RD[[#This Row],[IS5Inv1M1]:[IS5Inv2M2]])</f>
        <v>18594.5</v>
      </c>
      <c r="DK103" s="204">
        <f>SUM(RD[[#This Row],[IS8Inv1M1]:[IS9Inv2M2]])</f>
        <v>36918.900000000009</v>
      </c>
      <c r="DL103" s="60">
        <f>SUM(RD[[#This Row],[IS6Inv1M1]:[IS6Inv2M2]])</f>
        <v>19085.899999999998</v>
      </c>
      <c r="DM103" s="288">
        <f>SUM(RD[[#This Row],[IS10Inv1M1]:[IS11Inv1M4]],RD[[#This Row],[IS14Inv1M1]:[IS14Inv2M4]])</f>
        <v>74668.200000000012</v>
      </c>
      <c r="DN103" s="288">
        <f>SUM(RD[[#This Row],[IS12Inv1M1]:[IS12Inv1M4]])</f>
        <v>16481.099999999999</v>
      </c>
      <c r="DO103" s="288">
        <f>SUM(RD[[#This Row],[IS13Inv1M1]:[IS13Inv2M2]])</f>
        <v>18311.7</v>
      </c>
      <c r="DP103" s="204">
        <f>SUM(RD[[#This Row],[O2R15]:[O2R26]])</f>
        <v>315070.39999999997</v>
      </c>
      <c r="DQ103" s="164">
        <v>45117</v>
      </c>
      <c r="DR103" s="168">
        <v>228</v>
      </c>
      <c r="DS103" s="164">
        <v>39435</v>
      </c>
      <c r="DT103" s="164">
        <v>239.8</v>
      </c>
      <c r="DU103" s="168">
        <v>46563.9</v>
      </c>
      <c r="DV103" s="168">
        <v>446.1</v>
      </c>
      <c r="DW103" s="164">
        <v>10711.4</v>
      </c>
      <c r="DX103" s="168">
        <v>56.1</v>
      </c>
      <c r="DY103" s="168">
        <v>4028.7</v>
      </c>
      <c r="DZ103" s="168">
        <v>20.399999999999999</v>
      </c>
      <c r="EA103" s="140">
        <v>107.53</v>
      </c>
      <c r="EB103" s="243">
        <v>149898346</v>
      </c>
      <c r="EC103" s="242">
        <v>1061085.3759999999</v>
      </c>
      <c r="ED103" s="243">
        <v>1274</v>
      </c>
      <c r="EE103" s="243">
        <v>144100</v>
      </c>
      <c r="EF103" s="164">
        <v>207826.6</v>
      </c>
      <c r="EG103" s="164">
        <v>2040.9</v>
      </c>
      <c r="EH103" s="146">
        <f>IF((RD[[#This Row],[33 kV_F3_Ex
Incomer1]]-DQ102)*1000&lt;0,0,(RD[[#This Row],[33 kV_F3_Ex
Incomer1]]-DQ102)*1000)</f>
        <v>60000</v>
      </c>
      <c r="EI103" s="146">
        <f>IF((RD[[#This Row],[34 kV_F3_Im
Incomer1]]-DR102)*1000&lt;0,0,(RD[[#This Row],[34 kV_F3_Im
Incomer1]]-DR102)*1000)</f>
        <v>400.00000000000568</v>
      </c>
      <c r="EJ103" s="146">
        <f>IF((RD[[#This Row],[33 kV_F4_Ex
Incomer2]]-DS102)*1000&lt;0,0,(RD[[#This Row],[33 kV_F4_Ex
Incomer2]]-DS102)*1000)</f>
        <v>60599.999999998545</v>
      </c>
      <c r="EK103" s="146">
        <f>IF((RD[[#This Row],[34 kV_F4_Im
Incomer2]]-DT102)*1000&lt;0,0,(RD[[#This Row],[34 kV_F4_Im
Incomer2]]-DT102)*1000)</f>
        <v>400.00000000000568</v>
      </c>
      <c r="EL103" s="146">
        <f>IF((RD[[#This Row],[33 kV_F5_Ex
Incomer3]]-DU102)*1000&lt;0,0,(RD[[#This Row],[33 kV_F5_Ex
Incomer3]]-DU102)*1000)</f>
        <v>81599.999999998545</v>
      </c>
      <c r="EM103" s="146">
        <f>IF((RD[[#This Row],[34 kV_F5_Im
Incomer3]]-DV102)*1000&lt;0,0,(RD[[#This Row],[34 kV_F5_Im
Incomer3]]-DV102)*1000)</f>
        <v>1400.0000000000341</v>
      </c>
      <c r="EN103" s="146">
        <f>IF((RD[[#This Row],[33 kV_F6_Ex
Incomer4]]-DW102)*1000&lt;0,0,(RD[[#This Row],[33 kV_F6_Ex
Incomer4]]-DW102)*1000)</f>
        <v>23899.999999999636</v>
      </c>
      <c r="EO103" s="146">
        <f t="shared" si="166"/>
        <v>300.00000000001137</v>
      </c>
      <c r="EP103" s="146">
        <f>IF((RD[[#This Row],[33 kV_F7_Ex
Incomer5]]-DY102)*1000&lt;0,0,(RD[[#This Row],[33 kV_F7_Ex
Incomer5]]-DY102)*1000)</f>
        <v>71000</v>
      </c>
      <c r="EQ103" s="146">
        <f>IF((RD[[#This Row],[33 kV_F7_Im
Incomer5]]-DZ102)*1000&lt;0,0,(RD[[#This Row],[33 kV_F7_Im
Incomer5]]-DZ102)*1000)</f>
        <v>399.99999999999858</v>
      </c>
      <c r="ER103" s="146">
        <f>IF((RD[[#This Row],[33 kV_Aux Trafo]]-EA102)*1000&lt;0,0,(RD[[#This Row],[33 kV_Aux Trafo]]-EA102)*1000)</f>
        <v>250</v>
      </c>
      <c r="ES103" s="158">
        <f>IF((RD[[#This Row],[33kV_OG1_Ex_]]-EB102)*1&lt;0,0,(RD[[#This Row],[33kV_OG1_Ex_]]-EB102)*1)</f>
        <v>312984</v>
      </c>
      <c r="ET103" s="146">
        <f>IF((RD[[#This Row],[33kV_OG1_Im]]-EC102)*1&lt;0,0,(RD[[#This Row],[33kV_OG1_Im]]-EC102)*1)</f>
        <v>2986.4960000000428</v>
      </c>
      <c r="EU103" s="146">
        <f>IF((RD[[#This Row],[132kV_TX1_EX]]-ED102)*720&lt;=0,"",(RD[[#This Row],[132kV_TX1_EX]]-ED102)*720)</f>
        <v>2880</v>
      </c>
      <c r="EV103" s="146">
        <f>IF((RD[[#This Row],[132 kV_Tx1_Im]]-EE102)*720&lt;=0,0,(RD[[#This Row],[132 kV_Tx1_Im]]-EE102)*720)</f>
        <v>224640</v>
      </c>
      <c r="EW103" s="146">
        <f>IF((RD[[#This Row],[132kV_L1_Ex]]-EF102)*720&lt;=0,0,(RD[[#This Row],[132kV_L1_Ex]]-EF102)*720)</f>
        <v>311976.00000001257</v>
      </c>
      <c r="EX103" s="146">
        <f>IF((RD[[#This Row],[132kV_L1_Im]]-EG102)*720&lt;=0,0,(RD[[#This Row],[132kV_L1_Im]]-EG102)*720)</f>
        <v>3456.000000000131</v>
      </c>
      <c r="EY103" s="244">
        <f>IFERROR(RD[[#This Row],[33kV_OG1_Ex (MWh)]]+RD[[#This Row],[33kV_OG1_Im (MWh)]],"")</f>
        <v>315970.49600000004</v>
      </c>
      <c r="EZ103" s="148">
        <f>RD[[#This Row],[33kV_OG1_Ex (MWh)]]-RD[[#This Row],[33kV_OG1_Im (MWh)]]</f>
        <v>309997.50399999996</v>
      </c>
      <c r="FA103" s="148">
        <f>IFERROR(RD[[#This Row],[132kV_L1_Ex(MWh)]]-RD[[#This Row],[132kV_L1_Im(MWh)]],"")</f>
        <v>308520.00000001246</v>
      </c>
      <c r="FB103" s="299">
        <f>IFERROR(RD[[#This Row],[33kV_Ex(MWh)]]/RD[[#This Row],[Inv Total Gneration (MWh)]]-1,"")</f>
        <v>2.8568091448770705E-3</v>
      </c>
      <c r="FC103" s="245">
        <f>IFERROR((RD[[#This Row],[Sunset Time (POA&lt;20 W/m2)]]-RD[[#This Row],[Sunrise Time (POA&gt;20 W/m2)]])*24,0)</f>
        <v>12.450000000000001</v>
      </c>
      <c r="FD103" s="246">
        <v>128.08000000000001</v>
      </c>
      <c r="FE103" s="339" t="s">
        <v>1301</v>
      </c>
      <c r="FG103" s="144" t="str">
        <f>IFERROR(RD[[#This Row],[E_AC (WPR)]]/RD[[#This Row],[E_DC (WPR)]],"")</f>
        <v/>
      </c>
    </row>
    <row r="104" spans="1:163">
      <c r="A104" s="133">
        <f t="shared" si="167"/>
        <v>45844</v>
      </c>
      <c r="B104" s="138">
        <f>YEAR(RD[[#This Row],[Date]])+IF(MONTH(RD[[#This Row],[Date]])&gt;=4,1,0)</f>
        <v>2026</v>
      </c>
      <c r="C104" s="138">
        <f>YEAR(RD[[#This Row],[Date]])</f>
        <v>2025</v>
      </c>
      <c r="D104" s="139">
        <f t="shared" si="168"/>
        <v>45839</v>
      </c>
      <c r="E104" s="138">
        <f>DAY(EOMONTH(RD[[#This Row],[Date]],0))</f>
        <v>31</v>
      </c>
      <c r="F104" s="152">
        <v>0.25972222222222224</v>
      </c>
      <c r="G104" s="162">
        <v>0.78541666666666665</v>
      </c>
      <c r="H104" s="124">
        <v>3791.9</v>
      </c>
      <c r="I104" s="270">
        <v>3770</v>
      </c>
      <c r="J104" s="124">
        <v>3530.3</v>
      </c>
      <c r="K104" s="124">
        <v>3577.4</v>
      </c>
      <c r="L104" s="124">
        <v>3733</v>
      </c>
      <c r="M104" s="124">
        <v>3844.4</v>
      </c>
      <c r="N104" s="124">
        <v>3692.9</v>
      </c>
      <c r="O104" s="124">
        <v>4065.6</v>
      </c>
      <c r="P104" s="124">
        <v>3719.7</v>
      </c>
      <c r="Q104" s="124">
        <v>3672.8</v>
      </c>
      <c r="R104" s="124">
        <v>3732.6</v>
      </c>
      <c r="S104" s="268">
        <v>3767.8</v>
      </c>
      <c r="T104" s="124">
        <v>3864.7</v>
      </c>
      <c r="U104" s="124">
        <v>3692.6</v>
      </c>
      <c r="V104" s="124">
        <v>3843</v>
      </c>
      <c r="W104" s="124">
        <v>3675.3</v>
      </c>
      <c r="X104" s="296">
        <v>5205.7</v>
      </c>
      <c r="Y104" s="203">
        <v>5851.8</v>
      </c>
      <c r="Z104" s="203">
        <v>5077.5</v>
      </c>
      <c r="AA104" s="203">
        <v>5300.9</v>
      </c>
      <c r="AB104" s="296">
        <v>5606.6</v>
      </c>
      <c r="AC104" s="203">
        <v>3397.7</v>
      </c>
      <c r="AD104" s="203">
        <v>5212.3</v>
      </c>
      <c r="AE104" s="203">
        <v>5352.7</v>
      </c>
      <c r="AF104" s="296">
        <v>5133</v>
      </c>
      <c r="AG104" s="203">
        <v>5164</v>
      </c>
      <c r="AH104" s="203">
        <v>5166</v>
      </c>
      <c r="AI104" s="296">
        <v>5206.3999999999996</v>
      </c>
      <c r="AJ104" s="142">
        <v>4434.2</v>
      </c>
      <c r="AK104" s="142">
        <v>4574.8</v>
      </c>
      <c r="AL104" s="142">
        <v>4497.1000000000004</v>
      </c>
      <c r="AM104" s="142">
        <v>4554.1000000000004</v>
      </c>
      <c r="AN104" s="142">
        <v>4511.8</v>
      </c>
      <c r="AO104" s="142">
        <v>4664.5</v>
      </c>
      <c r="AP104" s="142">
        <v>4585.1000000000004</v>
      </c>
      <c r="AQ104" s="142">
        <v>4541.8</v>
      </c>
      <c r="AR104" s="142">
        <v>3610</v>
      </c>
      <c r="AS104" s="142">
        <v>3637.3</v>
      </c>
      <c r="AT104" s="142">
        <v>3654.3</v>
      </c>
      <c r="AU104" s="142">
        <v>3638.3</v>
      </c>
      <c r="AV104" s="142">
        <v>3720.7</v>
      </c>
      <c r="AW104" s="142">
        <v>3658.6</v>
      </c>
      <c r="AX104" s="142">
        <v>5187.3999999999996</v>
      </c>
      <c r="AY104" s="142">
        <v>5825.4</v>
      </c>
      <c r="AZ104" s="142">
        <v>4200.3</v>
      </c>
      <c r="BA104" s="142">
        <v>5133.7</v>
      </c>
      <c r="BB104" s="142">
        <v>4369.5</v>
      </c>
      <c r="BC104" s="142">
        <v>4215.1000000000004</v>
      </c>
      <c r="BD104" s="142">
        <v>2622.1</v>
      </c>
      <c r="BE104" s="142">
        <v>35.200000000000003</v>
      </c>
      <c r="BF104" s="142">
        <v>5354.1</v>
      </c>
      <c r="BG104" s="142">
        <v>5404.3</v>
      </c>
      <c r="BH104" s="142">
        <v>5281.1</v>
      </c>
      <c r="BI104" s="142">
        <v>5463.9</v>
      </c>
      <c r="BJ104" s="142">
        <v>3510.7</v>
      </c>
      <c r="BK104" s="142">
        <v>2786.7</v>
      </c>
      <c r="BL104" s="142">
        <v>3356.3</v>
      </c>
      <c r="BM104" s="142">
        <v>3336.3</v>
      </c>
      <c r="BN104" s="142">
        <v>3668.1</v>
      </c>
      <c r="BO104" s="142">
        <v>3511.1</v>
      </c>
      <c r="BP104" s="142">
        <v>3863.5</v>
      </c>
      <c r="BQ104" s="142">
        <v>3790.9</v>
      </c>
      <c r="BR104" s="142">
        <v>3929</v>
      </c>
      <c r="BS104" s="142">
        <v>4202</v>
      </c>
      <c r="BT104" s="142">
        <v>3779</v>
      </c>
      <c r="BU104" s="142">
        <v>4348</v>
      </c>
      <c r="BV104" s="203">
        <v>3550.8</v>
      </c>
      <c r="BW104" s="203">
        <v>3253.5</v>
      </c>
      <c r="BX104" s="203">
        <v>3044.4</v>
      </c>
      <c r="BY104" s="203">
        <v>3449</v>
      </c>
      <c r="BZ104" s="142">
        <v>1520.5</v>
      </c>
      <c r="CA104" s="142">
        <v>416.3</v>
      </c>
      <c r="CB104" s="142">
        <v>3337.2</v>
      </c>
      <c r="CC104" s="142">
        <v>3628.7</v>
      </c>
      <c r="CD104" s="206">
        <v>3.0486908833333359</v>
      </c>
      <c r="CE104" s="59">
        <v>2.7096137666666618</v>
      </c>
      <c r="CF104" s="206">
        <v>2.3901515999999994</v>
      </c>
      <c r="CG104" s="206">
        <v>2.7175706999999951</v>
      </c>
      <c r="CH104" s="206">
        <v>0.38685048333333283</v>
      </c>
      <c r="CI104" s="206">
        <v>0.35228378333333327</v>
      </c>
      <c r="CJ104" s="59">
        <v>0.44734640000000037</v>
      </c>
      <c r="CK104" s="59">
        <v>0.37498316666666731</v>
      </c>
      <c r="CL104" s="206">
        <v>26.194365012615545</v>
      </c>
      <c r="CM104" s="206">
        <v>25.654583683767843</v>
      </c>
      <c r="CN104" s="206">
        <v>35.214893187552526</v>
      </c>
      <c r="CO104" s="206">
        <v>32.237786375105124</v>
      </c>
      <c r="CP104" s="206">
        <v>91.322624053826758</v>
      </c>
      <c r="CQ104" s="206">
        <v>90.898141295206074</v>
      </c>
      <c r="CR104" s="206">
        <v>0.40370058873002573</v>
      </c>
      <c r="CS104" s="59">
        <v>0.2926829268292675</v>
      </c>
      <c r="CT104" s="206">
        <v>1.169439865433137</v>
      </c>
      <c r="CU104" s="206">
        <v>1.2872119428090827</v>
      </c>
      <c r="CV104" s="206">
        <v>3.726</v>
      </c>
      <c r="CW104" s="260">
        <v>3.492</v>
      </c>
      <c r="CX104" s="204">
        <f>IFERROR(AVERAGEIF(RD[[#This Row],[IS1POA1 (KWh/m2)]:[IS7POA2 (KWh/m2)]],"&lt;&gt;0",RD[[#This Row],[IS1POA1 (KWh/m2)]:[IS7POA2 (KWh/m2)]]),"")</f>
        <v>2.8791523249999988</v>
      </c>
      <c r="CY104" s="204">
        <f>IFERROR(AVERAGEIF(RD[[#This Row],[IS1GHI1 (KWh/m2)]:[IS7GHI2 (KWh/m2)]],"&lt;&gt;0",RD[[#This Row],[IS1GHI1 (KWh/m2)]:[IS7GHI2 (KWh/m2)]]),"")</f>
        <v>2.5538611499999972</v>
      </c>
      <c r="CZ104" s="204">
        <f>IFERROR(AVERAGEIF(RD[[#This Row],[IS1POA_BS1 (KWh/m2)]:[IS7POA_BS2 (KWh/m2)]],"&lt;&gt;0",RD[[#This Row],[IS1POA_BS1 (KWh/m2)]:[IS7POA_BS2 (KWh/m2)]]),"")</f>
        <v>0.36956713333333302</v>
      </c>
      <c r="DA104" s="204">
        <f>IFERROR(AVERAGEIF(RD[[#This Row],[IS1GHI_BS1 (KWh/m2)]:[IS1GHI_BS1 (KWh/m2)2]],"&lt;&gt;0",RD[[#This Row],[IS1GHI_BS1 (KWh/m2)]:[IS1GHI_BS1 (KWh/m2)2]]),"")</f>
        <v>0.41116478333333384</v>
      </c>
      <c r="DB104" s="204">
        <f>IFERROR(AVERAGEIF(RD[[#This Row],[IS1AT1 (°C)]:[IS7AT2 (°C)]],"&lt;&gt;0",RD[[#This Row],[IS1AT1 (°C)]:[IS7AT2 (°C)]]),"")</f>
        <v>25.924474348191694</v>
      </c>
      <c r="DC104" s="204">
        <f>IFERROR(AVERAGEIF(RD[[#This Row],[IS1MT1 (°C)]:[IS7MT2 (°C)]],"&lt;&gt;0",RD[[#This Row],[IS1MT1 (°C)]:[IS7MT2 (°C)]]),"")</f>
        <v>33.726339781328825</v>
      </c>
      <c r="DD104" s="204">
        <f>IFERROR(AVERAGEIF(RD[[#This Row],[IS1RH1 (%)]:[IS7RH2 (%)]],"&lt;&gt;0",RD[[#This Row],[IS1RH1 (%)]:[IS7RH2 (%)]]),"")</f>
        <v>91.110382674516416</v>
      </c>
      <c r="DE104" s="204">
        <f>IFERROR(AVERAGEIF(RD[[#This Row],[IS1Rain1 (mm)]:[IS7Rain2 (mm)]],"&lt;&gt;0",RD[[#This Row],[IS1Rain1 (mm)]:[IS7Rain2 (mm)]]),"")</f>
        <v>0.34819175777964662</v>
      </c>
      <c r="DF104" s="204">
        <f>IFERROR(AVERAGEIF(RD[[#This Row],[WS_Solar1_Avg (m/s)]:[IS7_WS_Solar1_Avg (m/s)]],"&lt;&gt;0",RD[[#This Row],[WS_Solar1_Avg (m/s)]:[IS7_WS_Solar1_Avg (m/s)]]),"")</f>
        <v>1.2283259041211099</v>
      </c>
      <c r="DG104" s="204">
        <f>IFERROR(AVERAGEIF(RD[[#This Row],[WS_Solar1_Max (m/s)]:[IS7_WS_Solar1_Max (m/s)]],"&lt;&gt;0",RD[[#This Row],[WS_Solar1_Max (m/s)]:[IS7_WS_Solar1_Max (m/s)]]),"")</f>
        <v>3.609</v>
      </c>
      <c r="DH104" s="204">
        <f>SUM(RD[[#This Row],[IS1Inv1M1]:[IS4Inv4M2]])</f>
        <v>121648.59999999999</v>
      </c>
      <c r="DI104" s="205">
        <f>SUM(RD[[#This Row],[IS7Inv1M1]]+RD[[#This Row],[IS7Inv2M1]])</f>
        <v>7247.3</v>
      </c>
      <c r="DJ104" s="204">
        <f>SUM(RD[[#This Row],[IS5Inv1M1]:[IS5Inv2M2]])</f>
        <v>18060.2</v>
      </c>
      <c r="DK104" s="204">
        <f>SUM(RD[[#This Row],[IS8Inv1M1]:[IS9Inv2M2]])</f>
        <v>35018.699999999997</v>
      </c>
      <c r="DL104" s="60">
        <f>SUM(RD[[#This Row],[IS6Inv1M1]:[IS6Inv2M2]])</f>
        <v>18303.2</v>
      </c>
      <c r="DM104" s="288">
        <f>SUM(RD[[#This Row],[IS10Inv1M1]:[IS11Inv1M4]],RD[[#This Row],[IS14Inv1M1]:[IS14Inv2M4]])</f>
        <v>67935.700000000012</v>
      </c>
      <c r="DN104" s="288">
        <f>SUM(RD[[#This Row],[IS12Inv1M1]:[IS12Inv1M4]])</f>
        <v>14833.6</v>
      </c>
      <c r="DO104" s="288">
        <f>SUM(RD[[#This Row],[IS13Inv1M1]:[IS13Inv2M2]])</f>
        <v>16258</v>
      </c>
      <c r="DP104" s="204">
        <f>SUM(RD[[#This Row],[O2R15]:[O2R26]])</f>
        <v>299305.3</v>
      </c>
      <c r="DQ104" s="164">
        <v>45178.3</v>
      </c>
      <c r="DR104" s="168">
        <v>228.1</v>
      </c>
      <c r="DS104" s="164">
        <v>39492.6</v>
      </c>
      <c r="DT104" s="164">
        <v>240.1</v>
      </c>
      <c r="DU104" s="168">
        <v>46642.1</v>
      </c>
      <c r="DV104" s="168">
        <v>447.4</v>
      </c>
      <c r="DW104" s="164">
        <v>10733.7</v>
      </c>
      <c r="DX104" s="168">
        <v>56.4</v>
      </c>
      <c r="DY104" s="168">
        <v>4092.2</v>
      </c>
      <c r="DZ104" s="168">
        <v>21.1</v>
      </c>
      <c r="EA104" s="140">
        <v>107.76</v>
      </c>
      <c r="EB104" s="243">
        <v>150196191</v>
      </c>
      <c r="EC104" s="242">
        <v>1064151.6159999999</v>
      </c>
      <c r="ED104" s="243">
        <v>1277</v>
      </c>
      <c r="EE104" s="243">
        <v>144397</v>
      </c>
      <c r="EF104" s="164">
        <v>208239</v>
      </c>
      <c r="EG104" s="164">
        <v>2045.9</v>
      </c>
      <c r="EH104" s="146">
        <f>IF((RD[[#This Row],[33 kV_F3_Ex
Incomer1]]-DQ103)*1000&lt;0,0,(RD[[#This Row],[33 kV_F3_Ex
Incomer1]]-DQ103)*1000)</f>
        <v>61300.00000000291</v>
      </c>
      <c r="EI104" s="146">
        <f>IF((RD[[#This Row],[34 kV_F3_Im
Incomer1]]-DR103)*1000&lt;0,0,(RD[[#This Row],[34 kV_F3_Im
Incomer1]]-DR103)*1000)</f>
        <v>99.999999999994316</v>
      </c>
      <c r="EJ104" s="146">
        <f>IF((RD[[#This Row],[33 kV_F4_Ex
Incomer2]]-DS103)*1000&lt;0,0,(RD[[#This Row],[33 kV_F4_Ex
Incomer2]]-DS103)*1000)</f>
        <v>57599.999999998545</v>
      </c>
      <c r="EK104" s="146">
        <f>IF((RD[[#This Row],[34 kV_F4_Im
Incomer2]]-DT103)*1000&lt;0,0,(RD[[#This Row],[34 kV_F4_Im
Incomer2]]-DT103)*1000)</f>
        <v>299.99999999998295</v>
      </c>
      <c r="EL104" s="146">
        <f>IF((RD[[#This Row],[33 kV_F5_Ex
Incomer3]]-DU103)*1000&lt;0,0,(RD[[#This Row],[33 kV_F5_Ex
Incomer3]]-DU103)*1000)</f>
        <v>78199.99999999709</v>
      </c>
      <c r="EM104" s="146">
        <f>IF((RD[[#This Row],[34 kV_F5_Im
Incomer3]]-DV103)*1000&lt;0,0,(RD[[#This Row],[34 kV_F5_Im
Incomer3]]-DV103)*1000)</f>
        <v>1299.9999999999545</v>
      </c>
      <c r="EN104" s="146">
        <f>IF((RD[[#This Row],[33 kV_F6_Ex
Incomer4]]-DW103)*1000&lt;0,0,(RD[[#This Row],[33 kV_F6_Ex
Incomer4]]-DW103)*1000)</f>
        <v>22300.000000001091</v>
      </c>
      <c r="EO104" s="146">
        <f t="shared" si="166"/>
        <v>299.99999999998295</v>
      </c>
      <c r="EP104" s="146">
        <f>IF((RD[[#This Row],[33 kV_F7_Ex
Incomer5]]-DY103)*1000&lt;0,0,(RD[[#This Row],[33 kV_F7_Ex
Incomer5]]-DY103)*1000)</f>
        <v>63500</v>
      </c>
      <c r="EQ104" s="146">
        <f>IF((RD[[#This Row],[33 kV_F7_Im
Incomer5]]-DZ103)*1000&lt;0,0,(RD[[#This Row],[33 kV_F7_Im
Incomer5]]-DZ103)*1000)</f>
        <v>700.00000000000284</v>
      </c>
      <c r="ER104" s="146">
        <f>IF((RD[[#This Row],[33 kV_Aux Trafo]]-EA103)*1000&lt;0,0,(RD[[#This Row],[33 kV_Aux Trafo]]-EA103)*1000)</f>
        <v>230.00000000000398</v>
      </c>
      <c r="ES104" s="158">
        <f>IF((RD[[#This Row],[33kV_OG1_Ex_]]-EB103)*1&lt;0,0,(RD[[#This Row],[33kV_OG1_Ex_]]-EB103)*1)</f>
        <v>297845</v>
      </c>
      <c r="ET104" s="146">
        <f>IF((RD[[#This Row],[33kV_OG1_Im]]-EC103)*1&lt;0,0,(RD[[#This Row],[33kV_OG1_Im]]-EC103)*1)</f>
        <v>3066.2399999999907</v>
      </c>
      <c r="EU104" s="146">
        <f>IF((RD[[#This Row],[132kV_TX1_EX]]-ED103)*720&lt;=0,"",(RD[[#This Row],[132kV_TX1_EX]]-ED103)*720)</f>
        <v>2160</v>
      </c>
      <c r="EV104" s="146">
        <f>IF((RD[[#This Row],[132 kV_Tx1_Im]]-EE103)*720&lt;=0,0,(RD[[#This Row],[132 kV_Tx1_Im]]-EE103)*720)</f>
        <v>213840</v>
      </c>
      <c r="EW104" s="146">
        <f>IF((RD[[#This Row],[132kV_L1_Ex]]-EF103)*720&lt;=0,0,(RD[[#This Row],[132kV_L1_Ex]]-EF103)*720)</f>
        <v>296927.99999999581</v>
      </c>
      <c r="EX104" s="146">
        <f>IF((RD[[#This Row],[132kV_L1_Im]]-EG103)*720&lt;=0,0,(RD[[#This Row],[132kV_L1_Im]]-EG103)*720)</f>
        <v>3600</v>
      </c>
      <c r="EY104" s="244">
        <f>IFERROR(RD[[#This Row],[33kV_OG1_Ex (MWh)]]+RD[[#This Row],[33kV_OG1_Im (MWh)]],"")</f>
        <v>300911.24</v>
      </c>
      <c r="EZ104" s="148">
        <f>RD[[#This Row],[33kV_OG1_Ex (MWh)]]-RD[[#This Row],[33kV_OG1_Im (MWh)]]</f>
        <v>294778.76</v>
      </c>
      <c r="FA104" s="148">
        <f>IFERROR(RD[[#This Row],[132kV_L1_Ex(MWh)]]-RD[[#This Row],[132kV_L1_Im(MWh)]],"")</f>
        <v>293327.99999999581</v>
      </c>
      <c r="FB104" s="299">
        <f>IFERROR(RD[[#This Row],[33kV_Ex(MWh)]]/RD[[#This Row],[Inv Total Gneration (MWh)]]-1,"")</f>
        <v>5.3655581775531314E-3</v>
      </c>
      <c r="FC104" s="245">
        <f>IFERROR((RD[[#This Row],[Sunset Time (POA&lt;20 W/m2)]]-RD[[#This Row],[Sunrise Time (POA&gt;20 W/m2)]])*24,0)</f>
        <v>12.616666666666667</v>
      </c>
      <c r="FD104" s="246">
        <v>128.08000000000001</v>
      </c>
      <c r="FE104" s="340" t="s">
        <v>1302</v>
      </c>
      <c r="FG104" s="144" t="str">
        <f>IFERROR(RD[[#This Row],[E_AC (WPR)]]/RD[[#This Row],[E_DC (WPR)]],"")</f>
        <v/>
      </c>
    </row>
    <row r="105" spans="1:163">
      <c r="A105" s="133">
        <f t="shared" si="167"/>
        <v>45845</v>
      </c>
      <c r="B105" s="138">
        <f>YEAR(RD[[#This Row],[Date]])+IF(MONTH(RD[[#This Row],[Date]])&gt;=4,1,0)</f>
        <v>2026</v>
      </c>
      <c r="C105" s="138">
        <f>YEAR(RD[[#This Row],[Date]])</f>
        <v>2025</v>
      </c>
      <c r="D105" s="139">
        <f t="shared" ref="D105:D120" si="169">A105-DAY(A105)+1</f>
        <v>45839</v>
      </c>
      <c r="E105" s="138">
        <f>DAY(EOMONTH(RD[[#This Row],[Date]],0))</f>
        <v>31</v>
      </c>
      <c r="F105" s="152">
        <v>0.26180555555555557</v>
      </c>
      <c r="G105" s="162">
        <v>0.76736111111111116</v>
      </c>
      <c r="H105" s="124">
        <v>2482.1999999999998</v>
      </c>
      <c r="I105" s="270">
        <v>2469.8000000000002</v>
      </c>
      <c r="J105" s="124">
        <v>2297.1</v>
      </c>
      <c r="K105" s="124">
        <v>2299.3000000000002</v>
      </c>
      <c r="L105" s="124">
        <v>2391.8000000000002</v>
      </c>
      <c r="M105" s="124">
        <v>2476.3000000000002</v>
      </c>
      <c r="N105" s="124">
        <v>2389.3000000000002</v>
      </c>
      <c r="O105" s="124">
        <v>2663.7</v>
      </c>
      <c r="P105" s="124">
        <v>2444.1</v>
      </c>
      <c r="Q105" s="124">
        <v>2387</v>
      </c>
      <c r="R105" s="124">
        <v>2426.8000000000002</v>
      </c>
      <c r="S105" s="268">
        <v>2467</v>
      </c>
      <c r="T105" s="124">
        <v>2527.5</v>
      </c>
      <c r="U105" s="124">
        <v>2416.6999999999998</v>
      </c>
      <c r="V105" s="124">
        <v>2511.5</v>
      </c>
      <c r="W105" s="124">
        <v>2410.4</v>
      </c>
      <c r="X105" s="296">
        <v>3466.8</v>
      </c>
      <c r="Y105" s="203">
        <v>3946.3</v>
      </c>
      <c r="Z105" s="203">
        <v>3386</v>
      </c>
      <c r="AA105" s="203">
        <v>3547.9</v>
      </c>
      <c r="AB105" s="296">
        <v>3753.5</v>
      </c>
      <c r="AC105" s="203">
        <v>2253</v>
      </c>
      <c r="AD105" s="203">
        <v>3465.2</v>
      </c>
      <c r="AE105" s="203">
        <v>3542</v>
      </c>
      <c r="AF105" s="296">
        <v>3431.8</v>
      </c>
      <c r="AG105" s="203">
        <v>3470</v>
      </c>
      <c r="AH105" s="203">
        <v>3450.5</v>
      </c>
      <c r="AI105" s="296">
        <v>3463.6</v>
      </c>
      <c r="AJ105" s="142">
        <v>2805.2</v>
      </c>
      <c r="AK105" s="142">
        <v>2906.6</v>
      </c>
      <c r="AL105" s="142">
        <v>2862.5</v>
      </c>
      <c r="AM105" s="142">
        <v>2894.6</v>
      </c>
      <c r="AN105" s="142">
        <v>2864</v>
      </c>
      <c r="AO105" s="142">
        <v>2970.1</v>
      </c>
      <c r="AP105" s="142">
        <v>2870</v>
      </c>
      <c r="AQ105" s="142">
        <v>2623.5</v>
      </c>
      <c r="AR105" s="142">
        <v>2249.3000000000002</v>
      </c>
      <c r="AS105" s="142">
        <v>2266.6999999999998</v>
      </c>
      <c r="AT105" s="142">
        <v>2280.3000000000002</v>
      </c>
      <c r="AU105" s="142">
        <v>2267.1999999999998</v>
      </c>
      <c r="AV105" s="142">
        <v>2314.8000000000002</v>
      </c>
      <c r="AW105" s="142">
        <v>2279.6999999999998</v>
      </c>
      <c r="AX105" s="142">
        <v>3284.5</v>
      </c>
      <c r="AY105" s="142">
        <v>3722.3</v>
      </c>
      <c r="AZ105" s="142">
        <v>2689.4</v>
      </c>
      <c r="BA105" s="142">
        <v>3313.1</v>
      </c>
      <c r="BB105" s="142">
        <v>2103.1999999999998</v>
      </c>
      <c r="BC105" s="142">
        <v>2042.7</v>
      </c>
      <c r="BD105" s="142">
        <v>3009.9</v>
      </c>
      <c r="BE105" s="142">
        <v>2649.8</v>
      </c>
      <c r="BF105" s="142">
        <v>3579.8</v>
      </c>
      <c r="BG105" s="142">
        <v>3626.5</v>
      </c>
      <c r="BH105" s="142">
        <v>3564.6</v>
      </c>
      <c r="BI105" s="142">
        <v>3680.2</v>
      </c>
      <c r="BJ105" s="142">
        <v>2303</v>
      </c>
      <c r="BK105" s="142">
        <v>1809.6</v>
      </c>
      <c r="BL105" s="142">
        <v>2211.1999999999998</v>
      </c>
      <c r="BM105" s="142">
        <v>2189</v>
      </c>
      <c r="BN105" s="142">
        <v>2422</v>
      </c>
      <c r="BO105" s="142">
        <v>2314.1999999999998</v>
      </c>
      <c r="BP105" s="142">
        <v>2554.1</v>
      </c>
      <c r="BQ105" s="142">
        <v>2509.6999999999998</v>
      </c>
      <c r="BR105" s="142">
        <v>2666.7</v>
      </c>
      <c r="BS105" s="142">
        <v>2795.3</v>
      </c>
      <c r="BT105" s="142">
        <v>2626.5</v>
      </c>
      <c r="BU105" s="142">
        <v>2891.5</v>
      </c>
      <c r="BV105" s="203">
        <v>2280.3000000000002</v>
      </c>
      <c r="BW105" s="203">
        <v>2097.1</v>
      </c>
      <c r="BX105" s="203">
        <v>1930.9</v>
      </c>
      <c r="BY105" s="203">
        <v>2216.3000000000002</v>
      </c>
      <c r="BZ105" s="142">
        <v>936.1</v>
      </c>
      <c r="CA105" s="142">
        <v>216.4</v>
      </c>
      <c r="CB105" s="142">
        <v>2152.6</v>
      </c>
      <c r="CC105" s="142">
        <v>2361.8000000000002</v>
      </c>
      <c r="CD105" s="206">
        <v>1.9084033333333337</v>
      </c>
      <c r="CE105" s="59">
        <v>1.6489465500000007</v>
      </c>
      <c r="CF105" s="206">
        <v>1.4900097666666678</v>
      </c>
      <c r="CG105" s="206">
        <v>1.6391193166666682</v>
      </c>
      <c r="CH105" s="206">
        <v>0.21210819999999969</v>
      </c>
      <c r="CI105" s="206">
        <v>0.22248483333333341</v>
      </c>
      <c r="CJ105" s="59">
        <v>0.27281226666666675</v>
      </c>
      <c r="CK105" s="59">
        <v>0.22528365000000006</v>
      </c>
      <c r="CL105" s="206">
        <v>25.368085106382903</v>
      </c>
      <c r="CM105" s="206">
        <v>24.821165957446755</v>
      </c>
      <c r="CN105" s="206">
        <v>32.547451063829762</v>
      </c>
      <c r="CO105" s="206">
        <v>29.848922553191532</v>
      </c>
      <c r="CP105" s="206">
        <v>95.533276595744624</v>
      </c>
      <c r="CQ105" s="206">
        <v>93.538093617021318</v>
      </c>
      <c r="CR105" s="206">
        <v>0.44782978723404454</v>
      </c>
      <c r="CS105" s="59">
        <v>0.4289361702127657</v>
      </c>
      <c r="CT105" s="206">
        <v>1.1847804255319161</v>
      </c>
      <c r="CU105" s="206">
        <v>1.3317063829787223</v>
      </c>
      <c r="CV105" s="206">
        <v>2.8860000000000001</v>
      </c>
      <c r="CW105" s="260">
        <v>3.528</v>
      </c>
      <c r="CX105" s="204">
        <f>IFERROR(AVERAGEIF(RD[[#This Row],[IS1POA1 (KWh/m2)]:[IS7POA2 (KWh/m2)]],"&lt;&gt;0",RD[[#This Row],[IS1POA1 (KWh/m2)]:[IS7POA2 (KWh/m2)]]),"")</f>
        <v>1.7786749416666672</v>
      </c>
      <c r="CY105" s="204">
        <f>IFERROR(AVERAGEIF(RD[[#This Row],[IS1GHI1 (KWh/m2)]:[IS7GHI2 (KWh/m2)]],"&lt;&gt;0",RD[[#This Row],[IS1GHI1 (KWh/m2)]:[IS7GHI2 (KWh/m2)]]),"")</f>
        <v>1.564564541666668</v>
      </c>
      <c r="CZ105" s="204">
        <f>IFERROR(AVERAGEIF(RD[[#This Row],[IS1POA_BS1 (KWh/m2)]:[IS7POA_BS2 (KWh/m2)]],"&lt;&gt;0",RD[[#This Row],[IS1POA_BS1 (KWh/m2)]:[IS7POA_BS2 (KWh/m2)]]),"")</f>
        <v>0.21729651666666655</v>
      </c>
      <c r="DA105" s="204">
        <f>IFERROR(AVERAGEIF(RD[[#This Row],[IS1GHI_BS1 (KWh/m2)]:[IS1GHI_BS1 (KWh/m2)2]],"&lt;&gt;0",RD[[#This Row],[IS1GHI_BS1 (KWh/m2)]:[IS1GHI_BS1 (KWh/m2)2]]),"")</f>
        <v>0.2490479583333334</v>
      </c>
      <c r="DB105" s="204">
        <f>IFERROR(AVERAGEIF(RD[[#This Row],[IS1AT1 (°C)]:[IS7AT2 (°C)]],"&lt;&gt;0",RD[[#This Row],[IS1AT1 (°C)]:[IS7AT2 (°C)]]),"")</f>
        <v>25.094625531914829</v>
      </c>
      <c r="DC105" s="204">
        <f>IFERROR(AVERAGEIF(RD[[#This Row],[IS1MT1 (°C)]:[IS7MT2 (°C)]],"&lt;&gt;0",RD[[#This Row],[IS1MT1 (°C)]:[IS7MT2 (°C)]]),"")</f>
        <v>31.198186808510648</v>
      </c>
      <c r="DD105" s="204">
        <f>IFERROR(AVERAGEIF(RD[[#This Row],[IS1RH1 (%)]:[IS7RH2 (%)]],"&lt;&gt;0",RD[[#This Row],[IS1RH1 (%)]:[IS7RH2 (%)]]),"")</f>
        <v>94.535685106382971</v>
      </c>
      <c r="DE105" s="204">
        <f>IFERROR(AVERAGEIF(RD[[#This Row],[IS1Rain1 (mm)]:[IS7Rain2 (mm)]],"&lt;&gt;0",RD[[#This Row],[IS1Rain1 (mm)]:[IS7Rain2 (mm)]]),"")</f>
        <v>0.43838297872340515</v>
      </c>
      <c r="DF105" s="204">
        <f>IFERROR(AVERAGEIF(RD[[#This Row],[WS_Solar1_Avg (m/s)]:[IS7_WS_Solar1_Avg (m/s)]],"&lt;&gt;0",RD[[#This Row],[WS_Solar1_Avg (m/s)]:[IS7_WS_Solar1_Avg (m/s)]]),"")</f>
        <v>1.2582434042553192</v>
      </c>
      <c r="DG105" s="204">
        <f>IFERROR(AVERAGEIF(RD[[#This Row],[WS_Solar1_Max (m/s)]:[IS7_WS_Solar1_Max (m/s)]],"&lt;&gt;0",RD[[#This Row],[WS_Solar1_Max (m/s)]:[IS7_WS_Solar1_Max (m/s)]]),"")</f>
        <v>3.2069999999999999</v>
      </c>
      <c r="DH105" s="204">
        <f>SUM(RD[[#This Row],[IS1Inv1M1]:[IS4Inv4M2]])</f>
        <v>80237.10000000002</v>
      </c>
      <c r="DI105" s="205">
        <f>SUM(RD[[#This Row],[IS7Inv1M1]]+RD[[#This Row],[IS7Inv2M1]])</f>
        <v>4516</v>
      </c>
      <c r="DJ105" s="204">
        <f>SUM(RD[[#This Row],[IS5Inv1M1]:[IS5Inv2M2]])</f>
        <v>11468.9</v>
      </c>
      <c r="DK105" s="204">
        <f>SUM(RD[[#This Row],[IS8Inv1M1]:[IS9Inv2M2]])</f>
        <v>22151.3</v>
      </c>
      <c r="DL105" s="60">
        <f>SUM(RD[[#This Row],[IS6Inv1M1]:[IS6Inv2M2]])</f>
        <v>11327.6</v>
      </c>
      <c r="DM105" s="288">
        <f>SUM(RD[[#This Row],[IS10Inv1M1]:[IS11Inv1M4]],RD[[#This Row],[IS14Inv1M1]:[IS14Inv2M4]])</f>
        <v>46961.000000000007</v>
      </c>
      <c r="DN105" s="288">
        <f>SUM(RD[[#This Row],[IS12Inv1M1]:[IS12Inv1M4]])</f>
        <v>9800</v>
      </c>
      <c r="DO105" s="288">
        <f>SUM(RD[[#This Row],[IS13Inv1M1]:[IS13Inv2M2]])</f>
        <v>10980</v>
      </c>
      <c r="DP105" s="204">
        <f>SUM(RD[[#This Row],[O2R15]:[O2R26]])</f>
        <v>197441.90000000002</v>
      </c>
      <c r="DQ105" s="164">
        <v>45219.199999999997</v>
      </c>
      <c r="DR105" s="168">
        <v>228.5</v>
      </c>
      <c r="DS105" s="164">
        <v>39530.9</v>
      </c>
      <c r="DT105" s="164">
        <v>240.4</v>
      </c>
      <c r="DU105" s="168">
        <v>46691.6</v>
      </c>
      <c r="DV105" s="168">
        <v>448.6</v>
      </c>
      <c r="DW105" s="164">
        <v>10748.3</v>
      </c>
      <c r="DX105" s="168">
        <v>56.6</v>
      </c>
      <c r="DY105" s="168">
        <v>4136.7</v>
      </c>
      <c r="DZ105" s="168">
        <v>21.7</v>
      </c>
      <c r="EA105" s="140">
        <v>107.99</v>
      </c>
      <c r="EB105" s="243">
        <v>150394454</v>
      </c>
      <c r="EC105" s="242">
        <v>1067231.7439999999</v>
      </c>
      <c r="ED105" s="243">
        <v>1281</v>
      </c>
      <c r="EE105" s="243">
        <v>144594</v>
      </c>
      <c r="EF105" s="164">
        <v>208513.4</v>
      </c>
      <c r="EG105" s="164">
        <v>2050.8000000000002</v>
      </c>
      <c r="EH105" s="146">
        <f>IF((RD[[#This Row],[33 kV_F3_Ex
Incomer1]]-DQ104)*1000&lt;0,0,(RD[[#This Row],[33 kV_F3_Ex
Incomer1]]-DQ104)*1000)</f>
        <v>40899.999999994179</v>
      </c>
      <c r="EI105" s="146">
        <f>IF((RD[[#This Row],[34 kV_F3_Im
Incomer1]]-DR104)*1000&lt;0,0,(RD[[#This Row],[34 kV_F3_Im
Incomer1]]-DR104)*1000)</f>
        <v>400.00000000000568</v>
      </c>
      <c r="EJ105" s="146">
        <f>IF((RD[[#This Row],[33 kV_F4_Ex
Incomer2]]-DS104)*1000&lt;0,0,(RD[[#This Row],[33 kV_F4_Ex
Incomer2]]-DS104)*1000)</f>
        <v>38300.00000000291</v>
      </c>
      <c r="EK105" s="146">
        <f>IF((RD[[#This Row],[34 kV_F4_Im
Incomer2]]-DT104)*1000&lt;0,0,(RD[[#This Row],[34 kV_F4_Im
Incomer2]]-DT104)*1000)</f>
        <v>300.00000000001137</v>
      </c>
      <c r="EL105" s="146">
        <f>IF((RD[[#This Row],[33 kV_F5_Ex
Incomer3]]-DU104)*1000&lt;0,0,(RD[[#This Row],[33 kV_F5_Ex
Incomer3]]-DU104)*1000)</f>
        <v>49500</v>
      </c>
      <c r="EM105" s="146">
        <f>IF((RD[[#This Row],[34 kV_F5_Im
Incomer3]]-DV104)*1000&lt;0,0,(RD[[#This Row],[34 kV_F5_Im
Incomer3]]-DV104)*1000)</f>
        <v>1200.0000000000455</v>
      </c>
      <c r="EN105" s="146">
        <f>IF((RD[[#This Row],[33 kV_F6_Ex
Incomer4]]-DW104)*1000&lt;0,0,(RD[[#This Row],[33 kV_F6_Ex
Incomer4]]-DW104)*1000)</f>
        <v>14599.999999998545</v>
      </c>
      <c r="EO105" s="146">
        <f t="shared" si="166"/>
        <v>300.00000000001137</v>
      </c>
      <c r="EP105" s="146">
        <f>IF((RD[[#This Row],[33 kV_F7_Ex
Incomer5]]-DY104)*1000&lt;0,0,(RD[[#This Row],[33 kV_F7_Ex
Incomer5]]-DY104)*1000)</f>
        <v>44500</v>
      </c>
      <c r="EQ105" s="146">
        <f>IF((RD[[#This Row],[33 kV_F7_Im
Incomer5]]-DZ104)*1000&lt;0,0,(RD[[#This Row],[33 kV_F7_Im
Incomer5]]-DZ104)*1000)</f>
        <v>599.99999999999784</v>
      </c>
      <c r="ER105" s="146">
        <f>IF((RD[[#This Row],[33 kV_Aux Trafo]]-EA104)*1000&lt;0,0,(RD[[#This Row],[33 kV_Aux Trafo]]-EA104)*1000)</f>
        <v>229.99999999998977</v>
      </c>
      <c r="ES105" s="158">
        <f>IF((RD[[#This Row],[33kV_OG1_Ex_]]-EB104)*1&lt;0,0,(RD[[#This Row],[33kV_OG1_Ex_]]-EB104)*1)</f>
        <v>198263</v>
      </c>
      <c r="ET105" s="146">
        <f>IF((RD[[#This Row],[33kV_OG1_Im]]-EC104)*1&lt;0,0,(RD[[#This Row],[33kV_OG1_Im]]-EC104)*1)</f>
        <v>3080.1280000000261</v>
      </c>
      <c r="EU105" s="146">
        <f>IF((RD[[#This Row],[132kV_TX1_EX]]-ED104)*720&lt;=0,"",(RD[[#This Row],[132kV_TX1_EX]]-ED104)*720)</f>
        <v>2880</v>
      </c>
      <c r="EV105" s="146">
        <f>IF((RD[[#This Row],[132 kV_Tx1_Im]]-EE104)*720&lt;=0,0,(RD[[#This Row],[132 kV_Tx1_Im]]-EE104)*720)</f>
        <v>141840</v>
      </c>
      <c r="EW105" s="146">
        <f>IF((RD[[#This Row],[132kV_L1_Ex]]-EF104)*720&lt;=0,0,(RD[[#This Row],[132kV_L1_Ex]]-EF104)*720)</f>
        <v>197567.99999999581</v>
      </c>
      <c r="EX105" s="146">
        <f>IF((RD[[#This Row],[132kV_L1_Im]]-EG104)*720&lt;=0,0,(RD[[#This Row],[132kV_L1_Im]]-EG104)*720)</f>
        <v>3528.0000000000655</v>
      </c>
      <c r="EY105" s="330">
        <f>IFERROR(RD[[#This Row],[33kV_OG1_Ex (MWh)]]+RD[[#This Row],[33kV_OG1_Im (MWh)]],"")</f>
        <v>201343.12800000003</v>
      </c>
      <c r="EZ105" s="148">
        <f>RD[[#This Row],[33kV_OG1_Ex (MWh)]]-RD[[#This Row],[33kV_OG1_Im (MWh)]]</f>
        <v>195182.87199999997</v>
      </c>
      <c r="FA105" s="148">
        <f>IFERROR(RD[[#This Row],[132kV_L1_Ex(MWh)]]-RD[[#This Row],[132kV_L1_Im(MWh)]],"")</f>
        <v>194039.99999999575</v>
      </c>
      <c r="FB105" s="332">
        <f>IFERROR(RD[[#This Row],[33kV_Ex(MWh)]]/RD[[#This Row],[Inv Total Gneration (MWh)]]-1,"")</f>
        <v>1.9758865772665279E-2</v>
      </c>
      <c r="FC105" s="333">
        <f>IFERROR((RD[[#This Row],[Sunset Time (POA&lt;20 W/m2)]]-RD[[#This Row],[Sunrise Time (POA&gt;20 W/m2)]])*24,0)</f>
        <v>12.133333333333333</v>
      </c>
      <c r="FD105" s="246">
        <v>128.08000000000001</v>
      </c>
      <c r="FE105" t="s">
        <v>1310</v>
      </c>
      <c r="FG105" s="144" t="str">
        <f>IFERROR(RD[[#This Row],[E_AC (WPR)]]/RD[[#This Row],[E_DC (WPR)]],"")</f>
        <v/>
      </c>
    </row>
    <row r="106" spans="1:163">
      <c r="A106" s="133">
        <f t="shared" si="167"/>
        <v>45846</v>
      </c>
      <c r="B106" s="138">
        <f>YEAR(RD[[#This Row],[Date]])+IF(MONTH(RD[[#This Row],[Date]])&gt;=4,1,0)</f>
        <v>2026</v>
      </c>
      <c r="C106" s="138">
        <f>YEAR(RD[[#This Row],[Date]])</f>
        <v>2025</v>
      </c>
      <c r="D106" s="139">
        <f t="shared" si="169"/>
        <v>45839</v>
      </c>
      <c r="E106" s="138">
        <f>DAY(EOMONTH(RD[[#This Row],[Date]],0))</f>
        <v>31</v>
      </c>
      <c r="F106" s="152">
        <v>0.26805555555555555</v>
      </c>
      <c r="G106" s="162">
        <v>0.77013888888888893</v>
      </c>
      <c r="H106" s="124">
        <v>2806.5</v>
      </c>
      <c r="I106" s="270">
        <v>2795.5</v>
      </c>
      <c r="J106" s="124">
        <v>2593.8000000000002</v>
      </c>
      <c r="K106" s="124">
        <v>2584.9</v>
      </c>
      <c r="L106" s="124">
        <v>2690.2</v>
      </c>
      <c r="M106" s="124">
        <v>2791.3</v>
      </c>
      <c r="N106" s="124">
        <v>2696.7</v>
      </c>
      <c r="O106" s="124">
        <v>3013.7</v>
      </c>
      <c r="P106" s="124">
        <v>2755.2</v>
      </c>
      <c r="Q106" s="124">
        <v>2679.8</v>
      </c>
      <c r="R106" s="124">
        <v>2716.1</v>
      </c>
      <c r="S106" s="268">
        <v>2766.4</v>
      </c>
      <c r="T106" s="124">
        <v>2831.8</v>
      </c>
      <c r="U106" s="124">
        <v>2699</v>
      </c>
      <c r="V106" s="124">
        <v>2819.9</v>
      </c>
      <c r="W106" s="124">
        <v>2719.2</v>
      </c>
      <c r="X106" s="296">
        <v>3864.7</v>
      </c>
      <c r="Y106" s="203">
        <v>4389.2</v>
      </c>
      <c r="Z106" s="203">
        <v>3792.9</v>
      </c>
      <c r="AA106" s="203">
        <v>3976</v>
      </c>
      <c r="AB106" s="296">
        <v>4136.5</v>
      </c>
      <c r="AC106" s="203">
        <v>2492.1999999999998</v>
      </c>
      <c r="AD106" s="203">
        <v>3837.3</v>
      </c>
      <c r="AE106" s="203">
        <v>3922.7</v>
      </c>
      <c r="AF106" s="296">
        <v>3798.4</v>
      </c>
      <c r="AG106" s="203">
        <v>3846</v>
      </c>
      <c r="AH106" s="203">
        <v>3824.5</v>
      </c>
      <c r="AI106" s="296">
        <v>3836.9</v>
      </c>
      <c r="AJ106" s="142">
        <v>3076.5</v>
      </c>
      <c r="AK106" s="142">
        <v>3195</v>
      </c>
      <c r="AL106" s="142">
        <v>3162.2</v>
      </c>
      <c r="AM106" s="142">
        <v>3199.2</v>
      </c>
      <c r="AN106" s="142">
        <v>3156.4</v>
      </c>
      <c r="AO106" s="142">
        <v>3279.2</v>
      </c>
      <c r="AP106" s="142">
        <v>3217.5</v>
      </c>
      <c r="AQ106" s="142">
        <v>3028.2</v>
      </c>
      <c r="AR106" s="142">
        <v>2500.6</v>
      </c>
      <c r="AS106" s="142">
        <v>2519.3000000000002</v>
      </c>
      <c r="AT106" s="142">
        <v>2532.8000000000002</v>
      </c>
      <c r="AU106" s="142">
        <v>2515.5</v>
      </c>
      <c r="AV106" s="142">
        <v>2569.8000000000002</v>
      </c>
      <c r="AW106" s="142">
        <v>2532.5</v>
      </c>
      <c r="AX106" s="142">
        <v>3631.4</v>
      </c>
      <c r="AY106" s="142">
        <v>4127.5</v>
      </c>
      <c r="AZ106" s="142">
        <v>2884.7</v>
      </c>
      <c r="BA106" s="142">
        <v>3666.9</v>
      </c>
      <c r="BB106" s="142">
        <v>4041.2</v>
      </c>
      <c r="BC106" s="142">
        <v>3732.6</v>
      </c>
      <c r="BD106" s="142">
        <v>2495.6</v>
      </c>
      <c r="BE106" s="142">
        <v>3537.4</v>
      </c>
      <c r="BF106" s="142">
        <v>4112.6000000000004</v>
      </c>
      <c r="BG106" s="142">
        <v>4211.5</v>
      </c>
      <c r="BH106" s="142">
        <v>4064.4</v>
      </c>
      <c r="BI106" s="142">
        <v>4260.3999999999996</v>
      </c>
      <c r="BJ106" s="142">
        <v>2687.3</v>
      </c>
      <c r="BK106" s="142">
        <v>2127.5</v>
      </c>
      <c r="BL106" s="142">
        <v>2585.8000000000002</v>
      </c>
      <c r="BM106" s="142">
        <v>2558</v>
      </c>
      <c r="BN106" s="142">
        <v>2859</v>
      </c>
      <c r="BO106" s="142">
        <v>2733.2</v>
      </c>
      <c r="BP106" s="142">
        <v>3010.9</v>
      </c>
      <c r="BQ106" s="142">
        <v>2950</v>
      </c>
      <c r="BR106" s="142">
        <v>3134</v>
      </c>
      <c r="BS106" s="142">
        <v>3237</v>
      </c>
      <c r="BT106" s="142">
        <v>3041.7</v>
      </c>
      <c r="BU106" s="142">
        <v>3382</v>
      </c>
      <c r="BV106" s="203">
        <v>2698.3</v>
      </c>
      <c r="BW106" s="203">
        <v>2489.1999999999998</v>
      </c>
      <c r="BX106" s="203">
        <v>2326.4</v>
      </c>
      <c r="BY106" s="203">
        <v>2647.8</v>
      </c>
      <c r="BZ106" s="142">
        <v>1141.7</v>
      </c>
      <c r="CA106" s="142">
        <v>282.60000000000002</v>
      </c>
      <c r="CB106" s="142">
        <v>2536.9</v>
      </c>
      <c r="CC106" s="142">
        <v>2769.5</v>
      </c>
      <c r="CD106" s="206">
        <v>2.088309049999999</v>
      </c>
      <c r="CE106" s="59">
        <v>1.776724983333331</v>
      </c>
      <c r="CF106" s="206">
        <v>1.6185729166666685</v>
      </c>
      <c r="CG106" s="206">
        <v>1.7621407500000013</v>
      </c>
      <c r="CH106" s="206">
        <v>0.22723991666666646</v>
      </c>
      <c r="CI106" s="206">
        <v>0.23895706666666675</v>
      </c>
      <c r="CJ106" s="59">
        <v>0.2874424166666667</v>
      </c>
      <c r="CK106" s="59">
        <v>0.22783775000000006</v>
      </c>
      <c r="CL106" s="206">
        <v>25.321915444348605</v>
      </c>
      <c r="CM106" s="206">
        <v>24.997250213492649</v>
      </c>
      <c r="CN106" s="206">
        <v>32.71122864538394</v>
      </c>
      <c r="CO106" s="206">
        <v>29.738333048676349</v>
      </c>
      <c r="CP106" s="206">
        <v>93.233132010353714</v>
      </c>
      <c r="CQ106" s="206">
        <v>92.954073441503056</v>
      </c>
      <c r="CR106" s="206">
        <v>0.12683347713546156</v>
      </c>
      <c r="CS106" s="59">
        <v>0.13383432963279152</v>
      </c>
      <c r="CT106" s="206">
        <v>0.89791889559965554</v>
      </c>
      <c r="CU106" s="206">
        <v>0.96524679760888055</v>
      </c>
      <c r="CV106" s="206">
        <v>1.77</v>
      </c>
      <c r="CW106" s="260">
        <v>2.19</v>
      </c>
      <c r="CX106" s="204">
        <f>IFERROR(AVERAGEIF(RD[[#This Row],[IS1POA1 (KWh/m2)]:[IS7POA2 (KWh/m2)]],"&lt;&gt;0",RD[[#This Row],[IS1POA1 (KWh/m2)]:[IS7POA2 (KWh/m2)]]),"")</f>
        <v>1.932517016666665</v>
      </c>
      <c r="CY106" s="204">
        <f>IFERROR(AVERAGEIF(RD[[#This Row],[IS1GHI1 (KWh/m2)]:[IS7GHI2 (KWh/m2)]],"&lt;&gt;0",RD[[#This Row],[IS1GHI1 (KWh/m2)]:[IS7GHI2 (KWh/m2)]]),"")</f>
        <v>1.6903568333333348</v>
      </c>
      <c r="CZ106" s="204">
        <f>IFERROR(AVERAGEIF(RD[[#This Row],[IS1POA_BS1 (KWh/m2)]:[IS7POA_BS2 (KWh/m2)]],"&lt;&gt;0",RD[[#This Row],[IS1POA_BS1 (KWh/m2)]:[IS7POA_BS2 (KWh/m2)]]),"")</f>
        <v>0.2330984916666666</v>
      </c>
      <c r="DA106" s="204">
        <f>IFERROR(AVERAGEIF(RD[[#This Row],[IS1GHI_BS1 (KWh/m2)]:[IS1GHI_BS1 (KWh/m2)2]],"&lt;&gt;0",RD[[#This Row],[IS1GHI_BS1 (KWh/m2)]:[IS1GHI_BS1 (KWh/m2)2]]),"")</f>
        <v>0.25764008333333338</v>
      </c>
      <c r="DB106" s="204">
        <f>IFERROR(AVERAGEIF(RD[[#This Row],[IS1AT1 (°C)]:[IS7AT2 (°C)]],"&lt;&gt;0",RD[[#This Row],[IS1AT1 (°C)]:[IS7AT2 (°C)]]),"")</f>
        <v>25.159582828920627</v>
      </c>
      <c r="DC106" s="204">
        <f>IFERROR(AVERAGEIF(RD[[#This Row],[IS1MT1 (°C)]:[IS7MT2 (°C)]],"&lt;&gt;0",RD[[#This Row],[IS1MT1 (°C)]:[IS7MT2 (°C)]]),"")</f>
        <v>31.224780847030146</v>
      </c>
      <c r="DD106" s="204">
        <f>IFERROR(AVERAGEIF(RD[[#This Row],[IS1RH1 (%)]:[IS7RH2 (%)]],"&lt;&gt;0",RD[[#This Row],[IS1RH1 (%)]:[IS7RH2 (%)]]),"")</f>
        <v>93.093602725928378</v>
      </c>
      <c r="DE106" s="204">
        <f>IFERROR(AVERAGEIF(RD[[#This Row],[IS1Rain1 (mm)]:[IS7Rain2 (mm)]],"&lt;&gt;0",RD[[#This Row],[IS1Rain1 (mm)]:[IS7Rain2 (mm)]]),"")</f>
        <v>0.13033390338412654</v>
      </c>
      <c r="DF106" s="204">
        <f>IFERROR(AVERAGEIF(RD[[#This Row],[WS_Solar1_Avg (m/s)]:[IS7_WS_Solar1_Avg (m/s)]],"&lt;&gt;0",RD[[#This Row],[WS_Solar1_Avg (m/s)]:[IS7_WS_Solar1_Avg (m/s)]]),"")</f>
        <v>0.93158284660426804</v>
      </c>
      <c r="DG106" s="204">
        <f>IFERROR(AVERAGEIF(RD[[#This Row],[WS_Solar1_Max (m/s)]:[IS7_WS_Solar1_Max (m/s)]],"&lt;&gt;0",RD[[#This Row],[WS_Solar1_Max (m/s)]:[IS7_WS_Solar1_Max (m/s)]]),"")</f>
        <v>1.98</v>
      </c>
      <c r="DH106" s="204">
        <f>SUM(RD[[#This Row],[IS1Inv1M1]:[IS4Inv4M2]])</f>
        <v>89677.299999999988</v>
      </c>
      <c r="DI106" s="205">
        <f>SUM(RD[[#This Row],[IS7Inv1M1]]+RD[[#This Row],[IS7Inv2M1]])</f>
        <v>5019.8999999999996</v>
      </c>
      <c r="DJ106" s="204">
        <f>SUM(RD[[#This Row],[IS5Inv1M1]:[IS5Inv2M2]])</f>
        <v>12632.900000000001</v>
      </c>
      <c r="DK106" s="204">
        <f>SUM(RD[[#This Row],[IS8Inv1M1]:[IS9Inv2M2]])</f>
        <v>24461.100000000002</v>
      </c>
      <c r="DL106" s="60">
        <f>SUM(RD[[#This Row],[IS6Inv1M1]:[IS6Inv2M2]])</f>
        <v>12681.3</v>
      </c>
      <c r="DM106" s="288">
        <f>SUM(RD[[#This Row],[IS10Inv1M1]:[IS11Inv1M4]],RD[[#This Row],[IS14Inv1M1]:[IS14Inv2M4]])</f>
        <v>57306.700000000012</v>
      </c>
      <c r="DN106" s="288">
        <f>SUM(RD[[#This Row],[IS12Inv1M1]:[IS12Inv1M4]])</f>
        <v>11553.1</v>
      </c>
      <c r="DO106" s="288">
        <f>SUM(RD[[#This Row],[IS13Inv1M1]:[IS13Inv2M2]])</f>
        <v>12794.7</v>
      </c>
      <c r="DP106" s="204">
        <f>SUM(RD[[#This Row],[O2R15]:[O2R26]])</f>
        <v>226127</v>
      </c>
      <c r="DQ106" s="164">
        <v>45264.6</v>
      </c>
      <c r="DR106" s="168">
        <v>228.9</v>
      </c>
      <c r="DS106" s="164">
        <v>39573.599999999999</v>
      </c>
      <c r="DT106" s="164">
        <v>240.7</v>
      </c>
      <c r="DU106" s="168">
        <v>46746.400000000001</v>
      </c>
      <c r="DV106" s="168">
        <v>449.9</v>
      </c>
      <c r="DW106" s="164">
        <v>10765.5</v>
      </c>
      <c r="DX106" s="168">
        <v>56.9</v>
      </c>
      <c r="DY106" s="168">
        <v>4190.3</v>
      </c>
      <c r="DZ106" s="168">
        <v>22.3</v>
      </c>
      <c r="EA106" s="140">
        <v>108.2</v>
      </c>
      <c r="EB106" s="243">
        <v>150620979</v>
      </c>
      <c r="EC106" s="242">
        <v>1070458.112</v>
      </c>
      <c r="ED106" s="243">
        <v>1284</v>
      </c>
      <c r="EE106" s="243">
        <v>144819</v>
      </c>
      <c r="EF106" s="164">
        <v>208827</v>
      </c>
      <c r="EG106" s="164">
        <v>2056</v>
      </c>
      <c r="EH106" s="146">
        <f>IF((RD[[#This Row],[33 kV_F3_Ex
Incomer1]]-DQ105)*1000&lt;0,0,(RD[[#This Row],[33 kV_F3_Ex
Incomer1]]-DQ105)*1000)</f>
        <v>45400.000000001455</v>
      </c>
      <c r="EI106" s="146">
        <f>IF((RD[[#This Row],[34 kV_F3_Im
Incomer1]]-DR105)*1000&lt;0,0,(RD[[#This Row],[34 kV_F3_Im
Incomer1]]-DR105)*1000)</f>
        <v>400.00000000000568</v>
      </c>
      <c r="EJ106" s="146">
        <f>IF((RD[[#This Row],[33 kV_F4_Ex
Incomer2]]-DS105)*1000&lt;0,0,(RD[[#This Row],[33 kV_F4_Ex
Incomer2]]-DS105)*1000)</f>
        <v>42699.99999999709</v>
      </c>
      <c r="EK106" s="146">
        <f>IF((RD[[#This Row],[34 kV_F4_Im
Incomer2]]-DT105)*1000&lt;0,0,(RD[[#This Row],[34 kV_F4_Im
Incomer2]]-DT105)*1000)</f>
        <v>299.99999999998295</v>
      </c>
      <c r="EL106" s="146">
        <f>IF((RD[[#This Row],[33 kV_F5_Ex
Incomer3]]-DU105)*1000&lt;0,0,(RD[[#This Row],[33 kV_F5_Ex
Incomer3]]-DU105)*1000)</f>
        <v>54800.00000000291</v>
      </c>
      <c r="EM106" s="146">
        <f>IF((RD[[#This Row],[34 kV_F5_Im
Incomer3]]-DV105)*1000&lt;0,0,(RD[[#This Row],[34 kV_F5_Im
Incomer3]]-DV105)*1000)</f>
        <v>1299.9999999999545</v>
      </c>
      <c r="EN106" s="146">
        <f>IF((RD[[#This Row],[33 kV_F6_Ex
Incomer4]]-DW105)*1000&lt;0,0,(RD[[#This Row],[33 kV_F6_Ex
Incomer4]]-DW105)*1000)</f>
        <v>17200.000000000728</v>
      </c>
      <c r="EO106" s="146">
        <f t="shared" si="166"/>
        <v>400.00000000000568</v>
      </c>
      <c r="EP106" s="146">
        <f>IF((RD[[#This Row],[33 kV_F7_Ex
Incomer5]]-DY105)*1000&lt;0,0,(RD[[#This Row],[33 kV_F7_Ex
Incomer5]]-DY105)*1000)</f>
        <v>53600.000000000364</v>
      </c>
      <c r="EQ106" s="146">
        <f>IF((RD[[#This Row],[33 kV_F7_Im
Incomer5]]-DZ105)*1000&lt;0,0,(RD[[#This Row],[33 kV_F7_Im
Incomer5]]-DZ105)*1000)</f>
        <v>600.00000000000136</v>
      </c>
      <c r="ER106" s="146">
        <f>IF((RD[[#This Row],[33 kV_Aux Trafo]]-EA105)*1000&lt;0,0,(RD[[#This Row],[33 kV_Aux Trafo]]-EA105)*1000)</f>
        <v>210.00000000000796</v>
      </c>
      <c r="ES106" s="158">
        <f>IF((RD[[#This Row],[33kV_OG1_Ex_]]-EB105)*1&lt;0,0,(RD[[#This Row],[33kV_OG1_Ex_]]-EB105)*1)</f>
        <v>226525</v>
      </c>
      <c r="ET106" s="146">
        <f>IF((RD[[#This Row],[33kV_OG1_Im]]-EC105)*1&lt;0,0,(RD[[#This Row],[33kV_OG1_Im]]-EC105)*1)</f>
        <v>3226.3680000000168</v>
      </c>
      <c r="EU106" s="146">
        <f>IF((RD[[#This Row],[132kV_TX1_EX]]-ED105)*720&lt;=0,"",(RD[[#This Row],[132kV_TX1_EX]]-ED105)*720)</f>
        <v>2160</v>
      </c>
      <c r="EV106" s="146">
        <f>IF((RD[[#This Row],[132 kV_Tx1_Im]]-EE105)*720&lt;=0,0,(RD[[#This Row],[132 kV_Tx1_Im]]-EE105)*720)</f>
        <v>162000</v>
      </c>
      <c r="EW106" s="146">
        <f>IF((RD[[#This Row],[132kV_L1_Ex]]-EF105)*720&lt;=0,0,(RD[[#This Row],[132kV_L1_Ex]]-EF105)*720)</f>
        <v>225792.00000000419</v>
      </c>
      <c r="EX106" s="146">
        <f>IF((RD[[#This Row],[132kV_L1_Im]]-EG105)*720&lt;=0,0,(RD[[#This Row],[132kV_L1_Im]]-EG105)*720)</f>
        <v>3743.999999999869</v>
      </c>
      <c r="EY106" s="330">
        <f>IFERROR(RD[[#This Row],[33kV_OG1_Ex (MWh)]]+RD[[#This Row],[33kV_OG1_Im (MWh)]],"")</f>
        <v>229751.36800000002</v>
      </c>
      <c r="EZ106" s="148">
        <f>RD[[#This Row],[33kV_OG1_Ex (MWh)]]-RD[[#This Row],[33kV_OG1_Im (MWh)]]</f>
        <v>223298.63199999998</v>
      </c>
      <c r="FA106" s="148">
        <f>IFERROR(RD[[#This Row],[132kV_L1_Ex(MWh)]]-RD[[#This Row],[132kV_L1_Im(MWh)]],"")</f>
        <v>222048.00000000431</v>
      </c>
      <c r="FB106" s="332">
        <f>IFERROR(RD[[#This Row],[33kV_Ex(MWh)]]/RD[[#This Row],[Inv Total Gneration (MWh)]]-1,"")</f>
        <v>1.6028019652673198E-2</v>
      </c>
      <c r="FC106" s="333">
        <f>IFERROR((RD[[#This Row],[Sunset Time (POA&lt;20 W/m2)]]-RD[[#This Row],[Sunrise Time (POA&gt;20 W/m2)]])*24,0)</f>
        <v>12.050000000000002</v>
      </c>
      <c r="FD106" s="246">
        <v>128.08000000000001</v>
      </c>
      <c r="FE106" t="s">
        <v>1312</v>
      </c>
      <c r="FG106" s="144" t="str">
        <f>IFERROR(RD[[#This Row],[E_AC (WPR)]]/RD[[#This Row],[E_DC (WPR)]],"")</f>
        <v/>
      </c>
    </row>
    <row r="107" spans="1:163">
      <c r="A107" s="133">
        <f t="shared" si="167"/>
        <v>45847</v>
      </c>
      <c r="B107" s="138">
        <f>YEAR(RD[[#This Row],[Date]])+IF(MONTH(RD[[#This Row],[Date]])&gt;=4,1,0)</f>
        <v>2026</v>
      </c>
      <c r="C107" s="138">
        <f>YEAR(RD[[#This Row],[Date]])</f>
        <v>2025</v>
      </c>
      <c r="D107" s="139">
        <f t="shared" si="169"/>
        <v>45839</v>
      </c>
      <c r="E107" s="138">
        <f>DAY(EOMONTH(RD[[#This Row],[Date]],0))</f>
        <v>31</v>
      </c>
      <c r="F107" s="152">
        <v>0.29375000000000001</v>
      </c>
      <c r="G107" s="162">
        <v>0.78333333333333333</v>
      </c>
      <c r="H107" s="124">
        <v>3048.1</v>
      </c>
      <c r="I107" s="270">
        <v>3040.8</v>
      </c>
      <c r="J107" s="124">
        <v>2822.9</v>
      </c>
      <c r="K107" s="124">
        <v>2817.6</v>
      </c>
      <c r="L107" s="124">
        <v>2933.7</v>
      </c>
      <c r="M107" s="124">
        <v>3036.4</v>
      </c>
      <c r="N107" s="124">
        <v>2903.1</v>
      </c>
      <c r="O107" s="124">
        <v>3270.8</v>
      </c>
      <c r="P107" s="124">
        <v>2999.7</v>
      </c>
      <c r="Q107" s="124">
        <v>2932.1</v>
      </c>
      <c r="R107" s="124">
        <v>2975</v>
      </c>
      <c r="S107" s="268">
        <v>3028.9</v>
      </c>
      <c r="T107" s="124">
        <v>3085.1</v>
      </c>
      <c r="U107" s="124">
        <v>2963.2</v>
      </c>
      <c r="V107" s="124">
        <v>3080.7</v>
      </c>
      <c r="W107" s="124">
        <v>2962.6</v>
      </c>
      <c r="X107" s="296">
        <v>4214.8</v>
      </c>
      <c r="Y107" s="203">
        <v>4801.7</v>
      </c>
      <c r="Z107" s="203">
        <v>4121.8</v>
      </c>
      <c r="AA107" s="203">
        <v>4319.5</v>
      </c>
      <c r="AB107" s="296">
        <v>4574</v>
      </c>
      <c r="AC107" s="203">
        <v>2758.1</v>
      </c>
      <c r="AD107" s="203">
        <v>4245.2</v>
      </c>
      <c r="AE107" s="203">
        <v>4347.7</v>
      </c>
      <c r="AF107" s="296">
        <v>4197.7</v>
      </c>
      <c r="AG107" s="203">
        <v>4228</v>
      </c>
      <c r="AH107" s="203">
        <v>4221.8</v>
      </c>
      <c r="AI107" s="296">
        <v>4243</v>
      </c>
      <c r="AJ107" s="142">
        <v>3459.5</v>
      </c>
      <c r="AK107" s="142">
        <v>3589.4</v>
      </c>
      <c r="AL107" s="142">
        <v>3548.5</v>
      </c>
      <c r="AM107" s="142">
        <v>3585.6</v>
      </c>
      <c r="AN107" s="142">
        <v>3549.2</v>
      </c>
      <c r="AO107" s="142">
        <v>3688.8</v>
      </c>
      <c r="AP107" s="142">
        <v>3615</v>
      </c>
      <c r="AQ107" s="142">
        <v>3473.2</v>
      </c>
      <c r="AR107" s="142">
        <v>2828.9</v>
      </c>
      <c r="AS107" s="142">
        <v>2850.7</v>
      </c>
      <c r="AT107" s="142">
        <v>2863.8</v>
      </c>
      <c r="AU107" s="142">
        <v>2840.5</v>
      </c>
      <c r="AV107" s="142">
        <v>2904.3</v>
      </c>
      <c r="AW107" s="142">
        <v>2864.4</v>
      </c>
      <c r="AX107" s="142">
        <v>4085.6</v>
      </c>
      <c r="AY107" s="142">
        <v>4649.5</v>
      </c>
      <c r="AZ107" s="142">
        <v>3367.7</v>
      </c>
      <c r="BA107" s="142">
        <v>4140.8</v>
      </c>
      <c r="BB107" s="142">
        <v>4274.2</v>
      </c>
      <c r="BC107" s="142">
        <v>3857.4</v>
      </c>
      <c r="BD107" s="142">
        <v>3618.3</v>
      </c>
      <c r="BE107" s="142">
        <v>4002.6</v>
      </c>
      <c r="BF107" s="142">
        <v>4326</v>
      </c>
      <c r="BG107" s="142">
        <v>4425.8999999999996</v>
      </c>
      <c r="BH107" s="142">
        <v>4356.2</v>
      </c>
      <c r="BI107" s="142">
        <v>4486.1000000000004</v>
      </c>
      <c r="BJ107" s="142">
        <v>2843.9</v>
      </c>
      <c r="BK107" s="142">
        <v>2248.5</v>
      </c>
      <c r="BL107" s="142">
        <v>2741.7</v>
      </c>
      <c r="BM107" s="142">
        <v>2711</v>
      </c>
      <c r="BN107" s="142">
        <v>3005.4</v>
      </c>
      <c r="BO107" s="142">
        <v>2871.5</v>
      </c>
      <c r="BP107" s="142">
        <v>3167.4</v>
      </c>
      <c r="BQ107" s="142">
        <v>3107.6</v>
      </c>
      <c r="BR107" s="142">
        <v>3291</v>
      </c>
      <c r="BS107" s="142">
        <v>3416.7</v>
      </c>
      <c r="BT107" s="142">
        <v>3195</v>
      </c>
      <c r="BU107" s="142">
        <v>3546</v>
      </c>
      <c r="BV107" s="203">
        <v>2833.1</v>
      </c>
      <c r="BW107" s="203">
        <v>2615.1</v>
      </c>
      <c r="BX107" s="203">
        <v>2421.9</v>
      </c>
      <c r="BY107" s="203">
        <v>2777.5</v>
      </c>
      <c r="BZ107" s="142">
        <v>1195.8</v>
      </c>
      <c r="CA107" s="142">
        <v>302.2</v>
      </c>
      <c r="CB107" s="142">
        <v>2671.7</v>
      </c>
      <c r="CC107" s="142">
        <v>2918.4</v>
      </c>
      <c r="CD107" s="206">
        <v>2.2716685500000002</v>
      </c>
      <c r="CE107" s="59">
        <v>2.0019952166666664</v>
      </c>
      <c r="CF107" s="206">
        <v>1.7669882666666668</v>
      </c>
      <c r="CG107" s="206">
        <v>2.0094085833333346</v>
      </c>
      <c r="CH107" s="206">
        <v>0.27288571666666661</v>
      </c>
      <c r="CI107" s="206">
        <v>0.26281523333333345</v>
      </c>
      <c r="CJ107" s="59">
        <v>0.30950693333333301</v>
      </c>
      <c r="CK107" s="59">
        <v>0.26148331666666652</v>
      </c>
      <c r="CL107" s="206">
        <v>25.535888501742203</v>
      </c>
      <c r="CM107" s="206">
        <v>24.804799651567869</v>
      </c>
      <c r="CN107" s="206">
        <v>32.858900696864048</v>
      </c>
      <c r="CO107" s="206">
        <v>29.988362369338031</v>
      </c>
      <c r="CP107" s="206">
        <v>96.140975609756268</v>
      </c>
      <c r="CQ107" s="206">
        <v>95.677979094076534</v>
      </c>
      <c r="CR107" s="206">
        <v>0.21951219512194989</v>
      </c>
      <c r="CS107" s="59">
        <v>0.16717770034842988</v>
      </c>
      <c r="CT107" s="206">
        <v>0.86263066202090521</v>
      </c>
      <c r="CU107" s="206">
        <v>0.96898432055749106</v>
      </c>
      <c r="CV107" s="206">
        <v>2.04</v>
      </c>
      <c r="CW107" s="260">
        <v>2.6339999999999999</v>
      </c>
      <c r="CX107" s="204">
        <f>IFERROR(AVERAGEIF(RD[[#This Row],[IS1POA1 (KWh/m2)]:[IS7POA2 (KWh/m2)]],"&lt;&gt;0",RD[[#This Row],[IS1POA1 (KWh/m2)]:[IS7POA2 (KWh/m2)]]),"")</f>
        <v>2.1368318833333335</v>
      </c>
      <c r="CY107" s="204">
        <f>IFERROR(AVERAGEIF(RD[[#This Row],[IS1GHI1 (KWh/m2)]:[IS7GHI2 (KWh/m2)]],"&lt;&gt;0",RD[[#This Row],[IS1GHI1 (KWh/m2)]:[IS7GHI2 (KWh/m2)]]),"")</f>
        <v>1.8881984250000006</v>
      </c>
      <c r="CZ107" s="204">
        <f>IFERROR(AVERAGEIF(RD[[#This Row],[IS1POA_BS1 (KWh/m2)]:[IS7POA_BS2 (KWh/m2)]],"&lt;&gt;0",RD[[#This Row],[IS1POA_BS1 (KWh/m2)]:[IS7POA_BS2 (KWh/m2)]]),"")</f>
        <v>0.26785047500000003</v>
      </c>
      <c r="DA107" s="204">
        <f>IFERROR(AVERAGEIF(RD[[#This Row],[IS1GHI_BS1 (KWh/m2)]:[IS1GHI_BS1 (KWh/m2)2]],"&lt;&gt;0",RD[[#This Row],[IS1GHI_BS1 (KWh/m2)]:[IS1GHI_BS1 (KWh/m2)2]]),"")</f>
        <v>0.28549512499999974</v>
      </c>
      <c r="DB107" s="204">
        <f>IFERROR(AVERAGEIF(RD[[#This Row],[IS1AT1 (°C)]:[IS7AT2 (°C)]],"&lt;&gt;0",RD[[#This Row],[IS1AT1 (°C)]:[IS7AT2 (°C)]]),"")</f>
        <v>25.170344076655034</v>
      </c>
      <c r="DC107" s="204">
        <f>IFERROR(AVERAGEIF(RD[[#This Row],[IS1MT1 (°C)]:[IS7MT2 (°C)]],"&lt;&gt;0",RD[[#This Row],[IS1MT1 (°C)]:[IS7MT2 (°C)]]),"")</f>
        <v>31.423631533101037</v>
      </c>
      <c r="DD107" s="204">
        <f>IFERROR(AVERAGEIF(RD[[#This Row],[IS1RH1 (%)]:[IS7RH2 (%)]],"&lt;&gt;0",RD[[#This Row],[IS1RH1 (%)]:[IS7RH2 (%)]]),"")</f>
        <v>95.909477351916394</v>
      </c>
      <c r="DE107" s="204">
        <f>IFERROR(AVERAGEIF(RD[[#This Row],[IS1Rain1 (mm)]:[IS7Rain2 (mm)]],"&lt;&gt;0",RD[[#This Row],[IS1Rain1 (mm)]:[IS7Rain2 (mm)]]),"")</f>
        <v>0.1933449477351899</v>
      </c>
      <c r="DF107" s="204">
        <f>IFERROR(AVERAGEIF(RD[[#This Row],[WS_Solar1_Avg (m/s)]:[IS7_WS_Solar1_Avg (m/s)]],"&lt;&gt;0",RD[[#This Row],[WS_Solar1_Avg (m/s)]:[IS7_WS_Solar1_Avg (m/s)]]),"")</f>
        <v>0.91580749128919814</v>
      </c>
      <c r="DG107" s="204">
        <f>IFERROR(AVERAGEIF(RD[[#This Row],[WS_Solar1_Max (m/s)]:[IS7_WS_Solar1_Max (m/s)]],"&lt;&gt;0",RD[[#This Row],[WS_Solar1_Max (m/s)]:[IS7_WS_Solar1_Max (m/s)]]),"")</f>
        <v>2.3369999999999997</v>
      </c>
      <c r="DH107" s="204">
        <f>SUM(RD[[#This Row],[IS1Inv1M1]:[IS4Inv4M2]])</f>
        <v>98174</v>
      </c>
      <c r="DI107" s="205">
        <f>SUM(RD[[#This Row],[IS7Inv1M1]]+RD[[#This Row],[IS7Inv2M1]])</f>
        <v>5679.6</v>
      </c>
      <c r="DJ107" s="204">
        <f>SUM(RD[[#This Row],[IS5Inv1M1]:[IS5Inv2M2]])</f>
        <v>14183</v>
      </c>
      <c r="DK107" s="204">
        <f>SUM(RD[[#This Row],[IS8Inv1M1]:[IS9Inv2M2]])</f>
        <v>27716.6</v>
      </c>
      <c r="DL107" s="60">
        <f>SUM(RD[[#This Row],[IS6Inv1M1]:[IS6Inv2M2]])</f>
        <v>14326.2</v>
      </c>
      <c r="DM107" s="288">
        <f>SUM(RD[[#This Row],[IS10Inv1M1]:[IS11Inv1M4]],RD[[#This Row],[IS14Inv1M1]:[IS14Inv2M4]])</f>
        <v>61627.5</v>
      </c>
      <c r="DN107" s="288">
        <f>SUM(RD[[#This Row],[IS12Inv1M1]:[IS12Inv1M4]])</f>
        <v>12151.9</v>
      </c>
      <c r="DO107" s="288">
        <f>SUM(RD[[#This Row],[IS13Inv1M1]:[IS13Inv2M2]])</f>
        <v>13448.7</v>
      </c>
      <c r="DP107" s="204">
        <f>SUM(RD[[#This Row],[O2R15]:[O2R26]])</f>
        <v>247307.50000000003</v>
      </c>
      <c r="DQ107" s="164">
        <v>45314.6</v>
      </c>
      <c r="DR107" s="168">
        <v>229.3</v>
      </c>
      <c r="DS107" s="164">
        <v>39620.199999999997</v>
      </c>
      <c r="DT107" s="164">
        <v>241.1</v>
      </c>
      <c r="DU107" s="168">
        <v>46808.3</v>
      </c>
      <c r="DV107" s="168">
        <v>451.2</v>
      </c>
      <c r="DW107" s="164">
        <v>10783.6</v>
      </c>
      <c r="DX107" s="168">
        <v>57.1</v>
      </c>
      <c r="DY107" s="168">
        <v>4247.2</v>
      </c>
      <c r="DZ107" s="168">
        <v>23</v>
      </c>
      <c r="EA107" s="140">
        <v>108.42</v>
      </c>
      <c r="EB107" s="243">
        <v>150868393</v>
      </c>
      <c r="EC107" s="242">
        <v>1073537.6000000001</v>
      </c>
      <c r="ED107" s="243">
        <v>1288</v>
      </c>
      <c r="EE107" s="243">
        <v>145066</v>
      </c>
      <c r="EF107" s="164">
        <v>209169.5</v>
      </c>
      <c r="EG107" s="164">
        <v>2061</v>
      </c>
      <c r="EH107" s="146">
        <f>IF((RD[[#This Row],[33 kV_F3_Ex
Incomer1]]-DQ106)*1000&lt;0,0,(RD[[#This Row],[33 kV_F3_Ex
Incomer1]]-DQ106)*1000)</f>
        <v>50000</v>
      </c>
      <c r="EI107" s="146">
        <f>IF((RD[[#This Row],[34 kV_F3_Im
Incomer1]]-DR106)*1000&lt;0,0,(RD[[#This Row],[34 kV_F3_Im
Incomer1]]-DR106)*1000)</f>
        <v>400.00000000000568</v>
      </c>
      <c r="EJ107" s="146">
        <f>IF((RD[[#This Row],[33 kV_F4_Ex
Incomer2]]-DS106)*1000&lt;0,0,(RD[[#This Row],[33 kV_F4_Ex
Incomer2]]-DS106)*1000)</f>
        <v>46599.999999998545</v>
      </c>
      <c r="EK107" s="146">
        <f>IF((RD[[#This Row],[34 kV_F4_Im
Incomer2]]-DT106)*1000&lt;0,0,(RD[[#This Row],[34 kV_F4_Im
Incomer2]]-DT106)*1000)</f>
        <v>400.00000000000568</v>
      </c>
      <c r="EL107" s="146">
        <f>IF((RD[[#This Row],[33 kV_F5_Ex
Incomer3]]-DU106)*1000&lt;0,0,(RD[[#This Row],[33 kV_F5_Ex
Incomer3]]-DU106)*1000)</f>
        <v>61900.000000001455</v>
      </c>
      <c r="EM107" s="146">
        <f>IF((RD[[#This Row],[34 kV_F5_Im
Incomer3]]-DV106)*1000&lt;0,0,(RD[[#This Row],[34 kV_F5_Im
Incomer3]]-DV106)*1000)</f>
        <v>1300.0000000000114</v>
      </c>
      <c r="EN107" s="146">
        <f>IF((RD[[#This Row],[33 kV_F6_Ex
Incomer4]]-DW106)*1000&lt;0,0,(RD[[#This Row],[33 kV_F6_Ex
Incomer4]]-DW106)*1000)</f>
        <v>18100.000000000364</v>
      </c>
      <c r="EO107" s="146">
        <f t="shared" si="166"/>
        <v>299.99999999998295</v>
      </c>
      <c r="EP107" s="146">
        <f>IF((RD[[#This Row],[33 kV_F7_Ex
Incomer5]]-DY106)*1000&lt;0,0,(RD[[#This Row],[33 kV_F7_Ex
Incomer5]]-DY106)*1000)</f>
        <v>56899.999999999636</v>
      </c>
      <c r="EQ107" s="146">
        <f>IF((RD[[#This Row],[33 kV_F7_Im
Incomer5]]-DZ106)*1000&lt;0,0,(RD[[#This Row],[33 kV_F7_Im
Incomer5]]-DZ106)*1000)</f>
        <v>699.99999999999932</v>
      </c>
      <c r="ER107" s="146">
        <f>IF((RD[[#This Row],[33 kV_Aux Trafo]]-EA106)*1000&lt;0,0,(RD[[#This Row],[33 kV_Aux Trafo]]-EA106)*1000)</f>
        <v>219.99999999999886</v>
      </c>
      <c r="ES107" s="158">
        <f>IF((RD[[#This Row],[33kV_OG1_Ex_]]-EB106)*1&lt;0,0,(RD[[#This Row],[33kV_OG1_Ex_]]-EB106)*1)</f>
        <v>247414</v>
      </c>
      <c r="ET107" s="146">
        <f>IF((RD[[#This Row],[33kV_OG1_Im]]-EC106)*1&lt;0,0,(RD[[#This Row],[33kV_OG1_Im]]-EC106)*1)</f>
        <v>3079.4880000001285</v>
      </c>
      <c r="EU107" s="146">
        <f>IF((RD[[#This Row],[132kV_TX1_EX]]-ED106)*720&lt;=0,"",(RD[[#This Row],[132kV_TX1_EX]]-ED106)*720)</f>
        <v>2880</v>
      </c>
      <c r="EV107" s="146">
        <f>IF((RD[[#This Row],[132 kV_Tx1_Im]]-EE106)*720&lt;=0,0,(RD[[#This Row],[132 kV_Tx1_Im]]-EE106)*720)</f>
        <v>177840</v>
      </c>
      <c r="EW107" s="146">
        <f>IF((RD[[#This Row],[132kV_L1_Ex]]-EF106)*720&lt;=0,0,(RD[[#This Row],[132kV_L1_Ex]]-EF106)*720)</f>
        <v>246600</v>
      </c>
      <c r="EX107" s="146">
        <f>IF((RD[[#This Row],[132kV_L1_Im]]-EG106)*720&lt;=0,0,(RD[[#This Row],[132kV_L1_Im]]-EG106)*720)</f>
        <v>3600</v>
      </c>
      <c r="EY107" s="330">
        <f>IFERROR(RD[[#This Row],[33kV_OG1_Ex (MWh)]]+RD[[#This Row],[33kV_OG1_Im (MWh)]],"")</f>
        <v>250493.48800000013</v>
      </c>
      <c r="EZ107" s="148">
        <f>RD[[#This Row],[33kV_OG1_Ex (MWh)]]-RD[[#This Row],[33kV_OG1_Im (MWh)]]</f>
        <v>244334.51199999987</v>
      </c>
      <c r="FA107" s="148">
        <f>IFERROR(RD[[#This Row],[132kV_L1_Ex(MWh)]]-RD[[#This Row],[132kV_L1_Im(MWh)]],"")</f>
        <v>243000</v>
      </c>
      <c r="FB107" s="332">
        <f>IFERROR(RD[[#This Row],[33kV_Ex(MWh)]]/RD[[#This Row],[Inv Total Gneration (MWh)]]-1,"")</f>
        <v>1.2882698664618442E-2</v>
      </c>
      <c r="FC107" s="333">
        <f>IFERROR((RD[[#This Row],[Sunset Time (POA&lt;20 W/m2)]]-RD[[#This Row],[Sunrise Time (POA&gt;20 W/m2)]])*24,0)</f>
        <v>11.75</v>
      </c>
      <c r="FD107" s="246">
        <v>128.08000000000001</v>
      </c>
      <c r="FE107" s="342" t="s">
        <v>1317</v>
      </c>
      <c r="FG107" s="144" t="str">
        <f>IFERROR(RD[[#This Row],[E_AC (WPR)]]/RD[[#This Row],[E_DC (WPR)]],"")</f>
        <v/>
      </c>
    </row>
    <row r="108" spans="1:163">
      <c r="A108" s="133">
        <f t="shared" si="167"/>
        <v>45848</v>
      </c>
      <c r="B108" s="138">
        <f>YEAR(RD[[#This Row],[Date]])+IF(MONTH(RD[[#This Row],[Date]])&gt;=4,1,0)</f>
        <v>2026</v>
      </c>
      <c r="C108" s="138">
        <f>YEAR(RD[[#This Row],[Date]])</f>
        <v>2025</v>
      </c>
      <c r="D108" s="139">
        <f t="shared" si="169"/>
        <v>45839</v>
      </c>
      <c r="E108" s="138">
        <f>DAY(EOMONTH(RD[[#This Row],[Date]],0))</f>
        <v>31</v>
      </c>
      <c r="F108" s="152">
        <v>0.28333333333333333</v>
      </c>
      <c r="G108" s="162">
        <v>0.77638888888888891</v>
      </c>
      <c r="H108" s="124">
        <v>3502.9</v>
      </c>
      <c r="I108" s="270">
        <v>3493.5</v>
      </c>
      <c r="J108" s="124">
        <v>3252.8</v>
      </c>
      <c r="K108" s="124">
        <v>3236.5</v>
      </c>
      <c r="L108" s="124">
        <v>3376.3</v>
      </c>
      <c r="M108" s="124">
        <v>3499.1</v>
      </c>
      <c r="N108" s="124">
        <v>3380.9</v>
      </c>
      <c r="O108" s="124">
        <v>3771.5</v>
      </c>
      <c r="P108" s="124">
        <v>3365.1</v>
      </c>
      <c r="Q108" s="124">
        <v>3363.1</v>
      </c>
      <c r="R108" s="124">
        <v>3405.1</v>
      </c>
      <c r="S108" s="268">
        <v>3471.7</v>
      </c>
      <c r="T108" s="124">
        <v>3534.7</v>
      </c>
      <c r="U108" s="124">
        <v>3394.4</v>
      </c>
      <c r="V108" s="124">
        <v>3528.8</v>
      </c>
      <c r="W108" s="124">
        <v>3392.2</v>
      </c>
      <c r="X108" s="296">
        <v>4805</v>
      </c>
      <c r="Y108" s="203">
        <v>5468.7</v>
      </c>
      <c r="Z108" s="203">
        <v>4690.1000000000004</v>
      </c>
      <c r="AA108" s="203">
        <v>4917.6000000000004</v>
      </c>
      <c r="AB108" s="296">
        <v>5137.7</v>
      </c>
      <c r="AC108" s="203">
        <v>3125.1</v>
      </c>
      <c r="AD108" s="203">
        <v>4815.8</v>
      </c>
      <c r="AE108" s="203">
        <v>4931.1000000000004</v>
      </c>
      <c r="AF108" s="296">
        <v>4806.6000000000004</v>
      </c>
      <c r="AG108" s="203">
        <v>4804</v>
      </c>
      <c r="AH108" s="203">
        <v>4790.8</v>
      </c>
      <c r="AI108" s="296">
        <v>4815.2</v>
      </c>
      <c r="AJ108" s="142">
        <v>3856.9</v>
      </c>
      <c r="AK108" s="142">
        <v>4013.6</v>
      </c>
      <c r="AL108" s="142">
        <v>3977.4</v>
      </c>
      <c r="AM108" s="142">
        <v>4018.2</v>
      </c>
      <c r="AN108" s="142">
        <v>3968.9</v>
      </c>
      <c r="AO108" s="142">
        <v>4128.3999999999996</v>
      </c>
      <c r="AP108" s="142">
        <v>4038.4</v>
      </c>
      <c r="AQ108" s="142">
        <v>3694.1</v>
      </c>
      <c r="AR108" s="142">
        <v>3186.3</v>
      </c>
      <c r="AS108" s="142">
        <v>3213.1</v>
      </c>
      <c r="AT108" s="142">
        <v>3224.3</v>
      </c>
      <c r="AU108" s="142">
        <v>3196.2</v>
      </c>
      <c r="AV108" s="142">
        <v>3270.4</v>
      </c>
      <c r="AW108" s="142">
        <v>3226.2</v>
      </c>
      <c r="AX108" s="142">
        <v>4568.3</v>
      </c>
      <c r="AY108" s="142">
        <v>5186.2</v>
      </c>
      <c r="AZ108" s="142">
        <v>3749.3</v>
      </c>
      <c r="BA108" s="142">
        <v>4624.6000000000004</v>
      </c>
      <c r="BB108" s="142">
        <v>4991</v>
      </c>
      <c r="BC108" s="142">
        <v>4748.6000000000004</v>
      </c>
      <c r="BD108" s="142">
        <v>4258.1000000000004</v>
      </c>
      <c r="BE108" s="142">
        <v>4683.3999999999996</v>
      </c>
      <c r="BF108" s="142">
        <v>5077.6000000000004</v>
      </c>
      <c r="BG108" s="142">
        <v>5203</v>
      </c>
      <c r="BH108" s="142">
        <v>5108.8999999999996</v>
      </c>
      <c r="BI108" s="142">
        <v>5187.3999999999996</v>
      </c>
      <c r="BJ108" s="142">
        <v>3349.5</v>
      </c>
      <c r="BK108" s="142">
        <v>2666.3</v>
      </c>
      <c r="BL108" s="142">
        <v>3230.4</v>
      </c>
      <c r="BM108" s="142">
        <v>3140</v>
      </c>
      <c r="BN108" s="142">
        <v>3577.2</v>
      </c>
      <c r="BO108" s="142">
        <v>3420.9</v>
      </c>
      <c r="BP108" s="142">
        <v>3765.3</v>
      </c>
      <c r="BQ108" s="142">
        <v>3685.2</v>
      </c>
      <c r="BR108" s="142">
        <v>3887</v>
      </c>
      <c r="BS108" s="142">
        <v>4025</v>
      </c>
      <c r="BT108" s="142">
        <v>3838</v>
      </c>
      <c r="BU108" s="142">
        <v>4197</v>
      </c>
      <c r="BV108" s="203">
        <v>3373.5</v>
      </c>
      <c r="BW108" s="203">
        <v>3113.2</v>
      </c>
      <c r="BX108" s="203">
        <v>2911.7</v>
      </c>
      <c r="BY108" s="203">
        <v>3317.2</v>
      </c>
      <c r="BZ108" s="142">
        <v>1455.7</v>
      </c>
      <c r="CA108" s="142">
        <v>390.8</v>
      </c>
      <c r="CB108" s="142">
        <v>3185.4</v>
      </c>
      <c r="CC108" s="142">
        <v>3474.8</v>
      </c>
      <c r="CD108" s="206">
        <v>2.6967634666666669</v>
      </c>
      <c r="CE108" s="59">
        <v>2.3522299499999986</v>
      </c>
      <c r="CF108" s="206">
        <v>2.1263149166666659</v>
      </c>
      <c r="CG108" s="206">
        <v>2.3378052333333308</v>
      </c>
      <c r="CH108" s="206">
        <v>0.27639426666666689</v>
      </c>
      <c r="CI108" s="206">
        <v>0.31532828333333307</v>
      </c>
      <c r="CJ108" s="59">
        <v>0.39723686666666691</v>
      </c>
      <c r="CK108" s="59">
        <v>0.31341363333333394</v>
      </c>
      <c r="CL108" s="206">
        <v>26.238896447467859</v>
      </c>
      <c r="CM108" s="206">
        <v>26.118941798941776</v>
      </c>
      <c r="CN108" s="206">
        <v>35.809195767195781</v>
      </c>
      <c r="CO108" s="206">
        <v>32.725187452758888</v>
      </c>
      <c r="CP108" s="206">
        <v>88.50474678760385</v>
      </c>
      <c r="CQ108" s="206">
        <v>88.339606953892599</v>
      </c>
      <c r="CR108" s="206">
        <v>0</v>
      </c>
      <c r="CS108" s="59">
        <v>0</v>
      </c>
      <c r="CT108" s="206">
        <v>0.70855782312925097</v>
      </c>
      <c r="CU108" s="206">
        <v>0.81297505668934211</v>
      </c>
      <c r="CV108" s="206">
        <v>1.8180000000000001</v>
      </c>
      <c r="CW108" s="260">
        <v>1.6919999999999999</v>
      </c>
      <c r="CX108" s="204">
        <f>IFERROR(AVERAGEIF(RD[[#This Row],[IS1POA1 (KWh/m2)]:[IS7POA2 (KWh/m2)]],"&lt;&gt;0",RD[[#This Row],[IS1POA1 (KWh/m2)]:[IS7POA2 (KWh/m2)]]),"")</f>
        <v>2.5244967083333325</v>
      </c>
      <c r="CY108" s="204">
        <f>IFERROR(AVERAGEIF(RD[[#This Row],[IS1GHI1 (KWh/m2)]:[IS7GHI2 (KWh/m2)]],"&lt;&gt;0",RD[[#This Row],[IS1GHI1 (KWh/m2)]:[IS7GHI2 (KWh/m2)]]),"")</f>
        <v>2.2320600749999984</v>
      </c>
      <c r="CZ108" s="204">
        <f>IFERROR(AVERAGEIF(RD[[#This Row],[IS1POA_BS1 (KWh/m2)]:[IS7POA_BS2 (KWh/m2)]],"&lt;&gt;0",RD[[#This Row],[IS1POA_BS1 (KWh/m2)]:[IS7POA_BS2 (KWh/m2)]]),"")</f>
        <v>0.29586127499999998</v>
      </c>
      <c r="DA108" s="204">
        <f>IFERROR(AVERAGEIF(RD[[#This Row],[IS1GHI_BS1 (KWh/m2)]:[IS1GHI_BS1 (KWh/m2)2]],"&lt;&gt;0",RD[[#This Row],[IS1GHI_BS1 (KWh/m2)]:[IS1GHI_BS1 (KWh/m2)2]]),"")</f>
        <v>0.35532525000000043</v>
      </c>
      <c r="DB108" s="204">
        <f>IFERROR(AVERAGEIF(RD[[#This Row],[IS1AT1 (°C)]:[IS7AT2 (°C)]],"&lt;&gt;0",RD[[#This Row],[IS1AT1 (°C)]:[IS7AT2 (°C)]]),"")</f>
        <v>26.178919123204818</v>
      </c>
      <c r="DC108" s="204">
        <f>IFERROR(AVERAGEIF(RD[[#This Row],[IS1MT1 (°C)]:[IS7MT2 (°C)]],"&lt;&gt;0",RD[[#This Row],[IS1MT1 (°C)]:[IS7MT2 (°C)]]),"")</f>
        <v>34.267191609977331</v>
      </c>
      <c r="DD108" s="204">
        <f>IFERROR(AVERAGEIF(RD[[#This Row],[IS1RH1 (%)]:[IS7RH2 (%)]],"&lt;&gt;0",RD[[#This Row],[IS1RH1 (%)]:[IS7RH2 (%)]]),"")</f>
        <v>88.422176870748217</v>
      </c>
      <c r="DE108" s="204" t="str">
        <f>IFERROR(AVERAGEIF(RD[[#This Row],[IS1Rain1 (mm)]:[IS7Rain2 (mm)]],"&lt;&gt;0",RD[[#This Row],[IS1Rain1 (mm)]:[IS7Rain2 (mm)]]),"")</f>
        <v/>
      </c>
      <c r="DF108" s="204">
        <f>IFERROR(AVERAGEIF(RD[[#This Row],[WS_Solar1_Avg (m/s)]:[IS7_WS_Solar1_Avg (m/s)]],"&lt;&gt;0",RD[[#This Row],[WS_Solar1_Avg (m/s)]:[IS7_WS_Solar1_Avg (m/s)]]),"")</f>
        <v>0.7607664399092966</v>
      </c>
      <c r="DG108" s="204">
        <f>IFERROR(AVERAGEIF(RD[[#This Row],[WS_Solar1_Max (m/s)]:[IS7_WS_Solar1_Max (m/s)]],"&lt;&gt;0",RD[[#This Row],[WS_Solar1_Max (m/s)]:[IS7_WS_Solar1_Max (m/s)]]),"")</f>
        <v>1.7549999999999999</v>
      </c>
      <c r="DH108" s="204">
        <f>SUM(RD[[#This Row],[IS1Inv1M1]:[IS4Inv4M2]])</f>
        <v>112076.30000000002</v>
      </c>
      <c r="DI108" s="205">
        <f>SUM(RD[[#This Row],[IS7Inv1M1]]+RD[[#This Row],[IS7Inv2M1]])</f>
        <v>6399.4</v>
      </c>
      <c r="DJ108" s="204">
        <f>SUM(RD[[#This Row],[IS5Inv1M1]:[IS5Inv2M2]])</f>
        <v>15866.099999999999</v>
      </c>
      <c r="DK108" s="204">
        <f>SUM(RD[[#This Row],[IS8Inv1M1]:[IS9Inv2M2]])</f>
        <v>31045.5</v>
      </c>
      <c r="DL108" s="60">
        <f>SUM(RD[[#This Row],[IS6Inv1M1]:[IS6Inv2M2]])</f>
        <v>15829.8</v>
      </c>
      <c r="DM108" s="288">
        <f>SUM(RD[[#This Row],[IS10Inv1M1]:[IS11Inv1M4]],RD[[#This Row],[IS14Inv1M1]:[IS14Inv2M4]])</f>
        <v>72866.5</v>
      </c>
      <c r="DN108" s="288">
        <f>SUM(RD[[#This Row],[IS12Inv1M1]:[IS12Inv1M4]])</f>
        <v>14448.600000000002</v>
      </c>
      <c r="DO108" s="288">
        <f>SUM(RD[[#This Row],[IS13Inv1M1]:[IS13Inv2M2]])</f>
        <v>15947</v>
      </c>
      <c r="DP108" s="204">
        <f>SUM(RD[[#This Row],[O2R15]:[O2R26]])</f>
        <v>284479.2</v>
      </c>
      <c r="DQ108" s="164">
        <v>45371.5</v>
      </c>
      <c r="DR108" s="168">
        <v>229.7</v>
      </c>
      <c r="DS108" s="164">
        <v>39673.5</v>
      </c>
      <c r="DT108" s="164">
        <v>241.4</v>
      </c>
      <c r="DU108" s="168">
        <v>46877.4</v>
      </c>
      <c r="DV108" s="168">
        <v>452.6</v>
      </c>
      <c r="DW108" s="164">
        <v>10805</v>
      </c>
      <c r="DX108" s="168">
        <v>57.4</v>
      </c>
      <c r="DY108" s="168">
        <v>4313.3</v>
      </c>
      <c r="DZ108" s="168">
        <v>23.7</v>
      </c>
      <c r="EA108" s="140">
        <v>108.72</v>
      </c>
      <c r="EB108" s="243">
        <v>151152410</v>
      </c>
      <c r="EC108" s="242">
        <v>1077154.6880000001</v>
      </c>
      <c r="ED108" s="243">
        <v>1292</v>
      </c>
      <c r="EE108" s="243">
        <v>145349</v>
      </c>
      <c r="EF108" s="164">
        <v>209562.8</v>
      </c>
      <c r="EG108" s="164">
        <v>2066.8000000000002</v>
      </c>
      <c r="EH108" s="146">
        <f>IF((RD[[#This Row],[33 kV_F3_Ex
Incomer1]]-DQ107)*1000&lt;0,0,(RD[[#This Row],[33 kV_F3_Ex
Incomer1]]-DQ107)*1000)</f>
        <v>56900.000000001455</v>
      </c>
      <c r="EI108" s="146">
        <f>IF((RD[[#This Row],[34 kV_F3_Im
Incomer1]]-DR107)*1000&lt;0,0,(RD[[#This Row],[34 kV_F3_Im
Incomer1]]-DR107)*1000)</f>
        <v>399.99999999997726</v>
      </c>
      <c r="EJ108" s="146">
        <f>IF((RD[[#This Row],[33 kV_F4_Ex
Incomer2]]-DS107)*1000&lt;0,0,(RD[[#This Row],[33 kV_F4_Ex
Incomer2]]-DS107)*1000)</f>
        <v>53300.00000000291</v>
      </c>
      <c r="EK108" s="146">
        <f>IF((RD[[#This Row],[34 kV_F4_Im
Incomer2]]-DT107)*1000&lt;0,0,(RD[[#This Row],[34 kV_F4_Im
Incomer2]]-DT107)*1000)</f>
        <v>300.00000000001137</v>
      </c>
      <c r="EL108" s="146">
        <f>IF((RD[[#This Row],[33 kV_F5_Ex
Incomer3]]-DU107)*1000&lt;0,0,(RD[[#This Row],[33 kV_F5_Ex
Incomer3]]-DU107)*1000)</f>
        <v>69099.999999998545</v>
      </c>
      <c r="EM108" s="146">
        <f>IF((RD[[#This Row],[34 kV_F5_Im
Incomer3]]-DV107)*1000&lt;0,0,(RD[[#This Row],[34 kV_F5_Im
Incomer3]]-DV107)*1000)</f>
        <v>1400.0000000000341</v>
      </c>
      <c r="EN108" s="146">
        <f>IF((RD[[#This Row],[33 kV_F6_Ex
Incomer4]]-DW107)*1000&lt;0,0,(RD[[#This Row],[33 kV_F6_Ex
Incomer4]]-DW107)*1000)</f>
        <v>21399.999999999636</v>
      </c>
      <c r="EO108" s="146">
        <f t="shared" si="166"/>
        <v>300.00000000001137</v>
      </c>
      <c r="EP108" s="146">
        <f>IF((RD[[#This Row],[33 kV_F7_Ex
Incomer5]]-DY107)*1000&lt;0,0,(RD[[#This Row],[33 kV_F7_Ex
Incomer5]]-DY107)*1000)</f>
        <v>66100.000000000364</v>
      </c>
      <c r="EQ108" s="146">
        <f>IF((RD[[#This Row],[33 kV_F7_Im
Incomer5]]-DZ107)*1000&lt;0,0,(RD[[#This Row],[33 kV_F7_Im
Incomer5]]-DZ107)*1000)</f>
        <v>699.99999999999932</v>
      </c>
      <c r="ER108" s="146">
        <f>IF((RD[[#This Row],[33 kV_Aux Trafo]]-EA107)*1000&lt;0,0,(RD[[#This Row],[33 kV_Aux Trafo]]-EA107)*1000)</f>
        <v>299.99999999999716</v>
      </c>
      <c r="ES108" s="158">
        <f>IF((RD[[#This Row],[33kV_OG1_Ex_]]-EB107)*1&lt;0,0,(RD[[#This Row],[33kV_OG1_Ex_]]-EB107)*1)</f>
        <v>284017</v>
      </c>
      <c r="ET108" s="146">
        <f>IF((RD[[#This Row],[33kV_OG1_Im]]-EC107)*1&lt;0,0,(RD[[#This Row],[33kV_OG1_Im]]-EC107)*1)</f>
        <v>3617.0879999999888</v>
      </c>
      <c r="EU108" s="146">
        <f>IF((RD[[#This Row],[132kV_TX1_EX]]-ED107)*720&lt;=0,"",(RD[[#This Row],[132kV_TX1_EX]]-ED107)*720)</f>
        <v>2880</v>
      </c>
      <c r="EV108" s="146">
        <f>IF((RD[[#This Row],[132 kV_Tx1_Im]]-EE107)*720&lt;=0,0,(RD[[#This Row],[132 kV_Tx1_Im]]-EE107)*720)</f>
        <v>203760</v>
      </c>
      <c r="EW108" s="146">
        <f>IF((RD[[#This Row],[132kV_L1_Ex]]-EF107)*720&lt;=0,0,(RD[[#This Row],[132kV_L1_Ex]]-EF107)*720)</f>
        <v>283175.99999999162</v>
      </c>
      <c r="EX108" s="146">
        <f>IF((RD[[#This Row],[132kV_L1_Im]]-EG107)*720&lt;=0,0,(RD[[#This Row],[132kV_L1_Im]]-EG107)*720)</f>
        <v>4176.000000000131</v>
      </c>
      <c r="EY108" s="330">
        <f>IFERROR(RD[[#This Row],[33kV_OG1_Ex (MWh)]]+RD[[#This Row],[33kV_OG1_Im (MWh)]],"")</f>
        <v>287634.08799999999</v>
      </c>
      <c r="EZ108" s="148">
        <f>RD[[#This Row],[33kV_OG1_Ex (MWh)]]-RD[[#This Row],[33kV_OG1_Im (MWh)]]</f>
        <v>280399.91200000001</v>
      </c>
      <c r="FA108" s="148">
        <f>IFERROR(RD[[#This Row],[132kV_L1_Ex(MWh)]]-RD[[#This Row],[132kV_L1_Im(MWh)]],"")</f>
        <v>278999.9999999915</v>
      </c>
      <c r="FB108" s="332">
        <f>IFERROR(RD[[#This Row],[33kV_Ex(MWh)]]/RD[[#This Row],[Inv Total Gneration (MWh)]]-1,"")</f>
        <v>1.1090048059752666E-2</v>
      </c>
      <c r="FC108" s="333">
        <f>IFERROR((RD[[#This Row],[Sunset Time (POA&lt;20 W/m2)]]-RD[[#This Row],[Sunrise Time (POA&gt;20 W/m2)]])*24,0)</f>
        <v>11.833333333333334</v>
      </c>
      <c r="FD108" s="246">
        <v>128.08000000000001</v>
      </c>
      <c r="FE108" s="343" t="s">
        <v>297</v>
      </c>
      <c r="FG108" s="144" t="str">
        <f>IFERROR(RD[[#This Row],[E_AC (WPR)]]/RD[[#This Row],[E_DC (WPR)]],"")</f>
        <v/>
      </c>
    </row>
    <row r="109" spans="1:163">
      <c r="A109" s="133">
        <f t="shared" si="167"/>
        <v>45849</v>
      </c>
      <c r="B109" s="138">
        <f>YEAR(RD[[#This Row],[Date]])+IF(MONTH(RD[[#This Row],[Date]])&gt;=4,1,0)</f>
        <v>2026</v>
      </c>
      <c r="C109" s="138">
        <f>YEAR(RD[[#This Row],[Date]])</f>
        <v>2025</v>
      </c>
      <c r="D109" s="139">
        <f t="shared" si="169"/>
        <v>45839</v>
      </c>
      <c r="E109" s="138">
        <f>DAY(EOMONTH(RD[[#This Row],[Date]],0))</f>
        <v>31</v>
      </c>
      <c r="F109" s="152">
        <v>0.25486111111111109</v>
      </c>
      <c r="G109" s="162">
        <v>0.78541666666666665</v>
      </c>
      <c r="H109" s="124">
        <v>7864.5</v>
      </c>
      <c r="I109" s="270">
        <v>7796.7</v>
      </c>
      <c r="J109" s="124">
        <v>7404.6</v>
      </c>
      <c r="K109" s="124">
        <v>7398.4</v>
      </c>
      <c r="L109" s="124">
        <v>7328.4</v>
      </c>
      <c r="M109" s="124">
        <v>7526.3</v>
      </c>
      <c r="N109" s="124">
        <v>7476.3</v>
      </c>
      <c r="O109" s="124">
        <v>8003.1</v>
      </c>
      <c r="P109" s="124">
        <v>7735.9</v>
      </c>
      <c r="Q109" s="124">
        <v>7588.1</v>
      </c>
      <c r="R109" s="124">
        <v>7698.9</v>
      </c>
      <c r="S109" s="268">
        <v>7843.7</v>
      </c>
      <c r="T109" s="124">
        <v>8080.9</v>
      </c>
      <c r="U109" s="124">
        <v>7732.6</v>
      </c>
      <c r="V109" s="124">
        <v>8008.1</v>
      </c>
      <c r="W109" s="124">
        <v>7782.8</v>
      </c>
      <c r="X109" s="296">
        <v>10837.1</v>
      </c>
      <c r="Y109" s="203">
        <v>11768.4</v>
      </c>
      <c r="Z109" s="203">
        <v>10554.7</v>
      </c>
      <c r="AA109" s="203">
        <v>10928.1</v>
      </c>
      <c r="AB109" s="296">
        <v>11371.4</v>
      </c>
      <c r="AC109" s="203">
        <v>7059.5</v>
      </c>
      <c r="AD109" s="203">
        <v>10597.4</v>
      </c>
      <c r="AE109" s="203">
        <v>10816.2</v>
      </c>
      <c r="AF109" s="296">
        <v>10707</v>
      </c>
      <c r="AG109" s="203">
        <v>10755</v>
      </c>
      <c r="AH109" s="203">
        <v>10577.2</v>
      </c>
      <c r="AI109" s="296">
        <v>10608.5</v>
      </c>
      <c r="AJ109" s="142">
        <v>8838.2999999999993</v>
      </c>
      <c r="AK109" s="142">
        <v>9104.2000000000007</v>
      </c>
      <c r="AL109" s="142">
        <v>9032</v>
      </c>
      <c r="AM109" s="142">
        <v>9067.2000000000007</v>
      </c>
      <c r="AN109" s="142">
        <v>9089.1</v>
      </c>
      <c r="AO109" s="142">
        <v>9420.2999999999993</v>
      </c>
      <c r="AP109" s="142">
        <v>9163.5</v>
      </c>
      <c r="AQ109" s="142">
        <v>8841.2999999999993</v>
      </c>
      <c r="AR109" s="142">
        <v>7332.7</v>
      </c>
      <c r="AS109" s="142">
        <v>7358.5</v>
      </c>
      <c r="AT109" s="142">
        <v>7406</v>
      </c>
      <c r="AU109" s="142">
        <v>7069</v>
      </c>
      <c r="AV109" s="142">
        <v>7462.3</v>
      </c>
      <c r="AW109" s="142">
        <v>7366.5</v>
      </c>
      <c r="AX109" s="142">
        <v>10529.9</v>
      </c>
      <c r="AY109" s="142">
        <v>11629.7</v>
      </c>
      <c r="AZ109" s="142">
        <v>8734</v>
      </c>
      <c r="BA109" s="142">
        <v>10474.1</v>
      </c>
      <c r="BB109" s="142">
        <v>8987.5</v>
      </c>
      <c r="BC109" s="142">
        <v>8690.5</v>
      </c>
      <c r="BD109" s="142">
        <v>8996.5</v>
      </c>
      <c r="BE109" s="142">
        <v>9823.4</v>
      </c>
      <c r="BF109" s="142">
        <v>10396.1</v>
      </c>
      <c r="BG109" s="142">
        <v>10467.5</v>
      </c>
      <c r="BH109" s="142">
        <v>10404.4</v>
      </c>
      <c r="BI109" s="142">
        <v>10585.9</v>
      </c>
      <c r="BJ109" s="142">
        <v>6952</v>
      </c>
      <c r="BK109" s="142">
        <v>5567</v>
      </c>
      <c r="BL109" s="142">
        <v>6602</v>
      </c>
      <c r="BM109" s="142">
        <v>6566</v>
      </c>
      <c r="BN109" s="142">
        <v>7252.3</v>
      </c>
      <c r="BO109" s="142">
        <v>6977.9</v>
      </c>
      <c r="BP109" s="142">
        <v>7499.8</v>
      </c>
      <c r="BQ109" s="142">
        <v>7459.2</v>
      </c>
      <c r="BR109" s="142">
        <v>7745</v>
      </c>
      <c r="BS109" s="142">
        <v>8020</v>
      </c>
      <c r="BT109" s="142">
        <v>7658</v>
      </c>
      <c r="BU109" s="142">
        <v>8387</v>
      </c>
      <c r="BV109" s="203">
        <v>7079.9</v>
      </c>
      <c r="BW109" s="203">
        <v>6527.1</v>
      </c>
      <c r="BX109" s="203">
        <v>6179.8</v>
      </c>
      <c r="BY109" s="203">
        <v>6993.9</v>
      </c>
      <c r="BZ109" s="142">
        <v>3179.6</v>
      </c>
      <c r="CA109" s="142">
        <v>962.5</v>
      </c>
      <c r="CB109" s="142">
        <v>6645.9</v>
      </c>
      <c r="CC109" s="142">
        <v>6998.5</v>
      </c>
      <c r="CD109" s="206">
        <v>6.7250780999999948</v>
      </c>
      <c r="CE109" s="59">
        <v>5.9108580166666593</v>
      </c>
      <c r="CF109" s="206">
        <v>5.4084949333333414</v>
      </c>
      <c r="CG109" s="206">
        <v>5.9889954333333337</v>
      </c>
      <c r="CH109" s="206">
        <v>0.7045649166666671</v>
      </c>
      <c r="CI109" s="206">
        <v>0.8212636333333343</v>
      </c>
      <c r="CJ109" s="59">
        <v>1.0422866500000012</v>
      </c>
      <c r="CK109" s="59">
        <v>0.85114939999999861</v>
      </c>
      <c r="CL109" s="206">
        <v>27.888654970760236</v>
      </c>
      <c r="CM109" s="206">
        <v>27.806683375104452</v>
      </c>
      <c r="CN109" s="206">
        <v>42.324035087719373</v>
      </c>
      <c r="CO109" s="206">
        <v>38.666757727652431</v>
      </c>
      <c r="CP109" s="206">
        <v>81.687502088554567</v>
      </c>
      <c r="CQ109" s="206">
        <v>81.816457811194709</v>
      </c>
      <c r="CR109" s="206">
        <v>0</v>
      </c>
      <c r="CS109" s="59">
        <v>0</v>
      </c>
      <c r="CT109" s="206">
        <v>1.0691428571428563</v>
      </c>
      <c r="CU109" s="206">
        <v>1.1503834586466166</v>
      </c>
      <c r="CV109" s="206">
        <v>3.573</v>
      </c>
      <c r="CW109" s="260">
        <v>2.484</v>
      </c>
      <c r="CX109" s="204">
        <f>IFERROR(AVERAGEIF(RD[[#This Row],[IS1POA1 (KWh/m2)]:[IS7POA2 (KWh/m2)]],"&lt;&gt;0",RD[[#This Row],[IS1POA1 (KWh/m2)]:[IS7POA2 (KWh/m2)]]),"")</f>
        <v>6.3179680583333271</v>
      </c>
      <c r="CY109" s="204">
        <f>IFERROR(AVERAGEIF(RD[[#This Row],[IS1GHI1 (KWh/m2)]:[IS7GHI2 (KWh/m2)]],"&lt;&gt;0",RD[[#This Row],[IS1GHI1 (KWh/m2)]:[IS7GHI2 (KWh/m2)]]),"")</f>
        <v>5.6987451833333376</v>
      </c>
      <c r="CZ109" s="204">
        <f>IFERROR(AVERAGEIF(RD[[#This Row],[IS1POA_BS1 (KWh/m2)]:[IS7POA_BS2 (KWh/m2)]],"&lt;&gt;0",RD[[#This Row],[IS1POA_BS1 (KWh/m2)]:[IS7POA_BS2 (KWh/m2)]]),"")</f>
        <v>0.76291427500000064</v>
      </c>
      <c r="DA109" s="204">
        <f>IFERROR(AVERAGEIF(RD[[#This Row],[IS1GHI_BS1 (KWh/m2)]:[IS1GHI_BS1 (KWh/m2)2]],"&lt;&gt;0",RD[[#This Row],[IS1GHI_BS1 (KWh/m2)]:[IS1GHI_BS1 (KWh/m2)2]]),"")</f>
        <v>0.94671802499999991</v>
      </c>
      <c r="DB109" s="204">
        <f>IFERROR(AVERAGEIF(RD[[#This Row],[IS1AT1 (°C)]:[IS7AT2 (°C)]],"&lt;&gt;0",RD[[#This Row],[IS1AT1 (°C)]:[IS7AT2 (°C)]]),"")</f>
        <v>27.847669172932342</v>
      </c>
      <c r="DC109" s="204">
        <f>IFERROR(AVERAGEIF(RD[[#This Row],[IS1MT1 (°C)]:[IS7MT2 (°C)]],"&lt;&gt;0",RD[[#This Row],[IS1MT1 (°C)]:[IS7MT2 (°C)]]),"")</f>
        <v>40.495396407685902</v>
      </c>
      <c r="DD109" s="204">
        <f>IFERROR(AVERAGEIF(RD[[#This Row],[IS1RH1 (%)]:[IS7RH2 (%)]],"&lt;&gt;0",RD[[#This Row],[IS1RH1 (%)]:[IS7RH2 (%)]]),"")</f>
        <v>81.751979949874638</v>
      </c>
      <c r="DE109" s="204" t="str">
        <f>IFERROR(AVERAGEIF(RD[[#This Row],[IS1Rain1 (mm)]:[IS7Rain2 (mm)]],"&lt;&gt;0",RD[[#This Row],[IS1Rain1 (mm)]:[IS7Rain2 (mm)]]),"")</f>
        <v/>
      </c>
      <c r="DF109" s="204">
        <f>IFERROR(AVERAGEIF(RD[[#This Row],[WS_Solar1_Avg (m/s)]:[IS7_WS_Solar1_Avg (m/s)]],"&lt;&gt;0",RD[[#This Row],[WS_Solar1_Avg (m/s)]:[IS7_WS_Solar1_Avg (m/s)]]),"")</f>
        <v>1.1097631578947365</v>
      </c>
      <c r="DG109" s="204">
        <f>IFERROR(AVERAGEIF(RD[[#This Row],[WS_Solar1_Max (m/s)]:[IS7_WS_Solar1_Max (m/s)]],"&lt;&gt;0",RD[[#This Row],[WS_Solar1_Max (m/s)]:[IS7_WS_Solar1_Max (m/s)]]),"")</f>
        <v>3.0285000000000002</v>
      </c>
      <c r="DH109" s="204">
        <f>SUM(RD[[#This Row],[IS1Inv1M1]:[IS4Inv4M2]])</f>
        <v>249849.80000000005</v>
      </c>
      <c r="DI109" s="205">
        <f>SUM(RD[[#This Row],[IS7Inv1M1]]+RD[[#This Row],[IS7Inv2M1]])</f>
        <v>14691.2</v>
      </c>
      <c r="DJ109" s="204">
        <f>SUM(RD[[#This Row],[IS5Inv1M1]:[IS5Inv2M2]])</f>
        <v>36041.699999999997</v>
      </c>
      <c r="DK109" s="204">
        <f>SUM(RD[[#This Row],[IS8Inv1M1]:[IS9Inv2M2]])</f>
        <v>70671.5</v>
      </c>
      <c r="DL109" s="60">
        <f>SUM(RD[[#This Row],[IS6Inv1M1]:[IS6Inv2M2]])</f>
        <v>36514.199999999997</v>
      </c>
      <c r="DM109" s="288">
        <f>SUM(RD[[#This Row],[IS10Inv1M1]:[IS11Inv1M4]],RD[[#This Row],[IS14Inv1M1]:[IS14Inv2M4]])</f>
        <v>148605.99999999997</v>
      </c>
      <c r="DN109" s="288">
        <f>SUM(RD[[#This Row],[IS12Inv1M1]:[IS12Inv1M4]])</f>
        <v>29189.200000000001</v>
      </c>
      <c r="DO109" s="288">
        <f>SUM(RD[[#This Row],[IS13Inv1M1]:[IS13Inv2M2]])</f>
        <v>31810</v>
      </c>
      <c r="DP109" s="204">
        <f>SUM(RD[[#This Row],[O2R15]:[O2R26]])</f>
        <v>617373.6</v>
      </c>
      <c r="DQ109" s="164">
        <v>45497.2</v>
      </c>
      <c r="DR109" s="168">
        <v>229.8</v>
      </c>
      <c r="DS109" s="164">
        <v>39788.1</v>
      </c>
      <c r="DT109" s="164">
        <v>241.7</v>
      </c>
      <c r="DU109" s="168">
        <v>47033.4</v>
      </c>
      <c r="DV109" s="168">
        <v>453.7</v>
      </c>
      <c r="DW109" s="164">
        <v>10848.8</v>
      </c>
      <c r="DX109" s="168">
        <v>57.6</v>
      </c>
      <c r="DY109" s="168">
        <v>4444.6000000000004</v>
      </c>
      <c r="DZ109" s="168">
        <v>24.2</v>
      </c>
      <c r="EA109" s="140">
        <v>109.01</v>
      </c>
      <c r="EB109" s="243">
        <v>151760994</v>
      </c>
      <c r="EC109" s="242">
        <v>1079802.24</v>
      </c>
      <c r="ED109" s="243">
        <v>1295</v>
      </c>
      <c r="EE109" s="243">
        <v>145955</v>
      </c>
      <c r="EF109" s="164">
        <v>210405.3</v>
      </c>
      <c r="EG109" s="164">
        <v>2071</v>
      </c>
      <c r="EH109" s="146">
        <f>IF((RD[[#This Row],[33 kV_F3_Ex
Incomer1]]-DQ108)*1000&lt;0,0,(RD[[#This Row],[33 kV_F3_Ex
Incomer1]]-DQ108)*1000)</f>
        <v>125699.99999999709</v>
      </c>
      <c r="EI109" s="146">
        <f>IF((RD[[#This Row],[34 kV_F3_Im
Incomer1]]-DR108)*1000&lt;0,0,(RD[[#This Row],[34 kV_F3_Im
Incomer1]]-DR108)*1000)</f>
        <v>100.00000000002274</v>
      </c>
      <c r="EJ109" s="146">
        <f>IF((RD[[#This Row],[33 kV_F4_Ex
Incomer2]]-DS108)*1000&lt;0,0,(RD[[#This Row],[33 kV_F4_Ex
Incomer2]]-DS108)*1000)</f>
        <v>114599.99999999854</v>
      </c>
      <c r="EK109" s="146">
        <f>IF((RD[[#This Row],[34 kV_F4_Im
Incomer2]]-DT108)*1000&lt;0,0,(RD[[#This Row],[34 kV_F4_Im
Incomer2]]-DT108)*1000)</f>
        <v>299.99999999998295</v>
      </c>
      <c r="EL109" s="146">
        <f>IF((RD[[#This Row],[33 kV_F5_Ex
Incomer3]]-DU108)*1000&lt;0,0,(RD[[#This Row],[33 kV_F5_Ex
Incomer3]]-DU108)*1000)</f>
        <v>156000</v>
      </c>
      <c r="EM109" s="146">
        <f>IF((RD[[#This Row],[34 kV_F5_Im
Incomer3]]-DV108)*1000&lt;0,0,(RD[[#This Row],[34 kV_F5_Im
Incomer3]]-DV108)*1000)</f>
        <v>1099.9999999999659</v>
      </c>
      <c r="EN109" s="146">
        <f>IF((RD[[#This Row],[33 kV_F6_Ex
Incomer4]]-DW108)*1000&lt;0,0,(RD[[#This Row],[33 kV_F6_Ex
Incomer4]]-DW108)*1000)</f>
        <v>43799.999999999272</v>
      </c>
      <c r="EO109" s="146">
        <f t="shared" si="166"/>
        <v>299.99999999998295</v>
      </c>
      <c r="EP109" s="146">
        <f>IF((RD[[#This Row],[33 kV_F7_Ex
Incomer5]]-DY108)*1000&lt;0,0,(RD[[#This Row],[33 kV_F7_Ex
Incomer5]]-DY108)*1000)</f>
        <v>131300.00000000017</v>
      </c>
      <c r="EQ109" s="146">
        <f>IF((RD[[#This Row],[33 kV_F7_Im
Incomer5]]-DZ108)*1000&lt;0,0,(RD[[#This Row],[33 kV_F7_Im
Incomer5]]-DZ108)*1000)</f>
        <v>500</v>
      </c>
      <c r="ER109" s="146">
        <f>IF((RD[[#This Row],[33 kV_Aux Trafo]]-EA108)*1000&lt;0,0,(RD[[#This Row],[33 kV_Aux Trafo]]-EA108)*1000)</f>
        <v>290.00000000000625</v>
      </c>
      <c r="ES109" s="158">
        <f>IF((RD[[#This Row],[33kV_OG1_Ex_]]-EB108)*1&lt;0,0,(RD[[#This Row],[33kV_OG1_Ex_]]-EB108)*1)</f>
        <v>608584</v>
      </c>
      <c r="ET109" s="146">
        <f>IF((RD[[#This Row],[33kV_OG1_Im]]-EC108)*1&lt;0,0,(RD[[#This Row],[33kV_OG1_Im]]-EC108)*1)</f>
        <v>2647.5519999999087</v>
      </c>
      <c r="EU109" s="146">
        <f>IF((RD[[#This Row],[132kV_TX1_EX]]-ED108)*720&lt;=0,"",(RD[[#This Row],[132kV_TX1_EX]]-ED108)*720)</f>
        <v>2160</v>
      </c>
      <c r="EV109" s="146">
        <f>IF((RD[[#This Row],[132 kV_Tx1_Im]]-EE108)*720&lt;=0,0,(RD[[#This Row],[132 kV_Tx1_Im]]-EE108)*720)</f>
        <v>436320</v>
      </c>
      <c r="EW109" s="146">
        <f>IF((RD[[#This Row],[132kV_L1_Ex]]-EF108)*720&lt;=0,0,(RD[[#This Row],[132kV_L1_Ex]]-EF108)*720)</f>
        <v>606600</v>
      </c>
      <c r="EX109" s="146">
        <f>IF((RD[[#This Row],[132kV_L1_Im]]-EG108)*720&lt;=0,0,(RD[[#This Row],[132kV_L1_Im]]-EG108)*720)</f>
        <v>3023.999999999869</v>
      </c>
      <c r="EY109" s="330">
        <f>IFERROR(RD[[#This Row],[33kV_OG1_Ex (MWh)]]+RD[[#This Row],[33kV_OG1_Im (MWh)]],"")</f>
        <v>611231.55199999991</v>
      </c>
      <c r="EZ109" s="148">
        <f>RD[[#This Row],[33kV_OG1_Ex (MWh)]]-RD[[#This Row],[33kV_OG1_Im (MWh)]]</f>
        <v>605936.44800000009</v>
      </c>
      <c r="FA109" s="148">
        <f>IFERROR(RD[[#This Row],[132kV_L1_Ex(MWh)]]-RD[[#This Row],[132kV_L1_Im(MWh)]],"")</f>
        <v>603576.00000000012</v>
      </c>
      <c r="FB109" s="332">
        <f>IFERROR(RD[[#This Row],[33kV_Ex(MWh)]]/RD[[#This Row],[Inv Total Gneration (MWh)]]-1,"")</f>
        <v>-9.9486728943383174E-3</v>
      </c>
      <c r="FC109" s="333">
        <f>IFERROR((RD[[#This Row],[Sunset Time (POA&lt;20 W/m2)]]-RD[[#This Row],[Sunrise Time (POA&gt;20 W/m2)]])*24,0)</f>
        <v>12.733333333333334</v>
      </c>
      <c r="FD109" s="246">
        <v>128.08000000000001</v>
      </c>
      <c r="FE109" t="s">
        <v>1323</v>
      </c>
      <c r="FG109" s="144" t="str">
        <f>IFERROR(RD[[#This Row],[E_AC (WPR)]]/RD[[#This Row],[E_DC (WPR)]],"")</f>
        <v/>
      </c>
    </row>
    <row r="110" spans="1:163">
      <c r="A110" s="133">
        <f t="shared" si="167"/>
        <v>45850</v>
      </c>
      <c r="B110" s="138">
        <f>YEAR(RD[[#This Row],[Date]])+IF(MONTH(RD[[#This Row],[Date]])&gt;=4,1,0)</f>
        <v>2026</v>
      </c>
      <c r="C110" s="138">
        <f>YEAR(RD[[#This Row],[Date]])</f>
        <v>2025</v>
      </c>
      <c r="D110" s="139">
        <f t="shared" si="169"/>
        <v>45839</v>
      </c>
      <c r="E110" s="138">
        <f>DAY(EOMONTH(RD[[#This Row],[Date]],0))</f>
        <v>31</v>
      </c>
      <c r="F110" s="152">
        <v>0.25486111111111109</v>
      </c>
      <c r="G110" s="162">
        <v>0.78333333333333333</v>
      </c>
      <c r="H110" s="124">
        <v>5889</v>
      </c>
      <c r="I110" s="270">
        <v>5891.1</v>
      </c>
      <c r="J110" s="124">
        <v>5524.9</v>
      </c>
      <c r="K110" s="124">
        <v>5560.6</v>
      </c>
      <c r="L110" s="124">
        <v>5718.8</v>
      </c>
      <c r="M110" s="124">
        <v>5871.1</v>
      </c>
      <c r="N110" s="124">
        <v>5708.7</v>
      </c>
      <c r="O110" s="124">
        <v>6287.5</v>
      </c>
      <c r="P110" s="124">
        <v>5718.9</v>
      </c>
      <c r="Q110" s="124">
        <v>5719.2</v>
      </c>
      <c r="R110" s="124">
        <v>5797.1</v>
      </c>
      <c r="S110" s="268">
        <v>5891.1</v>
      </c>
      <c r="T110" s="124">
        <v>5989.1</v>
      </c>
      <c r="U110" s="124">
        <v>5804.9</v>
      </c>
      <c r="V110" s="124">
        <v>6005.1</v>
      </c>
      <c r="W110" s="124">
        <v>5783.8</v>
      </c>
      <c r="X110" s="296">
        <v>8071.2</v>
      </c>
      <c r="Y110" s="203">
        <v>9103.9</v>
      </c>
      <c r="Z110" s="203">
        <v>7869.8</v>
      </c>
      <c r="AA110" s="203">
        <v>8224.9</v>
      </c>
      <c r="AB110" s="296">
        <v>8751.2999999999993</v>
      </c>
      <c r="AC110" s="203">
        <v>5529.9</v>
      </c>
      <c r="AD110" s="203">
        <v>8313.5</v>
      </c>
      <c r="AE110" s="203">
        <v>8521</v>
      </c>
      <c r="AF110" s="296">
        <v>8242.5</v>
      </c>
      <c r="AG110" s="203">
        <v>8144</v>
      </c>
      <c r="AH110" s="203">
        <v>8263.1</v>
      </c>
      <c r="AI110" s="296">
        <v>8319.4</v>
      </c>
      <c r="AJ110" s="142">
        <v>6992.3</v>
      </c>
      <c r="AK110" s="142">
        <v>7206</v>
      </c>
      <c r="AL110" s="142">
        <v>7178.6</v>
      </c>
      <c r="AM110" s="142">
        <v>7237.3</v>
      </c>
      <c r="AN110" s="142">
        <v>7157.8</v>
      </c>
      <c r="AO110" s="142">
        <v>7417.7</v>
      </c>
      <c r="AP110" s="142">
        <v>7257.3</v>
      </c>
      <c r="AQ110" s="142">
        <v>7164.4</v>
      </c>
      <c r="AR110" s="142">
        <v>5773.7</v>
      </c>
      <c r="AS110" s="142">
        <v>5811.6</v>
      </c>
      <c r="AT110" s="142">
        <v>5862.8</v>
      </c>
      <c r="AU110" s="142">
        <v>5571.8</v>
      </c>
      <c r="AV110" s="142">
        <v>5926.5</v>
      </c>
      <c r="AW110" s="142">
        <v>5839.6</v>
      </c>
      <c r="AX110" s="142">
        <v>8141.9</v>
      </c>
      <c r="AY110" s="142">
        <v>9119.6</v>
      </c>
      <c r="AZ110" s="142">
        <v>6746</v>
      </c>
      <c r="BA110" s="142">
        <v>8216.2999999999993</v>
      </c>
      <c r="BB110" s="142">
        <v>8062</v>
      </c>
      <c r="BC110" s="142">
        <v>7760</v>
      </c>
      <c r="BD110" s="142">
        <v>7324</v>
      </c>
      <c r="BE110" s="142">
        <v>8076</v>
      </c>
      <c r="BF110" s="142">
        <v>8586</v>
      </c>
      <c r="BG110" s="142">
        <v>8786</v>
      </c>
      <c r="BH110" s="142">
        <v>8927</v>
      </c>
      <c r="BI110" s="142">
        <v>9033</v>
      </c>
      <c r="BJ110" s="142">
        <v>5972</v>
      </c>
      <c r="BK110" s="142">
        <v>4765</v>
      </c>
      <c r="BL110" s="142">
        <v>5796</v>
      </c>
      <c r="BM110" s="142">
        <v>5747</v>
      </c>
      <c r="BN110" s="142">
        <v>6365</v>
      </c>
      <c r="BO110" s="142">
        <v>6123</v>
      </c>
      <c r="BP110" s="142">
        <v>6672</v>
      </c>
      <c r="BQ110" s="142">
        <v>6532</v>
      </c>
      <c r="BR110" s="142">
        <v>6909</v>
      </c>
      <c r="BS110" s="142">
        <v>7163</v>
      </c>
      <c r="BT110" s="142">
        <v>6623</v>
      </c>
      <c r="BU110" s="142">
        <v>7453</v>
      </c>
      <c r="BV110" s="203">
        <v>6160</v>
      </c>
      <c r="BW110" s="203">
        <v>5653</v>
      </c>
      <c r="BX110" s="203">
        <v>5254</v>
      </c>
      <c r="BY110" s="203">
        <v>5848</v>
      </c>
      <c r="BZ110" s="142">
        <v>2727</v>
      </c>
      <c r="CA110" s="142">
        <v>808</v>
      </c>
      <c r="CB110" s="142">
        <v>5831</v>
      </c>
      <c r="CC110" s="142">
        <v>6279</v>
      </c>
      <c r="CD110" s="206">
        <v>4.7810886666666672</v>
      </c>
      <c r="CE110" s="59">
        <v>4.5068170166666777</v>
      </c>
      <c r="CF110" s="206">
        <v>3.8029342833333368</v>
      </c>
      <c r="CG110" s="206">
        <v>4.5644449500000004</v>
      </c>
      <c r="CH110" s="206">
        <v>0.51341783333333246</v>
      </c>
      <c r="CI110" s="206">
        <v>0.65675396666666686</v>
      </c>
      <c r="CJ110" s="59">
        <v>0.76454719999999987</v>
      </c>
      <c r="CK110" s="59">
        <v>0.66159460000000037</v>
      </c>
      <c r="CL110" s="206">
        <v>27.742296730930473</v>
      </c>
      <c r="CM110" s="206">
        <v>27.82573344509645</v>
      </c>
      <c r="CN110" s="206">
        <v>39.67335456831524</v>
      </c>
      <c r="CO110" s="206">
        <v>36.948031014249814</v>
      </c>
      <c r="CP110" s="206">
        <v>77.944073763621304</v>
      </c>
      <c r="CQ110" s="206">
        <v>78.004610226320196</v>
      </c>
      <c r="CR110" s="206">
        <v>0</v>
      </c>
      <c r="CS110" s="59">
        <v>0</v>
      </c>
      <c r="CT110" s="206">
        <v>1.4120997485331073</v>
      </c>
      <c r="CU110" s="206">
        <v>1.5403000838222969</v>
      </c>
      <c r="CV110" s="206">
        <v>2.9910000000000001</v>
      </c>
      <c r="CW110" s="260">
        <v>2.9609999999999999</v>
      </c>
      <c r="CX110" s="204">
        <f>IFERROR(AVERAGEIF(RD[[#This Row],[IS1POA1 (KWh/m2)]:[IS7POA2 (KWh/m2)]],"&lt;&gt;0",RD[[#This Row],[IS1POA1 (KWh/m2)]:[IS7POA2 (KWh/m2)]]),"")</f>
        <v>4.6439528416666729</v>
      </c>
      <c r="CY110" s="204">
        <f>IFERROR(AVERAGEIF(RD[[#This Row],[IS1GHI1 (KWh/m2)]:[IS7GHI2 (KWh/m2)]],"&lt;&gt;0",RD[[#This Row],[IS1GHI1 (KWh/m2)]:[IS7GHI2 (KWh/m2)]]),"")</f>
        <v>4.1836896166666691</v>
      </c>
      <c r="CZ110" s="204">
        <f>IFERROR(AVERAGEIF(RD[[#This Row],[IS1POA_BS1 (KWh/m2)]:[IS7POA_BS2 (KWh/m2)]],"&lt;&gt;0",RD[[#This Row],[IS1POA_BS1 (KWh/m2)]:[IS7POA_BS2 (KWh/m2)]]),"")</f>
        <v>0.58508589999999971</v>
      </c>
      <c r="DA110" s="204">
        <f>IFERROR(AVERAGEIF(RD[[#This Row],[IS1GHI_BS1 (KWh/m2)]:[IS1GHI_BS1 (KWh/m2)2]],"&lt;&gt;0",RD[[#This Row],[IS1GHI_BS1 (KWh/m2)]:[IS1GHI_BS1 (KWh/m2)2]]),"")</f>
        <v>0.71307090000000017</v>
      </c>
      <c r="DB110" s="204">
        <f>IFERROR(AVERAGEIF(RD[[#This Row],[IS1AT1 (°C)]:[IS7AT2 (°C)]],"&lt;&gt;0",RD[[#This Row],[IS1AT1 (°C)]:[IS7AT2 (°C)]]),"")</f>
        <v>27.784015088013462</v>
      </c>
      <c r="DC110" s="204">
        <f>IFERROR(AVERAGEIF(RD[[#This Row],[IS1MT1 (°C)]:[IS7MT2 (°C)]],"&lt;&gt;0",RD[[#This Row],[IS1MT1 (°C)]:[IS7MT2 (°C)]]),"")</f>
        <v>38.310692791282527</v>
      </c>
      <c r="DD110" s="204">
        <f>IFERROR(AVERAGEIF(RD[[#This Row],[IS1RH1 (%)]:[IS7RH2 (%)]],"&lt;&gt;0",RD[[#This Row],[IS1RH1 (%)]:[IS7RH2 (%)]]),"")</f>
        <v>77.974341994970757</v>
      </c>
      <c r="DE110" s="204" t="str">
        <f>IFERROR(AVERAGEIF(RD[[#This Row],[IS1Rain1 (mm)]:[IS7Rain2 (mm)]],"&lt;&gt;0",RD[[#This Row],[IS1Rain1 (mm)]:[IS7Rain2 (mm)]]),"")</f>
        <v/>
      </c>
      <c r="DF110" s="204">
        <f>IFERROR(AVERAGEIF(RD[[#This Row],[WS_Solar1_Avg (m/s)]:[IS7_WS_Solar1_Avg (m/s)]],"&lt;&gt;0",RD[[#This Row],[WS_Solar1_Avg (m/s)]:[IS7_WS_Solar1_Avg (m/s)]]),"")</f>
        <v>1.476199916177702</v>
      </c>
      <c r="DG110" s="204">
        <f>IFERROR(AVERAGEIF(RD[[#This Row],[WS_Solar1_Max (m/s)]:[IS7_WS_Solar1_Max (m/s)]],"&lt;&gt;0",RD[[#This Row],[WS_Solar1_Max (m/s)]:[IS7_WS_Solar1_Max (m/s)]]),"")</f>
        <v>2.976</v>
      </c>
      <c r="DH110" s="204">
        <f>SUM(RD[[#This Row],[IS1Inv1M1]:[IS4Inv4M2]])</f>
        <v>190515.4</v>
      </c>
      <c r="DI110" s="205">
        <f>SUM(RD[[#This Row],[IS7Inv1M1]]+RD[[#This Row],[IS7Inv2M1]])</f>
        <v>11585.3</v>
      </c>
      <c r="DJ110" s="204">
        <f>SUM(RD[[#This Row],[IS5Inv1M1]:[IS5Inv2M2]])</f>
        <v>28614.2</v>
      </c>
      <c r="DK110" s="204">
        <f>SUM(RD[[#This Row],[IS8Inv1M1]:[IS9Inv2M2]])</f>
        <v>55424.5</v>
      </c>
      <c r="DL110" s="60">
        <f>SUM(RD[[#This Row],[IS6Inv1M1]:[IS6Inv2M2]])</f>
        <v>28997.199999999997</v>
      </c>
      <c r="DM110" s="288">
        <f>SUM(RD[[#This Row],[IS10Inv1M1]:[IS11Inv1M4]],RD[[#This Row],[IS14Inv1M1]:[IS14Inv2M4]])</f>
        <v>127394</v>
      </c>
      <c r="DN110" s="288">
        <f>SUM(RD[[#This Row],[IS12Inv1M1]:[IS12Inv1M4]])</f>
        <v>25692</v>
      </c>
      <c r="DO110" s="288">
        <f>SUM(RD[[#This Row],[IS13Inv1M1]:[IS13Inv2M2]])</f>
        <v>28148</v>
      </c>
      <c r="DP110" s="204">
        <f>SUM(RD[[#This Row],[O2R15]:[O2R26]])</f>
        <v>496370.60000000003</v>
      </c>
      <c r="DQ110" s="164">
        <v>45594.1</v>
      </c>
      <c r="DR110" s="168">
        <v>230.1</v>
      </c>
      <c r="DS110" s="164">
        <v>39876</v>
      </c>
      <c r="DT110" s="164">
        <v>242</v>
      </c>
      <c r="DU110" s="168">
        <v>47156.9</v>
      </c>
      <c r="DV110" s="168">
        <v>454.9</v>
      </c>
      <c r="DW110" s="164">
        <v>10886.9</v>
      </c>
      <c r="DX110" s="168">
        <v>57.7</v>
      </c>
      <c r="DY110" s="168">
        <v>4557.7</v>
      </c>
      <c r="DZ110" s="168">
        <v>24.5</v>
      </c>
      <c r="EA110" s="140">
        <v>109.29</v>
      </c>
      <c r="EB110" s="243">
        <v>152251875</v>
      </c>
      <c r="EC110" s="242">
        <v>1082370.5600000001</v>
      </c>
      <c r="ED110" s="243">
        <v>1298</v>
      </c>
      <c r="EE110" s="243">
        <v>146444</v>
      </c>
      <c r="EF110" s="164">
        <v>211085</v>
      </c>
      <c r="EG110" s="164">
        <v>2075.1</v>
      </c>
      <c r="EH110" s="146">
        <f>IF((RD[[#This Row],[33 kV_F3_Ex
Incomer1]]-DQ109)*1000&lt;0,0,(RD[[#This Row],[33 kV_F3_Ex
Incomer1]]-DQ109)*1000)</f>
        <v>96900.000000001455</v>
      </c>
      <c r="EI110" s="146">
        <f>IF((RD[[#This Row],[34 kV_F3_Im
Incomer1]]-DR109)*1000&lt;0,0,(RD[[#This Row],[34 kV_F3_Im
Incomer1]]-DR109)*1000)</f>
        <v>299.99999999998295</v>
      </c>
      <c r="EJ110" s="146">
        <f>IF((RD[[#This Row],[33 kV_F4_Ex
Incomer2]]-DS109)*1000&lt;0,0,(RD[[#This Row],[33 kV_F4_Ex
Incomer2]]-DS109)*1000)</f>
        <v>87900.000000001455</v>
      </c>
      <c r="EK110" s="146">
        <f>IF((RD[[#This Row],[34 kV_F4_Im
Incomer2]]-DT109)*1000&lt;0,0,(RD[[#This Row],[34 kV_F4_Im
Incomer2]]-DT109)*1000)</f>
        <v>300.00000000001137</v>
      </c>
      <c r="EL110" s="146">
        <f>IF((RD[[#This Row],[33 kV_F5_Ex
Incomer3]]-DU109)*1000&lt;0,0,(RD[[#This Row],[33 kV_F5_Ex
Incomer3]]-DU109)*1000)</f>
        <v>123500</v>
      </c>
      <c r="EM110" s="146">
        <f>IF((RD[[#This Row],[34 kV_F5_Im
Incomer3]]-DV109)*1000&lt;0,0,(RD[[#This Row],[34 kV_F5_Im
Incomer3]]-DV109)*1000)</f>
        <v>1199.9999999999886</v>
      </c>
      <c r="EN110" s="146">
        <f>IF((RD[[#This Row],[33 kV_F6_Ex
Incomer4]]-DW109)*1000&lt;0,0,(RD[[#This Row],[33 kV_F6_Ex
Incomer4]]-DW109)*1000)</f>
        <v>38100.000000000364</v>
      </c>
      <c r="EO110" s="146">
        <f t="shared" si="166"/>
        <v>400.00000000000568</v>
      </c>
      <c r="EP110" s="146">
        <f>IF((RD[[#This Row],[33 kV_F7_Ex
Incomer5]]-DY109)*1000&lt;0,0,(RD[[#This Row],[33 kV_F7_Ex
Incomer5]]-DY109)*1000)</f>
        <v>113099.99999999945</v>
      </c>
      <c r="EQ110" s="146">
        <f>IF((RD[[#This Row],[33 kV_F7_Im
Incomer5]]-DZ109)*1000&lt;0,0,(RD[[#This Row],[33 kV_F7_Im
Incomer5]]-DZ109)*1000)</f>
        <v>300.00000000000068</v>
      </c>
      <c r="ER110" s="146">
        <f>IF((RD[[#This Row],[33 kV_Aux Trafo]]-EA109)*1000&lt;0,0,(RD[[#This Row],[33 kV_Aux Trafo]]-EA109)*1000)</f>
        <v>280.00000000000114</v>
      </c>
      <c r="ES110" s="158">
        <f>IF((RD[[#This Row],[33kV_OG1_Ex_]]-EB109)*1&lt;0,0,(RD[[#This Row],[33kV_OG1_Ex_]]-EB109)*1)</f>
        <v>490881</v>
      </c>
      <c r="ET110" s="146">
        <f>IF((RD[[#This Row],[33kV_OG1_Im]]-EC109)*1&lt;0,0,(RD[[#This Row],[33kV_OG1_Im]]-EC109)*1)</f>
        <v>2568.3200000000652</v>
      </c>
      <c r="EU110" s="146">
        <f>IF((RD[[#This Row],[132kV_TX1_EX]]-ED109)*720&lt;=0,"",(RD[[#This Row],[132kV_TX1_EX]]-ED109)*720)</f>
        <v>2160</v>
      </c>
      <c r="EV110" s="146">
        <f>IF((RD[[#This Row],[132 kV_Tx1_Im]]-EE109)*720&lt;=0,0,(RD[[#This Row],[132 kV_Tx1_Im]]-EE109)*720)</f>
        <v>352080</v>
      </c>
      <c r="EW110" s="146">
        <f>IF((RD[[#This Row],[132kV_L1_Ex]]-EF109)*720&lt;=0,0,(RD[[#This Row],[132kV_L1_Ex]]-EF109)*720)</f>
        <v>489384.00000000838</v>
      </c>
      <c r="EX110" s="146">
        <f>IF((RD[[#This Row],[132kV_L1_Im]]-EG109)*720&lt;=0,0,(RD[[#This Row],[132kV_L1_Im]]-EG109)*720)</f>
        <v>2951.9999999999345</v>
      </c>
      <c r="EY110" s="330">
        <f>IFERROR(RD[[#This Row],[33kV_OG1_Ex (MWh)]]+RD[[#This Row],[33kV_OG1_Im (MWh)]],"")</f>
        <v>493449.32000000007</v>
      </c>
      <c r="EZ110" s="148">
        <f>RD[[#This Row],[33kV_OG1_Ex (MWh)]]-RD[[#This Row],[33kV_OG1_Im (MWh)]]</f>
        <v>488312.67999999993</v>
      </c>
      <c r="FA110" s="148">
        <f>IFERROR(RD[[#This Row],[132kV_L1_Ex(MWh)]]-RD[[#This Row],[132kV_L1_Im(MWh)]],"")</f>
        <v>486432.00000000844</v>
      </c>
      <c r="FB110" s="332">
        <f>IFERROR(RD[[#This Row],[33kV_Ex(MWh)]]/RD[[#This Row],[Inv Total Gneration (MWh)]]-1,"")</f>
        <v>-5.8852800709792152E-3</v>
      </c>
      <c r="FC110" s="333">
        <f>IFERROR((RD[[#This Row],[Sunset Time (POA&lt;20 W/m2)]]-RD[[#This Row],[Sunrise Time (POA&gt;20 W/m2)]])*24,0)</f>
        <v>12.683333333333334</v>
      </c>
      <c r="FD110" s="246">
        <v>128.08000000000001</v>
      </c>
      <c r="FE110" s="343" t="s">
        <v>297</v>
      </c>
      <c r="FG110" s="144" t="str">
        <f>IFERROR(RD[[#This Row],[E_AC (WPR)]]/RD[[#This Row],[E_DC (WPR)]],"")</f>
        <v/>
      </c>
    </row>
    <row r="111" spans="1:163">
      <c r="A111" s="133">
        <f t="shared" si="167"/>
        <v>45851</v>
      </c>
      <c r="B111" s="138">
        <f>YEAR(RD[[#This Row],[Date]])+IF(MONTH(RD[[#This Row],[Date]])&gt;=4,1,0)</f>
        <v>2026</v>
      </c>
      <c r="C111" s="138">
        <f>YEAR(RD[[#This Row],[Date]])</f>
        <v>2025</v>
      </c>
      <c r="D111" s="139">
        <f t="shared" si="169"/>
        <v>45839</v>
      </c>
      <c r="E111" s="138">
        <f>DAY(EOMONTH(RD[[#This Row],[Date]],0))</f>
        <v>31</v>
      </c>
      <c r="F111" s="152">
        <v>0.26041666666666669</v>
      </c>
      <c r="G111" s="162">
        <v>0.78194444444444444</v>
      </c>
      <c r="H111" s="124">
        <v>5373.2</v>
      </c>
      <c r="I111" s="270">
        <v>5364.3</v>
      </c>
      <c r="J111" s="124">
        <v>4967.1000000000004</v>
      </c>
      <c r="K111" s="124">
        <v>4951.5</v>
      </c>
      <c r="L111" s="124">
        <v>5085.6000000000004</v>
      </c>
      <c r="M111" s="124">
        <v>5282.9</v>
      </c>
      <c r="N111" s="124">
        <v>5136.8</v>
      </c>
      <c r="O111" s="124">
        <v>5762.4</v>
      </c>
      <c r="P111" s="124">
        <v>5158.8999999999996</v>
      </c>
      <c r="Q111" s="124">
        <v>5098.1000000000004</v>
      </c>
      <c r="R111" s="124">
        <v>5155.3999999999996</v>
      </c>
      <c r="S111" s="268">
        <v>5273.3</v>
      </c>
      <c r="T111" s="124">
        <v>5366.3</v>
      </c>
      <c r="U111" s="124">
        <v>5123.2</v>
      </c>
      <c r="V111" s="124">
        <v>5395.8</v>
      </c>
      <c r="W111" s="124">
        <v>5246.8</v>
      </c>
      <c r="X111" s="296">
        <v>7276</v>
      </c>
      <c r="Y111" s="203">
        <v>8206.7999999999993</v>
      </c>
      <c r="Z111" s="203">
        <v>7143.3</v>
      </c>
      <c r="AA111" s="203">
        <v>7485.9</v>
      </c>
      <c r="AB111" s="296">
        <v>7623.7</v>
      </c>
      <c r="AC111" s="203">
        <v>4727.8999999999996</v>
      </c>
      <c r="AD111" s="203">
        <v>7276.6</v>
      </c>
      <c r="AE111" s="203">
        <v>7436.7</v>
      </c>
      <c r="AF111" s="296">
        <v>7240</v>
      </c>
      <c r="AG111" s="203">
        <v>7210</v>
      </c>
      <c r="AH111" s="203">
        <v>7210.6</v>
      </c>
      <c r="AI111" s="296">
        <v>7270.3</v>
      </c>
      <c r="AJ111" s="142">
        <v>5695.7</v>
      </c>
      <c r="AK111" s="142">
        <v>5858.5</v>
      </c>
      <c r="AL111" s="142">
        <v>5799.9</v>
      </c>
      <c r="AM111" s="142">
        <v>5847.8</v>
      </c>
      <c r="AN111" s="142">
        <v>5801.1</v>
      </c>
      <c r="AO111" s="142">
        <v>6005.4</v>
      </c>
      <c r="AP111" s="142">
        <v>5860.7</v>
      </c>
      <c r="AQ111" s="142">
        <v>5431.4</v>
      </c>
      <c r="AR111" s="142">
        <v>4671.3</v>
      </c>
      <c r="AS111" s="142">
        <v>4698.5</v>
      </c>
      <c r="AT111" s="142">
        <v>4742.3999999999996</v>
      </c>
      <c r="AU111" s="142">
        <v>4461.3999999999996</v>
      </c>
      <c r="AV111" s="142">
        <v>4794.3999999999996</v>
      </c>
      <c r="AW111" s="142">
        <v>4712.8</v>
      </c>
      <c r="AX111" s="142">
        <v>6656.9</v>
      </c>
      <c r="AY111" s="142">
        <v>7511.7</v>
      </c>
      <c r="AZ111" s="142">
        <v>5418.1</v>
      </c>
      <c r="BA111" s="142">
        <v>6610.8</v>
      </c>
      <c r="BB111" s="142">
        <v>7167</v>
      </c>
      <c r="BC111" s="142">
        <v>6879</v>
      </c>
      <c r="BD111" s="142">
        <v>6425</v>
      </c>
      <c r="BE111" s="142">
        <v>7044</v>
      </c>
      <c r="BF111" s="142">
        <v>7545</v>
      </c>
      <c r="BG111" s="142">
        <v>7697</v>
      </c>
      <c r="BH111" s="142">
        <v>7693</v>
      </c>
      <c r="BI111" s="142">
        <v>7740</v>
      </c>
      <c r="BJ111" s="142">
        <v>5094</v>
      </c>
      <c r="BK111" s="142">
        <v>4066</v>
      </c>
      <c r="BL111" s="142">
        <v>4917</v>
      </c>
      <c r="BM111" s="142">
        <v>4872</v>
      </c>
      <c r="BN111" s="142">
        <v>5437</v>
      </c>
      <c r="BO111" s="142">
        <v>5194</v>
      </c>
      <c r="BP111" s="142">
        <v>5704</v>
      </c>
      <c r="BQ111" s="142">
        <v>5600</v>
      </c>
      <c r="BR111" s="142">
        <v>5796</v>
      </c>
      <c r="BS111" s="142">
        <v>5951</v>
      </c>
      <c r="BT111" s="142">
        <v>5807</v>
      </c>
      <c r="BU111" s="142">
        <v>6270</v>
      </c>
      <c r="BV111" s="203">
        <v>5137</v>
      </c>
      <c r="BW111" s="203">
        <v>4748</v>
      </c>
      <c r="BX111" s="203">
        <v>4432</v>
      </c>
      <c r="BY111" s="203">
        <v>4952</v>
      </c>
      <c r="BZ111" s="142">
        <v>2268</v>
      </c>
      <c r="CA111" s="142">
        <v>649</v>
      </c>
      <c r="CB111" s="142">
        <v>4823</v>
      </c>
      <c r="CC111" s="142">
        <v>5240</v>
      </c>
      <c r="CD111" s="206">
        <v>4.2894197166666679</v>
      </c>
      <c r="CE111" s="59">
        <v>3.5521605666666694</v>
      </c>
      <c r="CF111" s="206">
        <v>3.377718349999995</v>
      </c>
      <c r="CG111" s="206">
        <v>3.5442604833333338</v>
      </c>
      <c r="CH111" s="206">
        <v>0.48200513333333345</v>
      </c>
      <c r="CI111" s="206">
        <v>0.5158090333333335</v>
      </c>
      <c r="CJ111" s="59">
        <v>0.68885341666666677</v>
      </c>
      <c r="CK111" s="59">
        <v>0.52540253333333353</v>
      </c>
      <c r="CL111" s="206">
        <v>27.453504273504205</v>
      </c>
      <c r="CM111" s="206">
        <v>27.480598290598294</v>
      </c>
      <c r="CN111" s="206">
        <v>38.634545299145266</v>
      </c>
      <c r="CO111" s="206">
        <v>35.572501709401713</v>
      </c>
      <c r="CP111" s="206">
        <v>77.713675213675359</v>
      </c>
      <c r="CQ111" s="206">
        <v>78.16153846153837</v>
      </c>
      <c r="CR111" s="206">
        <v>0</v>
      </c>
      <c r="CS111" s="59">
        <v>0</v>
      </c>
      <c r="CT111" s="206">
        <v>1.5335641025641009</v>
      </c>
      <c r="CU111" s="206">
        <v>1.6541999999999999</v>
      </c>
      <c r="CV111" s="206">
        <v>2.9249999999999998</v>
      </c>
      <c r="CW111" s="260">
        <v>3.6779999999999999</v>
      </c>
      <c r="CX111" s="204">
        <f>IFERROR(AVERAGEIF(RD[[#This Row],[IS1POA1 (KWh/m2)]:[IS7POA2 (KWh/m2)]],"&lt;&gt;0",RD[[#This Row],[IS1POA1 (KWh/m2)]:[IS7POA2 (KWh/m2)]]),"")</f>
        <v>3.9207901416666688</v>
      </c>
      <c r="CY111" s="204">
        <f>IFERROR(AVERAGEIF(RD[[#This Row],[IS1GHI1 (KWh/m2)]:[IS7GHI2 (KWh/m2)]],"&lt;&gt;0",RD[[#This Row],[IS1GHI1 (KWh/m2)]:[IS7GHI2 (KWh/m2)]]),"")</f>
        <v>3.4609894166666644</v>
      </c>
      <c r="CZ111" s="204">
        <f>IFERROR(AVERAGEIF(RD[[#This Row],[IS1POA_BS1 (KWh/m2)]:[IS7POA_BS2 (KWh/m2)]],"&lt;&gt;0",RD[[#This Row],[IS1POA_BS1 (KWh/m2)]:[IS7POA_BS2 (KWh/m2)]]),"")</f>
        <v>0.49890708333333345</v>
      </c>
      <c r="DA111" s="204">
        <f>IFERROR(AVERAGEIF(RD[[#This Row],[IS1GHI_BS1 (KWh/m2)]:[IS1GHI_BS1 (KWh/m2)2]],"&lt;&gt;0",RD[[#This Row],[IS1GHI_BS1 (KWh/m2)]:[IS1GHI_BS1 (KWh/m2)2]]),"")</f>
        <v>0.60712797500000015</v>
      </c>
      <c r="DB111" s="204">
        <f>IFERROR(AVERAGEIF(RD[[#This Row],[IS1AT1 (°C)]:[IS7AT2 (°C)]],"&lt;&gt;0",RD[[#This Row],[IS1AT1 (°C)]:[IS7AT2 (°C)]]),"")</f>
        <v>27.467051282051251</v>
      </c>
      <c r="DC111" s="204">
        <f>IFERROR(AVERAGEIF(RD[[#This Row],[IS1MT1 (°C)]:[IS7MT2 (°C)]],"&lt;&gt;0",RD[[#This Row],[IS1MT1 (°C)]:[IS7MT2 (°C)]]),"")</f>
        <v>37.10352350427349</v>
      </c>
      <c r="DD111" s="204">
        <f>IFERROR(AVERAGEIF(RD[[#This Row],[IS1RH1 (%)]:[IS7RH2 (%)]],"&lt;&gt;0",RD[[#This Row],[IS1RH1 (%)]:[IS7RH2 (%)]]),"")</f>
        <v>77.937606837606864</v>
      </c>
      <c r="DE111" s="204" t="str">
        <f>IFERROR(AVERAGEIF(RD[[#This Row],[IS1Rain1 (mm)]:[IS7Rain2 (mm)]],"&lt;&gt;0",RD[[#This Row],[IS1Rain1 (mm)]:[IS7Rain2 (mm)]]),"")</f>
        <v/>
      </c>
      <c r="DF111" s="204">
        <f>IFERROR(AVERAGEIF(RD[[#This Row],[WS_Solar1_Avg (m/s)]:[IS7_WS_Solar1_Avg (m/s)]],"&lt;&gt;0",RD[[#This Row],[WS_Solar1_Avg (m/s)]:[IS7_WS_Solar1_Avg (m/s)]]),"")</f>
        <v>1.5938820512820504</v>
      </c>
      <c r="DG111" s="204">
        <f>IFERROR(AVERAGEIF(RD[[#This Row],[WS_Solar1_Max (m/s)]:[IS7_WS_Solar1_Max (m/s)]],"&lt;&gt;0",RD[[#This Row],[WS_Solar1_Max (m/s)]:[IS7_WS_Solar1_Max (m/s)]]),"")</f>
        <v>3.3014999999999999</v>
      </c>
      <c r="DH111" s="204">
        <f>SUM(RD[[#This Row],[IS1Inv1M1]:[IS4Inv4M2]])</f>
        <v>169849.4</v>
      </c>
      <c r="DI111" s="205">
        <f>SUM(RD[[#This Row],[IS7Inv1M1]]+RD[[#This Row],[IS7Inv2M1]])</f>
        <v>9369.7999999999993</v>
      </c>
      <c r="DJ111" s="204">
        <f>SUM(RD[[#This Row],[IS5Inv1M1]:[IS5Inv2M2]])</f>
        <v>23201.899999999998</v>
      </c>
      <c r="DK111" s="204">
        <f>SUM(RD[[#This Row],[IS8Inv1M1]:[IS9Inv2M2]])</f>
        <v>44908.5</v>
      </c>
      <c r="DL111" s="60">
        <f>SUM(RD[[#This Row],[IS6Inv1M1]:[IS6Inv2M2]])</f>
        <v>23098.6</v>
      </c>
      <c r="DM111" s="288">
        <f>SUM(RD[[#This Row],[IS10Inv1M1]:[IS11Inv1M4]],RD[[#This Row],[IS14Inv1M1]:[IS14Inv2M4]])</f>
        <v>109388</v>
      </c>
      <c r="DN111" s="288">
        <f>SUM(RD[[#This Row],[IS12Inv1M1]:[IS12Inv1M4]])</f>
        <v>21935</v>
      </c>
      <c r="DO111" s="288">
        <f>SUM(RD[[#This Row],[IS13Inv1M1]:[IS13Inv2M2]])</f>
        <v>23824</v>
      </c>
      <c r="DP111" s="204">
        <f>SUM(RD[[#This Row],[O2R15]:[O2R26]])</f>
        <v>425575.19999999995</v>
      </c>
      <c r="DQ111" s="164">
        <v>45679.8</v>
      </c>
      <c r="DR111" s="168">
        <v>230.5</v>
      </c>
      <c r="DS111" s="164">
        <v>39955.699999999997</v>
      </c>
      <c r="DT111" s="164">
        <v>242.3</v>
      </c>
      <c r="DU111" s="168">
        <v>47257.1</v>
      </c>
      <c r="DV111" s="168">
        <v>455.5</v>
      </c>
      <c r="DW111" s="164">
        <v>10918.9</v>
      </c>
      <c r="DX111" s="168">
        <v>57.8</v>
      </c>
      <c r="DY111" s="168">
        <v>4655.3999999999996</v>
      </c>
      <c r="DZ111" s="168">
        <v>24.9</v>
      </c>
      <c r="EA111" s="140">
        <v>109.59</v>
      </c>
      <c r="EB111" s="243">
        <v>152674156</v>
      </c>
      <c r="EC111" s="242">
        <v>1084392.064</v>
      </c>
      <c r="ED111" s="243">
        <v>1301</v>
      </c>
      <c r="EE111" s="243">
        <v>146865</v>
      </c>
      <c r="EF111" s="164">
        <v>211669.7</v>
      </c>
      <c r="EG111" s="164">
        <v>2078.8000000000002</v>
      </c>
      <c r="EH111" s="146">
        <f>IF((RD[[#This Row],[33 kV_F3_Ex
Incomer1]]-DQ110)*1000&lt;0,0,(RD[[#This Row],[33 kV_F3_Ex
Incomer1]]-DQ110)*1000)</f>
        <v>85700.000000004366</v>
      </c>
      <c r="EI111" s="146">
        <f>IF((RD[[#This Row],[34 kV_F3_Im
Incomer1]]-DR110)*1000&lt;0,0,(RD[[#This Row],[34 kV_F3_Im
Incomer1]]-DR110)*1000)</f>
        <v>400.00000000000568</v>
      </c>
      <c r="EJ111" s="146">
        <f>IF((RD[[#This Row],[33 kV_F4_Ex
Incomer2]]-DS110)*1000&lt;0,0,(RD[[#This Row],[33 kV_F4_Ex
Incomer2]]-DS110)*1000)</f>
        <v>79699.99999999709</v>
      </c>
      <c r="EK111" s="146">
        <f>IF((RD[[#This Row],[34 kV_F4_Im
Incomer2]]-DT110)*1000&lt;0,0,(RD[[#This Row],[34 kV_F4_Im
Incomer2]]-DT110)*1000)</f>
        <v>300.00000000001137</v>
      </c>
      <c r="EL111" s="146">
        <f>IF((RD[[#This Row],[33 kV_F5_Ex
Incomer3]]-DU110)*1000&lt;0,0,(RD[[#This Row],[33 kV_F5_Ex
Incomer3]]-DU110)*1000)</f>
        <v>100199.99999999709</v>
      </c>
      <c r="EM111" s="146">
        <f>IF((RD[[#This Row],[34 kV_F5_Im
Incomer3]]-DV110)*1000&lt;0,0,(RD[[#This Row],[34 kV_F5_Im
Incomer3]]-DV110)*1000)</f>
        <v>600.00000000002274</v>
      </c>
      <c r="EN111" s="146">
        <f>IF((RD[[#This Row],[33 kV_F6_Ex
Incomer4]]-DW110)*1000&lt;0,0,(RD[[#This Row],[33 kV_F6_Ex
Incomer4]]-DW110)*1000)</f>
        <v>32000</v>
      </c>
      <c r="EO111" s="146">
        <f t="shared" si="166"/>
        <v>300.00000000001137</v>
      </c>
      <c r="EP111" s="146">
        <f>IF((RD[[#This Row],[33 kV_F7_Ex
Incomer5]]-DY110)*1000&lt;0,0,(RD[[#This Row],[33 kV_F7_Ex
Incomer5]]-DY110)*1000)</f>
        <v>97699.999999999825</v>
      </c>
      <c r="EQ111" s="146">
        <f>IF((RD[[#This Row],[33 kV_F7_Im
Incomer5]]-DZ110)*1000&lt;0,0,(RD[[#This Row],[33 kV_F7_Im
Incomer5]]-DZ110)*1000)</f>
        <v>399.99999999999858</v>
      </c>
      <c r="ER111" s="146">
        <f>IF((RD[[#This Row],[33 kV_Aux Trafo]]-EA110)*1000&lt;0,0,(RD[[#This Row],[33 kV_Aux Trafo]]-EA110)*1000)</f>
        <v>299.99999999999716</v>
      </c>
      <c r="ES111" s="158">
        <f>IF((RD[[#This Row],[33kV_OG1_Ex_]]-EB110)*1&lt;0,0,(RD[[#This Row],[33kV_OG1_Ex_]]-EB110)*1)</f>
        <v>422281</v>
      </c>
      <c r="ET111" s="146">
        <f>IF((RD[[#This Row],[33kV_OG1_Im]]-EC110)*1&lt;0,0,(RD[[#This Row],[33kV_OG1_Im]]-EC110)*1)</f>
        <v>2021.5039999999572</v>
      </c>
      <c r="EU111" s="146">
        <f>IF((RD[[#This Row],[132kV_TX1_EX]]-ED110)*720&lt;=0,"",(RD[[#This Row],[132kV_TX1_EX]]-ED110)*720)</f>
        <v>2160</v>
      </c>
      <c r="EV111" s="146">
        <f>IF((RD[[#This Row],[132 kV_Tx1_Im]]-EE110)*720&lt;=0,0,(RD[[#This Row],[132 kV_Tx1_Im]]-EE110)*720)</f>
        <v>303120</v>
      </c>
      <c r="EW111" s="146">
        <f>IF((RD[[#This Row],[132kV_L1_Ex]]-EF110)*720&lt;=0,0,(RD[[#This Row],[132kV_L1_Ex]]-EF110)*720)</f>
        <v>420984.00000000838</v>
      </c>
      <c r="EX111" s="146">
        <f>IF((RD[[#This Row],[132kV_L1_Im]]-EG110)*720&lt;=0,0,(RD[[#This Row],[132kV_L1_Im]]-EG110)*720)</f>
        <v>2664.0000000001965</v>
      </c>
      <c r="EY111" s="330">
        <f>IFERROR(RD[[#This Row],[33kV_OG1_Ex (MWh)]]+RD[[#This Row],[33kV_OG1_Im (MWh)]],"")</f>
        <v>424302.50399999996</v>
      </c>
      <c r="EZ111" s="148">
        <f>RD[[#This Row],[33kV_OG1_Ex (MWh)]]-RD[[#This Row],[33kV_OG1_Im (MWh)]]</f>
        <v>420259.49600000004</v>
      </c>
      <c r="FA111" s="148">
        <f>IFERROR(RD[[#This Row],[132kV_L1_Ex(MWh)]]-RD[[#This Row],[132kV_L1_Im(MWh)]],"")</f>
        <v>418320.00000000821</v>
      </c>
      <c r="FB111" s="332">
        <f>IFERROR(RD[[#This Row],[33kV_Ex(MWh)]]/RD[[#This Row],[Inv Total Gneration (MWh)]]-1,"")</f>
        <v>-2.9905314031456465E-3</v>
      </c>
      <c r="FC111" s="333">
        <f>IFERROR((RD[[#This Row],[Sunset Time (POA&lt;20 W/m2)]]-RD[[#This Row],[Sunrise Time (POA&gt;20 W/m2)]])*24,0)</f>
        <v>12.516666666666667</v>
      </c>
      <c r="FD111" s="246">
        <v>128.08000000000001</v>
      </c>
      <c r="FE111" s="345" t="s">
        <v>297</v>
      </c>
      <c r="FG111" s="144" t="str">
        <f>IFERROR(RD[[#This Row],[E_AC (WPR)]]/RD[[#This Row],[E_DC (WPR)]],"")</f>
        <v/>
      </c>
    </row>
    <row r="112" spans="1:163">
      <c r="A112" s="133">
        <f t="shared" si="167"/>
        <v>45852</v>
      </c>
      <c r="B112" s="138">
        <f>YEAR(RD[[#This Row],[Date]])+IF(MONTH(RD[[#This Row],[Date]])&gt;=4,1,0)</f>
        <v>2026</v>
      </c>
      <c r="C112" s="138">
        <f>YEAR(RD[[#This Row],[Date]])</f>
        <v>2025</v>
      </c>
      <c r="D112" s="139">
        <f t="shared" si="169"/>
        <v>45839</v>
      </c>
      <c r="E112" s="138">
        <f>DAY(EOMONTH(RD[[#This Row],[Date]],0))</f>
        <v>31</v>
      </c>
      <c r="F112" s="152">
        <v>0.25972222222222224</v>
      </c>
      <c r="G112" s="162">
        <v>0.77847222222222223</v>
      </c>
      <c r="H112" s="124">
        <v>7088.4</v>
      </c>
      <c r="I112" s="270">
        <v>7132.2</v>
      </c>
      <c r="J112" s="124">
        <v>6641.2</v>
      </c>
      <c r="K112" s="124">
        <v>6570.5</v>
      </c>
      <c r="L112" s="124">
        <v>6713.2</v>
      </c>
      <c r="M112" s="124">
        <v>6963</v>
      </c>
      <c r="N112" s="124">
        <v>6809.2</v>
      </c>
      <c r="O112" s="124">
        <v>7468.2</v>
      </c>
      <c r="P112" s="124">
        <v>6888.5</v>
      </c>
      <c r="Q112" s="124">
        <v>6785.2</v>
      </c>
      <c r="R112" s="124">
        <v>6890.7</v>
      </c>
      <c r="S112" s="268">
        <v>6994.4</v>
      </c>
      <c r="T112" s="124">
        <v>7198.4</v>
      </c>
      <c r="U112" s="124">
        <v>6935.6</v>
      </c>
      <c r="V112" s="124">
        <v>7211.5</v>
      </c>
      <c r="W112" s="124">
        <v>7032.9</v>
      </c>
      <c r="X112" s="296">
        <v>9786.6</v>
      </c>
      <c r="Y112" s="203">
        <v>10821.8</v>
      </c>
      <c r="Z112" s="203">
        <v>9555.9</v>
      </c>
      <c r="AA112" s="203">
        <v>9910.9</v>
      </c>
      <c r="AB112" s="296">
        <v>10494.7</v>
      </c>
      <c r="AC112" s="203">
        <v>6673.2</v>
      </c>
      <c r="AD112" s="203">
        <v>9799.2999999999993</v>
      </c>
      <c r="AE112" s="203">
        <v>9968.7999999999993</v>
      </c>
      <c r="AF112" s="296">
        <v>9841.9</v>
      </c>
      <c r="AG112" s="203">
        <v>9822</v>
      </c>
      <c r="AH112" s="203">
        <v>9719.2000000000007</v>
      </c>
      <c r="AI112" s="296">
        <v>9767.7000000000007</v>
      </c>
      <c r="AJ112" s="142">
        <v>8185.8</v>
      </c>
      <c r="AK112" s="142">
        <v>8390.7999999999993</v>
      </c>
      <c r="AL112" s="142">
        <v>8332.1</v>
      </c>
      <c r="AM112" s="142">
        <v>8387.2000000000007</v>
      </c>
      <c r="AN112" s="142">
        <v>8412.4</v>
      </c>
      <c r="AO112" s="142">
        <v>8714.1</v>
      </c>
      <c r="AP112" s="142">
        <v>8555.9</v>
      </c>
      <c r="AQ112" s="142">
        <v>8490</v>
      </c>
      <c r="AR112" s="142">
        <v>6791.2</v>
      </c>
      <c r="AS112" s="142">
        <v>6855.7</v>
      </c>
      <c r="AT112" s="142">
        <v>6868</v>
      </c>
      <c r="AU112" s="142">
        <v>6506.5</v>
      </c>
      <c r="AV112" s="142">
        <v>6946.4</v>
      </c>
      <c r="AW112" s="142">
        <v>6883.6</v>
      </c>
      <c r="AX112" s="142">
        <v>9592.7999999999993</v>
      </c>
      <c r="AY112" s="142">
        <v>10698.5</v>
      </c>
      <c r="AZ112" s="142">
        <v>8017.6</v>
      </c>
      <c r="BA112" s="142">
        <v>9674.4</v>
      </c>
      <c r="BB112" s="142">
        <v>8399</v>
      </c>
      <c r="BC112" s="142">
        <v>8183.5</v>
      </c>
      <c r="BD112" s="142">
        <v>8191</v>
      </c>
      <c r="BE112" s="142">
        <v>8832</v>
      </c>
      <c r="BF112" s="142">
        <v>9499.2000000000007</v>
      </c>
      <c r="BG112" s="142">
        <v>9484.6</v>
      </c>
      <c r="BH112" s="142">
        <v>9295.5</v>
      </c>
      <c r="BI112" s="142">
        <v>9434.7999999999993</v>
      </c>
      <c r="BJ112" s="142">
        <v>6260</v>
      </c>
      <c r="BK112" s="142">
        <v>5041</v>
      </c>
      <c r="BL112" s="142">
        <v>6000</v>
      </c>
      <c r="BM112" s="142">
        <v>5953</v>
      </c>
      <c r="BN112" s="142">
        <v>6578.6</v>
      </c>
      <c r="BO112" s="142">
        <v>6310</v>
      </c>
      <c r="BP112" s="142">
        <v>6844</v>
      </c>
      <c r="BQ112" s="142">
        <v>6781.4</v>
      </c>
      <c r="BR112" s="142">
        <v>7001</v>
      </c>
      <c r="BS112" s="142">
        <v>7267</v>
      </c>
      <c r="BT112" s="142">
        <v>7398.8</v>
      </c>
      <c r="BU112" s="142">
        <v>7562</v>
      </c>
      <c r="BV112" s="203">
        <v>6229.6</v>
      </c>
      <c r="BW112" s="203">
        <v>5873.7</v>
      </c>
      <c r="BX112" s="203">
        <v>5339.6</v>
      </c>
      <c r="BY112" s="203">
        <v>5932.7</v>
      </c>
      <c r="BZ112" s="142">
        <v>3144.5</v>
      </c>
      <c r="CA112" s="142">
        <v>813.1</v>
      </c>
      <c r="CB112" s="142">
        <v>5875.5</v>
      </c>
      <c r="CC112" s="142">
        <v>6324.9</v>
      </c>
      <c r="CD112" s="206">
        <v>5.9065755499999906</v>
      </c>
      <c r="CE112" s="59">
        <v>5.450907299999999</v>
      </c>
      <c r="CF112" s="206">
        <v>4.7599937499999951</v>
      </c>
      <c r="CG112" s="206">
        <v>5.530998699999996</v>
      </c>
      <c r="CH112" s="206">
        <v>0.69389178333333312</v>
      </c>
      <c r="CI112" s="206">
        <v>0.77015751666666676</v>
      </c>
      <c r="CJ112" s="59">
        <v>0.96094978333333358</v>
      </c>
      <c r="CK112" s="59">
        <v>0.8092767166666659</v>
      </c>
      <c r="CL112" s="206">
        <v>27.819110738255006</v>
      </c>
      <c r="CM112" s="206">
        <v>27.97283557046979</v>
      </c>
      <c r="CN112" s="206">
        <v>41.324637583892702</v>
      </c>
      <c r="CO112" s="206">
        <v>38.692040268456402</v>
      </c>
      <c r="CP112" s="206">
        <v>77.134790268456356</v>
      </c>
      <c r="CQ112" s="206">
        <v>76.86634228187927</v>
      </c>
      <c r="CR112" s="206">
        <v>6.0906040268456415E-3</v>
      </c>
      <c r="CS112" s="59">
        <v>0</v>
      </c>
      <c r="CT112" s="206">
        <v>1.3724068791946296</v>
      </c>
      <c r="CU112" s="206">
        <v>1.4579622483221482</v>
      </c>
      <c r="CV112" s="206">
        <v>2.9159999999999999</v>
      </c>
      <c r="CW112" s="260">
        <v>3.3090000000000002</v>
      </c>
      <c r="CX112" s="204">
        <f>IFERROR(AVERAGEIF(RD[[#This Row],[IS1POA1 (KWh/m2)]:[IS7POA2 (KWh/m2)]],"&lt;&gt;0",RD[[#This Row],[IS1POA1 (KWh/m2)]:[IS7POA2 (KWh/m2)]]),"")</f>
        <v>5.6787414249999948</v>
      </c>
      <c r="CY112" s="204">
        <f>IFERROR(AVERAGEIF(RD[[#This Row],[IS1GHI1 (KWh/m2)]:[IS7GHI2 (KWh/m2)]],"&lt;&gt;0",RD[[#This Row],[IS1GHI1 (KWh/m2)]:[IS7GHI2 (KWh/m2)]]),"")</f>
        <v>5.1454962249999951</v>
      </c>
      <c r="CZ112" s="204">
        <f>IFERROR(AVERAGEIF(RD[[#This Row],[IS1POA_BS1 (KWh/m2)]:[IS7POA_BS2 (KWh/m2)]],"&lt;&gt;0",RD[[#This Row],[IS1POA_BS1 (KWh/m2)]:[IS7POA_BS2 (KWh/m2)]]),"")</f>
        <v>0.73202464999999994</v>
      </c>
      <c r="DA112" s="204">
        <f>IFERROR(AVERAGEIF(RD[[#This Row],[IS1GHI_BS1 (KWh/m2)]:[IS1GHI_BS1 (KWh/m2)2]],"&lt;&gt;0",RD[[#This Row],[IS1GHI_BS1 (KWh/m2)]:[IS1GHI_BS1 (KWh/m2)2]]),"")</f>
        <v>0.88511324999999974</v>
      </c>
      <c r="DB112" s="204">
        <f>IFERROR(AVERAGEIF(RD[[#This Row],[IS1AT1 (°C)]:[IS7AT2 (°C)]],"&lt;&gt;0",RD[[#This Row],[IS1AT1 (°C)]:[IS7AT2 (°C)]]),"")</f>
        <v>27.895973154362398</v>
      </c>
      <c r="DC112" s="204">
        <f>IFERROR(AVERAGEIF(RD[[#This Row],[IS1MT1 (°C)]:[IS7MT2 (°C)]],"&lt;&gt;0",RD[[#This Row],[IS1MT1 (°C)]:[IS7MT2 (°C)]]),"")</f>
        <v>40.008338926174552</v>
      </c>
      <c r="DD112" s="204">
        <f>IFERROR(AVERAGEIF(RD[[#This Row],[IS1RH1 (%)]:[IS7RH2 (%)]],"&lt;&gt;0",RD[[#This Row],[IS1RH1 (%)]:[IS7RH2 (%)]]),"")</f>
        <v>77.000566275167813</v>
      </c>
      <c r="DE112" s="204">
        <f>IFERROR(AVERAGEIF(RD[[#This Row],[IS1Rain1 (mm)]:[IS7Rain2 (mm)]],"&lt;&gt;0",RD[[#This Row],[IS1Rain1 (mm)]:[IS7Rain2 (mm)]]),"")</f>
        <v>6.0906040268456415E-3</v>
      </c>
      <c r="DF112" s="204">
        <f>IFERROR(AVERAGEIF(RD[[#This Row],[WS_Solar1_Avg (m/s)]:[IS7_WS_Solar1_Avg (m/s)]],"&lt;&gt;0",RD[[#This Row],[WS_Solar1_Avg (m/s)]:[IS7_WS_Solar1_Avg (m/s)]]),"")</f>
        <v>1.4151845637583889</v>
      </c>
      <c r="DG112" s="204">
        <f>IFERROR(AVERAGEIF(RD[[#This Row],[WS_Solar1_Max (m/s)]:[IS7_WS_Solar1_Max (m/s)]],"&lt;&gt;0",RD[[#This Row],[WS_Solar1_Max (m/s)]:[IS7_WS_Solar1_Max (m/s)]]),"")</f>
        <v>3.1124999999999998</v>
      </c>
      <c r="DH112" s="204">
        <f>SUM(RD[[#This Row],[IS1Inv1M1]:[IS4Inv4M2]])</f>
        <v>227485.09999999998</v>
      </c>
      <c r="DI112" s="205">
        <f>SUM(RD[[#This Row],[IS7Inv1M1]]+RD[[#This Row],[IS7Inv2M1]])</f>
        <v>13646.9</v>
      </c>
      <c r="DJ112" s="204">
        <f>SUM(RD[[#This Row],[IS5Inv1M1]:[IS5Inv2M2]])</f>
        <v>33295.899999999994</v>
      </c>
      <c r="DK112" s="204">
        <f>SUM(RD[[#This Row],[IS8Inv1M1]:[IS9Inv2M2]])</f>
        <v>65187.8</v>
      </c>
      <c r="DL112" s="60">
        <f>SUM(RD[[#This Row],[IS6Inv1M1]:[IS6Inv2M2]])</f>
        <v>34172.400000000001</v>
      </c>
      <c r="DM112" s="288">
        <f>SUM(RD[[#This Row],[IS10Inv1M1]:[IS11Inv1M4]],RD[[#This Row],[IS14Inv1M1]:[IS14Inv2M4]])</f>
        <v>134107.20000000001</v>
      </c>
      <c r="DN112" s="288">
        <f>SUM(RD[[#This Row],[IS12Inv1M1]:[IS12Inv1M4]])</f>
        <v>26514</v>
      </c>
      <c r="DO112" s="288">
        <f>SUM(RD[[#This Row],[IS13Inv1M1]:[IS13Inv2M2]])</f>
        <v>29228.799999999999</v>
      </c>
      <c r="DP112" s="204">
        <f>SUM(RD[[#This Row],[O2R15]:[O2R26]])</f>
        <v>563638.10000000009</v>
      </c>
      <c r="DQ112" s="164">
        <v>45795.3</v>
      </c>
      <c r="DR112" s="168">
        <v>230.8</v>
      </c>
      <c r="DS112" s="164">
        <v>40061.1</v>
      </c>
      <c r="DT112" s="164">
        <v>242.7</v>
      </c>
      <c r="DU112" s="168">
        <v>47401.8</v>
      </c>
      <c r="DV112" s="168">
        <v>456.2</v>
      </c>
      <c r="DW112" s="164">
        <v>10958</v>
      </c>
      <c r="DX112" s="168">
        <v>58.1</v>
      </c>
      <c r="DY112" s="168">
        <v>4774.5</v>
      </c>
      <c r="DZ112" s="168">
        <v>25.6</v>
      </c>
      <c r="EA112" s="140">
        <v>109.89</v>
      </c>
      <c r="EB112" s="243">
        <v>153230753</v>
      </c>
      <c r="EC112" s="242">
        <v>1087010.8160000001</v>
      </c>
      <c r="ED112" s="243">
        <v>1304</v>
      </c>
      <c r="EE112" s="243">
        <v>147419</v>
      </c>
      <c r="EF112" s="164">
        <v>212440.4</v>
      </c>
      <c r="EG112" s="164">
        <v>2083.1</v>
      </c>
      <c r="EH112" s="146">
        <f>IF((RD[[#This Row],[33 kV_F3_Ex
Incomer1]]-DQ111)*1000&lt;0,0,(RD[[#This Row],[33 kV_F3_Ex
Incomer1]]-DQ111)*1000)</f>
        <v>115500</v>
      </c>
      <c r="EI112" s="146">
        <f>IF((RD[[#This Row],[34 kV_F3_Im
Incomer1]]-DR111)*1000&lt;0,0,(RD[[#This Row],[34 kV_F3_Im
Incomer1]]-DR111)*1000)</f>
        <v>300.00000000001137</v>
      </c>
      <c r="EJ112" s="146">
        <f>IF((RD[[#This Row],[33 kV_F4_Ex
Incomer2]]-DS111)*1000&lt;0,0,(RD[[#This Row],[33 kV_F4_Ex
Incomer2]]-DS111)*1000)</f>
        <v>105400.00000000146</v>
      </c>
      <c r="EK112" s="146">
        <f>IF((RD[[#This Row],[34 kV_F4_Im
Incomer2]]-DT111)*1000&lt;0,0,(RD[[#This Row],[34 kV_F4_Im
Incomer2]]-DT111)*1000)</f>
        <v>399.99999999997726</v>
      </c>
      <c r="EL112" s="146">
        <f>IF((RD[[#This Row],[33 kV_F5_Ex
Incomer3]]-DU111)*1000&lt;0,0,(RD[[#This Row],[33 kV_F5_Ex
Incomer3]]-DU111)*1000)</f>
        <v>144700.00000000437</v>
      </c>
      <c r="EM112" s="146">
        <f>IF((RD[[#This Row],[34 kV_F5_Im
Incomer3]]-DV111)*1000&lt;0,0,(RD[[#This Row],[34 kV_F5_Im
Incomer3]]-DV111)*1000)</f>
        <v>699.99999999998863</v>
      </c>
      <c r="EN112" s="146">
        <f>IF((RD[[#This Row],[33 kV_F6_Ex
Incomer4]]-DW111)*1000&lt;0,0,(RD[[#This Row],[33 kV_F6_Ex
Incomer4]]-DW111)*1000)</f>
        <v>39100.000000000364</v>
      </c>
      <c r="EO112" s="146">
        <f t="shared" si="166"/>
        <v>299.99999999998295</v>
      </c>
      <c r="EP112" s="146">
        <f>IF((RD[[#This Row],[33 kV_F7_Ex
Incomer5]]-DY111)*1000&lt;0,0,(RD[[#This Row],[33 kV_F7_Ex
Incomer5]]-DY111)*1000)</f>
        <v>119100.00000000036</v>
      </c>
      <c r="EQ112" s="146">
        <f>IF((RD[[#This Row],[33 kV_F7_Im
Incomer5]]-DZ111)*1000&lt;0,0,(RD[[#This Row],[33 kV_F7_Im
Incomer5]]-DZ111)*1000)</f>
        <v>700.00000000000284</v>
      </c>
      <c r="ER112" s="146">
        <f>IF((RD[[#This Row],[33 kV_Aux Trafo]]-EA111)*1000&lt;0,0,(RD[[#This Row],[33 kV_Aux Trafo]]-EA111)*1000)</f>
        <v>299.99999999999716</v>
      </c>
      <c r="ES112" s="158">
        <f>IF((RD[[#This Row],[33kV_OG1_Ex_]]-EB111)*1&lt;0,0,(RD[[#This Row],[33kV_OG1_Ex_]]-EB111)*1)</f>
        <v>556597</v>
      </c>
      <c r="ET112" s="146">
        <f>IF((RD[[#This Row],[33kV_OG1_Im]]-EC111)*1&lt;0,0,(RD[[#This Row],[33kV_OG1_Im]]-EC111)*1)</f>
        <v>2618.752000000095</v>
      </c>
      <c r="EU112" s="146">
        <f>IF((RD[[#This Row],[132kV_TX1_EX]]-ED111)*720&lt;=0,"",(RD[[#This Row],[132kV_TX1_EX]]-ED111)*720)</f>
        <v>2160</v>
      </c>
      <c r="EV112" s="146">
        <f>IF((RD[[#This Row],[132 kV_Tx1_Im]]-EE111)*720&lt;=0,0,(RD[[#This Row],[132 kV_Tx1_Im]]-EE111)*720)</f>
        <v>398880</v>
      </c>
      <c r="EW112" s="146">
        <f>IF((RD[[#This Row],[132kV_L1_Ex]]-EF111)*720&lt;=0,0,(RD[[#This Row],[132kV_L1_Ex]]-EF111)*720)</f>
        <v>554903.99999998743</v>
      </c>
      <c r="EX112" s="146">
        <f>IF((RD[[#This Row],[132kV_L1_Im]]-EG111)*720&lt;=0,0,(RD[[#This Row],[132kV_L1_Im]]-EG111)*720)</f>
        <v>3095.9999999998035</v>
      </c>
      <c r="EY112" s="330">
        <f>IFERROR(RD[[#This Row],[33kV_OG1_Ex (MWh)]]+RD[[#This Row],[33kV_OG1_Im (MWh)]],"")</f>
        <v>559215.75200000009</v>
      </c>
      <c r="EZ112" s="148">
        <f>RD[[#This Row],[33kV_OG1_Ex (MWh)]]-RD[[#This Row],[33kV_OG1_Im (MWh)]]</f>
        <v>553978.24799999991</v>
      </c>
      <c r="FA112" s="148">
        <f>IFERROR(RD[[#This Row],[132kV_L1_Ex(MWh)]]-RD[[#This Row],[132kV_L1_Im(MWh)]],"")</f>
        <v>551807.99999998766</v>
      </c>
      <c r="FB112" s="332">
        <f>IFERROR(RD[[#This Row],[33kV_Ex(MWh)]]/RD[[#This Row],[Inv Total Gneration (MWh)]]-1,"")</f>
        <v>-7.8460771193430423E-3</v>
      </c>
      <c r="FC112" s="333">
        <f>IFERROR((RD[[#This Row],[Sunset Time (POA&lt;20 W/m2)]]-RD[[#This Row],[Sunrise Time (POA&gt;20 W/m2)]])*24,0)</f>
        <v>12.450000000000001</v>
      </c>
      <c r="FD112" s="246">
        <v>128.08000000000001</v>
      </c>
      <c r="FE112" s="345" t="s">
        <v>297</v>
      </c>
      <c r="FG112" s="144" t="str">
        <f>IFERROR(RD[[#This Row],[E_AC (WPR)]]/RD[[#This Row],[E_DC (WPR)]],"")</f>
        <v/>
      </c>
    </row>
    <row r="113" spans="1:163">
      <c r="A113" s="133">
        <f t="shared" si="167"/>
        <v>45853</v>
      </c>
      <c r="B113" s="138">
        <f>YEAR(RD[[#This Row],[Date]])+IF(MONTH(RD[[#This Row],[Date]])&gt;=4,1,0)</f>
        <v>2026</v>
      </c>
      <c r="C113" s="138">
        <f>YEAR(RD[[#This Row],[Date]])</f>
        <v>2025</v>
      </c>
      <c r="D113" s="139">
        <f t="shared" si="169"/>
        <v>45839</v>
      </c>
      <c r="E113" s="138">
        <f>DAY(EOMONTH(RD[[#This Row],[Date]],0))</f>
        <v>31</v>
      </c>
      <c r="F113" s="152">
        <v>0.25763888888888886</v>
      </c>
      <c r="G113" s="162">
        <v>0.79166666666666663</v>
      </c>
      <c r="H113" s="124">
        <v>6899.2</v>
      </c>
      <c r="I113" s="270">
        <v>7077.7</v>
      </c>
      <c r="J113" s="124">
        <v>6741.9</v>
      </c>
      <c r="K113" s="124">
        <v>6679.9</v>
      </c>
      <c r="L113" s="124">
        <v>6888.8</v>
      </c>
      <c r="M113" s="124">
        <v>7015.3</v>
      </c>
      <c r="N113" s="124">
        <v>6803.5</v>
      </c>
      <c r="O113" s="124">
        <v>7292.5</v>
      </c>
      <c r="P113" s="124">
        <v>6818.3</v>
      </c>
      <c r="Q113" s="124">
        <v>6838.4</v>
      </c>
      <c r="R113" s="124">
        <v>6910.9</v>
      </c>
      <c r="S113" s="268">
        <v>6922.4</v>
      </c>
      <c r="T113" s="124">
        <v>7093.7</v>
      </c>
      <c r="U113" s="124">
        <v>6965.5</v>
      </c>
      <c r="V113" s="124">
        <v>7162.9</v>
      </c>
      <c r="W113" s="124">
        <v>6871.5</v>
      </c>
      <c r="X113" s="296">
        <v>9649.9</v>
      </c>
      <c r="Y113" s="203">
        <v>10555.4</v>
      </c>
      <c r="Z113" s="203">
        <v>9407.7000000000007</v>
      </c>
      <c r="AA113" s="203">
        <v>9738.4</v>
      </c>
      <c r="AB113" s="296">
        <v>10427.299999999999</v>
      </c>
      <c r="AC113" s="203">
        <v>6725.7</v>
      </c>
      <c r="AD113" s="203">
        <v>9814.4</v>
      </c>
      <c r="AE113" s="203">
        <v>10026.799999999999</v>
      </c>
      <c r="AF113" s="296">
        <v>9743.4</v>
      </c>
      <c r="AG113" s="203">
        <v>9736</v>
      </c>
      <c r="AH113" s="203">
        <v>9702.1</v>
      </c>
      <c r="AI113" s="296">
        <v>9822.1</v>
      </c>
      <c r="AJ113" s="142">
        <v>9179.2999999999993</v>
      </c>
      <c r="AK113" s="142">
        <v>9382.7999999999993</v>
      </c>
      <c r="AL113" s="142">
        <v>9314.2000000000007</v>
      </c>
      <c r="AM113" s="142">
        <v>9319.2999999999993</v>
      </c>
      <c r="AN113" s="142">
        <v>9383</v>
      </c>
      <c r="AO113" s="142">
        <v>9582.9</v>
      </c>
      <c r="AP113" s="142">
        <v>9535.7000000000007</v>
      </c>
      <c r="AQ113" s="142">
        <v>9447.5</v>
      </c>
      <c r="AR113" s="142">
        <v>7493.8</v>
      </c>
      <c r="AS113" s="142">
        <v>7540.4</v>
      </c>
      <c r="AT113" s="142">
        <v>7563.4</v>
      </c>
      <c r="AU113" s="142">
        <v>7365.6</v>
      </c>
      <c r="AV113" s="142">
        <v>7604.7</v>
      </c>
      <c r="AW113" s="142">
        <v>7535.6</v>
      </c>
      <c r="AX113" s="142">
        <v>10584.6</v>
      </c>
      <c r="AY113" s="142">
        <v>11415.6</v>
      </c>
      <c r="AZ113" s="142">
        <v>8736.7000000000007</v>
      </c>
      <c r="BA113" s="142">
        <v>10602.4</v>
      </c>
      <c r="BB113" s="142">
        <v>9062</v>
      </c>
      <c r="BC113" s="142">
        <v>8740</v>
      </c>
      <c r="BD113" s="142">
        <v>9383</v>
      </c>
      <c r="BE113" s="142">
        <v>10099.4</v>
      </c>
      <c r="BF113" s="142">
        <v>10642.7</v>
      </c>
      <c r="BG113" s="142">
        <v>10689</v>
      </c>
      <c r="BH113" s="142">
        <v>10500.5</v>
      </c>
      <c r="BI113" s="142">
        <v>10737.7</v>
      </c>
      <c r="BJ113" s="142">
        <v>7208</v>
      </c>
      <c r="BK113" s="142">
        <v>5960</v>
      </c>
      <c r="BL113" s="142">
        <v>7019</v>
      </c>
      <c r="BM113" s="142">
        <v>6967</v>
      </c>
      <c r="BN113" s="142">
        <v>7564.4</v>
      </c>
      <c r="BO113" s="142">
        <v>7322.7</v>
      </c>
      <c r="BP113" s="142">
        <v>7826.3</v>
      </c>
      <c r="BQ113" s="142">
        <v>7746.6</v>
      </c>
      <c r="BR113" s="142">
        <v>8401</v>
      </c>
      <c r="BS113" s="142">
        <v>8659</v>
      </c>
      <c r="BT113" s="142">
        <v>8767</v>
      </c>
      <c r="BU113" s="142">
        <v>8985</v>
      </c>
      <c r="BV113" s="203">
        <v>7203.1</v>
      </c>
      <c r="BW113" s="203">
        <v>7058.9</v>
      </c>
      <c r="BX113" s="203">
        <v>6478.2</v>
      </c>
      <c r="BY113" s="203">
        <v>7046.9</v>
      </c>
      <c r="BZ113" s="142">
        <v>4393.8</v>
      </c>
      <c r="CA113" s="142">
        <v>1022.5</v>
      </c>
      <c r="CB113" s="142">
        <v>6955.5</v>
      </c>
      <c r="CC113" s="142">
        <v>7435.8</v>
      </c>
      <c r="CD113" s="206">
        <v>4.8646096999999902</v>
      </c>
      <c r="CE113" s="59">
        <v>6.122792433333335</v>
      </c>
      <c r="CF113" s="206">
        <v>4.819273066666673</v>
      </c>
      <c r="CG113" s="206">
        <v>6.3093157833333295</v>
      </c>
      <c r="CH113" s="206">
        <v>0.69999821666666673</v>
      </c>
      <c r="CI113" s="206">
        <v>0.87928803333333372</v>
      </c>
      <c r="CJ113" s="59">
        <v>0.99279864999999967</v>
      </c>
      <c r="CK113" s="59">
        <v>0.90710441666666697</v>
      </c>
      <c r="CL113" s="206">
        <v>28.475261824324356</v>
      </c>
      <c r="CM113" s="206">
        <v>28.471908783783782</v>
      </c>
      <c r="CN113" s="206">
        <v>42.302955236486468</v>
      </c>
      <c r="CO113" s="206">
        <v>40.337500844594572</v>
      </c>
      <c r="CP113" s="206">
        <v>79.971494932432648</v>
      </c>
      <c r="CQ113" s="206">
        <v>78.782804054053997</v>
      </c>
      <c r="CR113" s="206">
        <v>0</v>
      </c>
      <c r="CS113" s="59">
        <v>0</v>
      </c>
      <c r="CT113" s="206">
        <v>1.1260869932432436</v>
      </c>
      <c r="CU113" s="206">
        <v>1.2533412162162179</v>
      </c>
      <c r="CV113" s="206">
        <v>2.871</v>
      </c>
      <c r="CW113" s="260">
        <v>2.988</v>
      </c>
      <c r="CX113" s="204">
        <f>IFERROR(AVERAGEIF(RD[[#This Row],[IS1POA1 (KWh/m2)]:[IS7POA2 (KWh/m2)]],"&lt;&gt;0",RD[[#This Row],[IS1POA1 (KWh/m2)]:[IS7POA2 (KWh/m2)]]),"")</f>
        <v>5.493701066666663</v>
      </c>
      <c r="CY113" s="204">
        <f>IFERROR(AVERAGEIF(RD[[#This Row],[IS1GHI1 (KWh/m2)]:[IS7GHI2 (KWh/m2)]],"&lt;&gt;0",RD[[#This Row],[IS1GHI1 (KWh/m2)]:[IS7GHI2 (KWh/m2)]]),"")</f>
        <v>5.5642944250000017</v>
      </c>
      <c r="CZ113" s="204">
        <f>IFERROR(AVERAGEIF(RD[[#This Row],[IS1POA_BS1 (KWh/m2)]:[IS7POA_BS2 (KWh/m2)]],"&lt;&gt;0",RD[[#This Row],[IS1POA_BS1 (KWh/m2)]:[IS7POA_BS2 (KWh/m2)]]),"")</f>
        <v>0.78964312500000022</v>
      </c>
      <c r="DA113" s="204">
        <f>IFERROR(AVERAGEIF(RD[[#This Row],[IS1GHI_BS1 (KWh/m2)]:[IS1GHI_BS1 (KWh/m2)2]],"&lt;&gt;0",RD[[#This Row],[IS1GHI_BS1 (KWh/m2)]:[IS1GHI_BS1 (KWh/m2)2]]),"")</f>
        <v>0.94995153333333326</v>
      </c>
      <c r="DB113" s="204">
        <f>IFERROR(AVERAGEIF(RD[[#This Row],[IS1AT1 (°C)]:[IS7AT2 (°C)]],"&lt;&gt;0",RD[[#This Row],[IS1AT1 (°C)]:[IS7AT2 (°C)]]),"")</f>
        <v>28.473585304054069</v>
      </c>
      <c r="DC113" s="204">
        <f>IFERROR(AVERAGEIF(RD[[#This Row],[IS1MT1 (°C)]:[IS7MT2 (°C)]],"&lt;&gt;0",RD[[#This Row],[IS1MT1 (°C)]:[IS7MT2 (°C)]]),"")</f>
        <v>41.32022804054052</v>
      </c>
      <c r="DD113" s="204">
        <f>IFERROR(AVERAGEIF(RD[[#This Row],[IS1RH1 (%)]:[IS7RH2 (%)]],"&lt;&gt;0",RD[[#This Row],[IS1RH1 (%)]:[IS7RH2 (%)]]),"")</f>
        <v>79.377149493243323</v>
      </c>
      <c r="DE113" s="204" t="str">
        <f>IFERROR(AVERAGEIF(RD[[#This Row],[IS1Rain1 (mm)]:[IS7Rain2 (mm)]],"&lt;&gt;0",RD[[#This Row],[IS1Rain1 (mm)]:[IS7Rain2 (mm)]]),"")</f>
        <v/>
      </c>
      <c r="DF113" s="204">
        <f>IFERROR(AVERAGEIF(RD[[#This Row],[WS_Solar1_Avg (m/s)]:[IS7_WS_Solar1_Avg (m/s)]],"&lt;&gt;0",RD[[#This Row],[WS_Solar1_Avg (m/s)]:[IS7_WS_Solar1_Avg (m/s)]]),"")</f>
        <v>1.1897141047297306</v>
      </c>
      <c r="DG113" s="204">
        <f>IFERROR(AVERAGEIF(RD[[#This Row],[WS_Solar1_Max (m/s)]:[IS7_WS_Solar1_Max (m/s)]],"&lt;&gt;0",RD[[#This Row],[WS_Solar1_Max (m/s)]:[IS7_WS_Solar1_Max (m/s)]]),"")</f>
        <v>2.9295</v>
      </c>
      <c r="DH113" s="204">
        <f>SUM(RD[[#This Row],[IS1Inv1M1]:[IS4Inv4M2]])</f>
        <v>226331.59999999998</v>
      </c>
      <c r="DI113" s="205">
        <f>SUM(RD[[#This Row],[IS7Inv1M1]]+RD[[#This Row],[IS7Inv2M1]])</f>
        <v>15034.2</v>
      </c>
      <c r="DJ113" s="204">
        <f>SUM(RD[[#This Row],[IS5Inv1M1]:[IS5Inv2M2]])</f>
        <v>37195.599999999999</v>
      </c>
      <c r="DK113" s="204">
        <f>SUM(RD[[#This Row],[IS8Inv1M1]:[IS9Inv2M2]])</f>
        <v>71408.599999999991</v>
      </c>
      <c r="DL113" s="60">
        <f>SUM(RD[[#This Row],[IS6Inv1M1]:[IS6Inv2M2]])</f>
        <v>37949.100000000006</v>
      </c>
      <c r="DM113" s="288">
        <f>SUM(RD[[#This Row],[IS10Inv1M1]:[IS11Inv1M4]],RD[[#This Row],[IS14Inv1M1]:[IS14Inv2M4]])</f>
        <v>154602.99999999997</v>
      </c>
      <c r="DN113" s="288">
        <f>SUM(RD[[#This Row],[IS12Inv1M1]:[IS12Inv1M4]])</f>
        <v>30460</v>
      </c>
      <c r="DO113" s="288">
        <f>SUM(RD[[#This Row],[IS13Inv1M1]:[IS13Inv2M2]])</f>
        <v>34812</v>
      </c>
      <c r="DP113" s="204">
        <f>SUM(RD[[#This Row],[O2R15]:[O2R26]])</f>
        <v>607794.1</v>
      </c>
      <c r="DQ113" s="164">
        <v>45910</v>
      </c>
      <c r="DR113" s="168">
        <v>231.1</v>
      </c>
      <c r="DS113" s="164">
        <v>40166.300000000003</v>
      </c>
      <c r="DT113" s="164">
        <v>243</v>
      </c>
      <c r="DU113" s="168">
        <v>47561.4</v>
      </c>
      <c r="DV113" s="168">
        <v>456.8</v>
      </c>
      <c r="DW113" s="164">
        <v>11005.1</v>
      </c>
      <c r="DX113" s="168">
        <v>58.3</v>
      </c>
      <c r="DY113" s="168">
        <v>4910.8</v>
      </c>
      <c r="DZ113" s="168">
        <v>26.2</v>
      </c>
      <c r="EA113" s="140">
        <v>110.2</v>
      </c>
      <c r="EB113" s="243">
        <v>153830572</v>
      </c>
      <c r="EC113" s="242">
        <v>1089608.4480000001</v>
      </c>
      <c r="ED113" s="243">
        <v>1307</v>
      </c>
      <c r="EE113" s="243">
        <v>148017</v>
      </c>
      <c r="EF113" s="164">
        <v>213270.9</v>
      </c>
      <c r="EG113" s="164">
        <v>2087.5</v>
      </c>
      <c r="EH113" s="146">
        <f>IF((RD[[#This Row],[33 kV_F3_Ex
Incomer1]]-DQ112)*1000&lt;0,0,(RD[[#This Row],[33 kV_F3_Ex
Incomer1]]-DQ112)*1000)</f>
        <v>114699.99999999709</v>
      </c>
      <c r="EI113" s="146">
        <f>IF((RD[[#This Row],[34 kV_F3_Im
Incomer1]]-DR112)*1000&lt;0,0,(RD[[#This Row],[34 kV_F3_Im
Incomer1]]-DR112)*1000)</f>
        <v>299.99999999998295</v>
      </c>
      <c r="EJ113" s="146">
        <f>IF((RD[[#This Row],[33 kV_F4_Ex
Incomer2]]-DS112)*1000&lt;0,0,(RD[[#This Row],[33 kV_F4_Ex
Incomer2]]-DS112)*1000)</f>
        <v>105200.00000000437</v>
      </c>
      <c r="EK113" s="146">
        <f>IF((RD[[#This Row],[34 kV_F4_Im
Incomer2]]-DT112)*1000&lt;0,0,(RD[[#This Row],[34 kV_F4_Im
Incomer2]]-DT112)*1000)</f>
        <v>300.00000000001137</v>
      </c>
      <c r="EL113" s="146">
        <f>IF((RD[[#This Row],[33 kV_F5_Ex
Incomer3]]-DU112)*1000&lt;0,0,(RD[[#This Row],[33 kV_F5_Ex
Incomer3]]-DU112)*1000)</f>
        <v>159599.99999999854</v>
      </c>
      <c r="EM113" s="146">
        <f>IF((RD[[#This Row],[34 kV_F5_Im
Incomer3]]-DV112)*1000&lt;0,0,(RD[[#This Row],[34 kV_F5_Im
Incomer3]]-DV112)*1000)</f>
        <v>600.00000000002274</v>
      </c>
      <c r="EN113" s="146">
        <f>IF((RD[[#This Row],[33 kV_F6_Ex
Incomer4]]-DW112)*1000&lt;0,0,(RD[[#This Row],[33 kV_F6_Ex
Incomer4]]-DW112)*1000)</f>
        <v>47100.000000000364</v>
      </c>
      <c r="EO113" s="146">
        <f t="shared" si="166"/>
        <v>300.00000000001137</v>
      </c>
      <c r="EP113" s="146">
        <f>IF((RD[[#This Row],[33 kV_F7_Ex
Incomer5]]-DY112)*1000&lt;0,0,(RD[[#This Row],[33 kV_F7_Ex
Incomer5]]-DY112)*1000)</f>
        <v>136300.00000000017</v>
      </c>
      <c r="EQ113" s="146">
        <f>IF((RD[[#This Row],[33 kV_F7_Im
Incomer5]]-DZ112)*1000&lt;0,0,(RD[[#This Row],[33 kV_F7_Im
Incomer5]]-DZ112)*1000)</f>
        <v>599.99999999999784</v>
      </c>
      <c r="ER113" s="146">
        <f>IF((RD[[#This Row],[33 kV_Aux Trafo]]-EA112)*1000&lt;0,0,(RD[[#This Row],[33 kV_Aux Trafo]]-EA112)*1000)</f>
        <v>310.00000000000227</v>
      </c>
      <c r="ES113" s="158">
        <f>IF((RD[[#This Row],[33kV_OG1_Ex_]]-EB112)*1&lt;0,0,(RD[[#This Row],[33kV_OG1_Ex_]]-EB112)*1)</f>
        <v>599819</v>
      </c>
      <c r="ET113" s="146">
        <f>IF((RD[[#This Row],[33kV_OG1_Im]]-EC112)*1&lt;0,0,(RD[[#This Row],[33kV_OG1_Im]]-EC112)*1)</f>
        <v>2597.6319999999832</v>
      </c>
      <c r="EU113" s="146">
        <f>IF((RD[[#This Row],[132kV_TX1_EX]]-ED112)*720&lt;=0,"",(RD[[#This Row],[132kV_TX1_EX]]-ED112)*720)</f>
        <v>2160</v>
      </c>
      <c r="EV113" s="146">
        <f>IF((RD[[#This Row],[132 kV_Tx1_Im]]-EE112)*720&lt;=0,0,(RD[[#This Row],[132 kV_Tx1_Im]]-EE112)*720)</f>
        <v>430560</v>
      </c>
      <c r="EW113" s="146">
        <f>IF((RD[[#This Row],[132kV_L1_Ex]]-EF112)*720&lt;=0,0,(RD[[#This Row],[132kV_L1_Ex]]-EF112)*720)</f>
        <v>597960</v>
      </c>
      <c r="EX113" s="146">
        <f>IF((RD[[#This Row],[132kV_L1_Im]]-EG112)*720&lt;=0,0,(RD[[#This Row],[132kV_L1_Im]]-EG112)*720)</f>
        <v>3168.0000000000655</v>
      </c>
      <c r="EY113" s="330">
        <f>IFERROR(RD[[#This Row],[33kV_OG1_Ex (MWh)]]+RD[[#This Row],[33kV_OG1_Im (MWh)]],"")</f>
        <v>602416.63199999998</v>
      </c>
      <c r="EZ113" s="148">
        <f>RD[[#This Row],[33kV_OG1_Ex (MWh)]]-RD[[#This Row],[33kV_OG1_Im (MWh)]]</f>
        <v>597221.36800000002</v>
      </c>
      <c r="FA113" s="148">
        <f>IFERROR(RD[[#This Row],[132kV_L1_Ex(MWh)]]-RD[[#This Row],[132kV_L1_Im(MWh)]],"")</f>
        <v>594791.99999999988</v>
      </c>
      <c r="FB113" s="332">
        <f>IFERROR(RD[[#This Row],[33kV_Ex(MWh)]]/RD[[#This Row],[Inv Total Gneration (MWh)]]-1,"")</f>
        <v>-8.8475159597632969E-3</v>
      </c>
      <c r="FC113" s="333">
        <f>IFERROR((RD[[#This Row],[Sunset Time (POA&lt;20 W/m2)]]-RD[[#This Row],[Sunrise Time (POA&gt;20 W/m2)]])*24,0)</f>
        <v>12.816666666666666</v>
      </c>
      <c r="FD113" s="246">
        <v>128.08000000000001</v>
      </c>
      <c r="FE113" s="345" t="s">
        <v>297</v>
      </c>
      <c r="FG113" s="144" t="str">
        <f>IFERROR(RD[[#This Row],[E_AC (WPR)]]/RD[[#This Row],[E_DC (WPR)]],"")</f>
        <v/>
      </c>
    </row>
    <row r="114" spans="1:163">
      <c r="A114" s="133">
        <f t="shared" si="167"/>
        <v>45854</v>
      </c>
      <c r="B114" s="138">
        <f>YEAR(RD[[#This Row],[Date]])+IF(MONTH(RD[[#This Row],[Date]])&gt;=4,1,0)</f>
        <v>2026</v>
      </c>
      <c r="C114" s="138">
        <f>YEAR(RD[[#This Row],[Date]])</f>
        <v>2025</v>
      </c>
      <c r="D114" s="139">
        <f t="shared" si="169"/>
        <v>45839</v>
      </c>
      <c r="E114" s="138">
        <f>DAY(EOMONTH(RD[[#This Row],[Date]],0))</f>
        <v>31</v>
      </c>
      <c r="F114" s="152"/>
      <c r="G114" s="162"/>
      <c r="H114" s="124"/>
      <c r="I114" s="270"/>
      <c r="J114" s="124"/>
      <c r="K114" s="124"/>
      <c r="L114" s="124"/>
      <c r="M114" s="124"/>
      <c r="N114" s="124"/>
      <c r="O114" s="124"/>
      <c r="P114" s="124"/>
      <c r="Q114" s="124"/>
      <c r="R114" s="124"/>
      <c r="S114" s="268"/>
      <c r="T114" s="124"/>
      <c r="U114" s="124"/>
      <c r="V114" s="124"/>
      <c r="W114" s="124"/>
      <c r="X114" s="296"/>
      <c r="Y114" s="203"/>
      <c r="Z114" s="203"/>
      <c r="AA114" s="203"/>
      <c r="AB114" s="296"/>
      <c r="AC114" s="203"/>
      <c r="AD114" s="203"/>
      <c r="AE114" s="203"/>
      <c r="AF114" s="296"/>
      <c r="AG114" s="203"/>
      <c r="AH114" s="203"/>
      <c r="AI114" s="296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203"/>
      <c r="BW114" s="203"/>
      <c r="BX114" s="203"/>
      <c r="BY114" s="203"/>
      <c r="BZ114" s="142"/>
      <c r="CA114" s="142"/>
      <c r="CB114" s="142"/>
      <c r="CC114" s="142"/>
      <c r="CD114" s="297"/>
      <c r="CE114" s="59"/>
      <c r="CF114" s="297"/>
      <c r="CG114" s="206"/>
      <c r="CH114" s="297"/>
      <c r="CI114" s="206"/>
      <c r="CJ114" s="298"/>
      <c r="CK114" s="59"/>
      <c r="CL114" s="297"/>
      <c r="CM114" s="206"/>
      <c r="CN114" s="297"/>
      <c r="CO114" s="206"/>
      <c r="CP114" s="297"/>
      <c r="CQ114" s="206"/>
      <c r="CR114" s="297"/>
      <c r="CS114" s="59"/>
      <c r="CT114" s="297"/>
      <c r="CU114" s="206"/>
      <c r="CV114" s="297"/>
      <c r="CW114" s="260"/>
      <c r="CX114" s="204" t="str">
        <f>IFERROR(AVERAGEIF(RD[[#This Row],[IS1POA1 (KWh/m2)]:[IS7POA2 (KWh/m2)]],"&lt;&gt;0",RD[[#This Row],[IS1POA1 (KWh/m2)]:[IS7POA2 (KWh/m2)]]),"")</f>
        <v/>
      </c>
      <c r="CY114" s="204" t="str">
        <f>IFERROR(AVERAGEIF(RD[[#This Row],[IS1GHI1 (KWh/m2)]:[IS7GHI2 (KWh/m2)]],"&lt;&gt;0",RD[[#This Row],[IS1GHI1 (KWh/m2)]:[IS7GHI2 (KWh/m2)]]),"")</f>
        <v/>
      </c>
      <c r="CZ114" s="204" t="str">
        <f>IFERROR(AVERAGEIF(RD[[#This Row],[IS1POA_BS1 (KWh/m2)]:[IS7POA_BS2 (KWh/m2)]],"&lt;&gt;0",RD[[#This Row],[IS1POA_BS1 (KWh/m2)]:[IS7POA_BS2 (KWh/m2)]]),"")</f>
        <v/>
      </c>
      <c r="DA114" s="204" t="str">
        <f>IFERROR(AVERAGEIF(RD[[#This Row],[IS1GHI_BS1 (KWh/m2)]:[IS1GHI_BS1 (KWh/m2)2]],"&lt;&gt;0",RD[[#This Row],[IS1GHI_BS1 (KWh/m2)]:[IS1GHI_BS1 (KWh/m2)2]]),"")</f>
        <v/>
      </c>
      <c r="DB114" s="204" t="str">
        <f>IFERROR(AVERAGEIF(RD[[#This Row],[IS1AT1 (°C)]:[IS7AT2 (°C)]],"&lt;&gt;0",RD[[#This Row],[IS1AT1 (°C)]:[IS7AT2 (°C)]]),"")</f>
        <v/>
      </c>
      <c r="DC114" s="204" t="str">
        <f>IFERROR(AVERAGEIF(RD[[#This Row],[IS1MT1 (°C)]:[IS7MT2 (°C)]],"&lt;&gt;0",RD[[#This Row],[IS1MT1 (°C)]:[IS7MT2 (°C)]]),"")</f>
        <v/>
      </c>
      <c r="DD114" s="204" t="str">
        <f>IFERROR(AVERAGEIF(RD[[#This Row],[IS1RH1 (%)]:[IS7RH2 (%)]],"&lt;&gt;0",RD[[#This Row],[IS1RH1 (%)]:[IS7RH2 (%)]]),"")</f>
        <v/>
      </c>
      <c r="DE114" s="204" t="str">
        <f>IFERROR(AVERAGEIF(RD[[#This Row],[IS1Rain1 (mm)]:[IS7Rain2 (mm)]],"&lt;&gt;0",RD[[#This Row],[IS1Rain1 (mm)]:[IS7Rain2 (mm)]]),"")</f>
        <v/>
      </c>
      <c r="DF114" s="204" t="str">
        <f>IFERROR(AVERAGEIF(RD[[#This Row],[WS_Solar1_Avg (m/s)]:[IS7_WS_Solar1_Avg (m/s)]],"&lt;&gt;0",RD[[#This Row],[WS_Solar1_Avg (m/s)]:[IS7_WS_Solar1_Avg (m/s)]]),"")</f>
        <v/>
      </c>
      <c r="DG114" s="204" t="str">
        <f>IFERROR(AVERAGEIF(RD[[#This Row],[WS_Solar1_Max (m/s)]:[IS7_WS_Solar1_Max (m/s)]],"&lt;&gt;0",RD[[#This Row],[WS_Solar1_Max (m/s)]:[IS7_WS_Solar1_Max (m/s)]]),"")</f>
        <v/>
      </c>
      <c r="DH114" s="204">
        <f>SUM(RD[[#This Row],[IS1Inv1M1]:[IS4Inv4M2]])</f>
        <v>0</v>
      </c>
      <c r="DI114" s="205">
        <f>SUM(RD[[#This Row],[IS7Inv1M1]]+RD[[#This Row],[IS7Inv2M1]])</f>
        <v>0</v>
      </c>
      <c r="DJ114" s="204">
        <f>SUM(RD[[#This Row],[IS5Inv1M1]:[IS5Inv2M2]])</f>
        <v>0</v>
      </c>
      <c r="DK114" s="204">
        <f>SUM(RD[[#This Row],[IS8Inv1M1]:[IS9Inv2M2]])</f>
        <v>0</v>
      </c>
      <c r="DL114" s="60">
        <f>SUM(RD[[#This Row],[IS6Inv1M1]:[IS6Inv2M2]])</f>
        <v>0</v>
      </c>
      <c r="DM114" s="288">
        <f>SUM(RD[[#This Row],[IS10Inv1M1]:[IS11Inv1M4]],RD[[#This Row],[IS14Inv1M1]:[IS14Inv2M4]])</f>
        <v>0</v>
      </c>
      <c r="DN114" s="288">
        <f>SUM(RD[[#This Row],[IS12Inv1M1]:[IS12Inv1M4]])</f>
        <v>0</v>
      </c>
      <c r="DO114" s="288">
        <f>SUM(RD[[#This Row],[IS13Inv1M1]:[IS13Inv2M2]])</f>
        <v>0</v>
      </c>
      <c r="DP114" s="204">
        <f>SUM(RD[[#This Row],[O2R15]:[O2R26]])</f>
        <v>0</v>
      </c>
      <c r="DQ114" s="328"/>
      <c r="DR114" s="134"/>
      <c r="DS114" s="329"/>
      <c r="DT114" s="164"/>
      <c r="DU114" s="134"/>
      <c r="DV114" s="134"/>
      <c r="DW114" s="164"/>
      <c r="DX114" s="134"/>
      <c r="DY114" s="134"/>
      <c r="DZ114" s="134"/>
      <c r="EA114" s="134"/>
      <c r="EB114" s="243"/>
      <c r="EC114" s="242"/>
      <c r="ED114" s="328"/>
      <c r="EE114" s="243"/>
      <c r="EF114" s="164"/>
      <c r="EG114" s="242"/>
      <c r="EH114" s="146">
        <f>IF((RD[[#This Row],[33 kV_F3_Ex
Incomer1]]-DQ113)*1000&lt;0,0,(RD[[#This Row],[33 kV_F3_Ex
Incomer1]]-DQ113)*1000)</f>
        <v>0</v>
      </c>
      <c r="EI114" s="146">
        <f>IF((RD[[#This Row],[34 kV_F3_Im
Incomer1]]-DR113)*1000&lt;0,0,(RD[[#This Row],[34 kV_F3_Im
Incomer1]]-DR113)*1000)</f>
        <v>0</v>
      </c>
      <c r="EJ114" s="146">
        <f>IF((RD[[#This Row],[33 kV_F4_Ex
Incomer2]]-DS113)*1000&lt;0,0,(RD[[#This Row],[33 kV_F4_Ex
Incomer2]]-DS113)*1000)</f>
        <v>0</v>
      </c>
      <c r="EK114" s="146">
        <f>IF((RD[[#This Row],[34 kV_F4_Im
Incomer2]]-DT113)*1000&lt;0,0,(RD[[#This Row],[34 kV_F4_Im
Incomer2]]-DT113)*1000)</f>
        <v>0</v>
      </c>
      <c r="EL114" s="146">
        <f>IF((RD[[#This Row],[33 kV_F5_Ex
Incomer3]]-DU113)*1000&lt;0,0,(RD[[#This Row],[33 kV_F5_Ex
Incomer3]]-DU113)*1000)</f>
        <v>0</v>
      </c>
      <c r="EM114" s="146">
        <f>IF((RD[[#This Row],[34 kV_F5_Im
Incomer3]]-DV113)*1000&lt;0,0,(RD[[#This Row],[34 kV_F5_Im
Incomer3]]-DV113)*1000)</f>
        <v>0</v>
      </c>
      <c r="EN114" s="146">
        <f>IF((RD[[#This Row],[33 kV_F6_Ex
Incomer4]]-DW113)*1000&lt;0,0,(RD[[#This Row],[33 kV_F6_Ex
Incomer4]]-DW113)*1000)</f>
        <v>0</v>
      </c>
      <c r="EO114" s="146"/>
      <c r="EP114" s="146">
        <f>IF((RD[[#This Row],[33 kV_F7_Ex
Incomer5]]-DY113)*1000&lt;0,0,(RD[[#This Row],[33 kV_F7_Ex
Incomer5]]-DY113)*1000)</f>
        <v>0</v>
      </c>
      <c r="EQ114" s="146">
        <f>IF((RD[[#This Row],[33 kV_F7_Im
Incomer5]]-DZ113)*1000&lt;0,0,(RD[[#This Row],[33 kV_F7_Im
Incomer5]]-DZ113)*1000)</f>
        <v>0</v>
      </c>
      <c r="ER114" s="146">
        <f>IF((RD[[#This Row],[33 kV_Aux Trafo]]-EA113)*1000&lt;0,0,(RD[[#This Row],[33 kV_Aux Trafo]]-EA113)*1000)</f>
        <v>0</v>
      </c>
      <c r="ES114" s="158">
        <f>IF((RD[[#This Row],[33kV_OG1_Ex_]]-EB113)*1&lt;0,0,(RD[[#This Row],[33kV_OG1_Ex_]]-EB113)*1)</f>
        <v>0</v>
      </c>
      <c r="ET114" s="146">
        <f>IF((RD[[#This Row],[33kV_OG1_Im]]-EC113)*1&lt;0,0,(RD[[#This Row],[33kV_OG1_Im]]-EC113)*1)</f>
        <v>0</v>
      </c>
      <c r="EU114" s="146" t="str">
        <f>IF((RD[[#This Row],[132kV_TX1_EX]]-ED113)*720&lt;=0,"",(RD[[#This Row],[132kV_TX1_EX]]-ED113)*720)</f>
        <v/>
      </c>
      <c r="EV114" s="146">
        <f>IF((RD[[#This Row],[132 kV_Tx1_Im]]-EE113)*720&lt;=0,0,(RD[[#This Row],[132 kV_Tx1_Im]]-EE113)*720)</f>
        <v>0</v>
      </c>
      <c r="EW114" s="146">
        <f>IF((RD[[#This Row],[132kV_L1_Ex]]-EF113)*720&lt;=0,0,(RD[[#This Row],[132kV_L1_Ex]]-EF113)*720)</f>
        <v>0</v>
      </c>
      <c r="EX114" s="146">
        <f>IF((RD[[#This Row],[132kV_L1_Im]]-EG113)*720&lt;=0,0,(RD[[#This Row],[132kV_L1_Im]]-EG113)*720)</f>
        <v>0</v>
      </c>
      <c r="EY114" s="330">
        <f>IFERROR(RD[[#This Row],[33kV_OG1_Ex (MWh)]]+RD[[#This Row],[33kV_OG1_Im (MWh)]],"")</f>
        <v>0</v>
      </c>
      <c r="EZ114" s="148">
        <f>RD[[#This Row],[33kV_OG1_Ex (MWh)]]-RD[[#This Row],[33kV_OG1_Im (MWh)]]</f>
        <v>0</v>
      </c>
      <c r="FA114" s="148">
        <f>IFERROR(RD[[#This Row],[132kV_L1_Ex(MWh)]]-RD[[#This Row],[132kV_L1_Im(MWh)]],"")</f>
        <v>0</v>
      </c>
      <c r="FB114" s="332" t="str">
        <f>IFERROR(RD[[#This Row],[33kV_Ex(MWh)]]/RD[[#This Row],[Inv Total Gneration (MWh)]]-1,"")</f>
        <v/>
      </c>
      <c r="FC114" s="333">
        <f>IFERROR((RD[[#This Row],[Sunset Time (POA&lt;20 W/m2)]]-RD[[#This Row],[Sunrise Time (POA&gt;20 W/m2)]])*24,0)</f>
        <v>0</v>
      </c>
      <c r="FD114" s="334"/>
      <c r="FE114"/>
      <c r="FG114" s="144" t="str">
        <f>IFERROR(RD[[#This Row],[E_AC (WPR)]]/RD[[#This Row],[E_DC (WPR)]],"")</f>
        <v/>
      </c>
    </row>
    <row r="115" spans="1:163">
      <c r="A115" s="133">
        <f t="shared" si="167"/>
        <v>45855</v>
      </c>
      <c r="B115" s="138">
        <f>YEAR(RD[[#This Row],[Date]])+IF(MONTH(RD[[#This Row],[Date]])&gt;=4,1,0)</f>
        <v>2026</v>
      </c>
      <c r="C115" s="138">
        <f>YEAR(RD[[#This Row],[Date]])</f>
        <v>2025</v>
      </c>
      <c r="D115" s="139">
        <f t="shared" si="169"/>
        <v>45839</v>
      </c>
      <c r="E115" s="138">
        <f>DAY(EOMONTH(RD[[#This Row],[Date]],0))</f>
        <v>31</v>
      </c>
      <c r="F115" s="152"/>
      <c r="G115" s="162"/>
      <c r="H115" s="124"/>
      <c r="I115" s="270"/>
      <c r="J115" s="124"/>
      <c r="K115" s="124"/>
      <c r="L115" s="124"/>
      <c r="M115" s="124"/>
      <c r="N115" s="124"/>
      <c r="O115" s="124"/>
      <c r="P115" s="124"/>
      <c r="Q115" s="124"/>
      <c r="R115" s="124"/>
      <c r="S115" s="268"/>
      <c r="T115" s="124"/>
      <c r="U115" s="124"/>
      <c r="V115" s="124"/>
      <c r="W115" s="124"/>
      <c r="X115" s="296"/>
      <c r="Y115" s="203"/>
      <c r="Z115" s="203"/>
      <c r="AA115" s="203"/>
      <c r="AB115" s="296"/>
      <c r="AC115" s="203"/>
      <c r="AD115" s="203"/>
      <c r="AE115" s="203"/>
      <c r="AF115" s="296"/>
      <c r="AG115" s="203"/>
      <c r="AH115" s="203"/>
      <c r="AI115" s="296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203"/>
      <c r="BW115" s="203"/>
      <c r="BX115" s="203"/>
      <c r="BY115" s="203"/>
      <c r="BZ115" s="142"/>
      <c r="CA115" s="142"/>
      <c r="CB115" s="142"/>
      <c r="CC115" s="142"/>
      <c r="CD115" s="297"/>
      <c r="CE115" s="59"/>
      <c r="CF115" s="297"/>
      <c r="CG115" s="206"/>
      <c r="CH115" s="297"/>
      <c r="CI115" s="206"/>
      <c r="CJ115" s="298"/>
      <c r="CK115" s="59"/>
      <c r="CL115" s="297"/>
      <c r="CM115" s="206"/>
      <c r="CN115" s="297"/>
      <c r="CO115" s="206"/>
      <c r="CP115" s="297"/>
      <c r="CQ115" s="206"/>
      <c r="CR115" s="297"/>
      <c r="CS115" s="59"/>
      <c r="CT115" s="297"/>
      <c r="CU115" s="206"/>
      <c r="CV115" s="297"/>
      <c r="CW115" s="260"/>
      <c r="CX115" s="204" t="str">
        <f>IFERROR(AVERAGEIF(RD[[#This Row],[IS1POA1 (KWh/m2)]:[IS7POA2 (KWh/m2)]],"&lt;&gt;0",RD[[#This Row],[IS1POA1 (KWh/m2)]:[IS7POA2 (KWh/m2)]]),"")</f>
        <v/>
      </c>
      <c r="CY115" s="204" t="str">
        <f>IFERROR(AVERAGEIF(RD[[#This Row],[IS1GHI1 (KWh/m2)]:[IS7GHI2 (KWh/m2)]],"&lt;&gt;0",RD[[#This Row],[IS1GHI1 (KWh/m2)]:[IS7GHI2 (KWh/m2)]]),"")</f>
        <v/>
      </c>
      <c r="CZ115" s="204" t="str">
        <f>IFERROR(AVERAGEIF(RD[[#This Row],[IS1POA_BS1 (KWh/m2)]:[IS7POA_BS2 (KWh/m2)]],"&lt;&gt;0",RD[[#This Row],[IS1POA_BS1 (KWh/m2)]:[IS7POA_BS2 (KWh/m2)]]),"")</f>
        <v/>
      </c>
      <c r="DA115" s="204" t="str">
        <f>IFERROR(AVERAGEIF(RD[[#This Row],[IS1GHI_BS1 (KWh/m2)]:[IS1GHI_BS1 (KWh/m2)2]],"&lt;&gt;0",RD[[#This Row],[IS1GHI_BS1 (KWh/m2)]:[IS1GHI_BS1 (KWh/m2)2]]),"")</f>
        <v/>
      </c>
      <c r="DB115" s="204" t="str">
        <f>IFERROR(AVERAGEIF(RD[[#This Row],[IS1AT1 (°C)]:[IS7AT2 (°C)]],"&lt;&gt;0",RD[[#This Row],[IS1AT1 (°C)]:[IS7AT2 (°C)]]),"")</f>
        <v/>
      </c>
      <c r="DC115" s="204" t="str">
        <f>IFERROR(AVERAGEIF(RD[[#This Row],[IS1MT1 (°C)]:[IS7MT2 (°C)]],"&lt;&gt;0",RD[[#This Row],[IS1MT1 (°C)]:[IS7MT2 (°C)]]),"")</f>
        <v/>
      </c>
      <c r="DD115" s="204" t="str">
        <f>IFERROR(AVERAGEIF(RD[[#This Row],[IS1RH1 (%)]:[IS7RH2 (%)]],"&lt;&gt;0",RD[[#This Row],[IS1RH1 (%)]:[IS7RH2 (%)]]),"")</f>
        <v/>
      </c>
      <c r="DE115" s="204" t="str">
        <f>IFERROR(AVERAGEIF(RD[[#This Row],[IS1Rain1 (mm)]:[IS7Rain2 (mm)]],"&lt;&gt;0",RD[[#This Row],[IS1Rain1 (mm)]:[IS7Rain2 (mm)]]),"")</f>
        <v/>
      </c>
      <c r="DF115" s="204" t="str">
        <f>IFERROR(AVERAGEIF(RD[[#This Row],[WS_Solar1_Avg (m/s)]:[IS7_WS_Solar1_Avg (m/s)]],"&lt;&gt;0",RD[[#This Row],[WS_Solar1_Avg (m/s)]:[IS7_WS_Solar1_Avg (m/s)]]),"")</f>
        <v/>
      </c>
      <c r="DG115" s="204" t="str">
        <f>IFERROR(AVERAGEIF(RD[[#This Row],[WS_Solar1_Max (m/s)]:[IS7_WS_Solar1_Max (m/s)]],"&lt;&gt;0",RD[[#This Row],[WS_Solar1_Max (m/s)]:[IS7_WS_Solar1_Max (m/s)]]),"")</f>
        <v/>
      </c>
      <c r="DH115" s="204">
        <f>SUM(RD[[#This Row],[IS1Inv1M1]:[IS4Inv4M2]])</f>
        <v>0</v>
      </c>
      <c r="DI115" s="205">
        <f>SUM(RD[[#This Row],[IS7Inv1M1]]+RD[[#This Row],[IS7Inv2M1]])</f>
        <v>0</v>
      </c>
      <c r="DJ115" s="204">
        <f>SUM(RD[[#This Row],[IS5Inv1M1]:[IS5Inv2M2]])</f>
        <v>0</v>
      </c>
      <c r="DK115" s="204">
        <f>SUM(RD[[#This Row],[IS8Inv1M1]:[IS9Inv2M2]])</f>
        <v>0</v>
      </c>
      <c r="DL115" s="60">
        <f>SUM(RD[[#This Row],[IS6Inv1M1]:[IS6Inv2M2]])</f>
        <v>0</v>
      </c>
      <c r="DM115" s="288">
        <f>SUM(RD[[#This Row],[IS10Inv1M1]:[IS11Inv1M4]],RD[[#This Row],[IS14Inv1M1]:[IS14Inv2M4]])</f>
        <v>0</v>
      </c>
      <c r="DN115" s="288">
        <f>SUM(RD[[#This Row],[IS12Inv1M1]:[IS12Inv1M4]])</f>
        <v>0</v>
      </c>
      <c r="DO115" s="288">
        <f>SUM(RD[[#This Row],[IS13Inv1M1]:[IS13Inv2M2]])</f>
        <v>0</v>
      </c>
      <c r="DP115" s="204">
        <f>SUM(RD[[#This Row],[O2R15]:[O2R26]])</f>
        <v>0</v>
      </c>
      <c r="DQ115" s="328"/>
      <c r="DR115" s="134"/>
      <c r="DS115" s="329"/>
      <c r="DT115" s="164"/>
      <c r="DU115" s="134"/>
      <c r="DV115" s="134"/>
      <c r="DW115" s="164"/>
      <c r="DX115" s="134"/>
      <c r="DY115" s="134"/>
      <c r="DZ115" s="134"/>
      <c r="EA115" s="134"/>
      <c r="EB115" s="243"/>
      <c r="EC115" s="242"/>
      <c r="ED115" s="328"/>
      <c r="EE115" s="243"/>
      <c r="EF115" s="164"/>
      <c r="EG115" s="242"/>
      <c r="EH115" s="146">
        <f>IF((RD[[#This Row],[33 kV_F3_Ex
Incomer1]]-DQ114)*1000&lt;0,0,(RD[[#This Row],[33 kV_F3_Ex
Incomer1]]-DQ114)*1000)</f>
        <v>0</v>
      </c>
      <c r="EI115" s="146">
        <f>IF((RD[[#This Row],[34 kV_F3_Im
Incomer1]]-DR114)*1000&lt;0,0,(RD[[#This Row],[34 kV_F3_Im
Incomer1]]-DR114)*1000)</f>
        <v>0</v>
      </c>
      <c r="EJ115" s="146">
        <f>IF((RD[[#This Row],[33 kV_F4_Ex
Incomer2]]-DS114)*1000&lt;0,0,(RD[[#This Row],[33 kV_F4_Ex
Incomer2]]-DS114)*1000)</f>
        <v>0</v>
      </c>
      <c r="EK115" s="146">
        <f>IF((RD[[#This Row],[34 kV_F4_Im
Incomer2]]-DT114)*1000&lt;0,0,(RD[[#This Row],[34 kV_F4_Im
Incomer2]]-DT114)*1000)</f>
        <v>0</v>
      </c>
      <c r="EL115" s="146">
        <f>IF((RD[[#This Row],[33 kV_F5_Ex
Incomer3]]-DU114)*1000&lt;0,0,(RD[[#This Row],[33 kV_F5_Ex
Incomer3]]-DU114)*1000)</f>
        <v>0</v>
      </c>
      <c r="EM115" s="146">
        <f>IF((RD[[#This Row],[34 kV_F5_Im
Incomer3]]-DV114)*1000&lt;0,0,(RD[[#This Row],[34 kV_F5_Im
Incomer3]]-DV114)*1000)</f>
        <v>0</v>
      </c>
      <c r="EN115" s="146">
        <f>IF((RD[[#This Row],[33 kV_F6_Ex
Incomer4]]-DW114)*1000&lt;0,0,(RD[[#This Row],[33 kV_F6_Ex
Incomer4]]-DW114)*1000)</f>
        <v>0</v>
      </c>
      <c r="EO115" s="146"/>
      <c r="EP115" s="146">
        <f>IF((RD[[#This Row],[33 kV_F7_Ex
Incomer5]]-DY114)*1000&lt;0,0,(RD[[#This Row],[33 kV_F7_Ex
Incomer5]]-DY114)*1000)</f>
        <v>0</v>
      </c>
      <c r="EQ115" s="146">
        <f>IF((RD[[#This Row],[33 kV_F7_Im
Incomer5]]-DZ114)*1000&lt;0,0,(RD[[#This Row],[33 kV_F7_Im
Incomer5]]-DZ114)*1000)</f>
        <v>0</v>
      </c>
      <c r="ER115" s="146">
        <f>IF((RD[[#This Row],[33 kV_Aux Trafo]]-EA114)*1000&lt;0,0,(RD[[#This Row],[33 kV_Aux Trafo]]-EA114)*1000)</f>
        <v>0</v>
      </c>
      <c r="ES115" s="331">
        <f>IF((RD[[#This Row],[33kV_OG1_Ex_]]-EB114)*1000&lt;=0,0,(RD[[#This Row],[33kV_OG1_Ex_]]-EB114)*1000)</f>
        <v>0</v>
      </c>
      <c r="ET115" s="146">
        <f>IF((RD[[#This Row],[33kV_OG1_Im]]-EC114)*1&lt;0,0,(RD[[#This Row],[33kV_OG1_Im]]-EC114)*1)</f>
        <v>0</v>
      </c>
      <c r="EU115" s="146" t="str">
        <f>IF((RD[[#This Row],[132kV_TX1_EX]]-ED114)*720&lt;=0,"",(RD[[#This Row],[132kV_TX1_EX]]-ED114)*720)</f>
        <v/>
      </c>
      <c r="EV115" s="146">
        <f>IF((RD[[#This Row],[132 kV_Tx1_Im]]-EE114)*720&lt;=0,0,(RD[[#This Row],[132 kV_Tx1_Im]]-EE114)*720)</f>
        <v>0</v>
      </c>
      <c r="EW115" s="146">
        <f>IF((RD[[#This Row],[132kV_L1_Ex]]-EF114)*720&lt;=0,0,(RD[[#This Row],[132kV_L1_Ex]]-EF114)*720)</f>
        <v>0</v>
      </c>
      <c r="EX115" s="146">
        <f>IF((RD[[#This Row],[132kV_L1_Im]]-EG114)*720&lt;=0,0,(RD[[#This Row],[132kV_L1_Im]]-EG114)*720)</f>
        <v>0</v>
      </c>
      <c r="EY115" s="330">
        <f>IFERROR(RD[[#This Row],[33kV_OG1_Ex (MWh)]]+RD[[#This Row],[33kV_OG1_Im (MWh)]],"")</f>
        <v>0</v>
      </c>
      <c r="EZ115" s="148">
        <f>RD[[#This Row],[33kV_OG1_Ex (MWh)]]-RD[[#This Row],[33kV_OG1_Im (MWh)]]</f>
        <v>0</v>
      </c>
      <c r="FA115" s="148">
        <f>IFERROR(RD[[#This Row],[132kV_L1_Ex(MWh)]]-RD[[#This Row],[132kV_L1_Im(MWh)]],"")</f>
        <v>0</v>
      </c>
      <c r="FB115" s="332" t="str">
        <f>IFERROR(RD[[#This Row],[33kV_Ex(MWh)]]/RD[[#This Row],[Inv Total Gneration (MWh)]]-1,"")</f>
        <v/>
      </c>
      <c r="FC115" s="333">
        <f>IFERROR((RD[[#This Row],[Sunset Time (POA&lt;20 W/m2)]]-RD[[#This Row],[Sunrise Time (POA&gt;20 W/m2)]])*24,0)</f>
        <v>0</v>
      </c>
      <c r="FD115" s="334"/>
      <c r="FE115"/>
      <c r="FG115" s="144" t="str">
        <f>IFERROR(RD[[#This Row],[E_AC (WPR)]]/RD[[#This Row],[E_DC (WPR)]],"")</f>
        <v/>
      </c>
    </row>
    <row r="116" spans="1:163">
      <c r="A116" s="133">
        <f t="shared" si="167"/>
        <v>45856</v>
      </c>
      <c r="B116" s="138">
        <f>YEAR(RD[[#This Row],[Date]])+IF(MONTH(RD[[#This Row],[Date]])&gt;=4,1,0)</f>
        <v>2026</v>
      </c>
      <c r="C116" s="138">
        <f>YEAR(RD[[#This Row],[Date]])</f>
        <v>2025</v>
      </c>
      <c r="D116" s="139">
        <f t="shared" si="169"/>
        <v>45839</v>
      </c>
      <c r="E116" s="138">
        <f>DAY(EOMONTH(RD[[#This Row],[Date]],0))</f>
        <v>31</v>
      </c>
      <c r="F116" s="152"/>
      <c r="G116" s="162"/>
      <c r="H116" s="124"/>
      <c r="I116" s="270"/>
      <c r="J116" s="124"/>
      <c r="K116" s="124"/>
      <c r="L116" s="124"/>
      <c r="M116" s="124"/>
      <c r="N116" s="124"/>
      <c r="O116" s="124"/>
      <c r="P116" s="124"/>
      <c r="Q116" s="124"/>
      <c r="R116" s="124"/>
      <c r="S116" s="268"/>
      <c r="T116" s="124"/>
      <c r="U116" s="124"/>
      <c r="V116" s="124"/>
      <c r="W116" s="124"/>
      <c r="X116" s="296"/>
      <c r="Y116" s="203"/>
      <c r="Z116" s="203"/>
      <c r="AA116" s="203"/>
      <c r="AB116" s="296"/>
      <c r="AC116" s="203"/>
      <c r="AD116" s="203"/>
      <c r="AE116" s="203"/>
      <c r="AF116" s="296"/>
      <c r="AG116" s="203"/>
      <c r="AH116" s="203"/>
      <c r="AI116" s="296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203"/>
      <c r="BW116" s="203"/>
      <c r="BX116" s="203"/>
      <c r="BY116" s="203"/>
      <c r="BZ116" s="142"/>
      <c r="CA116" s="142"/>
      <c r="CB116" s="142"/>
      <c r="CC116" s="142"/>
      <c r="CD116" s="297"/>
      <c r="CE116" s="59"/>
      <c r="CF116" s="297"/>
      <c r="CG116" s="206"/>
      <c r="CH116" s="297"/>
      <c r="CI116" s="206"/>
      <c r="CJ116" s="298"/>
      <c r="CK116" s="59"/>
      <c r="CL116" s="297"/>
      <c r="CM116" s="206"/>
      <c r="CN116" s="297"/>
      <c r="CO116" s="206"/>
      <c r="CP116" s="297"/>
      <c r="CQ116" s="206"/>
      <c r="CR116" s="297"/>
      <c r="CS116" s="59"/>
      <c r="CT116" s="297"/>
      <c r="CU116" s="206"/>
      <c r="CV116" s="297"/>
      <c r="CW116" s="260"/>
      <c r="CX116" s="204" t="str">
        <f>IFERROR(AVERAGEIF(RD[[#This Row],[IS1POA1 (KWh/m2)]:[IS7POA2 (KWh/m2)]],"&lt;&gt;0",RD[[#This Row],[IS1POA1 (KWh/m2)]:[IS7POA2 (KWh/m2)]]),"")</f>
        <v/>
      </c>
      <c r="CY116" s="204" t="str">
        <f>IFERROR(AVERAGEIF(RD[[#This Row],[IS1GHI1 (KWh/m2)]:[IS7GHI2 (KWh/m2)]],"&lt;&gt;0",RD[[#This Row],[IS1GHI1 (KWh/m2)]:[IS7GHI2 (KWh/m2)]]),"")</f>
        <v/>
      </c>
      <c r="CZ116" s="204" t="str">
        <f>IFERROR(AVERAGEIF(RD[[#This Row],[IS1POA_BS1 (KWh/m2)]:[IS7POA_BS2 (KWh/m2)]],"&lt;&gt;0",RD[[#This Row],[IS1POA_BS1 (KWh/m2)]:[IS7POA_BS2 (KWh/m2)]]),"")</f>
        <v/>
      </c>
      <c r="DA116" s="204" t="str">
        <f>IFERROR(AVERAGEIF(RD[[#This Row],[IS1GHI_BS1 (KWh/m2)]:[IS1GHI_BS1 (KWh/m2)2]],"&lt;&gt;0",RD[[#This Row],[IS1GHI_BS1 (KWh/m2)]:[IS1GHI_BS1 (KWh/m2)2]]),"")</f>
        <v/>
      </c>
      <c r="DB116" s="204" t="str">
        <f>IFERROR(AVERAGEIF(RD[[#This Row],[IS1AT1 (°C)]:[IS7AT2 (°C)]],"&lt;&gt;0",RD[[#This Row],[IS1AT1 (°C)]:[IS7AT2 (°C)]]),"")</f>
        <v/>
      </c>
      <c r="DC116" s="204" t="str">
        <f>IFERROR(AVERAGEIF(RD[[#This Row],[IS1MT1 (°C)]:[IS7MT2 (°C)]],"&lt;&gt;0",RD[[#This Row],[IS1MT1 (°C)]:[IS7MT2 (°C)]]),"")</f>
        <v/>
      </c>
      <c r="DD116" s="204" t="str">
        <f>IFERROR(AVERAGEIF(RD[[#This Row],[IS1RH1 (%)]:[IS7RH2 (%)]],"&lt;&gt;0",RD[[#This Row],[IS1RH1 (%)]:[IS7RH2 (%)]]),"")</f>
        <v/>
      </c>
      <c r="DE116" s="204" t="str">
        <f>IFERROR(AVERAGEIF(RD[[#This Row],[IS1Rain1 (mm)]:[IS7Rain2 (mm)]],"&lt;&gt;0",RD[[#This Row],[IS1Rain1 (mm)]:[IS7Rain2 (mm)]]),"")</f>
        <v/>
      </c>
      <c r="DF116" s="204" t="str">
        <f>IFERROR(AVERAGEIF(RD[[#This Row],[WS_Solar1_Avg (m/s)]:[IS7_WS_Solar1_Avg (m/s)]],"&lt;&gt;0",RD[[#This Row],[WS_Solar1_Avg (m/s)]:[IS7_WS_Solar1_Avg (m/s)]]),"")</f>
        <v/>
      </c>
      <c r="DG116" s="204" t="str">
        <f>IFERROR(AVERAGEIF(RD[[#This Row],[WS_Solar1_Max (m/s)]:[IS7_WS_Solar1_Max (m/s)]],"&lt;&gt;0",RD[[#This Row],[WS_Solar1_Max (m/s)]:[IS7_WS_Solar1_Max (m/s)]]),"")</f>
        <v/>
      </c>
      <c r="DH116" s="204">
        <f>SUM(RD[[#This Row],[IS1Inv1M1]:[IS4Inv4M2]])</f>
        <v>0</v>
      </c>
      <c r="DI116" s="205">
        <f>SUM(RD[[#This Row],[IS7Inv1M1]]+RD[[#This Row],[IS7Inv2M1]])</f>
        <v>0</v>
      </c>
      <c r="DJ116" s="204">
        <f>SUM(RD[[#This Row],[IS5Inv1M1]:[IS5Inv2M2]])</f>
        <v>0</v>
      </c>
      <c r="DK116" s="204">
        <f>SUM(RD[[#This Row],[IS8Inv1M1]:[IS9Inv2M2]])</f>
        <v>0</v>
      </c>
      <c r="DL116" s="60">
        <f>SUM(RD[[#This Row],[IS6Inv1M1]:[IS6Inv2M2]])</f>
        <v>0</v>
      </c>
      <c r="DM116" s="288">
        <f>SUM(RD[[#This Row],[IS10Inv1M1]:[IS11Inv1M4]],RD[[#This Row],[IS14Inv1M1]:[IS14Inv2M4]])</f>
        <v>0</v>
      </c>
      <c r="DN116" s="288">
        <f>SUM(RD[[#This Row],[IS12Inv1M1]:[IS12Inv1M4]])</f>
        <v>0</v>
      </c>
      <c r="DO116" s="288">
        <f>SUM(RD[[#This Row],[IS13Inv1M1]:[IS13Inv2M2]])</f>
        <v>0</v>
      </c>
      <c r="DP116" s="204">
        <f>SUM(RD[[#This Row],[O2R15]:[O2R26]])</f>
        <v>0</v>
      </c>
      <c r="DQ116" s="328"/>
      <c r="DR116" s="134"/>
      <c r="DS116" s="329"/>
      <c r="DT116" s="328"/>
      <c r="DU116" s="134"/>
      <c r="DV116" s="134"/>
      <c r="DW116" s="328"/>
      <c r="DX116" s="134"/>
      <c r="DY116" s="134"/>
      <c r="DZ116" s="134"/>
      <c r="EA116" s="134"/>
      <c r="EB116" s="243"/>
      <c r="EC116" s="242"/>
      <c r="ED116" s="328"/>
      <c r="EE116" s="243"/>
      <c r="EF116" s="164"/>
      <c r="EG116" s="242"/>
      <c r="EH116" s="146">
        <f>IF((RD[[#This Row],[33 kV_F3_Ex
Incomer1]]-DQ115)*1000&lt;0,0,(RD[[#This Row],[33 kV_F3_Ex
Incomer1]]-DQ115)*1000)</f>
        <v>0</v>
      </c>
      <c r="EI116" s="146">
        <f>IF((RD[[#This Row],[34 kV_F3_Im
Incomer1]]-DR115)*1000&lt;0,0,(RD[[#This Row],[34 kV_F3_Im
Incomer1]]-DR115)*1000)</f>
        <v>0</v>
      </c>
      <c r="EJ116" s="146">
        <f>IF((RD[[#This Row],[33 kV_F4_Ex
Incomer2]]-DS115)*1000&lt;0,0,(RD[[#This Row],[33 kV_F4_Ex
Incomer2]]-DS115)*1000)</f>
        <v>0</v>
      </c>
      <c r="EK116" s="146">
        <f>IF((RD[[#This Row],[34 kV_F4_Im
Incomer2]]-DT115)*1000&lt;0,0,(RD[[#This Row],[34 kV_F4_Im
Incomer2]]-DT115)*1000)</f>
        <v>0</v>
      </c>
      <c r="EL116" s="146">
        <f>IF((RD[[#This Row],[33 kV_F5_Ex
Incomer3]]-DU115)*1000&lt;0,0,(RD[[#This Row],[33 kV_F5_Ex
Incomer3]]-DU115)*1000)</f>
        <v>0</v>
      </c>
      <c r="EM116" s="146">
        <f>IF((RD[[#This Row],[34 kV_F5_Im
Incomer3]]-DV115)*1000&lt;0,0,(RD[[#This Row],[34 kV_F5_Im
Incomer3]]-DV115)*1000)</f>
        <v>0</v>
      </c>
      <c r="EN116" s="146">
        <f>IF((RD[[#This Row],[33 kV_F6_Ex
Incomer4]]-DW115)*1000&lt;0,0,(RD[[#This Row],[33 kV_F6_Ex
Incomer4]]-DW115)*1000)</f>
        <v>0</v>
      </c>
      <c r="EO116" s="146"/>
      <c r="EP116" s="146">
        <f>IF((RD[[#This Row],[33 kV_F7_Ex
Incomer5]]-DY115)*1000&lt;0,0,(RD[[#This Row],[33 kV_F7_Ex
Incomer5]]-DY115)*1000)</f>
        <v>0</v>
      </c>
      <c r="EQ116" s="146">
        <f>IF((RD[[#This Row],[33 kV_F7_Im
Incomer5]]-DZ115)*1000&lt;0,0,(RD[[#This Row],[33 kV_F7_Im
Incomer5]]-DZ115)*1000)</f>
        <v>0</v>
      </c>
      <c r="ER116" s="146">
        <f>IF((RD[[#This Row],[33 kV_Aux Trafo]]-EA115)*1000&lt;0,0,(RD[[#This Row],[33 kV_Aux Trafo]]-EA115)*1000)</f>
        <v>0</v>
      </c>
      <c r="ES116" s="331">
        <f>IF((RD[[#This Row],[33kV_OG1_Ex_]]-EB115)*1000&lt;=0,0,(RD[[#This Row],[33kV_OG1_Ex_]]-EB115)*1000)</f>
        <v>0</v>
      </c>
      <c r="ET116" s="330">
        <f>IFERROR(IF((RD[[#This Row],[33kV_OG1_Im]]-EC115)*1000&lt;=0,0,(RD[[#This Row],[33kV_OG1_Im]]-EC115)*1000),0)</f>
        <v>0</v>
      </c>
      <c r="EU116" s="146" t="str">
        <f>IF((RD[[#This Row],[132kV_TX1_EX]]-ED115)*720&lt;=0,"",(RD[[#This Row],[132kV_TX1_EX]]-ED115)*720)</f>
        <v/>
      </c>
      <c r="EV116" s="330">
        <f>IF((RD[[#This Row],[132 kV_Tx1_Im]]-EE115)*800000&lt;=0,0,(RD[[#This Row],[132 kV_Tx1_Im]]-EE115)*800000)</f>
        <v>0</v>
      </c>
      <c r="EW116" s="146">
        <f>IF((RD[[#This Row],[132kV_L1_Ex]]-EF115)*720&lt;=0,0,(RD[[#This Row],[132kV_L1_Ex]]-EF115)*720)</f>
        <v>0</v>
      </c>
      <c r="EX116" s="146">
        <f>IF((RD[[#This Row],[132kV_L1_Im]]-EG115)*720&lt;=0,0,(RD[[#This Row],[132kV_L1_Im]]-EG115)*720)</f>
        <v>0</v>
      </c>
      <c r="EY116" s="330">
        <f>IFERROR(RD[[#This Row],[33kV_OG1_Ex (MWh)]]+RD[[#This Row],[33kV_OG1_Im (MWh)]],"")</f>
        <v>0</v>
      </c>
      <c r="EZ116" s="148">
        <f>RD[[#This Row],[33kV_OG1_Ex (MWh)]]-RD[[#This Row],[33kV_OG1_Im (MWh)]]</f>
        <v>0</v>
      </c>
      <c r="FA116" s="148">
        <f>IFERROR(RD[[#This Row],[132kV_L1_Ex(MWh)]]-RD[[#This Row],[132kV_L1_Im(MWh)]],"")</f>
        <v>0</v>
      </c>
      <c r="FB116" s="332" t="str">
        <f>IFERROR(RD[[#This Row],[33kV_Ex(MWh)]]/RD[[#This Row],[Inv Total Gneration (MWh)]]-1,"")</f>
        <v/>
      </c>
      <c r="FC116" s="333">
        <f>IFERROR((RD[[#This Row],[Sunset Time (POA&lt;20 W/m2)]]-RD[[#This Row],[Sunrise Time (POA&gt;20 W/m2)]])*24,0)</f>
        <v>0</v>
      </c>
      <c r="FD116" s="334"/>
      <c r="FE116"/>
      <c r="FG116" s="144" t="str">
        <f>IFERROR(RD[[#This Row],[E_AC (WPR)]]/RD[[#This Row],[E_DC (WPR)]],"")</f>
        <v/>
      </c>
    </row>
    <row r="117" spans="1:163">
      <c r="A117" s="133">
        <f t="shared" si="167"/>
        <v>45857</v>
      </c>
      <c r="B117" s="138">
        <f>YEAR(RD[[#This Row],[Date]])+IF(MONTH(RD[[#This Row],[Date]])&gt;=4,1,0)</f>
        <v>2026</v>
      </c>
      <c r="C117" s="138">
        <f>YEAR(RD[[#This Row],[Date]])</f>
        <v>2025</v>
      </c>
      <c r="D117" s="139">
        <f t="shared" si="169"/>
        <v>45839</v>
      </c>
      <c r="E117" s="138">
        <f>DAY(EOMONTH(RD[[#This Row],[Date]],0))</f>
        <v>31</v>
      </c>
      <c r="F117" s="152"/>
      <c r="G117" s="162"/>
      <c r="H117" s="124"/>
      <c r="I117" s="270"/>
      <c r="J117" s="124"/>
      <c r="K117" s="124"/>
      <c r="L117" s="124"/>
      <c r="M117" s="124"/>
      <c r="N117" s="124"/>
      <c r="O117" s="124"/>
      <c r="P117" s="124"/>
      <c r="Q117" s="124"/>
      <c r="R117" s="124"/>
      <c r="S117" s="268"/>
      <c r="T117" s="124"/>
      <c r="U117" s="124"/>
      <c r="V117" s="124"/>
      <c r="W117" s="124"/>
      <c r="X117" s="296"/>
      <c r="Y117" s="203"/>
      <c r="Z117" s="203"/>
      <c r="AA117" s="203"/>
      <c r="AB117" s="296"/>
      <c r="AC117" s="203"/>
      <c r="AD117" s="203"/>
      <c r="AE117" s="203"/>
      <c r="AF117" s="296"/>
      <c r="AG117" s="203"/>
      <c r="AH117" s="203"/>
      <c r="AI117" s="296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203"/>
      <c r="BW117" s="203"/>
      <c r="BX117" s="203"/>
      <c r="BY117" s="203"/>
      <c r="BZ117" s="142"/>
      <c r="CA117" s="142"/>
      <c r="CB117" s="142"/>
      <c r="CC117" s="142"/>
      <c r="CD117" s="297"/>
      <c r="CE117" s="59"/>
      <c r="CF117" s="297"/>
      <c r="CG117" s="206"/>
      <c r="CH117" s="297"/>
      <c r="CI117" s="206"/>
      <c r="CJ117" s="298"/>
      <c r="CK117" s="59"/>
      <c r="CL117" s="297"/>
      <c r="CM117" s="206"/>
      <c r="CN117" s="297"/>
      <c r="CO117" s="206"/>
      <c r="CP117" s="297"/>
      <c r="CQ117" s="206"/>
      <c r="CR117" s="297"/>
      <c r="CS117" s="59"/>
      <c r="CT117" s="297"/>
      <c r="CU117" s="206"/>
      <c r="CV117" s="297"/>
      <c r="CW117" s="260"/>
      <c r="CX117" s="204" t="str">
        <f>IFERROR(AVERAGEIF(RD[[#This Row],[IS1POA1 (KWh/m2)]:[IS7POA2 (KWh/m2)]],"&lt;&gt;0",RD[[#This Row],[IS1POA1 (KWh/m2)]:[IS7POA2 (KWh/m2)]]),"")</f>
        <v/>
      </c>
      <c r="CY117" s="204" t="str">
        <f>IFERROR(AVERAGEIF(RD[[#This Row],[IS1GHI1 (KWh/m2)]:[IS7GHI2 (KWh/m2)]],"&lt;&gt;0",RD[[#This Row],[IS1GHI1 (KWh/m2)]:[IS7GHI2 (KWh/m2)]]),"")</f>
        <v/>
      </c>
      <c r="CZ117" s="204" t="str">
        <f>IFERROR(AVERAGEIF(RD[[#This Row],[IS1POA_BS1 (KWh/m2)]:[IS7POA_BS2 (KWh/m2)]],"&lt;&gt;0",RD[[#This Row],[IS1POA_BS1 (KWh/m2)]:[IS7POA_BS2 (KWh/m2)]]),"")</f>
        <v/>
      </c>
      <c r="DA117" s="204" t="str">
        <f>IFERROR(AVERAGEIF(RD[[#This Row],[IS1GHI_BS1 (KWh/m2)]:[IS1GHI_BS1 (KWh/m2)2]],"&lt;&gt;0",RD[[#This Row],[IS1GHI_BS1 (KWh/m2)]:[IS1GHI_BS1 (KWh/m2)2]]),"")</f>
        <v/>
      </c>
      <c r="DB117" s="204" t="str">
        <f>IFERROR(AVERAGEIF(RD[[#This Row],[IS1AT1 (°C)]:[IS7AT2 (°C)]],"&lt;&gt;0",RD[[#This Row],[IS1AT1 (°C)]:[IS7AT2 (°C)]]),"")</f>
        <v/>
      </c>
      <c r="DC117" s="204" t="str">
        <f>IFERROR(AVERAGEIF(RD[[#This Row],[IS1MT1 (°C)]:[IS7MT2 (°C)]],"&lt;&gt;0",RD[[#This Row],[IS1MT1 (°C)]:[IS7MT2 (°C)]]),"")</f>
        <v/>
      </c>
      <c r="DD117" s="204" t="str">
        <f>IFERROR(AVERAGEIF(RD[[#This Row],[IS1RH1 (%)]:[IS7RH2 (%)]],"&lt;&gt;0",RD[[#This Row],[IS1RH1 (%)]:[IS7RH2 (%)]]),"")</f>
        <v/>
      </c>
      <c r="DE117" s="204" t="str">
        <f>IFERROR(AVERAGEIF(RD[[#This Row],[IS1Rain1 (mm)]:[IS7Rain2 (mm)]],"&lt;&gt;0",RD[[#This Row],[IS1Rain1 (mm)]:[IS7Rain2 (mm)]]),"")</f>
        <v/>
      </c>
      <c r="DF117" s="204" t="str">
        <f>IFERROR(AVERAGEIF(RD[[#This Row],[WS_Solar1_Avg (m/s)]:[IS7_WS_Solar1_Avg (m/s)]],"&lt;&gt;0",RD[[#This Row],[WS_Solar1_Avg (m/s)]:[IS7_WS_Solar1_Avg (m/s)]]),"")</f>
        <v/>
      </c>
      <c r="DG117" s="204" t="str">
        <f>IFERROR(AVERAGEIF(RD[[#This Row],[WS_Solar1_Max (m/s)]:[IS7_WS_Solar1_Max (m/s)]],"&lt;&gt;0",RD[[#This Row],[WS_Solar1_Max (m/s)]:[IS7_WS_Solar1_Max (m/s)]]),"")</f>
        <v/>
      </c>
      <c r="DH117" s="204">
        <f>SUM(RD[[#This Row],[IS1Inv1M1]:[IS4Inv4M2]])</f>
        <v>0</v>
      </c>
      <c r="DI117" s="205">
        <f>SUM(RD[[#This Row],[IS7Inv1M1]]+RD[[#This Row],[IS7Inv2M1]])</f>
        <v>0</v>
      </c>
      <c r="DJ117" s="204">
        <f>SUM(RD[[#This Row],[IS5Inv1M1]:[IS5Inv2M2]])</f>
        <v>0</v>
      </c>
      <c r="DK117" s="204">
        <f>SUM(RD[[#This Row],[IS8Inv1M1]:[IS9Inv2M2]])</f>
        <v>0</v>
      </c>
      <c r="DL117" s="60">
        <f>SUM(RD[[#This Row],[IS6Inv1M1]:[IS6Inv2M2]])</f>
        <v>0</v>
      </c>
      <c r="DM117" s="288">
        <f>SUM(RD[[#This Row],[IS10Inv1M1]:[IS11Inv1M4]],RD[[#This Row],[IS14Inv1M1]:[IS14Inv2M4]])</f>
        <v>0</v>
      </c>
      <c r="DN117" s="288">
        <f>SUM(RD[[#This Row],[IS12Inv1M1]:[IS12Inv1M4]])</f>
        <v>0</v>
      </c>
      <c r="DO117" s="288">
        <f>SUM(RD[[#This Row],[IS13Inv1M1]:[IS13Inv2M2]])</f>
        <v>0</v>
      </c>
      <c r="DP117" s="204">
        <f>SUM(RD[[#This Row],[O2R15]:[O2R26]])</f>
        <v>0</v>
      </c>
      <c r="DQ117" s="328"/>
      <c r="DR117" s="134"/>
      <c r="DS117" s="329"/>
      <c r="DT117" s="328"/>
      <c r="DU117" s="134"/>
      <c r="DV117" s="134"/>
      <c r="DW117" s="328"/>
      <c r="DX117" s="134"/>
      <c r="DY117" s="134"/>
      <c r="DZ117" s="134"/>
      <c r="EA117" s="134"/>
      <c r="EB117" s="243"/>
      <c r="EC117" s="328"/>
      <c r="ED117" s="328"/>
      <c r="EE117" s="243"/>
      <c r="EF117" s="164"/>
      <c r="EG117" s="242"/>
      <c r="EH117" s="146">
        <f>IF((RD[[#This Row],[33 kV_F3_Ex
Incomer1]]-DQ116)*1000&lt;0,0,(RD[[#This Row],[33 kV_F3_Ex
Incomer1]]-DQ116)*1000)</f>
        <v>0</v>
      </c>
      <c r="EI117" s="146">
        <f>IF((RD[[#This Row],[34 kV_F3_Im
Incomer1]]-DR116)*1000&lt;0,0,(RD[[#This Row],[34 kV_F3_Im
Incomer1]]-DR116)*1000)</f>
        <v>0</v>
      </c>
      <c r="EJ117" s="146">
        <f>IF((RD[[#This Row],[33 kV_F4_Ex
Incomer2]]-DS116)*1000&lt;0,0,(RD[[#This Row],[33 kV_F4_Ex
Incomer2]]-DS116)*1000)</f>
        <v>0</v>
      </c>
      <c r="EK117" s="146">
        <f>IF((RD[[#This Row],[34 kV_F4_Im
Incomer2]]-DT116)*1000&lt;0,0,(RD[[#This Row],[34 kV_F4_Im
Incomer2]]-DT116)*1000)</f>
        <v>0</v>
      </c>
      <c r="EL117" s="146">
        <f>IF((RD[[#This Row],[33 kV_F5_Ex
Incomer3]]-DU116)*1000&lt;0,0,(RD[[#This Row],[33 kV_F5_Ex
Incomer3]]-DU116)*1000)</f>
        <v>0</v>
      </c>
      <c r="EM117" s="146">
        <f>IF((RD[[#This Row],[34 kV_F5_Im
Incomer3]]-DV116)*1000&lt;0,0,(RD[[#This Row],[34 kV_F5_Im
Incomer3]]-DV116)*1000)</f>
        <v>0</v>
      </c>
      <c r="EN117" s="146">
        <f>IF((RD[[#This Row],[33 kV_F6_Ex
Incomer4]]-DW116)*1000&lt;0,0,(RD[[#This Row],[33 kV_F6_Ex
Incomer4]]-DW116)*1000)</f>
        <v>0</v>
      </c>
      <c r="EO117" s="146">
        <f t="shared" si="166"/>
        <v>0</v>
      </c>
      <c r="EP117" s="146">
        <f>IF((RD[[#This Row],[33 kV_F7_Ex
Incomer5]]-DY116)*1000&lt;0,0,(RD[[#This Row],[33 kV_F7_Ex
Incomer5]]-DY116)*1000)</f>
        <v>0</v>
      </c>
      <c r="EQ117" s="146">
        <f>IF((RD[[#This Row],[33 kV_F7_Im
Incomer5]]-DZ116)*1000&lt;0,0,(RD[[#This Row],[33 kV_F7_Im
Incomer5]]-DZ116)*1000)</f>
        <v>0</v>
      </c>
      <c r="ER117" s="146">
        <f>IF((RD[[#This Row],[33 kV_Aux Trafo]]-EA116)*1000&lt;0,0,(RD[[#This Row],[33 kV_Aux Trafo]]-EA116)*1000)</f>
        <v>0</v>
      </c>
      <c r="ES117" s="331">
        <f>IF((RD[[#This Row],[33kV_OG1_Ex_]]-EB116)*1000&lt;=0,0,(RD[[#This Row],[33kV_OG1_Ex_]]-EB116)*1000)</f>
        <v>0</v>
      </c>
      <c r="ET117" s="330">
        <f>IFERROR(IF((RD[[#This Row],[33kV_OG1_Im]]-EC116)*1000&lt;=0,0,(RD[[#This Row],[33kV_OG1_Im]]-EC116)*1000),0)</f>
        <v>0</v>
      </c>
      <c r="EU117" s="330">
        <f>(RD[[#This Row],[132kV_TX1_EX]]-EE114)</f>
        <v>0</v>
      </c>
      <c r="EV117" s="330">
        <f>IF((RD[[#This Row],[132 kV_Tx1_Im]]-EE116)*800000&lt;=0,0,(RD[[#This Row],[132 kV_Tx1_Im]]-EE116)*800000)</f>
        <v>0</v>
      </c>
      <c r="EW117" s="330">
        <f>IF((RD[[#This Row],[132kV_L1_Ex]]-EF116)*1600000&lt;=0,0,(RD[[#This Row],[132kV_L1_Ex]]-EF116)*1600000)</f>
        <v>0</v>
      </c>
      <c r="EX117" s="146">
        <f>IF((RD[[#This Row],[132kV_L1_Im]]-EG116)*720&lt;=0,0,(RD[[#This Row],[132kV_L1_Im]]-EG116)*720)</f>
        <v>0</v>
      </c>
      <c r="EY117" s="330">
        <f>IFERROR(RD[[#This Row],[33kV_OG1_Ex (MWh)]]+RD[[#This Row],[33kV_OG1_Im (MWh)]],"")</f>
        <v>0</v>
      </c>
      <c r="EZ117" s="148">
        <f>RD[[#This Row],[33kV_OG1_Ex (MWh)]]-RD[[#This Row],[33kV_OG1_Im (MWh)]]</f>
        <v>0</v>
      </c>
      <c r="FA117" s="148">
        <f>IFERROR(RD[[#This Row],[132kV_L1_Ex(MWh)]]-RD[[#This Row],[132kV_L1_Im(MWh)]],"")</f>
        <v>0</v>
      </c>
      <c r="FB117" s="332" t="str">
        <f>IFERROR(RD[[#This Row],[33kV_Ex(MWh)]]/RD[[#This Row],[Inv Total Gneration (MWh)]]-1,"")</f>
        <v/>
      </c>
      <c r="FC117" s="333">
        <f>IFERROR((RD[[#This Row],[Sunset Time (POA&lt;20 W/m2)]]-RD[[#This Row],[Sunrise Time (POA&gt;20 W/m2)]])*24,0)</f>
        <v>0</v>
      </c>
      <c r="FD117" s="334"/>
      <c r="FE117"/>
      <c r="FG117" s="144" t="str">
        <f>IFERROR(RD[[#This Row],[E_AC (WPR)]]/RD[[#This Row],[E_DC (WPR)]],"")</f>
        <v/>
      </c>
    </row>
    <row r="118" spans="1:163">
      <c r="A118" s="133">
        <f t="shared" si="167"/>
        <v>45858</v>
      </c>
      <c r="B118" s="138">
        <f>YEAR(RD[[#This Row],[Date]])+IF(MONTH(RD[[#This Row],[Date]])&gt;=4,1,0)</f>
        <v>2026</v>
      </c>
      <c r="C118" s="138">
        <f>YEAR(RD[[#This Row],[Date]])</f>
        <v>2025</v>
      </c>
      <c r="D118" s="139">
        <f t="shared" si="169"/>
        <v>45839</v>
      </c>
      <c r="E118" s="138">
        <f>DAY(EOMONTH(RD[[#This Row],[Date]],0))</f>
        <v>31</v>
      </c>
      <c r="F118" s="152"/>
      <c r="G118" s="162"/>
      <c r="H118" s="124"/>
      <c r="I118" s="270"/>
      <c r="J118" s="124"/>
      <c r="K118" s="124"/>
      <c r="L118" s="124"/>
      <c r="M118" s="124"/>
      <c r="N118" s="124"/>
      <c r="O118" s="124"/>
      <c r="P118" s="124"/>
      <c r="Q118" s="124"/>
      <c r="R118" s="124"/>
      <c r="S118" s="268"/>
      <c r="T118" s="124"/>
      <c r="U118" s="124"/>
      <c r="V118" s="124"/>
      <c r="W118" s="124"/>
      <c r="X118" s="296"/>
      <c r="Y118" s="203"/>
      <c r="Z118" s="203"/>
      <c r="AA118" s="203"/>
      <c r="AB118" s="296"/>
      <c r="AC118" s="203"/>
      <c r="AD118" s="203"/>
      <c r="AE118" s="203"/>
      <c r="AF118" s="296"/>
      <c r="AG118" s="203"/>
      <c r="AH118" s="203"/>
      <c r="AI118" s="296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203"/>
      <c r="BW118" s="203"/>
      <c r="BX118" s="203"/>
      <c r="BY118" s="203"/>
      <c r="BZ118" s="142"/>
      <c r="CA118" s="142"/>
      <c r="CB118" s="142"/>
      <c r="CC118" s="142"/>
      <c r="CD118" s="297"/>
      <c r="CE118" s="59"/>
      <c r="CF118" s="297"/>
      <c r="CG118" s="206"/>
      <c r="CH118" s="297"/>
      <c r="CI118" s="206"/>
      <c r="CJ118" s="298"/>
      <c r="CK118" s="59"/>
      <c r="CL118" s="297"/>
      <c r="CM118" s="206"/>
      <c r="CN118" s="297"/>
      <c r="CO118" s="206"/>
      <c r="CP118" s="297"/>
      <c r="CQ118" s="206"/>
      <c r="CR118" s="297"/>
      <c r="CS118" s="59"/>
      <c r="CT118" s="297"/>
      <c r="CU118" s="206"/>
      <c r="CV118" s="297"/>
      <c r="CW118" s="260"/>
      <c r="CX118" s="204" t="str">
        <f>IFERROR(AVERAGEIF(RD[[#This Row],[IS1POA1 (KWh/m2)]:[IS7POA2 (KWh/m2)]],"&lt;&gt;0",RD[[#This Row],[IS1POA1 (KWh/m2)]:[IS7POA2 (KWh/m2)]]),"")</f>
        <v/>
      </c>
      <c r="CY118" s="204" t="str">
        <f>IFERROR(AVERAGEIF(RD[[#This Row],[IS1GHI1 (KWh/m2)]:[IS7GHI2 (KWh/m2)]],"&lt;&gt;0",RD[[#This Row],[IS1GHI1 (KWh/m2)]:[IS7GHI2 (KWh/m2)]]),"")</f>
        <v/>
      </c>
      <c r="CZ118" s="204" t="str">
        <f>IFERROR(AVERAGEIF(RD[[#This Row],[IS1POA_BS1 (KWh/m2)]:[IS7POA_BS2 (KWh/m2)]],"&lt;&gt;0",RD[[#This Row],[IS1POA_BS1 (KWh/m2)]:[IS7POA_BS2 (KWh/m2)]]),"")</f>
        <v/>
      </c>
      <c r="DA118" s="204" t="str">
        <f>IFERROR(AVERAGEIF(RD[[#This Row],[IS1GHI_BS1 (KWh/m2)]:[IS1GHI_BS1 (KWh/m2)2]],"&lt;&gt;0",RD[[#This Row],[IS1GHI_BS1 (KWh/m2)]:[IS1GHI_BS1 (KWh/m2)2]]),"")</f>
        <v/>
      </c>
      <c r="DB118" s="204" t="str">
        <f>IFERROR(AVERAGEIF(RD[[#This Row],[IS1AT1 (°C)]:[IS7AT2 (°C)]],"&lt;&gt;0",RD[[#This Row],[IS1AT1 (°C)]:[IS7AT2 (°C)]]),"")</f>
        <v/>
      </c>
      <c r="DC118" s="204" t="str">
        <f>IFERROR(AVERAGEIF(RD[[#This Row],[IS1MT1 (°C)]:[IS7MT2 (°C)]],"&lt;&gt;0",RD[[#This Row],[IS1MT1 (°C)]:[IS7MT2 (°C)]]),"")</f>
        <v/>
      </c>
      <c r="DD118" s="204" t="str">
        <f>IFERROR(AVERAGEIF(RD[[#This Row],[IS1RH1 (%)]:[IS7RH2 (%)]],"&lt;&gt;0",RD[[#This Row],[IS1RH1 (%)]:[IS7RH2 (%)]]),"")</f>
        <v/>
      </c>
      <c r="DE118" s="204" t="str">
        <f>IFERROR(AVERAGEIF(RD[[#This Row],[IS1Rain1 (mm)]:[IS7Rain2 (mm)]],"&lt;&gt;0",RD[[#This Row],[IS1Rain1 (mm)]:[IS7Rain2 (mm)]]),"")</f>
        <v/>
      </c>
      <c r="DF118" s="204" t="str">
        <f>IFERROR(AVERAGEIF(RD[[#This Row],[WS_Solar1_Avg (m/s)]:[IS7_WS_Solar1_Avg (m/s)]],"&lt;&gt;0",RD[[#This Row],[WS_Solar1_Avg (m/s)]:[IS7_WS_Solar1_Avg (m/s)]]),"")</f>
        <v/>
      </c>
      <c r="DG118" s="204" t="str">
        <f>IFERROR(AVERAGEIF(RD[[#This Row],[WS_Solar1_Max (m/s)]:[IS7_WS_Solar1_Max (m/s)]],"&lt;&gt;0",RD[[#This Row],[WS_Solar1_Max (m/s)]:[IS7_WS_Solar1_Max (m/s)]]),"")</f>
        <v/>
      </c>
      <c r="DH118" s="204">
        <f>SUM(RD[[#This Row],[IS1Inv1M1]:[IS4Inv4M2]])</f>
        <v>0</v>
      </c>
      <c r="DI118" s="205">
        <f>SUM(RD[[#This Row],[IS7Inv1M1]]+RD[[#This Row],[IS7Inv2M1]])</f>
        <v>0</v>
      </c>
      <c r="DJ118" s="204">
        <f>SUM(RD[[#This Row],[IS5Inv1M1]:[IS5Inv2M2]])</f>
        <v>0</v>
      </c>
      <c r="DK118" s="204">
        <f>SUM(RD[[#This Row],[IS8Inv1M1]:[IS9Inv2M2]])</f>
        <v>0</v>
      </c>
      <c r="DL118" s="60">
        <f>SUM(RD[[#This Row],[IS6Inv1M1]:[IS6Inv2M2]])</f>
        <v>0</v>
      </c>
      <c r="DM118" s="288">
        <f>SUM(RD[[#This Row],[IS10Inv1M1]:[IS11Inv1M4]],RD[[#This Row],[IS14Inv1M1]:[IS14Inv2M4]])</f>
        <v>0</v>
      </c>
      <c r="DN118" s="288">
        <f>SUM(RD[[#This Row],[IS12Inv1M1]:[IS12Inv1M4]])</f>
        <v>0</v>
      </c>
      <c r="DO118" s="288">
        <f>SUM(RD[[#This Row],[IS13Inv1M1]:[IS13Inv2M2]])</f>
        <v>0</v>
      </c>
      <c r="DP118" s="204">
        <f>SUM(RD[[#This Row],[O2R15]:[O2R26]])</f>
        <v>0</v>
      </c>
      <c r="DQ118" s="328"/>
      <c r="DR118" s="134"/>
      <c r="DS118" s="329"/>
      <c r="DT118" s="328"/>
      <c r="DU118" s="134"/>
      <c r="DV118" s="134"/>
      <c r="DW118" s="328"/>
      <c r="DX118" s="134"/>
      <c r="DY118" s="134"/>
      <c r="DZ118" s="134"/>
      <c r="EA118" s="134"/>
      <c r="EB118" s="243"/>
      <c r="EC118" s="328"/>
      <c r="ED118" s="328"/>
      <c r="EE118" s="243"/>
      <c r="EF118" s="328"/>
      <c r="EG118" s="242"/>
      <c r="EH118" s="146">
        <f>IF((RD[[#This Row],[33 kV_F3_Ex
Incomer1]]-DQ117)*1000&lt;0,0,(RD[[#This Row],[33 kV_F3_Ex
Incomer1]]-DQ117)*1000)</f>
        <v>0</v>
      </c>
      <c r="EI118" s="146">
        <f>IF((RD[[#This Row],[34 kV_F3_Im
Incomer1]]-DR117)*1000&lt;0,0,(RD[[#This Row],[34 kV_F3_Im
Incomer1]]-DR117)*1000)</f>
        <v>0</v>
      </c>
      <c r="EJ118" s="146"/>
      <c r="EK118" s="146">
        <f>IF((RD[[#This Row],[34 kV_F4_Im
Incomer2]]-DT117)*1000&lt;0,0,(RD[[#This Row],[34 kV_F4_Im
Incomer2]]-DT117)*1000)</f>
        <v>0</v>
      </c>
      <c r="EL118" s="146">
        <f>IF((RD[[#This Row],[33 kV_F5_Ex
Incomer3]]-DU117)*1000&lt;0,0,(RD[[#This Row],[33 kV_F5_Ex
Incomer3]]-DU117)*1000)</f>
        <v>0</v>
      </c>
      <c r="EM118" s="146">
        <f>IF((RD[[#This Row],[34 kV_F5_Im
Incomer3]]-DV117)*1000&lt;0,0,(RD[[#This Row],[34 kV_F5_Im
Incomer3]]-DV117)*1000)</f>
        <v>0</v>
      </c>
      <c r="EN118" s="146">
        <f>IF((RD[[#This Row],[33 kV_F6_Ex
Incomer4]]-DW117)*1000&lt;0,0,(RD[[#This Row],[33 kV_F6_Ex
Incomer4]]-DW117)*1000)</f>
        <v>0</v>
      </c>
      <c r="EO118" s="146">
        <f t="shared" si="166"/>
        <v>0</v>
      </c>
      <c r="EP118" s="146">
        <f>IF((RD[[#This Row],[33 kV_F7_Ex
Incomer5]]-DY117)*1000&lt;0,0,(RD[[#This Row],[33 kV_F7_Ex
Incomer5]]-DY117)*1000)</f>
        <v>0</v>
      </c>
      <c r="EQ118" s="146">
        <f>IF((RD[[#This Row],[33 kV_F7_Im
Incomer5]]-DZ117)*1000&lt;0,0,(RD[[#This Row],[33 kV_F7_Im
Incomer5]]-DZ117)*1000)</f>
        <v>0</v>
      </c>
      <c r="ER118" s="146">
        <f>IF((RD[[#This Row],[33 kV_Aux Trafo]]-EA117)*1000&lt;0,0,(RD[[#This Row],[33 kV_Aux Trafo]]-EA117)*1000)</f>
        <v>0</v>
      </c>
      <c r="ES118" s="331">
        <f>IF((RD[[#This Row],[33kV_OG1_Ex_]]-EB117)*1000&lt;=0,0,(RD[[#This Row],[33kV_OG1_Ex_]]-EB117)*1000)</f>
        <v>0</v>
      </c>
      <c r="ET118" s="330">
        <f>IFERROR(IF((RD[[#This Row],[33kV_OG1_Im]]-EC117)*1000&lt;=0,0,(RD[[#This Row],[33kV_OG1_Im]]-EC117)*1000),0)</f>
        <v>0</v>
      </c>
      <c r="EU118" s="330">
        <f>(RD[[#This Row],[132kV_TX1_EX]]-EE115)</f>
        <v>0</v>
      </c>
      <c r="EV118" s="330">
        <f>IF((RD[[#This Row],[132 kV_Tx1_Im]]-EE117)*800000&lt;=0,0,(RD[[#This Row],[132 kV_Tx1_Im]]-EE117)*800000)</f>
        <v>0</v>
      </c>
      <c r="EW118" s="330">
        <f>IF((RD[[#This Row],[132kV_L1_Ex]]-EF117)*1600000&lt;=0,0,(RD[[#This Row],[132kV_L1_Ex]]-EF117)*1600000)</f>
        <v>0</v>
      </c>
      <c r="EX118" s="146">
        <f>IF((RD[[#This Row],[132kV_L1_Im]]-EG117)*720&lt;=0,0,(RD[[#This Row],[132kV_L1_Im]]-EG117)*720)</f>
        <v>0</v>
      </c>
      <c r="EY118" s="330">
        <f>IFERROR(RD[[#This Row],[33kV_OG1_Ex (MWh)]]+RD[[#This Row],[33kV_OG1_Im (MWh)]],"")</f>
        <v>0</v>
      </c>
      <c r="EZ118" s="148">
        <f>RD[[#This Row],[33kV_OG1_Ex (MWh)]]-RD[[#This Row],[33kV_OG1_Im (MWh)]]</f>
        <v>0</v>
      </c>
      <c r="FA118" s="148">
        <f>IFERROR(RD[[#This Row],[132kV_L1_Ex(MWh)]]-RD[[#This Row],[132kV_L1_Im(MWh)]],"")</f>
        <v>0</v>
      </c>
      <c r="FB118" s="332" t="str">
        <f>IFERROR(RD[[#This Row],[33kV_Ex(MWh)]]/RD[[#This Row],[Inv Total Gneration (MWh)]]-1,"")</f>
        <v/>
      </c>
      <c r="FC118" s="333">
        <f>IFERROR((RD[[#This Row],[Sunset Time (POA&lt;20 W/m2)]]-RD[[#This Row],[Sunrise Time (POA&gt;20 W/m2)]])*24,0)</f>
        <v>0</v>
      </c>
      <c r="FD118" s="334"/>
      <c r="FE118"/>
      <c r="FG118" s="144" t="str">
        <f>IFERROR(RD[[#This Row],[E_AC (WPR)]]/RD[[#This Row],[E_DC (WPR)]],"")</f>
        <v/>
      </c>
    </row>
    <row r="119" spans="1:163">
      <c r="A119" s="133">
        <f t="shared" si="167"/>
        <v>45859</v>
      </c>
      <c r="B119" s="138">
        <f>YEAR(RD[[#This Row],[Date]])+IF(MONTH(RD[[#This Row],[Date]])&gt;=4,1,0)</f>
        <v>2026</v>
      </c>
      <c r="C119" s="138">
        <f>YEAR(RD[[#This Row],[Date]])</f>
        <v>2025</v>
      </c>
      <c r="D119" s="139">
        <f t="shared" si="169"/>
        <v>45839</v>
      </c>
      <c r="E119" s="138">
        <f>DAY(EOMONTH(RD[[#This Row],[Date]],0))</f>
        <v>31</v>
      </c>
      <c r="F119" s="152"/>
      <c r="G119" s="162"/>
      <c r="H119" s="124"/>
      <c r="I119" s="270"/>
      <c r="J119" s="124"/>
      <c r="K119" s="124"/>
      <c r="L119" s="124"/>
      <c r="M119" s="124"/>
      <c r="N119" s="124"/>
      <c r="O119" s="124"/>
      <c r="P119" s="124"/>
      <c r="Q119" s="124"/>
      <c r="R119" s="124"/>
      <c r="S119" s="268"/>
      <c r="T119" s="124"/>
      <c r="U119" s="124"/>
      <c r="V119" s="124"/>
      <c r="W119" s="124"/>
      <c r="X119" s="296"/>
      <c r="Y119" s="203"/>
      <c r="Z119" s="203"/>
      <c r="AA119" s="203"/>
      <c r="AB119" s="296"/>
      <c r="AC119" s="203"/>
      <c r="AD119" s="203"/>
      <c r="AE119" s="203"/>
      <c r="AF119" s="296"/>
      <c r="AG119" s="203"/>
      <c r="AH119" s="203"/>
      <c r="AI119" s="296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203"/>
      <c r="BW119" s="203"/>
      <c r="BX119" s="203"/>
      <c r="BY119" s="203"/>
      <c r="BZ119" s="142"/>
      <c r="CA119" s="142"/>
      <c r="CB119" s="142"/>
      <c r="CC119" s="142"/>
      <c r="CD119" s="297"/>
      <c r="CE119" s="59"/>
      <c r="CF119" s="297"/>
      <c r="CG119" s="206"/>
      <c r="CH119" s="297"/>
      <c r="CI119" s="206"/>
      <c r="CJ119" s="298"/>
      <c r="CK119" s="59"/>
      <c r="CL119" s="297"/>
      <c r="CM119" s="206"/>
      <c r="CN119" s="297"/>
      <c r="CO119" s="206"/>
      <c r="CP119" s="297"/>
      <c r="CQ119" s="206"/>
      <c r="CR119" s="297"/>
      <c r="CS119" s="59"/>
      <c r="CT119" s="297"/>
      <c r="CU119" s="206"/>
      <c r="CV119" s="297"/>
      <c r="CW119" s="260"/>
      <c r="CX119" s="204" t="str">
        <f>IFERROR(AVERAGEIF(RD[[#This Row],[IS1POA1 (KWh/m2)]:[IS7POA2 (KWh/m2)]],"&lt;&gt;0",RD[[#This Row],[IS1POA1 (KWh/m2)]:[IS7POA2 (KWh/m2)]]),"")</f>
        <v/>
      </c>
      <c r="CY119" s="204" t="str">
        <f>IFERROR(AVERAGEIF(RD[[#This Row],[IS1GHI1 (KWh/m2)]:[IS7GHI2 (KWh/m2)]],"&lt;&gt;0",RD[[#This Row],[IS1GHI1 (KWh/m2)]:[IS7GHI2 (KWh/m2)]]),"")</f>
        <v/>
      </c>
      <c r="CZ119" s="204" t="str">
        <f>IFERROR(AVERAGEIF(RD[[#This Row],[IS1POA_BS1 (KWh/m2)]:[IS7POA_BS2 (KWh/m2)]],"&lt;&gt;0",RD[[#This Row],[IS1POA_BS1 (KWh/m2)]:[IS7POA_BS2 (KWh/m2)]]),"")</f>
        <v/>
      </c>
      <c r="DA119" s="204" t="str">
        <f>IFERROR(AVERAGEIF(RD[[#This Row],[IS1GHI_BS1 (KWh/m2)]:[IS1GHI_BS1 (KWh/m2)2]],"&lt;&gt;0",RD[[#This Row],[IS1GHI_BS1 (KWh/m2)]:[IS1GHI_BS1 (KWh/m2)2]]),"")</f>
        <v/>
      </c>
      <c r="DB119" s="204" t="str">
        <f>IFERROR(AVERAGEIF(RD[[#This Row],[IS1AT1 (°C)]:[IS7AT2 (°C)]],"&lt;&gt;0",RD[[#This Row],[IS1AT1 (°C)]:[IS7AT2 (°C)]]),"")</f>
        <v/>
      </c>
      <c r="DC119" s="204" t="str">
        <f>IFERROR(AVERAGEIF(RD[[#This Row],[IS1MT1 (°C)]:[IS7MT2 (°C)]],"&lt;&gt;0",RD[[#This Row],[IS1MT1 (°C)]:[IS7MT2 (°C)]]),"")</f>
        <v/>
      </c>
      <c r="DD119" s="204" t="str">
        <f>IFERROR(AVERAGEIF(RD[[#This Row],[IS1RH1 (%)]:[IS7RH2 (%)]],"&lt;&gt;0",RD[[#This Row],[IS1RH1 (%)]:[IS7RH2 (%)]]),"")</f>
        <v/>
      </c>
      <c r="DE119" s="204" t="str">
        <f>IFERROR(AVERAGEIF(RD[[#This Row],[IS1Rain1 (mm)]:[IS7Rain2 (mm)]],"&lt;&gt;0",RD[[#This Row],[IS1Rain1 (mm)]:[IS7Rain2 (mm)]]),"")</f>
        <v/>
      </c>
      <c r="DF119" s="204" t="str">
        <f>IFERROR(AVERAGEIF(RD[[#This Row],[WS_Solar1_Avg (m/s)]:[IS7_WS_Solar1_Avg (m/s)]],"&lt;&gt;0",RD[[#This Row],[WS_Solar1_Avg (m/s)]:[IS7_WS_Solar1_Avg (m/s)]]),"")</f>
        <v/>
      </c>
      <c r="DG119" s="204" t="str">
        <f>IFERROR(AVERAGEIF(RD[[#This Row],[WS_Solar1_Max (m/s)]:[IS7_WS_Solar1_Max (m/s)]],"&lt;&gt;0",RD[[#This Row],[WS_Solar1_Max (m/s)]:[IS7_WS_Solar1_Max (m/s)]]),"")</f>
        <v/>
      </c>
      <c r="DH119" s="204">
        <f>SUM(RD[[#This Row],[IS1Inv1M1]:[IS4Inv4M2]])</f>
        <v>0</v>
      </c>
      <c r="DI119" s="205">
        <f>SUM(RD[[#This Row],[IS7Inv1M1]]+RD[[#This Row],[IS7Inv2M1]])</f>
        <v>0</v>
      </c>
      <c r="DJ119" s="204">
        <f>SUM(RD[[#This Row],[IS5Inv1M1]:[IS5Inv2M2]])</f>
        <v>0</v>
      </c>
      <c r="DK119" s="204">
        <f>SUM(RD[[#This Row],[IS8Inv1M1]:[IS9Inv2M2]])</f>
        <v>0</v>
      </c>
      <c r="DL119" s="60">
        <f>SUM(RD[[#This Row],[IS6Inv1M1]:[IS6Inv2M2]])</f>
        <v>0</v>
      </c>
      <c r="DM119" s="288">
        <f>SUM(RD[[#This Row],[IS10Inv1M1]:[IS11Inv1M4]],RD[[#This Row],[IS14Inv1M1]:[IS14Inv2M4]])</f>
        <v>0</v>
      </c>
      <c r="DN119" s="288">
        <f>SUM(RD[[#This Row],[IS12Inv1M1]:[IS12Inv1M4]])</f>
        <v>0</v>
      </c>
      <c r="DO119" s="288">
        <f>SUM(RD[[#This Row],[IS13Inv1M1]:[IS13Inv2M2]])</f>
        <v>0</v>
      </c>
      <c r="DP119" s="204">
        <f>SUM(RD[[#This Row],[O2R15]:[O2R26]])</f>
        <v>0</v>
      </c>
      <c r="DQ119" s="328"/>
      <c r="DR119" s="134"/>
      <c r="DS119" s="329"/>
      <c r="DT119" s="328"/>
      <c r="DU119" s="134"/>
      <c r="DV119" s="134"/>
      <c r="DW119" s="328"/>
      <c r="DX119" s="134"/>
      <c r="DY119" s="134"/>
      <c r="DZ119" s="134"/>
      <c r="EA119" s="134"/>
      <c r="EB119" s="243"/>
      <c r="EC119" s="328"/>
      <c r="ED119" s="328"/>
      <c r="EE119" s="243"/>
      <c r="EF119" s="328"/>
      <c r="EG119" s="242"/>
      <c r="EH119" s="146">
        <f>IF((RD[[#This Row],[33 kV_F3_Ex
Incomer1]]-DQ118)*1000&lt;0,0,(RD[[#This Row],[33 kV_F3_Ex
Incomer1]]-DQ118)*1000)</f>
        <v>0</v>
      </c>
      <c r="EI119" s="146">
        <f>IF((RD[[#This Row],[34 kV_F3_Im
Incomer1]]-DR118)*1000&lt;0,0,(RD[[#This Row],[34 kV_F3_Im
Incomer1]]-DR118)*1000)</f>
        <v>0</v>
      </c>
      <c r="EJ119" s="146"/>
      <c r="EK119" s="146"/>
      <c r="EL119" s="146"/>
      <c r="EM119" s="146">
        <f>IF((RD[[#This Row],[34 kV_F5_Im
Incomer3]]-DV118)*1000&lt;0,0,(RD[[#This Row],[34 kV_F5_Im
Incomer3]]-DV118)*1000)</f>
        <v>0</v>
      </c>
      <c r="EN119" s="146"/>
      <c r="EO119" s="146">
        <f t="shared" si="166"/>
        <v>0</v>
      </c>
      <c r="EP119" s="146">
        <f>IF((RD[[#This Row],[33 kV_F7_Ex
Incomer5]]-DY118)*1000&lt;0,0,(RD[[#This Row],[33 kV_F7_Ex
Incomer5]]-DY118)*1000)</f>
        <v>0</v>
      </c>
      <c r="EQ119" s="146">
        <f>IF((RD[[#This Row],[33 kV_F7_Im
Incomer5]]-DZ118)*1000&lt;0,0,(RD[[#This Row],[33 kV_F7_Im
Incomer5]]-DZ118)*1000)</f>
        <v>0</v>
      </c>
      <c r="ER119" s="146">
        <f>IF((RD[[#This Row],[33 kV_Aux Trafo]]-EA118)*1000&lt;0,0,(RD[[#This Row],[33 kV_Aux Trafo]]-EA118)*1000)</f>
        <v>0</v>
      </c>
      <c r="ES119" s="331">
        <f>IF((RD[[#This Row],[33kV_OG1_Ex_]]-EB118)*1000&lt;=0,0,(RD[[#This Row],[33kV_OG1_Ex_]]-EB118)*1000)</f>
        <v>0</v>
      </c>
      <c r="ET119" s="330">
        <f>IFERROR(IF((RD[[#This Row],[33kV_OG1_Im]]-EC118)*1000&lt;=0,0,(RD[[#This Row],[33kV_OG1_Im]]-EC118)*1000),0)</f>
        <v>0</v>
      </c>
      <c r="EU119" s="330">
        <f>(RD[[#This Row],[132kV_TX1_EX]]-EE116)</f>
        <v>0</v>
      </c>
      <c r="EV119" s="330">
        <f>IF((RD[[#This Row],[132 kV_Tx1_Im]]-EE118)*800000&lt;=0,0,(RD[[#This Row],[132 kV_Tx1_Im]]-EE118)*800000)</f>
        <v>0</v>
      </c>
      <c r="EW119" s="330">
        <f>IF((RD[[#This Row],[132kV_L1_Ex]]-EF118)*1600000&lt;=0,0,(RD[[#This Row],[132kV_L1_Ex]]-EF118)*1600000)</f>
        <v>0</v>
      </c>
      <c r="EX119" s="146">
        <f>IF((RD[[#This Row],[132kV_L1_Im]]-EG118)*720&lt;=0,0,(RD[[#This Row],[132kV_L1_Im]]-EG118)*720)</f>
        <v>0</v>
      </c>
      <c r="EY119" s="330">
        <f>IFERROR(RD[[#This Row],[33kV_OG1_Ex (MWh)]]+RD[[#This Row],[33kV_OG1_Im (MWh)]],"")</f>
        <v>0</v>
      </c>
      <c r="EZ119" s="148">
        <f>RD[[#This Row],[33kV_OG1_Ex (MWh)]]-RD[[#This Row],[33kV_OG1_Im (MWh)]]</f>
        <v>0</v>
      </c>
      <c r="FA119" s="148">
        <f>IFERROR(RD[[#This Row],[132kV_L1_Ex(MWh)]]-RD[[#This Row],[132kV_L1_Im(MWh)]],"")</f>
        <v>0</v>
      </c>
      <c r="FB119" s="332" t="str">
        <f>IFERROR(RD[[#This Row],[33kV_Ex(MWh)]]/RD[[#This Row],[Inv Total Gneration (MWh)]]-1,"")</f>
        <v/>
      </c>
      <c r="FC119" s="333">
        <f>IFERROR((RD[[#This Row],[Sunset Time (POA&lt;20 W/m2)]]-RD[[#This Row],[Sunrise Time (POA&gt;20 W/m2)]])*24,0)</f>
        <v>0</v>
      </c>
      <c r="FD119" s="334"/>
      <c r="FE119"/>
      <c r="FG119" s="144" t="str">
        <f>IFERROR(RD[[#This Row],[E_AC (WPR)]]/RD[[#This Row],[E_DC (WPR)]],"")</f>
        <v/>
      </c>
    </row>
    <row r="120" spans="1:163">
      <c r="A120" s="133">
        <f t="shared" si="167"/>
        <v>45860</v>
      </c>
      <c r="B120" s="138">
        <f>YEAR(RD[[#This Row],[Date]])+IF(MONTH(RD[[#This Row],[Date]])&gt;=4,1,0)</f>
        <v>2026</v>
      </c>
      <c r="C120" s="138">
        <f>YEAR(RD[[#This Row],[Date]])</f>
        <v>2025</v>
      </c>
      <c r="D120" s="139">
        <f t="shared" si="169"/>
        <v>45839</v>
      </c>
      <c r="E120" s="138">
        <f>DAY(EOMONTH(RD[[#This Row],[Date]],0))</f>
        <v>31</v>
      </c>
      <c r="F120" s="152"/>
      <c r="G120" s="162"/>
      <c r="H120" s="124"/>
      <c r="I120" s="270"/>
      <c r="J120" s="124"/>
      <c r="K120" s="124"/>
      <c r="L120" s="124"/>
      <c r="M120" s="124"/>
      <c r="N120" s="124"/>
      <c r="O120" s="124"/>
      <c r="P120" s="124"/>
      <c r="Q120" s="124"/>
      <c r="R120" s="124"/>
      <c r="S120" s="268"/>
      <c r="T120" s="124"/>
      <c r="U120" s="124"/>
      <c r="V120" s="124"/>
      <c r="W120" s="124"/>
      <c r="X120" s="296"/>
      <c r="Y120" s="203"/>
      <c r="Z120" s="203"/>
      <c r="AA120" s="203"/>
      <c r="AB120" s="296"/>
      <c r="AC120" s="203"/>
      <c r="AD120" s="203"/>
      <c r="AE120" s="203"/>
      <c r="AF120" s="296"/>
      <c r="AG120" s="203"/>
      <c r="AH120" s="203"/>
      <c r="AI120" s="296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203"/>
      <c r="BW120" s="203"/>
      <c r="BX120" s="203"/>
      <c r="BY120" s="203"/>
      <c r="BZ120" s="142"/>
      <c r="CA120" s="142"/>
      <c r="CB120" s="142"/>
      <c r="CC120" s="142"/>
      <c r="CD120" s="297"/>
      <c r="CE120" s="59"/>
      <c r="CF120" s="297"/>
      <c r="CG120" s="206"/>
      <c r="CH120" s="297"/>
      <c r="CI120" s="206"/>
      <c r="CJ120" s="298"/>
      <c r="CK120" s="59"/>
      <c r="CL120" s="297"/>
      <c r="CM120" s="206"/>
      <c r="CN120" s="297"/>
      <c r="CO120" s="206"/>
      <c r="CP120" s="297"/>
      <c r="CQ120" s="206"/>
      <c r="CR120" s="297"/>
      <c r="CS120" s="59"/>
      <c r="CT120" s="297"/>
      <c r="CU120" s="206"/>
      <c r="CV120" s="297"/>
      <c r="CW120" s="260"/>
      <c r="CX120" s="204" t="str">
        <f>IFERROR(AVERAGEIF(RD[[#This Row],[IS1POA1 (KWh/m2)]:[IS7POA2 (KWh/m2)]],"&lt;&gt;0",RD[[#This Row],[IS1POA1 (KWh/m2)]:[IS7POA2 (KWh/m2)]]),"")</f>
        <v/>
      </c>
      <c r="CY120" s="204" t="str">
        <f>IFERROR(AVERAGEIF(RD[[#This Row],[IS1GHI1 (KWh/m2)]:[IS7GHI2 (KWh/m2)]],"&lt;&gt;0",RD[[#This Row],[IS1GHI1 (KWh/m2)]:[IS7GHI2 (KWh/m2)]]),"")</f>
        <v/>
      </c>
      <c r="CZ120" s="204" t="str">
        <f>IFERROR(AVERAGEIF(RD[[#This Row],[IS1POA_BS1 (KWh/m2)]:[IS7POA_BS2 (KWh/m2)]],"&lt;&gt;0",RD[[#This Row],[IS1POA_BS1 (KWh/m2)]:[IS7POA_BS2 (KWh/m2)]]),"")</f>
        <v/>
      </c>
      <c r="DA120" s="204" t="str">
        <f>IFERROR(AVERAGEIF(RD[[#This Row],[IS1GHI_BS1 (KWh/m2)]:[IS1GHI_BS1 (KWh/m2)2]],"&lt;&gt;0",RD[[#This Row],[IS1GHI_BS1 (KWh/m2)]:[IS1GHI_BS1 (KWh/m2)2]]),"")</f>
        <v/>
      </c>
      <c r="DB120" s="204" t="str">
        <f>IFERROR(AVERAGEIF(RD[[#This Row],[IS1AT1 (°C)]:[IS7AT2 (°C)]],"&lt;&gt;0",RD[[#This Row],[IS1AT1 (°C)]:[IS7AT2 (°C)]]),"")</f>
        <v/>
      </c>
      <c r="DC120" s="204" t="str">
        <f>IFERROR(AVERAGEIF(RD[[#This Row],[IS1MT1 (°C)]:[IS7MT2 (°C)]],"&lt;&gt;0",RD[[#This Row],[IS1MT1 (°C)]:[IS7MT2 (°C)]]),"")</f>
        <v/>
      </c>
      <c r="DD120" s="204" t="str">
        <f>IFERROR(AVERAGEIF(RD[[#This Row],[IS1RH1 (%)]:[IS7RH2 (%)]],"&lt;&gt;0",RD[[#This Row],[IS1RH1 (%)]:[IS7RH2 (%)]]),"")</f>
        <v/>
      </c>
      <c r="DE120" s="204" t="str">
        <f>IFERROR(AVERAGEIF(RD[[#This Row],[IS1Rain1 (mm)]:[IS7Rain2 (mm)]],"&lt;&gt;0",RD[[#This Row],[IS1Rain1 (mm)]:[IS7Rain2 (mm)]]),"")</f>
        <v/>
      </c>
      <c r="DF120" s="204" t="str">
        <f>IFERROR(AVERAGEIF(RD[[#This Row],[WS_Solar1_Avg (m/s)]:[IS7_WS_Solar1_Avg (m/s)]],"&lt;&gt;0",RD[[#This Row],[WS_Solar1_Avg (m/s)]:[IS7_WS_Solar1_Avg (m/s)]]),"")</f>
        <v/>
      </c>
      <c r="DG120" s="204" t="str">
        <f>IFERROR(AVERAGEIF(RD[[#This Row],[WS_Solar1_Max (m/s)]:[IS7_WS_Solar1_Max (m/s)]],"&lt;&gt;0",RD[[#This Row],[WS_Solar1_Max (m/s)]:[IS7_WS_Solar1_Max (m/s)]]),"")</f>
        <v/>
      </c>
      <c r="DH120" s="204">
        <f>SUM(RD[[#This Row],[IS1Inv1M1]:[IS4Inv4M2]])</f>
        <v>0</v>
      </c>
      <c r="DI120" s="205">
        <f>SUM(RD[[#This Row],[IS7Inv1M1]]+RD[[#This Row],[IS7Inv2M1]])</f>
        <v>0</v>
      </c>
      <c r="DJ120" s="204">
        <f>SUM(RD[[#This Row],[IS5Inv1M1]:[IS5Inv2M2]])</f>
        <v>0</v>
      </c>
      <c r="DK120" s="204">
        <f>SUM(RD[[#This Row],[IS8Inv1M1]:[IS9Inv2M2]])</f>
        <v>0</v>
      </c>
      <c r="DL120" s="60">
        <f>SUM(RD[[#This Row],[IS6Inv1M1]:[IS6Inv2M2]])</f>
        <v>0</v>
      </c>
      <c r="DM120" s="288">
        <f>SUM(RD[[#This Row],[IS10Inv1M1]:[IS11Inv1M4]],RD[[#This Row],[IS14Inv1M1]:[IS14Inv2M4]])</f>
        <v>0</v>
      </c>
      <c r="DN120" s="288">
        <f>SUM(RD[[#This Row],[IS12Inv1M1]:[IS12Inv1M4]])</f>
        <v>0</v>
      </c>
      <c r="DO120" s="288">
        <f>SUM(RD[[#This Row],[IS13Inv1M1]:[IS13Inv2M2]])</f>
        <v>0</v>
      </c>
      <c r="DP120" s="204">
        <f>SUM(RD[[#This Row],[O2R15]:[O2R26]])</f>
        <v>0</v>
      </c>
      <c r="DQ120" s="328"/>
      <c r="DR120" s="134"/>
      <c r="DS120" s="329"/>
      <c r="DT120" s="328"/>
      <c r="DU120" s="134"/>
      <c r="DV120" s="134"/>
      <c r="DW120" s="328"/>
      <c r="DX120" s="134"/>
      <c r="DY120" s="134"/>
      <c r="DZ120" s="134"/>
      <c r="EA120" s="134"/>
      <c r="EB120" s="243"/>
      <c r="EC120" s="328"/>
      <c r="ED120" s="328"/>
      <c r="EE120" s="243"/>
      <c r="EF120" s="328"/>
      <c r="EG120" s="242"/>
      <c r="EH120" s="146">
        <f>IF((RD[[#This Row],[33 kV_F3_Ex
Incomer1]]-DQ119)*1000&lt;0,0,(RD[[#This Row],[33 kV_F3_Ex
Incomer1]]-DQ119)*1000)</f>
        <v>0</v>
      </c>
      <c r="EI120" s="330"/>
      <c r="EJ120" s="146"/>
      <c r="EK120" s="146"/>
      <c r="EL120" s="146"/>
      <c r="EM120" s="146"/>
      <c r="EN120" s="146"/>
      <c r="EO120" s="146"/>
      <c r="EP120" s="146">
        <f>IF((RD[[#This Row],[33 kV_F7_Ex
Incomer5]]-DY119)*1000&lt;0,0,(RD[[#This Row],[33 kV_F7_Ex
Incomer5]]-DY119)*1000)</f>
        <v>0</v>
      </c>
      <c r="EQ120" s="146">
        <f>IF((RD[[#This Row],[33 kV_F7_Im
Incomer5]]-DZ119)*1000&lt;0,0,(RD[[#This Row],[33 kV_F7_Im
Incomer5]]-DZ119)*1000)</f>
        <v>0</v>
      </c>
      <c r="ER120" s="146"/>
      <c r="ES120" s="331">
        <f>IF((RD[[#This Row],[33kV_OG1_Ex_]]-EB119)*1000&lt;=0,0,(RD[[#This Row],[33kV_OG1_Ex_]]-EB119)*1000)</f>
        <v>0</v>
      </c>
      <c r="ET120" s="330">
        <f>IFERROR(IF((RD[[#This Row],[33kV_OG1_Im]]-EC119)*1000&lt;=0,0,(RD[[#This Row],[33kV_OG1_Im]]-EC119)*1000),0)</f>
        <v>0</v>
      </c>
      <c r="EU120" s="330">
        <f>(RD[[#This Row],[132kV_TX1_EX]]-EE117)</f>
        <v>0</v>
      </c>
      <c r="EV120" s="330">
        <f>IF((RD[[#This Row],[132 kV_Tx1_Im]]-EE119)*800000&lt;=0,0,(RD[[#This Row],[132 kV_Tx1_Im]]-EE119)*800000)</f>
        <v>0</v>
      </c>
      <c r="EW120" s="330">
        <f>IF((RD[[#This Row],[132kV_L1_Ex]]-EF119)*1600000&lt;=0,0,(RD[[#This Row],[132kV_L1_Ex]]-EF119)*1600000)</f>
        <v>0</v>
      </c>
      <c r="EX120" s="146">
        <f>IF((RD[[#This Row],[132kV_L1_Im]]-EG119)*720&lt;=0,0,(RD[[#This Row],[132kV_L1_Im]]-EG119)*720)</f>
        <v>0</v>
      </c>
      <c r="EY120" s="330">
        <f>IFERROR(RD[[#This Row],[33kV_OG1_Ex (MWh)]]+RD[[#This Row],[33kV_OG1_Im (MWh)]],"")</f>
        <v>0</v>
      </c>
      <c r="EZ120" s="148">
        <f>RD[[#This Row],[33kV_OG1_Ex (MWh)]]-RD[[#This Row],[33kV_OG1_Im (MWh)]]</f>
        <v>0</v>
      </c>
      <c r="FA120" s="148">
        <f>IFERROR(RD[[#This Row],[132kV_L1_Ex(MWh)]]-RD[[#This Row],[132kV_L1_Im(MWh)]],"")</f>
        <v>0</v>
      </c>
      <c r="FB120" s="332" t="str">
        <f>IFERROR(RD[[#This Row],[33kV_Ex(MWh)]]/RD[[#This Row],[Inv Total Gneration (MWh)]]-1,"")</f>
        <v/>
      </c>
      <c r="FC120" s="333">
        <f>IFERROR((RD[[#This Row],[Sunset Time (POA&lt;20 W/m2)]]-RD[[#This Row],[Sunrise Time (POA&gt;20 W/m2)]])*24,0)</f>
        <v>0</v>
      </c>
      <c r="FD120" s="334"/>
      <c r="FE120"/>
      <c r="FG120" s="144" t="str">
        <f>IFERROR(RD[[#This Row],[E_AC (WPR)]]/RD[[#This Row],[E_DC (WPR)]],"")</f>
        <v/>
      </c>
    </row>
    <row r="121" spans="1:163">
      <c r="A121" s="133">
        <f t="shared" si="167"/>
        <v>45861</v>
      </c>
      <c r="B121" s="138">
        <f>YEAR(RD[[#This Row],[Date]])+IF(MONTH(RD[[#This Row],[Date]])&gt;=4,1,0)</f>
        <v>2026</v>
      </c>
      <c r="C121" s="138">
        <f>YEAR(RD[[#This Row],[Date]])</f>
        <v>2025</v>
      </c>
      <c r="D121" s="139">
        <f t="shared" ref="D121:D135" si="170">A121-DAY(A121)+1</f>
        <v>45839</v>
      </c>
      <c r="E121" s="138">
        <f>DAY(EOMONTH(RD[[#This Row],[Date]],0))</f>
        <v>31</v>
      </c>
      <c r="F121" s="152"/>
      <c r="G121" s="162"/>
      <c r="H121" s="124"/>
      <c r="I121" s="270"/>
      <c r="J121" s="124"/>
      <c r="K121" s="124"/>
      <c r="L121" s="124"/>
      <c r="M121" s="124"/>
      <c r="N121" s="124"/>
      <c r="O121" s="124"/>
      <c r="P121" s="124"/>
      <c r="Q121" s="124"/>
      <c r="R121" s="124"/>
      <c r="S121" s="268"/>
      <c r="T121" s="124"/>
      <c r="U121" s="124"/>
      <c r="V121" s="124"/>
      <c r="W121" s="124"/>
      <c r="X121" s="296"/>
      <c r="Y121" s="203"/>
      <c r="Z121" s="203"/>
      <c r="AA121" s="203"/>
      <c r="AB121" s="296"/>
      <c r="AC121" s="203"/>
      <c r="AD121" s="203"/>
      <c r="AE121" s="203"/>
      <c r="AF121" s="296"/>
      <c r="AG121" s="203"/>
      <c r="AH121" s="203"/>
      <c r="AI121" s="296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203"/>
      <c r="BW121" s="203"/>
      <c r="BX121" s="203"/>
      <c r="BY121" s="203"/>
      <c r="BZ121" s="142"/>
      <c r="CA121" s="142"/>
      <c r="CB121" s="142"/>
      <c r="CC121" s="142"/>
      <c r="CD121" s="297"/>
      <c r="CE121" s="59"/>
      <c r="CF121" s="297"/>
      <c r="CG121" s="206"/>
      <c r="CH121" s="297"/>
      <c r="CI121" s="206"/>
      <c r="CJ121" s="298"/>
      <c r="CK121" s="59"/>
      <c r="CL121" s="297"/>
      <c r="CM121" s="206"/>
      <c r="CN121" s="297"/>
      <c r="CO121" s="206"/>
      <c r="CP121" s="297"/>
      <c r="CQ121" s="206"/>
      <c r="CR121" s="297"/>
      <c r="CS121" s="59"/>
      <c r="CT121" s="297"/>
      <c r="CU121" s="206"/>
      <c r="CV121" s="297"/>
      <c r="CW121" s="260"/>
      <c r="CX121" s="204" t="str">
        <f>IFERROR(AVERAGEIF(RD[[#This Row],[IS1POA1 (KWh/m2)]:[IS7POA2 (KWh/m2)]],"&lt;&gt;0",RD[[#This Row],[IS1POA1 (KWh/m2)]:[IS7POA2 (KWh/m2)]]),"")</f>
        <v/>
      </c>
      <c r="CY121" s="204" t="str">
        <f>IFERROR(AVERAGEIF(RD[[#This Row],[IS1GHI1 (KWh/m2)]:[IS7GHI2 (KWh/m2)]],"&lt;&gt;0",RD[[#This Row],[IS1GHI1 (KWh/m2)]:[IS7GHI2 (KWh/m2)]]),"")</f>
        <v/>
      </c>
      <c r="CZ121" s="204" t="str">
        <f>IFERROR(AVERAGEIF(RD[[#This Row],[IS1POA_BS1 (KWh/m2)]:[IS7POA_BS2 (KWh/m2)]],"&lt;&gt;0",RD[[#This Row],[IS1POA_BS1 (KWh/m2)]:[IS7POA_BS2 (KWh/m2)]]),"")</f>
        <v/>
      </c>
      <c r="DA121" s="204" t="str">
        <f>IFERROR(AVERAGEIF(RD[[#This Row],[IS1GHI_BS1 (KWh/m2)]:[IS1GHI_BS1 (KWh/m2)2]],"&lt;&gt;0",RD[[#This Row],[IS1GHI_BS1 (KWh/m2)]:[IS1GHI_BS1 (KWh/m2)2]]),"")</f>
        <v/>
      </c>
      <c r="DB121" s="204" t="str">
        <f>IFERROR(AVERAGEIF(RD[[#This Row],[IS1AT1 (°C)]:[IS7AT2 (°C)]],"&lt;&gt;0",RD[[#This Row],[IS1AT1 (°C)]:[IS7AT2 (°C)]]),"")</f>
        <v/>
      </c>
      <c r="DC121" s="204" t="str">
        <f>IFERROR(AVERAGEIF(RD[[#This Row],[IS1MT1 (°C)]:[IS7MT2 (°C)]],"&lt;&gt;0",RD[[#This Row],[IS1MT1 (°C)]:[IS7MT2 (°C)]]),"")</f>
        <v/>
      </c>
      <c r="DD121" s="204" t="str">
        <f>IFERROR(AVERAGEIF(RD[[#This Row],[IS1RH1 (%)]:[IS7RH2 (%)]],"&lt;&gt;0",RD[[#This Row],[IS1RH1 (%)]:[IS7RH2 (%)]]),"")</f>
        <v/>
      </c>
      <c r="DE121" s="204" t="str">
        <f>IFERROR(AVERAGEIF(RD[[#This Row],[IS1Rain1 (mm)]:[IS7Rain2 (mm)]],"&lt;&gt;0",RD[[#This Row],[IS1Rain1 (mm)]:[IS7Rain2 (mm)]]),"")</f>
        <v/>
      </c>
      <c r="DF121" s="204" t="str">
        <f>IFERROR(AVERAGEIF(RD[[#This Row],[WS_Solar1_Avg (m/s)]:[IS7_WS_Solar1_Avg (m/s)]],"&lt;&gt;0",RD[[#This Row],[WS_Solar1_Avg (m/s)]:[IS7_WS_Solar1_Avg (m/s)]]),"")</f>
        <v/>
      </c>
      <c r="DG121" s="204" t="str">
        <f>IFERROR(AVERAGEIF(RD[[#This Row],[WS_Solar1_Max (m/s)]:[IS7_WS_Solar1_Max (m/s)]],"&lt;&gt;0",RD[[#This Row],[WS_Solar1_Max (m/s)]:[IS7_WS_Solar1_Max (m/s)]]),"")</f>
        <v/>
      </c>
      <c r="DH121" s="204">
        <f>SUM(RD[[#This Row],[IS1Inv1M1]:[IS4Inv4M2]])</f>
        <v>0</v>
      </c>
      <c r="DI121" s="205">
        <f>SUM(RD[[#This Row],[IS7Inv1M1]]+RD[[#This Row],[IS7Inv2M1]])</f>
        <v>0</v>
      </c>
      <c r="DJ121" s="204">
        <f>SUM(RD[[#This Row],[IS5Inv1M1]:[IS5Inv2M2]])</f>
        <v>0</v>
      </c>
      <c r="DK121" s="204">
        <f>SUM(RD[[#This Row],[IS8Inv1M1]:[IS9Inv2M2]])</f>
        <v>0</v>
      </c>
      <c r="DL121" s="60">
        <f>SUM(RD[[#This Row],[IS6Inv1M1]:[IS6Inv2M2]])</f>
        <v>0</v>
      </c>
      <c r="DM121" s="288">
        <f>SUM(RD[[#This Row],[IS10Inv1M1]:[IS11Inv1M4]],RD[[#This Row],[IS14Inv1M1]:[IS14Inv2M4]])</f>
        <v>0</v>
      </c>
      <c r="DN121" s="288">
        <f>SUM(RD[[#This Row],[IS12Inv1M1]:[IS12Inv1M4]])</f>
        <v>0</v>
      </c>
      <c r="DO121" s="288">
        <f>SUM(RD[[#This Row],[IS13Inv1M1]:[IS13Inv2M2]])</f>
        <v>0</v>
      </c>
      <c r="DP121" s="204">
        <f>SUM(RD[[#This Row],[O2R15]:[O2R26]])</f>
        <v>0</v>
      </c>
      <c r="DQ121" s="328"/>
      <c r="DR121" s="134"/>
      <c r="DS121" s="329"/>
      <c r="DT121" s="328"/>
      <c r="DU121" s="134"/>
      <c r="DV121" s="134"/>
      <c r="DW121" s="328"/>
      <c r="DX121" s="134"/>
      <c r="DY121" s="134"/>
      <c r="DZ121" s="134"/>
      <c r="EA121" s="134"/>
      <c r="EB121" s="243"/>
      <c r="EC121" s="328"/>
      <c r="ED121" s="328"/>
      <c r="EE121" s="243"/>
      <c r="EF121" s="328"/>
      <c r="EG121" s="242"/>
      <c r="EH121" s="146">
        <f>IF((RD[[#This Row],[33 kV_F3_Ex
Incomer1]]-DQ120)*1000&lt;0,0,(RD[[#This Row],[33 kV_F3_Ex
Incomer1]]-DQ120)*1000)</f>
        <v>0</v>
      </c>
      <c r="EI121" s="330"/>
      <c r="EJ121" s="146"/>
      <c r="EK121" s="146"/>
      <c r="EL121" s="146"/>
      <c r="EM121" s="146"/>
      <c r="EN121" s="146"/>
      <c r="EO121" s="146"/>
      <c r="EP121" s="146">
        <f>IF((RD[[#This Row],[33 kV_F7_Ex
Incomer5]]-DY120)*1000&lt;0,0,(RD[[#This Row],[33 kV_F7_Ex
Incomer5]]-DY120)*1000)</f>
        <v>0</v>
      </c>
      <c r="EQ121" s="146">
        <f>IF((RD[[#This Row],[33 kV_F7_Im
Incomer5]]-DZ120)*1000&lt;0,0,(RD[[#This Row],[33 kV_F7_Im
Incomer5]]-DZ120)*1000)</f>
        <v>0</v>
      </c>
      <c r="ER121" s="146"/>
      <c r="ES121" s="331">
        <f>IF((RD[[#This Row],[33kV_OG1_Ex_]]-EB120)*1000&lt;=0,0,(RD[[#This Row],[33kV_OG1_Ex_]]-EB120)*1000)</f>
        <v>0</v>
      </c>
      <c r="ET121" s="330">
        <f>IFERROR(IF((RD[[#This Row],[33kV_OG1_Im]]-EC120)*1000&lt;=0,0,(RD[[#This Row],[33kV_OG1_Im]]-EC120)*1000),0)</f>
        <v>0</v>
      </c>
      <c r="EU121" s="330">
        <f>(RD[[#This Row],[132kV_TX1_EX]]-EE118)</f>
        <v>0</v>
      </c>
      <c r="EV121" s="330">
        <f>IF((RD[[#This Row],[132 kV_Tx1_Im]]-EE120)*800000&lt;=0,0,(RD[[#This Row],[132 kV_Tx1_Im]]-EE120)*800000)</f>
        <v>0</v>
      </c>
      <c r="EW121" s="330">
        <f>IF((RD[[#This Row],[132kV_L1_Ex]]-EF120)*1600000&lt;=0,0,(RD[[#This Row],[132kV_L1_Ex]]-EF120)*1600000)</f>
        <v>0</v>
      </c>
      <c r="EX121" s="146">
        <f>IF((RD[[#This Row],[132kV_L1_Im]]-EG120)*720&lt;=0,0,(RD[[#This Row],[132kV_L1_Im]]-EG120)*720)</f>
        <v>0</v>
      </c>
      <c r="EY121" s="330">
        <f>IFERROR(RD[[#This Row],[33kV_OG1_Ex (MWh)]]+RD[[#This Row],[33kV_OG1_Im (MWh)]],"")</f>
        <v>0</v>
      </c>
      <c r="EZ121" s="148">
        <f>RD[[#This Row],[33kV_OG1_Ex (MWh)]]-RD[[#This Row],[33kV_OG1_Im (MWh)]]</f>
        <v>0</v>
      </c>
      <c r="FA121" s="148">
        <f>IFERROR(RD[[#This Row],[132kV_L1_Ex(MWh)]]-RD[[#This Row],[132kV_L1_Im(MWh)]],"")</f>
        <v>0</v>
      </c>
      <c r="FB121" s="332" t="str">
        <f>IFERROR(RD[[#This Row],[33kV_Ex(MWh)]]/RD[[#This Row],[Inv Total Gneration (MWh)]]-1,"")</f>
        <v/>
      </c>
      <c r="FC121" s="333">
        <f>IFERROR((RD[[#This Row],[Sunset Time (POA&lt;20 W/m2)]]-RD[[#This Row],[Sunrise Time (POA&gt;20 W/m2)]])*24,0)</f>
        <v>0</v>
      </c>
      <c r="FD121" s="334"/>
      <c r="FE121"/>
      <c r="FG121" s="144" t="str">
        <f>IFERROR(RD[[#This Row],[E_AC (WPR)]]/RD[[#This Row],[E_DC (WPR)]],"")</f>
        <v/>
      </c>
    </row>
    <row r="122" spans="1:163">
      <c r="A122" s="133">
        <f t="shared" si="167"/>
        <v>45862</v>
      </c>
      <c r="B122" s="138">
        <f>YEAR(RD[[#This Row],[Date]])+IF(MONTH(RD[[#This Row],[Date]])&gt;=4,1,0)</f>
        <v>2026</v>
      </c>
      <c r="C122" s="138">
        <f>YEAR(RD[[#This Row],[Date]])</f>
        <v>2025</v>
      </c>
      <c r="D122" s="139">
        <f t="shared" si="170"/>
        <v>45839</v>
      </c>
      <c r="E122" s="138">
        <f>DAY(EOMONTH(RD[[#This Row],[Date]],0))</f>
        <v>31</v>
      </c>
      <c r="F122" s="152"/>
      <c r="G122" s="162"/>
      <c r="H122" s="124"/>
      <c r="I122" s="270"/>
      <c r="J122" s="124"/>
      <c r="K122" s="124"/>
      <c r="L122" s="124"/>
      <c r="M122" s="124"/>
      <c r="N122" s="124"/>
      <c r="O122" s="124"/>
      <c r="P122" s="124"/>
      <c r="Q122" s="124"/>
      <c r="R122" s="124"/>
      <c r="S122" s="268"/>
      <c r="T122" s="124"/>
      <c r="U122" s="124"/>
      <c r="V122" s="124"/>
      <c r="W122" s="124"/>
      <c r="X122" s="296"/>
      <c r="Y122" s="203"/>
      <c r="Z122" s="203"/>
      <c r="AA122" s="203"/>
      <c r="AB122" s="296"/>
      <c r="AC122" s="203"/>
      <c r="AD122" s="203"/>
      <c r="AE122" s="203"/>
      <c r="AF122" s="296"/>
      <c r="AG122" s="203"/>
      <c r="AH122" s="203"/>
      <c r="AI122" s="296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203"/>
      <c r="BW122" s="203"/>
      <c r="BX122" s="203"/>
      <c r="BY122" s="203"/>
      <c r="BZ122" s="142"/>
      <c r="CA122" s="142"/>
      <c r="CB122" s="142"/>
      <c r="CC122" s="142"/>
      <c r="CD122" s="297"/>
      <c r="CE122" s="59"/>
      <c r="CF122" s="297"/>
      <c r="CG122" s="206"/>
      <c r="CH122" s="297"/>
      <c r="CI122" s="206"/>
      <c r="CJ122" s="298"/>
      <c r="CK122" s="59"/>
      <c r="CL122" s="297"/>
      <c r="CM122" s="206"/>
      <c r="CN122" s="297"/>
      <c r="CO122" s="206"/>
      <c r="CP122" s="297"/>
      <c r="CQ122" s="206"/>
      <c r="CR122" s="297"/>
      <c r="CS122" s="59"/>
      <c r="CT122" s="297"/>
      <c r="CU122" s="206"/>
      <c r="CV122" s="297"/>
      <c r="CW122" s="260"/>
      <c r="CX122" s="204" t="str">
        <f>IFERROR(AVERAGEIF(RD[[#This Row],[IS1POA1 (KWh/m2)]:[IS7POA2 (KWh/m2)]],"&lt;&gt;0",RD[[#This Row],[IS1POA1 (KWh/m2)]:[IS7POA2 (KWh/m2)]]),"")</f>
        <v/>
      </c>
      <c r="CY122" s="204" t="str">
        <f>IFERROR(AVERAGEIF(RD[[#This Row],[IS1GHI1 (KWh/m2)]:[IS7GHI2 (KWh/m2)]],"&lt;&gt;0",RD[[#This Row],[IS1GHI1 (KWh/m2)]:[IS7GHI2 (KWh/m2)]]),"")</f>
        <v/>
      </c>
      <c r="CZ122" s="204" t="str">
        <f>IFERROR(AVERAGEIF(RD[[#This Row],[IS1POA_BS1 (KWh/m2)]:[IS7POA_BS2 (KWh/m2)]],"&lt;&gt;0",RD[[#This Row],[IS1POA_BS1 (KWh/m2)]:[IS7POA_BS2 (KWh/m2)]]),"")</f>
        <v/>
      </c>
      <c r="DA122" s="204" t="str">
        <f>IFERROR(AVERAGEIF(RD[[#This Row],[IS1GHI_BS1 (KWh/m2)]:[IS1GHI_BS1 (KWh/m2)2]],"&lt;&gt;0",RD[[#This Row],[IS1GHI_BS1 (KWh/m2)]:[IS1GHI_BS1 (KWh/m2)2]]),"")</f>
        <v/>
      </c>
      <c r="DB122" s="204" t="str">
        <f>IFERROR(AVERAGEIF(RD[[#This Row],[IS1AT1 (°C)]:[IS7AT2 (°C)]],"&lt;&gt;0",RD[[#This Row],[IS1AT1 (°C)]:[IS7AT2 (°C)]]),"")</f>
        <v/>
      </c>
      <c r="DC122" s="204" t="str">
        <f>IFERROR(AVERAGEIF(RD[[#This Row],[IS1MT1 (°C)]:[IS7MT2 (°C)]],"&lt;&gt;0",RD[[#This Row],[IS1MT1 (°C)]:[IS7MT2 (°C)]]),"")</f>
        <v/>
      </c>
      <c r="DD122" s="204" t="str">
        <f>IFERROR(AVERAGEIF(RD[[#This Row],[IS1RH1 (%)]:[IS7RH2 (%)]],"&lt;&gt;0",RD[[#This Row],[IS1RH1 (%)]:[IS7RH2 (%)]]),"")</f>
        <v/>
      </c>
      <c r="DE122" s="204" t="str">
        <f>IFERROR(AVERAGEIF(RD[[#This Row],[IS1Rain1 (mm)]:[IS7Rain2 (mm)]],"&lt;&gt;0",RD[[#This Row],[IS1Rain1 (mm)]:[IS7Rain2 (mm)]]),"")</f>
        <v/>
      </c>
      <c r="DF122" s="204" t="str">
        <f>IFERROR(AVERAGEIF(RD[[#This Row],[WS_Solar1_Avg (m/s)]:[IS7_WS_Solar1_Avg (m/s)]],"&lt;&gt;0",RD[[#This Row],[WS_Solar1_Avg (m/s)]:[IS7_WS_Solar1_Avg (m/s)]]),"")</f>
        <v/>
      </c>
      <c r="DG122" s="204" t="str">
        <f>IFERROR(AVERAGEIF(RD[[#This Row],[WS_Solar1_Max (m/s)]:[IS7_WS_Solar1_Max (m/s)]],"&lt;&gt;0",RD[[#This Row],[WS_Solar1_Max (m/s)]:[IS7_WS_Solar1_Max (m/s)]]),"")</f>
        <v/>
      </c>
      <c r="DH122" s="204">
        <f>SUM(RD[[#This Row],[IS1Inv1M1]:[IS4Inv4M2]])</f>
        <v>0</v>
      </c>
      <c r="DI122" s="205">
        <f>SUM(RD[[#This Row],[IS7Inv1M1]]+RD[[#This Row],[IS7Inv2M1]])</f>
        <v>0</v>
      </c>
      <c r="DJ122" s="204">
        <f>SUM(RD[[#This Row],[IS5Inv1M1]:[IS5Inv2M2]])</f>
        <v>0</v>
      </c>
      <c r="DK122" s="204">
        <f>SUM(RD[[#This Row],[IS8Inv1M1]:[IS9Inv2M2]])</f>
        <v>0</v>
      </c>
      <c r="DL122" s="60">
        <f>SUM(RD[[#This Row],[IS6Inv1M1]:[IS6Inv2M2]])</f>
        <v>0</v>
      </c>
      <c r="DM122" s="288">
        <f>SUM(RD[[#This Row],[IS10Inv1M1]:[IS11Inv1M4]],RD[[#This Row],[IS14Inv1M1]:[IS14Inv2M4]])</f>
        <v>0</v>
      </c>
      <c r="DN122" s="288">
        <f>SUM(RD[[#This Row],[IS12Inv1M1]:[IS12Inv1M4]])</f>
        <v>0</v>
      </c>
      <c r="DO122" s="288">
        <f>SUM(RD[[#This Row],[IS13Inv1M1]:[IS13Inv2M2]])</f>
        <v>0</v>
      </c>
      <c r="DP122" s="204">
        <f>SUM(RD[[#This Row],[O2R15]:[O2R26]])</f>
        <v>0</v>
      </c>
      <c r="DQ122" s="328"/>
      <c r="DR122" s="134"/>
      <c r="DS122" s="329"/>
      <c r="DT122" s="328"/>
      <c r="DU122" s="134"/>
      <c r="DV122" s="134"/>
      <c r="DW122" s="328"/>
      <c r="DX122" s="134"/>
      <c r="DY122" s="134"/>
      <c r="DZ122" s="134"/>
      <c r="EA122" s="134"/>
      <c r="EB122" s="328"/>
      <c r="EC122" s="328"/>
      <c r="ED122" s="328"/>
      <c r="EE122" s="243"/>
      <c r="EF122" s="328"/>
      <c r="EG122" s="242"/>
      <c r="EH122" s="146">
        <f>IF((RD[[#This Row],[33 kV_F3_Ex
Incomer1]]-DQ121)*1000&lt;0,0,(RD[[#This Row],[33 kV_F3_Ex
Incomer1]]-DQ121)*1000)</f>
        <v>0</v>
      </c>
      <c r="EI122" s="330"/>
      <c r="EJ122" s="146"/>
      <c r="EK122" s="146"/>
      <c r="EL122" s="146"/>
      <c r="EM122" s="146"/>
      <c r="EN122" s="146"/>
      <c r="EO122" s="146"/>
      <c r="EP122" s="146">
        <f>IF((RD[[#This Row],[33 kV_F7_Ex
Incomer5]]-DY121)*1000&lt;0,0,(RD[[#This Row],[33 kV_F7_Ex
Incomer5]]-DY121)*1000)</f>
        <v>0</v>
      </c>
      <c r="EQ122" s="146">
        <f>IF((RD[[#This Row],[33 kV_F7_Im
Incomer5]]-DZ121)*1000&lt;0,0,(RD[[#This Row],[33 kV_F7_Im
Incomer5]]-DZ121)*1000)</f>
        <v>0</v>
      </c>
      <c r="ER122" s="146"/>
      <c r="ES122" s="331">
        <f>IF((RD[[#This Row],[33kV_OG1_Ex_]]-EB121)*1000&lt;=0,0,(RD[[#This Row],[33kV_OG1_Ex_]]-EB121)*1000)</f>
        <v>0</v>
      </c>
      <c r="ET122" s="330">
        <f>IFERROR(IF((RD[[#This Row],[33kV_OG1_Im]]-EC121)*1000&lt;=0,0,(RD[[#This Row],[33kV_OG1_Im]]-EC121)*1000),0)</f>
        <v>0</v>
      </c>
      <c r="EU122" s="330">
        <f>(RD[[#This Row],[132kV_TX1_EX]]-EE119)</f>
        <v>0</v>
      </c>
      <c r="EV122" s="330">
        <f>IF((RD[[#This Row],[132 kV_Tx1_Im]]-EE121)*800000&lt;=0,0,(RD[[#This Row],[132 kV_Tx1_Im]]-EE121)*800000)</f>
        <v>0</v>
      </c>
      <c r="EW122" s="330">
        <f>IF((RD[[#This Row],[132kV_L1_Ex]]-EF121)*1600000&lt;=0,0,(RD[[#This Row],[132kV_L1_Ex]]-EF121)*1600000)</f>
        <v>0</v>
      </c>
      <c r="EX122" s="146">
        <f>IF((RD[[#This Row],[132kV_L1_Im]]-EG121)*720&lt;=0,0,(RD[[#This Row],[132kV_L1_Im]]-EG121)*720)</f>
        <v>0</v>
      </c>
      <c r="EY122" s="330">
        <f>IFERROR(RD[[#This Row],[33kV_OG1_Ex (MWh)]]+RD[[#This Row],[33kV_OG1_Im (MWh)]],"")</f>
        <v>0</v>
      </c>
      <c r="EZ122" s="148">
        <f>RD[[#This Row],[33kV_OG1_Ex (MWh)]]-RD[[#This Row],[33kV_OG1_Im (MWh)]]</f>
        <v>0</v>
      </c>
      <c r="FA122" s="148">
        <f>IFERROR(RD[[#This Row],[132kV_L1_Ex(MWh)]]-RD[[#This Row],[132kV_L1_Im(MWh)]],"")</f>
        <v>0</v>
      </c>
      <c r="FB122" s="332" t="str">
        <f>IFERROR(RD[[#This Row],[33kV_Ex(MWh)]]/RD[[#This Row],[Inv Total Gneration (MWh)]]-1,"")</f>
        <v/>
      </c>
      <c r="FC122" s="333">
        <f>IFERROR((RD[[#This Row],[Sunset Time (POA&lt;20 W/m2)]]-RD[[#This Row],[Sunrise Time (POA&gt;20 W/m2)]])*24,0)</f>
        <v>0</v>
      </c>
      <c r="FD122" s="334"/>
      <c r="FE122"/>
      <c r="FG122" s="144" t="str">
        <f>IFERROR(RD[[#This Row],[E_AC (WPR)]]/RD[[#This Row],[E_DC (WPR)]],"")</f>
        <v/>
      </c>
    </row>
    <row r="123" spans="1:163">
      <c r="A123" s="133">
        <f t="shared" si="167"/>
        <v>45863</v>
      </c>
      <c r="B123" s="138">
        <f>YEAR(RD[[#This Row],[Date]])+IF(MONTH(RD[[#This Row],[Date]])&gt;=4,1,0)</f>
        <v>2026</v>
      </c>
      <c r="C123" s="138">
        <f>YEAR(RD[[#This Row],[Date]])</f>
        <v>2025</v>
      </c>
      <c r="D123" s="139">
        <f t="shared" si="170"/>
        <v>45839</v>
      </c>
      <c r="E123" s="138">
        <f>DAY(EOMONTH(RD[[#This Row],[Date]],0))</f>
        <v>31</v>
      </c>
      <c r="F123" s="152"/>
      <c r="G123" s="162"/>
      <c r="H123" s="124"/>
      <c r="I123" s="270"/>
      <c r="J123" s="124"/>
      <c r="K123" s="124"/>
      <c r="L123" s="124"/>
      <c r="M123" s="124"/>
      <c r="N123" s="124"/>
      <c r="O123" s="124"/>
      <c r="P123" s="124"/>
      <c r="Q123" s="124"/>
      <c r="R123" s="124"/>
      <c r="S123" s="268"/>
      <c r="T123" s="124"/>
      <c r="U123" s="124"/>
      <c r="V123" s="124"/>
      <c r="W123" s="124"/>
      <c r="X123" s="296"/>
      <c r="Y123" s="203"/>
      <c r="Z123" s="203"/>
      <c r="AA123" s="203"/>
      <c r="AB123" s="296"/>
      <c r="AC123" s="203"/>
      <c r="AD123" s="203"/>
      <c r="AE123" s="203"/>
      <c r="AF123" s="296"/>
      <c r="AG123" s="203"/>
      <c r="AH123" s="203"/>
      <c r="AI123" s="296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203"/>
      <c r="BW123" s="203"/>
      <c r="BX123" s="203"/>
      <c r="BY123" s="203"/>
      <c r="BZ123" s="142"/>
      <c r="CA123" s="142"/>
      <c r="CB123" s="142"/>
      <c r="CC123" s="142"/>
      <c r="CD123" s="297"/>
      <c r="CE123" s="59"/>
      <c r="CF123" s="297"/>
      <c r="CG123" s="206"/>
      <c r="CH123" s="297"/>
      <c r="CI123" s="206"/>
      <c r="CJ123" s="298"/>
      <c r="CK123" s="59"/>
      <c r="CL123" s="297"/>
      <c r="CM123" s="206"/>
      <c r="CN123" s="297"/>
      <c r="CO123" s="206"/>
      <c r="CP123" s="297"/>
      <c r="CQ123" s="206"/>
      <c r="CR123" s="297"/>
      <c r="CS123" s="59"/>
      <c r="CT123" s="297"/>
      <c r="CU123" s="206"/>
      <c r="CV123" s="297"/>
      <c r="CW123" s="260"/>
      <c r="CX123" s="204" t="str">
        <f>IFERROR(AVERAGEIF(RD[[#This Row],[IS1POA1 (KWh/m2)]:[IS7POA2 (KWh/m2)]],"&lt;&gt;0",RD[[#This Row],[IS1POA1 (KWh/m2)]:[IS7POA2 (KWh/m2)]]),"")</f>
        <v/>
      </c>
      <c r="CY123" s="204" t="str">
        <f>IFERROR(AVERAGEIF(RD[[#This Row],[IS1GHI1 (KWh/m2)]:[IS7GHI2 (KWh/m2)]],"&lt;&gt;0",RD[[#This Row],[IS1GHI1 (KWh/m2)]:[IS7GHI2 (KWh/m2)]]),"")</f>
        <v/>
      </c>
      <c r="CZ123" s="204" t="str">
        <f>IFERROR(AVERAGEIF(RD[[#This Row],[IS1POA_BS1 (KWh/m2)]:[IS7POA_BS2 (KWh/m2)]],"&lt;&gt;0",RD[[#This Row],[IS1POA_BS1 (KWh/m2)]:[IS7POA_BS2 (KWh/m2)]]),"")</f>
        <v/>
      </c>
      <c r="DA123" s="204" t="str">
        <f>IFERROR(AVERAGEIF(RD[[#This Row],[IS1GHI_BS1 (KWh/m2)]:[IS1GHI_BS1 (KWh/m2)2]],"&lt;&gt;0",RD[[#This Row],[IS1GHI_BS1 (KWh/m2)]:[IS1GHI_BS1 (KWh/m2)2]]),"")</f>
        <v/>
      </c>
      <c r="DB123" s="204" t="str">
        <f>IFERROR(AVERAGEIF(RD[[#This Row],[IS1AT1 (°C)]:[IS7AT2 (°C)]],"&lt;&gt;0",RD[[#This Row],[IS1AT1 (°C)]:[IS7AT2 (°C)]]),"")</f>
        <v/>
      </c>
      <c r="DC123" s="204" t="str">
        <f>IFERROR(AVERAGEIF(RD[[#This Row],[IS1MT1 (°C)]:[IS7MT2 (°C)]],"&lt;&gt;0",RD[[#This Row],[IS1MT1 (°C)]:[IS7MT2 (°C)]]),"")</f>
        <v/>
      </c>
      <c r="DD123" s="204" t="str">
        <f>IFERROR(AVERAGEIF(RD[[#This Row],[IS1RH1 (%)]:[IS7RH2 (%)]],"&lt;&gt;0",RD[[#This Row],[IS1RH1 (%)]:[IS7RH2 (%)]]),"")</f>
        <v/>
      </c>
      <c r="DE123" s="204" t="str">
        <f>IFERROR(AVERAGEIF(RD[[#This Row],[IS1Rain1 (mm)]:[IS7Rain2 (mm)]],"&lt;&gt;0",RD[[#This Row],[IS1Rain1 (mm)]:[IS7Rain2 (mm)]]),"")</f>
        <v/>
      </c>
      <c r="DF123" s="204" t="str">
        <f>IFERROR(AVERAGEIF(RD[[#This Row],[WS_Solar1_Avg (m/s)]:[IS7_WS_Solar1_Avg (m/s)]],"&lt;&gt;0",RD[[#This Row],[WS_Solar1_Avg (m/s)]:[IS7_WS_Solar1_Avg (m/s)]]),"")</f>
        <v/>
      </c>
      <c r="DG123" s="204" t="str">
        <f>IFERROR(AVERAGEIF(RD[[#This Row],[WS_Solar1_Max (m/s)]:[IS7_WS_Solar1_Max (m/s)]],"&lt;&gt;0",RD[[#This Row],[WS_Solar1_Max (m/s)]:[IS7_WS_Solar1_Max (m/s)]]),"")</f>
        <v/>
      </c>
      <c r="DH123" s="204">
        <f>SUM(RD[[#This Row],[IS1Inv1M1]:[IS4Inv4M2]])</f>
        <v>0</v>
      </c>
      <c r="DI123" s="205">
        <f>SUM(RD[[#This Row],[IS7Inv1M1]]+RD[[#This Row],[IS7Inv2M1]])</f>
        <v>0</v>
      </c>
      <c r="DJ123" s="204">
        <f>SUM(RD[[#This Row],[IS5Inv1M1]:[IS5Inv2M2]])</f>
        <v>0</v>
      </c>
      <c r="DK123" s="204">
        <f>SUM(RD[[#This Row],[IS8Inv1M1]:[IS9Inv2M2]])</f>
        <v>0</v>
      </c>
      <c r="DL123" s="60">
        <f>SUM(RD[[#This Row],[IS6Inv1M1]:[IS6Inv2M2]])</f>
        <v>0</v>
      </c>
      <c r="DM123" s="288">
        <f>SUM(RD[[#This Row],[IS10Inv1M1]:[IS11Inv1M4]],RD[[#This Row],[IS14Inv1M1]:[IS14Inv2M4]])</f>
        <v>0</v>
      </c>
      <c r="DN123" s="288">
        <f>SUM(RD[[#This Row],[IS12Inv1M1]:[IS12Inv1M4]])</f>
        <v>0</v>
      </c>
      <c r="DO123" s="288">
        <f>SUM(RD[[#This Row],[IS13Inv1M1]:[IS13Inv2M2]])</f>
        <v>0</v>
      </c>
      <c r="DP123" s="204">
        <f>SUM(RD[[#This Row],[O2R15]:[O2R26]])</f>
        <v>0</v>
      </c>
      <c r="DQ123" s="328"/>
      <c r="DR123" s="134"/>
      <c r="DS123" s="329"/>
      <c r="DT123" s="328"/>
      <c r="DU123" s="134"/>
      <c r="DV123" s="134"/>
      <c r="DW123" s="328"/>
      <c r="DX123" s="134"/>
      <c r="DY123" s="134"/>
      <c r="DZ123" s="134"/>
      <c r="EA123" s="134"/>
      <c r="EB123" s="328"/>
      <c r="EC123" s="328"/>
      <c r="ED123" s="328"/>
      <c r="EE123" s="243"/>
      <c r="EF123" s="328"/>
      <c r="EG123" s="242"/>
      <c r="EH123" s="146">
        <f>IF((RD[[#This Row],[33 kV_F3_Ex
Incomer1]]-DQ122)*1000&lt;0,0,(RD[[#This Row],[33 kV_F3_Ex
Incomer1]]-DQ122)*1000)</f>
        <v>0</v>
      </c>
      <c r="EI123" s="330"/>
      <c r="EJ123" s="146"/>
      <c r="EK123" s="146"/>
      <c r="EL123" s="146"/>
      <c r="EM123" s="146"/>
      <c r="EN123" s="146"/>
      <c r="EO123" s="146"/>
      <c r="EP123" s="146">
        <f>IF((RD[[#This Row],[33 kV_F7_Ex
Incomer5]]-DY122)*1000&lt;0,0,(RD[[#This Row],[33 kV_F7_Ex
Incomer5]]-DY122)*1000)</f>
        <v>0</v>
      </c>
      <c r="EQ123" s="146">
        <f>IF((RD[[#This Row],[33 kV_F7_Im
Incomer5]]-DZ122)*1000&lt;0,0,(RD[[#This Row],[33 kV_F7_Im
Incomer5]]-DZ122)*1000)</f>
        <v>0</v>
      </c>
      <c r="ER123" s="146"/>
      <c r="ES123" s="331">
        <f>IF((RD[[#This Row],[33kV_OG1_Ex_]]-EB122)*1000&lt;=0,0,(RD[[#This Row],[33kV_OG1_Ex_]]-EB122)*1000)</f>
        <v>0</v>
      </c>
      <c r="ET123" s="330">
        <f>IFERROR(IF((RD[[#This Row],[33kV_OG1_Im]]-EC122)*1000&lt;=0,0,(RD[[#This Row],[33kV_OG1_Im]]-EC122)*1000),0)</f>
        <v>0</v>
      </c>
      <c r="EU123" s="330">
        <f>(RD[[#This Row],[132kV_TX1_EX]]-EE120)</f>
        <v>0</v>
      </c>
      <c r="EV123" s="330">
        <f>IF((RD[[#This Row],[132 kV_Tx1_Im]]-EE122)*800000&lt;=0,0,(RD[[#This Row],[132 kV_Tx1_Im]]-EE122)*800000)</f>
        <v>0</v>
      </c>
      <c r="EW123" s="330">
        <f>IF((RD[[#This Row],[132kV_L1_Ex]]-EF122)*1600000&lt;=0,0,(RD[[#This Row],[132kV_L1_Ex]]-EF122)*1600000)</f>
        <v>0</v>
      </c>
      <c r="EX123" s="146">
        <f>IF((RD[[#This Row],[132kV_L1_Im]]-EG122)*720&lt;=0,0,(RD[[#This Row],[132kV_L1_Im]]-EG122)*720)</f>
        <v>0</v>
      </c>
      <c r="EY123" s="330">
        <f>IFERROR(RD[[#This Row],[33kV_OG1_Ex (MWh)]]+RD[[#This Row],[33kV_OG1_Im (MWh)]],"")</f>
        <v>0</v>
      </c>
      <c r="EZ123" s="148">
        <f>RD[[#This Row],[33kV_OG1_Ex (MWh)]]-RD[[#This Row],[33kV_OG1_Im (MWh)]]</f>
        <v>0</v>
      </c>
      <c r="FA123" s="148">
        <f>IFERROR(RD[[#This Row],[132kV_L1_Ex(MWh)]]-RD[[#This Row],[132kV_L1_Im(MWh)]],"")</f>
        <v>0</v>
      </c>
      <c r="FB123" s="332" t="str">
        <f>IFERROR(RD[[#This Row],[33kV_Ex(MWh)]]/RD[[#This Row],[Inv Total Gneration (MWh)]]-1,"")</f>
        <v/>
      </c>
      <c r="FC123" s="333">
        <f>IFERROR((RD[[#This Row],[Sunset Time (POA&lt;20 W/m2)]]-RD[[#This Row],[Sunrise Time (POA&gt;20 W/m2)]])*24,0)</f>
        <v>0</v>
      </c>
      <c r="FD123" s="334"/>
      <c r="FE123"/>
      <c r="FG123" s="144" t="str">
        <f>IFERROR(RD[[#This Row],[E_AC (WPR)]]/RD[[#This Row],[E_DC (WPR)]],"")</f>
        <v/>
      </c>
    </row>
    <row r="124" spans="1:163">
      <c r="A124" s="133">
        <f t="shared" si="167"/>
        <v>45864</v>
      </c>
      <c r="B124" s="138">
        <f>YEAR(RD[[#This Row],[Date]])+IF(MONTH(RD[[#This Row],[Date]])&gt;=4,1,0)</f>
        <v>2026</v>
      </c>
      <c r="C124" s="138">
        <f>YEAR(RD[[#This Row],[Date]])</f>
        <v>2025</v>
      </c>
      <c r="D124" s="139">
        <f t="shared" si="170"/>
        <v>45839</v>
      </c>
      <c r="E124" s="138">
        <f>DAY(EOMONTH(RD[[#This Row],[Date]],0))</f>
        <v>31</v>
      </c>
      <c r="F124" s="152"/>
      <c r="G124" s="162"/>
      <c r="H124" s="124"/>
      <c r="I124" s="270"/>
      <c r="J124" s="124"/>
      <c r="K124" s="124"/>
      <c r="L124" s="124"/>
      <c r="M124" s="124"/>
      <c r="N124" s="124"/>
      <c r="O124" s="124"/>
      <c r="P124" s="124"/>
      <c r="Q124" s="124"/>
      <c r="R124" s="124"/>
      <c r="S124" s="268"/>
      <c r="T124" s="124"/>
      <c r="U124" s="124"/>
      <c r="V124" s="124"/>
      <c r="W124" s="124"/>
      <c r="X124" s="296"/>
      <c r="Y124" s="203"/>
      <c r="Z124" s="203"/>
      <c r="AA124" s="203"/>
      <c r="AB124" s="296"/>
      <c r="AC124" s="203"/>
      <c r="AD124" s="203"/>
      <c r="AE124" s="203"/>
      <c r="AF124" s="296"/>
      <c r="AG124" s="203"/>
      <c r="AH124" s="203"/>
      <c r="AI124" s="296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203"/>
      <c r="BW124" s="203"/>
      <c r="BX124" s="203"/>
      <c r="BY124" s="203"/>
      <c r="BZ124" s="142"/>
      <c r="CA124" s="142"/>
      <c r="CB124" s="142"/>
      <c r="CC124" s="142"/>
      <c r="CD124" s="297"/>
      <c r="CE124" s="59"/>
      <c r="CF124" s="297"/>
      <c r="CG124" s="206"/>
      <c r="CH124" s="297"/>
      <c r="CI124" s="206"/>
      <c r="CJ124" s="298"/>
      <c r="CK124" s="59"/>
      <c r="CL124" s="297"/>
      <c r="CM124" s="206"/>
      <c r="CN124" s="297"/>
      <c r="CO124" s="206"/>
      <c r="CP124" s="297"/>
      <c r="CQ124" s="206"/>
      <c r="CR124" s="297"/>
      <c r="CS124" s="59"/>
      <c r="CT124" s="297"/>
      <c r="CU124" s="206"/>
      <c r="CV124" s="297"/>
      <c r="CW124" s="260"/>
      <c r="CX124" s="204" t="str">
        <f>IFERROR(AVERAGEIF(RD[[#This Row],[IS1POA1 (KWh/m2)]:[IS7POA2 (KWh/m2)]],"&lt;&gt;0",RD[[#This Row],[IS1POA1 (KWh/m2)]:[IS7POA2 (KWh/m2)]]),"")</f>
        <v/>
      </c>
      <c r="CY124" s="204" t="str">
        <f>IFERROR(AVERAGEIF(RD[[#This Row],[IS1GHI1 (KWh/m2)]:[IS7GHI2 (KWh/m2)]],"&lt;&gt;0",RD[[#This Row],[IS1GHI1 (KWh/m2)]:[IS7GHI2 (KWh/m2)]]),"")</f>
        <v/>
      </c>
      <c r="CZ124" s="204" t="str">
        <f>IFERROR(AVERAGEIF(RD[[#This Row],[IS1POA_BS1 (KWh/m2)]:[IS7POA_BS2 (KWh/m2)]],"&lt;&gt;0",RD[[#This Row],[IS1POA_BS1 (KWh/m2)]:[IS7POA_BS2 (KWh/m2)]]),"")</f>
        <v/>
      </c>
      <c r="DA124" s="204" t="str">
        <f>IFERROR(AVERAGEIF(RD[[#This Row],[IS1GHI_BS1 (KWh/m2)]:[IS1GHI_BS1 (KWh/m2)2]],"&lt;&gt;0",RD[[#This Row],[IS1GHI_BS1 (KWh/m2)]:[IS1GHI_BS1 (KWh/m2)2]]),"")</f>
        <v/>
      </c>
      <c r="DB124" s="204" t="str">
        <f>IFERROR(AVERAGEIF(RD[[#This Row],[IS1AT1 (°C)]:[IS7AT2 (°C)]],"&lt;&gt;0",RD[[#This Row],[IS1AT1 (°C)]:[IS7AT2 (°C)]]),"")</f>
        <v/>
      </c>
      <c r="DC124" s="204" t="str">
        <f>IFERROR(AVERAGEIF(RD[[#This Row],[IS1MT1 (°C)]:[IS7MT2 (°C)]],"&lt;&gt;0",RD[[#This Row],[IS1MT1 (°C)]:[IS7MT2 (°C)]]),"")</f>
        <v/>
      </c>
      <c r="DD124" s="204" t="str">
        <f>IFERROR(AVERAGEIF(RD[[#This Row],[IS1RH1 (%)]:[IS7RH2 (%)]],"&lt;&gt;0",RD[[#This Row],[IS1RH1 (%)]:[IS7RH2 (%)]]),"")</f>
        <v/>
      </c>
      <c r="DE124" s="204" t="str">
        <f>IFERROR(AVERAGEIF(RD[[#This Row],[IS1Rain1 (mm)]:[IS7Rain2 (mm)]],"&lt;&gt;0",RD[[#This Row],[IS1Rain1 (mm)]:[IS7Rain2 (mm)]]),"")</f>
        <v/>
      </c>
      <c r="DF124" s="204" t="str">
        <f>IFERROR(AVERAGEIF(RD[[#This Row],[WS_Solar1_Avg (m/s)]:[IS7_WS_Solar1_Avg (m/s)]],"&lt;&gt;0",RD[[#This Row],[WS_Solar1_Avg (m/s)]:[IS7_WS_Solar1_Avg (m/s)]]),"")</f>
        <v/>
      </c>
      <c r="DG124" s="204" t="str">
        <f>IFERROR(AVERAGEIF(RD[[#This Row],[WS_Solar1_Max (m/s)]:[IS7_WS_Solar1_Max (m/s)]],"&lt;&gt;0",RD[[#This Row],[WS_Solar1_Max (m/s)]:[IS7_WS_Solar1_Max (m/s)]]),"")</f>
        <v/>
      </c>
      <c r="DH124" s="204">
        <f>SUM(RD[[#This Row],[IS1Inv1M1]:[IS4Inv4M2]])</f>
        <v>0</v>
      </c>
      <c r="DI124" s="205">
        <f>SUM(RD[[#This Row],[IS7Inv1M1]]+RD[[#This Row],[IS7Inv2M1]])</f>
        <v>0</v>
      </c>
      <c r="DJ124" s="204">
        <f>SUM(RD[[#This Row],[IS5Inv1M1]:[IS5Inv2M2]])</f>
        <v>0</v>
      </c>
      <c r="DK124" s="204">
        <f>SUM(RD[[#This Row],[IS8Inv1M1]:[IS9Inv2M2]])</f>
        <v>0</v>
      </c>
      <c r="DL124" s="60">
        <f>SUM(RD[[#This Row],[IS6Inv1M1]:[IS6Inv2M2]])</f>
        <v>0</v>
      </c>
      <c r="DM124" s="288">
        <f>SUM(RD[[#This Row],[IS10Inv1M1]:[IS11Inv1M4]],RD[[#This Row],[IS14Inv1M1]:[IS14Inv2M4]])</f>
        <v>0</v>
      </c>
      <c r="DN124" s="288">
        <f>SUM(RD[[#This Row],[IS12Inv1M1]:[IS12Inv1M4]])</f>
        <v>0</v>
      </c>
      <c r="DO124" s="288">
        <f>SUM(RD[[#This Row],[IS13Inv1M1]:[IS13Inv2M2]])</f>
        <v>0</v>
      </c>
      <c r="DP124" s="204">
        <f>SUM(RD[[#This Row],[O2R15]:[O2R26]])</f>
        <v>0</v>
      </c>
      <c r="DQ124" s="328"/>
      <c r="DR124" s="134"/>
      <c r="DS124" s="329"/>
      <c r="DT124" s="328"/>
      <c r="DU124" s="134"/>
      <c r="DV124" s="134"/>
      <c r="DW124" s="328"/>
      <c r="DX124" s="134"/>
      <c r="DY124" s="134"/>
      <c r="DZ124" s="134"/>
      <c r="EA124" s="134"/>
      <c r="EB124" s="328"/>
      <c r="EC124" s="328"/>
      <c r="ED124" s="328"/>
      <c r="EE124" s="243"/>
      <c r="EF124" s="328"/>
      <c r="EG124" s="242"/>
      <c r="EH124" s="146">
        <f>IF((RD[[#This Row],[33 kV_F3_Ex
Incomer1]]-DQ123)*1000&lt;0,0,(RD[[#This Row],[33 kV_F3_Ex
Incomer1]]-DQ123)*1000)</f>
        <v>0</v>
      </c>
      <c r="EI124" s="330"/>
      <c r="EJ124" s="146"/>
      <c r="EK124" s="146"/>
      <c r="EL124" s="146"/>
      <c r="EM124" s="146"/>
      <c r="EN124" s="146"/>
      <c r="EO124" s="146"/>
      <c r="EP124" s="146">
        <f>IF((RD[[#This Row],[33 kV_F7_Ex
Incomer5]]-DY123)*1000&lt;0,0,(RD[[#This Row],[33 kV_F7_Ex
Incomer5]]-DY123)*1000)</f>
        <v>0</v>
      </c>
      <c r="EQ124" s="146">
        <f>IF((RD[[#This Row],[33 kV_F7_Im
Incomer5]]-DZ123)*1000&lt;0,0,(RD[[#This Row],[33 kV_F7_Im
Incomer5]]-DZ123)*1000)</f>
        <v>0</v>
      </c>
      <c r="ER124" s="146"/>
      <c r="ES124" s="331">
        <f>IF((RD[[#This Row],[33kV_OG1_Ex_]]-EB123)*1000&lt;=0,0,(RD[[#This Row],[33kV_OG1_Ex_]]-EB123)*1000)</f>
        <v>0</v>
      </c>
      <c r="ET124" s="330">
        <f>IFERROR(IF((RD[[#This Row],[33kV_OG1_Im]]-EC123)*1000&lt;=0,0,(RD[[#This Row],[33kV_OG1_Im]]-EC123)*1000),0)</f>
        <v>0</v>
      </c>
      <c r="EU124" s="330">
        <f>(RD[[#This Row],[132kV_TX1_EX]]-EE121)</f>
        <v>0</v>
      </c>
      <c r="EV124" s="330">
        <f>IF((RD[[#This Row],[132 kV_Tx1_Im]]-EE123)*800000&lt;=0,0,(RD[[#This Row],[132 kV_Tx1_Im]]-EE123)*800000)</f>
        <v>0</v>
      </c>
      <c r="EW124" s="330">
        <f>IF((RD[[#This Row],[132kV_L1_Ex]]-EF123)*1600000&lt;=0,0,(RD[[#This Row],[132kV_L1_Ex]]-EF123)*1600000)</f>
        <v>0</v>
      </c>
      <c r="EX124" s="146">
        <f>IF((RD[[#This Row],[132kV_L1_Im]]-EG123)*720&lt;=0,0,(RD[[#This Row],[132kV_L1_Im]]-EG123)*720)</f>
        <v>0</v>
      </c>
      <c r="EY124" s="330">
        <f>IFERROR(RD[[#This Row],[33kV_OG1_Ex (MWh)]]+RD[[#This Row],[33kV_OG1_Im (MWh)]],"")</f>
        <v>0</v>
      </c>
      <c r="EZ124" s="148">
        <f>RD[[#This Row],[33kV_OG1_Ex (MWh)]]-RD[[#This Row],[33kV_OG1_Im (MWh)]]</f>
        <v>0</v>
      </c>
      <c r="FA124" s="148">
        <f>IFERROR(RD[[#This Row],[132kV_L1_Ex(MWh)]]-RD[[#This Row],[132kV_L1_Im(MWh)]],"")</f>
        <v>0</v>
      </c>
      <c r="FB124" s="332" t="str">
        <f>IFERROR(RD[[#This Row],[33kV_Ex(MWh)]]/RD[[#This Row],[Inv Total Gneration (MWh)]]-1,"")</f>
        <v/>
      </c>
      <c r="FC124" s="333">
        <f>IFERROR((RD[[#This Row],[Sunset Time (POA&lt;20 W/m2)]]-RD[[#This Row],[Sunrise Time (POA&gt;20 W/m2)]])*24,0)</f>
        <v>0</v>
      </c>
      <c r="FD124" s="334"/>
      <c r="FE124"/>
      <c r="FG124" s="144" t="str">
        <f>IFERROR(RD[[#This Row],[E_AC (WPR)]]/RD[[#This Row],[E_DC (WPR)]],"")</f>
        <v/>
      </c>
    </row>
    <row r="125" spans="1:163">
      <c r="A125" s="133">
        <f t="shared" si="167"/>
        <v>45865</v>
      </c>
      <c r="B125" s="138">
        <f>YEAR(RD[[#This Row],[Date]])+IF(MONTH(RD[[#This Row],[Date]])&gt;=4,1,0)</f>
        <v>2026</v>
      </c>
      <c r="C125" s="138">
        <f>YEAR(RD[[#This Row],[Date]])</f>
        <v>2025</v>
      </c>
      <c r="D125" s="139">
        <f t="shared" si="170"/>
        <v>45839</v>
      </c>
      <c r="E125" s="138">
        <f>DAY(EOMONTH(RD[[#This Row],[Date]],0))</f>
        <v>31</v>
      </c>
      <c r="F125" s="152"/>
      <c r="G125" s="162"/>
      <c r="H125" s="124"/>
      <c r="I125" s="270"/>
      <c r="J125" s="124"/>
      <c r="K125" s="124"/>
      <c r="L125" s="124"/>
      <c r="M125" s="124"/>
      <c r="N125" s="124"/>
      <c r="O125" s="124"/>
      <c r="P125" s="124"/>
      <c r="Q125" s="124"/>
      <c r="R125" s="124"/>
      <c r="S125" s="268"/>
      <c r="T125" s="124"/>
      <c r="U125" s="124"/>
      <c r="V125" s="124"/>
      <c r="W125" s="124"/>
      <c r="X125" s="296"/>
      <c r="Y125" s="203"/>
      <c r="Z125" s="203"/>
      <c r="AA125" s="203"/>
      <c r="AB125" s="296"/>
      <c r="AC125" s="203"/>
      <c r="AD125" s="203"/>
      <c r="AE125" s="203"/>
      <c r="AF125" s="296"/>
      <c r="AG125" s="203"/>
      <c r="AH125" s="203"/>
      <c r="AI125" s="296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203"/>
      <c r="BW125" s="203"/>
      <c r="BX125" s="203"/>
      <c r="BY125" s="203"/>
      <c r="BZ125" s="142"/>
      <c r="CA125" s="142"/>
      <c r="CB125" s="142"/>
      <c r="CC125" s="142"/>
      <c r="CD125" s="297"/>
      <c r="CE125" s="59"/>
      <c r="CF125" s="297"/>
      <c r="CG125" s="206"/>
      <c r="CH125" s="297"/>
      <c r="CI125" s="206"/>
      <c r="CJ125" s="298"/>
      <c r="CK125" s="59"/>
      <c r="CL125" s="297"/>
      <c r="CM125" s="206"/>
      <c r="CN125" s="297"/>
      <c r="CO125" s="206"/>
      <c r="CP125" s="297"/>
      <c r="CQ125" s="206"/>
      <c r="CR125" s="297"/>
      <c r="CS125" s="59"/>
      <c r="CT125" s="297"/>
      <c r="CU125" s="206"/>
      <c r="CV125" s="297"/>
      <c r="CW125" s="260"/>
      <c r="CX125" s="204" t="str">
        <f>IFERROR(AVERAGEIF(RD[[#This Row],[IS1POA1 (KWh/m2)]:[IS7POA2 (KWh/m2)]],"&lt;&gt;0",RD[[#This Row],[IS1POA1 (KWh/m2)]:[IS7POA2 (KWh/m2)]]),"")</f>
        <v/>
      </c>
      <c r="CY125" s="204" t="str">
        <f>IFERROR(AVERAGEIF(RD[[#This Row],[IS1GHI1 (KWh/m2)]:[IS7GHI2 (KWh/m2)]],"&lt;&gt;0",RD[[#This Row],[IS1GHI1 (KWh/m2)]:[IS7GHI2 (KWh/m2)]]),"")</f>
        <v/>
      </c>
      <c r="CZ125" s="204" t="str">
        <f>IFERROR(AVERAGEIF(RD[[#This Row],[IS1POA_BS1 (KWh/m2)]:[IS7POA_BS2 (KWh/m2)]],"&lt;&gt;0",RD[[#This Row],[IS1POA_BS1 (KWh/m2)]:[IS7POA_BS2 (KWh/m2)]]),"")</f>
        <v/>
      </c>
      <c r="DA125" s="204" t="str">
        <f>IFERROR(AVERAGEIF(RD[[#This Row],[IS1GHI_BS1 (KWh/m2)]:[IS1GHI_BS1 (KWh/m2)2]],"&lt;&gt;0",RD[[#This Row],[IS1GHI_BS1 (KWh/m2)]:[IS1GHI_BS1 (KWh/m2)2]]),"")</f>
        <v/>
      </c>
      <c r="DB125" s="204" t="str">
        <f>IFERROR(AVERAGEIF(RD[[#This Row],[IS1AT1 (°C)]:[IS7AT2 (°C)]],"&lt;&gt;0",RD[[#This Row],[IS1AT1 (°C)]:[IS7AT2 (°C)]]),"")</f>
        <v/>
      </c>
      <c r="DC125" s="204" t="str">
        <f>IFERROR(AVERAGEIF(RD[[#This Row],[IS1MT1 (°C)]:[IS7MT2 (°C)]],"&lt;&gt;0",RD[[#This Row],[IS1MT1 (°C)]:[IS7MT2 (°C)]]),"")</f>
        <v/>
      </c>
      <c r="DD125" s="204" t="str">
        <f>IFERROR(AVERAGEIF(RD[[#This Row],[IS1RH1 (%)]:[IS7RH2 (%)]],"&lt;&gt;0",RD[[#This Row],[IS1RH1 (%)]:[IS7RH2 (%)]]),"")</f>
        <v/>
      </c>
      <c r="DE125" s="204" t="str">
        <f>IFERROR(AVERAGEIF(RD[[#This Row],[IS1Rain1 (mm)]:[IS7Rain2 (mm)]],"&lt;&gt;0",RD[[#This Row],[IS1Rain1 (mm)]:[IS7Rain2 (mm)]]),"")</f>
        <v/>
      </c>
      <c r="DF125" s="204" t="str">
        <f>IFERROR(AVERAGEIF(RD[[#This Row],[WS_Solar1_Avg (m/s)]:[IS7_WS_Solar1_Avg (m/s)]],"&lt;&gt;0",RD[[#This Row],[WS_Solar1_Avg (m/s)]:[IS7_WS_Solar1_Avg (m/s)]]),"")</f>
        <v/>
      </c>
      <c r="DG125" s="204" t="str">
        <f>IFERROR(AVERAGEIF(RD[[#This Row],[WS_Solar1_Max (m/s)]:[IS7_WS_Solar1_Max (m/s)]],"&lt;&gt;0",RD[[#This Row],[WS_Solar1_Max (m/s)]:[IS7_WS_Solar1_Max (m/s)]]),"")</f>
        <v/>
      </c>
      <c r="DH125" s="204">
        <f>SUM(RD[[#This Row],[IS1Inv1M1]:[IS4Inv4M2]])</f>
        <v>0</v>
      </c>
      <c r="DI125" s="205">
        <f>SUM(RD[[#This Row],[IS7Inv1M1]]+RD[[#This Row],[IS7Inv2M1]])</f>
        <v>0</v>
      </c>
      <c r="DJ125" s="204">
        <f>SUM(RD[[#This Row],[IS5Inv1M1]:[IS5Inv2M2]])</f>
        <v>0</v>
      </c>
      <c r="DK125" s="204">
        <f>SUM(RD[[#This Row],[IS8Inv1M1]:[IS9Inv2M2]])</f>
        <v>0</v>
      </c>
      <c r="DL125" s="60">
        <f>SUM(RD[[#This Row],[IS6Inv1M1]:[IS6Inv2M2]])</f>
        <v>0</v>
      </c>
      <c r="DM125" s="288">
        <f>SUM(RD[[#This Row],[IS10Inv1M1]:[IS11Inv1M4]],RD[[#This Row],[IS14Inv1M1]:[IS14Inv2M4]])</f>
        <v>0</v>
      </c>
      <c r="DN125" s="288">
        <f>SUM(RD[[#This Row],[IS12Inv1M1]:[IS12Inv1M4]])</f>
        <v>0</v>
      </c>
      <c r="DO125" s="288">
        <f>SUM(RD[[#This Row],[IS13Inv1M1]:[IS13Inv2M2]])</f>
        <v>0</v>
      </c>
      <c r="DP125" s="204">
        <f>SUM(RD[[#This Row],[O2R15]:[O2R26]])</f>
        <v>0</v>
      </c>
      <c r="DQ125" s="328"/>
      <c r="DR125" s="134"/>
      <c r="DS125" s="329"/>
      <c r="DT125" s="328"/>
      <c r="DU125" s="134"/>
      <c r="DV125" s="134"/>
      <c r="DW125" s="328"/>
      <c r="DX125" s="134"/>
      <c r="DY125" s="134"/>
      <c r="DZ125" s="134"/>
      <c r="EA125" s="134"/>
      <c r="EB125" s="328"/>
      <c r="EC125" s="328"/>
      <c r="ED125" s="328"/>
      <c r="EE125" s="328"/>
      <c r="EF125" s="328"/>
      <c r="EG125" s="242"/>
      <c r="EH125" s="146">
        <f>IF((RD[[#This Row],[33 kV_F3_Ex
Incomer1]]-DQ124)*1000&lt;0,0,(RD[[#This Row],[33 kV_F3_Ex
Incomer1]]-DQ124)*1000)</f>
        <v>0</v>
      </c>
      <c r="EI125" s="330"/>
      <c r="EJ125" s="146"/>
      <c r="EK125" s="146"/>
      <c r="EL125" s="146"/>
      <c r="EM125" s="146"/>
      <c r="EN125" s="146"/>
      <c r="EO125" s="146"/>
      <c r="EP125" s="146">
        <f>IF((RD[[#This Row],[33 kV_F7_Ex
Incomer5]]-DY124)*1000&lt;0,0,(RD[[#This Row],[33 kV_F7_Ex
Incomer5]]-DY124)*1000)</f>
        <v>0</v>
      </c>
      <c r="EQ125" s="146">
        <f>IF((RD[[#This Row],[33 kV_F7_Im
Incomer5]]-DZ124)*1000&lt;0,0,(RD[[#This Row],[33 kV_F7_Im
Incomer5]]-DZ124)*1000)</f>
        <v>0</v>
      </c>
      <c r="ER125" s="146"/>
      <c r="ES125" s="331">
        <f>IF((RD[[#This Row],[33kV_OG1_Ex_]]-EB124)*1000&lt;=0,0,(RD[[#This Row],[33kV_OG1_Ex_]]-EB124)*1000)</f>
        <v>0</v>
      </c>
      <c r="ET125" s="330">
        <f>IFERROR(IF((RD[[#This Row],[33kV_OG1_Im]]-EC124)*1000&lt;=0,0,(RD[[#This Row],[33kV_OG1_Im]]-EC124)*1000),0)</f>
        <v>0</v>
      </c>
      <c r="EU125" s="330">
        <f>(RD[[#This Row],[132kV_TX1_EX]]-EE122)</f>
        <v>0</v>
      </c>
      <c r="EV125" s="330">
        <f>IF((RD[[#This Row],[132 kV_Tx1_Im]]-EE124)*800000&lt;=0,0,(RD[[#This Row],[132 kV_Tx1_Im]]-EE124)*800000)</f>
        <v>0</v>
      </c>
      <c r="EW125" s="330">
        <f>IF((RD[[#This Row],[132kV_L1_Ex]]-EF124)*1600000&lt;=0,0,(RD[[#This Row],[132kV_L1_Ex]]-EF124)*1600000)</f>
        <v>0</v>
      </c>
      <c r="EX125" s="146">
        <f>IF((RD[[#This Row],[132kV_L1_Im]]-EG124)*720&lt;=0,0,(RD[[#This Row],[132kV_L1_Im]]-EG124)*720)</f>
        <v>0</v>
      </c>
      <c r="EY125" s="330">
        <f>IFERROR(RD[[#This Row],[33kV_OG1_Ex (MWh)]]+RD[[#This Row],[33kV_OG1_Im (MWh)]],"")</f>
        <v>0</v>
      </c>
      <c r="EZ125" s="148">
        <f>RD[[#This Row],[33kV_OG1_Ex (MWh)]]-RD[[#This Row],[33kV_OG1_Im (MWh)]]</f>
        <v>0</v>
      </c>
      <c r="FA125" s="148">
        <f>IFERROR(RD[[#This Row],[132kV_L1_Ex(MWh)]]-RD[[#This Row],[132kV_L1_Im(MWh)]],"")</f>
        <v>0</v>
      </c>
      <c r="FB125" s="332" t="str">
        <f>IFERROR(RD[[#This Row],[33kV_Ex(MWh)]]/RD[[#This Row],[Inv Total Gneration (MWh)]]-1,"")</f>
        <v/>
      </c>
      <c r="FC125" s="333">
        <f>IFERROR((RD[[#This Row],[Sunset Time (POA&lt;20 W/m2)]]-RD[[#This Row],[Sunrise Time (POA&gt;20 W/m2)]])*24,0)</f>
        <v>0</v>
      </c>
      <c r="FD125" s="334"/>
      <c r="FE125"/>
      <c r="FG125" s="144" t="str">
        <f>IFERROR(RD[[#This Row],[E_AC (WPR)]]/RD[[#This Row],[E_DC (WPR)]],"")</f>
        <v/>
      </c>
    </row>
    <row r="126" spans="1:163">
      <c r="A126" s="133">
        <f t="shared" si="167"/>
        <v>45866</v>
      </c>
      <c r="B126" s="138">
        <f>YEAR(RD[[#This Row],[Date]])+IF(MONTH(RD[[#This Row],[Date]])&gt;=4,1,0)</f>
        <v>2026</v>
      </c>
      <c r="C126" s="138">
        <f>YEAR(RD[[#This Row],[Date]])</f>
        <v>2025</v>
      </c>
      <c r="D126" s="139">
        <f t="shared" si="170"/>
        <v>45839</v>
      </c>
      <c r="E126" s="138">
        <f>DAY(EOMONTH(RD[[#This Row],[Date]],0))</f>
        <v>31</v>
      </c>
      <c r="F126" s="335"/>
      <c r="G126" s="336"/>
      <c r="H126" s="335"/>
      <c r="I126" s="337"/>
      <c r="J126" s="335"/>
      <c r="K126" s="335"/>
      <c r="L126" s="335"/>
      <c r="M126" s="335"/>
      <c r="N126" s="335"/>
      <c r="O126" s="335"/>
      <c r="P126" s="335"/>
      <c r="Q126" s="335"/>
      <c r="R126" s="335"/>
      <c r="S126" s="337"/>
      <c r="T126" s="335"/>
      <c r="U126" s="335"/>
      <c r="V126" s="335"/>
      <c r="W126" s="335"/>
      <c r="X126" s="296"/>
      <c r="Y126" s="203"/>
      <c r="Z126" s="203"/>
      <c r="AA126" s="203"/>
      <c r="AB126" s="296"/>
      <c r="AC126" s="203"/>
      <c r="AD126" s="203"/>
      <c r="AE126" s="203"/>
      <c r="AF126" s="296"/>
      <c r="AG126" s="203"/>
      <c r="AH126" s="203"/>
      <c r="AI126" s="296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203"/>
      <c r="BW126" s="203"/>
      <c r="BX126" s="203"/>
      <c r="BY126" s="203"/>
      <c r="BZ126" s="142"/>
      <c r="CA126" s="142"/>
      <c r="CB126" s="142"/>
      <c r="CC126" s="142"/>
      <c r="CD126" s="297"/>
      <c r="CE126" s="59"/>
      <c r="CF126" s="297"/>
      <c r="CG126" s="206"/>
      <c r="CH126" s="297"/>
      <c r="CI126" s="206"/>
      <c r="CJ126" s="298"/>
      <c r="CK126" s="59"/>
      <c r="CL126" s="297"/>
      <c r="CM126" s="206"/>
      <c r="CN126" s="297"/>
      <c r="CO126" s="206"/>
      <c r="CP126" s="297"/>
      <c r="CQ126" s="206"/>
      <c r="CR126" s="297"/>
      <c r="CS126" s="59"/>
      <c r="CT126" s="297"/>
      <c r="CU126" s="206"/>
      <c r="CV126" s="297"/>
      <c r="CW126" s="260"/>
      <c r="CX126" s="204" t="str">
        <f>IFERROR(AVERAGEIF(RD[[#This Row],[IS1POA1 (KWh/m2)]:[IS7POA2 (KWh/m2)]],"&lt;&gt;0",RD[[#This Row],[IS1POA1 (KWh/m2)]:[IS7POA2 (KWh/m2)]]),"")</f>
        <v/>
      </c>
      <c r="CY126" s="204" t="str">
        <f>IFERROR(AVERAGEIF(RD[[#This Row],[IS1GHI1 (KWh/m2)]:[IS7GHI2 (KWh/m2)]],"&lt;&gt;0",RD[[#This Row],[IS1GHI1 (KWh/m2)]:[IS7GHI2 (KWh/m2)]]),"")</f>
        <v/>
      </c>
      <c r="CZ126" s="204" t="str">
        <f>IFERROR(AVERAGEIF(RD[[#This Row],[IS1POA_BS1 (KWh/m2)]:[IS7POA_BS2 (KWh/m2)]],"&lt;&gt;0",RD[[#This Row],[IS1POA_BS1 (KWh/m2)]:[IS7POA_BS2 (KWh/m2)]]),"")</f>
        <v/>
      </c>
      <c r="DA126" s="204" t="str">
        <f>IFERROR(AVERAGEIF(RD[[#This Row],[IS1GHI_BS1 (KWh/m2)]:[IS1GHI_BS1 (KWh/m2)2]],"&lt;&gt;0",RD[[#This Row],[IS1GHI_BS1 (KWh/m2)]:[IS1GHI_BS1 (KWh/m2)2]]),"")</f>
        <v/>
      </c>
      <c r="DB126" s="204" t="str">
        <f>IFERROR(AVERAGEIF(RD[[#This Row],[IS1AT1 (°C)]:[IS7AT2 (°C)]],"&lt;&gt;0",RD[[#This Row],[IS1AT1 (°C)]:[IS7AT2 (°C)]]),"")</f>
        <v/>
      </c>
      <c r="DC126" s="204" t="str">
        <f>IFERROR(AVERAGEIF(RD[[#This Row],[IS1MT1 (°C)]:[IS7MT2 (°C)]],"&lt;&gt;0",RD[[#This Row],[IS1MT1 (°C)]:[IS7MT2 (°C)]]),"")</f>
        <v/>
      </c>
      <c r="DD126" s="204" t="str">
        <f>IFERROR(AVERAGEIF(RD[[#This Row],[IS1RH1 (%)]:[IS7RH2 (%)]],"&lt;&gt;0",RD[[#This Row],[IS1RH1 (%)]:[IS7RH2 (%)]]),"")</f>
        <v/>
      </c>
      <c r="DE126" s="204" t="str">
        <f>IFERROR(AVERAGEIF(RD[[#This Row],[IS1Rain1 (mm)]:[IS7Rain2 (mm)]],"&lt;&gt;0",RD[[#This Row],[IS1Rain1 (mm)]:[IS7Rain2 (mm)]]),"")</f>
        <v/>
      </c>
      <c r="DF126" s="204" t="str">
        <f>IFERROR(AVERAGEIF(RD[[#This Row],[WS_Solar1_Avg (m/s)]:[IS7_WS_Solar1_Avg (m/s)]],"&lt;&gt;0",RD[[#This Row],[WS_Solar1_Avg (m/s)]:[IS7_WS_Solar1_Avg (m/s)]]),"")</f>
        <v/>
      </c>
      <c r="DG126" s="204" t="str">
        <f>IFERROR(AVERAGEIF(RD[[#This Row],[WS_Solar1_Max (m/s)]:[IS7_WS_Solar1_Max (m/s)]],"&lt;&gt;0",RD[[#This Row],[WS_Solar1_Max (m/s)]:[IS7_WS_Solar1_Max (m/s)]]),"")</f>
        <v/>
      </c>
      <c r="DH126" s="204">
        <f>SUM(RD[[#This Row],[IS1Inv1M1]:[IS4Inv4M2]])</f>
        <v>0</v>
      </c>
      <c r="DI126" s="205">
        <f>SUM(RD[[#This Row],[IS7Inv1M1]]+RD[[#This Row],[IS7Inv2M1]])</f>
        <v>0</v>
      </c>
      <c r="DJ126" s="204">
        <f>SUM(RD[[#This Row],[IS5Inv1M1]:[IS5Inv2M2]])</f>
        <v>0</v>
      </c>
      <c r="DK126" s="204">
        <f>SUM(RD[[#This Row],[IS8Inv1M1]:[IS9Inv2M2]])</f>
        <v>0</v>
      </c>
      <c r="DL126" s="60">
        <f>SUM(RD[[#This Row],[IS6Inv1M1]:[IS6Inv2M2]])</f>
        <v>0</v>
      </c>
      <c r="DM126" s="288">
        <f>SUM(RD[[#This Row],[IS10Inv1M1]:[IS11Inv1M4]],RD[[#This Row],[IS14Inv1M1]:[IS14Inv2M4]])</f>
        <v>0</v>
      </c>
      <c r="DN126" s="288">
        <f>SUM(RD[[#This Row],[IS12Inv1M1]:[IS12Inv1M4]])</f>
        <v>0</v>
      </c>
      <c r="DO126" s="288">
        <f>SUM(RD[[#This Row],[IS13Inv1M1]:[IS13Inv2M2]])</f>
        <v>0</v>
      </c>
      <c r="DP126" s="204">
        <f>SUM(RD[[#This Row],[O2R15]:[O2R26]])</f>
        <v>0</v>
      </c>
      <c r="DQ126" s="328"/>
      <c r="DR126" s="134"/>
      <c r="DS126" s="329"/>
      <c r="DT126" s="328"/>
      <c r="DU126" s="134"/>
      <c r="DV126" s="134"/>
      <c r="DW126" s="328"/>
      <c r="DX126" s="134"/>
      <c r="DY126" s="134"/>
      <c r="DZ126" s="134"/>
      <c r="EA126" s="134"/>
      <c r="EB126" s="328"/>
      <c r="EC126" s="328"/>
      <c r="ED126" s="328"/>
      <c r="EE126" s="328"/>
      <c r="EF126" s="328"/>
      <c r="EG126" s="242"/>
      <c r="EH126" s="146">
        <f>IF((RD[[#This Row],[33 kV_F3_Ex
Incomer1]]-DQ125)*1000&lt;0,0,(RD[[#This Row],[33 kV_F3_Ex
Incomer1]]-DQ125)*1000)</f>
        <v>0</v>
      </c>
      <c r="EI126" s="330"/>
      <c r="EJ126" s="146"/>
      <c r="EK126" s="146"/>
      <c r="EL126" s="146"/>
      <c r="EM126" s="146"/>
      <c r="EN126" s="146"/>
      <c r="EO126" s="146"/>
      <c r="EP126" s="146">
        <f>IF((RD[[#This Row],[33 kV_F7_Ex
Incomer5]]-DY125)*1000&lt;0,0,(RD[[#This Row],[33 kV_F7_Ex
Incomer5]]-DY125)*1000)</f>
        <v>0</v>
      </c>
      <c r="EQ126" s="146">
        <f>IF((RD[[#This Row],[33 kV_F7_Im
Incomer5]]-DZ125)*1000&lt;0,0,(RD[[#This Row],[33 kV_F7_Im
Incomer5]]-DZ125)*1000)</f>
        <v>0</v>
      </c>
      <c r="ER126" s="146"/>
      <c r="ES126" s="331">
        <f>IF((RD[[#This Row],[33kV_OG1_Ex_]]-EB125)*1000&lt;=0,0,(RD[[#This Row],[33kV_OG1_Ex_]]-EB125)*1000)</f>
        <v>0</v>
      </c>
      <c r="ET126" s="330">
        <f>IFERROR(IF((RD[[#This Row],[33kV_OG1_Im]]-EC125)*1000&lt;=0,0,(RD[[#This Row],[33kV_OG1_Im]]-EC125)*1000),0)</f>
        <v>0</v>
      </c>
      <c r="EU126" s="330">
        <f>(RD[[#This Row],[132kV_TX1_EX]]-EE123)</f>
        <v>0</v>
      </c>
      <c r="EV126" s="330">
        <f>IF((RD[[#This Row],[132 kV_Tx1_Im]]-EE125)*800000&lt;=0,0,(RD[[#This Row],[132 kV_Tx1_Im]]-EE125)*800000)</f>
        <v>0</v>
      </c>
      <c r="EW126" s="330">
        <f>IF((RD[[#This Row],[132kV_L1_Ex]]-EF125)*1600000&lt;=0,0,(RD[[#This Row],[132kV_L1_Ex]]-EF125)*1600000)</f>
        <v>0</v>
      </c>
      <c r="EX126" s="146">
        <f>IF((RD[[#This Row],[132kV_L1_Im]]-EG125)*720&lt;=0,0,(RD[[#This Row],[132kV_L1_Im]]-EG125)*720)</f>
        <v>0</v>
      </c>
      <c r="EY126" s="330">
        <f>IFERROR(RD[[#This Row],[33kV_OG1_Ex (MWh)]]+RD[[#This Row],[33kV_OG1_Im (MWh)]],"")</f>
        <v>0</v>
      </c>
      <c r="EZ126" s="148">
        <f>RD[[#This Row],[33kV_OG1_Ex (MWh)]]-RD[[#This Row],[33kV_OG1_Im (MWh)]]</f>
        <v>0</v>
      </c>
      <c r="FA126" s="148">
        <f>IFERROR(RD[[#This Row],[132kV_L1_Ex(MWh)]]-RD[[#This Row],[132kV_L1_Im(MWh)]],"")</f>
        <v>0</v>
      </c>
      <c r="FB126" s="332" t="str">
        <f>IFERROR(RD[[#This Row],[33kV_Ex(MWh)]]/RD[[#This Row],[Inv Total Gneration (MWh)]]-1,"")</f>
        <v/>
      </c>
      <c r="FC126" s="333">
        <f>IFERROR((RD[[#This Row],[Sunset Time (POA&lt;20 W/m2)]]-RD[[#This Row],[Sunrise Time (POA&gt;20 W/m2)]])*24,0)</f>
        <v>0</v>
      </c>
      <c r="FD126" s="334"/>
      <c r="FE126"/>
      <c r="FG126" s="144" t="str">
        <f>IFERROR(RD[[#This Row],[E_AC (WPR)]]/RD[[#This Row],[E_DC (WPR)]],"")</f>
        <v/>
      </c>
    </row>
    <row r="127" spans="1:163">
      <c r="A127" s="133">
        <f t="shared" si="167"/>
        <v>45867</v>
      </c>
      <c r="B127" s="138">
        <f>YEAR(RD[[#This Row],[Date]])+IF(MONTH(RD[[#This Row],[Date]])&gt;=4,1,0)</f>
        <v>2026</v>
      </c>
      <c r="C127" s="138">
        <f>YEAR(RD[[#This Row],[Date]])</f>
        <v>2025</v>
      </c>
      <c r="D127" s="139">
        <f t="shared" si="170"/>
        <v>45839</v>
      </c>
      <c r="E127" s="138">
        <f>DAY(EOMONTH(RD[[#This Row],[Date]],0))</f>
        <v>31</v>
      </c>
      <c r="F127" s="335"/>
      <c r="G127" s="336"/>
      <c r="H127" s="335"/>
      <c r="I127" s="337"/>
      <c r="J127" s="335"/>
      <c r="K127" s="335"/>
      <c r="L127" s="335"/>
      <c r="M127" s="335"/>
      <c r="N127" s="335"/>
      <c r="O127" s="335"/>
      <c r="P127" s="335"/>
      <c r="Q127" s="335"/>
      <c r="R127" s="335"/>
      <c r="S127" s="337"/>
      <c r="T127" s="335"/>
      <c r="U127" s="335"/>
      <c r="V127" s="335"/>
      <c r="W127" s="335"/>
      <c r="X127" s="296"/>
      <c r="Y127" s="203"/>
      <c r="Z127" s="203"/>
      <c r="AA127" s="203"/>
      <c r="AB127" s="296"/>
      <c r="AC127" s="203"/>
      <c r="AD127" s="203"/>
      <c r="AE127" s="203"/>
      <c r="AF127" s="296"/>
      <c r="AG127" s="203"/>
      <c r="AH127" s="203"/>
      <c r="AI127" s="296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203"/>
      <c r="BW127" s="203"/>
      <c r="BX127" s="203"/>
      <c r="BY127" s="203"/>
      <c r="BZ127" s="142"/>
      <c r="CA127" s="142"/>
      <c r="CB127" s="142"/>
      <c r="CC127" s="142"/>
      <c r="CD127" s="297"/>
      <c r="CE127" s="59"/>
      <c r="CF127" s="297"/>
      <c r="CG127" s="206"/>
      <c r="CH127" s="297"/>
      <c r="CI127" s="206"/>
      <c r="CJ127" s="298"/>
      <c r="CK127" s="59"/>
      <c r="CL127" s="297"/>
      <c r="CM127" s="206"/>
      <c r="CN127" s="297"/>
      <c r="CO127" s="206"/>
      <c r="CP127" s="297"/>
      <c r="CQ127" s="206"/>
      <c r="CR127" s="297"/>
      <c r="CS127" s="59"/>
      <c r="CT127" s="297"/>
      <c r="CU127" s="206"/>
      <c r="CV127" s="297"/>
      <c r="CW127" s="260"/>
      <c r="CX127" s="204" t="str">
        <f>IFERROR(AVERAGEIF(RD[[#This Row],[IS1POA1 (KWh/m2)]:[IS7POA2 (KWh/m2)]],"&lt;&gt;0",RD[[#This Row],[IS1POA1 (KWh/m2)]:[IS7POA2 (KWh/m2)]]),"")</f>
        <v/>
      </c>
      <c r="CY127" s="204" t="str">
        <f>IFERROR(AVERAGEIF(RD[[#This Row],[IS1GHI1 (KWh/m2)]:[IS7GHI2 (KWh/m2)]],"&lt;&gt;0",RD[[#This Row],[IS1GHI1 (KWh/m2)]:[IS7GHI2 (KWh/m2)]]),"")</f>
        <v/>
      </c>
      <c r="CZ127" s="204" t="str">
        <f>IFERROR(AVERAGEIF(RD[[#This Row],[IS1POA_BS1 (KWh/m2)]:[IS7POA_BS2 (KWh/m2)]],"&lt;&gt;0",RD[[#This Row],[IS1POA_BS1 (KWh/m2)]:[IS7POA_BS2 (KWh/m2)]]),"")</f>
        <v/>
      </c>
      <c r="DA127" s="204" t="str">
        <f>IFERROR(AVERAGEIF(RD[[#This Row],[IS1GHI_BS1 (KWh/m2)]:[IS1GHI_BS1 (KWh/m2)2]],"&lt;&gt;0",RD[[#This Row],[IS1GHI_BS1 (KWh/m2)]:[IS1GHI_BS1 (KWh/m2)2]]),"")</f>
        <v/>
      </c>
      <c r="DB127" s="204" t="str">
        <f>IFERROR(AVERAGEIF(RD[[#This Row],[IS1AT1 (°C)]:[IS7AT2 (°C)]],"&lt;&gt;0",RD[[#This Row],[IS1AT1 (°C)]:[IS7AT2 (°C)]]),"")</f>
        <v/>
      </c>
      <c r="DC127" s="204" t="str">
        <f>IFERROR(AVERAGEIF(RD[[#This Row],[IS1MT1 (°C)]:[IS7MT2 (°C)]],"&lt;&gt;0",RD[[#This Row],[IS1MT1 (°C)]:[IS7MT2 (°C)]]),"")</f>
        <v/>
      </c>
      <c r="DD127" s="204" t="str">
        <f>IFERROR(AVERAGEIF(RD[[#This Row],[IS1RH1 (%)]:[IS7RH2 (%)]],"&lt;&gt;0",RD[[#This Row],[IS1RH1 (%)]:[IS7RH2 (%)]]),"")</f>
        <v/>
      </c>
      <c r="DE127" s="204" t="str">
        <f>IFERROR(AVERAGEIF(RD[[#This Row],[IS1Rain1 (mm)]:[IS7Rain2 (mm)]],"&lt;&gt;0",RD[[#This Row],[IS1Rain1 (mm)]:[IS7Rain2 (mm)]]),"")</f>
        <v/>
      </c>
      <c r="DF127" s="204" t="str">
        <f>IFERROR(AVERAGEIF(RD[[#This Row],[WS_Solar1_Avg (m/s)]:[IS7_WS_Solar1_Avg (m/s)]],"&lt;&gt;0",RD[[#This Row],[WS_Solar1_Avg (m/s)]:[IS7_WS_Solar1_Avg (m/s)]]),"")</f>
        <v/>
      </c>
      <c r="DG127" s="204" t="str">
        <f>IFERROR(AVERAGEIF(RD[[#This Row],[WS_Solar1_Max (m/s)]:[IS7_WS_Solar1_Max (m/s)]],"&lt;&gt;0",RD[[#This Row],[WS_Solar1_Max (m/s)]:[IS7_WS_Solar1_Max (m/s)]]),"")</f>
        <v/>
      </c>
      <c r="DH127" s="204">
        <f>SUM(RD[[#This Row],[IS1Inv1M1]:[IS4Inv4M2]])</f>
        <v>0</v>
      </c>
      <c r="DI127" s="205">
        <f>SUM(RD[[#This Row],[IS7Inv1M1]]+RD[[#This Row],[IS7Inv2M1]])</f>
        <v>0</v>
      </c>
      <c r="DJ127" s="204">
        <f>SUM(RD[[#This Row],[IS5Inv1M1]:[IS5Inv2M2]])</f>
        <v>0</v>
      </c>
      <c r="DK127" s="204">
        <f>SUM(RD[[#This Row],[IS8Inv1M1]:[IS9Inv2M2]])</f>
        <v>0</v>
      </c>
      <c r="DL127" s="60">
        <f>SUM(RD[[#This Row],[IS6Inv1M1]:[IS6Inv2M2]])</f>
        <v>0</v>
      </c>
      <c r="DM127" s="288">
        <f>SUM(RD[[#This Row],[IS10Inv1M1]:[IS11Inv1M4]],RD[[#This Row],[IS14Inv1M1]:[IS14Inv2M4]])</f>
        <v>0</v>
      </c>
      <c r="DN127" s="288">
        <f>SUM(RD[[#This Row],[IS12Inv1M1]:[IS12Inv1M4]])</f>
        <v>0</v>
      </c>
      <c r="DO127" s="288">
        <f>SUM(RD[[#This Row],[IS13Inv1M1]:[IS13Inv2M2]])</f>
        <v>0</v>
      </c>
      <c r="DP127" s="204">
        <f>SUM(RD[[#This Row],[O2R15]:[O2R26]])</f>
        <v>0</v>
      </c>
      <c r="DQ127" s="328"/>
      <c r="DR127" s="134"/>
      <c r="DS127" s="329"/>
      <c r="DT127" s="328"/>
      <c r="DU127" s="134"/>
      <c r="DV127" s="134"/>
      <c r="DW127" s="328"/>
      <c r="DX127" s="134"/>
      <c r="DY127" s="134"/>
      <c r="DZ127" s="134"/>
      <c r="EA127" s="134"/>
      <c r="EB127" s="328"/>
      <c r="EC127" s="328"/>
      <c r="ED127" s="328"/>
      <c r="EE127" s="328"/>
      <c r="EF127" s="328"/>
      <c r="EG127" s="242"/>
      <c r="EH127" s="146">
        <f>IF((RD[[#This Row],[33 kV_F3_Ex
Incomer1]]-DQ126)*1000&lt;0,0,(RD[[#This Row],[33 kV_F3_Ex
Incomer1]]-DQ126)*1000)</f>
        <v>0</v>
      </c>
      <c r="EI127" s="330"/>
      <c r="EJ127" s="146"/>
      <c r="EK127" s="146"/>
      <c r="EL127" s="146"/>
      <c r="EM127" s="146"/>
      <c r="EN127" s="146"/>
      <c r="EO127" s="146"/>
      <c r="EP127" s="146">
        <f>IF((RD[[#This Row],[33 kV_F7_Ex
Incomer5]]-DY126)*1000&lt;0,0,(RD[[#This Row],[33 kV_F7_Ex
Incomer5]]-DY126)*1000)</f>
        <v>0</v>
      </c>
      <c r="EQ127" s="146">
        <f>IF((RD[[#This Row],[33 kV_F7_Im
Incomer5]]-DZ126)*1000&lt;0,0,(RD[[#This Row],[33 kV_F7_Im
Incomer5]]-DZ126)*1000)</f>
        <v>0</v>
      </c>
      <c r="ER127" s="146"/>
      <c r="ES127" s="331">
        <f>IF((RD[[#This Row],[33kV_OG1_Ex_]]-EB126)*1000&lt;=0,0,(RD[[#This Row],[33kV_OG1_Ex_]]-EB126)*1000)</f>
        <v>0</v>
      </c>
      <c r="ET127" s="330">
        <f>IFERROR(IF((RD[[#This Row],[33kV_OG1_Im]]-EC126)*1000&lt;=0,0,(RD[[#This Row],[33kV_OG1_Im]]-EC126)*1000),0)</f>
        <v>0</v>
      </c>
      <c r="EU127" s="330">
        <f>(RD[[#This Row],[132kV_TX1_EX]]-EE124)</f>
        <v>0</v>
      </c>
      <c r="EV127" s="330">
        <f>IF((RD[[#This Row],[132 kV_Tx1_Im]]-EE126)*800000&lt;=0,0,(RD[[#This Row],[132 kV_Tx1_Im]]-EE126)*800000)</f>
        <v>0</v>
      </c>
      <c r="EW127" s="330">
        <f>IF((RD[[#This Row],[132kV_L1_Ex]]-EF126)*1600000&lt;=0,0,(RD[[#This Row],[132kV_L1_Ex]]-EF126)*1600000)</f>
        <v>0</v>
      </c>
      <c r="EX127" s="330" t="str">
        <f>IF((RD[[#This Row],[132kV_L1_Im]]-EG126)*1600000&lt;=0,"",(RD[[#This Row],[132kV_L1_Im]]-EG126)*1600000)</f>
        <v/>
      </c>
      <c r="EY127" s="330">
        <f>IFERROR(RD[[#This Row],[33kV_OG1_Ex (MWh)]]+RD[[#This Row],[33kV_OG1_Im (MWh)]],"")</f>
        <v>0</v>
      </c>
      <c r="EZ127" s="148">
        <f>RD[[#This Row],[33kV_OG1_Ex (MWh)]]-RD[[#This Row],[33kV_OG1_Im (MWh)]]</f>
        <v>0</v>
      </c>
      <c r="FA127" s="148" t="str">
        <f>IFERROR(RD[[#This Row],[132kV_L1_Ex(MWh)]]-RD[[#This Row],[132kV_L1_Im(MWh)]],"")</f>
        <v/>
      </c>
      <c r="FB127" s="332" t="str">
        <f>IFERROR(RD[[#This Row],[33kV_Ex(MWh)]]/RD[[#This Row],[Inv Total Gneration (MWh)]]-1,"")</f>
        <v/>
      </c>
      <c r="FC127" s="333">
        <f>IFERROR((RD[[#This Row],[Sunset Time (POA&lt;20 W/m2)]]-RD[[#This Row],[Sunrise Time (POA&gt;20 W/m2)]])*24,0)</f>
        <v>0</v>
      </c>
      <c r="FD127" s="334"/>
      <c r="FE127"/>
      <c r="FG127" s="144" t="str">
        <f>IFERROR(RD[[#This Row],[E_AC (WPR)]]/RD[[#This Row],[E_DC (WPR)]],"")</f>
        <v/>
      </c>
    </row>
    <row r="128" spans="1:163">
      <c r="A128" s="133">
        <f t="shared" si="167"/>
        <v>45868</v>
      </c>
      <c r="B128" s="138">
        <f>YEAR(RD[[#This Row],[Date]])+IF(MONTH(RD[[#This Row],[Date]])&gt;=4,1,0)</f>
        <v>2026</v>
      </c>
      <c r="C128" s="138">
        <f>YEAR(RD[[#This Row],[Date]])</f>
        <v>2025</v>
      </c>
      <c r="D128" s="139">
        <f t="shared" si="170"/>
        <v>45839</v>
      </c>
      <c r="E128" s="138">
        <f>DAY(EOMONTH(RD[[#This Row],[Date]],0))</f>
        <v>31</v>
      </c>
      <c r="F128" s="335"/>
      <c r="G128" s="336"/>
      <c r="H128" s="335"/>
      <c r="I128" s="337"/>
      <c r="J128" s="335"/>
      <c r="K128" s="335"/>
      <c r="L128" s="335"/>
      <c r="M128" s="335"/>
      <c r="N128" s="335"/>
      <c r="O128" s="335"/>
      <c r="P128" s="335"/>
      <c r="Q128" s="335"/>
      <c r="R128" s="335"/>
      <c r="S128" s="337"/>
      <c r="T128" s="335"/>
      <c r="U128" s="335"/>
      <c r="V128" s="335"/>
      <c r="W128" s="335"/>
      <c r="X128" s="296"/>
      <c r="Y128" s="203"/>
      <c r="Z128" s="203"/>
      <c r="AA128" s="203"/>
      <c r="AB128" s="296"/>
      <c r="AC128" s="203"/>
      <c r="AD128" s="203"/>
      <c r="AE128" s="203"/>
      <c r="AF128" s="296"/>
      <c r="AG128" s="203"/>
      <c r="AH128" s="203"/>
      <c r="AI128" s="296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203"/>
      <c r="BW128" s="203"/>
      <c r="BX128" s="203"/>
      <c r="BY128" s="203"/>
      <c r="BZ128" s="142"/>
      <c r="CA128" s="142"/>
      <c r="CB128" s="142"/>
      <c r="CC128" s="142"/>
      <c r="CD128" s="297"/>
      <c r="CE128" s="59"/>
      <c r="CF128" s="297"/>
      <c r="CG128" s="206"/>
      <c r="CH128" s="297"/>
      <c r="CI128" s="206"/>
      <c r="CJ128" s="298"/>
      <c r="CK128" s="59"/>
      <c r="CL128" s="297"/>
      <c r="CM128" s="206"/>
      <c r="CN128" s="297"/>
      <c r="CO128" s="206"/>
      <c r="CP128" s="297"/>
      <c r="CQ128" s="206"/>
      <c r="CR128" s="297"/>
      <c r="CS128" s="59"/>
      <c r="CT128" s="297"/>
      <c r="CU128" s="206"/>
      <c r="CV128" s="297"/>
      <c r="CW128" s="260"/>
      <c r="CX128" s="204" t="str">
        <f>IFERROR(AVERAGEIF(RD[[#This Row],[IS1POA1 (KWh/m2)]:[IS7POA2 (KWh/m2)]],"&lt;&gt;0",RD[[#This Row],[IS1POA1 (KWh/m2)]:[IS7POA2 (KWh/m2)]]),"")</f>
        <v/>
      </c>
      <c r="CY128" s="204" t="str">
        <f>IFERROR(AVERAGEIF(RD[[#This Row],[IS1GHI1 (KWh/m2)]:[IS7GHI2 (KWh/m2)]],"&lt;&gt;0",RD[[#This Row],[IS1GHI1 (KWh/m2)]:[IS7GHI2 (KWh/m2)]]),"")</f>
        <v/>
      </c>
      <c r="CZ128" s="204" t="str">
        <f>IFERROR(AVERAGEIF(RD[[#This Row],[IS1POA_BS1 (KWh/m2)]:[IS7POA_BS2 (KWh/m2)]],"&lt;&gt;0",RD[[#This Row],[IS1POA_BS1 (KWh/m2)]:[IS7POA_BS2 (KWh/m2)]]),"")</f>
        <v/>
      </c>
      <c r="DA128" s="204" t="str">
        <f>IFERROR(AVERAGEIF(RD[[#This Row],[IS1GHI_BS1 (KWh/m2)]:[IS1GHI_BS1 (KWh/m2)2]],"&lt;&gt;0",RD[[#This Row],[IS1GHI_BS1 (KWh/m2)]:[IS1GHI_BS1 (KWh/m2)2]]),"")</f>
        <v/>
      </c>
      <c r="DB128" s="204" t="str">
        <f>IFERROR(AVERAGEIF(RD[[#This Row],[IS1AT1 (°C)]:[IS7AT2 (°C)]],"&lt;&gt;0",RD[[#This Row],[IS1AT1 (°C)]:[IS7AT2 (°C)]]),"")</f>
        <v/>
      </c>
      <c r="DC128" s="204" t="str">
        <f>IFERROR(AVERAGEIF(RD[[#This Row],[IS1MT1 (°C)]:[IS7MT2 (°C)]],"&lt;&gt;0",RD[[#This Row],[IS1MT1 (°C)]:[IS7MT2 (°C)]]),"")</f>
        <v/>
      </c>
      <c r="DD128" s="204" t="str">
        <f>IFERROR(AVERAGEIF(RD[[#This Row],[IS1RH1 (%)]:[IS7RH2 (%)]],"&lt;&gt;0",RD[[#This Row],[IS1RH1 (%)]:[IS7RH2 (%)]]),"")</f>
        <v/>
      </c>
      <c r="DE128" s="204" t="str">
        <f>IFERROR(AVERAGEIF(RD[[#This Row],[IS1Rain1 (mm)]:[IS7Rain2 (mm)]],"&lt;&gt;0",RD[[#This Row],[IS1Rain1 (mm)]:[IS7Rain2 (mm)]]),"")</f>
        <v/>
      </c>
      <c r="DF128" s="204" t="str">
        <f>IFERROR(AVERAGEIF(RD[[#This Row],[WS_Solar1_Avg (m/s)]:[IS7_WS_Solar1_Avg (m/s)]],"&lt;&gt;0",RD[[#This Row],[WS_Solar1_Avg (m/s)]:[IS7_WS_Solar1_Avg (m/s)]]),"")</f>
        <v/>
      </c>
      <c r="DG128" s="204" t="str">
        <f>IFERROR(AVERAGEIF(RD[[#This Row],[WS_Solar1_Max (m/s)]:[IS7_WS_Solar1_Max (m/s)]],"&lt;&gt;0",RD[[#This Row],[WS_Solar1_Max (m/s)]:[IS7_WS_Solar1_Max (m/s)]]),"")</f>
        <v/>
      </c>
      <c r="DH128" s="204">
        <f>SUM(RD[[#This Row],[IS1Inv1M1]:[IS4Inv4M2]])</f>
        <v>0</v>
      </c>
      <c r="DI128" s="205">
        <f>SUM(RD[[#This Row],[IS7Inv1M1]]+RD[[#This Row],[IS7Inv2M1]])</f>
        <v>0</v>
      </c>
      <c r="DJ128" s="204">
        <f>SUM(RD[[#This Row],[IS5Inv1M1]:[IS5Inv2M2]])</f>
        <v>0</v>
      </c>
      <c r="DK128" s="204">
        <f>SUM(RD[[#This Row],[IS8Inv1M1]:[IS9Inv2M2]])</f>
        <v>0</v>
      </c>
      <c r="DL128" s="60">
        <f>SUM(RD[[#This Row],[IS6Inv1M1]:[IS6Inv2M2]])</f>
        <v>0</v>
      </c>
      <c r="DM128" s="288">
        <f>SUM(RD[[#This Row],[IS10Inv1M1]:[IS11Inv1M4]],RD[[#This Row],[IS14Inv1M1]:[IS14Inv2M4]])</f>
        <v>0</v>
      </c>
      <c r="DN128" s="288">
        <f>SUM(RD[[#This Row],[IS12Inv1M1]:[IS12Inv1M4]])</f>
        <v>0</v>
      </c>
      <c r="DO128" s="288">
        <f>SUM(RD[[#This Row],[IS13Inv1M1]:[IS13Inv2M2]])</f>
        <v>0</v>
      </c>
      <c r="DP128" s="204">
        <f>SUM(RD[[#This Row],[O2R15]:[O2R26]])</f>
        <v>0</v>
      </c>
      <c r="DQ128" s="328"/>
      <c r="DR128" s="134"/>
      <c r="DS128" s="329"/>
      <c r="DT128" s="328"/>
      <c r="DU128" s="134"/>
      <c r="DV128" s="134"/>
      <c r="DW128" s="328"/>
      <c r="DX128" s="134"/>
      <c r="DY128" s="134"/>
      <c r="DZ128" s="134"/>
      <c r="EA128" s="134"/>
      <c r="EB128" s="328"/>
      <c r="EC128" s="328"/>
      <c r="ED128" s="328"/>
      <c r="EE128" s="328"/>
      <c r="EF128" s="328"/>
      <c r="EG128" s="242"/>
      <c r="EH128" s="146">
        <f>IF((RD[[#This Row],[33 kV_F3_Ex
Incomer1]]-DQ127)*1000&lt;0,0,(RD[[#This Row],[33 kV_F3_Ex
Incomer1]]-DQ127)*1000)</f>
        <v>0</v>
      </c>
      <c r="EI128" s="330"/>
      <c r="EJ128" s="146"/>
      <c r="EK128" s="146"/>
      <c r="EL128" s="146"/>
      <c r="EM128" s="146"/>
      <c r="EN128" s="146"/>
      <c r="EO128" s="146"/>
      <c r="EP128" s="146">
        <f>IF((RD[[#This Row],[33 kV_F7_Ex
Incomer5]]-DY127)*1000&lt;0,0,(RD[[#This Row],[33 kV_F7_Ex
Incomer5]]-DY127)*1000)</f>
        <v>0</v>
      </c>
      <c r="EQ128" s="146">
        <f>IF((RD[[#This Row],[33 kV_F7_Im
Incomer5]]-DZ127)*1000&lt;0,0,(RD[[#This Row],[33 kV_F7_Im
Incomer5]]-DZ127)*1000)</f>
        <v>0</v>
      </c>
      <c r="ER128" s="146"/>
      <c r="ES128" s="331">
        <f>IF((RD[[#This Row],[33kV_OG1_Ex_]]-EB127)*1000&lt;=0,0,(RD[[#This Row],[33kV_OG1_Ex_]]-EB127)*1000)</f>
        <v>0</v>
      </c>
      <c r="ET128" s="330">
        <f>IFERROR(IF((RD[[#This Row],[33kV_OG1_Im]]-EC127)*1000&lt;=0,0,(RD[[#This Row],[33kV_OG1_Im]]-EC127)*1000),0)</f>
        <v>0</v>
      </c>
      <c r="EU128" s="330">
        <f>(RD[[#This Row],[132kV_TX1_EX]]-EE125)</f>
        <v>0</v>
      </c>
      <c r="EV128" s="330">
        <f>IF((RD[[#This Row],[132 kV_Tx1_Im]]-EE127)*800000&lt;=0,0,(RD[[#This Row],[132 kV_Tx1_Im]]-EE127)*800000)</f>
        <v>0</v>
      </c>
      <c r="EW128" s="330">
        <f>IF((RD[[#This Row],[132kV_L1_Ex]]-EF127)*1600000&lt;=0,0,(RD[[#This Row],[132kV_L1_Ex]]-EF127)*1600000)</f>
        <v>0</v>
      </c>
      <c r="EX128" s="330" t="str">
        <f>IF((RD[[#This Row],[132kV_L1_Im]]-EG127)*1600000&lt;=0,"",(RD[[#This Row],[132kV_L1_Im]]-EG127)*1600000)</f>
        <v/>
      </c>
      <c r="EY128" s="330">
        <f>IFERROR(RD[[#This Row],[33kV_OG1_Ex (MWh)]]+RD[[#This Row],[33kV_OG1_Im (MWh)]],"")</f>
        <v>0</v>
      </c>
      <c r="EZ128" s="148">
        <f>RD[[#This Row],[33kV_OG1_Ex (MWh)]]-RD[[#This Row],[33kV_OG1_Im (MWh)]]</f>
        <v>0</v>
      </c>
      <c r="FA128" s="148" t="str">
        <f>IFERROR(RD[[#This Row],[132kV_L1_Ex(MWh)]]-RD[[#This Row],[132kV_L1_Im(MWh)]],"")</f>
        <v/>
      </c>
      <c r="FB128" s="332" t="str">
        <f>IFERROR(RD[[#This Row],[33kV_Ex(MWh)]]/RD[[#This Row],[Inv Total Gneration (MWh)]]-1,"")</f>
        <v/>
      </c>
      <c r="FC128" s="333">
        <f>IFERROR((RD[[#This Row],[Sunset Time (POA&lt;20 W/m2)]]-RD[[#This Row],[Sunrise Time (POA&gt;20 W/m2)]])*24,0)</f>
        <v>0</v>
      </c>
      <c r="FD128" s="334"/>
      <c r="FE128"/>
      <c r="FG128" s="144" t="str">
        <f>IFERROR(RD[[#This Row],[E_AC (WPR)]]/RD[[#This Row],[E_DC (WPR)]],"")</f>
        <v/>
      </c>
    </row>
    <row r="129" spans="1:163">
      <c r="A129" s="133">
        <f t="shared" si="167"/>
        <v>45869</v>
      </c>
      <c r="B129" s="138">
        <f>YEAR(RD[[#This Row],[Date]])+IF(MONTH(RD[[#This Row],[Date]])&gt;=4,1,0)</f>
        <v>2026</v>
      </c>
      <c r="C129" s="138">
        <f>YEAR(RD[[#This Row],[Date]])</f>
        <v>2025</v>
      </c>
      <c r="D129" s="139">
        <f t="shared" si="170"/>
        <v>45839</v>
      </c>
      <c r="E129" s="138">
        <f>DAY(EOMONTH(RD[[#This Row],[Date]],0))</f>
        <v>31</v>
      </c>
      <c r="F129" s="335"/>
      <c r="G129" s="336"/>
      <c r="H129" s="335"/>
      <c r="I129" s="337"/>
      <c r="J129" s="335"/>
      <c r="K129" s="335"/>
      <c r="L129" s="335"/>
      <c r="M129" s="335"/>
      <c r="N129" s="335"/>
      <c r="O129" s="335"/>
      <c r="P129" s="335"/>
      <c r="Q129" s="335"/>
      <c r="R129" s="335"/>
      <c r="S129" s="337"/>
      <c r="T129" s="335"/>
      <c r="U129" s="335"/>
      <c r="V129" s="335"/>
      <c r="W129" s="335"/>
      <c r="X129" s="296"/>
      <c r="Y129" s="203"/>
      <c r="Z129" s="203"/>
      <c r="AA129" s="203"/>
      <c r="AB129" s="296"/>
      <c r="AC129" s="203"/>
      <c r="AD129" s="203"/>
      <c r="AE129" s="203"/>
      <c r="AF129" s="296"/>
      <c r="AG129" s="203"/>
      <c r="AH129" s="203"/>
      <c r="AI129" s="296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203"/>
      <c r="BW129" s="203"/>
      <c r="BX129" s="203"/>
      <c r="BY129" s="203"/>
      <c r="BZ129" s="142"/>
      <c r="CA129" s="142"/>
      <c r="CB129" s="142"/>
      <c r="CC129" s="142"/>
      <c r="CD129" s="297"/>
      <c r="CE129" s="59"/>
      <c r="CF129" s="297"/>
      <c r="CG129" s="206"/>
      <c r="CH129" s="297"/>
      <c r="CI129" s="206"/>
      <c r="CJ129" s="298"/>
      <c r="CK129" s="59"/>
      <c r="CL129" s="297"/>
      <c r="CM129" s="206"/>
      <c r="CN129" s="297"/>
      <c r="CO129" s="206"/>
      <c r="CP129" s="297"/>
      <c r="CQ129" s="206"/>
      <c r="CR129" s="297"/>
      <c r="CS129" s="59"/>
      <c r="CT129" s="297"/>
      <c r="CU129" s="206"/>
      <c r="CV129" s="297"/>
      <c r="CW129" s="260"/>
      <c r="CX129" s="204" t="str">
        <f>IFERROR(AVERAGEIF(RD[[#This Row],[IS1POA1 (KWh/m2)]:[IS7POA2 (KWh/m2)]],"&lt;&gt;0",RD[[#This Row],[IS1POA1 (KWh/m2)]:[IS7POA2 (KWh/m2)]]),"")</f>
        <v/>
      </c>
      <c r="CY129" s="204" t="str">
        <f>IFERROR(AVERAGEIF(RD[[#This Row],[IS1GHI1 (KWh/m2)]:[IS7GHI2 (KWh/m2)]],"&lt;&gt;0",RD[[#This Row],[IS1GHI1 (KWh/m2)]:[IS7GHI2 (KWh/m2)]]),"")</f>
        <v/>
      </c>
      <c r="CZ129" s="204" t="str">
        <f>IFERROR(AVERAGEIF(RD[[#This Row],[IS1POA_BS1 (KWh/m2)]:[IS7POA_BS2 (KWh/m2)]],"&lt;&gt;0",RD[[#This Row],[IS1POA_BS1 (KWh/m2)]:[IS7POA_BS2 (KWh/m2)]]),"")</f>
        <v/>
      </c>
      <c r="DA129" s="204" t="str">
        <f>IFERROR(AVERAGEIF(RD[[#This Row],[IS1GHI_BS1 (KWh/m2)]:[IS1GHI_BS1 (KWh/m2)2]],"&lt;&gt;0",RD[[#This Row],[IS1GHI_BS1 (KWh/m2)]:[IS1GHI_BS1 (KWh/m2)2]]),"")</f>
        <v/>
      </c>
      <c r="DB129" s="204" t="str">
        <f>IFERROR(AVERAGEIF(RD[[#This Row],[IS1AT1 (°C)]:[IS7AT2 (°C)]],"&lt;&gt;0",RD[[#This Row],[IS1AT1 (°C)]:[IS7AT2 (°C)]]),"")</f>
        <v/>
      </c>
      <c r="DC129" s="204" t="str">
        <f>IFERROR(AVERAGEIF(RD[[#This Row],[IS1MT1 (°C)]:[IS7MT2 (°C)]],"&lt;&gt;0",RD[[#This Row],[IS1MT1 (°C)]:[IS7MT2 (°C)]]),"")</f>
        <v/>
      </c>
      <c r="DD129" s="204" t="str">
        <f>IFERROR(AVERAGEIF(RD[[#This Row],[IS1RH1 (%)]:[IS7RH2 (%)]],"&lt;&gt;0",RD[[#This Row],[IS1RH1 (%)]:[IS7RH2 (%)]]),"")</f>
        <v/>
      </c>
      <c r="DE129" s="204" t="str">
        <f>IFERROR(AVERAGEIF(RD[[#This Row],[IS1Rain1 (mm)]:[IS7Rain2 (mm)]],"&lt;&gt;0",RD[[#This Row],[IS1Rain1 (mm)]:[IS7Rain2 (mm)]]),"")</f>
        <v/>
      </c>
      <c r="DF129" s="204" t="str">
        <f>IFERROR(AVERAGEIF(RD[[#This Row],[WS_Solar1_Avg (m/s)]:[IS7_WS_Solar1_Avg (m/s)]],"&lt;&gt;0",RD[[#This Row],[WS_Solar1_Avg (m/s)]:[IS7_WS_Solar1_Avg (m/s)]]),"")</f>
        <v/>
      </c>
      <c r="DG129" s="204" t="str">
        <f>IFERROR(AVERAGEIF(RD[[#This Row],[WS_Solar1_Max (m/s)]:[IS7_WS_Solar1_Max (m/s)]],"&lt;&gt;0",RD[[#This Row],[WS_Solar1_Max (m/s)]:[IS7_WS_Solar1_Max (m/s)]]),"")</f>
        <v/>
      </c>
      <c r="DH129" s="204">
        <f>SUM(RD[[#This Row],[IS1Inv1M1]:[IS4Inv4M2]])</f>
        <v>0</v>
      </c>
      <c r="DI129" s="205">
        <f>SUM(RD[[#This Row],[IS7Inv1M1]]+RD[[#This Row],[IS7Inv2M1]])</f>
        <v>0</v>
      </c>
      <c r="DJ129" s="204">
        <f>SUM(RD[[#This Row],[IS5Inv1M1]:[IS5Inv2M2]])</f>
        <v>0</v>
      </c>
      <c r="DK129" s="204">
        <f>SUM(RD[[#This Row],[IS8Inv1M1]:[IS9Inv2M2]])</f>
        <v>0</v>
      </c>
      <c r="DL129" s="60">
        <f>SUM(RD[[#This Row],[IS6Inv1M1]:[IS6Inv2M2]])</f>
        <v>0</v>
      </c>
      <c r="DM129" s="288">
        <f>SUM(RD[[#This Row],[IS10Inv1M1]:[IS11Inv1M4]],RD[[#This Row],[IS14Inv1M1]:[IS14Inv2M4]])</f>
        <v>0</v>
      </c>
      <c r="DN129" s="288">
        <f>SUM(RD[[#This Row],[IS12Inv1M1]:[IS12Inv1M4]])</f>
        <v>0</v>
      </c>
      <c r="DO129" s="288">
        <f>SUM(RD[[#This Row],[IS13Inv1M1]:[IS13Inv2M2]])</f>
        <v>0</v>
      </c>
      <c r="DP129" s="204">
        <f>SUM(RD[[#This Row],[O2R15]:[O2R26]])</f>
        <v>0</v>
      </c>
      <c r="DQ129" s="328"/>
      <c r="DR129" s="134"/>
      <c r="DS129" s="329"/>
      <c r="DT129" s="328"/>
      <c r="DU129" s="134"/>
      <c r="DV129" s="134"/>
      <c r="DW129" s="328"/>
      <c r="DX129" s="134"/>
      <c r="DY129" s="134"/>
      <c r="DZ129" s="134"/>
      <c r="EA129" s="134"/>
      <c r="EB129" s="328"/>
      <c r="EC129" s="328"/>
      <c r="ED129" s="328"/>
      <c r="EE129" s="328"/>
      <c r="EF129" s="328"/>
      <c r="EG129" s="242"/>
      <c r="EH129" s="146">
        <f>IF((RD[[#This Row],[33 kV_F3_Ex
Incomer1]]-DQ128)*1000&lt;0,0,(RD[[#This Row],[33 kV_F3_Ex
Incomer1]]-DQ128)*1000)</f>
        <v>0</v>
      </c>
      <c r="EI129" s="330"/>
      <c r="EJ129" s="146"/>
      <c r="EK129" s="146"/>
      <c r="EL129" s="146"/>
      <c r="EM129" s="146"/>
      <c r="EN129" s="146"/>
      <c r="EO129" s="146"/>
      <c r="EP129" s="146">
        <f>IF((RD[[#This Row],[33 kV_F7_Ex
Incomer5]]-DY128)*1000&lt;0,0,(RD[[#This Row],[33 kV_F7_Ex
Incomer5]]-DY128)*1000)</f>
        <v>0</v>
      </c>
      <c r="EQ129" s="146">
        <f>IF((RD[[#This Row],[33 kV_F7_Im
Incomer5]]-DZ128)*1000&lt;0,0,(RD[[#This Row],[33 kV_F7_Im
Incomer5]]-DZ128)*1000)</f>
        <v>0</v>
      </c>
      <c r="ER129" s="146"/>
      <c r="ES129" s="331">
        <f>IF((RD[[#This Row],[33kV_OG1_Ex_]]-EB128)*1000&lt;=0,0,(RD[[#This Row],[33kV_OG1_Ex_]]-EB128)*1000)</f>
        <v>0</v>
      </c>
      <c r="ET129" s="330">
        <f>IFERROR(IF((RD[[#This Row],[33kV_OG1_Im]]-EC128)*1000&lt;=0,0,(RD[[#This Row],[33kV_OG1_Im]]-EC128)*1000),0)</f>
        <v>0</v>
      </c>
      <c r="EU129" s="330">
        <f>(RD[[#This Row],[132kV_TX1_EX]]-EE126)</f>
        <v>0</v>
      </c>
      <c r="EV129" s="330">
        <f>IF((RD[[#This Row],[132 kV_Tx1_Im]]-EE128)*800000&lt;=0,0,(RD[[#This Row],[132 kV_Tx1_Im]]-EE128)*800000)</f>
        <v>0</v>
      </c>
      <c r="EW129" s="330">
        <f>IF((RD[[#This Row],[132kV_L1_Ex]]-EF128)*1600000&lt;=0,0,(RD[[#This Row],[132kV_L1_Ex]]-EF128)*1600000)</f>
        <v>0</v>
      </c>
      <c r="EX129" s="330" t="str">
        <f>IF((RD[[#This Row],[132kV_L1_Im]]-EG128)*1600000&lt;=0,"",(RD[[#This Row],[132kV_L1_Im]]-EG128)*1600000)</f>
        <v/>
      </c>
      <c r="EY129" s="330">
        <f>IFERROR(RD[[#This Row],[33kV_OG1_Ex (MWh)]]+RD[[#This Row],[33kV_OG1_Im (MWh)]],"")</f>
        <v>0</v>
      </c>
      <c r="EZ129" s="148">
        <f>RD[[#This Row],[33kV_OG1_Ex (MWh)]]-RD[[#This Row],[33kV_OG1_Im (MWh)]]</f>
        <v>0</v>
      </c>
      <c r="FA129" s="148" t="str">
        <f>IFERROR(RD[[#This Row],[132kV_L1_Ex(MWh)]]-RD[[#This Row],[132kV_L1_Im(MWh)]],"")</f>
        <v/>
      </c>
      <c r="FB129" s="332" t="str">
        <f>IFERROR(RD[[#This Row],[33kV_Ex(MWh)]]/RD[[#This Row],[Inv Total Gneration (MWh)]]-1,"")</f>
        <v/>
      </c>
      <c r="FC129" s="333">
        <f>IFERROR((RD[[#This Row],[Sunset Time (POA&lt;20 W/m2)]]-RD[[#This Row],[Sunrise Time (POA&gt;20 W/m2)]])*24,0)</f>
        <v>0</v>
      </c>
      <c r="FD129" s="334"/>
      <c r="FE129"/>
      <c r="FG129" s="144" t="str">
        <f>IFERROR(RD[[#This Row],[E_AC (WPR)]]/RD[[#This Row],[E_DC (WPR)]],"")</f>
        <v/>
      </c>
    </row>
    <row r="130" spans="1:163">
      <c r="A130" s="133">
        <f t="shared" si="167"/>
        <v>45870</v>
      </c>
      <c r="B130" s="138">
        <f>YEAR(RD[[#This Row],[Date]])+IF(MONTH(RD[[#This Row],[Date]])&gt;=4,1,0)</f>
        <v>2026</v>
      </c>
      <c r="C130" s="138">
        <f>YEAR(RD[[#This Row],[Date]])</f>
        <v>2025</v>
      </c>
      <c r="D130" s="139">
        <f t="shared" si="170"/>
        <v>45870</v>
      </c>
      <c r="E130" s="138">
        <f>DAY(EOMONTH(RD[[#This Row],[Date]],0))</f>
        <v>31</v>
      </c>
      <c r="F130" s="335"/>
      <c r="G130" s="336"/>
      <c r="H130" s="335"/>
      <c r="I130" s="337"/>
      <c r="J130" s="335"/>
      <c r="K130" s="335"/>
      <c r="L130" s="335"/>
      <c r="M130" s="335"/>
      <c r="N130" s="335"/>
      <c r="O130" s="335"/>
      <c r="P130" s="335"/>
      <c r="Q130" s="335"/>
      <c r="R130" s="335"/>
      <c r="S130" s="337"/>
      <c r="T130" s="335"/>
      <c r="U130" s="335"/>
      <c r="V130" s="335"/>
      <c r="W130" s="335"/>
      <c r="X130" s="296"/>
      <c r="Y130" s="203"/>
      <c r="Z130" s="203"/>
      <c r="AA130" s="203"/>
      <c r="AB130" s="296"/>
      <c r="AC130" s="203"/>
      <c r="AD130" s="203"/>
      <c r="AE130" s="203"/>
      <c r="AF130" s="296"/>
      <c r="AG130" s="203"/>
      <c r="AH130" s="203"/>
      <c r="AI130" s="296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203"/>
      <c r="BW130" s="203"/>
      <c r="BX130" s="203"/>
      <c r="BY130" s="203"/>
      <c r="BZ130" s="142"/>
      <c r="CA130" s="142"/>
      <c r="CB130" s="142"/>
      <c r="CC130" s="142"/>
      <c r="CD130" s="297"/>
      <c r="CE130" s="59"/>
      <c r="CF130" s="297"/>
      <c r="CG130" s="206"/>
      <c r="CH130" s="297"/>
      <c r="CI130" s="206"/>
      <c r="CJ130" s="298"/>
      <c r="CK130" s="59"/>
      <c r="CL130" s="297"/>
      <c r="CM130" s="206"/>
      <c r="CN130" s="297"/>
      <c r="CO130" s="206"/>
      <c r="CP130" s="297"/>
      <c r="CQ130" s="206"/>
      <c r="CR130" s="297"/>
      <c r="CS130" s="59"/>
      <c r="CT130" s="297"/>
      <c r="CU130" s="206"/>
      <c r="CV130" s="297"/>
      <c r="CW130" s="260"/>
      <c r="CX130" s="204" t="str">
        <f>IFERROR(AVERAGEIF(RD[[#This Row],[IS1POA1 (KWh/m2)]:[IS7POA2 (KWh/m2)]],"&lt;&gt;0",RD[[#This Row],[IS1POA1 (KWh/m2)]:[IS7POA2 (KWh/m2)]]),"")</f>
        <v/>
      </c>
      <c r="CY130" s="204" t="str">
        <f>IFERROR(AVERAGEIF(RD[[#This Row],[IS1GHI1 (KWh/m2)]:[IS7GHI2 (KWh/m2)]],"&lt;&gt;0",RD[[#This Row],[IS1GHI1 (KWh/m2)]:[IS7GHI2 (KWh/m2)]]),"")</f>
        <v/>
      </c>
      <c r="CZ130" s="204" t="str">
        <f>IFERROR(AVERAGEIF(RD[[#This Row],[IS1POA_BS1 (KWh/m2)]:[IS7POA_BS2 (KWh/m2)]],"&lt;&gt;0",RD[[#This Row],[IS1POA_BS1 (KWh/m2)]:[IS7POA_BS2 (KWh/m2)]]),"")</f>
        <v/>
      </c>
      <c r="DA130" s="204" t="str">
        <f>IFERROR(AVERAGEIF(RD[[#This Row],[IS1GHI_BS1 (KWh/m2)]:[IS1GHI_BS1 (KWh/m2)2]],"&lt;&gt;0",RD[[#This Row],[IS1GHI_BS1 (KWh/m2)]:[IS1GHI_BS1 (KWh/m2)2]]),"")</f>
        <v/>
      </c>
      <c r="DB130" s="204" t="str">
        <f>IFERROR(AVERAGEIF(RD[[#This Row],[IS1AT1 (°C)]:[IS7AT2 (°C)]],"&lt;&gt;0",RD[[#This Row],[IS1AT1 (°C)]:[IS7AT2 (°C)]]),"")</f>
        <v/>
      </c>
      <c r="DC130" s="204" t="str">
        <f>IFERROR(AVERAGEIF(RD[[#This Row],[IS1MT1 (°C)]:[IS7MT2 (°C)]],"&lt;&gt;0",RD[[#This Row],[IS1MT1 (°C)]:[IS7MT2 (°C)]]),"")</f>
        <v/>
      </c>
      <c r="DD130" s="204" t="str">
        <f>IFERROR(AVERAGEIF(RD[[#This Row],[IS1RH1 (%)]:[IS7RH2 (%)]],"&lt;&gt;0",RD[[#This Row],[IS1RH1 (%)]:[IS7RH2 (%)]]),"")</f>
        <v/>
      </c>
      <c r="DE130" s="204" t="str">
        <f>IFERROR(AVERAGEIF(RD[[#This Row],[IS1Rain1 (mm)]:[IS7Rain2 (mm)]],"&lt;&gt;0",RD[[#This Row],[IS1Rain1 (mm)]:[IS7Rain2 (mm)]]),"")</f>
        <v/>
      </c>
      <c r="DF130" s="204" t="str">
        <f>IFERROR(AVERAGEIF(RD[[#This Row],[WS_Solar1_Avg (m/s)]:[IS7_WS_Solar1_Avg (m/s)]],"&lt;&gt;0",RD[[#This Row],[WS_Solar1_Avg (m/s)]:[IS7_WS_Solar1_Avg (m/s)]]),"")</f>
        <v/>
      </c>
      <c r="DG130" s="204" t="str">
        <f>IFERROR(AVERAGEIF(RD[[#This Row],[WS_Solar1_Max (m/s)]:[IS7_WS_Solar1_Max (m/s)]],"&lt;&gt;0",RD[[#This Row],[WS_Solar1_Max (m/s)]:[IS7_WS_Solar1_Max (m/s)]]),"")</f>
        <v/>
      </c>
      <c r="DH130" s="204">
        <f>SUM(RD[[#This Row],[IS1Inv1M1]:[IS4Inv4M2]])</f>
        <v>0</v>
      </c>
      <c r="DI130" s="205">
        <f>SUM(RD[[#This Row],[IS7Inv1M1]]+RD[[#This Row],[IS7Inv2M1]])</f>
        <v>0</v>
      </c>
      <c r="DJ130" s="204">
        <f>SUM(RD[[#This Row],[IS5Inv1M1]:[IS5Inv2M2]])</f>
        <v>0</v>
      </c>
      <c r="DK130" s="204">
        <f>SUM(RD[[#This Row],[IS8Inv1M1]:[IS9Inv2M2]])</f>
        <v>0</v>
      </c>
      <c r="DL130" s="60">
        <f>SUM(RD[[#This Row],[IS6Inv1M1]:[IS6Inv2M2]])</f>
        <v>0</v>
      </c>
      <c r="DM130" s="288">
        <f>SUM(RD[[#This Row],[IS10Inv1M1]:[IS11Inv1M4]],RD[[#This Row],[IS14Inv1M1]:[IS14Inv2M4]])</f>
        <v>0</v>
      </c>
      <c r="DN130" s="288">
        <f>SUM(RD[[#This Row],[IS12Inv1M1]:[IS12Inv1M4]])</f>
        <v>0</v>
      </c>
      <c r="DO130" s="288">
        <f>SUM(RD[[#This Row],[IS13Inv1M1]:[IS13Inv2M2]])</f>
        <v>0</v>
      </c>
      <c r="DP130" s="204">
        <f>SUM(RD[[#This Row],[O2R15]:[O2R26]])</f>
        <v>0</v>
      </c>
      <c r="DQ130" s="328"/>
      <c r="DR130" s="134"/>
      <c r="DS130" s="329"/>
      <c r="DT130" s="328"/>
      <c r="DU130" s="134"/>
      <c r="DV130" s="134"/>
      <c r="DW130" s="328"/>
      <c r="DX130" s="134"/>
      <c r="DY130" s="134"/>
      <c r="DZ130" s="134"/>
      <c r="EA130" s="134"/>
      <c r="EB130" s="328"/>
      <c r="EC130" s="328"/>
      <c r="ED130" s="328"/>
      <c r="EE130" s="328"/>
      <c r="EF130" s="328"/>
      <c r="EG130" s="242"/>
      <c r="EH130" s="146">
        <f>IF((RD[[#This Row],[33 kV_F3_Ex
Incomer1]]-DQ129)*1000&lt;0,0,(RD[[#This Row],[33 kV_F3_Ex
Incomer1]]-DQ129)*1000)</f>
        <v>0</v>
      </c>
      <c r="EI130" s="330"/>
      <c r="EJ130" s="146"/>
      <c r="EK130" s="146"/>
      <c r="EL130" s="146"/>
      <c r="EM130" s="146"/>
      <c r="EN130" s="146"/>
      <c r="EO130" s="146"/>
      <c r="EP130" s="146">
        <f>IF((RD[[#This Row],[33 kV_F7_Ex
Incomer5]]-DY129)*1000&lt;0,0,(RD[[#This Row],[33 kV_F7_Ex
Incomer5]]-DY129)*1000)</f>
        <v>0</v>
      </c>
      <c r="EQ130" s="146">
        <f>IF((RD[[#This Row],[33 kV_F7_Im
Incomer5]]-DZ129)*1000&lt;0,0,(RD[[#This Row],[33 kV_F7_Im
Incomer5]]-DZ129)*1000)</f>
        <v>0</v>
      </c>
      <c r="ER130" s="146"/>
      <c r="ES130" s="331">
        <f>IF((RD[[#This Row],[33kV_OG1_Ex_]]-EB129)*1000&lt;=0,0,(RD[[#This Row],[33kV_OG1_Ex_]]-EB129)*1000)</f>
        <v>0</v>
      </c>
      <c r="ET130" s="330">
        <f>IFERROR(IF((RD[[#This Row],[33kV_OG1_Im]]-EC129)*1000&lt;=0,0,(RD[[#This Row],[33kV_OG1_Im]]-EC129)*1000),0)</f>
        <v>0</v>
      </c>
      <c r="EU130" s="330">
        <f>(RD[[#This Row],[132kV_TX1_EX]]-EE127)</f>
        <v>0</v>
      </c>
      <c r="EV130" s="330">
        <f>IF((RD[[#This Row],[132 kV_Tx1_Im]]-EE129)*800000&lt;=0,0,(RD[[#This Row],[132 kV_Tx1_Im]]-EE129)*800000)</f>
        <v>0</v>
      </c>
      <c r="EW130" s="330">
        <f>IF((RD[[#This Row],[132kV_L1_Ex]]-EF129)*1600000&lt;=0,0,(RD[[#This Row],[132kV_L1_Ex]]-EF129)*1600000)</f>
        <v>0</v>
      </c>
      <c r="EX130" s="330" t="str">
        <f>IF((RD[[#This Row],[132kV_L1_Im]]-EG129)*1600000&lt;=0,"",(RD[[#This Row],[132kV_L1_Im]]-EG129)*1600000)</f>
        <v/>
      </c>
      <c r="EY130" s="330">
        <f>IFERROR(RD[[#This Row],[33kV_OG1_Ex (MWh)]]+RD[[#This Row],[33kV_OG1_Im (MWh)]],"")</f>
        <v>0</v>
      </c>
      <c r="EZ130" s="148">
        <f>RD[[#This Row],[33kV_OG1_Ex (MWh)]]-RD[[#This Row],[33kV_OG1_Im (MWh)]]</f>
        <v>0</v>
      </c>
      <c r="FA130" s="148" t="str">
        <f>IFERROR(RD[[#This Row],[132kV_L1_Ex(MWh)]]-RD[[#This Row],[132kV_L1_Im(MWh)]],"")</f>
        <v/>
      </c>
      <c r="FB130" s="332" t="str">
        <f>IFERROR(RD[[#This Row],[33kV_Ex(MWh)]]/RD[[#This Row],[Inv Total Gneration (MWh)]]-1,"")</f>
        <v/>
      </c>
      <c r="FC130" s="333">
        <f>IFERROR((RD[[#This Row],[Sunset Time (POA&lt;20 W/m2)]]-RD[[#This Row],[Sunrise Time (POA&gt;20 W/m2)]])*24,0)</f>
        <v>0</v>
      </c>
      <c r="FD130" s="334"/>
      <c r="FE130"/>
      <c r="FG130" s="144" t="str">
        <f>IFERROR(RD[[#This Row],[E_AC (WPR)]]/RD[[#This Row],[E_DC (WPR)]],"")</f>
        <v/>
      </c>
    </row>
    <row r="131" spans="1:163">
      <c r="A131" s="133">
        <f t="shared" si="167"/>
        <v>45871</v>
      </c>
      <c r="B131" s="138">
        <f>YEAR(RD[[#This Row],[Date]])+IF(MONTH(RD[[#This Row],[Date]])&gt;=4,1,0)</f>
        <v>2026</v>
      </c>
      <c r="C131" s="138">
        <f>YEAR(RD[[#This Row],[Date]])</f>
        <v>2025</v>
      </c>
      <c r="D131" s="139">
        <f t="shared" si="170"/>
        <v>45870</v>
      </c>
      <c r="E131" s="138">
        <f>DAY(EOMONTH(RD[[#This Row],[Date]],0))</f>
        <v>31</v>
      </c>
      <c r="F131" s="335"/>
      <c r="G131" s="336"/>
      <c r="H131" s="335"/>
      <c r="I131" s="337"/>
      <c r="J131" s="335"/>
      <c r="K131" s="335"/>
      <c r="L131" s="335"/>
      <c r="M131" s="335"/>
      <c r="N131" s="335"/>
      <c r="O131" s="335"/>
      <c r="P131" s="335"/>
      <c r="Q131" s="335"/>
      <c r="R131" s="335"/>
      <c r="S131" s="337"/>
      <c r="T131" s="335"/>
      <c r="U131" s="335"/>
      <c r="V131" s="335"/>
      <c r="W131" s="335"/>
      <c r="X131" s="296"/>
      <c r="Y131" s="203"/>
      <c r="Z131" s="203"/>
      <c r="AA131" s="203"/>
      <c r="AB131" s="296"/>
      <c r="AC131" s="203"/>
      <c r="AD131" s="203"/>
      <c r="AE131" s="203"/>
      <c r="AF131" s="296"/>
      <c r="AG131" s="203"/>
      <c r="AH131" s="203"/>
      <c r="AI131" s="296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203"/>
      <c r="BW131" s="203"/>
      <c r="BX131" s="203"/>
      <c r="BY131" s="203"/>
      <c r="BZ131" s="142"/>
      <c r="CA131" s="142"/>
      <c r="CB131" s="142"/>
      <c r="CC131" s="142"/>
      <c r="CD131" s="297"/>
      <c r="CE131" s="59"/>
      <c r="CF131" s="297"/>
      <c r="CG131" s="206"/>
      <c r="CH131" s="297"/>
      <c r="CI131" s="206"/>
      <c r="CJ131" s="298"/>
      <c r="CK131" s="59"/>
      <c r="CL131" s="297"/>
      <c r="CM131" s="206"/>
      <c r="CN131" s="297"/>
      <c r="CO131" s="206"/>
      <c r="CP131" s="297"/>
      <c r="CQ131" s="206"/>
      <c r="CR131" s="297"/>
      <c r="CS131" s="59"/>
      <c r="CT131" s="297"/>
      <c r="CU131" s="206"/>
      <c r="CV131" s="297"/>
      <c r="CW131" s="260"/>
      <c r="CX131" s="204" t="str">
        <f>IFERROR(AVERAGEIF(RD[[#This Row],[IS1POA1 (KWh/m2)]:[IS7POA2 (KWh/m2)]],"&lt;&gt;0",RD[[#This Row],[IS1POA1 (KWh/m2)]:[IS7POA2 (KWh/m2)]]),"")</f>
        <v/>
      </c>
      <c r="CY131" s="204" t="str">
        <f>IFERROR(AVERAGEIF(RD[[#This Row],[IS1GHI1 (KWh/m2)]:[IS7GHI2 (KWh/m2)]],"&lt;&gt;0",RD[[#This Row],[IS1GHI1 (KWh/m2)]:[IS7GHI2 (KWh/m2)]]),"")</f>
        <v/>
      </c>
      <c r="CZ131" s="204" t="str">
        <f>IFERROR(AVERAGEIF(RD[[#This Row],[IS1POA_BS1 (KWh/m2)]:[IS7POA_BS2 (KWh/m2)]],"&lt;&gt;0",RD[[#This Row],[IS1POA_BS1 (KWh/m2)]:[IS7POA_BS2 (KWh/m2)]]),"")</f>
        <v/>
      </c>
      <c r="DA131" s="204" t="str">
        <f>IFERROR(AVERAGEIF(RD[[#This Row],[IS1GHI_BS1 (KWh/m2)]:[IS1GHI_BS1 (KWh/m2)2]],"&lt;&gt;0",RD[[#This Row],[IS1GHI_BS1 (KWh/m2)]:[IS1GHI_BS1 (KWh/m2)2]]),"")</f>
        <v/>
      </c>
      <c r="DB131" s="204" t="str">
        <f>IFERROR(AVERAGEIF(RD[[#This Row],[IS1AT1 (°C)]:[IS7AT2 (°C)]],"&lt;&gt;0",RD[[#This Row],[IS1AT1 (°C)]:[IS7AT2 (°C)]]),"")</f>
        <v/>
      </c>
      <c r="DC131" s="204" t="str">
        <f>IFERROR(AVERAGEIF(RD[[#This Row],[IS1MT1 (°C)]:[IS7MT2 (°C)]],"&lt;&gt;0",RD[[#This Row],[IS1MT1 (°C)]:[IS7MT2 (°C)]]),"")</f>
        <v/>
      </c>
      <c r="DD131" s="204" t="str">
        <f>IFERROR(AVERAGEIF(RD[[#This Row],[IS1RH1 (%)]:[IS7RH2 (%)]],"&lt;&gt;0",RD[[#This Row],[IS1RH1 (%)]:[IS7RH2 (%)]]),"")</f>
        <v/>
      </c>
      <c r="DE131" s="204" t="str">
        <f>IFERROR(AVERAGEIF(RD[[#This Row],[IS1Rain1 (mm)]:[IS7Rain2 (mm)]],"&lt;&gt;0",RD[[#This Row],[IS1Rain1 (mm)]:[IS7Rain2 (mm)]]),"")</f>
        <v/>
      </c>
      <c r="DF131" s="204" t="str">
        <f>IFERROR(AVERAGEIF(RD[[#This Row],[WS_Solar1_Avg (m/s)]:[IS7_WS_Solar1_Avg (m/s)]],"&lt;&gt;0",RD[[#This Row],[WS_Solar1_Avg (m/s)]:[IS7_WS_Solar1_Avg (m/s)]]),"")</f>
        <v/>
      </c>
      <c r="DG131" s="204" t="str">
        <f>IFERROR(AVERAGEIF(RD[[#This Row],[WS_Solar1_Max (m/s)]:[IS7_WS_Solar1_Max (m/s)]],"&lt;&gt;0",RD[[#This Row],[WS_Solar1_Max (m/s)]:[IS7_WS_Solar1_Max (m/s)]]),"")</f>
        <v/>
      </c>
      <c r="DH131" s="204">
        <f>SUM(RD[[#This Row],[IS1Inv1M1]:[IS4Inv4M2]])</f>
        <v>0</v>
      </c>
      <c r="DI131" s="205">
        <f>SUM(RD[[#This Row],[IS7Inv1M1]]+RD[[#This Row],[IS7Inv2M1]])</f>
        <v>0</v>
      </c>
      <c r="DJ131" s="204">
        <f>SUM(RD[[#This Row],[IS5Inv1M1]:[IS5Inv2M2]])</f>
        <v>0</v>
      </c>
      <c r="DK131" s="204">
        <f>SUM(RD[[#This Row],[IS8Inv1M1]:[IS9Inv2M2]])</f>
        <v>0</v>
      </c>
      <c r="DL131" s="60">
        <f>SUM(RD[[#This Row],[IS6Inv1M1]:[IS6Inv2M2]])</f>
        <v>0</v>
      </c>
      <c r="DM131" s="288">
        <f>SUM(RD[[#This Row],[IS10Inv1M1]:[IS11Inv1M4]],RD[[#This Row],[IS14Inv1M1]:[IS14Inv2M4]])</f>
        <v>0</v>
      </c>
      <c r="DN131" s="288">
        <f>SUM(RD[[#This Row],[IS12Inv1M1]:[IS12Inv1M4]])</f>
        <v>0</v>
      </c>
      <c r="DO131" s="288">
        <f>SUM(RD[[#This Row],[IS13Inv1M1]:[IS13Inv2M2]])</f>
        <v>0</v>
      </c>
      <c r="DP131" s="204">
        <f>SUM(RD[[#This Row],[O2R15]:[O2R26]])</f>
        <v>0</v>
      </c>
      <c r="DQ131" s="328"/>
      <c r="DR131" s="134"/>
      <c r="DS131" s="329"/>
      <c r="DT131" s="328"/>
      <c r="DU131" s="134"/>
      <c r="DV131" s="134"/>
      <c r="DW131" s="328"/>
      <c r="DX131" s="134"/>
      <c r="DY131" s="134"/>
      <c r="DZ131" s="134"/>
      <c r="EA131" s="134"/>
      <c r="EB131" s="328"/>
      <c r="EC131" s="328"/>
      <c r="ED131" s="328"/>
      <c r="EE131" s="328"/>
      <c r="EF131" s="328"/>
      <c r="EG131" s="242"/>
      <c r="EH131" s="146">
        <f>IF((RD[[#This Row],[33 kV_F3_Ex
Incomer1]]-DQ130)*1000&lt;0,0,(RD[[#This Row],[33 kV_F3_Ex
Incomer1]]-DQ130)*1000)</f>
        <v>0</v>
      </c>
      <c r="EI131" s="330"/>
      <c r="EJ131" s="146"/>
      <c r="EK131" s="146"/>
      <c r="EL131" s="146"/>
      <c r="EM131" s="146"/>
      <c r="EN131" s="146"/>
      <c r="EO131" s="146"/>
      <c r="EP131" s="146">
        <f>IF((RD[[#This Row],[33 kV_F7_Ex
Incomer5]]-DY130)*1000&lt;0,0,(RD[[#This Row],[33 kV_F7_Ex
Incomer5]]-DY130)*1000)</f>
        <v>0</v>
      </c>
      <c r="EQ131" s="146">
        <f>IF((RD[[#This Row],[33 kV_F7_Im
Incomer5]]-DZ130)*1000&lt;0,0,(RD[[#This Row],[33 kV_F7_Im
Incomer5]]-DZ130)*1000)</f>
        <v>0</v>
      </c>
      <c r="ER131" s="146"/>
      <c r="ES131" s="331">
        <f>IF((RD[[#This Row],[33kV_OG1_Ex_]]-EB130)*1000&lt;=0,0,(RD[[#This Row],[33kV_OG1_Ex_]]-EB130)*1000)</f>
        <v>0</v>
      </c>
      <c r="ET131" s="330">
        <f>IFERROR(IF((RD[[#This Row],[33kV_OG1_Im]]-EC130)*1000&lt;=0,0,(RD[[#This Row],[33kV_OG1_Im]]-EC130)*1000),0)</f>
        <v>0</v>
      </c>
      <c r="EU131" s="330">
        <f>(RD[[#This Row],[132kV_TX1_EX]]-EE128)</f>
        <v>0</v>
      </c>
      <c r="EV131" s="330">
        <f>IF((RD[[#This Row],[132 kV_Tx1_Im]]-EE130)*800000&lt;=0,0,(RD[[#This Row],[132 kV_Tx1_Im]]-EE130)*800000)</f>
        <v>0</v>
      </c>
      <c r="EW131" s="330">
        <f>IF((RD[[#This Row],[132kV_L1_Ex]]-EF130)*1600000&lt;=0,0,(RD[[#This Row],[132kV_L1_Ex]]-EF130)*1600000)</f>
        <v>0</v>
      </c>
      <c r="EX131" s="330" t="str">
        <f>IF((RD[[#This Row],[132kV_L1_Im]]-EG130)*1600000&lt;=0,"",(RD[[#This Row],[132kV_L1_Im]]-EG130)*1600000)</f>
        <v/>
      </c>
      <c r="EY131" s="330">
        <f>IFERROR(RD[[#This Row],[33kV_OG1_Ex (MWh)]]+RD[[#This Row],[33kV_OG1_Im (MWh)]],"")</f>
        <v>0</v>
      </c>
      <c r="EZ131" s="148">
        <f>RD[[#This Row],[33kV_OG1_Ex (MWh)]]-RD[[#This Row],[33kV_OG1_Im (MWh)]]</f>
        <v>0</v>
      </c>
      <c r="FA131" s="148" t="str">
        <f>IFERROR(RD[[#This Row],[132kV_L1_Ex(MWh)]]-RD[[#This Row],[132kV_L1_Im(MWh)]],"")</f>
        <v/>
      </c>
      <c r="FB131" s="332" t="str">
        <f>IFERROR(RD[[#This Row],[33kV_Ex(MWh)]]/RD[[#This Row],[Inv Total Gneration (MWh)]]-1,"")</f>
        <v/>
      </c>
      <c r="FC131" s="333">
        <f>IFERROR((RD[[#This Row],[Sunset Time (POA&lt;20 W/m2)]]-RD[[#This Row],[Sunrise Time (POA&gt;20 W/m2)]])*24,0)</f>
        <v>0</v>
      </c>
      <c r="FD131" s="334"/>
      <c r="FE131"/>
      <c r="FG131" s="144" t="str">
        <f>IFERROR(RD[[#This Row],[E_AC (WPR)]]/RD[[#This Row],[E_DC (WPR)]],"")</f>
        <v/>
      </c>
    </row>
    <row r="132" spans="1:163">
      <c r="A132" s="133">
        <f t="shared" si="167"/>
        <v>45872</v>
      </c>
      <c r="B132" s="138">
        <f>YEAR(RD[[#This Row],[Date]])+IF(MONTH(RD[[#This Row],[Date]])&gt;=4,1,0)</f>
        <v>2026</v>
      </c>
      <c r="C132" s="138">
        <f>YEAR(RD[[#This Row],[Date]])</f>
        <v>2025</v>
      </c>
      <c r="D132" s="139">
        <f t="shared" si="170"/>
        <v>45870</v>
      </c>
      <c r="E132" s="138">
        <f>DAY(EOMONTH(RD[[#This Row],[Date]],0))</f>
        <v>31</v>
      </c>
      <c r="F132" s="335"/>
      <c r="G132" s="336"/>
      <c r="H132" s="335"/>
      <c r="I132" s="337"/>
      <c r="J132" s="335"/>
      <c r="K132" s="335"/>
      <c r="L132" s="335"/>
      <c r="M132" s="335"/>
      <c r="N132" s="335"/>
      <c r="O132" s="335"/>
      <c r="P132" s="335"/>
      <c r="Q132" s="335"/>
      <c r="R132" s="335"/>
      <c r="S132" s="337"/>
      <c r="T132" s="335"/>
      <c r="U132" s="335"/>
      <c r="V132" s="335"/>
      <c r="W132" s="335"/>
      <c r="X132" s="296"/>
      <c r="Y132" s="203"/>
      <c r="Z132" s="203"/>
      <c r="AA132" s="203"/>
      <c r="AB132" s="296"/>
      <c r="AC132" s="203"/>
      <c r="AD132" s="203"/>
      <c r="AE132" s="203"/>
      <c r="AF132" s="296"/>
      <c r="AG132" s="203"/>
      <c r="AH132" s="203"/>
      <c r="AI132" s="296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203"/>
      <c r="BW132" s="203"/>
      <c r="BX132" s="203"/>
      <c r="BY132" s="203"/>
      <c r="BZ132" s="142"/>
      <c r="CA132" s="142"/>
      <c r="CB132" s="142"/>
      <c r="CC132" s="142"/>
      <c r="CD132" s="297"/>
      <c r="CE132" s="59"/>
      <c r="CF132" s="297"/>
      <c r="CG132" s="206"/>
      <c r="CH132" s="297"/>
      <c r="CI132" s="206"/>
      <c r="CJ132" s="298"/>
      <c r="CK132" s="59"/>
      <c r="CL132" s="297"/>
      <c r="CM132" s="206"/>
      <c r="CN132" s="297"/>
      <c r="CO132" s="206"/>
      <c r="CP132" s="297"/>
      <c r="CQ132" s="206"/>
      <c r="CR132" s="297"/>
      <c r="CS132" s="59"/>
      <c r="CT132" s="297"/>
      <c r="CU132" s="206"/>
      <c r="CV132" s="297"/>
      <c r="CW132" s="260"/>
      <c r="CX132" s="204" t="str">
        <f>IFERROR(AVERAGEIF(RD[[#This Row],[IS1POA1 (KWh/m2)]:[IS7POA2 (KWh/m2)]],"&lt;&gt;0",RD[[#This Row],[IS1POA1 (KWh/m2)]:[IS7POA2 (KWh/m2)]]),"")</f>
        <v/>
      </c>
      <c r="CY132" s="204" t="str">
        <f>IFERROR(AVERAGEIF(RD[[#This Row],[IS1GHI1 (KWh/m2)]:[IS7GHI2 (KWh/m2)]],"&lt;&gt;0",RD[[#This Row],[IS1GHI1 (KWh/m2)]:[IS7GHI2 (KWh/m2)]]),"")</f>
        <v/>
      </c>
      <c r="CZ132" s="204" t="str">
        <f>IFERROR(AVERAGEIF(RD[[#This Row],[IS1POA_BS1 (KWh/m2)]:[IS7POA_BS2 (KWh/m2)]],"&lt;&gt;0",RD[[#This Row],[IS1POA_BS1 (KWh/m2)]:[IS7POA_BS2 (KWh/m2)]]),"")</f>
        <v/>
      </c>
      <c r="DA132" s="204" t="str">
        <f>IFERROR(AVERAGEIF(RD[[#This Row],[IS1GHI_BS1 (KWh/m2)]:[IS1GHI_BS1 (KWh/m2)2]],"&lt;&gt;0",RD[[#This Row],[IS1GHI_BS1 (KWh/m2)]:[IS1GHI_BS1 (KWh/m2)2]]),"")</f>
        <v/>
      </c>
      <c r="DB132" s="204" t="str">
        <f>IFERROR(AVERAGEIF(RD[[#This Row],[IS1AT1 (°C)]:[IS7AT2 (°C)]],"&lt;&gt;0",RD[[#This Row],[IS1AT1 (°C)]:[IS7AT2 (°C)]]),"")</f>
        <v/>
      </c>
      <c r="DC132" s="204" t="str">
        <f>IFERROR(AVERAGEIF(RD[[#This Row],[IS1MT1 (°C)]:[IS7MT2 (°C)]],"&lt;&gt;0",RD[[#This Row],[IS1MT1 (°C)]:[IS7MT2 (°C)]]),"")</f>
        <v/>
      </c>
      <c r="DD132" s="204" t="str">
        <f>IFERROR(AVERAGEIF(RD[[#This Row],[IS1RH1 (%)]:[IS7RH2 (%)]],"&lt;&gt;0",RD[[#This Row],[IS1RH1 (%)]:[IS7RH2 (%)]]),"")</f>
        <v/>
      </c>
      <c r="DE132" s="204" t="str">
        <f>IFERROR(AVERAGEIF(RD[[#This Row],[IS1Rain1 (mm)]:[IS7Rain2 (mm)]],"&lt;&gt;0",RD[[#This Row],[IS1Rain1 (mm)]:[IS7Rain2 (mm)]]),"")</f>
        <v/>
      </c>
      <c r="DF132" s="204" t="str">
        <f>IFERROR(AVERAGEIF(RD[[#This Row],[WS_Solar1_Avg (m/s)]:[IS7_WS_Solar1_Avg (m/s)]],"&lt;&gt;0",RD[[#This Row],[WS_Solar1_Avg (m/s)]:[IS7_WS_Solar1_Avg (m/s)]]),"")</f>
        <v/>
      </c>
      <c r="DG132" s="204" t="str">
        <f>IFERROR(AVERAGEIF(RD[[#This Row],[WS_Solar1_Max (m/s)]:[IS7_WS_Solar1_Max (m/s)]],"&lt;&gt;0",RD[[#This Row],[WS_Solar1_Max (m/s)]:[IS7_WS_Solar1_Max (m/s)]]),"")</f>
        <v/>
      </c>
      <c r="DH132" s="204">
        <f>SUM(RD[[#This Row],[IS1Inv1M1]:[IS4Inv4M2]])</f>
        <v>0</v>
      </c>
      <c r="DI132" s="205">
        <f>SUM(RD[[#This Row],[IS7Inv1M1]]+RD[[#This Row],[IS7Inv2M1]])</f>
        <v>0</v>
      </c>
      <c r="DJ132" s="204">
        <f>SUM(RD[[#This Row],[IS5Inv1M1]:[IS5Inv2M2]])</f>
        <v>0</v>
      </c>
      <c r="DK132" s="204">
        <f>SUM(RD[[#This Row],[IS8Inv1M1]:[IS9Inv2M2]])</f>
        <v>0</v>
      </c>
      <c r="DL132" s="60">
        <f>SUM(RD[[#This Row],[IS6Inv1M1]:[IS6Inv2M2]])</f>
        <v>0</v>
      </c>
      <c r="DM132" s="288">
        <f>SUM(RD[[#This Row],[IS10Inv1M1]:[IS11Inv1M4]],RD[[#This Row],[IS14Inv1M1]:[IS14Inv2M4]])</f>
        <v>0</v>
      </c>
      <c r="DN132" s="288">
        <f>SUM(RD[[#This Row],[IS12Inv1M1]:[IS12Inv1M4]])</f>
        <v>0</v>
      </c>
      <c r="DO132" s="288">
        <f>SUM(RD[[#This Row],[IS13Inv1M1]:[IS13Inv2M2]])</f>
        <v>0</v>
      </c>
      <c r="DP132" s="204">
        <f>SUM(RD[[#This Row],[O2R15]:[O2R26]])</f>
        <v>0</v>
      </c>
      <c r="DQ132" s="328"/>
      <c r="DR132" s="134"/>
      <c r="DS132" s="329"/>
      <c r="DT132" s="328"/>
      <c r="DU132" s="134"/>
      <c r="DV132" s="134"/>
      <c r="DW132" s="328"/>
      <c r="DX132" s="134"/>
      <c r="DY132" s="134"/>
      <c r="DZ132" s="134"/>
      <c r="EA132" s="134"/>
      <c r="EB132" s="328"/>
      <c r="EC132" s="328"/>
      <c r="ED132" s="328"/>
      <c r="EE132" s="328"/>
      <c r="EF132" s="328"/>
      <c r="EG132" s="242"/>
      <c r="EH132" s="146">
        <f>IF((RD[[#This Row],[33 kV_F3_Ex
Incomer1]]-DQ131)*1000&lt;0,0,(RD[[#This Row],[33 kV_F3_Ex
Incomer1]]-DQ131)*1000)</f>
        <v>0</v>
      </c>
      <c r="EI132" s="330"/>
      <c r="EJ132" s="146"/>
      <c r="EK132" s="146"/>
      <c r="EL132" s="146"/>
      <c r="EM132" s="146"/>
      <c r="EN132" s="146"/>
      <c r="EO132" s="146"/>
      <c r="EP132" s="146">
        <f>IF((RD[[#This Row],[33 kV_F7_Ex
Incomer5]]-DY131)*1000&lt;0,0,(RD[[#This Row],[33 kV_F7_Ex
Incomer5]]-DY131)*1000)</f>
        <v>0</v>
      </c>
      <c r="EQ132" s="146">
        <f>IF((RD[[#This Row],[33 kV_F7_Im
Incomer5]]-DZ131)*1000&lt;0,0,(RD[[#This Row],[33 kV_F7_Im
Incomer5]]-DZ131)*1000)</f>
        <v>0</v>
      </c>
      <c r="ER132" s="146"/>
      <c r="ES132" s="331">
        <f>IF((RD[[#This Row],[33kV_OG1_Ex_]]-EB131)*1000&lt;=0,0,(RD[[#This Row],[33kV_OG1_Ex_]]-EB131)*1000)</f>
        <v>0</v>
      </c>
      <c r="ET132" s="330">
        <f>IFERROR(IF((RD[[#This Row],[33kV_OG1_Im]]-EC131)*1000&lt;=0,0,(RD[[#This Row],[33kV_OG1_Im]]-EC131)*1000),0)</f>
        <v>0</v>
      </c>
      <c r="EU132" s="330">
        <f>(RD[[#This Row],[132kV_TX1_EX]]-EE129)</f>
        <v>0</v>
      </c>
      <c r="EV132" s="330">
        <f>IF((RD[[#This Row],[132 kV_Tx1_Im]]-EE131)*800000&lt;=0,0,(RD[[#This Row],[132 kV_Tx1_Im]]-EE131)*800000)</f>
        <v>0</v>
      </c>
      <c r="EW132" s="330">
        <f>IF((RD[[#This Row],[132kV_L1_Ex]]-EF131)*1600000&lt;=0,0,(RD[[#This Row],[132kV_L1_Ex]]-EF131)*1600000)</f>
        <v>0</v>
      </c>
      <c r="EX132" s="330" t="str">
        <f>IF((RD[[#This Row],[132kV_L1_Im]]-EG131)*1600000&lt;=0,"",(RD[[#This Row],[132kV_L1_Im]]-EG131)*1600000)</f>
        <v/>
      </c>
      <c r="EY132" s="330">
        <f>IFERROR(RD[[#This Row],[33kV_OG1_Ex (MWh)]]+RD[[#This Row],[33kV_OG1_Im (MWh)]],"")</f>
        <v>0</v>
      </c>
      <c r="EZ132" s="148">
        <f>RD[[#This Row],[33kV_OG1_Ex (MWh)]]-RD[[#This Row],[33kV_OG1_Im (MWh)]]</f>
        <v>0</v>
      </c>
      <c r="FA132" s="148" t="str">
        <f>IFERROR(RD[[#This Row],[132kV_L1_Ex(MWh)]]-RD[[#This Row],[132kV_L1_Im(MWh)]],"")</f>
        <v/>
      </c>
      <c r="FB132" s="332" t="str">
        <f>IFERROR(RD[[#This Row],[33kV_Ex(MWh)]]/RD[[#This Row],[Inv Total Gneration (MWh)]]-1,"")</f>
        <v/>
      </c>
      <c r="FC132" s="333">
        <f>IFERROR((RD[[#This Row],[Sunset Time (POA&lt;20 W/m2)]]-RD[[#This Row],[Sunrise Time (POA&gt;20 W/m2)]])*24,0)</f>
        <v>0</v>
      </c>
      <c r="FD132" s="334"/>
      <c r="FE132"/>
      <c r="FG132" s="144" t="str">
        <f>IFERROR(RD[[#This Row],[E_AC (WPR)]]/RD[[#This Row],[E_DC (WPR)]],"")</f>
        <v/>
      </c>
    </row>
    <row r="133" spans="1:163">
      <c r="A133" s="133">
        <f t="shared" si="167"/>
        <v>45873</v>
      </c>
      <c r="B133" s="138">
        <f>YEAR(RD[[#This Row],[Date]])+IF(MONTH(RD[[#This Row],[Date]])&gt;=4,1,0)</f>
        <v>2026</v>
      </c>
      <c r="C133" s="138">
        <f>YEAR(RD[[#This Row],[Date]])</f>
        <v>2025</v>
      </c>
      <c r="D133" s="139">
        <f t="shared" si="170"/>
        <v>45870</v>
      </c>
      <c r="E133" s="138">
        <f>DAY(EOMONTH(RD[[#This Row],[Date]],0))</f>
        <v>31</v>
      </c>
      <c r="F133" s="335"/>
      <c r="G133" s="336"/>
      <c r="H133" s="335"/>
      <c r="I133" s="337"/>
      <c r="J133" s="335"/>
      <c r="K133" s="335"/>
      <c r="L133" s="335"/>
      <c r="M133" s="335"/>
      <c r="N133" s="335"/>
      <c r="O133" s="335"/>
      <c r="P133" s="335"/>
      <c r="Q133" s="335"/>
      <c r="R133" s="335"/>
      <c r="S133" s="337"/>
      <c r="T133" s="335"/>
      <c r="U133" s="335"/>
      <c r="V133" s="335"/>
      <c r="W133" s="335"/>
      <c r="X133" s="296"/>
      <c r="Y133" s="203"/>
      <c r="Z133" s="203"/>
      <c r="AA133" s="203"/>
      <c r="AB133" s="296"/>
      <c r="AC133" s="203"/>
      <c r="AD133" s="203"/>
      <c r="AE133" s="203"/>
      <c r="AF133" s="296"/>
      <c r="AG133" s="203"/>
      <c r="AH133" s="203"/>
      <c r="AI133" s="296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203"/>
      <c r="BW133" s="203"/>
      <c r="BX133" s="203"/>
      <c r="BY133" s="203"/>
      <c r="BZ133" s="142"/>
      <c r="CA133" s="142"/>
      <c r="CB133" s="142"/>
      <c r="CC133" s="142"/>
      <c r="CD133" s="297"/>
      <c r="CE133" s="59"/>
      <c r="CF133" s="297"/>
      <c r="CG133" s="206"/>
      <c r="CH133" s="297"/>
      <c r="CI133" s="206"/>
      <c r="CJ133" s="298"/>
      <c r="CK133" s="59"/>
      <c r="CL133" s="297"/>
      <c r="CM133" s="206"/>
      <c r="CN133" s="297"/>
      <c r="CO133" s="206"/>
      <c r="CP133" s="297"/>
      <c r="CQ133" s="206"/>
      <c r="CR133" s="297"/>
      <c r="CS133" s="59"/>
      <c r="CT133" s="297"/>
      <c r="CU133" s="206"/>
      <c r="CV133" s="297"/>
      <c r="CW133" s="260"/>
      <c r="CX133" s="204" t="str">
        <f>IFERROR(AVERAGEIF(RD[[#This Row],[IS1POA1 (KWh/m2)]:[IS7POA2 (KWh/m2)]],"&lt;&gt;0",RD[[#This Row],[IS1POA1 (KWh/m2)]:[IS7POA2 (KWh/m2)]]),"")</f>
        <v/>
      </c>
      <c r="CY133" s="204" t="str">
        <f>IFERROR(AVERAGEIF(RD[[#This Row],[IS1GHI1 (KWh/m2)]:[IS7GHI2 (KWh/m2)]],"&lt;&gt;0",RD[[#This Row],[IS1GHI1 (KWh/m2)]:[IS7GHI2 (KWh/m2)]]),"")</f>
        <v/>
      </c>
      <c r="CZ133" s="204" t="str">
        <f>IFERROR(AVERAGEIF(RD[[#This Row],[IS1POA_BS1 (KWh/m2)]:[IS7POA_BS2 (KWh/m2)]],"&lt;&gt;0",RD[[#This Row],[IS1POA_BS1 (KWh/m2)]:[IS7POA_BS2 (KWh/m2)]]),"")</f>
        <v/>
      </c>
      <c r="DA133" s="204" t="str">
        <f>IFERROR(AVERAGEIF(RD[[#This Row],[IS1GHI_BS1 (KWh/m2)]:[IS1GHI_BS1 (KWh/m2)2]],"&lt;&gt;0",RD[[#This Row],[IS1GHI_BS1 (KWh/m2)]:[IS1GHI_BS1 (KWh/m2)2]]),"")</f>
        <v/>
      </c>
      <c r="DB133" s="204" t="str">
        <f>IFERROR(AVERAGEIF(RD[[#This Row],[IS1AT1 (°C)]:[IS7AT2 (°C)]],"&lt;&gt;0",RD[[#This Row],[IS1AT1 (°C)]:[IS7AT2 (°C)]]),"")</f>
        <v/>
      </c>
      <c r="DC133" s="204" t="str">
        <f>IFERROR(AVERAGEIF(RD[[#This Row],[IS1MT1 (°C)]:[IS7MT2 (°C)]],"&lt;&gt;0",RD[[#This Row],[IS1MT1 (°C)]:[IS7MT2 (°C)]]),"")</f>
        <v/>
      </c>
      <c r="DD133" s="204" t="str">
        <f>IFERROR(AVERAGEIF(RD[[#This Row],[IS1RH1 (%)]:[IS7RH2 (%)]],"&lt;&gt;0",RD[[#This Row],[IS1RH1 (%)]:[IS7RH2 (%)]]),"")</f>
        <v/>
      </c>
      <c r="DE133" s="204" t="str">
        <f>IFERROR(AVERAGEIF(RD[[#This Row],[IS1Rain1 (mm)]:[IS7Rain2 (mm)]],"&lt;&gt;0",RD[[#This Row],[IS1Rain1 (mm)]:[IS7Rain2 (mm)]]),"")</f>
        <v/>
      </c>
      <c r="DF133" s="204" t="str">
        <f>IFERROR(AVERAGEIF(RD[[#This Row],[WS_Solar1_Avg (m/s)]:[IS7_WS_Solar1_Avg (m/s)]],"&lt;&gt;0",RD[[#This Row],[WS_Solar1_Avg (m/s)]:[IS7_WS_Solar1_Avg (m/s)]]),"")</f>
        <v/>
      </c>
      <c r="DG133" s="204" t="str">
        <f>IFERROR(AVERAGEIF(RD[[#This Row],[WS_Solar1_Max (m/s)]:[IS7_WS_Solar1_Max (m/s)]],"&lt;&gt;0",RD[[#This Row],[WS_Solar1_Max (m/s)]:[IS7_WS_Solar1_Max (m/s)]]),"")</f>
        <v/>
      </c>
      <c r="DH133" s="204">
        <f>SUM(RD[[#This Row],[IS1Inv1M1]:[IS4Inv4M2]])</f>
        <v>0</v>
      </c>
      <c r="DI133" s="205">
        <f>SUM(RD[[#This Row],[IS7Inv1M1]]+RD[[#This Row],[IS7Inv2M1]])</f>
        <v>0</v>
      </c>
      <c r="DJ133" s="204">
        <f>SUM(RD[[#This Row],[IS5Inv1M1]:[IS5Inv2M2]])</f>
        <v>0</v>
      </c>
      <c r="DK133" s="204">
        <f>SUM(RD[[#This Row],[IS8Inv1M1]:[IS9Inv2M2]])</f>
        <v>0</v>
      </c>
      <c r="DL133" s="60">
        <f>SUM(RD[[#This Row],[IS6Inv1M1]:[IS6Inv2M2]])</f>
        <v>0</v>
      </c>
      <c r="DM133" s="288">
        <f>SUM(RD[[#This Row],[IS10Inv1M1]:[IS11Inv1M4]],RD[[#This Row],[IS14Inv1M1]:[IS14Inv2M4]])</f>
        <v>0</v>
      </c>
      <c r="DN133" s="288">
        <f>SUM(RD[[#This Row],[IS12Inv1M1]:[IS12Inv1M4]])</f>
        <v>0</v>
      </c>
      <c r="DO133" s="288">
        <f>SUM(RD[[#This Row],[IS13Inv1M1]:[IS13Inv2M2]])</f>
        <v>0</v>
      </c>
      <c r="DP133" s="204">
        <f>SUM(RD[[#This Row],[O2R15]:[O2R26]])</f>
        <v>0</v>
      </c>
      <c r="DQ133" s="328"/>
      <c r="DR133" s="134"/>
      <c r="DS133" s="329"/>
      <c r="DT133" s="328"/>
      <c r="DU133" s="134"/>
      <c r="DV133" s="134"/>
      <c r="DW133" s="328"/>
      <c r="DX133" s="134"/>
      <c r="DY133" s="134"/>
      <c r="DZ133" s="134"/>
      <c r="EA133" s="134"/>
      <c r="EB133" s="328"/>
      <c r="EC133" s="328"/>
      <c r="ED133" s="328"/>
      <c r="EE133" s="328"/>
      <c r="EF133" s="328"/>
      <c r="EG133" s="242"/>
      <c r="EH133" s="146">
        <f>IF((RD[[#This Row],[33 kV_F3_Ex
Incomer1]]-DQ132)*1000&lt;0,0,(RD[[#This Row],[33 kV_F3_Ex
Incomer1]]-DQ132)*1000)</f>
        <v>0</v>
      </c>
      <c r="EI133" s="330"/>
      <c r="EJ133" s="146"/>
      <c r="EK133" s="146"/>
      <c r="EL133" s="146"/>
      <c r="EM133" s="146"/>
      <c r="EN133" s="146"/>
      <c r="EO133" s="146"/>
      <c r="EP133" s="146">
        <f>IF((RD[[#This Row],[33 kV_F7_Ex
Incomer5]]-DY132)*1000&lt;0,0,(RD[[#This Row],[33 kV_F7_Ex
Incomer5]]-DY132)*1000)</f>
        <v>0</v>
      </c>
      <c r="EQ133" s="146">
        <f>IF((RD[[#This Row],[33 kV_F7_Im
Incomer5]]-DZ132)*1000&lt;0,0,(RD[[#This Row],[33 kV_F7_Im
Incomer5]]-DZ132)*1000)</f>
        <v>0</v>
      </c>
      <c r="ER133" s="146"/>
      <c r="ES133" s="331">
        <f>IF((RD[[#This Row],[33kV_OG1_Ex_]]-EB132)*1000&lt;=0,0,(RD[[#This Row],[33kV_OG1_Ex_]]-EB132)*1000)</f>
        <v>0</v>
      </c>
      <c r="ET133" s="330">
        <f>IFERROR(IF((RD[[#This Row],[33kV_OG1_Im]]-EC132)*1000&lt;=0,0,(RD[[#This Row],[33kV_OG1_Im]]-EC132)*1000),0)</f>
        <v>0</v>
      </c>
      <c r="EU133" s="330">
        <f>(RD[[#This Row],[132kV_TX1_EX]]-EE130)</f>
        <v>0</v>
      </c>
      <c r="EV133" s="330">
        <f>IF((RD[[#This Row],[132 kV_Tx1_Im]]-EE132)*800000&lt;=0,0,(RD[[#This Row],[132 kV_Tx1_Im]]-EE132)*800000)</f>
        <v>0</v>
      </c>
      <c r="EW133" s="330">
        <f>IF((RD[[#This Row],[132kV_L1_Ex]]-EF132)*1600000&lt;=0,0,(RD[[#This Row],[132kV_L1_Ex]]-EF132)*1600000)</f>
        <v>0</v>
      </c>
      <c r="EX133" s="330" t="str">
        <f>IF((RD[[#This Row],[132kV_L1_Im]]-EG132)*1600000&lt;=0,"",(RD[[#This Row],[132kV_L1_Im]]-EG132)*1600000)</f>
        <v/>
      </c>
      <c r="EY133" s="330">
        <f>IFERROR(RD[[#This Row],[33kV_OG1_Ex (MWh)]]+RD[[#This Row],[33kV_OG1_Im (MWh)]],"")</f>
        <v>0</v>
      </c>
      <c r="EZ133" s="148">
        <f>RD[[#This Row],[33kV_OG1_Ex (MWh)]]-RD[[#This Row],[33kV_OG1_Im (MWh)]]</f>
        <v>0</v>
      </c>
      <c r="FA133" s="148" t="str">
        <f>IFERROR(RD[[#This Row],[132kV_L1_Ex(MWh)]]-RD[[#This Row],[132kV_L1_Im(MWh)]],"")</f>
        <v/>
      </c>
      <c r="FB133" s="332" t="str">
        <f>IFERROR(RD[[#This Row],[33kV_Ex(MWh)]]/RD[[#This Row],[Inv Total Gneration (MWh)]]-1,"")</f>
        <v/>
      </c>
      <c r="FC133" s="333">
        <f>IFERROR((RD[[#This Row],[Sunset Time (POA&lt;20 W/m2)]]-RD[[#This Row],[Sunrise Time (POA&gt;20 W/m2)]])*24,0)</f>
        <v>0</v>
      </c>
      <c r="FD133" s="334"/>
      <c r="FE133"/>
      <c r="FG133" s="144" t="str">
        <f>IFERROR(RD[[#This Row],[E_AC (WPR)]]/RD[[#This Row],[E_DC (WPR)]],"")</f>
        <v/>
      </c>
    </row>
    <row r="134" spans="1:163">
      <c r="A134" s="133">
        <f t="shared" si="167"/>
        <v>45874</v>
      </c>
      <c r="B134" s="138">
        <f>YEAR(RD[[#This Row],[Date]])+IF(MONTH(RD[[#This Row],[Date]])&gt;=4,1,0)</f>
        <v>2026</v>
      </c>
      <c r="C134" s="138">
        <f>YEAR(RD[[#This Row],[Date]])</f>
        <v>2025</v>
      </c>
      <c r="D134" s="139">
        <f t="shared" si="170"/>
        <v>45870</v>
      </c>
      <c r="E134" s="138">
        <f>DAY(EOMONTH(RD[[#This Row],[Date]],0))</f>
        <v>31</v>
      </c>
      <c r="F134" s="335"/>
      <c r="G134" s="336"/>
      <c r="H134" s="335"/>
      <c r="I134" s="337"/>
      <c r="J134" s="335"/>
      <c r="K134" s="335"/>
      <c r="L134" s="335"/>
      <c r="M134" s="335"/>
      <c r="N134" s="335"/>
      <c r="O134" s="335"/>
      <c r="P134" s="335"/>
      <c r="Q134" s="335"/>
      <c r="R134" s="335"/>
      <c r="S134" s="337"/>
      <c r="T134" s="335"/>
      <c r="U134" s="335"/>
      <c r="V134" s="335"/>
      <c r="W134" s="335"/>
      <c r="X134" s="296"/>
      <c r="Y134" s="203"/>
      <c r="Z134" s="203"/>
      <c r="AA134" s="203"/>
      <c r="AB134" s="296"/>
      <c r="AC134" s="203"/>
      <c r="AD134" s="203"/>
      <c r="AE134" s="203"/>
      <c r="AF134" s="296"/>
      <c r="AG134" s="203"/>
      <c r="AH134" s="203"/>
      <c r="AI134" s="296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203"/>
      <c r="BW134" s="203"/>
      <c r="BX134" s="203"/>
      <c r="BY134" s="203"/>
      <c r="BZ134" s="142"/>
      <c r="CA134" s="142"/>
      <c r="CB134" s="142"/>
      <c r="CC134" s="142"/>
      <c r="CD134" s="297"/>
      <c r="CE134" s="59"/>
      <c r="CF134" s="297"/>
      <c r="CG134" s="206"/>
      <c r="CH134" s="297"/>
      <c r="CI134" s="206"/>
      <c r="CJ134" s="298"/>
      <c r="CK134" s="59"/>
      <c r="CL134" s="297"/>
      <c r="CM134" s="206"/>
      <c r="CN134" s="297"/>
      <c r="CO134" s="206"/>
      <c r="CP134" s="297"/>
      <c r="CQ134" s="206"/>
      <c r="CR134" s="297"/>
      <c r="CS134" s="59"/>
      <c r="CT134" s="297"/>
      <c r="CU134" s="206"/>
      <c r="CV134" s="297"/>
      <c r="CW134" s="260"/>
      <c r="CX134" s="204" t="str">
        <f>IFERROR(AVERAGEIF(RD[[#This Row],[IS1POA1 (KWh/m2)]:[IS7POA2 (KWh/m2)]],"&lt;&gt;0",RD[[#This Row],[IS1POA1 (KWh/m2)]:[IS7POA2 (KWh/m2)]]),"")</f>
        <v/>
      </c>
      <c r="CY134" s="204" t="str">
        <f>IFERROR(AVERAGEIF(RD[[#This Row],[IS1GHI1 (KWh/m2)]:[IS7GHI2 (KWh/m2)]],"&lt;&gt;0",RD[[#This Row],[IS1GHI1 (KWh/m2)]:[IS7GHI2 (KWh/m2)]]),"")</f>
        <v/>
      </c>
      <c r="CZ134" s="204" t="str">
        <f>IFERROR(AVERAGEIF(RD[[#This Row],[IS1POA_BS1 (KWh/m2)]:[IS7POA_BS2 (KWh/m2)]],"&lt;&gt;0",RD[[#This Row],[IS1POA_BS1 (KWh/m2)]:[IS7POA_BS2 (KWh/m2)]]),"")</f>
        <v/>
      </c>
      <c r="DA134" s="204" t="str">
        <f>IFERROR(AVERAGEIF(RD[[#This Row],[IS1GHI_BS1 (KWh/m2)]:[IS1GHI_BS1 (KWh/m2)2]],"&lt;&gt;0",RD[[#This Row],[IS1GHI_BS1 (KWh/m2)]:[IS1GHI_BS1 (KWh/m2)2]]),"")</f>
        <v/>
      </c>
      <c r="DB134" s="204" t="str">
        <f>IFERROR(AVERAGEIF(RD[[#This Row],[IS1AT1 (°C)]:[IS7AT2 (°C)]],"&lt;&gt;0",RD[[#This Row],[IS1AT1 (°C)]:[IS7AT2 (°C)]]),"")</f>
        <v/>
      </c>
      <c r="DC134" s="204" t="str">
        <f>IFERROR(AVERAGEIF(RD[[#This Row],[IS1MT1 (°C)]:[IS7MT2 (°C)]],"&lt;&gt;0",RD[[#This Row],[IS1MT1 (°C)]:[IS7MT2 (°C)]]),"")</f>
        <v/>
      </c>
      <c r="DD134" s="204" t="str">
        <f>IFERROR(AVERAGEIF(RD[[#This Row],[IS1RH1 (%)]:[IS7RH2 (%)]],"&lt;&gt;0",RD[[#This Row],[IS1RH1 (%)]:[IS7RH2 (%)]]),"")</f>
        <v/>
      </c>
      <c r="DE134" s="204" t="str">
        <f>IFERROR(AVERAGEIF(RD[[#This Row],[IS1Rain1 (mm)]:[IS7Rain2 (mm)]],"&lt;&gt;0",RD[[#This Row],[IS1Rain1 (mm)]:[IS7Rain2 (mm)]]),"")</f>
        <v/>
      </c>
      <c r="DF134" s="204" t="str">
        <f>IFERROR(AVERAGEIF(RD[[#This Row],[WS_Solar1_Avg (m/s)]:[IS7_WS_Solar1_Avg (m/s)]],"&lt;&gt;0",RD[[#This Row],[WS_Solar1_Avg (m/s)]:[IS7_WS_Solar1_Avg (m/s)]]),"")</f>
        <v/>
      </c>
      <c r="DG134" s="204" t="str">
        <f>IFERROR(AVERAGEIF(RD[[#This Row],[WS_Solar1_Max (m/s)]:[IS7_WS_Solar1_Max (m/s)]],"&lt;&gt;0",RD[[#This Row],[WS_Solar1_Max (m/s)]:[IS7_WS_Solar1_Max (m/s)]]),"")</f>
        <v/>
      </c>
      <c r="DH134" s="204">
        <f>SUM(RD[[#This Row],[IS1Inv1M1]:[IS4Inv4M2]])</f>
        <v>0</v>
      </c>
      <c r="DI134" s="205">
        <f>SUM(RD[[#This Row],[IS7Inv1M1]]+RD[[#This Row],[IS7Inv2M1]])</f>
        <v>0</v>
      </c>
      <c r="DJ134" s="204">
        <f>SUM(RD[[#This Row],[IS5Inv1M1]:[IS5Inv2M2]])</f>
        <v>0</v>
      </c>
      <c r="DK134" s="204">
        <f>SUM(RD[[#This Row],[IS8Inv1M1]:[IS9Inv2M2]])</f>
        <v>0</v>
      </c>
      <c r="DL134" s="60">
        <f>SUM(RD[[#This Row],[IS6Inv1M1]:[IS6Inv2M2]])</f>
        <v>0</v>
      </c>
      <c r="DM134" s="288">
        <f>SUM(RD[[#This Row],[IS10Inv1M1]:[IS11Inv1M4]],RD[[#This Row],[IS14Inv1M1]:[IS14Inv2M4]])</f>
        <v>0</v>
      </c>
      <c r="DN134" s="288">
        <f>SUM(RD[[#This Row],[IS12Inv1M1]:[IS12Inv1M4]])</f>
        <v>0</v>
      </c>
      <c r="DO134" s="288">
        <f>SUM(RD[[#This Row],[IS13Inv1M1]:[IS13Inv2M2]])</f>
        <v>0</v>
      </c>
      <c r="DP134" s="204">
        <f>SUM(RD[[#This Row],[O2R15]:[O2R26]])</f>
        <v>0</v>
      </c>
      <c r="DQ134" s="328"/>
      <c r="DR134" s="134"/>
      <c r="DS134" s="329"/>
      <c r="DT134" s="328"/>
      <c r="DU134" s="134"/>
      <c r="DV134" s="134"/>
      <c r="DW134" s="328"/>
      <c r="DX134" s="134"/>
      <c r="DY134" s="134"/>
      <c r="DZ134" s="134"/>
      <c r="EA134" s="134"/>
      <c r="EB134" s="328"/>
      <c r="EC134" s="328"/>
      <c r="ED134" s="328"/>
      <c r="EE134" s="328"/>
      <c r="EF134" s="328"/>
      <c r="EG134" s="242"/>
      <c r="EH134" s="146">
        <f>IF((RD[[#This Row],[33 kV_F3_Ex
Incomer1]]-DQ133)*1000&lt;0,0,(RD[[#This Row],[33 kV_F3_Ex
Incomer1]]-DQ133)*1000)</f>
        <v>0</v>
      </c>
      <c r="EI134" s="330"/>
      <c r="EJ134" s="146"/>
      <c r="EK134" s="146"/>
      <c r="EL134" s="146"/>
      <c r="EM134" s="146"/>
      <c r="EN134" s="146"/>
      <c r="EO134" s="146"/>
      <c r="EP134" s="146">
        <f>IF((RD[[#This Row],[33 kV_F7_Ex
Incomer5]]-DY133)*1000&lt;0,0,(RD[[#This Row],[33 kV_F7_Ex
Incomer5]]-DY133)*1000)</f>
        <v>0</v>
      </c>
      <c r="EQ134" s="146">
        <f>IF((RD[[#This Row],[33 kV_F7_Im
Incomer5]]-DZ133)*1000&lt;0,0,(RD[[#This Row],[33 kV_F7_Im
Incomer5]]-DZ133)*1000)</f>
        <v>0</v>
      </c>
      <c r="ER134" s="146"/>
      <c r="ES134" s="331">
        <f>IF((RD[[#This Row],[33kV_OG1_Ex_]]-EB133)*1000&lt;=0,0,(RD[[#This Row],[33kV_OG1_Ex_]]-EB133)*1000)</f>
        <v>0</v>
      </c>
      <c r="ET134" s="330">
        <f>IFERROR(IF((RD[[#This Row],[33kV_OG1_Im]]-EC133)*1000&lt;=0,0,(RD[[#This Row],[33kV_OG1_Im]]-EC133)*1000),0)</f>
        <v>0</v>
      </c>
      <c r="EU134" s="330">
        <f>(RD[[#This Row],[132kV_TX1_EX]]-EE131)</f>
        <v>0</v>
      </c>
      <c r="EV134" s="330">
        <f>IF((RD[[#This Row],[132 kV_Tx1_Im]]-EE133)*800000&lt;=0,0,(RD[[#This Row],[132 kV_Tx1_Im]]-EE133)*800000)</f>
        <v>0</v>
      </c>
      <c r="EW134" s="330">
        <f>IF((RD[[#This Row],[132kV_L1_Ex]]-EF133)*1600000&lt;=0,0,(RD[[#This Row],[132kV_L1_Ex]]-EF133)*1600000)</f>
        <v>0</v>
      </c>
      <c r="EX134" s="330" t="str">
        <f>IF((RD[[#This Row],[132kV_L1_Im]]-EG133)*1600000&lt;=0,"",(RD[[#This Row],[132kV_L1_Im]]-EG133)*1600000)</f>
        <v/>
      </c>
      <c r="EY134" s="330">
        <f>IFERROR(RD[[#This Row],[33kV_OG1_Ex (MWh)]]+RD[[#This Row],[33kV_OG1_Im (MWh)]],"")</f>
        <v>0</v>
      </c>
      <c r="EZ134" s="148">
        <f>RD[[#This Row],[33kV_OG1_Ex (MWh)]]-RD[[#This Row],[33kV_OG1_Im (MWh)]]</f>
        <v>0</v>
      </c>
      <c r="FA134" s="148" t="str">
        <f>IFERROR(RD[[#This Row],[132kV_L1_Ex(MWh)]]-RD[[#This Row],[132kV_L1_Im(MWh)]],"")</f>
        <v/>
      </c>
      <c r="FB134" s="332" t="str">
        <f>IFERROR(RD[[#This Row],[33kV_Ex(MWh)]]/RD[[#This Row],[Inv Total Gneration (MWh)]]-1,"")</f>
        <v/>
      </c>
      <c r="FC134" s="333">
        <f>IFERROR((RD[[#This Row],[Sunset Time (POA&lt;20 W/m2)]]-RD[[#This Row],[Sunrise Time (POA&gt;20 W/m2)]])*24,0)</f>
        <v>0</v>
      </c>
      <c r="FD134" s="334"/>
      <c r="FE134"/>
      <c r="FG134" s="144" t="str">
        <f>IFERROR(RD[[#This Row],[E_AC (WPR)]]/RD[[#This Row],[E_DC (WPR)]],"")</f>
        <v/>
      </c>
    </row>
    <row r="135" spans="1:163">
      <c r="A135" s="133">
        <f t="shared" si="167"/>
        <v>45875</v>
      </c>
      <c r="B135" s="138">
        <f>YEAR(RD[[#This Row],[Date]])+IF(MONTH(RD[[#This Row],[Date]])&gt;=4,1,0)</f>
        <v>2026</v>
      </c>
      <c r="C135" s="138">
        <f>YEAR(RD[[#This Row],[Date]])</f>
        <v>2025</v>
      </c>
      <c r="D135" s="139">
        <f t="shared" si="170"/>
        <v>45870</v>
      </c>
      <c r="E135" s="138">
        <f>DAY(EOMONTH(RD[[#This Row],[Date]],0))</f>
        <v>31</v>
      </c>
      <c r="F135" s="335"/>
      <c r="G135" s="336"/>
      <c r="H135" s="335"/>
      <c r="I135" s="337"/>
      <c r="J135" s="335"/>
      <c r="K135" s="335"/>
      <c r="L135" s="335"/>
      <c r="M135" s="335"/>
      <c r="N135" s="335"/>
      <c r="O135" s="335"/>
      <c r="P135" s="335"/>
      <c r="Q135" s="335"/>
      <c r="R135" s="335"/>
      <c r="S135" s="337"/>
      <c r="T135" s="335"/>
      <c r="U135" s="335"/>
      <c r="V135" s="335"/>
      <c r="W135" s="335"/>
      <c r="X135" s="296"/>
      <c r="Y135" s="203"/>
      <c r="Z135" s="203"/>
      <c r="AA135" s="203"/>
      <c r="AB135" s="296"/>
      <c r="AC135" s="203"/>
      <c r="AD135" s="203"/>
      <c r="AE135" s="203"/>
      <c r="AF135" s="296"/>
      <c r="AG135" s="203"/>
      <c r="AH135" s="203"/>
      <c r="AI135" s="296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203"/>
      <c r="BW135" s="203"/>
      <c r="BX135" s="203"/>
      <c r="BY135" s="203"/>
      <c r="BZ135" s="142"/>
      <c r="CA135" s="142"/>
      <c r="CB135" s="142"/>
      <c r="CC135" s="142"/>
      <c r="CD135" s="297"/>
      <c r="CE135" s="59"/>
      <c r="CF135" s="297"/>
      <c r="CG135" s="206"/>
      <c r="CH135" s="297"/>
      <c r="CI135" s="206"/>
      <c r="CJ135" s="298"/>
      <c r="CK135" s="59"/>
      <c r="CL135" s="297"/>
      <c r="CM135" s="206"/>
      <c r="CN135" s="297"/>
      <c r="CO135" s="206"/>
      <c r="CP135" s="297"/>
      <c r="CQ135" s="206"/>
      <c r="CR135" s="297"/>
      <c r="CS135" s="59"/>
      <c r="CT135" s="297"/>
      <c r="CU135" s="206"/>
      <c r="CV135" s="297"/>
      <c r="CW135" s="260"/>
      <c r="CX135" s="204" t="str">
        <f>IFERROR(AVERAGEIF(RD[[#This Row],[IS1POA1 (KWh/m2)]:[IS7POA2 (KWh/m2)]],"&lt;&gt;0",RD[[#This Row],[IS1POA1 (KWh/m2)]:[IS7POA2 (KWh/m2)]]),"")</f>
        <v/>
      </c>
      <c r="CY135" s="204" t="str">
        <f>IFERROR(AVERAGEIF(RD[[#This Row],[IS1GHI1 (KWh/m2)]:[IS7GHI2 (KWh/m2)]],"&lt;&gt;0",RD[[#This Row],[IS1GHI1 (KWh/m2)]:[IS7GHI2 (KWh/m2)]]),"")</f>
        <v/>
      </c>
      <c r="CZ135" s="204" t="str">
        <f>IFERROR(AVERAGEIF(RD[[#This Row],[IS1POA_BS1 (KWh/m2)]:[IS7POA_BS2 (KWh/m2)]],"&lt;&gt;0",RD[[#This Row],[IS1POA_BS1 (KWh/m2)]:[IS7POA_BS2 (KWh/m2)]]),"")</f>
        <v/>
      </c>
      <c r="DA135" s="204" t="str">
        <f>IFERROR(AVERAGEIF(RD[[#This Row],[IS1GHI_BS1 (KWh/m2)]:[IS1GHI_BS1 (KWh/m2)2]],"&lt;&gt;0",RD[[#This Row],[IS1GHI_BS1 (KWh/m2)]:[IS1GHI_BS1 (KWh/m2)2]]),"")</f>
        <v/>
      </c>
      <c r="DB135" s="204" t="str">
        <f>IFERROR(AVERAGEIF(RD[[#This Row],[IS1AT1 (°C)]:[IS7AT2 (°C)]],"&lt;&gt;0",RD[[#This Row],[IS1AT1 (°C)]:[IS7AT2 (°C)]]),"")</f>
        <v/>
      </c>
      <c r="DC135" s="204" t="str">
        <f>IFERROR(AVERAGEIF(RD[[#This Row],[IS1MT1 (°C)]:[IS7MT2 (°C)]],"&lt;&gt;0",RD[[#This Row],[IS1MT1 (°C)]:[IS7MT2 (°C)]]),"")</f>
        <v/>
      </c>
      <c r="DD135" s="204" t="str">
        <f>IFERROR(AVERAGEIF(RD[[#This Row],[IS1RH1 (%)]:[IS7RH2 (%)]],"&lt;&gt;0",RD[[#This Row],[IS1RH1 (%)]:[IS7RH2 (%)]]),"")</f>
        <v/>
      </c>
      <c r="DE135" s="204" t="str">
        <f>IFERROR(AVERAGEIF(RD[[#This Row],[IS1Rain1 (mm)]:[IS7Rain2 (mm)]],"&lt;&gt;0",RD[[#This Row],[IS1Rain1 (mm)]:[IS7Rain2 (mm)]]),"")</f>
        <v/>
      </c>
      <c r="DF135" s="204" t="str">
        <f>IFERROR(AVERAGEIF(RD[[#This Row],[WS_Solar1_Avg (m/s)]:[IS7_WS_Solar1_Avg (m/s)]],"&lt;&gt;0",RD[[#This Row],[WS_Solar1_Avg (m/s)]:[IS7_WS_Solar1_Avg (m/s)]]),"")</f>
        <v/>
      </c>
      <c r="DG135" s="204" t="str">
        <f>IFERROR(AVERAGEIF(RD[[#This Row],[WS_Solar1_Max (m/s)]:[IS7_WS_Solar1_Max (m/s)]],"&lt;&gt;0",RD[[#This Row],[WS_Solar1_Max (m/s)]:[IS7_WS_Solar1_Max (m/s)]]),"")</f>
        <v/>
      </c>
      <c r="DH135" s="204">
        <f>SUM(RD[[#This Row],[IS1Inv1M1]:[IS4Inv4M2]])</f>
        <v>0</v>
      </c>
      <c r="DI135" s="205">
        <f>SUM(RD[[#This Row],[IS7Inv1M1]]+RD[[#This Row],[IS7Inv2M1]])</f>
        <v>0</v>
      </c>
      <c r="DJ135" s="204">
        <f>SUM(RD[[#This Row],[IS5Inv1M1]:[IS5Inv2M2]])</f>
        <v>0</v>
      </c>
      <c r="DK135" s="204">
        <f>SUM(RD[[#This Row],[IS8Inv1M1]:[IS9Inv2M2]])</f>
        <v>0</v>
      </c>
      <c r="DL135" s="60">
        <f>SUM(RD[[#This Row],[IS6Inv1M1]:[IS6Inv2M2]])</f>
        <v>0</v>
      </c>
      <c r="DM135" s="288">
        <f>SUM(RD[[#This Row],[IS10Inv1M1]:[IS11Inv1M4]],RD[[#This Row],[IS14Inv1M1]:[IS14Inv2M4]])</f>
        <v>0</v>
      </c>
      <c r="DN135" s="288">
        <f>SUM(RD[[#This Row],[IS12Inv1M1]:[IS12Inv1M4]])</f>
        <v>0</v>
      </c>
      <c r="DO135" s="288">
        <f>SUM(RD[[#This Row],[IS13Inv1M1]:[IS13Inv2M2]])</f>
        <v>0</v>
      </c>
      <c r="DP135" s="204">
        <f>SUM(RD[[#This Row],[O2R15]:[O2R26]])</f>
        <v>0</v>
      </c>
      <c r="DQ135" s="328"/>
      <c r="DR135" s="134"/>
      <c r="DS135" s="329"/>
      <c r="DT135" s="328"/>
      <c r="DU135" s="134"/>
      <c r="DV135" s="134"/>
      <c r="DW135" s="328"/>
      <c r="DX135" s="134"/>
      <c r="DY135" s="134"/>
      <c r="DZ135" s="134"/>
      <c r="EA135" s="134"/>
      <c r="EB135" s="328"/>
      <c r="EC135" s="328"/>
      <c r="ED135" s="328"/>
      <c r="EE135" s="328"/>
      <c r="EF135" s="328"/>
      <c r="EG135" s="242"/>
      <c r="EH135" s="146">
        <f>IF((RD[[#This Row],[33 kV_F3_Ex
Incomer1]]-DQ134)*1000&lt;0,0,(RD[[#This Row],[33 kV_F3_Ex
Incomer1]]-DQ134)*1000)</f>
        <v>0</v>
      </c>
      <c r="EI135" s="330"/>
      <c r="EJ135" s="146"/>
      <c r="EK135" s="146"/>
      <c r="EL135" s="146"/>
      <c r="EM135" s="146"/>
      <c r="EN135" s="146"/>
      <c r="EO135" s="146"/>
      <c r="EP135" s="146">
        <f>IF((RD[[#This Row],[33 kV_F7_Ex
Incomer5]]-DY134)*1000&lt;0,0,(RD[[#This Row],[33 kV_F7_Ex
Incomer5]]-DY134)*1000)</f>
        <v>0</v>
      </c>
      <c r="EQ135" s="146">
        <f>IF((RD[[#This Row],[33 kV_F7_Im
Incomer5]]-DZ134)*1000&lt;0,0,(RD[[#This Row],[33 kV_F7_Im
Incomer5]]-DZ134)*1000)</f>
        <v>0</v>
      </c>
      <c r="ER135" s="146"/>
      <c r="ES135" s="331">
        <f>IF((RD[[#This Row],[33kV_OG1_Ex_]]-EB134)*1000&lt;=0,0,(RD[[#This Row],[33kV_OG1_Ex_]]-EB134)*1000)</f>
        <v>0</v>
      </c>
      <c r="ET135" s="330">
        <f>IFERROR(IF((RD[[#This Row],[33kV_OG1_Im]]-EC134)*1000&lt;=0,0,(RD[[#This Row],[33kV_OG1_Im]]-EC134)*1000),0)</f>
        <v>0</v>
      </c>
      <c r="EU135" s="330">
        <f>(RD[[#This Row],[132kV_TX1_EX]]-EE132)</f>
        <v>0</v>
      </c>
      <c r="EV135" s="330">
        <f>IF((RD[[#This Row],[132 kV_Tx1_Im]]-EE134)*800000&lt;=0,0,(RD[[#This Row],[132 kV_Tx1_Im]]-EE134)*800000)</f>
        <v>0</v>
      </c>
      <c r="EW135" s="330">
        <f>IF((RD[[#This Row],[132kV_L1_Ex]]-EF134)*1600000&lt;=0,0,(RD[[#This Row],[132kV_L1_Ex]]-EF134)*1600000)</f>
        <v>0</v>
      </c>
      <c r="EX135" s="330" t="str">
        <f>IF((RD[[#This Row],[132kV_L1_Im]]-EG134)*1600000&lt;=0,"",(RD[[#This Row],[132kV_L1_Im]]-EG134)*1600000)</f>
        <v/>
      </c>
      <c r="EY135" s="330">
        <f>IFERROR(RD[[#This Row],[33kV_OG1_Ex (MWh)]]+RD[[#This Row],[33kV_OG1_Im (MWh)]],"")</f>
        <v>0</v>
      </c>
      <c r="EZ135" s="148">
        <f>RD[[#This Row],[33kV_OG1_Ex (MWh)]]-RD[[#This Row],[33kV_OG1_Im (MWh)]]</f>
        <v>0</v>
      </c>
      <c r="FA135" s="148" t="str">
        <f>IFERROR(RD[[#This Row],[132kV_L1_Ex(MWh)]]-RD[[#This Row],[132kV_L1_Im(MWh)]],"")</f>
        <v/>
      </c>
      <c r="FB135" s="332" t="str">
        <f>IFERROR(RD[[#This Row],[33kV_Ex(MWh)]]/RD[[#This Row],[Inv Total Gneration (MWh)]]-1,"")</f>
        <v/>
      </c>
      <c r="FC135" s="333">
        <f>IFERROR((RD[[#This Row],[Sunset Time (POA&lt;20 W/m2)]]-RD[[#This Row],[Sunrise Time (POA&gt;20 W/m2)]])*24,0)</f>
        <v>0</v>
      </c>
      <c r="FD135" s="334"/>
      <c r="FE135"/>
      <c r="FG135" s="144" t="str">
        <f>IFERROR(RD[[#This Row],[E_AC (WPR)]]/RD[[#This Row],[E_DC (WPR)]],"")</f>
        <v/>
      </c>
    </row>
    <row r="136" spans="1:163">
      <c r="A136" s="133">
        <f>A135+1</f>
        <v>45876</v>
      </c>
      <c r="B136" s="138">
        <f>YEAR(RD[[#This Row],[Date]])+IF(MONTH(RD[[#This Row],[Date]])&gt;=4,1,0)</f>
        <v>2026</v>
      </c>
      <c r="C136" s="138">
        <f>YEAR(RD[[#This Row],[Date]])</f>
        <v>2025</v>
      </c>
      <c r="D136" s="139">
        <f>A136-DAY(A136)+1</f>
        <v>45870</v>
      </c>
      <c r="E136" s="138">
        <f>DAY(EOMONTH(RD[[#This Row],[Date]],0))</f>
        <v>31</v>
      </c>
      <c r="F136" s="335"/>
      <c r="G136" s="336"/>
      <c r="H136" s="335"/>
      <c r="I136" s="337"/>
      <c r="J136" s="335"/>
      <c r="K136" s="335"/>
      <c r="L136" s="335"/>
      <c r="M136" s="335"/>
      <c r="N136" s="335"/>
      <c r="O136" s="335"/>
      <c r="P136" s="335"/>
      <c r="Q136" s="335"/>
      <c r="R136" s="335"/>
      <c r="S136" s="337"/>
      <c r="T136" s="335"/>
      <c r="U136" s="335"/>
      <c r="V136" s="335"/>
      <c r="W136" s="335"/>
      <c r="X136" s="296"/>
      <c r="Y136" s="203"/>
      <c r="Z136" s="203"/>
      <c r="AA136" s="203"/>
      <c r="AB136" s="296"/>
      <c r="AC136" s="203"/>
      <c r="AD136" s="203"/>
      <c r="AE136" s="203"/>
      <c r="AF136" s="296"/>
      <c r="AG136" s="203"/>
      <c r="AH136" s="203"/>
      <c r="AI136" s="296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203"/>
      <c r="BW136" s="203"/>
      <c r="BX136" s="203"/>
      <c r="BY136" s="203"/>
      <c r="BZ136" s="142"/>
      <c r="CA136" s="142"/>
      <c r="CB136" s="142"/>
      <c r="CC136" s="142"/>
      <c r="CD136" s="297"/>
      <c r="CE136" s="59"/>
      <c r="CF136" s="297"/>
      <c r="CG136" s="206"/>
      <c r="CH136" s="297"/>
      <c r="CI136" s="206"/>
      <c r="CJ136" s="298"/>
      <c r="CK136" s="59"/>
      <c r="CL136" s="297"/>
      <c r="CM136" s="206"/>
      <c r="CN136" s="297"/>
      <c r="CO136" s="206"/>
      <c r="CP136" s="297"/>
      <c r="CQ136" s="206"/>
      <c r="CR136" s="297"/>
      <c r="CS136" s="59"/>
      <c r="CT136" s="297"/>
      <c r="CU136" s="206"/>
      <c r="CV136" s="297"/>
      <c r="CW136" s="260"/>
      <c r="CX136" s="204" t="str">
        <f>IFERROR(AVERAGEIF(RD[[#This Row],[IS1POA1 (KWh/m2)]:[IS7POA2 (KWh/m2)]],"&lt;&gt;0",RD[[#This Row],[IS1POA1 (KWh/m2)]:[IS7POA2 (KWh/m2)]]),"")</f>
        <v/>
      </c>
      <c r="CY136" s="204" t="str">
        <f>IFERROR(AVERAGEIF(RD[[#This Row],[IS1GHI1 (KWh/m2)]:[IS7GHI2 (KWh/m2)]],"&lt;&gt;0",RD[[#This Row],[IS1GHI1 (KWh/m2)]:[IS7GHI2 (KWh/m2)]]),"")</f>
        <v/>
      </c>
      <c r="CZ136" s="204" t="str">
        <f>IFERROR(AVERAGEIF(RD[[#This Row],[IS1POA_BS1 (KWh/m2)]:[IS7POA_BS2 (KWh/m2)]],"&lt;&gt;0",RD[[#This Row],[IS1POA_BS1 (KWh/m2)]:[IS7POA_BS2 (KWh/m2)]]),"")</f>
        <v/>
      </c>
      <c r="DA136" s="204" t="str">
        <f>IFERROR(AVERAGEIF(RD[[#This Row],[IS1GHI_BS1 (KWh/m2)]:[IS1GHI_BS1 (KWh/m2)2]],"&lt;&gt;0",RD[[#This Row],[IS1GHI_BS1 (KWh/m2)]:[IS1GHI_BS1 (KWh/m2)2]]),"")</f>
        <v/>
      </c>
      <c r="DB136" s="204" t="str">
        <f>IFERROR(AVERAGEIF(RD[[#This Row],[IS1AT1 (°C)]:[IS7AT2 (°C)]],"&lt;&gt;0",RD[[#This Row],[IS1AT1 (°C)]:[IS7AT2 (°C)]]),"")</f>
        <v/>
      </c>
      <c r="DC136" s="204" t="str">
        <f>IFERROR(AVERAGEIF(RD[[#This Row],[IS1MT1 (°C)]:[IS7MT2 (°C)]],"&lt;&gt;0",RD[[#This Row],[IS1MT1 (°C)]:[IS7MT2 (°C)]]),"")</f>
        <v/>
      </c>
      <c r="DD136" s="204" t="str">
        <f>IFERROR(AVERAGEIF(RD[[#This Row],[IS1RH1 (%)]:[IS7RH2 (%)]],"&lt;&gt;0",RD[[#This Row],[IS1RH1 (%)]:[IS7RH2 (%)]]),"")</f>
        <v/>
      </c>
      <c r="DE136" s="204" t="str">
        <f>IFERROR(AVERAGEIF(RD[[#This Row],[IS1Rain1 (mm)]:[IS7Rain2 (mm)]],"&lt;&gt;0",RD[[#This Row],[IS1Rain1 (mm)]:[IS7Rain2 (mm)]]),"")</f>
        <v/>
      </c>
      <c r="DF136" s="204" t="str">
        <f>IFERROR(AVERAGEIF(RD[[#This Row],[WS_Solar1_Avg (m/s)]:[IS7_WS_Solar1_Avg (m/s)]],"&lt;&gt;0",RD[[#This Row],[WS_Solar1_Avg (m/s)]:[IS7_WS_Solar1_Avg (m/s)]]),"")</f>
        <v/>
      </c>
      <c r="DG136" s="204" t="str">
        <f>IFERROR(AVERAGEIF(RD[[#This Row],[WS_Solar1_Max (m/s)]:[IS7_WS_Solar1_Max (m/s)]],"&lt;&gt;0",RD[[#This Row],[WS_Solar1_Max (m/s)]:[IS7_WS_Solar1_Max (m/s)]]),"")</f>
        <v/>
      </c>
      <c r="DH136" s="204">
        <f>SUM(RD[[#This Row],[IS1Inv1M1]:[IS4Inv4M2]])</f>
        <v>0</v>
      </c>
      <c r="DI136" s="205">
        <f>SUM(RD[[#This Row],[IS7Inv1M1]]+RD[[#This Row],[IS7Inv2M1]])</f>
        <v>0</v>
      </c>
      <c r="DJ136" s="204">
        <f>SUM(RD[[#This Row],[IS5Inv1M1]:[IS5Inv2M2]])</f>
        <v>0</v>
      </c>
      <c r="DK136" s="204">
        <f>SUM(RD[[#This Row],[IS8Inv1M1]:[IS9Inv2M2]])</f>
        <v>0</v>
      </c>
      <c r="DL136" s="60">
        <f>SUM(RD[[#This Row],[IS6Inv1M1]:[IS6Inv2M2]])</f>
        <v>0</v>
      </c>
      <c r="DM136" s="288">
        <f>SUM(RD[[#This Row],[IS10Inv1M1]:[IS11Inv1M4]],RD[[#This Row],[IS14Inv1M1]:[IS14Inv2M4]])</f>
        <v>0</v>
      </c>
      <c r="DN136" s="288">
        <f>SUM(RD[[#This Row],[IS12Inv1M1]:[IS12Inv1M4]])</f>
        <v>0</v>
      </c>
      <c r="DO136" s="288">
        <f>SUM(RD[[#This Row],[IS13Inv1M1]:[IS13Inv2M2]])</f>
        <v>0</v>
      </c>
      <c r="DP136" s="204">
        <f>SUM(RD[[#This Row],[O2R15]:[O2R26]])</f>
        <v>0</v>
      </c>
      <c r="DQ136" s="328"/>
      <c r="DR136" s="134"/>
      <c r="DS136" s="329"/>
      <c r="DT136" s="328"/>
      <c r="DU136" s="134"/>
      <c r="DV136" s="134"/>
      <c r="DW136" s="328"/>
      <c r="DX136" s="134"/>
      <c r="DY136" s="134"/>
      <c r="DZ136" s="134"/>
      <c r="EA136" s="134"/>
      <c r="EB136" s="328"/>
      <c r="EC136" s="328"/>
      <c r="ED136" s="328"/>
      <c r="EE136" s="328"/>
      <c r="EF136" s="328"/>
      <c r="EG136" s="242"/>
      <c r="EH136" s="146">
        <f>IF((RD[[#This Row],[33 kV_F3_Ex
Incomer1]]-DQ135)*1000&lt;0,0,(RD[[#This Row],[33 kV_F3_Ex
Incomer1]]-DQ135)*1000)</f>
        <v>0</v>
      </c>
      <c r="EI136" s="330"/>
      <c r="EJ136" s="146"/>
      <c r="EK136" s="146"/>
      <c r="EL136" s="146"/>
      <c r="EM136" s="146"/>
      <c r="EN136" s="146"/>
      <c r="EO136" s="146"/>
      <c r="EP136" s="146">
        <f>IF((RD[[#This Row],[33 kV_F7_Ex
Incomer5]]-DY135)*1000&lt;0,0,(RD[[#This Row],[33 kV_F7_Ex
Incomer5]]-DY135)*1000)</f>
        <v>0</v>
      </c>
      <c r="EQ136" s="146">
        <f>IF((RD[[#This Row],[33 kV_F7_Im
Incomer5]]-DZ135)*1000&lt;0,0,(RD[[#This Row],[33 kV_F7_Im
Incomer5]]-DZ135)*1000)</f>
        <v>0</v>
      </c>
      <c r="ER136" s="146"/>
      <c r="ES136" s="331">
        <f>IF((RD[[#This Row],[33kV_OG1_Ex_]]-EB135)*1000&lt;=0,0,(RD[[#This Row],[33kV_OG1_Ex_]]-EB135)*1000)</f>
        <v>0</v>
      </c>
      <c r="ET136" s="330">
        <f>IFERROR(IF((RD[[#This Row],[33kV_OG1_Im]]-EC135)*1000&lt;=0,0,(RD[[#This Row],[33kV_OG1_Im]]-EC135)*1000),0)</f>
        <v>0</v>
      </c>
      <c r="EU136" s="330">
        <f>(RD[[#This Row],[132kV_TX1_EX]]-EE133)</f>
        <v>0</v>
      </c>
      <c r="EV136" s="330">
        <f>IF((RD[[#This Row],[132 kV_Tx1_Im]]-EE135)*800000&lt;=0,0,(RD[[#This Row],[132 kV_Tx1_Im]]-EE135)*800000)</f>
        <v>0</v>
      </c>
      <c r="EW136" s="330">
        <f>IF((RD[[#This Row],[132kV_L1_Ex]]-EF135)*1600000&lt;=0,0,(RD[[#This Row],[132kV_L1_Ex]]-EF135)*1600000)</f>
        <v>0</v>
      </c>
      <c r="EX136" s="330" t="str">
        <f>IF((RD[[#This Row],[132kV_L1_Im]]-EG135)*1600000&lt;=0,"",(RD[[#This Row],[132kV_L1_Im]]-EG135)*1600000)</f>
        <v/>
      </c>
      <c r="EY136" s="330">
        <f>IFERROR(RD[[#This Row],[33kV_OG1_Ex (MWh)]]+RD[[#This Row],[33kV_OG1_Im (MWh)]],"")</f>
        <v>0</v>
      </c>
      <c r="EZ136" s="148">
        <f>RD[[#This Row],[33kV_OG1_Ex (MWh)]]-RD[[#This Row],[33kV_OG1_Im (MWh)]]</f>
        <v>0</v>
      </c>
      <c r="FA136" s="148" t="str">
        <f>IFERROR(RD[[#This Row],[132kV_L1_Ex(MWh)]]-RD[[#This Row],[132kV_L1_Im(MWh)]],"")</f>
        <v/>
      </c>
      <c r="FB136" s="332" t="str">
        <f>IFERROR(RD[[#This Row],[33kV_Ex(MWh)]]/RD[[#This Row],[Inv Total Gneration (MWh)]]-1,"")</f>
        <v/>
      </c>
      <c r="FC136" s="333">
        <f>IFERROR((RD[[#This Row],[Sunset Time (POA&lt;20 W/m2)]]-RD[[#This Row],[Sunrise Time (POA&gt;20 W/m2)]])*24,0)</f>
        <v>0</v>
      </c>
      <c r="FD136" s="334"/>
      <c r="FE136"/>
      <c r="FG136" s="144" t="str">
        <f>IFERROR(RD[[#This Row],[E_AC (WPR)]]/RD[[#This Row],[E_DC (WPR)]],"")</f>
        <v/>
      </c>
    </row>
    <row r="139" spans="1:163">
      <c r="W139" s="144"/>
      <c r="DS139" s="143"/>
      <c r="EH139" s="144"/>
      <c r="ES139" s="161"/>
      <c r="ET139" s="144"/>
    </row>
  </sheetData>
  <mergeCells count="1">
    <mergeCell ref="EI3:FC3"/>
  </mergeCells>
  <phoneticPr fontId="91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EP7:EQ79 EP84:EQ100" calculatedColumn="1"/>
    <ignoredError sqref="EP6:EQ6 EP5:EQ5" evalError="1" calculatedColumn="1"/>
    <ignoredError sqref="EI5:EO5 EI6:EO6" evalError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C070-8739-404E-9727-9BC0D0417DB9}">
  <dimension ref="B1:BY36"/>
  <sheetViews>
    <sheetView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P1" sqref="P1"/>
    </sheetView>
  </sheetViews>
  <sheetFormatPr defaultRowHeight="15"/>
  <cols>
    <col min="1" max="1" width="1.140625" customWidth="1"/>
    <col min="2" max="2" width="11.42578125" customWidth="1"/>
    <col min="3" max="48" width="12.7109375" bestFit="1" customWidth="1"/>
    <col min="49" max="72" width="13.5703125" bestFit="1" customWidth="1"/>
    <col min="73" max="76" width="13.5703125" customWidth="1"/>
    <col min="77" max="77" width="10.42578125" bestFit="1" customWidth="1"/>
  </cols>
  <sheetData>
    <row r="1" spans="2:77">
      <c r="C1">
        <v>1596.3050000000001</v>
      </c>
      <c r="D1">
        <v>1596.3050000000001</v>
      </c>
      <c r="E1">
        <v>1501.4749999999999</v>
      </c>
      <c r="F1">
        <v>1515.25</v>
      </c>
      <c r="G1">
        <v>1560.49</v>
      </c>
      <c r="H1">
        <v>1614.14</v>
      </c>
      <c r="I1">
        <v>1534.97</v>
      </c>
      <c r="J1">
        <v>1706.94</v>
      </c>
      <c r="K1">
        <v>1584.75</v>
      </c>
      <c r="L1">
        <v>1522.2</v>
      </c>
      <c r="M1">
        <v>1522.3</v>
      </c>
      <c r="N1">
        <v>1590.36</v>
      </c>
      <c r="O1">
        <v>1553.53</v>
      </c>
      <c r="P1">
        <v>1606.26</v>
      </c>
      <c r="Q1">
        <v>1620.06</v>
      </c>
      <c r="R1">
        <v>1553.5300000000002</v>
      </c>
      <c r="S1">
        <v>2199.9699999999998</v>
      </c>
      <c r="T1">
        <v>2469.9299999999998</v>
      </c>
      <c r="U1">
        <v>2126.86</v>
      </c>
      <c r="V1">
        <v>2215.89</v>
      </c>
      <c r="W1">
        <v>2424.4</v>
      </c>
      <c r="X1">
        <v>1474.5050000000001</v>
      </c>
      <c r="Y1">
        <v>2181.09</v>
      </c>
      <c r="Z1">
        <v>2227.96</v>
      </c>
      <c r="AA1">
        <v>2182.4</v>
      </c>
      <c r="AB1">
        <v>2201.1000000000004</v>
      </c>
      <c r="AC1">
        <v>2181.09</v>
      </c>
      <c r="AD1">
        <v>2212.7000000000003</v>
      </c>
      <c r="AE1">
        <v>1784.1</v>
      </c>
      <c r="AF1">
        <v>1866.15</v>
      </c>
      <c r="AG1">
        <v>1834.25</v>
      </c>
      <c r="AH1">
        <v>1866.1</v>
      </c>
      <c r="AI1">
        <v>1834.25</v>
      </c>
      <c r="AJ1">
        <v>1898.05</v>
      </c>
      <c r="AK1">
        <v>1882.1</v>
      </c>
      <c r="AL1">
        <v>1850.2</v>
      </c>
      <c r="AM1">
        <v>1485.67</v>
      </c>
      <c r="AN1">
        <v>1485.67</v>
      </c>
      <c r="AO1">
        <v>1485.67</v>
      </c>
      <c r="AP1">
        <v>1485.67</v>
      </c>
      <c r="AQ1">
        <v>1519.6000000000001</v>
      </c>
      <c r="AR1">
        <v>1501.4749999999999</v>
      </c>
      <c r="AS1">
        <v>2133.6750000000002</v>
      </c>
      <c r="AT1">
        <v>2386.5500000000002</v>
      </c>
      <c r="AU1">
        <v>1722.7450000000001</v>
      </c>
      <c r="AV1">
        <v>2117.8700000000003</v>
      </c>
      <c r="AW1">
        <v>2169.1999999999998</v>
      </c>
      <c r="AX1">
        <v>2041.6</v>
      </c>
      <c r="AY1">
        <v>1924.95</v>
      </c>
      <c r="AZ1">
        <v>1977.8</v>
      </c>
      <c r="BA1">
        <v>2280.84</v>
      </c>
      <c r="BB1">
        <v>2248.9499999999998</v>
      </c>
      <c r="BC1">
        <v>2233</v>
      </c>
      <c r="BD1">
        <v>2262.002</v>
      </c>
      <c r="BE1">
        <v>1471.87</v>
      </c>
      <c r="BF1">
        <v>1201.18</v>
      </c>
      <c r="BG1">
        <v>1390.84</v>
      </c>
      <c r="BH1">
        <v>1390.84</v>
      </c>
      <c r="BI1">
        <v>1534.68</v>
      </c>
      <c r="BJ1">
        <v>1456.38</v>
      </c>
      <c r="BK1">
        <v>1597.32</v>
      </c>
      <c r="BL1">
        <v>1583.58</v>
      </c>
      <c r="BM1">
        <v>1659.2850000000001</v>
      </c>
      <c r="BN1">
        <v>1738.31</v>
      </c>
      <c r="BO1">
        <v>1817.575</v>
      </c>
      <c r="BP1">
        <v>1801.829</v>
      </c>
      <c r="BQ1">
        <v>1499.3</v>
      </c>
      <c r="BR1">
        <v>1351.7</v>
      </c>
      <c r="BS1">
        <v>1320.57</v>
      </c>
      <c r="BT1">
        <v>1421.7</v>
      </c>
      <c r="BU1">
        <v>641.87940000000003</v>
      </c>
      <c r="BV1">
        <v>172.8</v>
      </c>
      <c r="BW1">
        <v>1387.65</v>
      </c>
      <c r="BX1">
        <v>1515.25</v>
      </c>
    </row>
    <row r="2" spans="2:77">
      <c r="C2">
        <v>8</v>
      </c>
      <c r="D2">
        <f>C2+1</f>
        <v>9</v>
      </c>
      <c r="E2">
        <f t="shared" ref="E2:AV2" si="0">D2+1</f>
        <v>10</v>
      </c>
      <c r="F2">
        <f t="shared" si="0"/>
        <v>11</v>
      </c>
      <c r="G2">
        <f t="shared" si="0"/>
        <v>12</v>
      </c>
      <c r="H2">
        <f t="shared" si="0"/>
        <v>13</v>
      </c>
      <c r="I2">
        <f t="shared" si="0"/>
        <v>14</v>
      </c>
      <c r="J2">
        <f t="shared" si="0"/>
        <v>15</v>
      </c>
      <c r="K2">
        <f t="shared" si="0"/>
        <v>16</v>
      </c>
      <c r="L2">
        <f t="shared" si="0"/>
        <v>17</v>
      </c>
      <c r="M2">
        <f t="shared" si="0"/>
        <v>18</v>
      </c>
      <c r="N2">
        <f t="shared" si="0"/>
        <v>19</v>
      </c>
      <c r="O2">
        <f t="shared" si="0"/>
        <v>20</v>
      </c>
      <c r="P2">
        <f t="shared" si="0"/>
        <v>21</v>
      </c>
      <c r="Q2">
        <f t="shared" si="0"/>
        <v>22</v>
      </c>
      <c r="R2">
        <f t="shared" si="0"/>
        <v>23</v>
      </c>
      <c r="S2">
        <f t="shared" si="0"/>
        <v>24</v>
      </c>
      <c r="T2">
        <f t="shared" si="0"/>
        <v>25</v>
      </c>
      <c r="U2">
        <f t="shared" si="0"/>
        <v>26</v>
      </c>
      <c r="V2">
        <f t="shared" si="0"/>
        <v>27</v>
      </c>
      <c r="W2">
        <f t="shared" si="0"/>
        <v>28</v>
      </c>
      <c r="X2">
        <f t="shared" si="0"/>
        <v>29</v>
      </c>
      <c r="Y2">
        <f t="shared" si="0"/>
        <v>30</v>
      </c>
      <c r="Z2">
        <f t="shared" si="0"/>
        <v>31</v>
      </c>
      <c r="AA2">
        <f t="shared" si="0"/>
        <v>32</v>
      </c>
      <c r="AB2">
        <f t="shared" si="0"/>
        <v>33</v>
      </c>
      <c r="AC2">
        <f t="shared" si="0"/>
        <v>34</v>
      </c>
      <c r="AD2">
        <f t="shared" si="0"/>
        <v>35</v>
      </c>
      <c r="AE2">
        <f t="shared" si="0"/>
        <v>36</v>
      </c>
      <c r="AF2">
        <f t="shared" si="0"/>
        <v>37</v>
      </c>
      <c r="AG2">
        <f t="shared" si="0"/>
        <v>38</v>
      </c>
      <c r="AH2">
        <f t="shared" si="0"/>
        <v>39</v>
      </c>
      <c r="AI2">
        <f t="shared" si="0"/>
        <v>40</v>
      </c>
      <c r="AJ2">
        <f t="shared" si="0"/>
        <v>41</v>
      </c>
      <c r="AK2">
        <f t="shared" si="0"/>
        <v>42</v>
      </c>
      <c r="AL2">
        <f t="shared" si="0"/>
        <v>43</v>
      </c>
      <c r="AM2">
        <f t="shared" si="0"/>
        <v>44</v>
      </c>
      <c r="AN2">
        <f t="shared" si="0"/>
        <v>45</v>
      </c>
      <c r="AO2">
        <f t="shared" si="0"/>
        <v>46</v>
      </c>
      <c r="AP2">
        <f t="shared" si="0"/>
        <v>47</v>
      </c>
      <c r="AQ2">
        <f t="shared" si="0"/>
        <v>48</v>
      </c>
      <c r="AR2">
        <f t="shared" si="0"/>
        <v>49</v>
      </c>
      <c r="AS2">
        <f t="shared" si="0"/>
        <v>50</v>
      </c>
      <c r="AT2">
        <f t="shared" si="0"/>
        <v>51</v>
      </c>
      <c r="AU2">
        <f t="shared" si="0"/>
        <v>52</v>
      </c>
      <c r="AV2">
        <f t="shared" si="0"/>
        <v>53</v>
      </c>
      <c r="AW2">
        <f t="shared" ref="AW2" si="1">AV2+1</f>
        <v>54</v>
      </c>
      <c r="AX2">
        <f t="shared" ref="AX2" si="2">AW2+1</f>
        <v>55</v>
      </c>
      <c r="AY2">
        <f t="shared" ref="AY2" si="3">AX2+1</f>
        <v>56</v>
      </c>
      <c r="AZ2">
        <f t="shared" ref="AZ2" si="4">AY2+1</f>
        <v>57</v>
      </c>
      <c r="BA2">
        <f t="shared" ref="BA2" si="5">AZ2+1</f>
        <v>58</v>
      </c>
      <c r="BB2">
        <f t="shared" ref="BB2" si="6">BA2+1</f>
        <v>59</v>
      </c>
      <c r="BC2">
        <f t="shared" ref="BC2" si="7">BB2+1</f>
        <v>60</v>
      </c>
      <c r="BD2">
        <f t="shared" ref="BD2" si="8">BC2+1</f>
        <v>61</v>
      </c>
      <c r="BE2">
        <f t="shared" ref="BE2" si="9">BD2+1</f>
        <v>62</v>
      </c>
      <c r="BF2">
        <f t="shared" ref="BF2" si="10">BE2+1</f>
        <v>63</v>
      </c>
      <c r="BG2">
        <f t="shared" ref="BG2" si="11">BF2+1</f>
        <v>64</v>
      </c>
      <c r="BH2">
        <f t="shared" ref="BH2" si="12">BG2+1</f>
        <v>65</v>
      </c>
      <c r="BI2">
        <f t="shared" ref="BI2" si="13">BH2+1</f>
        <v>66</v>
      </c>
      <c r="BJ2">
        <f t="shared" ref="BJ2" si="14">BI2+1</f>
        <v>67</v>
      </c>
      <c r="BK2">
        <f t="shared" ref="BK2" si="15">BJ2+1</f>
        <v>68</v>
      </c>
      <c r="BL2">
        <f t="shared" ref="BL2" si="16">BK2+1</f>
        <v>69</v>
      </c>
      <c r="BM2">
        <f t="shared" ref="BM2" si="17">BL2+1</f>
        <v>70</v>
      </c>
      <c r="BN2">
        <f t="shared" ref="BN2" si="18">BM2+1</f>
        <v>71</v>
      </c>
      <c r="BO2">
        <f t="shared" ref="BO2" si="19">BN2+1</f>
        <v>72</v>
      </c>
      <c r="BP2">
        <f t="shared" ref="BP2" si="20">BO2+1</f>
        <v>73</v>
      </c>
      <c r="BQ2">
        <f t="shared" ref="BQ2" si="21">BP2+1</f>
        <v>74</v>
      </c>
      <c r="BR2">
        <f t="shared" ref="BR2" si="22">BQ2+1</f>
        <v>75</v>
      </c>
      <c r="BS2">
        <f t="shared" ref="BS2" si="23">BR2+1</f>
        <v>76</v>
      </c>
      <c r="BT2">
        <f t="shared" ref="BT2" si="24">BS2+1</f>
        <v>77</v>
      </c>
      <c r="BU2">
        <f t="shared" ref="BU2" si="25">BT2+1</f>
        <v>78</v>
      </c>
      <c r="BV2">
        <f t="shared" ref="BV2" si="26">BU2+1</f>
        <v>79</v>
      </c>
      <c r="BW2">
        <f t="shared" ref="BW2" si="27">BV2+1</f>
        <v>80</v>
      </c>
      <c r="BX2">
        <f t="shared" ref="BX2" si="28">BW2+1</f>
        <v>81</v>
      </c>
      <c r="BY2">
        <f t="shared" ref="BY2" si="29">BX2+1</f>
        <v>82</v>
      </c>
    </row>
    <row r="3" spans="2:77" ht="21" customHeight="1">
      <c r="B3" s="177" t="s">
        <v>68</v>
      </c>
      <c r="C3" s="178" t="s">
        <v>117</v>
      </c>
      <c r="D3" s="178" t="s">
        <v>118</v>
      </c>
      <c r="E3" s="178" t="s">
        <v>119</v>
      </c>
      <c r="F3" s="178" t="s">
        <v>120</v>
      </c>
      <c r="G3" s="178" t="s">
        <v>121</v>
      </c>
      <c r="H3" s="178" t="s">
        <v>122</v>
      </c>
      <c r="I3" s="178" t="s">
        <v>123</v>
      </c>
      <c r="J3" s="178" t="s">
        <v>124</v>
      </c>
      <c r="K3" s="178" t="s">
        <v>125</v>
      </c>
      <c r="L3" s="178" t="s">
        <v>126</v>
      </c>
      <c r="M3" s="178" t="s">
        <v>127</v>
      </c>
      <c r="N3" s="178" t="s">
        <v>128</v>
      </c>
      <c r="O3" s="178" t="s">
        <v>129</v>
      </c>
      <c r="P3" s="178" t="s">
        <v>130</v>
      </c>
      <c r="Q3" s="178" t="s">
        <v>131</v>
      </c>
      <c r="R3" s="178" t="s">
        <v>132</v>
      </c>
      <c r="S3" s="178" t="s">
        <v>133</v>
      </c>
      <c r="T3" s="178" t="s">
        <v>134</v>
      </c>
      <c r="U3" s="178" t="s">
        <v>135</v>
      </c>
      <c r="V3" s="178" t="s">
        <v>136</v>
      </c>
      <c r="W3" s="178" t="s">
        <v>137</v>
      </c>
      <c r="X3" s="178" t="s">
        <v>138</v>
      </c>
      <c r="Y3" s="178" t="s">
        <v>139</v>
      </c>
      <c r="Z3" s="178" t="s">
        <v>140</v>
      </c>
      <c r="AA3" s="178" t="s">
        <v>141</v>
      </c>
      <c r="AB3" s="178" t="s">
        <v>142</v>
      </c>
      <c r="AC3" s="178" t="s">
        <v>143</v>
      </c>
      <c r="AD3" s="178" t="s">
        <v>144</v>
      </c>
      <c r="AE3" s="178" t="s">
        <v>145</v>
      </c>
      <c r="AF3" s="178" t="s">
        <v>146</v>
      </c>
      <c r="AG3" s="178" t="s">
        <v>147</v>
      </c>
      <c r="AH3" s="178" t="s">
        <v>148</v>
      </c>
      <c r="AI3" s="178" t="s">
        <v>149</v>
      </c>
      <c r="AJ3" s="178" t="s">
        <v>150</v>
      </c>
      <c r="AK3" s="178" t="s">
        <v>151</v>
      </c>
      <c r="AL3" s="178" t="s">
        <v>152</v>
      </c>
      <c r="AM3" s="178" t="s">
        <v>153</v>
      </c>
      <c r="AN3" s="178" t="s">
        <v>154</v>
      </c>
      <c r="AO3" s="178" t="s">
        <v>155</v>
      </c>
      <c r="AP3" s="178" t="s">
        <v>156</v>
      </c>
      <c r="AQ3" s="178" t="s">
        <v>157</v>
      </c>
      <c r="AR3" s="178" t="s">
        <v>158</v>
      </c>
      <c r="AS3" s="178" t="s">
        <v>159</v>
      </c>
      <c r="AT3" s="178" t="s">
        <v>160</v>
      </c>
      <c r="AU3" s="178" t="s">
        <v>161</v>
      </c>
      <c r="AV3" s="178" t="s">
        <v>162</v>
      </c>
      <c r="AW3" s="178" t="s">
        <v>163</v>
      </c>
      <c r="AX3" s="178" t="s">
        <v>164</v>
      </c>
      <c r="AY3" s="178" t="s">
        <v>165</v>
      </c>
      <c r="AZ3" s="178" t="s">
        <v>166</v>
      </c>
      <c r="BA3" s="178" t="s">
        <v>167</v>
      </c>
      <c r="BB3" s="178" t="s">
        <v>168</v>
      </c>
      <c r="BC3" s="178" t="s">
        <v>169</v>
      </c>
      <c r="BD3" s="178" t="s">
        <v>170</v>
      </c>
      <c r="BE3" s="178" t="s">
        <v>171</v>
      </c>
      <c r="BF3" s="178" t="s">
        <v>172</v>
      </c>
      <c r="BG3" s="178" t="s">
        <v>173</v>
      </c>
      <c r="BH3" s="178" t="s">
        <v>174</v>
      </c>
      <c r="BI3" s="178" t="s">
        <v>175</v>
      </c>
      <c r="BJ3" s="178" t="s">
        <v>176</v>
      </c>
      <c r="BK3" s="178" t="s">
        <v>177</v>
      </c>
      <c r="BL3" s="178" t="s">
        <v>178</v>
      </c>
      <c r="BM3" s="178" t="s">
        <v>179</v>
      </c>
      <c r="BN3" s="178" t="s">
        <v>180</v>
      </c>
      <c r="BO3" s="178" t="s">
        <v>181</v>
      </c>
      <c r="BP3" s="178" t="s">
        <v>182</v>
      </c>
      <c r="BQ3" s="178" t="s">
        <v>183</v>
      </c>
      <c r="BR3" s="178" t="s">
        <v>184</v>
      </c>
      <c r="BS3" s="178" t="s">
        <v>185</v>
      </c>
      <c r="BT3" s="178" t="s">
        <v>186</v>
      </c>
      <c r="BU3" s="178" t="s">
        <v>187</v>
      </c>
      <c r="BV3" s="178" t="s">
        <v>188</v>
      </c>
      <c r="BW3" s="178" t="s">
        <v>189</v>
      </c>
      <c r="BX3" s="178" t="s">
        <v>190</v>
      </c>
      <c r="BY3" s="178" t="s">
        <v>301</v>
      </c>
    </row>
    <row r="4" spans="2:77">
      <c r="B4" s="179">
        <f>O2Summary!B5-31</f>
        <v>45822</v>
      </c>
      <c r="C4" s="174">
        <f>IFERROR(VLOOKUP($B4,RD[#All],C$2,0)/C$1,"")</f>
        <v>4.7476516079320676</v>
      </c>
      <c r="D4" s="174">
        <f>IFERROR(VLOOKUP($B4,RD[#All],D$2,0)/D$1,"")</f>
        <v>4.7570483084372972</v>
      </c>
      <c r="E4" s="174">
        <f>IFERROR(VLOOKUP($B4,RD[#All],E$2,0)/E$1,"")</f>
        <v>4.7126325779650013</v>
      </c>
      <c r="F4" s="174">
        <f>IFERROR(VLOOKUP($B4,RD[#All],F$2,0)/F$1,"")</f>
        <v>4.6021448605840618</v>
      </c>
      <c r="G4" s="174">
        <f>IFERROR(VLOOKUP($B4,RD[#All],G$2,0)/G$1,"")</f>
        <v>4.6539228062980218</v>
      </c>
      <c r="H4" s="174">
        <f>IFERROR(VLOOKUP($B4,RD[#All],H$2,0)/H$1,"")</f>
        <v>4.6774133594359846</v>
      </c>
      <c r="I4" s="174">
        <f>IFERROR(VLOOKUP($B4,RD[#All],I$2,0)/I$1,"")</f>
        <v>4.7410047101897757</v>
      </c>
      <c r="J4" s="174">
        <f>IFERROR(VLOOKUP($B4,RD[#All],J$2,0)/J$1,"")</f>
        <v>4.6837030006912954</v>
      </c>
      <c r="K4" s="174">
        <f>IFERROR(VLOOKUP($B4,RD[#All],K$2,0)/K$1,"")</f>
        <v>4.6742388389335856</v>
      </c>
      <c r="L4" s="174">
        <f>IFERROR(VLOOKUP($B4,RD[#All],L$2,0)/L$1,"")</f>
        <v>4.6978715017737489</v>
      </c>
      <c r="M4" s="174">
        <f>IFERROR(VLOOKUP($B4,RD[#All],M$2,0)/M$1,"")</f>
        <v>4.9875188858963408</v>
      </c>
      <c r="N4" s="174">
        <f>IFERROR(VLOOKUP($B4,RD[#All],N$2,0)/N$1,"")</f>
        <v>4.8058930053572784</v>
      </c>
      <c r="O4" s="174">
        <f>IFERROR(VLOOKUP($B4,RD[#All],O$2,0)/O$1,"")</f>
        <v>5.0839700552934293</v>
      </c>
      <c r="P4" s="174">
        <f>IFERROR(VLOOKUP($B4,RD[#All],P$2,0)/P$1,"")</f>
        <v>4.8810279780359345</v>
      </c>
      <c r="Q4" s="174">
        <f>IFERROR(VLOOKUP($B4,RD[#All],Q$2,0)/Q$1,"")</f>
        <v>4.7268619680752568</v>
      </c>
      <c r="R4" s="174">
        <f>IFERROR(VLOOKUP($B4,RD[#All],R$2,0)/R$1,"")</f>
        <v>4.7480254645871005</v>
      </c>
      <c r="S4" s="174">
        <f>IFERROR(VLOOKUP($B4,RD[#All],S$2,0)/S$1,"")</f>
        <v>4.8889757587603473</v>
      </c>
      <c r="T4" s="174">
        <f>IFERROR(VLOOKUP($B4,RD[#All],T$2,0)/T$1,"")</f>
        <v>4.8299344515836484</v>
      </c>
      <c r="U4" s="174">
        <f>IFERROR(VLOOKUP($B4,RD[#All],U$2,0)/U$1,"")</f>
        <v>4.8011152591143746</v>
      </c>
      <c r="V4" s="174">
        <f>IFERROR(VLOOKUP($B4,RD[#All],V$2,0)/V$1,"")</f>
        <v>4.8752420020849412</v>
      </c>
      <c r="W4" s="174">
        <f>IFERROR(VLOOKUP($B4,RD[#All],W$2,0)/W$1,"")</f>
        <v>4.7496700214486056</v>
      </c>
      <c r="X4" s="174">
        <f>IFERROR(VLOOKUP($B4,RD[#All],X$2,0)/X$1,"")</f>
        <v>4.8697020355983867</v>
      </c>
      <c r="Y4" s="174">
        <f>IFERROR(VLOOKUP($B4,RD[#All],Y$2,0)/Y$1,"")</f>
        <v>5.0235891228697573</v>
      </c>
      <c r="Z4" s="174">
        <f>IFERROR(VLOOKUP($B4,RD[#All],Z$2,0)/Z$1,"")</f>
        <v>4.935232230381156</v>
      </c>
      <c r="AA4" s="174">
        <f>IFERROR(VLOOKUP($B4,RD[#All],AA$2,0)/AA$1,"")</f>
        <v>4.9714992668621694</v>
      </c>
      <c r="AB4" s="174">
        <f>IFERROR(VLOOKUP($B4,RD[#All],AB$2,0)/AB$1,"")</f>
        <v>4.9470719185861602</v>
      </c>
      <c r="AC4" s="174">
        <f>IFERROR(VLOOKUP($B4,RD[#All],AC$2,0)/AC$1,"")</f>
        <v>4.945187956480475</v>
      </c>
      <c r="AD4" s="174">
        <f>IFERROR(VLOOKUP($B4,RD[#All],AD$2,0)/AD$1,"")</f>
        <v>4.8937497175396567</v>
      </c>
      <c r="AE4" s="174">
        <f>IFERROR(VLOOKUP($B4,RD[#All],AE$2,0)/AE$1,"")</f>
        <v>4.953477944061432</v>
      </c>
      <c r="AF4" s="174">
        <f>IFERROR(VLOOKUP($B4,RD[#All],AF$2,0)/AF$1,"")</f>
        <v>4.8079736355598417</v>
      </c>
      <c r="AG4" s="174">
        <f>IFERROR(VLOOKUP($B4,RD[#All],AG$2,0)/AG$1,"")</f>
        <v>4.5920676025623548</v>
      </c>
      <c r="AH4" s="174">
        <f>IFERROR(VLOOKUP($B4,RD[#All],AH$2,0)/AH$1,"")</f>
        <v>4.4830394941321474</v>
      </c>
      <c r="AI4" s="174">
        <f>IFERROR(VLOOKUP($B4,RD[#All],AI$2,0)/AI$1,"")</f>
        <v>4.7768842851301621</v>
      </c>
      <c r="AJ4" s="174">
        <f>IFERROR(VLOOKUP($B4,RD[#All],AJ$2,0)/AJ$1,"")</f>
        <v>4.6761676457416828</v>
      </c>
      <c r="AK4" s="174">
        <f>IFERROR(VLOOKUP($B4,RD[#All],AK$2,0)/AK$1,"")</f>
        <v>4.7191435099091441</v>
      </c>
      <c r="AL4" s="174">
        <f>IFERROR(VLOOKUP($B4,RD[#All],AL$2,0)/AL$1,"")</f>
        <v>4.654091449573019</v>
      </c>
      <c r="AM4" s="174">
        <f>IFERROR(VLOOKUP($B4,RD[#All],AM$2,0)/AM$1,"")</f>
        <v>4.6060026789260062</v>
      </c>
      <c r="AN4" s="174">
        <f>IFERROR(VLOOKUP($B4,RD[#All],AN$2,0)/AN$1,"")</f>
        <v>4.5796172770534502</v>
      </c>
      <c r="AO4" s="174">
        <f>IFERROR(VLOOKUP($B4,RD[#All],AO$2,0)/AO$1,"")</f>
        <v>4.6564849529168653</v>
      </c>
      <c r="AP4" s="174">
        <f>IFERROR(VLOOKUP($B4,RD[#All],AP$2,0)/AP$1,"")</f>
        <v>4.6023679551986643</v>
      </c>
      <c r="AQ4" s="174">
        <f>IFERROR(VLOOKUP($B4,RD[#All],AQ$2,0)/AQ$1,"")</f>
        <v>4.568241642537509</v>
      </c>
      <c r="AR4" s="174">
        <f>IFERROR(VLOOKUP($B4,RD[#All],AR$2,0)/AR$1,"")</f>
        <v>4.5362060640370307</v>
      </c>
      <c r="AS4" s="174">
        <f>IFERROR(VLOOKUP($B4,RD[#All],AS$2,0)/AS$1,"")</f>
        <v>4.8292265691822793</v>
      </c>
      <c r="AT4" s="174">
        <f>IFERROR(VLOOKUP($B4,RD[#All],AT$2,0)/AT$1,"")</f>
        <v>4.7935304100060749</v>
      </c>
      <c r="AU4" s="174">
        <f>IFERROR(VLOOKUP($B4,RD[#All],AU$2,0)/AU$1,"")</f>
        <v>4.8132486235629761</v>
      </c>
      <c r="AV4" s="174">
        <f>IFERROR(VLOOKUP($B4,RD[#All],AV$2,0)/AV$1,"")</f>
        <v>4.5753516504790186</v>
      </c>
      <c r="AW4" s="174">
        <f>IFERROR(VLOOKUP($B4,RD[#All],AW$2,0)/AW$1,"")</f>
        <v>4.1789599852480181</v>
      </c>
      <c r="AX4" s="174">
        <f>IFERROR(VLOOKUP($B4,RD[#All],AX$2,0)/AX$1,"")</f>
        <v>4.3073079937304071</v>
      </c>
      <c r="AY4" s="174">
        <f>IFERROR(VLOOKUP($B4,RD[#All],AY$2,0)/AY$1,"")</f>
        <v>4.6368477103301391</v>
      </c>
      <c r="AZ4" s="174">
        <f>IFERROR(VLOOKUP($B4,RD[#All],AZ$2,0)/AZ$1,"")</f>
        <v>5.0215896450601685</v>
      </c>
      <c r="BA4" s="174">
        <f>IFERROR(VLOOKUP($B4,RD[#All],BA$2,0)/BA$1,"")</f>
        <v>3.9709054558846737</v>
      </c>
      <c r="BB4" s="174">
        <f>IFERROR(VLOOKUP($B4,RD[#All],BB$2,0)/BB$1,"")</f>
        <v>4.2255274683741302</v>
      </c>
      <c r="BC4" s="174">
        <f>IFERROR(VLOOKUP($B4,RD[#All],BC$2,0)/BC$1,"")</f>
        <v>4.832781012091357</v>
      </c>
      <c r="BD4" s="174">
        <f>IFERROR(VLOOKUP($B4,RD[#All],BD$2,0)/BD$1,"")</f>
        <v>4.918651707646589</v>
      </c>
      <c r="BE4" s="174">
        <f>IFERROR(VLOOKUP($B4,RD[#All],BE$2,0)/BE$1,"")</f>
        <v>5.2647312602335807</v>
      </c>
      <c r="BF4" s="174">
        <f>IFERROR(VLOOKUP($B4,RD[#All],BF$2,0)/BF$1,"")</f>
        <v>5.2030503338383918</v>
      </c>
      <c r="BG4" s="174">
        <f>IFERROR(VLOOKUP($B4,RD[#All],BG$2,0)/BG$1,"")</f>
        <v>5.3981766414540857</v>
      </c>
      <c r="BH4" s="174">
        <f>IFERROR(VLOOKUP($B4,RD[#All],BH$2,0)/BH$1,"")</f>
        <v>5.3592792844611887</v>
      </c>
      <c r="BI4" s="174">
        <f>IFERROR(VLOOKUP($B4,RD[#All],BI$2,0)/BI$1,"")</f>
        <v>5.1945682487554405</v>
      </c>
      <c r="BJ4" s="174">
        <f>IFERROR(VLOOKUP($B4,RD[#All],BJ$2,0)/BJ$1,"")</f>
        <v>5.320726733407489</v>
      </c>
      <c r="BK4" s="174">
        <f>IFERROR(VLOOKUP($B4,RD[#All],BK$2,0)/BK$1,"")</f>
        <v>5.2798437382615884</v>
      </c>
      <c r="BL4" s="174">
        <f>IFERROR(VLOOKUP($B4,RD[#All],BL$2,0)/BL$1,"")</f>
        <v>5.2873868071079455</v>
      </c>
      <c r="BM4" s="174">
        <f>IFERROR(VLOOKUP($B4,RD[#All],BM$2,0)/BM$1,"")</f>
        <v>5.4873032661658483</v>
      </c>
      <c r="BN4" s="174">
        <f>IFERROR(VLOOKUP($B4,RD[#All],BN$2,0)/BN$1,"")</f>
        <v>5.4092768263428272</v>
      </c>
      <c r="BO4" s="174">
        <f>IFERROR(VLOOKUP($B4,RD[#All],BO$2,0)/BO$1,"")</f>
        <v>4.9349270318968959</v>
      </c>
      <c r="BP4" s="174">
        <f>IFERROR(VLOOKUP($B4,RD[#All],BP$2,0)/BP$1,"")</f>
        <v>5.2946200777099275</v>
      </c>
      <c r="BQ4" s="174">
        <f>IFERROR(VLOOKUP($B4,RD[#All],BQ$2,0)/BQ$1,"")</f>
        <v>0</v>
      </c>
      <c r="BR4" s="174">
        <f>IFERROR(VLOOKUP($B4,RD[#All],BR$2,0)/BR$1,"")</f>
        <v>0</v>
      </c>
      <c r="BS4" s="174">
        <f>IFERROR(VLOOKUP($B4,RD[#All],BS$2,0)/BS$1,"")</f>
        <v>0</v>
      </c>
      <c r="BT4" s="174">
        <f>IFERROR(VLOOKUP($B4,RD[#All],BT$2,0)/BT$1,"")</f>
        <v>0</v>
      </c>
      <c r="BU4" s="174">
        <f>IFERROR(VLOOKUP($B4,RD[#All],BU$2,0)/BU$1,"")</f>
        <v>2.0533452234173581</v>
      </c>
      <c r="BV4" s="174">
        <f>IFERROR(VLOOKUP($B4,RD[#All],BV$2,0)/BV$1,"")</f>
        <v>6.4525462962962958</v>
      </c>
      <c r="BW4" s="174">
        <f>IFERROR(VLOOKUP($B4,RD[#All],BW$2,0)/BW$1,"")</f>
        <v>3.6046553525744964</v>
      </c>
      <c r="BX4" s="174">
        <f>IFERROR(VLOOKUP($B4,RD[#All],BX$2,0)/BX$1,"")</f>
        <v>5.4670846394984327</v>
      </c>
      <c r="BY4" s="180">
        <f>AVERAGEIF(Inv_SY_B[[#This Row],[IS1Inv1M1]:[IS14Inv2M4]],"&gt;="&amp;0.1,Inv_SY_B[[#This Row],[IS1Inv1M1]:[IS14Inv2M4]])</f>
        <v>4.8034159257307536</v>
      </c>
    </row>
    <row r="5" spans="2:77">
      <c r="B5" s="179">
        <f>B4+1</f>
        <v>45823</v>
      </c>
      <c r="C5" s="174">
        <f>IFERROR(VLOOKUP($B5,RD[#All],C$2,0)/C$1,"")</f>
        <v>4.5434926282884538</v>
      </c>
      <c r="D5" s="174">
        <f>IFERROR(VLOOKUP($B5,RD[#All],D$2,0)/D$1,"")</f>
        <v>4.584149019141079</v>
      </c>
      <c r="E5" s="174">
        <f>IFERROR(VLOOKUP($B5,RD[#All],E$2,0)/E$1,"")</f>
        <v>4.6484290447726409</v>
      </c>
      <c r="F5" s="174">
        <f>IFERROR(VLOOKUP($B5,RD[#All],F$2,0)/F$1,"")</f>
        <v>4.4131331463454879</v>
      </c>
      <c r="G5" s="174">
        <f>IFERROR(VLOOKUP($B5,RD[#All],G$2,0)/G$1,"")</f>
        <v>4.316016123140809</v>
      </c>
      <c r="H5" s="174">
        <f>IFERROR(VLOOKUP($B5,RD[#All],H$2,0)/H$1,"")</f>
        <v>4.4224168907281891</v>
      </c>
      <c r="I5" s="174">
        <f>IFERROR(VLOOKUP($B5,RD[#All],I$2,0)/I$1,"")</f>
        <v>4.5760503462608391</v>
      </c>
      <c r="J5" s="174">
        <f>IFERROR(VLOOKUP($B5,RD[#All],J$2,0)/J$1,"")</f>
        <v>4.4249358501177545</v>
      </c>
      <c r="K5" s="174">
        <f>IFERROR(VLOOKUP($B5,RD[#All],K$2,0)/K$1,"")</f>
        <v>4.3712888468212654</v>
      </c>
      <c r="L5" s="174">
        <f>IFERROR(VLOOKUP($B5,RD[#All],L$2,0)/L$1,"")</f>
        <v>4.2977269741164106</v>
      </c>
      <c r="M5" s="174">
        <f>IFERROR(VLOOKUP($B5,RD[#All],M$2,0)/M$1,"")</f>
        <v>4.376075674965513</v>
      </c>
      <c r="N5" s="174">
        <f>IFERROR(VLOOKUP($B5,RD[#All],N$2,0)/N$1,"")</f>
        <v>4.2115621620262083</v>
      </c>
      <c r="O5" s="174">
        <f>IFERROR(VLOOKUP($B5,RD[#All],O$2,0)/O$1,"")</f>
        <v>4.6696877433972954</v>
      </c>
      <c r="P5" s="174">
        <f>IFERROR(VLOOKUP($B5,RD[#All],P$2,0)/P$1,"")</f>
        <v>3.9165514922864295</v>
      </c>
      <c r="Q5" s="174">
        <f>IFERROR(VLOOKUP($B5,RD[#All],Q$2,0)/Q$1,"")</f>
        <v>4.3349629026085452</v>
      </c>
      <c r="R5" s="174">
        <f>IFERROR(VLOOKUP($B5,RD[#All],R$2,0)/R$1,"")</f>
        <v>4.4438794229915093</v>
      </c>
      <c r="S5" s="174">
        <f>IFERROR(VLOOKUP($B5,RD[#All],S$2,0)/S$1,"")</f>
        <v>4.2113756096674049</v>
      </c>
      <c r="T5" s="174">
        <f>IFERROR(VLOOKUP($B5,RD[#All],T$2,0)/T$1,"")</f>
        <v>3.9376824444417453</v>
      </c>
      <c r="U5" s="174">
        <f>IFERROR(VLOOKUP($B5,RD[#All],U$2,0)/U$1,"")</f>
        <v>4.4357409514495547</v>
      </c>
      <c r="V5" s="174">
        <f>IFERROR(VLOOKUP($B5,RD[#All],V$2,0)/V$1,"")</f>
        <v>4.5188614958323745</v>
      </c>
      <c r="W5" s="174">
        <f>IFERROR(VLOOKUP($B5,RD[#All],W$2,0)/W$1,"")</f>
        <v>3.9444398614090082</v>
      </c>
      <c r="X5" s="174">
        <f>IFERROR(VLOOKUP($B5,RD[#All],X$2,0)/X$1,"")</f>
        <v>4.096018663890594</v>
      </c>
      <c r="Y5" s="174">
        <f>IFERROR(VLOOKUP($B5,RD[#All],Y$2,0)/Y$1,"")</f>
        <v>4.1703001710154091</v>
      </c>
      <c r="Z5" s="174">
        <f>IFERROR(VLOOKUP($B5,RD[#All],Z$2,0)/Z$1,"")</f>
        <v>4.1035745704590747</v>
      </c>
      <c r="AA5" s="174">
        <f>IFERROR(VLOOKUP($B5,RD[#All],AA$2,0)/AA$1,"")</f>
        <v>4.0578720674486801</v>
      </c>
      <c r="AB5" s="174">
        <f>IFERROR(VLOOKUP($B5,RD[#All],AB$2,0)/AB$1,"")</f>
        <v>4.0242605969742389</v>
      </c>
      <c r="AC5" s="174">
        <f>IFERROR(VLOOKUP($B5,RD[#All],AC$2,0)/AC$1,"")</f>
        <v>4.0678284710855577</v>
      </c>
      <c r="AD5" s="174">
        <f>IFERROR(VLOOKUP($B5,RD[#All],AD$2,0)/AD$1,"")</f>
        <v>3.9725674515298048</v>
      </c>
      <c r="AE5" s="174">
        <f>IFERROR(VLOOKUP($B5,RD[#All],AE$2,0)/AE$1,"")</f>
        <v>3.9778039347570204</v>
      </c>
      <c r="AF5" s="174">
        <f>IFERROR(VLOOKUP($B5,RD[#All],AF$2,0)/AF$1,"")</f>
        <v>3.8757870482008414</v>
      </c>
      <c r="AG5" s="174">
        <f>IFERROR(VLOOKUP($B5,RD[#All],AG$2,0)/AG$1,"")</f>
        <v>3.8766798418972335</v>
      </c>
      <c r="AH5" s="174">
        <f>IFERROR(VLOOKUP($B5,RD[#All],AH$2,0)/AH$1,"")</f>
        <v>3.8437918653877068</v>
      </c>
      <c r="AI5" s="174">
        <f>IFERROR(VLOOKUP($B5,RD[#All],AI$2,0)/AI$1,"")</f>
        <v>3.8511108082322472</v>
      </c>
      <c r="AJ5" s="174">
        <f>IFERROR(VLOOKUP($B5,RD[#All],AJ$2,0)/AJ$1,"")</f>
        <v>3.8238191828455523</v>
      </c>
      <c r="AK5" s="174">
        <f>IFERROR(VLOOKUP($B5,RD[#All],AK$2,0)/AK$1,"")</f>
        <v>3.8020296477339146</v>
      </c>
      <c r="AL5" s="174">
        <f>IFERROR(VLOOKUP($B5,RD[#All],AL$2,0)/AL$1,"")</f>
        <v>3.8267754837314887</v>
      </c>
      <c r="AM5" s="174">
        <f>IFERROR(VLOOKUP($B5,RD[#All],AM$2,0)/AM$1,"")</f>
        <v>3.7787664824624576</v>
      </c>
      <c r="AN5" s="174">
        <f>IFERROR(VLOOKUP($B5,RD[#All],AN$2,0)/AN$1,"")</f>
        <v>3.8017863994022894</v>
      </c>
      <c r="AO5" s="174">
        <f>IFERROR(VLOOKUP($B5,RD[#All],AO$2,0)/AO$1,"")</f>
        <v>3.8238639805609589</v>
      </c>
      <c r="AP5" s="174">
        <f>IFERROR(VLOOKUP($B5,RD[#All],AP$2,0)/AP$1,"")</f>
        <v>3.8236620514649955</v>
      </c>
      <c r="AQ5" s="174">
        <f>IFERROR(VLOOKUP($B5,RD[#All],AQ$2,0)/AQ$1,"")</f>
        <v>3.7979073440379043</v>
      </c>
      <c r="AR5" s="174">
        <f>IFERROR(VLOOKUP($B5,RD[#All],AR$2,0)/AR$1,"")</f>
        <v>3.7916049218268704</v>
      </c>
      <c r="AS5" s="174">
        <f>IFERROR(VLOOKUP($B5,RD[#All],AS$2,0)/AS$1,"")</f>
        <v>3.8717236692560952</v>
      </c>
      <c r="AT5" s="174">
        <f>IFERROR(VLOOKUP($B5,RD[#All],AT$2,0)/AT$1,"")</f>
        <v>3.9189625191175539</v>
      </c>
      <c r="AU5" s="174">
        <f>IFERROR(VLOOKUP($B5,RD[#All],AU$2,0)/AU$1,"")</f>
        <v>3.8704509373122544</v>
      </c>
      <c r="AV5" s="174">
        <f>IFERROR(VLOOKUP($B5,RD[#All],AV$2,0)/AV$1,"")</f>
        <v>3.7130702073309498</v>
      </c>
      <c r="AW5" s="174">
        <f>IFERROR(VLOOKUP($B5,RD[#All],AW$2,0)/AW$1,"")</f>
        <v>4.0806288032454372</v>
      </c>
      <c r="AX5" s="174">
        <f>IFERROR(VLOOKUP($B5,RD[#All],AX$2,0)/AX$1,"")</f>
        <v>4.1653115203761759</v>
      </c>
      <c r="AY5" s="174">
        <f>IFERROR(VLOOKUP($B5,RD[#All],AY$2,0)/AY$1,"")</f>
        <v>4.7180965739369851</v>
      </c>
      <c r="AZ5" s="174">
        <f>IFERROR(VLOOKUP($B5,RD[#All],AZ$2,0)/AZ$1,"")</f>
        <v>5.0767519466073416</v>
      </c>
      <c r="BA5" s="174">
        <f>IFERROR(VLOOKUP($B5,RD[#All],BA$2,0)/BA$1,"")</f>
        <v>4.7526349941249713</v>
      </c>
      <c r="BB5" s="174">
        <f>IFERROR(VLOOKUP($B5,RD[#All],BB$2,0)/BB$1,"")</f>
        <v>4.8786767158007072</v>
      </c>
      <c r="BC5" s="174">
        <f>IFERROR(VLOOKUP($B5,RD[#All],BC$2,0)/BC$1,"")</f>
        <v>4.8437080161218091</v>
      </c>
      <c r="BD5" s="174">
        <f>IFERROR(VLOOKUP($B5,RD[#All],BD$2,0)/BD$1,"")</f>
        <v>4.9515429252494032</v>
      </c>
      <c r="BE5" s="174">
        <f>IFERROR(VLOOKUP($B5,RD[#All],BE$2,0)/BE$1,"")</f>
        <v>5.1658774212396477</v>
      </c>
      <c r="BF5" s="174">
        <f>IFERROR(VLOOKUP($B5,RD[#All],BF$2,0)/BF$1,"")</f>
        <v>5.1083101616743534</v>
      </c>
      <c r="BG5" s="174">
        <f>IFERROR(VLOOKUP($B5,RD[#All],BG$2,0)/BG$1,"")</f>
        <v>5.2412930315492803</v>
      </c>
      <c r="BH5" s="174">
        <f>IFERROR(VLOOKUP($B5,RD[#All],BH$2,0)/BH$1,"")</f>
        <v>4.4117224123551235</v>
      </c>
      <c r="BI5" s="174">
        <f>IFERROR(VLOOKUP($B5,RD[#All],BI$2,0)/BI$1,"")</f>
        <v>4.9880756900461334</v>
      </c>
      <c r="BJ5" s="174">
        <f>IFERROR(VLOOKUP($B5,RD[#All],BJ$2,0)/BJ$1,"")</f>
        <v>5.0439445749049003</v>
      </c>
      <c r="BK5" s="174">
        <f>IFERROR(VLOOKUP($B5,RD[#All],BK$2,0)/BK$1,"")</f>
        <v>4.9038389302080985</v>
      </c>
      <c r="BL5" s="174">
        <f>IFERROR(VLOOKUP($B5,RD[#All],BL$2,0)/BL$1,"")</f>
        <v>4.9692468962730016</v>
      </c>
      <c r="BM5" s="174">
        <f>IFERROR(VLOOKUP($B5,RD[#All],BM$2,0)/BM$1,"")</f>
        <v>5.3424215852008548</v>
      </c>
      <c r="BN5" s="174">
        <f>IFERROR(VLOOKUP($B5,RD[#All],BN$2,0)/BN$1,"")</f>
        <v>5.3139543579683712</v>
      </c>
      <c r="BO5" s="174">
        <f>IFERROR(VLOOKUP($B5,RD[#All],BO$2,0)/BO$1,"")</f>
        <v>4.7193650880981526</v>
      </c>
      <c r="BP5" s="174">
        <f>IFERROR(VLOOKUP($B5,RD[#All],BP$2,0)/BP$1,"")</f>
        <v>5.122350678116514</v>
      </c>
      <c r="BQ5" s="174">
        <f>IFERROR(VLOOKUP($B5,RD[#All],BQ$2,0)/BQ$1,"")</f>
        <v>0</v>
      </c>
      <c r="BR5" s="174">
        <f>IFERROR(VLOOKUP($B5,RD[#All],BR$2,0)/BR$1,"")</f>
        <v>0</v>
      </c>
      <c r="BS5" s="174">
        <f>IFERROR(VLOOKUP($B5,RD[#All],BS$2,0)/BS$1,"")</f>
        <v>0</v>
      </c>
      <c r="BT5" s="174">
        <f>IFERROR(VLOOKUP($B5,RD[#All],BT$2,0)/BT$1,"")</f>
        <v>0</v>
      </c>
      <c r="BU5" s="174">
        <f>IFERROR(VLOOKUP($B5,RD[#All],BU$2,0)/BU$1,"")</f>
        <v>1.9765395181711705</v>
      </c>
      <c r="BV5" s="174">
        <f>IFERROR(VLOOKUP($B5,RD[#All],BV$2,0)/BV$1,"")</f>
        <v>6.223958333333333</v>
      </c>
      <c r="BW5" s="174">
        <f>IFERROR(VLOOKUP($B5,RD[#All],BW$2,0)/BW$1,"")</f>
        <v>3.5009548517277413</v>
      </c>
      <c r="BX5" s="174">
        <f>IFERROR(VLOOKUP($B5,RD[#All],BX$2,0)/BX$1,"")</f>
        <v>5.2021118627289225</v>
      </c>
      <c r="BY5" s="174">
        <f>AVERAGEIF(Inv_SY_B[[#This Row],[IS1Inv1M1]:[IS14Inv2M4]],"&gt;="&amp;0.1,Inv_SY_B[[#This Row],[IS1Inv1M1]:[IS14Inv2M4]])</f>
        <v>4.340882769111837</v>
      </c>
    </row>
    <row r="6" spans="2:77">
      <c r="B6" s="179">
        <f t="shared" ref="B6:B34" si="30">B5+1</f>
        <v>45824</v>
      </c>
      <c r="C6" s="174">
        <f>IFERROR(VLOOKUP($B6,RD[#All],C$2,0)/C$1,"")</f>
        <v>3.9242500649938452</v>
      </c>
      <c r="D6" s="174">
        <f>IFERROR(VLOOKUP($B6,RD[#All],D$2,0)/D$1,"")</f>
        <v>3.9030761665220619</v>
      </c>
      <c r="E6" s="174">
        <f>IFERROR(VLOOKUP($B6,RD[#All],E$2,0)/E$1,"")</f>
        <v>3.953245974791455</v>
      </c>
      <c r="F6" s="174">
        <f>IFERROR(VLOOKUP($B6,RD[#All],F$2,0)/F$1,"")</f>
        <v>3.905824121432107</v>
      </c>
      <c r="G6" s="174">
        <f>IFERROR(VLOOKUP($B6,RD[#All],G$2,0)/G$1,"")</f>
        <v>3.8989035495261102</v>
      </c>
      <c r="H6" s="174">
        <f>IFERROR(VLOOKUP($B6,RD[#All],H$2,0)/H$1,"")</f>
        <v>3.9051755114178444</v>
      </c>
      <c r="I6" s="174">
        <f>IFERROR(VLOOKUP($B6,RD[#All],I$2,0)/I$1,"")</f>
        <v>3.9851593190746399</v>
      </c>
      <c r="J6" s="174">
        <f>IFERROR(VLOOKUP($B6,RD[#All],J$2,0)/J$1,"")</f>
        <v>3.8401466952558376</v>
      </c>
      <c r="K6" s="174">
        <f>IFERROR(VLOOKUP($B6,RD[#All],K$2,0)/K$1,"")</f>
        <v>3.884524372929484</v>
      </c>
      <c r="L6" s="174">
        <f>IFERROR(VLOOKUP($B6,RD[#All],L$2,0)/L$1,"")</f>
        <v>3.9201813165155697</v>
      </c>
      <c r="M6" s="174">
        <f>IFERROR(VLOOKUP($B6,RD[#All],M$2,0)/M$1,"")</f>
        <v>4.0995204624581225</v>
      </c>
      <c r="N6" s="174">
        <f>IFERROR(VLOOKUP($B6,RD[#All],N$2,0)/N$1,"")</f>
        <v>3.9556452627078147</v>
      </c>
      <c r="O6" s="174">
        <f>IFERROR(VLOOKUP($B6,RD[#All],O$2,0)/O$1,"")</f>
        <v>4.2322967692931579</v>
      </c>
      <c r="P6" s="174">
        <f>IFERROR(VLOOKUP($B6,RD[#All],P$2,0)/P$1,"")</f>
        <v>4.0662159301731968</v>
      </c>
      <c r="Q6" s="174">
        <f>IFERROR(VLOOKUP($B6,RD[#All],Q$2,0)/Q$1,"")</f>
        <v>3.933866646914312</v>
      </c>
      <c r="R6" s="174">
        <f>IFERROR(VLOOKUP($B6,RD[#All],R$2,0)/R$1,"")</f>
        <v>3.9777796373420529</v>
      </c>
      <c r="S6" s="174">
        <f>IFERROR(VLOOKUP($B6,RD[#All],S$2,0)/S$1,"")</f>
        <v>4.0568280476551957</v>
      </c>
      <c r="T6" s="174">
        <f>IFERROR(VLOOKUP($B6,RD[#All],T$2,0)/T$1,"")</f>
        <v>3.9957407699813361</v>
      </c>
      <c r="U6" s="174">
        <f>IFERROR(VLOOKUP($B6,RD[#All],U$2,0)/U$1,"")</f>
        <v>4.0096198151265243</v>
      </c>
      <c r="V6" s="174">
        <f>IFERROR(VLOOKUP($B6,RD[#All],V$2,0)/V$1,"")</f>
        <v>4.1098610490592948</v>
      </c>
      <c r="W6" s="174">
        <f>IFERROR(VLOOKUP($B6,RD[#All],W$2,0)/W$1,"")</f>
        <v>3.9878320409173402</v>
      </c>
      <c r="X6" s="174">
        <f>IFERROR(VLOOKUP($B6,RD[#All],X$2,0)/X$1,"")</f>
        <v>4.2129392575813576</v>
      </c>
      <c r="Y6" s="174">
        <f>IFERROR(VLOOKUP($B6,RD[#All],Y$2,0)/Y$1,"")</f>
        <v>4.2905611414476246</v>
      </c>
      <c r="Z6" s="174">
        <f>IFERROR(VLOOKUP($B6,RD[#All],Z$2,0)/Z$1,"")</f>
        <v>4.1483689114705831</v>
      </c>
      <c r="AA6" s="174">
        <f>IFERROR(VLOOKUP($B6,RD[#All],AA$2,0)/AA$1,"")</f>
        <v>4.1879582111436946</v>
      </c>
      <c r="AB6" s="174">
        <f>IFERROR(VLOOKUP($B6,RD[#All],AB$2,0)/AB$1,"")</f>
        <v>4.167279996365453</v>
      </c>
      <c r="AC6" s="174">
        <f>IFERROR(VLOOKUP($B6,RD[#All],AC$2,0)/AC$1,"")</f>
        <v>4.2470049378980237</v>
      </c>
      <c r="AD6" s="174">
        <f>IFERROR(VLOOKUP($B6,RD[#All],AD$2,0)/AD$1,"")</f>
        <v>4.1027703710399059</v>
      </c>
      <c r="AE6" s="174">
        <f>IFERROR(VLOOKUP($B6,RD[#All],AE$2,0)/AE$1,"")</f>
        <v>4.2785718289333561</v>
      </c>
      <c r="AF6" s="174">
        <f>IFERROR(VLOOKUP($B6,RD[#All],AF$2,0)/AF$1,"")</f>
        <v>4.1665460975805804</v>
      </c>
      <c r="AG6" s="174">
        <f>IFERROR(VLOOKUP($B6,RD[#All],AG$2,0)/AG$1,"")</f>
        <v>4.146872018536186</v>
      </c>
      <c r="AH6" s="174">
        <f>IFERROR(VLOOKUP($B6,RD[#All],AH$2,0)/AH$1,"")</f>
        <v>4.0878302341782327</v>
      </c>
      <c r="AI6" s="174">
        <f>IFERROR(VLOOKUP($B6,RD[#All],AI$2,0)/AI$1,"")</f>
        <v>4.1609922311571488</v>
      </c>
      <c r="AJ6" s="174">
        <f>IFERROR(VLOOKUP($B6,RD[#All],AJ$2,0)/AJ$1,"")</f>
        <v>4.1424093148231078</v>
      </c>
      <c r="AK6" s="174">
        <f>IFERROR(VLOOKUP($B6,RD[#All],AK$2,0)/AK$1,"")</f>
        <v>4.1303331385154882</v>
      </c>
      <c r="AL6" s="174">
        <f>IFERROR(VLOOKUP($B6,RD[#All],AL$2,0)/AL$1,"")</f>
        <v>4.1491190141606307</v>
      </c>
      <c r="AM6" s="174">
        <f>IFERROR(VLOOKUP($B6,RD[#All],AM$2,0)/AM$1,"")</f>
        <v>4.05244771719157</v>
      </c>
      <c r="AN6" s="174">
        <f>IFERROR(VLOOKUP($B6,RD[#All],AN$2,0)/AN$1,"")</f>
        <v>4.0346106470481331</v>
      </c>
      <c r="AO6" s="174">
        <f>IFERROR(VLOOKUP($B6,RD[#All],AO$2,0)/AO$1,"")</f>
        <v>4.046861012203248</v>
      </c>
      <c r="AP6" s="174">
        <f>IFERROR(VLOOKUP($B6,RD[#All],AP$2,0)/AP$1,"")</f>
        <v>4.0256584571270873</v>
      </c>
      <c r="AQ6" s="174">
        <f>IFERROR(VLOOKUP($B6,RD[#All],AQ$2,0)/AQ$1,"")</f>
        <v>3.9933535140826533</v>
      </c>
      <c r="AR6" s="174">
        <f>IFERROR(VLOOKUP($B6,RD[#All],AR$2,0)/AR$1,"")</f>
        <v>4.0000666011755106</v>
      </c>
      <c r="AS6" s="174">
        <f>IFERROR(VLOOKUP($B6,RD[#All],AS$2,0)/AS$1,"")</f>
        <v>4.1135599376662331</v>
      </c>
      <c r="AT6" s="174">
        <f>IFERROR(VLOOKUP($B6,RD[#All],AT$2,0)/AT$1,"")</f>
        <v>4.0187718673398836</v>
      </c>
      <c r="AU6" s="174">
        <f>IFERROR(VLOOKUP($B6,RD[#All],AU$2,0)/AU$1,"")</f>
        <v>4.2327796626894862</v>
      </c>
      <c r="AV6" s="174">
        <f>IFERROR(VLOOKUP($B6,RD[#All],AV$2,0)/AV$1,"")</f>
        <v>4.0105861077403233</v>
      </c>
      <c r="AW6" s="174">
        <f>IFERROR(VLOOKUP($B6,RD[#All],AW$2,0)/AW$1,"")</f>
        <v>3.6982297621242859</v>
      </c>
      <c r="AX6" s="174">
        <f>IFERROR(VLOOKUP($B6,RD[#All],AX$2,0)/AX$1,"")</f>
        <v>3.7966790752351098</v>
      </c>
      <c r="AY6" s="174">
        <f>IFERROR(VLOOKUP($B6,RD[#All],AY$2,0)/AY$1,"")</f>
        <v>4.1237434738564636</v>
      </c>
      <c r="AZ6" s="174">
        <f>IFERROR(VLOOKUP($B6,RD[#All],AZ$2,0)/AZ$1,"")</f>
        <v>4.3294569723935687</v>
      </c>
      <c r="BA6" s="174">
        <f>IFERROR(VLOOKUP($B6,RD[#All],BA$2,0)/BA$1,"")</f>
        <v>4.0018151207449888</v>
      </c>
      <c r="BB6" s="174">
        <f>IFERROR(VLOOKUP($B6,RD[#All],BB$2,0)/BB$1,"")</f>
        <v>4.0475332933146584</v>
      </c>
      <c r="BC6" s="174">
        <f>IFERROR(VLOOKUP($B6,RD[#All],BC$2,0)/BC$1,"")</f>
        <v>3.9802955665024631</v>
      </c>
      <c r="BD6" s="174">
        <f>IFERROR(VLOOKUP($B6,RD[#All],BD$2,0)/BD$1,"")</f>
        <v>4.1015878854218517</v>
      </c>
      <c r="BE6" s="174">
        <f>IFERROR(VLOOKUP($B6,RD[#All],BE$2,0)/BE$1,"")</f>
        <v>4.128014022977573</v>
      </c>
      <c r="BF6" s="174">
        <f>IFERROR(VLOOKUP($B6,RD[#All],BF$2,0)/BF$1,"")</f>
        <v>4.0536805474616626</v>
      </c>
      <c r="BG6" s="174">
        <f>IFERROR(VLOOKUP($B6,RD[#All],BG$2,0)/BG$1,"")</f>
        <v>4.1258520031060364</v>
      </c>
      <c r="BH6" s="174">
        <f>IFERROR(VLOOKUP($B6,RD[#All],BH$2,0)/BH$1,"")</f>
        <v>4.0877455350723304</v>
      </c>
      <c r="BI6" s="174">
        <f>IFERROR(VLOOKUP($B6,RD[#All],BI$2,0)/BI$1,"")</f>
        <v>4.0207730601819271</v>
      </c>
      <c r="BJ6" s="174">
        <f>IFERROR(VLOOKUP($B6,RD[#All],BJ$2,0)/BJ$1,"")</f>
        <v>3.9804858622062924</v>
      </c>
      <c r="BK6" s="174">
        <f>IFERROR(VLOOKUP($B6,RD[#All],BK$2,0)/BK$1,"")</f>
        <v>3.952933663887011</v>
      </c>
      <c r="BL6" s="174">
        <f>IFERROR(VLOOKUP($B6,RD[#All],BL$2,0)/BL$1,"")</f>
        <v>4.0411599035097696</v>
      </c>
      <c r="BM6" s="174">
        <f>IFERROR(VLOOKUP($B6,RD[#All],BM$2,0)/BM$1,"")</f>
        <v>4.1519690710155279</v>
      </c>
      <c r="BN6" s="174">
        <f>IFERROR(VLOOKUP($B6,RD[#All],BN$2,0)/BN$1,"")</f>
        <v>4.1099688778181109</v>
      </c>
      <c r="BO6" s="174">
        <f>IFERROR(VLOOKUP($B6,RD[#All],BO$2,0)/BO$1,"")</f>
        <v>3.6838094714110836</v>
      </c>
      <c r="BP6" s="174">
        <f>IFERROR(VLOOKUP($B6,RD[#All],BP$2,0)/BP$1,"")</f>
        <v>3.9797339259163884</v>
      </c>
      <c r="BQ6" s="174">
        <f>IFERROR(VLOOKUP($B6,RD[#All],BQ$2,0)/BQ$1,"")</f>
        <v>0</v>
      </c>
      <c r="BR6" s="174">
        <f>IFERROR(VLOOKUP($B6,RD[#All],BR$2,0)/BR$1,"")</f>
        <v>0</v>
      </c>
      <c r="BS6" s="174">
        <f>IFERROR(VLOOKUP($B6,RD[#All],BS$2,0)/BS$1,"")</f>
        <v>0</v>
      </c>
      <c r="BT6" s="174">
        <f>IFERROR(VLOOKUP($B6,RD[#All],BT$2,0)/BT$1,"")</f>
        <v>0</v>
      </c>
      <c r="BU6" s="174">
        <f>IFERROR(VLOOKUP($B6,RD[#All],BU$2,0)/BU$1,"")</f>
        <v>1.4128822330176041</v>
      </c>
      <c r="BV6" s="174">
        <f>IFERROR(VLOOKUP($B6,RD[#All],BV$2,0)/BV$1,"")</f>
        <v>4.390625</v>
      </c>
      <c r="BW6" s="174">
        <f>IFERROR(VLOOKUP($B6,RD[#All],BW$2,0)/BW$1,"")</f>
        <v>2.6162937340107373</v>
      </c>
      <c r="BX6" s="174">
        <f>IFERROR(VLOOKUP($B6,RD[#All],BX$2,0)/BX$1,"")</f>
        <v>3.9869328493647913</v>
      </c>
      <c r="BY6" s="174">
        <f>AVERAGEIF(Inv_SY_B[[#This Row],[IS1Inv1M1]:[IS14Inv2M4]],"&gt;="&amp;0.1,Inv_SY_B[[#This Row],[IS1Inv1M1]:[IS14Inv2M4]])</f>
        <v>3.9928020951961871</v>
      </c>
    </row>
    <row r="7" spans="2:77">
      <c r="B7" s="179">
        <f t="shared" si="30"/>
        <v>45825</v>
      </c>
      <c r="C7" s="174">
        <f>IFERROR(VLOOKUP($B7,RD[#All],C$2,0)/C$1,"")</f>
        <v>4.9044512170293268</v>
      </c>
      <c r="D7" s="174">
        <f>IFERROR(VLOOKUP($B7,RD[#All],D$2,0)/D$1,"")</f>
        <v>4.9487409987439737</v>
      </c>
      <c r="E7" s="174">
        <f>IFERROR(VLOOKUP($B7,RD[#All],E$2,0)/E$1,"")</f>
        <v>5.0546962153882022</v>
      </c>
      <c r="F7" s="174">
        <f>IFERROR(VLOOKUP($B7,RD[#All],F$2,0)/F$1,"")</f>
        <v>4.8958257713248639</v>
      </c>
      <c r="G7" s="174">
        <f>IFERROR(VLOOKUP($B7,RD[#All],G$2,0)/G$1,"")</f>
        <v>4.8190632429557381</v>
      </c>
      <c r="H7" s="174">
        <f>IFERROR(VLOOKUP($B7,RD[#All],H$2,0)/H$1,"")</f>
        <v>4.7865117028262727</v>
      </c>
      <c r="I7" s="174">
        <f>IFERROR(VLOOKUP($B7,RD[#All],I$2,0)/I$1,"")</f>
        <v>4.9836153149572953</v>
      </c>
      <c r="J7" s="174">
        <f>IFERROR(VLOOKUP($B7,RD[#All],J$2,0)/J$1,"")</f>
        <v>4.7591010814674215</v>
      </c>
      <c r="K7" s="174">
        <f>IFERROR(VLOOKUP($B7,RD[#All],K$2,0)/K$1,"")</f>
        <v>4.9134563811326712</v>
      </c>
      <c r="L7" s="174">
        <f>IFERROR(VLOOKUP($B7,RD[#All],L$2,0)/L$1,"")</f>
        <v>4.9728025226645647</v>
      </c>
      <c r="M7" s="174">
        <f>IFERROR(VLOOKUP($B7,RD[#All],M$2,0)/M$1,"")</f>
        <v>5.1753924981935233</v>
      </c>
      <c r="N7" s="174">
        <f>IFERROR(VLOOKUP($B7,RD[#All],N$2,0)/N$1,"")</f>
        <v>4.9936492366508212</v>
      </c>
      <c r="O7" s="174">
        <f>IFERROR(VLOOKUP($B7,RD[#All],O$2,0)/O$1,"")</f>
        <v>5.3444735537775259</v>
      </c>
      <c r="P7" s="174">
        <f>IFERROR(VLOOKUP($B7,RD[#All],P$2,0)/P$1,"")</f>
        <v>5.0867231954976155</v>
      </c>
      <c r="Q7" s="174">
        <f>IFERROR(VLOOKUP($B7,RD[#All],Q$2,0)/Q$1,"")</f>
        <v>4.9877165043270004</v>
      </c>
      <c r="R7" s="174">
        <f>IFERROR(VLOOKUP($B7,RD[#All],R$2,0)/R$1,"")</f>
        <v>5.0756663855863735</v>
      </c>
      <c r="S7" s="174">
        <f>IFERROR(VLOOKUP($B7,RD[#All],S$2,0)/S$1,"")</f>
        <v>5.0860693554912118</v>
      </c>
      <c r="T7" s="174">
        <f>IFERROR(VLOOKUP($B7,RD[#All],T$2,0)/T$1,"")</f>
        <v>4.8785188244201256</v>
      </c>
      <c r="U7" s="174">
        <f>IFERROR(VLOOKUP($B7,RD[#All],U$2,0)/U$1,"")</f>
        <v>5.0819047798162549</v>
      </c>
      <c r="V7" s="174">
        <f>IFERROR(VLOOKUP($B7,RD[#All],V$2,0)/V$1,"")</f>
        <v>5.2460185298006676</v>
      </c>
      <c r="W7" s="174">
        <f>IFERROR(VLOOKUP($B7,RD[#All],W$2,0)/W$1,"")</f>
        <v>4.9980201286916355</v>
      </c>
      <c r="X7" s="174">
        <f>IFERROR(VLOOKUP($B7,RD[#All],X$2,0)/X$1,"")</f>
        <v>5.2528136561083212</v>
      </c>
      <c r="Y7" s="174">
        <f>IFERROR(VLOOKUP($B7,RD[#All],Y$2,0)/Y$1,"")</f>
        <v>5.4058291954939959</v>
      </c>
      <c r="Z7" s="174">
        <f>IFERROR(VLOOKUP($B7,RD[#All],Z$2,0)/Z$1,"")</f>
        <v>5.2045368857609651</v>
      </c>
      <c r="AA7" s="174">
        <f>IFERROR(VLOOKUP($B7,RD[#All],AA$2,0)/AA$1,"")</f>
        <v>5.2527492668621703</v>
      </c>
      <c r="AB7" s="174">
        <f>IFERROR(VLOOKUP($B7,RD[#All],AB$2,0)/AB$1,"")</f>
        <v>5.1928581163963461</v>
      </c>
      <c r="AC7" s="174">
        <f>IFERROR(VLOOKUP($B7,RD[#All],AC$2,0)/AC$1,"")</f>
        <v>5.3183499993122698</v>
      </c>
      <c r="AD7" s="174">
        <f>IFERROR(VLOOKUP($B7,RD[#All],AD$2,0)/AD$1,"")</f>
        <v>5.2524969494283003</v>
      </c>
      <c r="AE7" s="174">
        <f>IFERROR(VLOOKUP($B7,RD[#All],AE$2,0)/AE$1,"")</f>
        <v>4.6906563533434227</v>
      </c>
      <c r="AF7" s="174">
        <f>IFERROR(VLOOKUP($B7,RD[#All],AF$2,0)/AF$1,"")</f>
        <v>4.6041850869437075</v>
      </c>
      <c r="AG7" s="174">
        <f>IFERROR(VLOOKUP($B7,RD[#All],AG$2,0)/AG$1,"")</f>
        <v>4.5808368543001228</v>
      </c>
      <c r="AH7" s="174">
        <f>IFERROR(VLOOKUP($B7,RD[#All],AH$2,0)/AH$1,"")</f>
        <v>4.5643320293660574</v>
      </c>
      <c r="AI7" s="174">
        <f>IFERROR(VLOOKUP($B7,RD[#All],AI$2,0)/AI$1,"")</f>
        <v>4.5986643042115309</v>
      </c>
      <c r="AJ7" s="174">
        <f>IFERROR(VLOOKUP($B7,RD[#All],AJ$2,0)/AJ$1,"")</f>
        <v>4.6211638260319807</v>
      </c>
      <c r="AK7" s="174">
        <f>IFERROR(VLOOKUP($B7,RD[#All],AK$2,0)/AK$1,"")</f>
        <v>4.5816375325434358</v>
      </c>
      <c r="AL7" s="174">
        <f>IFERROR(VLOOKUP($B7,RD[#All],AL$2,0)/AL$1,"")</f>
        <v>4.6285806939790284</v>
      </c>
      <c r="AM7" s="174">
        <f>IFERROR(VLOOKUP($B7,RD[#All],AM$2,0)/AM$1,"")</f>
        <v>4.6173107082999589</v>
      </c>
      <c r="AN7" s="174">
        <f>IFERROR(VLOOKUP($B7,RD[#All],AN$2,0)/AN$1,"")</f>
        <v>4.6568888111087929</v>
      </c>
      <c r="AO7" s="174">
        <f>IFERROR(VLOOKUP($B7,RD[#All],AO$2,0)/AO$1,"")</f>
        <v>4.5664245761171722</v>
      </c>
      <c r="AP7" s="174">
        <f>IFERROR(VLOOKUP($B7,RD[#All],AP$2,0)/AP$1,"")</f>
        <v>4.563193710581757</v>
      </c>
      <c r="AQ7" s="174">
        <f>IFERROR(VLOOKUP($B7,RD[#All],AQ$2,0)/AQ$1,"")</f>
        <v>4.537378257436167</v>
      </c>
      <c r="AR7" s="174">
        <f>IFERROR(VLOOKUP($B7,RD[#All],AR$2,0)/AR$1,"")</f>
        <v>4.5929502655721874</v>
      </c>
      <c r="AS7" s="174">
        <f>IFERROR(VLOOKUP($B7,RD[#All],AS$2,0)/AS$1,"")</f>
        <v>4.5697212555801601</v>
      </c>
      <c r="AT7" s="174">
        <f>IFERROR(VLOOKUP($B7,RD[#All],AT$2,0)/AT$1,"")</f>
        <v>4.4897865119104985</v>
      </c>
      <c r="AU7" s="174">
        <f>IFERROR(VLOOKUP($B7,RD[#All],AU$2,0)/AU$1,"")</f>
        <v>4.6846747487294982</v>
      </c>
      <c r="AV7" s="174">
        <f>IFERROR(VLOOKUP($B7,RD[#All],AV$2,0)/AV$1,"")</f>
        <v>4.5549537979196071</v>
      </c>
      <c r="AW7" s="174">
        <f>IFERROR(VLOOKUP($B7,RD[#All],AW$2,0)/AW$1,"")</f>
        <v>4.1695094965886046</v>
      </c>
      <c r="AX7" s="174">
        <f>IFERROR(VLOOKUP($B7,RD[#All],AX$2,0)/AX$1,"")</f>
        <v>4.2954545454545459</v>
      </c>
      <c r="AY7" s="174">
        <f>IFERROR(VLOOKUP($B7,RD[#All],AY$2,0)/AY$1,"")</f>
        <v>4.8975817553702692</v>
      </c>
      <c r="AZ7" s="174">
        <f>IFERROR(VLOOKUP($B7,RD[#All],AZ$2,0)/AZ$1,"")</f>
        <v>5.2195368591364151</v>
      </c>
      <c r="BA7" s="174">
        <f>IFERROR(VLOOKUP($B7,RD[#All],BA$2,0)/BA$1,"")</f>
        <v>4.8366391329510181</v>
      </c>
      <c r="BB7" s="174">
        <f>IFERROR(VLOOKUP($B7,RD[#All],BB$2,0)/BB$1,"")</f>
        <v>4.9158940839058234</v>
      </c>
      <c r="BC7" s="174">
        <f>IFERROR(VLOOKUP($B7,RD[#All],BC$2,0)/BC$1,"")</f>
        <v>4.8549484997760866</v>
      </c>
      <c r="BD7" s="174">
        <f>IFERROR(VLOOKUP($B7,RD[#All],BD$2,0)/BD$1,"")</f>
        <v>4.9552564498174627</v>
      </c>
      <c r="BE7" s="174">
        <f>IFERROR(VLOOKUP($B7,RD[#All],BE$2,0)/BE$1,"")</f>
        <v>5.1530366132878589</v>
      </c>
      <c r="BF7" s="174">
        <f>IFERROR(VLOOKUP($B7,RD[#All],BF$2,0)/BF$1,"")</f>
        <v>5.0679331990209624</v>
      </c>
      <c r="BG7" s="174">
        <f>IFERROR(VLOOKUP($B7,RD[#All],BG$2,0)/BG$1,"")</f>
        <v>5.1615570446636569</v>
      </c>
      <c r="BH7" s="174">
        <f>IFERROR(VLOOKUP($B7,RD[#All],BH$2,0)/BH$1,"")</f>
        <v>4.376851399154468</v>
      </c>
      <c r="BI7" s="174">
        <f>IFERROR(VLOOKUP($B7,RD[#All],BI$2,0)/BI$1,"")</f>
        <v>5.0082101806239736</v>
      </c>
      <c r="BJ7" s="174">
        <f>IFERROR(VLOOKUP($B7,RD[#All],BJ$2,0)/BJ$1,"")</f>
        <v>5.0529394800807479</v>
      </c>
      <c r="BK7" s="174">
        <f>IFERROR(VLOOKUP($B7,RD[#All],BK$2,0)/BK$1,"")</f>
        <v>4.9334510304760473</v>
      </c>
      <c r="BL7" s="174">
        <f>IFERROR(VLOOKUP($B7,RD[#All],BL$2,0)/BL$1,"")</f>
        <v>4.9917907525985425</v>
      </c>
      <c r="BM7" s="174">
        <f>IFERROR(VLOOKUP($B7,RD[#All],BM$2,0)/BM$1,"")</f>
        <v>5.2927013743871605</v>
      </c>
      <c r="BN7" s="174">
        <f>IFERROR(VLOOKUP($B7,RD[#All],BN$2,0)/BN$1,"")</f>
        <v>5.2105780902140593</v>
      </c>
      <c r="BO7" s="174">
        <f>IFERROR(VLOOKUP($B7,RD[#All],BO$2,0)/BO$1,"")</f>
        <v>4.7141383436722002</v>
      </c>
      <c r="BP7" s="174">
        <f>IFERROR(VLOOKUP($B7,RD[#All],BP$2,0)/BP$1,"")</f>
        <v>5.1128603213734491</v>
      </c>
      <c r="BQ7" s="174">
        <f>IFERROR(VLOOKUP($B7,RD[#All],BQ$2,0)/BQ$1,"")</f>
        <v>0</v>
      </c>
      <c r="BR7" s="174">
        <f>IFERROR(VLOOKUP($B7,RD[#All],BR$2,0)/BR$1,"")</f>
        <v>0</v>
      </c>
      <c r="BS7" s="174">
        <f>IFERROR(VLOOKUP($B7,RD[#All],BS$2,0)/BS$1,"")</f>
        <v>0</v>
      </c>
      <c r="BT7" s="174">
        <f>IFERROR(VLOOKUP($B7,RD[#All],BT$2,0)/BT$1,"")</f>
        <v>0</v>
      </c>
      <c r="BU7" s="174">
        <f>IFERROR(VLOOKUP($B7,RD[#All],BU$2,0)/BU$1,"")</f>
        <v>1.9223237262326849</v>
      </c>
      <c r="BV7" s="174">
        <f>IFERROR(VLOOKUP($B7,RD[#All],BV$2,0)/BV$1,"")</f>
        <v>6.0474537037037033</v>
      </c>
      <c r="BW7" s="174">
        <f>IFERROR(VLOOKUP($B7,RD[#All],BW$2,0)/BW$1,"")</f>
        <v>3.4374662198681221</v>
      </c>
      <c r="BX7" s="174">
        <f>IFERROR(VLOOKUP($B7,RD[#All],BX$2,0)/BX$1,"")</f>
        <v>5.137370070945388</v>
      </c>
      <c r="BY7" s="174">
        <f>AVERAGEIF(Inv_SY_B[[#This Row],[IS1Inv1M1]:[IS14Inv2M4]],"&gt;="&amp;0.1,Inv_SY_B[[#This Row],[IS1Inv1M1]:[IS14Inv2M4]])</f>
        <v>4.8477267601054788</v>
      </c>
    </row>
    <row r="8" spans="2:77">
      <c r="B8" s="179">
        <f t="shared" si="30"/>
        <v>45826</v>
      </c>
      <c r="C8" s="174">
        <f>IFERROR(VLOOKUP($B8,RD[#All],C$2,0)/C$1,"")</f>
        <v>3.1361174712852491</v>
      </c>
      <c r="D8" s="174">
        <f>IFERROR(VLOOKUP($B8,RD[#All],D$2,0)/D$1,"")</f>
        <v>3.1205815931166034</v>
      </c>
      <c r="E8" s="174">
        <f>IFERROR(VLOOKUP($B8,RD[#All],E$2,0)/E$1,"")</f>
        <v>3.1235285302785591</v>
      </c>
      <c r="F8" s="174">
        <f>IFERROR(VLOOKUP($B8,RD[#All],F$2,0)/F$1,"")</f>
        <v>3.115195512291701</v>
      </c>
      <c r="G8" s="174">
        <f>IFERROR(VLOOKUP($B8,RD[#All],G$2,0)/G$1,"")</f>
        <v>3.1260052932091846</v>
      </c>
      <c r="H8" s="174">
        <f>IFERROR(VLOOKUP($B8,RD[#All],H$2,0)/H$1,"")</f>
        <v>3.0950846890604282</v>
      </c>
      <c r="I8" s="174">
        <f>IFERROR(VLOOKUP($B8,RD[#All],I$2,0)/I$1,"")</f>
        <v>3.157651289601751</v>
      </c>
      <c r="J8" s="174">
        <f>IFERROR(VLOOKUP($B8,RD[#All],J$2,0)/J$1,"")</f>
        <v>3.1295183193316691</v>
      </c>
      <c r="K8" s="174">
        <f>IFERROR(VLOOKUP($B8,RD[#All],K$2,0)/K$1,"")</f>
        <v>3.1481306199716044</v>
      </c>
      <c r="L8" s="174">
        <f>IFERROR(VLOOKUP($B8,RD[#All],L$2,0)/L$1,"")</f>
        <v>3.1801997109446849</v>
      </c>
      <c r="M8" s="174">
        <f>IFERROR(VLOOKUP($B8,RD[#All],M$2,0)/M$1,"")</f>
        <v>3.3099257702161204</v>
      </c>
      <c r="N8" s="174">
        <f>IFERROR(VLOOKUP($B8,RD[#All],N$2,0)/N$1,"")</f>
        <v>3.1936794184964414</v>
      </c>
      <c r="O8" s="174">
        <f>IFERROR(VLOOKUP($B8,RD[#All],O$2,0)/O$1,"")</f>
        <v>3.418150920806164</v>
      </c>
      <c r="P8" s="174">
        <f>IFERROR(VLOOKUP($B8,RD[#All],P$2,0)/P$1,"")</f>
        <v>3.1923847944915518</v>
      </c>
      <c r="Q8" s="174">
        <f>IFERROR(VLOOKUP($B8,RD[#All],Q$2,0)/Q$1,"")</f>
        <v>3.1916101872770146</v>
      </c>
      <c r="R8" s="174">
        <f>IFERROR(VLOOKUP($B8,RD[#All],R$2,0)/R$1,"")</f>
        <v>3.1873861463891906</v>
      </c>
      <c r="S8" s="174">
        <f>IFERROR(VLOOKUP($B8,RD[#All],S$2,0)/S$1,"")</f>
        <v>3.1957708514207015</v>
      </c>
      <c r="T8" s="174">
        <f>IFERROR(VLOOKUP($B8,RD[#All],T$2,0)/T$1,"")</f>
        <v>3.2068520160490381</v>
      </c>
      <c r="U8" s="174">
        <f>IFERROR(VLOOKUP($B8,RD[#All],U$2,0)/U$1,"")</f>
        <v>3.1978597556961903</v>
      </c>
      <c r="V8" s="174">
        <f>IFERROR(VLOOKUP($B8,RD[#All],V$2,0)/V$1,"")</f>
        <v>3.2186164475673436</v>
      </c>
      <c r="W8" s="174">
        <f>IFERROR(VLOOKUP($B8,RD[#All],W$2,0)/W$1,"")</f>
        <v>3.1891189572677776</v>
      </c>
      <c r="X8" s="174">
        <f>IFERROR(VLOOKUP($B8,RD[#All],X$2,0)/X$1,"")</f>
        <v>3.2029732011759879</v>
      </c>
      <c r="Y8" s="174">
        <f>IFERROR(VLOOKUP($B8,RD[#All],Y$2,0)/Y$1,"")</f>
        <v>3.3066035789444723</v>
      </c>
      <c r="Z8" s="174">
        <f>IFERROR(VLOOKUP($B8,RD[#All],Z$2,0)/Z$1,"")</f>
        <v>3.2986678396380547</v>
      </c>
      <c r="AA8" s="174">
        <f>IFERROR(VLOOKUP($B8,RD[#All],AA$2,0)/AA$1,"")</f>
        <v>3.2657166422287389</v>
      </c>
      <c r="AB8" s="174">
        <f>IFERROR(VLOOKUP($B8,RD[#All],AB$2,0)/AB$1,"")</f>
        <v>3.2345191040843209</v>
      </c>
      <c r="AC8" s="174">
        <f>IFERROR(VLOOKUP($B8,RD[#All],AC$2,0)/AC$1,"")</f>
        <v>3.2531899188020668</v>
      </c>
      <c r="AD8" s="174">
        <f>IFERROR(VLOOKUP($B8,RD[#All],AD$2,0)/AD$1,"")</f>
        <v>3.2329280968951957</v>
      </c>
      <c r="AE8" s="174">
        <f>IFERROR(VLOOKUP($B8,RD[#All],AE$2,0)/AE$1,"")</f>
        <v>3.3698223193767167</v>
      </c>
      <c r="AF8" s="174">
        <f>IFERROR(VLOOKUP($B8,RD[#All],AF$2,0)/AF$1,"")</f>
        <v>3.3121667604426221</v>
      </c>
      <c r="AG8" s="174">
        <f>IFERROR(VLOOKUP($B8,RD[#All],AG$2,0)/AG$1,"")</f>
        <v>3.3054381899959111</v>
      </c>
      <c r="AH8" s="174">
        <f>IFERROR(VLOOKUP($B8,RD[#All],AH$2,0)/AH$1,"")</f>
        <v>3.2942500401907719</v>
      </c>
      <c r="AI8" s="174">
        <f>IFERROR(VLOOKUP($B8,RD[#All],AI$2,0)/AI$1,"")</f>
        <v>3.2873926673027123</v>
      </c>
      <c r="AJ8" s="174">
        <f>IFERROR(VLOOKUP($B8,RD[#All],AJ$2,0)/AJ$1,"")</f>
        <v>3.2802086351782092</v>
      </c>
      <c r="AK8" s="174">
        <f>IFERROR(VLOOKUP($B8,RD[#All],AK$2,0)/AK$1,"")</f>
        <v>3.2382976462462145</v>
      </c>
      <c r="AL8" s="174">
        <f>IFERROR(VLOOKUP($B8,RD[#All],AL$2,0)/AL$1,"")</f>
        <v>3.2729975137822938</v>
      </c>
      <c r="AM8" s="174">
        <f>IFERROR(VLOOKUP($B8,RD[#All],AM$2,0)/AM$1,"")</f>
        <v>3.2528084971763582</v>
      </c>
      <c r="AN8" s="174">
        <f>IFERROR(VLOOKUP($B8,RD[#All],AN$2,0)/AN$1,"")</f>
        <v>3.2785208020623693</v>
      </c>
      <c r="AO8" s="174">
        <f>IFERROR(VLOOKUP($B8,RD[#All],AO$2,0)/AO$1,"")</f>
        <v>3.2939347230542446</v>
      </c>
      <c r="AP8" s="174">
        <f>IFERROR(VLOOKUP($B8,RD[#All],AP$2,0)/AP$1,"")</f>
        <v>3.2964924916031149</v>
      </c>
      <c r="AQ8" s="174">
        <f>IFERROR(VLOOKUP($B8,RD[#All],AQ$2,0)/AQ$1,"")</f>
        <v>3.2852724401158198</v>
      </c>
      <c r="AR8" s="174">
        <f>IFERROR(VLOOKUP($B8,RD[#All],AR$2,0)/AR$1,"")</f>
        <v>3.2810403103614778</v>
      </c>
      <c r="AS8" s="174">
        <f>IFERROR(VLOOKUP($B8,RD[#All],AS$2,0)/AS$1,"")</f>
        <v>3.2207341792915978</v>
      </c>
      <c r="AT8" s="174">
        <f>IFERROR(VLOOKUP($B8,RD[#All],AT$2,0)/AT$1,"")</f>
        <v>3.2352978148373173</v>
      </c>
      <c r="AU8" s="174">
        <f>IFERROR(VLOOKUP($B8,RD[#All],AU$2,0)/AU$1,"")</f>
        <v>3.260145871849867</v>
      </c>
      <c r="AV8" s="174">
        <f>IFERROR(VLOOKUP($B8,RD[#All],AV$2,0)/AV$1,"")</f>
        <v>3.2106786535528617</v>
      </c>
      <c r="AW8" s="174">
        <f>IFERROR(VLOOKUP($B8,RD[#All],AW$2,0)/AW$1,"")</f>
        <v>3.0865756961091648</v>
      </c>
      <c r="AX8" s="174">
        <f>IFERROR(VLOOKUP($B8,RD[#All],AX$2,0)/AX$1,"")</f>
        <v>3.1468945924764893</v>
      </c>
      <c r="AY8" s="174">
        <f>IFERROR(VLOOKUP($B8,RD[#All],AY$2,0)/AY$1,"")</f>
        <v>3.1153536455492348</v>
      </c>
      <c r="AZ8" s="174">
        <f>IFERROR(VLOOKUP($B8,RD[#All],AZ$2,0)/AZ$1,"")</f>
        <v>3.3260693700070787</v>
      </c>
      <c r="BA8" s="174">
        <f>IFERROR(VLOOKUP($B8,RD[#All],BA$2,0)/BA$1,"")</f>
        <v>3.1358622261973657</v>
      </c>
      <c r="BB8" s="174">
        <f>IFERROR(VLOOKUP($B8,RD[#All],BB$2,0)/BB$1,"")</f>
        <v>3.1726361190777923</v>
      </c>
      <c r="BC8" s="174">
        <f>IFERROR(VLOOKUP($B8,RD[#All],BC$2,0)/BC$1,"")</f>
        <v>3.1011195700850873</v>
      </c>
      <c r="BD8" s="174">
        <f>IFERROR(VLOOKUP($B8,RD[#All],BD$2,0)/BD$1,"")</f>
        <v>3.1831536842142492</v>
      </c>
      <c r="BE8" s="174">
        <f>IFERROR(VLOOKUP($B8,RD[#All],BE$2,0)/BE$1,"")</f>
        <v>3.1559173024791596</v>
      </c>
      <c r="BF8" s="174">
        <f>IFERROR(VLOOKUP($B8,RD[#All],BF$2,0)/BF$1,"")</f>
        <v>3.0700644366373062</v>
      </c>
      <c r="BG8" s="174">
        <f>IFERROR(VLOOKUP($B8,RD[#All],BG$2,0)/BG$1,"")</f>
        <v>3.1011475079807886</v>
      </c>
      <c r="BH8" s="174">
        <f>IFERROR(VLOOKUP($B8,RD[#All],BH$2,0)/BH$1,"")</f>
        <v>2.6514192861867647</v>
      </c>
      <c r="BI8" s="174">
        <f>IFERROR(VLOOKUP($B8,RD[#All],BI$2,0)/BI$1,"")</f>
        <v>3.2090077410274453</v>
      </c>
      <c r="BJ8" s="174">
        <f>IFERROR(VLOOKUP($B8,RD[#All],BJ$2,0)/BJ$1,"")</f>
        <v>3.1515126546643044</v>
      </c>
      <c r="BK8" s="174">
        <f>IFERROR(VLOOKUP($B8,RD[#All],BK$2,0)/BK$1,"")</f>
        <v>3.1863997195302129</v>
      </c>
      <c r="BL8" s="174">
        <f>IFERROR(VLOOKUP($B8,RD[#All],BL$2,0)/BL$1,"")</f>
        <v>3.2231399739830011</v>
      </c>
      <c r="BM8" s="174">
        <f>IFERROR(VLOOKUP($B8,RD[#All],BM$2,0)/BM$1,"")</f>
        <v>3.231512368279108</v>
      </c>
      <c r="BN8" s="174">
        <f>IFERROR(VLOOKUP($B8,RD[#All],BN$2,0)/BN$1,"")</f>
        <v>3.1824588249506709</v>
      </c>
      <c r="BO8" s="174">
        <f>IFERROR(VLOOKUP($B8,RD[#All],BO$2,0)/BO$1,"")</f>
        <v>2.8778454809292602</v>
      </c>
      <c r="BP8" s="174">
        <f>IFERROR(VLOOKUP($B8,RD[#All],BP$2,0)/BP$1,"")</f>
        <v>3.1317622260491977</v>
      </c>
      <c r="BQ8" s="174">
        <f>IFERROR(VLOOKUP($B8,RD[#All],BQ$2,0)/BQ$1,"")</f>
        <v>8.0704328686720478E-2</v>
      </c>
      <c r="BR8" s="174">
        <f>IFERROR(VLOOKUP($B8,RD[#All],BR$2,0)/BR$1,"")</f>
        <v>3.2551601686764811E-2</v>
      </c>
      <c r="BS8" s="174">
        <f>IFERROR(VLOOKUP($B8,RD[#All],BS$2,0)/BS$1,"")</f>
        <v>1.5902224039619255E-2</v>
      </c>
      <c r="BT8" s="174">
        <f>IFERROR(VLOOKUP($B8,RD[#All],BT$2,0)/BT$1,"")</f>
        <v>2.3211648027009917E-2</v>
      </c>
      <c r="BU8" s="174">
        <f>IFERROR(VLOOKUP($B8,RD[#All],BU$2,0)/BU$1,"")</f>
        <v>1.0755914584577726</v>
      </c>
      <c r="BV8" s="174">
        <f>IFERROR(VLOOKUP($B8,RD[#All],BV$2,0)/BV$1,"")</f>
        <v>3.3304398148148144</v>
      </c>
      <c r="BW8" s="174">
        <f>IFERROR(VLOOKUP($B8,RD[#All],BW$2,0)/BW$1,"")</f>
        <v>2.0485713256224551</v>
      </c>
      <c r="BX8" s="174">
        <f>IFERROR(VLOOKUP($B8,RD[#All],BX$2,0)/BX$1,"")</f>
        <v>3.1299785513941591</v>
      </c>
      <c r="BY8" s="174">
        <f>AVERAGEIF(Inv_SY_B[[#This Row],[IS1Inv1M1]:[IS14Inv2M4]],"&gt;="&amp;0.1,Inv_SY_B[[#This Row],[IS1Inv1M1]:[IS14Inv2M4]])</f>
        <v>3.1518271401380171</v>
      </c>
    </row>
    <row r="9" spans="2:77">
      <c r="B9" s="179">
        <f t="shared" si="30"/>
        <v>45827</v>
      </c>
      <c r="C9" s="174">
        <f>IFERROR(VLOOKUP($B9,RD[#All],C$2,0)/C$1,"")</f>
        <v>3.0241714459329514</v>
      </c>
      <c r="D9" s="174">
        <f>IFERROR(VLOOKUP($B9,RD[#All],D$2,0)/D$1,"")</f>
        <v>2.9835150550803262</v>
      </c>
      <c r="E9" s="174">
        <f>IFERROR(VLOOKUP($B9,RD[#All],E$2,0)/E$1,"")</f>
        <v>3.0194308929552611</v>
      </c>
      <c r="F9" s="174">
        <f>IFERROR(VLOOKUP($B9,RD[#All],F$2,0)/F$1,"")</f>
        <v>3.0306550074245173</v>
      </c>
      <c r="G9" s="174">
        <f>IFERROR(VLOOKUP($B9,RD[#All],G$2,0)/G$1,"")</f>
        <v>3.0419291376426632</v>
      </c>
      <c r="H9" s="174">
        <f>IFERROR(VLOOKUP($B9,RD[#All],H$2,0)/H$1,"")</f>
        <v>3.0131834908991784</v>
      </c>
      <c r="I9" s="174">
        <f>IFERROR(VLOOKUP($B9,RD[#All],I$2,0)/I$1,"")</f>
        <v>3.0696365401278203</v>
      </c>
      <c r="J9" s="174">
        <f>IFERROR(VLOOKUP($B9,RD[#All],J$2,0)/J$1,"")</f>
        <v>2.983643244636601</v>
      </c>
      <c r="K9" s="174">
        <f>IFERROR(VLOOKUP($B9,RD[#All],K$2,0)/K$1,"")</f>
        <v>3.03208707998107</v>
      </c>
      <c r="L9" s="174">
        <f>IFERROR(VLOOKUP($B9,RD[#All],L$2,0)/L$1,"")</f>
        <v>3.0825778478517933</v>
      </c>
      <c r="M9" s="174">
        <f>IFERROR(VLOOKUP($B9,RD[#All],M$2,0)/M$1,"")</f>
        <v>3.1914208763055902</v>
      </c>
      <c r="N9" s="174">
        <f>IFERROR(VLOOKUP($B9,RD[#All],N$2,0)/N$1,"")</f>
        <v>3.0535853517442595</v>
      </c>
      <c r="O9" s="174">
        <f>IFERROR(VLOOKUP($B9,RD[#All],O$2,0)/O$1,"")</f>
        <v>3.2632778253397103</v>
      </c>
      <c r="P9" s="174">
        <f>IFERROR(VLOOKUP($B9,RD[#All],P$2,0)/P$1,"")</f>
        <v>3.0645101042172498</v>
      </c>
      <c r="Q9" s="174">
        <f>IFERROR(VLOOKUP($B9,RD[#All],Q$2,0)/Q$1,"")</f>
        <v>3.0713677271212179</v>
      </c>
      <c r="R9" s="174">
        <f>IFERROR(VLOOKUP($B9,RD[#All],R$2,0)/R$1,"")</f>
        <v>3.0386281565209554</v>
      </c>
      <c r="S9" s="174">
        <f>IFERROR(VLOOKUP($B9,RD[#All],S$2,0)/S$1,"")</f>
        <v>3.0430869511856984</v>
      </c>
      <c r="T9" s="174">
        <f>IFERROR(VLOOKUP($B9,RD[#All],T$2,0)/T$1,"")</f>
        <v>3.0333653180454507</v>
      </c>
      <c r="U9" s="174">
        <f>IFERROR(VLOOKUP($B9,RD[#All],U$2,0)/U$1,"")</f>
        <v>3.0493309385667131</v>
      </c>
      <c r="V9" s="174">
        <f>IFERROR(VLOOKUP($B9,RD[#All],V$2,0)/V$1,"")</f>
        <v>3.0769126626321706</v>
      </c>
      <c r="W9" s="174">
        <f>IFERROR(VLOOKUP($B9,RD[#All],W$2,0)/W$1,"")</f>
        <v>3.0192624979376337</v>
      </c>
      <c r="X9" s="174">
        <f>IFERROR(VLOOKUP($B9,RD[#All],X$2,0)/X$1,"")</f>
        <v>3.0743876758641031</v>
      </c>
      <c r="Y9" s="174">
        <f>IFERROR(VLOOKUP($B9,RD[#All],Y$2,0)/Y$1,"")</f>
        <v>3.1617218913479039</v>
      </c>
      <c r="Z9" s="174">
        <f>IFERROR(VLOOKUP($B9,RD[#All],Z$2,0)/Z$1,"")</f>
        <v>3.1609633925205118</v>
      </c>
      <c r="AA9" s="174">
        <f>IFERROR(VLOOKUP($B9,RD[#All],AA$2,0)/AA$1,"")</f>
        <v>3.117989369501466</v>
      </c>
      <c r="AB9" s="174">
        <f>IFERROR(VLOOKUP($B9,RD[#All],AB$2,0)/AB$1,"")</f>
        <v>3.0800963154786238</v>
      </c>
      <c r="AC9" s="174">
        <f>IFERROR(VLOOKUP($B9,RD[#All],AC$2,0)/AC$1,"")</f>
        <v>3.1162858937503723</v>
      </c>
      <c r="AD9" s="174">
        <f>IFERROR(VLOOKUP($B9,RD[#All],AD$2,0)/AD$1,"")</f>
        <v>3.0905680842409722</v>
      </c>
      <c r="AE9" s="174">
        <f>IFERROR(VLOOKUP($B9,RD[#All],AE$2,0)/AE$1,"")</f>
        <v>3.2564878650299871</v>
      </c>
      <c r="AF9" s="174">
        <f>IFERROR(VLOOKUP($B9,RD[#All],AF$2,0)/AF$1,"")</f>
        <v>3.1886504300297402</v>
      </c>
      <c r="AG9" s="174">
        <f>IFERROR(VLOOKUP($B9,RD[#All],AG$2,0)/AG$1,"")</f>
        <v>3.1819544773068014</v>
      </c>
      <c r="AH9" s="174">
        <f>IFERROR(VLOOKUP($B9,RD[#All],AH$2,0)/AH$1,"")</f>
        <v>3.1549220299019343</v>
      </c>
      <c r="AI9" s="174">
        <f>IFERROR(VLOOKUP($B9,RD[#All],AI$2,0)/AI$1,"")</f>
        <v>3.2170096769796919</v>
      </c>
      <c r="AJ9" s="174">
        <f>IFERROR(VLOOKUP($B9,RD[#All],AJ$2,0)/AJ$1,"")</f>
        <v>3.2323173783620032</v>
      </c>
      <c r="AK9" s="174">
        <f>IFERROR(VLOOKUP($B9,RD[#All],AK$2,0)/AK$1,"")</f>
        <v>3.2188512831411722</v>
      </c>
      <c r="AL9" s="174">
        <f>IFERROR(VLOOKUP($B9,RD[#All],AL$2,0)/AL$1,"")</f>
        <v>3.2358123446113929</v>
      </c>
      <c r="AM9" s="174">
        <f>IFERROR(VLOOKUP($B9,RD[#All],AM$2,0)/AM$1,"")</f>
        <v>3.2202979127262448</v>
      </c>
      <c r="AN9" s="174">
        <f>IFERROR(VLOOKUP($B9,RD[#All],AN$2,0)/AN$1,"")</f>
        <v>3.2283750765647823</v>
      </c>
      <c r="AO9" s="174">
        <f>IFERROR(VLOOKUP($B9,RD[#All],AO$2,0)/AO$1,"")</f>
        <v>3.1774216346833417</v>
      </c>
      <c r="AP9" s="174">
        <f>IFERROR(VLOOKUP($B9,RD[#All],AP$2,0)/AP$1,"")</f>
        <v>3.1541997886475461</v>
      </c>
      <c r="AQ9" s="174">
        <f>IFERROR(VLOOKUP($B9,RD[#All],AQ$2,0)/AQ$1,"")</f>
        <v>3.1605027638852325</v>
      </c>
      <c r="AR9" s="174">
        <f>IFERROR(VLOOKUP($B9,RD[#All],AR$2,0)/AR$1,"")</f>
        <v>3.1904627116668607</v>
      </c>
      <c r="AS9" s="174">
        <f>IFERROR(VLOOKUP($B9,RD[#All],AS$2,0)/AS$1,"")</f>
        <v>3.2383094894958226</v>
      </c>
      <c r="AT9" s="174">
        <f>IFERROR(VLOOKUP($B9,RD[#All],AT$2,0)/AT$1,"")</f>
        <v>3.2550334164379544</v>
      </c>
      <c r="AU9" s="174">
        <f>IFERROR(VLOOKUP($B9,RD[#All],AU$2,0)/AU$1,"")</f>
        <v>3.3372321498538664</v>
      </c>
      <c r="AV9" s="174">
        <f>IFERROR(VLOOKUP($B9,RD[#All],AV$2,0)/AV$1,"")</f>
        <v>3.2598318121508867</v>
      </c>
      <c r="AW9" s="174">
        <f>IFERROR(VLOOKUP($B9,RD[#All],AW$2,0)/AW$1,"")</f>
        <v>3.0474368430757885</v>
      </c>
      <c r="AX9" s="174">
        <f>IFERROR(VLOOKUP($B9,RD[#All],AX$2,0)/AX$1,"")</f>
        <v>3.0714145768025083</v>
      </c>
      <c r="AY9" s="174">
        <f>IFERROR(VLOOKUP($B9,RD[#All],AY$2,0)/AY$1,"")</f>
        <v>3.0615860152211742</v>
      </c>
      <c r="AZ9" s="174">
        <f>IFERROR(VLOOKUP($B9,RD[#All],AZ$2,0)/AZ$1,"")</f>
        <v>3.3383051875821619</v>
      </c>
      <c r="BA9" s="174">
        <f>IFERROR(VLOOKUP($B9,RD[#All],BA$2,0)/BA$1,"")</f>
        <v>3.1746198768874625</v>
      </c>
      <c r="BB9" s="174">
        <f>IFERROR(VLOOKUP($B9,RD[#All],BB$2,0)/BB$1,"")</f>
        <v>3.2481380199648724</v>
      </c>
      <c r="BC9" s="174">
        <f>IFERROR(VLOOKUP($B9,RD[#All],BC$2,0)/BC$1,"")</f>
        <v>3.2264666368114643</v>
      </c>
      <c r="BD9" s="174">
        <f>IFERROR(VLOOKUP($B9,RD[#All],BD$2,0)/BD$1,"")</f>
        <v>3.2946920471334686</v>
      </c>
      <c r="BE9" s="174">
        <f>IFERROR(VLOOKUP($B9,RD[#All],BE$2,0)/BE$1,"")</f>
        <v>3.2101340471644915</v>
      </c>
      <c r="BF9" s="174">
        <f>IFERROR(VLOOKUP($B9,RD[#All],BF$2,0)/BF$1,"")</f>
        <v>3.1784578497810485</v>
      </c>
      <c r="BG9" s="174">
        <f>IFERROR(VLOOKUP($B9,RD[#All],BG$2,0)/BG$1,"")</f>
        <v>3.2137413361709473</v>
      </c>
      <c r="BH9" s="174">
        <f>IFERROR(VLOOKUP($B9,RD[#All],BH$2,0)/BH$1,"")</f>
        <v>2.7450317793563603</v>
      </c>
      <c r="BI9" s="174">
        <f>IFERROR(VLOOKUP($B9,RD[#All],BI$2,0)/BI$1,"")</f>
        <v>3.3088331117887768</v>
      </c>
      <c r="BJ9" s="174">
        <f>IFERROR(VLOOKUP($B9,RD[#All],BJ$2,0)/BJ$1,"")</f>
        <v>3.269476372924649</v>
      </c>
      <c r="BK9" s="174">
        <f>IFERROR(VLOOKUP($B9,RD[#All],BK$2,0)/BK$1,"")</f>
        <v>3.280870458017179</v>
      </c>
      <c r="BL9" s="174">
        <f>IFERROR(VLOOKUP($B9,RD[#All],BL$2,0)/BL$1,"")</f>
        <v>3.3136311395698352</v>
      </c>
      <c r="BM9" s="174">
        <f>IFERROR(VLOOKUP($B9,RD[#All],BM$2,0)/BM$1,"")</f>
        <v>3.4647453571869811</v>
      </c>
      <c r="BN9" s="174">
        <f>IFERROR(VLOOKUP($B9,RD[#All],BN$2,0)/BN$1,"")</f>
        <v>3.4111292002001949</v>
      </c>
      <c r="BO9" s="174">
        <f>IFERROR(VLOOKUP($B9,RD[#All],BO$2,0)/BO$1,"")</f>
        <v>3.0649629313783477</v>
      </c>
      <c r="BP9" s="174">
        <f>IFERROR(VLOOKUP($B9,RD[#All],BP$2,0)/BP$1,"")</f>
        <v>3.3414935601547096</v>
      </c>
      <c r="BQ9" s="174">
        <f>IFERROR(VLOOKUP($B9,RD[#All],BQ$2,0)/BQ$1,"")</f>
        <v>0.51624091242579873</v>
      </c>
      <c r="BR9" s="174">
        <f>IFERROR(VLOOKUP($B9,RD[#All],BR$2,0)/BR$1,"")</f>
        <v>0.16645705408004735</v>
      </c>
      <c r="BS9" s="174">
        <f>IFERROR(VLOOKUP($B9,RD[#All],BS$2,0)/BS$1,"")</f>
        <v>0.43541803918005106</v>
      </c>
      <c r="BT9" s="174">
        <f>IFERROR(VLOOKUP($B9,RD[#All],BT$2,0)/BT$1,"")</f>
        <v>0.1125413237673208</v>
      </c>
      <c r="BU9" s="174">
        <f>IFERROR(VLOOKUP($B9,RD[#All],BU$2,0)/BU$1,"")</f>
        <v>1.1877620624684324</v>
      </c>
      <c r="BV9" s="174">
        <f>IFERROR(VLOOKUP($B9,RD[#All],BV$2,0)/BV$1,"")</f>
        <v>3.7123842592592591</v>
      </c>
      <c r="BW9" s="174">
        <f>IFERROR(VLOOKUP($B9,RD[#All],BW$2,0)/BW$1,"")</f>
        <v>2.2278672575937737</v>
      </c>
      <c r="BX9" s="174">
        <f>IFERROR(VLOOKUP($B9,RD[#All],BX$2,0)/BX$1,"")</f>
        <v>3.3634713743606666</v>
      </c>
      <c r="BY9" s="174">
        <f>AVERAGEIF(Inv_SY_B[[#This Row],[IS1Inv1M1]:[IS14Inv2M4]],"&gt;="&amp;0.1,Inv_SY_B[[#This Row],[IS1Inv1M1]:[IS14Inv2M4]])</f>
        <v>2.9713861033329168</v>
      </c>
    </row>
    <row r="10" spans="2:77">
      <c r="B10" s="179">
        <f t="shared" si="30"/>
        <v>45828</v>
      </c>
      <c r="C10" s="174">
        <f>IFERROR(VLOOKUP($B10,RD[#All],C$2,0)/C$1,"")</f>
        <v>5.048533958109509</v>
      </c>
      <c r="D10" s="174">
        <f>IFERROR(VLOOKUP($B10,RD[#All],D$2,0)/D$1,"")</f>
        <v>5.0440861865370339</v>
      </c>
      <c r="E10" s="174">
        <f>IFERROR(VLOOKUP($B10,RD[#All],E$2,0)/E$1,"")</f>
        <v>5.1086431675519073</v>
      </c>
      <c r="F10" s="174">
        <f>IFERROR(VLOOKUP($B10,RD[#All],F$2,0)/F$1,"")</f>
        <v>5.0205576637518563</v>
      </c>
      <c r="G10" s="174">
        <f>IFERROR(VLOOKUP($B10,RD[#All],G$2,0)/G$1,"")</f>
        <v>4.9983018154554015</v>
      </c>
      <c r="H10" s="174">
        <f>IFERROR(VLOOKUP($B10,RD[#All],H$2,0)/H$1,"")</f>
        <v>4.9534117238901212</v>
      </c>
      <c r="I10" s="174">
        <f>IFERROR(VLOOKUP($B10,RD[#All],I$2,0)/I$1,"")</f>
        <v>5.098861867007173</v>
      </c>
      <c r="J10" s="174">
        <f>IFERROR(VLOOKUP($B10,RD[#All],J$2,0)/J$1,"")</f>
        <v>4.9473912381220195</v>
      </c>
      <c r="K10" s="174">
        <f>IFERROR(VLOOKUP($B10,RD[#All],K$2,0)/K$1,"")</f>
        <v>4.995235841615397</v>
      </c>
      <c r="L10" s="174">
        <f>IFERROR(VLOOKUP($B10,RD[#All],L$2,0)/L$1,"")</f>
        <v>5.0635921692287482</v>
      </c>
      <c r="M10" s="174">
        <f>IFERROR(VLOOKUP($B10,RD[#All],M$2,0)/M$1,"")</f>
        <v>5.2228207317874267</v>
      </c>
      <c r="N10" s="174">
        <f>IFERROR(VLOOKUP($B10,RD[#All],N$2,0)/N$1,"")</f>
        <v>5.0149022862748058</v>
      </c>
      <c r="O10" s="174">
        <f>IFERROR(VLOOKUP($B10,RD[#All],O$2,0)/O$1,"")</f>
        <v>5.401955546400778</v>
      </c>
      <c r="P10" s="174">
        <f>IFERROR(VLOOKUP($B10,RD[#All],P$2,0)/P$1,"")</f>
        <v>5.0240932352172125</v>
      </c>
      <c r="Q10" s="174">
        <f>IFERROR(VLOOKUP($B10,RD[#All],Q$2,0)/Q$1,"")</f>
        <v>5.053886893078035</v>
      </c>
      <c r="R10" s="174">
        <f>IFERROR(VLOOKUP($B10,RD[#All],R$2,0)/R$1,"")</f>
        <v>5.1072718260992698</v>
      </c>
      <c r="S10" s="174">
        <f>IFERROR(VLOOKUP($B10,RD[#All],S$2,0)/S$1,"")</f>
        <v>5.0269321854388931</v>
      </c>
      <c r="T10" s="174">
        <f>IFERROR(VLOOKUP($B10,RD[#All],T$2,0)/T$1,"")</f>
        <v>4.8599757887875361</v>
      </c>
      <c r="U10" s="174">
        <f>IFERROR(VLOOKUP($B10,RD[#All],U$2,0)/U$1,"")</f>
        <v>5.091919543364396</v>
      </c>
      <c r="V10" s="174">
        <f>IFERROR(VLOOKUP($B10,RD[#All],V$2,0)/V$1,"")</f>
        <v>5.2005289071208409</v>
      </c>
      <c r="W10" s="174">
        <f>IFERROR(VLOOKUP($B10,RD[#All],W$2,0)/W$1,"")</f>
        <v>4.8326183798053126</v>
      </c>
      <c r="X10" s="174">
        <f>IFERROR(VLOOKUP($B10,RD[#All],X$2,0)/X$1,"")</f>
        <v>4.9684470381585681</v>
      </c>
      <c r="Y10" s="174">
        <f>IFERROR(VLOOKUP($B10,RD[#All],Y$2,0)/Y$1,"")</f>
        <v>5.1745686789632703</v>
      </c>
      <c r="Z10" s="174">
        <f>IFERROR(VLOOKUP($B10,RD[#All],Z$2,0)/Z$1,"")</f>
        <v>5.1400833049067307</v>
      </c>
      <c r="AA10" s="174">
        <f>IFERROR(VLOOKUP($B10,RD[#All],AA$2,0)/AA$1,"")</f>
        <v>5.0703812316715542</v>
      </c>
      <c r="AB10" s="174">
        <f>IFERROR(VLOOKUP($B10,RD[#All],AB$2,0)/AB$1,"")</f>
        <v>5.0278497115078808</v>
      </c>
      <c r="AC10" s="174">
        <f>IFERROR(VLOOKUP($B10,RD[#All],AC$2,0)/AC$1,"")</f>
        <v>5.1274362818590697</v>
      </c>
      <c r="AD10" s="174">
        <f>IFERROR(VLOOKUP($B10,RD[#All],AD$2,0)/AD$1,"")</f>
        <v>5.0586161702896915</v>
      </c>
      <c r="AE10" s="174">
        <f>IFERROR(VLOOKUP($B10,RD[#All],AE$2,0)/AE$1,"")</f>
        <v>5.3249257328625088</v>
      </c>
      <c r="AF10" s="174">
        <f>IFERROR(VLOOKUP($B10,RD[#All],AF$2,0)/AF$1,"")</f>
        <v>5.2324304048441981</v>
      </c>
      <c r="AG10" s="174">
        <f>IFERROR(VLOOKUP($B10,RD[#All],AG$2,0)/AG$1,"")</f>
        <v>5.2248057789287179</v>
      </c>
      <c r="AH10" s="174">
        <f>IFERROR(VLOOKUP($B10,RD[#All],AH$2,0)/AH$1,"")</f>
        <v>5.18460961363271</v>
      </c>
      <c r="AI10" s="174">
        <f>IFERROR(VLOOKUP($B10,RD[#All],AI$2,0)/AI$1,"")</f>
        <v>5.2683112988960064</v>
      </c>
      <c r="AJ10" s="174">
        <f>IFERROR(VLOOKUP($B10,RD[#All],AJ$2,0)/AJ$1,"")</f>
        <v>5.2820526329654118</v>
      </c>
      <c r="AK10" s="174">
        <f>IFERROR(VLOOKUP($B10,RD[#All],AK$2,0)/AK$1,"")</f>
        <v>5.2410605175070408</v>
      </c>
      <c r="AL10" s="174">
        <f>IFERROR(VLOOKUP($B10,RD[#All],AL$2,0)/AL$1,"")</f>
        <v>5.2698627175440489</v>
      </c>
      <c r="AM10" s="174">
        <f>IFERROR(VLOOKUP($B10,RD[#All],AM$2,0)/AM$1,"")</f>
        <v>5.300234910848304</v>
      </c>
      <c r="AN10" s="174">
        <f>IFERROR(VLOOKUP($B10,RD[#All],AN$2,0)/AN$1,"")</f>
        <v>5.3221778726096645</v>
      </c>
      <c r="AO10" s="174">
        <f>IFERROR(VLOOKUP($B10,RD[#All],AO$2,0)/AO$1,"")</f>
        <v>5.251098830830534</v>
      </c>
      <c r="AP10" s="174">
        <f>IFERROR(VLOOKUP($B10,RD[#All],AP$2,0)/AP$1,"")</f>
        <v>5.2288866302745554</v>
      </c>
      <c r="AQ10" s="174">
        <f>IFERROR(VLOOKUP($B10,RD[#All],AQ$2,0)/AQ$1,"")</f>
        <v>5.2132798104764406</v>
      </c>
      <c r="AR10" s="174">
        <f>IFERROR(VLOOKUP($B10,RD[#All],AR$2,0)/AR$1,"")</f>
        <v>5.262758287683778</v>
      </c>
      <c r="AS10" s="174">
        <f>IFERROR(VLOOKUP($B10,RD[#All],AS$2,0)/AS$1,"")</f>
        <v>5.275498845887963</v>
      </c>
      <c r="AT10" s="174">
        <f>IFERROR(VLOOKUP($B10,RD[#All],AT$2,0)/AT$1,"")</f>
        <v>5.1999329576166424</v>
      </c>
      <c r="AU10" s="174">
        <f>IFERROR(VLOOKUP($B10,RD[#All],AU$2,0)/AU$1,"")</f>
        <v>5.3992900864608515</v>
      </c>
      <c r="AV10" s="174">
        <f>IFERROR(VLOOKUP($B10,RD[#All],AV$2,0)/AV$1,"")</f>
        <v>5.2813912090921526</v>
      </c>
      <c r="AW10" s="174">
        <f>IFERROR(VLOOKUP($B10,RD[#All],AW$2,0)/AW$1,"")</f>
        <v>4.4006085192697766</v>
      </c>
      <c r="AX10" s="174">
        <f>IFERROR(VLOOKUP($B10,RD[#All],AX$2,0)/AX$1,"")</f>
        <v>4.5286050156739819</v>
      </c>
      <c r="AY10" s="174">
        <f>IFERROR(VLOOKUP($B10,RD[#All],AY$2,0)/AY$1,"")</f>
        <v>4.9949868827761756</v>
      </c>
      <c r="AZ10" s="174">
        <f>IFERROR(VLOOKUP($B10,RD[#All],AZ$2,0)/AZ$1,"")</f>
        <v>5.4736070381231681</v>
      </c>
      <c r="BA10" s="174">
        <f>IFERROR(VLOOKUP($B10,RD[#All],BA$2,0)/BA$1,"")</f>
        <v>5.0752354395748931</v>
      </c>
      <c r="BB10" s="174">
        <f>IFERROR(VLOOKUP($B10,RD[#All],BB$2,0)/BB$1,"")</f>
        <v>5.1433780208541773</v>
      </c>
      <c r="BC10" s="174">
        <f>IFERROR(VLOOKUP($B10,RD[#All],BC$2,0)/BC$1,"")</f>
        <v>5.1183609493954316</v>
      </c>
      <c r="BD10" s="174">
        <f>IFERROR(VLOOKUP($B10,RD[#All],BD$2,0)/BD$1,"")</f>
        <v>5.2072898255616042</v>
      </c>
      <c r="BE10" s="174">
        <f>IFERROR(VLOOKUP($B10,RD[#All],BE$2,0)/BE$1,"")</f>
        <v>5.2102427524169936</v>
      </c>
      <c r="BF10" s="174">
        <f>IFERROR(VLOOKUP($B10,RD[#All],BF$2,0)/BF$1,"")</f>
        <v>5.1653374182054312</v>
      </c>
      <c r="BG10" s="174">
        <f>IFERROR(VLOOKUP($B10,RD[#All],BG$2,0)/BG$1,"")</f>
        <v>5.2088665842224842</v>
      </c>
      <c r="BH10" s="174">
        <f>IFERROR(VLOOKUP($B10,RD[#All],BH$2,0)/BH$1,"")</f>
        <v>4.4609732248137819</v>
      </c>
      <c r="BI10" s="174">
        <f>IFERROR(VLOOKUP($B10,RD[#All],BI$2,0)/BI$1,"")</f>
        <v>5.2773216566320009</v>
      </c>
      <c r="BJ10" s="174">
        <f>IFERROR(VLOOKUP($B10,RD[#All],BJ$2,0)/BJ$1,"")</f>
        <v>5.2731429983932756</v>
      </c>
      <c r="BK10" s="174">
        <f>IFERROR(VLOOKUP($B10,RD[#All],BK$2,0)/BK$1,"")</f>
        <v>5.1856860240903524</v>
      </c>
      <c r="BL10" s="174">
        <f>IFERROR(VLOOKUP($B10,RD[#All],BL$2,0)/BL$1,"")</f>
        <v>5.2548024097298525</v>
      </c>
      <c r="BM10" s="174">
        <f>IFERROR(VLOOKUP($B10,RD[#All],BM$2,0)/BM$1,"")</f>
        <v>5.3917199275591594</v>
      </c>
      <c r="BN10" s="174">
        <f>IFERROR(VLOOKUP($B10,RD[#All],BN$2,0)/BN$1,"")</f>
        <v>5.3158527535364808</v>
      </c>
      <c r="BO10" s="174">
        <f>IFERROR(VLOOKUP($B10,RD[#All],BO$2,0)/BO$1,"")</f>
        <v>4.8089900004126376</v>
      </c>
      <c r="BP10" s="174">
        <f>IFERROR(VLOOKUP($B10,RD[#All],BP$2,0)/BP$1,"")</f>
        <v>5.2302965486735982</v>
      </c>
      <c r="BQ10" s="174">
        <f>IFERROR(VLOOKUP($B10,RD[#All],BQ$2,0)/BQ$1,"")</f>
        <v>1.5314480090708997</v>
      </c>
      <c r="BR10" s="174">
        <f>IFERROR(VLOOKUP($B10,RD[#All],BR$2,0)/BR$1,"")</f>
        <v>0.53369830583709399</v>
      </c>
      <c r="BS10" s="174">
        <f>IFERROR(VLOOKUP($B10,RD[#All],BS$2,0)/BS$1,"")</f>
        <v>2.1340027412405251</v>
      </c>
      <c r="BT10" s="174">
        <f>IFERROR(VLOOKUP($B10,RD[#All],BT$2,0)/BT$1,"")</f>
        <v>0.37525497643666034</v>
      </c>
      <c r="BU10" s="174">
        <f>IFERROR(VLOOKUP($B10,RD[#All],BU$2,0)/BU$1,"")</f>
        <v>1.9375913917785801</v>
      </c>
      <c r="BV10" s="174">
        <f>IFERROR(VLOOKUP($B10,RD[#All],BV$2,0)/BV$1,"")</f>
        <v>6.1203703703703694</v>
      </c>
      <c r="BW10" s="174">
        <f>IFERROR(VLOOKUP($B10,RD[#All],BW$2,0)/BW$1,"")</f>
        <v>3.4879112168053901</v>
      </c>
      <c r="BX10" s="174">
        <f>IFERROR(VLOOKUP($B10,RD[#All],BX$2,0)/BX$1,"")</f>
        <v>5.2597261178023427</v>
      </c>
      <c r="BY10" s="174">
        <f>AVERAGEIF(Inv_SY_B[[#This Row],[IS1Inv1M1]:[IS14Inv2M4]],"&gt;="&amp;0.1,Inv_SY_B[[#This Row],[IS1Inv1M1]:[IS14Inv2M4]])</f>
        <v>4.8587948463543134</v>
      </c>
    </row>
    <row r="11" spans="2:77">
      <c r="B11" s="179">
        <f t="shared" si="30"/>
        <v>45829</v>
      </c>
      <c r="C11" s="174">
        <f>IFERROR(VLOOKUP($B11,RD[#All],C$2,0)/C$1,"")</f>
        <v>4.1894249532514154</v>
      </c>
      <c r="D11" s="174">
        <f>IFERROR(VLOOKUP($B11,RD[#All],D$2,0)/D$1,"")</f>
        <v>4.1274693745869362</v>
      </c>
      <c r="E11" s="174">
        <f>IFERROR(VLOOKUP($B11,RD[#All],E$2,0)/E$1,"")</f>
        <v>4.1617742553156063</v>
      </c>
      <c r="F11" s="174">
        <f>IFERROR(VLOOKUP($B11,RD[#All],F$2,0)/F$1,"")</f>
        <v>4.2044547104438212</v>
      </c>
      <c r="G11" s="174">
        <f>IFERROR(VLOOKUP($B11,RD[#All],G$2,0)/G$1,"")</f>
        <v>4.2238014982473455</v>
      </c>
      <c r="H11" s="174">
        <f>IFERROR(VLOOKUP($B11,RD[#All],H$2,0)/H$1,"")</f>
        <v>4.194183899785644</v>
      </c>
      <c r="I11" s="174">
        <f>IFERROR(VLOOKUP($B11,RD[#All],I$2,0)/I$1,"")</f>
        <v>4.2540896564753705</v>
      </c>
      <c r="J11" s="174">
        <f>IFERROR(VLOOKUP($B11,RD[#All],J$2,0)/J$1,"")</f>
        <v>4.1946407020750582</v>
      </c>
      <c r="K11" s="174">
        <f>IFERROR(VLOOKUP($B11,RD[#All],K$2,0)/K$1,"")</f>
        <v>4.1768102224325601</v>
      </c>
      <c r="L11" s="174">
        <f>IFERROR(VLOOKUP($B11,RD[#All],L$2,0)/L$1,"")</f>
        <v>4.2899093417422156</v>
      </c>
      <c r="M11" s="174">
        <f>IFERROR(VLOOKUP($B11,RD[#All],M$2,0)/M$1,"")</f>
        <v>4.4433423109768118</v>
      </c>
      <c r="N11" s="174">
        <f>IFERROR(VLOOKUP($B11,RD[#All],N$2,0)/N$1,"")</f>
        <v>4.2401720365200335</v>
      </c>
      <c r="O11" s="174">
        <f>IFERROR(VLOOKUP($B11,RD[#All],O$2,0)/O$1,"")</f>
        <v>4.5201573191377058</v>
      </c>
      <c r="P11" s="174">
        <f>IFERROR(VLOOKUP($B11,RD[#All],P$2,0)/P$1,"")</f>
        <v>4.2508684770834115</v>
      </c>
      <c r="Q11" s="174">
        <f>IFERROR(VLOOKUP($B11,RD[#All],Q$2,0)/Q$1,"")</f>
        <v>4.2620643679863708</v>
      </c>
      <c r="R11" s="174">
        <f>IFERROR(VLOOKUP($B11,RD[#All],R$2,0)/R$1,"")</f>
        <v>4.2281771192059372</v>
      </c>
      <c r="S11" s="174">
        <f>IFERROR(VLOOKUP($B11,RD[#All],S$2,0)/S$1,"")</f>
        <v>4.2094664927249017</v>
      </c>
      <c r="T11" s="174">
        <f>IFERROR(VLOOKUP($B11,RD[#All],T$2,0)/T$1,"")</f>
        <v>4.1820213528318613</v>
      </c>
      <c r="U11" s="174">
        <f>IFERROR(VLOOKUP($B11,RD[#All],U$2,0)/U$1,"")</f>
        <v>4.2094919270661908</v>
      </c>
      <c r="V11" s="174">
        <f>IFERROR(VLOOKUP($B11,RD[#All],V$2,0)/V$1,"")</f>
        <v>4.2394703708216568</v>
      </c>
      <c r="W11" s="174">
        <f>IFERROR(VLOOKUP($B11,RD[#All],W$2,0)/W$1,"")</f>
        <v>4.0925589836660619</v>
      </c>
      <c r="X11" s="174">
        <f>IFERROR(VLOOKUP($B11,RD[#All],X$2,0)/X$1,"")</f>
        <v>4.214634741828613</v>
      </c>
      <c r="Y11" s="174">
        <f>IFERROR(VLOOKUP($B11,RD[#All],Y$2,0)/Y$1,"")</f>
        <v>4.364744233387893</v>
      </c>
      <c r="Z11" s="174">
        <f>IFERROR(VLOOKUP($B11,RD[#All],Z$2,0)/Z$1,"")</f>
        <v>4.3433005978563353</v>
      </c>
      <c r="AA11" s="174">
        <f>IFERROR(VLOOKUP($B11,RD[#All],AA$2,0)/AA$1,"")</f>
        <v>4.2845949413489741</v>
      </c>
      <c r="AB11" s="174">
        <f>IFERROR(VLOOKUP($B11,RD[#All],AB$2,0)/AB$1,"")</f>
        <v>4.2246603970741896</v>
      </c>
      <c r="AC11" s="174">
        <f>IFERROR(VLOOKUP($B11,RD[#All],AC$2,0)/AC$1,"")</f>
        <v>4.2997308685106983</v>
      </c>
      <c r="AD11" s="174">
        <f>IFERROR(VLOOKUP($B11,RD[#All],AD$2,0)/AD$1,"")</f>
        <v>4.2597731278528492</v>
      </c>
      <c r="AE11" s="174">
        <f>IFERROR(VLOOKUP($B11,RD[#All],AE$2,0)/AE$1,"")</f>
        <v>4.4446499635670644</v>
      </c>
      <c r="AF11" s="174">
        <f>IFERROR(VLOOKUP($B11,RD[#All],AF$2,0)/AF$1,"")</f>
        <v>4.3699595423733353</v>
      </c>
      <c r="AG11" s="174">
        <f>IFERROR(VLOOKUP($B11,RD[#All],AG$2,0)/AG$1,"")</f>
        <v>4.3485348234973422</v>
      </c>
      <c r="AH11" s="174">
        <f>IFERROR(VLOOKUP($B11,RD[#All],AH$2,0)/AH$1,"")</f>
        <v>4.3370130218101925</v>
      </c>
      <c r="AI11" s="174">
        <f>IFERROR(VLOOKUP($B11,RD[#All],AI$2,0)/AI$1,"")</f>
        <v>4.3506610331198035</v>
      </c>
      <c r="AJ11" s="174">
        <f>IFERROR(VLOOKUP($B11,RD[#All],AJ$2,0)/AJ$1,"")</f>
        <v>4.3450383288111487</v>
      </c>
      <c r="AK11" s="174">
        <f>IFERROR(VLOOKUP($B11,RD[#All],AK$2,0)/AK$1,"")</f>
        <v>4.3074756920461192</v>
      </c>
      <c r="AL11" s="174">
        <f>IFERROR(VLOOKUP($B11,RD[#All],AL$2,0)/AL$1,"")</f>
        <v>4.3463409361150145</v>
      </c>
      <c r="AM11" s="174">
        <f>IFERROR(VLOOKUP($B11,RD[#All],AM$2,0)/AM$1,"")</f>
        <v>4.3585722266721412</v>
      </c>
      <c r="AN11" s="174">
        <f>IFERROR(VLOOKUP($B11,RD[#All],AN$2,0)/AN$1,"")</f>
        <v>4.3822652405985183</v>
      </c>
      <c r="AO11" s="174">
        <f>IFERROR(VLOOKUP($B11,RD[#All],AO$2,0)/AO$1,"")</f>
        <v>4.3502931337376403</v>
      </c>
      <c r="AP11" s="174">
        <f>IFERROR(VLOOKUP($B11,RD[#All],AP$2,0)/AP$1,"")</f>
        <v>4.3492161785591685</v>
      </c>
      <c r="AQ11" s="174">
        <f>IFERROR(VLOOKUP($B11,RD[#All],AQ$2,0)/AQ$1,"")</f>
        <v>4.3355488286391157</v>
      </c>
      <c r="AR11" s="174">
        <f>IFERROR(VLOOKUP($B11,RD[#All],AR$2,0)/AR$1,"")</f>
        <v>4.3583809254233339</v>
      </c>
      <c r="AS11" s="174">
        <f>IFERROR(VLOOKUP($B11,RD[#All],AS$2,0)/AS$1,"")</f>
        <v>4.3138247390066429</v>
      </c>
      <c r="AT11" s="174">
        <f>IFERROR(VLOOKUP($B11,RD[#All],AT$2,0)/AT$1,"")</f>
        <v>4.302570656386834</v>
      </c>
      <c r="AU11" s="174">
        <f>IFERROR(VLOOKUP($B11,RD[#All],AU$2,0)/AU$1,"")</f>
        <v>4.3523562686294257</v>
      </c>
      <c r="AV11" s="174">
        <f>IFERROR(VLOOKUP($B11,RD[#All],AV$2,0)/AV$1,"")</f>
        <v>4.2699504691033914</v>
      </c>
      <c r="AW11" s="174">
        <f>IFERROR(VLOOKUP($B11,RD[#All],AW$2,0)/AW$1,"")</f>
        <v>4.0135994836806193</v>
      </c>
      <c r="AX11" s="174">
        <f>IFERROR(VLOOKUP($B11,RD[#All],AX$2,0)/AX$1,"")</f>
        <v>4.1101097178683395</v>
      </c>
      <c r="AY11" s="174">
        <f>IFERROR(VLOOKUP($B11,RD[#All],AY$2,0)/AY$1,"")</f>
        <v>4.209252188368529</v>
      </c>
      <c r="AZ11" s="174">
        <f>IFERROR(VLOOKUP($B11,RD[#All],AZ$2,0)/AZ$1,"")</f>
        <v>4.5028819900899988</v>
      </c>
      <c r="BA11" s="174">
        <f>IFERROR(VLOOKUP($B11,RD[#All],BA$2,0)/BA$1,"")</f>
        <v>4.2339664334192664</v>
      </c>
      <c r="BB11" s="174">
        <f>IFERROR(VLOOKUP($B11,RD[#All],BB$2,0)/BB$1,"")</f>
        <v>4.3032081638097788</v>
      </c>
      <c r="BC11" s="174">
        <f>IFERROR(VLOOKUP($B11,RD[#All],BC$2,0)/BC$1,"")</f>
        <v>4.2738916256157635</v>
      </c>
      <c r="BD11" s="174">
        <f>IFERROR(VLOOKUP($B11,RD[#All],BD$2,0)/BD$1,"")</f>
        <v>4.3803232711553743</v>
      </c>
      <c r="BE11" s="174">
        <f>IFERROR(VLOOKUP($B11,RD[#All],BE$2,0)/BE$1,"")</f>
        <v>4.3662823483052176</v>
      </c>
      <c r="BF11" s="174">
        <f>IFERROR(VLOOKUP($B11,RD[#All],BF$2,0)/BF$1,"")</f>
        <v>4.2801245441982045</v>
      </c>
      <c r="BG11" s="174">
        <f>IFERROR(VLOOKUP($B11,RD[#All],BG$2,0)/BG$1,"")</f>
        <v>4.3393201230910821</v>
      </c>
      <c r="BH11" s="174">
        <f>IFERROR(VLOOKUP($B11,RD[#All],BH$2,0)/BH$1,"")</f>
        <v>4.4656466595726325</v>
      </c>
      <c r="BI11" s="174">
        <f>IFERROR(VLOOKUP($B11,RD[#All],BI$2,0)/BI$1,"")</f>
        <v>4.4940964891703805</v>
      </c>
      <c r="BJ11" s="174">
        <f>IFERROR(VLOOKUP($B11,RD[#All],BJ$2,0)/BJ$1,"")</f>
        <v>4.4353808758703082</v>
      </c>
      <c r="BK11" s="174">
        <f>IFERROR(VLOOKUP($B11,RD[#All],BK$2,0)/BK$1,"")</f>
        <v>4.471176721007688</v>
      </c>
      <c r="BL11" s="174">
        <f>IFERROR(VLOOKUP($B11,RD[#All],BL$2,0)/BL$1,"")</f>
        <v>4.5081397845388302</v>
      </c>
      <c r="BM11" s="174">
        <f>IFERROR(VLOOKUP($B11,RD[#All],BM$2,0)/BM$1,"")</f>
        <v>4.5389429784515611</v>
      </c>
      <c r="BN11" s="174">
        <f>IFERROR(VLOOKUP($B11,RD[#All],BN$2,0)/BN$1,"")</f>
        <v>4.4589284995196481</v>
      </c>
      <c r="BO11" s="174">
        <f>IFERROR(VLOOKUP($B11,RD[#All],BO$2,0)/BO$1,"")</f>
        <v>4.0534228298694686</v>
      </c>
      <c r="BP11" s="174">
        <f>IFERROR(VLOOKUP($B11,RD[#All],BP$2,0)/BP$1,"")</f>
        <v>4.406466984380871</v>
      </c>
      <c r="BQ11" s="174">
        <f>IFERROR(VLOOKUP($B11,RD[#All],BQ$2,0)/BQ$1,"")</f>
        <v>1.6571066497698927</v>
      </c>
      <c r="BR11" s="174">
        <f>IFERROR(VLOOKUP($B11,RD[#All],BR$2,0)/BR$1,"")</f>
        <v>0.44536509580528222</v>
      </c>
      <c r="BS11" s="174">
        <f>IFERROR(VLOOKUP($B11,RD[#All],BS$2,0)/BS$1,"")</f>
        <v>1.7696903609804857</v>
      </c>
      <c r="BT11" s="174">
        <f>IFERROR(VLOOKUP($B11,RD[#All],BT$2,0)/BT$1,"")</f>
        <v>0.53246113807413653</v>
      </c>
      <c r="BU11" s="174">
        <f>IFERROR(VLOOKUP($B11,RD[#All],BU$2,0)/BU$1,"")</f>
        <v>1.6241368705710137</v>
      </c>
      <c r="BV11" s="174">
        <f>IFERROR(VLOOKUP($B11,RD[#All],BV$2,0)/BV$1,"")</f>
        <v>5.0931712962962958</v>
      </c>
      <c r="BW11" s="174">
        <f>IFERROR(VLOOKUP($B11,RD[#All],BW$2,0)/BW$1,"")</f>
        <v>2.9366194645623893</v>
      </c>
      <c r="BX11" s="174">
        <f>IFERROR(VLOOKUP($B11,RD[#All],BX$2,0)/BX$1,"")</f>
        <v>4.4378815377000498</v>
      </c>
      <c r="BY11" s="174">
        <f>AVERAGEIF(Inv_SY_B[[#This Row],[IS1Inv1M1]:[IS14Inv2M4]],"&gt;="&amp;0.1,Inv_SY_B[[#This Row],[IS1Inv1M1]:[IS14Inv2M4]])</f>
        <v>4.0871626272172401</v>
      </c>
    </row>
    <row r="12" spans="2:77">
      <c r="B12" s="179">
        <f t="shared" si="30"/>
        <v>45830</v>
      </c>
      <c r="C12" s="174">
        <f>IFERROR(VLOOKUP($B12,RD[#All],C$2,0)/C$1,"")</f>
        <v>2.6271295272519972</v>
      </c>
      <c r="D12" s="174">
        <f>IFERROR(VLOOKUP($B12,RD[#All],D$2,0)/D$1,"")</f>
        <v>2.6122827404537352</v>
      </c>
      <c r="E12" s="174">
        <f>IFERROR(VLOOKUP($B12,RD[#All],E$2,0)/E$1,"")</f>
        <v>2.610699478845802</v>
      </c>
      <c r="F12" s="174">
        <f>IFERROR(VLOOKUP($B12,RD[#All],F$2,0)/F$1,"")</f>
        <v>2.5952153110047846</v>
      </c>
      <c r="G12" s="174">
        <f>IFERROR(VLOOKUP($B12,RD[#All],G$2,0)/G$1,"")</f>
        <v>2.6018109696313338</v>
      </c>
      <c r="H12" s="174">
        <f>IFERROR(VLOOKUP($B12,RD[#All],H$2,0)/H$1,"")</f>
        <v>2.5845341791913961</v>
      </c>
      <c r="I12" s="174">
        <f>IFERROR(VLOOKUP($B12,RD[#All],I$2,0)/I$1,"")</f>
        <v>2.6395304142751974</v>
      </c>
      <c r="J12" s="174">
        <f>IFERROR(VLOOKUP($B12,RD[#All],J$2,0)/J$1,"")</f>
        <v>2.5930612675313718</v>
      </c>
      <c r="K12" s="174">
        <f>IFERROR(VLOOKUP($B12,RD[#All],K$2,0)/K$1,"")</f>
        <v>2.6332860072566655</v>
      </c>
      <c r="L12" s="174">
        <f>IFERROR(VLOOKUP($B12,RD[#All],L$2,0)/L$1,"")</f>
        <v>2.658717645513073</v>
      </c>
      <c r="M12" s="174">
        <f>IFERROR(VLOOKUP($B12,RD[#All],M$2,0)/M$1,"")</f>
        <v>2.7551074032713658</v>
      </c>
      <c r="N12" s="174">
        <f>IFERROR(VLOOKUP($B12,RD[#All],N$2,0)/N$1,"")</f>
        <v>2.643112251314168</v>
      </c>
      <c r="O12" s="174">
        <f>IFERROR(VLOOKUP($B12,RD[#All],O$2,0)/O$1,"")</f>
        <v>2.8281397848770222</v>
      </c>
      <c r="P12" s="174">
        <f>IFERROR(VLOOKUP($B12,RD[#All],P$2,0)/P$1,"")</f>
        <v>2.6369952560606627</v>
      </c>
      <c r="Q12" s="174">
        <f>IFERROR(VLOOKUP($B12,RD[#All],Q$2,0)/Q$1,"")</f>
        <v>2.6555189313976029</v>
      </c>
      <c r="R12" s="174">
        <f>IFERROR(VLOOKUP($B12,RD[#All],R$2,0)/R$1,"")</f>
        <v>2.6406313363758662</v>
      </c>
      <c r="S12" s="174">
        <f>IFERROR(VLOOKUP($B12,RD[#All],S$2,0)/S$1,"")</f>
        <v>2.6355813942917403</v>
      </c>
      <c r="T12" s="174">
        <f>IFERROR(VLOOKUP($B12,RD[#All],T$2,0)/T$1,"")</f>
        <v>2.6558647411060234</v>
      </c>
      <c r="U12" s="174">
        <f>IFERROR(VLOOKUP($B12,RD[#All],U$2,0)/U$1,"")</f>
        <v>2.6557460293578323</v>
      </c>
      <c r="V12" s="174">
        <f>IFERROR(VLOOKUP($B12,RD[#All],V$2,0)/V$1,"")</f>
        <v>2.6743656047908519</v>
      </c>
      <c r="W12" s="174">
        <f>IFERROR(VLOOKUP($B12,RD[#All],W$2,0)/W$1,"")</f>
        <v>2.5966012209206402</v>
      </c>
      <c r="X12" s="174">
        <f>IFERROR(VLOOKUP($B12,RD[#All],X$2,0)/X$1,"")</f>
        <v>2.6405471666762743</v>
      </c>
      <c r="Y12" s="174">
        <f>IFERROR(VLOOKUP($B12,RD[#All],Y$2,0)/Y$1,"")</f>
        <v>2.7345960047499185</v>
      </c>
      <c r="Z12" s="174">
        <f>IFERROR(VLOOKUP($B12,RD[#All],Z$2,0)/Z$1,"")</f>
        <v>2.724465430259071</v>
      </c>
      <c r="AA12" s="174">
        <f>IFERROR(VLOOKUP($B12,RD[#All],AA$2,0)/AA$1,"")</f>
        <v>2.6997342375366564</v>
      </c>
      <c r="AB12" s="174">
        <f>IFERROR(VLOOKUP($B12,RD[#All],AB$2,0)/AB$1,"")</f>
        <v>2.6655763027577115</v>
      </c>
      <c r="AC12" s="174">
        <f>IFERROR(VLOOKUP($B12,RD[#All],AC$2,0)/AC$1,"")</f>
        <v>2.7030521436529442</v>
      </c>
      <c r="AD12" s="174">
        <f>IFERROR(VLOOKUP($B12,RD[#All],AD$2,0)/AD$1,"")</f>
        <v>2.6747412663262073</v>
      </c>
      <c r="AE12" s="174">
        <f>IFERROR(VLOOKUP($B12,RD[#All],AE$2,0)/AE$1,"")</f>
        <v>2.5238495600022421</v>
      </c>
      <c r="AF12" s="174">
        <f>IFERROR(VLOOKUP($B12,RD[#All],AF$2,0)/AF$1,"")</f>
        <v>2.5031749859336068</v>
      </c>
      <c r="AG12" s="174">
        <f>IFERROR(VLOOKUP($B12,RD[#All],AG$2,0)/AG$1,"")</f>
        <v>2.4999863704511385</v>
      </c>
      <c r="AH12" s="174">
        <f>IFERROR(VLOOKUP($B12,RD[#All],AH$2,0)/AH$1,"")</f>
        <v>2.4912384116606825</v>
      </c>
      <c r="AI12" s="174">
        <f>IFERROR(VLOOKUP($B12,RD[#All],AI$2,0)/AI$1,"")</f>
        <v>2.4796510835491348</v>
      </c>
      <c r="AJ12" s="174">
        <f>IFERROR(VLOOKUP($B12,RD[#All],AJ$2,0)/AJ$1,"")</f>
        <v>2.479650167276942</v>
      </c>
      <c r="AK12" s="174">
        <f>IFERROR(VLOOKUP($B12,RD[#All],AK$2,0)/AK$1,"")</f>
        <v>2.4462568407629779</v>
      </c>
      <c r="AL12" s="174">
        <f>IFERROR(VLOOKUP($B12,RD[#All],AL$2,0)/AL$1,"")</f>
        <v>2.4630310236731168</v>
      </c>
      <c r="AM12" s="174">
        <f>IFERROR(VLOOKUP($B12,RD[#All],AM$2,0)/AM$1,"")</f>
        <v>2.4415246992939212</v>
      </c>
      <c r="AN12" s="174">
        <f>IFERROR(VLOOKUP($B12,RD[#All],AN$2,0)/AN$1,"")</f>
        <v>2.4553231875180894</v>
      </c>
      <c r="AO12" s="174">
        <f>IFERROR(VLOOKUP($B12,RD[#All],AO$2,0)/AO$1,"")</f>
        <v>2.4537077547503818</v>
      </c>
      <c r="AP12" s="174">
        <f>IFERROR(VLOOKUP($B12,RD[#All],AP$2,0)/AP$1,"")</f>
        <v>2.4640061386445171</v>
      </c>
      <c r="AQ12" s="174">
        <f>IFERROR(VLOOKUP($B12,RD[#All],AQ$2,0)/AQ$1,"")</f>
        <v>2.4468281126612261</v>
      </c>
      <c r="AR12" s="174">
        <f>IFERROR(VLOOKUP($B12,RD[#All],AR$2,0)/AR$1,"")</f>
        <v>2.4477264023710017</v>
      </c>
      <c r="AS12" s="174">
        <f>IFERROR(VLOOKUP($B12,RD[#All],AS$2,0)/AS$1,"")</f>
        <v>2.4193000339789328</v>
      </c>
      <c r="AT12" s="174">
        <f>IFERROR(VLOOKUP($B12,RD[#All],AT$2,0)/AT$1,"")</f>
        <v>2.4278980117743183</v>
      </c>
      <c r="AU12" s="174">
        <f>IFERROR(VLOOKUP($B12,RD[#All],AU$2,0)/AU$1,"")</f>
        <v>2.4284499447103314</v>
      </c>
      <c r="AV12" s="174">
        <f>IFERROR(VLOOKUP($B12,RD[#All],AV$2,0)/AV$1,"")</f>
        <v>2.3935841198940442</v>
      </c>
      <c r="AW12" s="174">
        <f>IFERROR(VLOOKUP($B12,RD[#All],AW$2,0)/AW$1,"")</f>
        <v>2.6769315876820952</v>
      </c>
      <c r="AX12" s="174">
        <f>IFERROR(VLOOKUP($B12,RD[#All],AX$2,0)/AX$1,"")</f>
        <v>2.7043005485893419</v>
      </c>
      <c r="AY12" s="174">
        <f>IFERROR(VLOOKUP($B12,RD[#All],AY$2,0)/AY$1,"")</f>
        <v>2.6840697160965217</v>
      </c>
      <c r="AZ12" s="174">
        <f>IFERROR(VLOOKUP($B12,RD[#All],AZ$2,0)/AZ$1,"")</f>
        <v>2.8972090201233698</v>
      </c>
      <c r="BA12" s="174">
        <f>IFERROR(VLOOKUP($B12,RD[#All],BA$2,0)/BA$1,"")</f>
        <v>2.7357464793672506</v>
      </c>
      <c r="BB12" s="174">
        <f>IFERROR(VLOOKUP($B12,RD[#All],BB$2,0)/BB$1,"")</f>
        <v>2.8174926076613533</v>
      </c>
      <c r="BC12" s="174">
        <f>IFERROR(VLOOKUP($B12,RD[#All],BC$2,0)/BC$1,"")</f>
        <v>2.8133900582176445</v>
      </c>
      <c r="BD12" s="174">
        <f>IFERROR(VLOOKUP($B12,RD[#All],BD$2,0)/BD$1,"")</f>
        <v>2.8576897809993098</v>
      </c>
      <c r="BE12" s="174">
        <f>IFERROR(VLOOKUP($B12,RD[#All],BE$2,0)/BE$1,"")</f>
        <v>2.8753898102413937</v>
      </c>
      <c r="BF12" s="174">
        <f>IFERROR(VLOOKUP($B12,RD[#All],BF$2,0)/BF$1,"")</f>
        <v>2.7364757987978487</v>
      </c>
      <c r="BG12" s="174">
        <f>IFERROR(VLOOKUP($B12,RD[#All],BG$2,0)/BG$1,"")</f>
        <v>2.8699922349084006</v>
      </c>
      <c r="BH12" s="174">
        <f>IFERROR(VLOOKUP($B12,RD[#All],BH$2,0)/BH$1,"")</f>
        <v>2.8430301112996461</v>
      </c>
      <c r="BI12" s="174">
        <f>IFERROR(VLOOKUP($B12,RD[#All],BI$2,0)/BI$1,"")</f>
        <v>2.9217165793520468</v>
      </c>
      <c r="BJ12" s="174">
        <f>IFERROR(VLOOKUP($B12,RD[#All],BJ$2,0)/BJ$1,"")</f>
        <v>2.829755970282481</v>
      </c>
      <c r="BK12" s="174">
        <f>IFERROR(VLOOKUP($B12,RD[#All],BK$2,0)/BK$1,"")</f>
        <v>2.8797610998422356</v>
      </c>
      <c r="BL12" s="174">
        <f>IFERROR(VLOOKUP($B12,RD[#All],BL$2,0)/BL$1,"")</f>
        <v>2.916808749794769</v>
      </c>
      <c r="BM12" s="174">
        <f>IFERROR(VLOOKUP($B12,RD[#All],BM$2,0)/BM$1,"")</f>
        <v>2.9599496168530419</v>
      </c>
      <c r="BN12" s="174">
        <f>IFERROR(VLOOKUP($B12,RD[#All],BN$2,0)/BN$1,"")</f>
        <v>2.9133468713865769</v>
      </c>
      <c r="BO12" s="174">
        <f>IFERROR(VLOOKUP($B12,RD[#All],BO$2,0)/BO$1,"")</f>
        <v>2.6903979203059021</v>
      </c>
      <c r="BP12" s="174">
        <f>IFERROR(VLOOKUP($B12,RD[#All],BP$2,0)/BP$1,"")</f>
        <v>2.8720816459275547</v>
      </c>
      <c r="BQ12" s="174">
        <f>IFERROR(VLOOKUP($B12,RD[#All],BQ$2,0)/BQ$1,"")</f>
        <v>1.3693723737744281</v>
      </c>
      <c r="BR12" s="174">
        <f>IFERROR(VLOOKUP($B12,RD[#All],BR$2,0)/BR$1,"")</f>
        <v>0.40874454390767179</v>
      </c>
      <c r="BS12" s="174">
        <f>IFERROR(VLOOKUP($B12,RD[#All],BS$2,0)/BS$1,"")</f>
        <v>1.8965295289155442</v>
      </c>
      <c r="BT12" s="174">
        <f>IFERROR(VLOOKUP($B12,RD[#All],BT$2,0)/BT$1,"")</f>
        <v>1.2328198635436449</v>
      </c>
      <c r="BU12" s="174">
        <f>IFERROR(VLOOKUP($B12,RD[#All],BU$2,0)/BU$1,"")</f>
        <v>1.0004994707728585</v>
      </c>
      <c r="BV12" s="174">
        <f>IFERROR(VLOOKUP($B12,RD[#All],BV$2,0)/BV$1,"")</f>
        <v>3.1030092592592595</v>
      </c>
      <c r="BW12" s="174">
        <f>IFERROR(VLOOKUP($B12,RD[#All],BW$2,0)/BW$1,"")</f>
        <v>1.9198645191510826</v>
      </c>
      <c r="BX12" s="174">
        <f>IFERROR(VLOOKUP($B12,RD[#All],BX$2,0)/BX$1,"")</f>
        <v>2.8949678270912393</v>
      </c>
      <c r="BY12" s="174">
        <f>AVERAGEIF(Inv_SY_B[[#This Row],[IS1Inv1M1]:[IS14Inv2M4]],"&gt;="&amp;0.1,Inv_SY_B[[#This Row],[IS1Inv1M1]:[IS14Inv2M4]])</f>
        <v>2.5535564120233665</v>
      </c>
    </row>
    <row r="13" spans="2:77">
      <c r="B13" s="179">
        <f t="shared" si="30"/>
        <v>45831</v>
      </c>
      <c r="C13" s="174">
        <f>IFERROR(VLOOKUP($B13,RD[#All],C$2,0)/C$1,"")</f>
        <v>2.7049342074352953</v>
      </c>
      <c r="D13" s="174">
        <f>IFERROR(VLOOKUP($B13,RD[#All],D$2,0)/D$1,"")</f>
        <v>2.7101963597182244</v>
      </c>
      <c r="E13" s="174">
        <f>IFERROR(VLOOKUP($B13,RD[#All],E$2,0)/E$1,"")</f>
        <v>2.6838941707321138</v>
      </c>
      <c r="F13" s="174">
        <f>IFERROR(VLOOKUP($B13,RD[#All],F$2,0)/F$1,"")</f>
        <v>2.6598251113677613</v>
      </c>
      <c r="G13" s="174">
        <f>IFERROR(VLOOKUP($B13,RD[#All],G$2,0)/G$1,"")</f>
        <v>2.6497446314939537</v>
      </c>
      <c r="H13" s="174">
        <f>IFERROR(VLOOKUP($B13,RD[#All],H$2,0)/H$1,"")</f>
        <v>2.6450617666373422</v>
      </c>
      <c r="I13" s="174">
        <f>IFERROR(VLOOKUP($B13,RD[#All],I$2,0)/I$1,"")</f>
        <v>2.7194668299706182</v>
      </c>
      <c r="J13" s="174">
        <f>IFERROR(VLOOKUP($B13,RD[#All],J$2,0)/J$1,"")</f>
        <v>2.7049574091649382</v>
      </c>
      <c r="K13" s="174">
        <f>IFERROR(VLOOKUP($B13,RD[#All],K$2,0)/K$1,"")</f>
        <v>2.7135510332860076</v>
      </c>
      <c r="L13" s="174">
        <f>IFERROR(VLOOKUP($B13,RD[#All],L$2,0)/L$1,"")</f>
        <v>2.7285507817632371</v>
      </c>
      <c r="M13" s="174">
        <f>IFERROR(VLOOKUP($B13,RD[#All],M$2,0)/M$1,"")</f>
        <v>2.8314392695263746</v>
      </c>
      <c r="N13" s="174">
        <f>IFERROR(VLOOKUP($B13,RD[#All],N$2,0)/N$1,"")</f>
        <v>2.7307653613018434</v>
      </c>
      <c r="O13" s="174">
        <f>IFERROR(VLOOKUP($B13,RD[#All],O$2,0)/O$1,"")</f>
        <v>2.9167122617522674</v>
      </c>
      <c r="P13" s="174">
        <f>IFERROR(VLOOKUP($B13,RD[#All],P$2,0)/P$1,"")</f>
        <v>2.705415063563807</v>
      </c>
      <c r="Q13" s="174">
        <f>IFERROR(VLOOKUP($B13,RD[#All],Q$2,0)/Q$1,"")</f>
        <v>2.7311951409207067</v>
      </c>
      <c r="R13" s="174">
        <f>IFERROR(VLOOKUP($B13,RD[#All],R$2,0)/R$1,"")</f>
        <v>2.729461291381563</v>
      </c>
      <c r="S13" s="174">
        <f>IFERROR(VLOOKUP($B13,RD[#All],S$2,0)/S$1,"")</f>
        <v>2.7399009986499818</v>
      </c>
      <c r="T13" s="174">
        <f>IFERROR(VLOOKUP($B13,RD[#All],T$2,0)/T$1,"")</f>
        <v>2.7782973606539456</v>
      </c>
      <c r="U13" s="174">
        <f>IFERROR(VLOOKUP($B13,RD[#All],U$2,0)/U$1,"")</f>
        <v>2.7473834667067885</v>
      </c>
      <c r="V13" s="174">
        <f>IFERROR(VLOOKUP($B13,RD[#All],V$2,0)/V$1,"")</f>
        <v>2.7652545929626471</v>
      </c>
      <c r="W13" s="174">
        <f>IFERROR(VLOOKUP($B13,RD[#All],W$2,0)/W$1,"")</f>
        <v>2.7049579277346969</v>
      </c>
      <c r="X13" s="174">
        <f>IFERROR(VLOOKUP($B13,RD[#All],X$2,0)/X$1,"")</f>
        <v>2.6774409038965619</v>
      </c>
      <c r="Y13" s="174">
        <f>IFERROR(VLOOKUP($B13,RD[#All],Y$2,0)/Y$1,"")</f>
        <v>2.782141039571957</v>
      </c>
      <c r="Z13" s="174">
        <f>IFERROR(VLOOKUP($B13,RD[#All],Z$2,0)/Z$1,"")</f>
        <v>2.7653997378768018</v>
      </c>
      <c r="AA13" s="174">
        <f>IFERROR(VLOOKUP($B13,RD[#All],AA$2,0)/AA$1,"")</f>
        <v>2.764067082111437</v>
      </c>
      <c r="AB13" s="174">
        <f>IFERROR(VLOOKUP($B13,RD[#All],AB$2,0)/AB$1,"")</f>
        <v>2.7554404615873875</v>
      </c>
      <c r="AC13" s="174">
        <f>IFERROR(VLOOKUP($B13,RD[#All],AC$2,0)/AC$1,"")</f>
        <v>2.747708714450114</v>
      </c>
      <c r="AD13" s="174">
        <f>IFERROR(VLOOKUP($B13,RD[#All],AD$2,0)/AD$1,"")</f>
        <v>2.7124779680932791</v>
      </c>
      <c r="AE13" s="174">
        <f>IFERROR(VLOOKUP($B13,RD[#All],AE$2,0)/AE$1,"")</f>
        <v>2.5645983969508439</v>
      </c>
      <c r="AF13" s="174">
        <f>IFERROR(VLOOKUP($B13,RD[#All],AF$2,0)/AF$1,"")</f>
        <v>2.5273423894113547</v>
      </c>
      <c r="AG13" s="174">
        <f>IFERROR(VLOOKUP($B13,RD[#All],AG$2,0)/AG$1,"")</f>
        <v>2.5095815728499384</v>
      </c>
      <c r="AH13" s="174">
        <f>IFERROR(VLOOKUP($B13,RD[#All],AH$2,0)/AH$1,"")</f>
        <v>2.4940249718664598</v>
      </c>
      <c r="AI13" s="174">
        <f>IFERROR(VLOOKUP($B13,RD[#All],AI$2,0)/AI$1,"")</f>
        <v>2.4986779337603924</v>
      </c>
      <c r="AJ13" s="174">
        <f>IFERROR(VLOOKUP($B13,RD[#All],AJ$2,0)/AJ$1,"")</f>
        <v>2.4928215800426754</v>
      </c>
      <c r="AK13" s="174">
        <f>IFERROR(VLOOKUP($B13,RD[#All],AK$2,0)/AK$1,"")</f>
        <v>2.4764890282131664</v>
      </c>
      <c r="AL13" s="174">
        <f>IFERROR(VLOOKUP($B13,RD[#All],AL$2,0)/AL$1,"")</f>
        <v>2.4856772240838829</v>
      </c>
      <c r="AM13" s="174">
        <f>IFERROR(VLOOKUP($B13,RD[#All],AM$2,0)/AM$1,"")</f>
        <v>2.4615156797943016</v>
      </c>
      <c r="AN13" s="174">
        <f>IFERROR(VLOOKUP($B13,RD[#All],AN$2,0)/AN$1,"")</f>
        <v>2.4649484744256798</v>
      </c>
      <c r="AO13" s="174">
        <f>IFERROR(VLOOKUP($B13,RD[#All],AO$2,0)/AO$1,"")</f>
        <v>2.469323604838221</v>
      </c>
      <c r="AP13" s="174">
        <f>IFERROR(VLOOKUP($B13,RD[#All],AP$2,0)/AP$1,"")</f>
        <v>2.4865548876937678</v>
      </c>
      <c r="AQ13" s="174">
        <f>IFERROR(VLOOKUP($B13,RD[#All],AQ$2,0)/AQ$1,"")</f>
        <v>2.4561068702290076</v>
      </c>
      <c r="AR13" s="174">
        <f>IFERROR(VLOOKUP($B13,RD[#All],AR$2,0)/AR$1,"")</f>
        <v>2.4573169716445498</v>
      </c>
      <c r="AS13" s="174">
        <f>IFERROR(VLOOKUP($B13,RD[#All],AS$2,0)/AS$1,"")</f>
        <v>2.4695419874160778</v>
      </c>
      <c r="AT13" s="174">
        <f>IFERROR(VLOOKUP($B13,RD[#All],AT$2,0)/AT$1,"")</f>
        <v>2.4855544614611045</v>
      </c>
      <c r="AU13" s="174">
        <f>IFERROR(VLOOKUP($B13,RD[#All],AU$2,0)/AU$1,"")</f>
        <v>2.4553256575987739</v>
      </c>
      <c r="AV13" s="174">
        <f>IFERROR(VLOOKUP($B13,RD[#All],AV$2,0)/AV$1,"")</f>
        <v>2.4208756911425158</v>
      </c>
      <c r="AW13" s="174">
        <f>IFERROR(VLOOKUP($B13,RD[#All],AW$2,0)/AW$1,"")</f>
        <v>2.725520929374885</v>
      </c>
      <c r="AX13" s="174">
        <f>IFERROR(VLOOKUP($B13,RD[#All],AX$2,0)/AX$1,"")</f>
        <v>2.768955721003135</v>
      </c>
      <c r="AY13" s="174">
        <f>IFERROR(VLOOKUP($B13,RD[#All],AY$2,0)/AY$1,"")</f>
        <v>2.6561728876074704</v>
      </c>
      <c r="AZ13" s="174">
        <f>IFERROR(VLOOKUP($B13,RD[#All],AZ$2,0)/AZ$1,"")</f>
        <v>2.8492264131863685</v>
      </c>
      <c r="BA13" s="174">
        <f>IFERROR(VLOOKUP($B13,RD[#All],BA$2,0)/BA$1,"")</f>
        <v>2.6794075866785918</v>
      </c>
      <c r="BB13" s="174">
        <f>IFERROR(VLOOKUP($B13,RD[#All],BB$2,0)/BB$1,"")</f>
        <v>2.7330087374107919</v>
      </c>
      <c r="BC13" s="174">
        <f>IFERROR(VLOOKUP($B13,RD[#All],BC$2,0)/BC$1,"")</f>
        <v>2.720331392745186</v>
      </c>
      <c r="BD13" s="174">
        <f>IFERROR(VLOOKUP($B13,RD[#All],BD$2,0)/BD$1,"")</f>
        <v>2.7736933919598656</v>
      </c>
      <c r="BE13" s="174">
        <f>IFERROR(VLOOKUP($B13,RD[#All],BE$2,0)/BE$1,"")</f>
        <v>2.7314912322419782</v>
      </c>
      <c r="BF13" s="174">
        <f>IFERROR(VLOOKUP($B13,RD[#All],BF$2,0)/BF$1,"")</f>
        <v>2.5832930951231288</v>
      </c>
      <c r="BG13" s="174">
        <f>IFERROR(VLOOKUP($B13,RD[#All],BG$2,0)/BG$1,"")</f>
        <v>2.7213770095769463</v>
      </c>
      <c r="BH13" s="174">
        <f>IFERROR(VLOOKUP($B13,RD[#All],BH$2,0)/BH$1,"")</f>
        <v>2.6962123608754425</v>
      </c>
      <c r="BI13" s="174">
        <f>IFERROR(VLOOKUP($B13,RD[#All],BI$2,0)/BI$1,"")</f>
        <v>2.7787551802330128</v>
      </c>
      <c r="BJ13" s="174">
        <f>IFERROR(VLOOKUP($B13,RD[#All],BJ$2,0)/BJ$1,"")</f>
        <v>2.690094618162842</v>
      </c>
      <c r="BK13" s="174">
        <f>IFERROR(VLOOKUP($B13,RD[#All],BK$2,0)/BK$1,"")</f>
        <v>2.7301980817869933</v>
      </c>
      <c r="BL13" s="174">
        <f>IFERROR(VLOOKUP($B13,RD[#All],BL$2,0)/BL$1,"")</f>
        <v>2.7814824637845894</v>
      </c>
      <c r="BM13" s="174">
        <f>IFERROR(VLOOKUP($B13,RD[#All],BM$2,0)/BM$1,"")</f>
        <v>2.8254941134283742</v>
      </c>
      <c r="BN13" s="174">
        <f>IFERROR(VLOOKUP($B13,RD[#All],BN$2,0)/BN$1,"")</f>
        <v>2.787880182476083</v>
      </c>
      <c r="BO13" s="174">
        <f>IFERROR(VLOOKUP($B13,RD[#All],BO$2,0)/BO$1,"")</f>
        <v>2.5722734962793834</v>
      </c>
      <c r="BP13" s="174">
        <f>IFERROR(VLOOKUP($B13,RD[#All],BP$2,0)/BP$1,"")</f>
        <v>2.7445445710996994</v>
      </c>
      <c r="BQ13" s="174">
        <f>IFERROR(VLOOKUP($B13,RD[#All],BQ$2,0)/BQ$1,"")</f>
        <v>1.2661908890815714</v>
      </c>
      <c r="BR13" s="174">
        <f>IFERROR(VLOOKUP($B13,RD[#All],BR$2,0)/BR$1,"")</f>
        <v>0.36909077458015827</v>
      </c>
      <c r="BS13" s="174">
        <f>IFERROR(VLOOKUP($B13,RD[#All],BS$2,0)/BS$1,"")</f>
        <v>2.6447670324178199</v>
      </c>
      <c r="BT13" s="174">
        <f>IFERROR(VLOOKUP($B13,RD[#All],BT$2,0)/BT$1,"")</f>
        <v>1.3500738552437224</v>
      </c>
      <c r="BU13" s="174">
        <f>IFERROR(VLOOKUP($B13,RD[#All],BU$2,0)/BU$1,"")</f>
        <v>0.90655658991393084</v>
      </c>
      <c r="BV13" s="174">
        <f>IFERROR(VLOOKUP($B13,RD[#All],BV$2,0)/BV$1,"")</f>
        <v>2.7974537037037033</v>
      </c>
      <c r="BW13" s="174">
        <f>IFERROR(VLOOKUP($B13,RD[#All],BW$2,0)/BW$1,"")</f>
        <v>1.7871221129247288</v>
      </c>
      <c r="BX13" s="174">
        <f>IFERROR(VLOOKUP($B13,RD[#All],BX$2,0)/BX$1,"")</f>
        <v>2.757894736842105</v>
      </c>
      <c r="BY13" s="174">
        <f>AVERAGEIF(Inv_SY_B[[#This Row],[IS1Inv1M1]:[IS14Inv2M4]],"&gt;="&amp;0.1,Inv_SY_B[[#This Row],[IS1Inv1M1]:[IS14Inv2M4]])</f>
        <v>2.5623038038848223</v>
      </c>
    </row>
    <row r="14" spans="2:77">
      <c r="B14" s="179">
        <f t="shared" si="30"/>
        <v>45832</v>
      </c>
      <c r="C14" s="174">
        <f>IFERROR(VLOOKUP($B14,RD[#All],C$2,0)/C$1,"")</f>
        <v>0.55553293386915403</v>
      </c>
      <c r="D14" s="174">
        <f>IFERROR(VLOOKUP($B14,RD[#All],D$2,0)/D$1,"")</f>
        <v>0.56355145163361642</v>
      </c>
      <c r="E14" s="174">
        <f>IFERROR(VLOOKUP($B14,RD[#All],E$2,0)/E$1,"")</f>
        <v>0.5558534108127009</v>
      </c>
      <c r="F14" s="174">
        <f>IFERROR(VLOOKUP($B14,RD[#All],F$2,0)/F$1,"")</f>
        <v>0.53872298300610455</v>
      </c>
      <c r="G14" s="174">
        <f>IFERROR(VLOOKUP($B14,RD[#All],G$2,0)/G$1,"")</f>
        <v>0.53733122288511936</v>
      </c>
      <c r="H14" s="174">
        <f>IFERROR(VLOOKUP($B14,RD[#All],H$2,0)/H$1,"")</f>
        <v>0.5338446479239719</v>
      </c>
      <c r="I14" s="174">
        <f>IFERROR(VLOOKUP($B14,RD[#All],I$2,0)/I$1,"")</f>
        <v>0.55030391473448992</v>
      </c>
      <c r="J14" s="174">
        <f>IFERROR(VLOOKUP($B14,RD[#All],J$2,0)/J$1,"")</f>
        <v>0.55245058408614245</v>
      </c>
      <c r="K14" s="174">
        <f>IFERROR(VLOOKUP($B14,RD[#All],K$2,0)/K$1,"")</f>
        <v>0.56027764631645371</v>
      </c>
      <c r="L14" s="174">
        <f>IFERROR(VLOOKUP($B14,RD[#All],L$2,0)/L$1,"")</f>
        <v>0.56057022730258832</v>
      </c>
      <c r="M14" s="174">
        <f>IFERROR(VLOOKUP($B14,RD[#All],M$2,0)/M$1,"")</f>
        <v>0.58562701175852327</v>
      </c>
      <c r="N14" s="174">
        <f>IFERROR(VLOOKUP($B14,RD[#All],N$2,0)/N$1,"")</f>
        <v>0.56930506300460271</v>
      </c>
      <c r="O14" s="174">
        <f>IFERROR(VLOOKUP($B14,RD[#All],O$2,0)/O$1,"")</f>
        <v>0.60867830038686088</v>
      </c>
      <c r="P14" s="174">
        <f>IFERROR(VLOOKUP($B14,RD[#All],P$2,0)/P$1,"")</f>
        <v>0.56840113057661901</v>
      </c>
      <c r="Q14" s="174">
        <f>IFERROR(VLOOKUP($B14,RD[#All],Q$2,0)/Q$1,"")</f>
        <v>0.56831228473019524</v>
      </c>
      <c r="R14" s="174">
        <f>IFERROR(VLOOKUP($B14,RD[#All],R$2,0)/R$1,"")</f>
        <v>0.56915540736258707</v>
      </c>
      <c r="S14" s="174">
        <f>IFERROR(VLOOKUP($B14,RD[#All],S$2,0)/S$1,"")</f>
        <v>0.59768996849957057</v>
      </c>
      <c r="T14" s="174">
        <f>IFERROR(VLOOKUP($B14,RD[#All],T$2,0)/T$1,"")</f>
        <v>0.61252748053588568</v>
      </c>
      <c r="U14" s="174">
        <f>IFERROR(VLOOKUP($B14,RD[#All],U$2,0)/U$1,"")</f>
        <v>0.5928928091176664</v>
      </c>
      <c r="V14" s="174">
        <f>IFERROR(VLOOKUP($B14,RD[#All],V$2,0)/V$1,"")</f>
        <v>0.5982697697087852</v>
      </c>
      <c r="W14" s="174">
        <f>IFERROR(VLOOKUP($B14,RD[#All],W$2,0)/W$1,"")</f>
        <v>0.57977231479953795</v>
      </c>
      <c r="X14" s="174">
        <f>IFERROR(VLOOKUP($B14,RD[#All],X$2,0)/X$1,"")</f>
        <v>0.59213091851163613</v>
      </c>
      <c r="Y14" s="174">
        <f>IFERROR(VLOOKUP($B14,RD[#All],Y$2,0)/Y$1,"")</f>
        <v>0.61794790678055467</v>
      </c>
      <c r="Z14" s="174">
        <f>IFERROR(VLOOKUP($B14,RD[#All],Z$2,0)/Z$1,"")</f>
        <v>0.61513671699671446</v>
      </c>
      <c r="AA14" s="174">
        <f>IFERROR(VLOOKUP($B14,RD[#All],AA$2,0)/AA$1,"")</f>
        <v>0.6121700879765396</v>
      </c>
      <c r="AB14" s="174">
        <f>IFERROR(VLOOKUP($B14,RD[#All],AB$2,0)/AB$1,"")</f>
        <v>0.60924083412839025</v>
      </c>
      <c r="AC14" s="174">
        <f>IFERROR(VLOOKUP($B14,RD[#All],AC$2,0)/AC$1,"")</f>
        <v>0.60616480750450452</v>
      </c>
      <c r="AD14" s="174">
        <f>IFERROR(VLOOKUP($B14,RD[#All],AD$2,0)/AD$1,"")</f>
        <v>0.5994938310661182</v>
      </c>
      <c r="AE14" s="174">
        <f>IFERROR(VLOOKUP($B14,RD[#All],AE$2,0)/AE$1,"")</f>
        <v>0.58870018496721033</v>
      </c>
      <c r="AF14" s="174">
        <f>IFERROR(VLOOKUP($B14,RD[#All],AF$2,0)/AF$1,"")</f>
        <v>0.58033920102885617</v>
      </c>
      <c r="AG14" s="174">
        <f>IFERROR(VLOOKUP($B14,RD[#All],AG$2,0)/AG$1,"")</f>
        <v>0.57778383535504974</v>
      </c>
      <c r="AH14" s="174">
        <f>IFERROR(VLOOKUP($B14,RD[#All],AH$2,0)/AH$1,"")</f>
        <v>0.57451369165639565</v>
      </c>
      <c r="AI14" s="174">
        <f>IFERROR(VLOOKUP($B14,RD[#All],AI$2,0)/AI$1,"")</f>
        <v>0.57745672618236343</v>
      </c>
      <c r="AJ14" s="174">
        <f>IFERROR(VLOOKUP($B14,RD[#All],AJ$2,0)/AJ$1,"")</f>
        <v>0.578804562577382</v>
      </c>
      <c r="AK14" s="174">
        <f>IFERROR(VLOOKUP($B14,RD[#All],AK$2,0)/AK$1,"")</f>
        <v>0.57388024015727113</v>
      </c>
      <c r="AL14" s="174">
        <f>IFERROR(VLOOKUP($B14,RD[#All],AL$2,0)/AL$1,"")</f>
        <v>0.57782942384607061</v>
      </c>
      <c r="AM14" s="174">
        <f>IFERROR(VLOOKUP($B14,RD[#All],AM$2,0)/AM$1,"")</f>
        <v>0.55712237576312373</v>
      </c>
      <c r="AN14" s="174">
        <f>IFERROR(VLOOKUP($B14,RD[#All],AN$2,0)/AN$1,"")</f>
        <v>0.55941090551737593</v>
      </c>
      <c r="AO14" s="174">
        <f>IFERROR(VLOOKUP($B14,RD[#All],AO$2,0)/AO$1,"")</f>
        <v>0.55496846540618039</v>
      </c>
      <c r="AP14" s="174">
        <f>IFERROR(VLOOKUP($B14,RD[#All],AP$2,0)/AP$1,"")</f>
        <v>0.55920897642141254</v>
      </c>
      <c r="AQ14" s="174">
        <f>IFERROR(VLOOKUP($B14,RD[#All],AQ$2,0)/AQ$1,"")</f>
        <v>0.5543564095814687</v>
      </c>
      <c r="AR14" s="174">
        <f>IFERROR(VLOOKUP($B14,RD[#All],AR$2,0)/AR$1,"")</f>
        <v>0.55678582726985137</v>
      </c>
      <c r="AS14" s="174">
        <f>IFERROR(VLOOKUP($B14,RD[#All],AS$2,0)/AS$1,"")</f>
        <v>0.57323631762100591</v>
      </c>
      <c r="AT14" s="174">
        <f>IFERROR(VLOOKUP($B14,RD[#All],AT$2,0)/AT$1,"")</f>
        <v>0.57731872368062676</v>
      </c>
      <c r="AU14" s="174">
        <f>IFERROR(VLOOKUP($B14,RD[#All],AU$2,0)/AU$1,"")</f>
        <v>0.57594130297867641</v>
      </c>
      <c r="AV14" s="174">
        <f>IFERROR(VLOOKUP($B14,RD[#All],AV$2,0)/AV$1,"")</f>
        <v>0.57392568948991196</v>
      </c>
      <c r="AW14" s="174">
        <f>IFERROR(VLOOKUP($B14,RD[#All],AW$2,0)/AW$1,"")</f>
        <v>0.64171122994652408</v>
      </c>
      <c r="AX14" s="174">
        <f>IFERROR(VLOOKUP($B14,RD[#All],AX$2,0)/AX$1,"")</f>
        <v>0.64753134796238243</v>
      </c>
      <c r="AY14" s="174">
        <f>IFERROR(VLOOKUP($B14,RD[#All],AY$2,0)/AY$1,"")</f>
        <v>0.61300293514117243</v>
      </c>
      <c r="AZ14" s="174">
        <f>IFERROR(VLOOKUP($B14,RD[#All],AZ$2,0)/AZ$1,"")</f>
        <v>0.65780159773485691</v>
      </c>
      <c r="BA14" s="174">
        <f>IFERROR(VLOOKUP($B14,RD[#All],BA$2,0)/BA$1,"")</f>
        <v>0.62187615089177672</v>
      </c>
      <c r="BB14" s="174">
        <f>IFERROR(VLOOKUP($B14,RD[#All],BB$2,0)/BB$1,"")</f>
        <v>0.63745303363791994</v>
      </c>
      <c r="BC14" s="174">
        <f>IFERROR(VLOOKUP($B14,RD[#All],BC$2,0)/BC$1,"")</f>
        <v>0.63636363636363635</v>
      </c>
      <c r="BD14" s="174">
        <f>IFERROR(VLOOKUP($B14,RD[#All],BD$2,0)/BD$1,"")</f>
        <v>0.65030888566853606</v>
      </c>
      <c r="BE14" s="174">
        <f>IFERROR(VLOOKUP($B14,RD[#All],BE$2,0)/BE$1,"")</f>
        <v>0.62709342537044721</v>
      </c>
      <c r="BF14" s="174">
        <f>IFERROR(VLOOKUP($B14,RD[#All],BF$2,0)/BF$1,"")</f>
        <v>0.58942040327011769</v>
      </c>
      <c r="BG14" s="174">
        <f>IFERROR(VLOOKUP($B14,RD[#All],BG$2,0)/BG$1,"")</f>
        <v>0.62408328779730238</v>
      </c>
      <c r="BH14" s="174">
        <f>IFERROR(VLOOKUP($B14,RD[#All],BH$2,0)/BH$1,"")</f>
        <v>0.6183313680941015</v>
      </c>
      <c r="BI14" s="174">
        <f>IFERROR(VLOOKUP($B14,RD[#All],BI$2,0)/BI$1,"")</f>
        <v>0.6353115959027289</v>
      </c>
      <c r="BJ14" s="174">
        <f>IFERROR(VLOOKUP($B14,RD[#All],BJ$2,0)/BJ$1,"")</f>
        <v>0.61453741468572753</v>
      </c>
      <c r="BK14" s="174">
        <f>IFERROR(VLOOKUP($B14,RD[#All],BK$2,0)/BK$1,"")</f>
        <v>0.62623644604712891</v>
      </c>
      <c r="BL14" s="174">
        <f>IFERROR(VLOOKUP($B14,RD[#All],BL$2,0)/BL$1,"")</f>
        <v>0.63779537503631012</v>
      </c>
      <c r="BM14" s="174">
        <f>IFERROR(VLOOKUP($B14,RD[#All],BM$2,0)/BM$1,"")</f>
        <v>0.66209240727180674</v>
      </c>
      <c r="BN14" s="174">
        <f>IFERROR(VLOOKUP($B14,RD[#All],BN$2,0)/BN$1,"")</f>
        <v>0.65258785832216359</v>
      </c>
      <c r="BO14" s="174">
        <f>IFERROR(VLOOKUP($B14,RD[#All],BO$2,0)/BO$1,"")</f>
        <v>0.60003026009930804</v>
      </c>
      <c r="BP14" s="174">
        <f>IFERROR(VLOOKUP($B14,RD[#All],BP$2,0)/BP$1,"")</f>
        <v>0.64179231214504828</v>
      </c>
      <c r="BQ14" s="174">
        <f>IFERROR(VLOOKUP($B14,RD[#All],BQ$2,0)/BQ$1,"")</f>
        <v>0.29627159341025811</v>
      </c>
      <c r="BR14" s="174">
        <f>IFERROR(VLOOKUP($B14,RD[#All],BR$2,0)/BR$1,"")</f>
        <v>7.1465561885033654E-2</v>
      </c>
      <c r="BS14" s="174">
        <f>IFERROR(VLOOKUP($B14,RD[#All],BS$2,0)/BS$1,"")</f>
        <v>0.62389725648772876</v>
      </c>
      <c r="BT14" s="174">
        <f>IFERROR(VLOOKUP($B14,RD[#All],BT$2,0)/BT$1,"")</f>
        <v>0.35464584652176967</v>
      </c>
      <c r="BU14" s="174">
        <f>IFERROR(VLOOKUP($B14,RD[#All],BU$2,0)/BU$1,"")</f>
        <v>0.17822662637249304</v>
      </c>
      <c r="BV14" s="174">
        <f>IFERROR(VLOOKUP($B14,RD[#All],BV$2,0)/BV$1,"")</f>
        <v>0.53530092592592593</v>
      </c>
      <c r="BW14" s="174">
        <f>IFERROR(VLOOKUP($B14,RD[#All],BW$2,0)/BW$1,"")</f>
        <v>0.40680286815839728</v>
      </c>
      <c r="BX14" s="174">
        <f>IFERROR(VLOOKUP($B14,RD[#All],BX$2,0)/BX$1,"")</f>
        <v>0.63844250123741952</v>
      </c>
      <c r="BY14" s="174">
        <f>AVERAGEIF(Inv_SY_B[[#This Row],[IS1Inv1M1]:[IS14Inv2M4]],"&gt;="&amp;0.1,Inv_SY_B[[#This Row],[IS1Inv1M1]:[IS14Inv2M4]])</f>
        <v>0.57742311116464196</v>
      </c>
    </row>
    <row r="15" spans="2:77">
      <c r="B15" s="179">
        <f t="shared" si="30"/>
        <v>45833</v>
      </c>
      <c r="C15" s="174">
        <f>IFERROR(VLOOKUP($B15,RD[#All],C$2,0)/C$1,"")</f>
        <v>2.5342274815902974</v>
      </c>
      <c r="D15" s="174">
        <f>IFERROR(VLOOKUP($B15,RD[#All],D$2,0)/D$1,"")</f>
        <v>2.5282135932669507</v>
      </c>
      <c r="E15" s="174">
        <f>IFERROR(VLOOKUP($B15,RD[#All],E$2,0)/E$1,"")</f>
        <v>2.5083334720857824</v>
      </c>
      <c r="F15" s="174">
        <f>IFERROR(VLOOKUP($B15,RD[#All],F$2,0)/F$1,"")</f>
        <v>2.532255403398779</v>
      </c>
      <c r="G15" s="174">
        <f>IFERROR(VLOOKUP($B15,RD[#All],G$2,0)/G$1,"")</f>
        <v>2.5382411934712814</v>
      </c>
      <c r="H15" s="174">
        <f>IFERROR(VLOOKUP($B15,RD[#All],H$2,0)/H$1,"")</f>
        <v>2.5163244823869055</v>
      </c>
      <c r="I15" s="174">
        <f>IFERROR(VLOOKUP($B15,RD[#All],I$2,0)/I$1,"")</f>
        <v>2.5691707329784945</v>
      </c>
      <c r="J15" s="174">
        <f>IFERROR(VLOOKUP($B15,RD[#All],J$2,0)/J$1,"")</f>
        <v>2.547482629735081</v>
      </c>
      <c r="K15" s="174">
        <f>IFERROR(VLOOKUP($B15,RD[#All],K$2,0)/K$1,"")</f>
        <v>2.5308723773465847</v>
      </c>
      <c r="L15" s="174">
        <f>IFERROR(VLOOKUP($B15,RD[#All],L$2,0)/L$1,"")</f>
        <v>2.5806070161608199</v>
      </c>
      <c r="M15" s="174">
        <f>IFERROR(VLOOKUP($B15,RD[#All],M$2,0)/M$1,"")</f>
        <v>2.659265584970111</v>
      </c>
      <c r="N15" s="174">
        <f>IFERROR(VLOOKUP($B15,RD[#All],N$2,0)/N$1,"")</f>
        <v>2.5539500490454992</v>
      </c>
      <c r="O15" s="174">
        <f>IFERROR(VLOOKUP($B15,RD[#All],O$2,0)/O$1,"")</f>
        <v>2.7244404678377632</v>
      </c>
      <c r="P15" s="174">
        <f>IFERROR(VLOOKUP($B15,RD[#All],P$2,0)/P$1,"")</f>
        <v>2.5297896978073289</v>
      </c>
      <c r="Q15" s="174">
        <f>IFERROR(VLOOKUP($B15,RD[#All],Q$2,0)/Q$1,"")</f>
        <v>2.555275730528499</v>
      </c>
      <c r="R15" s="174">
        <f>IFERROR(VLOOKUP($B15,RD[#All],R$2,0)/R$1,"")</f>
        <v>2.537382606064897</v>
      </c>
      <c r="S15" s="174">
        <f>IFERROR(VLOOKUP($B15,RD[#All],S$2,0)/S$1,"")</f>
        <v>2.5404891884889342</v>
      </c>
      <c r="T15" s="174">
        <f>IFERROR(VLOOKUP($B15,RD[#All],T$2,0)/T$1,"")</f>
        <v>2.5771985440882941</v>
      </c>
      <c r="U15" s="174">
        <f>IFERROR(VLOOKUP($B15,RD[#All],U$2,0)/U$1,"")</f>
        <v>2.550238379583047</v>
      </c>
      <c r="V15" s="174">
        <f>IFERROR(VLOOKUP($B15,RD[#All],V$2,0)/V$1,"")</f>
        <v>2.560731805279143</v>
      </c>
      <c r="W15" s="174">
        <f>IFERROR(VLOOKUP($B15,RD[#All],W$2,0)/W$1,"")</f>
        <v>2.5338228015179012</v>
      </c>
      <c r="X15" s="174">
        <f>IFERROR(VLOOKUP($B15,RD[#All],X$2,0)/X$1,"")</f>
        <v>2.493446953384356</v>
      </c>
      <c r="Y15" s="174">
        <f>IFERROR(VLOOKUP($B15,RD[#All],Y$2,0)/Y$1,"")</f>
        <v>2.5903561980477652</v>
      </c>
      <c r="Z15" s="174">
        <f>IFERROR(VLOOKUP($B15,RD[#All],Z$2,0)/Z$1,"")</f>
        <v>2.5924163809045044</v>
      </c>
      <c r="AA15" s="174">
        <f>IFERROR(VLOOKUP($B15,RD[#All],AA$2,0)/AA$1,"")</f>
        <v>2.5630956744868034</v>
      </c>
      <c r="AB15" s="174">
        <f>IFERROR(VLOOKUP($B15,RD[#All],AB$2,0)/AB$1,"")</f>
        <v>2.5449093635000679</v>
      </c>
      <c r="AC15" s="174">
        <f>IFERROR(VLOOKUP($B15,RD[#All],AC$2,0)/AC$1,"")</f>
        <v>2.5588123369507905</v>
      </c>
      <c r="AD15" s="174">
        <f>IFERROR(VLOOKUP($B15,RD[#All],AD$2,0)/AD$1,"")</f>
        <v>2.5348669046865817</v>
      </c>
      <c r="AE15" s="174">
        <f>IFERROR(VLOOKUP($B15,RD[#All],AE$2,0)/AE$1,"")</f>
        <v>2.6084300207387479</v>
      </c>
      <c r="AF15" s="174">
        <f>IFERROR(VLOOKUP($B15,RD[#All],AF$2,0)/AF$1,"")</f>
        <v>2.5861265171609999</v>
      </c>
      <c r="AG15" s="174">
        <f>IFERROR(VLOOKUP($B15,RD[#All],AG$2,0)/AG$1,"")</f>
        <v>2.5971923129344416</v>
      </c>
      <c r="AH15" s="174">
        <f>IFERROR(VLOOKUP($B15,RD[#All],AH$2,0)/AH$1,"")</f>
        <v>2.5871068002786561</v>
      </c>
      <c r="AI15" s="174">
        <f>IFERROR(VLOOKUP($B15,RD[#All],AI$2,0)/AI$1,"")</f>
        <v>2.5760392531007223</v>
      </c>
      <c r="AJ15" s="174">
        <f>IFERROR(VLOOKUP($B15,RD[#All],AJ$2,0)/AJ$1,"")</f>
        <v>2.5821764442454098</v>
      </c>
      <c r="AK15" s="174">
        <f>IFERROR(VLOOKUP($B15,RD[#All],AK$2,0)/AK$1,"")</f>
        <v>2.5464640561075393</v>
      </c>
      <c r="AL15" s="174">
        <f>IFERROR(VLOOKUP($B15,RD[#All],AL$2,0)/AL$1,"")</f>
        <v>2.4205491298238027</v>
      </c>
      <c r="AM15" s="174">
        <f>IFERROR(VLOOKUP($B15,RD[#All],AM$2,0)/AM$1,"")</f>
        <v>2.5607974853096582</v>
      </c>
      <c r="AN15" s="174">
        <f>IFERROR(VLOOKUP($B15,RD[#All],AN$2,0)/AN$1,"")</f>
        <v>2.5682015521616508</v>
      </c>
      <c r="AO15" s="174">
        <f>IFERROR(VLOOKUP($B15,RD[#All],AO$2,0)/AO$1,"")</f>
        <v>2.5593166719392597</v>
      </c>
      <c r="AP15" s="174">
        <f>IFERROR(VLOOKUP($B15,RD[#All],AP$2,0)/AP$1,"")</f>
        <v>2.5833462343589089</v>
      </c>
      <c r="AQ15" s="174">
        <f>IFERROR(VLOOKUP($B15,RD[#All],AQ$2,0)/AQ$1,"")</f>
        <v>2.5542247959989468</v>
      </c>
      <c r="AR15" s="174">
        <f>IFERROR(VLOOKUP($B15,RD[#All],AR$2,0)/AR$1,"")</f>
        <v>2.5616810136698915</v>
      </c>
      <c r="AS15" s="174">
        <f>IFERROR(VLOOKUP($B15,RD[#All],AS$2,0)/AS$1,"")</f>
        <v>2.5409680480860488</v>
      </c>
      <c r="AT15" s="174">
        <f>IFERROR(VLOOKUP($B15,RD[#All],AT$2,0)/AT$1,"")</f>
        <v>2.5547338207873289</v>
      </c>
      <c r="AU15" s="174">
        <f>IFERROR(VLOOKUP($B15,RD[#All],AU$2,0)/AU$1,"")</f>
        <v>2.5520317864802973</v>
      </c>
      <c r="AV15" s="174">
        <f>IFERROR(VLOOKUP($B15,RD[#All],AV$2,0)/AV$1,"")</f>
        <v>2.5324972732037372</v>
      </c>
      <c r="AW15" s="174">
        <f>IFERROR(VLOOKUP($B15,RD[#All],AW$2,0)/AW$1,"")</f>
        <v>2.6329061405126315</v>
      </c>
      <c r="AX15" s="174">
        <f>IFERROR(VLOOKUP($B15,RD[#All],AX$2,0)/AX$1,"")</f>
        <v>2.6415066614420062</v>
      </c>
      <c r="AY15" s="174">
        <f>IFERROR(VLOOKUP($B15,RD[#All],AY$2,0)/AY$1,"")</f>
        <v>2.5022468116054961</v>
      </c>
      <c r="AZ15" s="174">
        <f>IFERROR(VLOOKUP($B15,RD[#All],AZ$2,0)/AZ$1,"")</f>
        <v>2.6965820608757207</v>
      </c>
      <c r="BA15" s="174">
        <f>IFERROR(VLOOKUP($B15,RD[#All],BA$2,0)/BA$1,"")</f>
        <v>2.5613370512618157</v>
      </c>
      <c r="BB15" s="174">
        <f>IFERROR(VLOOKUP($B15,RD[#All],BB$2,0)/BB$1,"")</f>
        <v>2.6427443918272973</v>
      </c>
      <c r="BC15" s="174">
        <f>IFERROR(VLOOKUP($B15,RD[#All],BC$2,0)/BC$1,"")</f>
        <v>2.6413793103448273</v>
      </c>
      <c r="BD15" s="174">
        <f>IFERROR(VLOOKUP($B15,RD[#All],BD$2,0)/BD$1,"")</f>
        <v>2.6976103469404538</v>
      </c>
      <c r="BE15" s="174">
        <f>IFERROR(VLOOKUP($B15,RD[#All],BE$2,0)/BE$1,"")</f>
        <v>2.6868541379333775</v>
      </c>
      <c r="BF15" s="174">
        <f>IFERROR(VLOOKUP($B15,RD[#All],BF$2,0)/BF$1,"")</f>
        <v>2.54441465891873</v>
      </c>
      <c r="BG15" s="174">
        <f>IFERROR(VLOOKUP($B15,RD[#All],BG$2,0)/BG$1,"")</f>
        <v>2.688375370279831</v>
      </c>
      <c r="BH15" s="174">
        <f>IFERROR(VLOOKUP($B15,RD[#All],BH$2,0)/BH$1,"")</f>
        <v>2.6675965603520173</v>
      </c>
      <c r="BI15" s="174">
        <f>IFERROR(VLOOKUP($B15,RD[#All],BI$2,0)/BI$1,"")</f>
        <v>2.5998253707613315</v>
      </c>
      <c r="BJ15" s="174">
        <f>IFERROR(VLOOKUP($B15,RD[#All],BJ$2,0)/BJ$1,"")</f>
        <v>2.6526044026970981</v>
      </c>
      <c r="BK15" s="174">
        <f>IFERROR(VLOOKUP($B15,RD[#All],BK$2,0)/BK$1,"")</f>
        <v>2.6906318082788672</v>
      </c>
      <c r="BL15" s="174">
        <f>IFERROR(VLOOKUP($B15,RD[#All],BL$2,0)/BL$1,"")</f>
        <v>2.7343108652546761</v>
      </c>
      <c r="BM15" s="174">
        <f>IFERROR(VLOOKUP($B15,RD[#All],BM$2,0)/BM$1,"")</f>
        <v>2.8336301479251604</v>
      </c>
      <c r="BN15" s="174">
        <f>IFERROR(VLOOKUP($B15,RD[#All],BN$2,0)/BN$1,"")</f>
        <v>2.7998458272690141</v>
      </c>
      <c r="BO15" s="174">
        <f>IFERROR(VLOOKUP($B15,RD[#All],BO$2,0)/BO$1,"")</f>
        <v>2.562205135964128</v>
      </c>
      <c r="BP15" s="174">
        <f>IFERROR(VLOOKUP($B15,RD[#All],BP$2,0)/BP$1,"")</f>
        <v>2.7424911020968139</v>
      </c>
      <c r="BQ15" s="174">
        <f>IFERROR(VLOOKUP($B15,RD[#All],BQ$2,0)/BQ$1,"")</f>
        <v>1.3653705062362436</v>
      </c>
      <c r="BR15" s="174">
        <f>IFERROR(VLOOKUP($B15,RD[#All],BR$2,0)/BR$1,"")</f>
        <v>0.3828512243841089</v>
      </c>
      <c r="BS15" s="174">
        <f>IFERROR(VLOOKUP($B15,RD[#All],BS$2,0)/BS$1,"")</f>
        <v>2.7410890751720851</v>
      </c>
      <c r="BT15" s="174">
        <f>IFERROR(VLOOKUP($B15,RD[#All],BT$2,0)/BT$1,"")</f>
        <v>1.5932334529084897</v>
      </c>
      <c r="BU15" s="174">
        <f>IFERROR(VLOOKUP($B15,RD[#All],BU$2,0)/BU$1,"")</f>
        <v>0.94488154628423959</v>
      </c>
      <c r="BV15" s="174">
        <f>IFERROR(VLOOKUP($B15,RD[#All],BV$2,0)/BV$1,"")</f>
        <v>2.9155092592592591</v>
      </c>
      <c r="BW15" s="174">
        <f>IFERROR(VLOOKUP($B15,RD[#All],BW$2,0)/BW$1,"")</f>
        <v>1.8269736605051703</v>
      </c>
      <c r="BX15" s="174">
        <f>IFERROR(VLOOKUP($B15,RD[#All],BX$2,0)/BX$1,"")</f>
        <v>2.7910905791123577</v>
      </c>
      <c r="BY15" s="174">
        <f>AVERAGEIF(Inv_SY_B[[#This Row],[IS1Inv1M1]:[IS14Inv2M4]],"&gt;="&amp;0.1,Inv_SY_B[[#This Row],[IS1Inv1M1]:[IS14Inv2M4]])</f>
        <v>2.5059215909781432</v>
      </c>
    </row>
    <row r="16" spans="2:77">
      <c r="B16" s="179">
        <f t="shared" si="30"/>
        <v>45834</v>
      </c>
      <c r="C16" s="174">
        <f>IFERROR(VLOOKUP($B16,RD[#All],C$2,0)/C$1,"")</f>
        <v>1.2644200199836497</v>
      </c>
      <c r="D16" s="174">
        <f>IFERROR(VLOOKUP($B16,RD[#All],D$2,0)/D$1,"")</f>
        <v>1.2636056392731965</v>
      </c>
      <c r="E16" s="174">
        <f>IFERROR(VLOOKUP($B16,RD[#All],E$2,0)/E$1,"")</f>
        <v>1.2479728267203916</v>
      </c>
      <c r="F16" s="174">
        <f>IFERROR(VLOOKUP($B16,RD[#All],F$2,0)/F$1,"")</f>
        <v>1.240059396139251</v>
      </c>
      <c r="G16" s="174">
        <f>IFERROR(VLOOKUP($B16,RD[#All],G$2,0)/G$1,"")</f>
        <v>1.2497997423886087</v>
      </c>
      <c r="H16" s="174">
        <f>IFERROR(VLOOKUP($B16,RD[#All],H$2,0)/H$1,"")</f>
        <v>1.2464222434237426</v>
      </c>
      <c r="I16" s="174">
        <f>IFERROR(VLOOKUP($B16,RD[#All],I$2,0)/I$1,"")</f>
        <v>1.2641940884838141</v>
      </c>
      <c r="J16" s="174">
        <f>IFERROR(VLOOKUP($B16,RD[#All],J$2,0)/J$1,"")</f>
        <v>1.2750887553165313</v>
      </c>
      <c r="K16" s="174">
        <f>IFERROR(VLOOKUP($B16,RD[#All],K$2,0)/K$1,"")</f>
        <v>1.2501025398327812</v>
      </c>
      <c r="L16" s="174">
        <f>IFERROR(VLOOKUP($B16,RD[#All],L$2,0)/L$1,"")</f>
        <v>1.2659308895020365</v>
      </c>
      <c r="M16" s="174">
        <f>IFERROR(VLOOKUP($B16,RD[#All],M$2,0)/M$1,"")</f>
        <v>1.2994153583393548</v>
      </c>
      <c r="N16" s="174">
        <f>IFERROR(VLOOKUP($B16,RD[#All],N$2,0)/N$1,"")</f>
        <v>1.2519806836188032</v>
      </c>
      <c r="O16" s="174">
        <f>IFERROR(VLOOKUP($B16,RD[#All],O$2,0)/O$1,"")</f>
        <v>1.3432634065644051</v>
      </c>
      <c r="P16" s="174">
        <f>IFERROR(VLOOKUP($B16,RD[#All],P$2,0)/P$1,"")</f>
        <v>1.2359767410008342</v>
      </c>
      <c r="Q16" s="174">
        <f>IFERROR(VLOOKUP($B16,RD[#All],Q$2,0)/Q$1,"")</f>
        <v>1.2618051183289509</v>
      </c>
      <c r="R16" s="174">
        <f>IFERROR(VLOOKUP($B16,RD[#All],R$2,0)/R$1,"")</f>
        <v>1.2579094063198006</v>
      </c>
      <c r="S16" s="174">
        <f>IFERROR(VLOOKUP($B16,RD[#All],S$2,0)/S$1,"")</f>
        <v>1.2876084673881918</v>
      </c>
      <c r="T16" s="174">
        <f>IFERROR(VLOOKUP($B16,RD[#All],T$2,0)/T$1,"")</f>
        <v>1.3063123246407793</v>
      </c>
      <c r="U16" s="174">
        <f>IFERROR(VLOOKUP($B16,RD[#All],U$2,0)/U$1,"")</f>
        <v>1.3053515511129083</v>
      </c>
      <c r="V16" s="174">
        <f>IFERROR(VLOOKUP($B16,RD[#All],V$2,0)/V$1,"")</f>
        <v>1.3136933692556942</v>
      </c>
      <c r="W16" s="174">
        <f>IFERROR(VLOOKUP($B16,RD[#All],W$2,0)/W$1,"")</f>
        <v>1.2067315624484407</v>
      </c>
      <c r="X16" s="174">
        <f>IFERROR(VLOOKUP($B16,RD[#All],X$2,0)/X$1,"")</f>
        <v>1.2278696918626928</v>
      </c>
      <c r="Y16" s="174">
        <f>IFERROR(VLOOKUP($B16,RD[#All],Y$2,0)/Y$1,"")</f>
        <v>1.2914643595633375</v>
      </c>
      <c r="Z16" s="174">
        <f>IFERROR(VLOOKUP($B16,RD[#All],Z$2,0)/Z$1,"")</f>
        <v>1.2975547137291514</v>
      </c>
      <c r="AA16" s="174">
        <f>IFERROR(VLOOKUP($B16,RD[#All],AA$2,0)/AA$1,"")</f>
        <v>1.2886730205278591</v>
      </c>
      <c r="AB16" s="174">
        <f>IFERROR(VLOOKUP($B16,RD[#All],AB$2,0)/AB$1,"")</f>
        <v>1.2819953659533869</v>
      </c>
      <c r="AC16" s="174">
        <f>IFERROR(VLOOKUP($B16,RD[#All],AC$2,0)/AC$1,"")</f>
        <v>1.2954073422004593</v>
      </c>
      <c r="AD16" s="174">
        <f>IFERROR(VLOOKUP($B16,RD[#All],AD$2,0)/AD$1,"")</f>
        <v>1.2733312242961086</v>
      </c>
      <c r="AE16" s="174">
        <f>IFERROR(VLOOKUP($B16,RD[#All],AE$2,0)/AE$1,"")</f>
        <v>1.3019449582422511</v>
      </c>
      <c r="AF16" s="174">
        <f>IFERROR(VLOOKUP($B16,RD[#All],AF$2,0)/AF$1,"")</f>
        <v>1.2917503951986709</v>
      </c>
      <c r="AG16" s="174">
        <f>IFERROR(VLOOKUP($B16,RD[#All],AG$2,0)/AG$1,"")</f>
        <v>1.2948616600790512</v>
      </c>
      <c r="AH16" s="174">
        <f>IFERROR(VLOOKUP($B16,RD[#All],AH$2,0)/AH$1,"")</f>
        <v>1.295428969508601</v>
      </c>
      <c r="AI16" s="174">
        <f>IFERROR(VLOOKUP($B16,RD[#All],AI$2,0)/AI$1,"")</f>
        <v>1.2908818318113671</v>
      </c>
      <c r="AJ16" s="174">
        <f>IFERROR(VLOOKUP($B16,RD[#All],AJ$2,0)/AJ$1,"")</f>
        <v>1.298437870445984</v>
      </c>
      <c r="AK16" s="174">
        <f>IFERROR(VLOOKUP($B16,RD[#All],AK$2,0)/AK$1,"")</f>
        <v>1.2850007969820945</v>
      </c>
      <c r="AL16" s="174">
        <f>IFERROR(VLOOKUP($B16,RD[#All],AL$2,0)/AL$1,"")</f>
        <v>1.2313263430980432</v>
      </c>
      <c r="AM16" s="174">
        <f>IFERROR(VLOOKUP($B16,RD[#All],AM$2,0)/AM$1,"")</f>
        <v>1.2535758277410192</v>
      </c>
      <c r="AN16" s="174">
        <f>IFERROR(VLOOKUP($B16,RD[#All],AN$2,0)/AN$1,"")</f>
        <v>1.2651530959095896</v>
      </c>
      <c r="AO16" s="174">
        <f>IFERROR(VLOOKUP($B16,RD[#All],AO$2,0)/AO$1,"")</f>
        <v>1.2372195709679807</v>
      </c>
      <c r="AP16" s="174">
        <f>IFERROR(VLOOKUP($B16,RD[#All],AP$2,0)/AP$1,"")</f>
        <v>1.2520950143706207</v>
      </c>
      <c r="AQ16" s="174">
        <f>IFERROR(VLOOKUP($B16,RD[#All],AQ$2,0)/AQ$1,"")</f>
        <v>1.2435509344564357</v>
      </c>
      <c r="AR16" s="174">
        <f>IFERROR(VLOOKUP($B16,RD[#All],AR$2,0)/AR$1,"")</f>
        <v>1.2554987595531062</v>
      </c>
      <c r="AS16" s="174">
        <f>IFERROR(VLOOKUP($B16,RD[#All],AS$2,0)/AS$1,"")</f>
        <v>1.2867939119125451</v>
      </c>
      <c r="AT16" s="174">
        <f>IFERROR(VLOOKUP($B16,RD[#All],AT$2,0)/AT$1,"")</f>
        <v>1.3067817560914288</v>
      </c>
      <c r="AU16" s="174">
        <f>IFERROR(VLOOKUP($B16,RD[#All],AU$2,0)/AU$1,"")</f>
        <v>1.3127305550153969</v>
      </c>
      <c r="AV16" s="174">
        <f>IFERROR(VLOOKUP($B16,RD[#All],AV$2,0)/AV$1,"")</f>
        <v>1.31655861785662</v>
      </c>
      <c r="AW16" s="174">
        <f>IFERROR(VLOOKUP($B16,RD[#All],AW$2,0)/AW$1,"")</f>
        <v>1.281901161718606</v>
      </c>
      <c r="AX16" s="174">
        <f>IFERROR(VLOOKUP($B16,RD[#All],AX$2,0)/AX$1,"")</f>
        <v>1.3034874608150471</v>
      </c>
      <c r="AY16" s="174">
        <f>IFERROR(VLOOKUP($B16,RD[#All],AY$2,0)/AY$1,"")</f>
        <v>1.2367074469466739</v>
      </c>
      <c r="AZ16" s="174">
        <f>IFERROR(VLOOKUP($B16,RD[#All],AZ$2,0)/AZ$1,"")</f>
        <v>1.3185357467893621</v>
      </c>
      <c r="BA16" s="174">
        <f>IFERROR(VLOOKUP($B16,RD[#All],BA$2,0)/BA$1,"")</f>
        <v>1.2491450518230125</v>
      </c>
      <c r="BB16" s="174">
        <f>IFERROR(VLOOKUP($B16,RD[#All],BB$2,0)/BB$1,"")</f>
        <v>1.2779741657217814</v>
      </c>
      <c r="BC16" s="174">
        <f>IFERROR(VLOOKUP($B16,RD[#All],BC$2,0)/BC$1,"")</f>
        <v>1.270488132557098</v>
      </c>
      <c r="BD16" s="174">
        <f>IFERROR(VLOOKUP($B16,RD[#All],BD$2,0)/BD$1,"")</f>
        <v>1.2965505777625308</v>
      </c>
      <c r="BE16" s="174">
        <f>IFERROR(VLOOKUP($B16,RD[#All],BE$2,0)/BE$1,"")</f>
        <v>1.2220508604700144</v>
      </c>
      <c r="BF16" s="174">
        <f>IFERROR(VLOOKUP($B16,RD[#All],BF$2,0)/BF$1,"")</f>
        <v>1.1363825571521338</v>
      </c>
      <c r="BG16" s="174">
        <f>IFERROR(VLOOKUP($B16,RD[#All],BG$2,0)/BG$1,"")</f>
        <v>1.2008570360357771</v>
      </c>
      <c r="BH16" s="174">
        <f>IFERROR(VLOOKUP($B16,RD[#All],BH$2,0)/BH$1,"")</f>
        <v>1.1676396997497915</v>
      </c>
      <c r="BI16" s="174">
        <f>IFERROR(VLOOKUP($B16,RD[#All],BI$2,0)/BI$1,"")</f>
        <v>1.2355670237443637</v>
      </c>
      <c r="BJ16" s="174">
        <f>IFERROR(VLOOKUP($B16,RD[#All],BJ$2,0)/BJ$1,"")</f>
        <v>1.1864348590340432</v>
      </c>
      <c r="BK16" s="174">
        <f>IFERROR(VLOOKUP($B16,RD[#All],BK$2,0)/BK$1,"")</f>
        <v>1.2110910775549044</v>
      </c>
      <c r="BL16" s="174">
        <f>IFERROR(VLOOKUP($B16,RD[#All],BL$2,0)/BL$1,"")</f>
        <v>1.2405435784740904</v>
      </c>
      <c r="BM16" s="174">
        <f>IFERROR(VLOOKUP($B16,RD[#All],BM$2,0)/BM$1,"")</f>
        <v>1.2677749753658953</v>
      </c>
      <c r="BN16" s="174">
        <f>IFERROR(VLOOKUP($B16,RD[#All],BN$2,0)/BN$1,"")</f>
        <v>1.2589238973485744</v>
      </c>
      <c r="BO16" s="174">
        <f>IFERROR(VLOOKUP($B16,RD[#All],BO$2,0)/BO$1,"")</f>
        <v>1.1662792456982518</v>
      </c>
      <c r="BP16" s="174">
        <f>IFERROR(VLOOKUP($B16,RD[#All],BP$2,0)/BP$1,"")</f>
        <v>1.2359663430880512</v>
      </c>
      <c r="BQ16" s="174">
        <f>IFERROR(VLOOKUP($B16,RD[#All],BQ$2,0)/BQ$1,"")</f>
        <v>9.5644634162609224E-2</v>
      </c>
      <c r="BR16" s="174">
        <f>IFERROR(VLOOKUP($B16,RD[#All],BR$2,0)/BR$1,"")</f>
        <v>0</v>
      </c>
      <c r="BS16" s="174">
        <f>IFERROR(VLOOKUP($B16,RD[#All],BS$2,0)/BS$1,"")</f>
        <v>0.51947265196089565</v>
      </c>
      <c r="BT16" s="174">
        <f>IFERROR(VLOOKUP($B16,RD[#All],BT$2,0)/BT$1,"")</f>
        <v>0.2893718787367236</v>
      </c>
      <c r="BU16" s="174">
        <f>IFERROR(VLOOKUP($B16,RD[#All],BU$2,0)/BU$1,"")</f>
        <v>0.29226674044999729</v>
      </c>
      <c r="BV16" s="174">
        <f>IFERROR(VLOOKUP($B16,RD[#All],BV$2,0)/BV$1,"")</f>
        <v>0.83969907407407396</v>
      </c>
      <c r="BW16" s="174">
        <f>IFERROR(VLOOKUP($B16,RD[#All],BW$2,0)/BW$1,"")</f>
        <v>0.74291067632328034</v>
      </c>
      <c r="BX16" s="174">
        <f>IFERROR(VLOOKUP($B16,RD[#All],BX$2,0)/BX$1,"")</f>
        <v>1.1916185447945884</v>
      </c>
      <c r="BY16" s="174">
        <f>AVERAGEIF(Inv_SY_B[[#This Row],[IS1Inv1M1]:[IS14Inv2M4]],"&gt;="&amp;0.1,Inv_SY_B[[#This Row],[IS1Inv1M1]:[IS14Inv2M4]])</f>
        <v>1.2118495997450773</v>
      </c>
    </row>
    <row r="17" spans="2:77">
      <c r="B17" s="179">
        <f t="shared" si="30"/>
        <v>45835</v>
      </c>
      <c r="C17" s="174">
        <f>IFERROR(VLOOKUP($B17,RD[#All],C$2,0)/C$1,"")</f>
        <v>3.9417279279335715</v>
      </c>
      <c r="D17" s="174">
        <f>IFERROR(VLOOKUP($B17,RD[#All],D$2,0)/D$1,"")</f>
        <v>3.9297001512868781</v>
      </c>
      <c r="E17" s="174">
        <f>IFERROR(VLOOKUP($B17,RD[#All],E$2,0)/E$1,"")</f>
        <v>3.8990992191012173</v>
      </c>
      <c r="F17" s="174">
        <f>IFERROR(VLOOKUP($B17,RD[#All],F$2,0)/F$1,"")</f>
        <v>3.8534895231809934</v>
      </c>
      <c r="G17" s="174">
        <f>IFERROR(VLOOKUP($B17,RD[#All],G$2,0)/G$1,"")</f>
        <v>3.8593646867330134</v>
      </c>
      <c r="H17" s="174">
        <f>IFERROR(VLOOKUP($B17,RD[#All],H$2,0)/H$1,"")</f>
        <v>3.8388863419529904</v>
      </c>
      <c r="I17" s="174">
        <f>IFERROR(VLOOKUP($B17,RD[#All],I$2,0)/I$1,"")</f>
        <v>3.93571209860779</v>
      </c>
      <c r="J17" s="174">
        <f>IFERROR(VLOOKUP($B17,RD[#All],J$2,0)/J$1,"")</f>
        <v>3.9120297139911187</v>
      </c>
      <c r="K17" s="174">
        <f>IFERROR(VLOOKUP($B17,RD[#All],K$2,0)/K$1,"")</f>
        <v>3.9694589051900935</v>
      </c>
      <c r="L17" s="174">
        <f>IFERROR(VLOOKUP($B17,RD[#All],L$2,0)/L$1,"")</f>
        <v>3.9626198922612006</v>
      </c>
      <c r="M17" s="174">
        <f>IFERROR(VLOOKUP($B17,RD[#All],M$2,0)/M$1,"")</f>
        <v>4.0797477501149579</v>
      </c>
      <c r="N17" s="174">
        <f>IFERROR(VLOOKUP($B17,RD[#All],N$2,0)/N$1,"")</f>
        <v>3.9316884227470514</v>
      </c>
      <c r="O17" s="174">
        <f>IFERROR(VLOOKUP($B17,RD[#All],O$2,0)/O$1,"")</f>
        <v>4.2577871042078366</v>
      </c>
      <c r="P17" s="174">
        <f>IFERROR(VLOOKUP($B17,RD[#All],P$2,0)/P$1,"")</f>
        <v>3.9136254404641839</v>
      </c>
      <c r="Q17" s="174">
        <f>IFERROR(VLOOKUP($B17,RD[#All],Q$2,0)/Q$1,"")</f>
        <v>3.9609026826166933</v>
      </c>
      <c r="R17" s="174">
        <f>IFERROR(VLOOKUP($B17,RD[#All],R$2,0)/R$1,"")</f>
        <v>3.9734668786569931</v>
      </c>
      <c r="S17" s="174">
        <f>IFERROR(VLOOKUP($B17,RD[#All],S$2,0)/S$1,"")</f>
        <v>3.883416592044437</v>
      </c>
      <c r="T17" s="174">
        <f>IFERROR(VLOOKUP($B17,RD[#All],T$2,0)/T$1,"")</f>
        <v>3.8829440510459814</v>
      </c>
      <c r="U17" s="174">
        <f>IFERROR(VLOOKUP($B17,RD[#All],U$2,0)/U$1,"")</f>
        <v>3.9532456297076437</v>
      </c>
      <c r="V17" s="174">
        <f>IFERROR(VLOOKUP($B17,RD[#All],V$2,0)/V$1,"")</f>
        <v>3.968834193033048</v>
      </c>
      <c r="W17" s="174">
        <f>IFERROR(VLOOKUP($B17,RD[#All],W$2,0)/W$1,"")</f>
        <v>3.880094043887147</v>
      </c>
      <c r="X17" s="174">
        <f>IFERROR(VLOOKUP($B17,RD[#All],X$2,0)/X$1,"")</f>
        <v>3.8711974527044668</v>
      </c>
      <c r="Y17" s="174">
        <f>IFERROR(VLOOKUP($B17,RD[#All],Y$2,0)/Y$1,"")</f>
        <v>3.9594422972000234</v>
      </c>
      <c r="Z17" s="174">
        <f>IFERROR(VLOOKUP($B17,RD[#All],Z$2,0)/Z$1,"")</f>
        <v>4.0333758236234045</v>
      </c>
      <c r="AA17" s="174">
        <f>IFERROR(VLOOKUP($B17,RD[#All],AA$2,0)/AA$1,"")</f>
        <v>3.9715450879765393</v>
      </c>
      <c r="AB17" s="174">
        <f>IFERROR(VLOOKUP($B17,RD[#All],AB$2,0)/AB$1,"")</f>
        <v>3.9134977965562667</v>
      </c>
      <c r="AC17" s="174">
        <f>IFERROR(VLOOKUP($B17,RD[#All],AC$2,0)/AC$1,"")</f>
        <v>3.9958461136404271</v>
      </c>
      <c r="AD17" s="174">
        <f>IFERROR(VLOOKUP($B17,RD[#All],AD$2,0)/AD$1,"")</f>
        <v>3.9323902924029466</v>
      </c>
      <c r="AE17" s="174">
        <f>IFERROR(VLOOKUP($B17,RD[#All],AE$2,0)/AE$1,"")</f>
        <v>4.0034190908581362</v>
      </c>
      <c r="AF17" s="174">
        <f>IFERROR(VLOOKUP($B17,RD[#All],AF$2,0)/AF$1,"")</f>
        <v>3.9825308790826028</v>
      </c>
      <c r="AG17" s="174">
        <f>IFERROR(VLOOKUP($B17,RD[#All],AG$2,0)/AG$1,"")</f>
        <v>3.9689246285947934</v>
      </c>
      <c r="AH17" s="174">
        <f>IFERROR(VLOOKUP($B17,RD[#All],AH$2,0)/AH$1,"")</f>
        <v>3.9352124752156907</v>
      </c>
      <c r="AI17" s="174">
        <f>IFERROR(VLOOKUP($B17,RD[#All],AI$2,0)/AI$1,"")</f>
        <v>3.977865612648221</v>
      </c>
      <c r="AJ17" s="174">
        <f>IFERROR(VLOOKUP($B17,RD[#All],AJ$2,0)/AJ$1,"")</f>
        <v>3.9791364821790789</v>
      </c>
      <c r="AK17" s="174">
        <f>IFERROR(VLOOKUP($B17,RD[#All],AK$2,0)/AK$1,"")</f>
        <v>3.9490462780936189</v>
      </c>
      <c r="AL17" s="174">
        <f>IFERROR(VLOOKUP($B17,RD[#All],AL$2,0)/AL$1,"")</f>
        <v>3.8325586423089395</v>
      </c>
      <c r="AM17" s="174">
        <f>IFERROR(VLOOKUP($B17,RD[#All],AM$2,0)/AM$1,"")</f>
        <v>3.9845995409478552</v>
      </c>
      <c r="AN17" s="174">
        <f>IFERROR(VLOOKUP($B17,RD[#All],AN$2,0)/AN$1,"")</f>
        <v>4.0163024090141146</v>
      </c>
      <c r="AO17" s="174">
        <f>IFERROR(VLOOKUP($B17,RD[#All],AO$2,0)/AO$1,"")</f>
        <v>3.9460983933174933</v>
      </c>
      <c r="AP17" s="174">
        <f>IFERROR(VLOOKUP($B17,RD[#All],AP$2,0)/AP$1,"")</f>
        <v>3.9457618448242209</v>
      </c>
      <c r="AQ17" s="174">
        <f>IFERROR(VLOOKUP($B17,RD[#All],AQ$2,0)/AQ$1,"")</f>
        <v>3.9423532508554882</v>
      </c>
      <c r="AR17" s="174">
        <f>IFERROR(VLOOKUP($B17,RD[#All],AR$2,0)/AR$1,"")</f>
        <v>3.9798198438202439</v>
      </c>
      <c r="AS17" s="174">
        <f>IFERROR(VLOOKUP($B17,RD[#All],AS$2,0)/AS$1,"")</f>
        <v>3.9216375502360945</v>
      </c>
      <c r="AT17" s="174">
        <f>IFERROR(VLOOKUP($B17,RD[#All],AT$2,0)/AT$1,"")</f>
        <v>3.9599421759443545</v>
      </c>
      <c r="AU17" s="174">
        <f>IFERROR(VLOOKUP($B17,RD[#All],AU$2,0)/AU$1,"")</f>
        <v>4.0343753718629278</v>
      </c>
      <c r="AV17" s="174">
        <f>IFERROR(VLOOKUP($B17,RD[#All],AV$2,0)/AV$1,"")</f>
        <v>3.974039955238045</v>
      </c>
      <c r="AW17" s="174">
        <f>IFERROR(VLOOKUP($B17,RD[#All],AW$2,0)/AW$1,"")</f>
        <v>3.6015120781855061</v>
      </c>
      <c r="AX17" s="174">
        <f>IFERROR(VLOOKUP($B17,RD[#All],AX$2,0)/AX$1,"")</f>
        <v>3.6865203761755487</v>
      </c>
      <c r="AY17" s="174">
        <f>IFERROR(VLOOKUP($B17,RD[#All],AY$2,0)/AY$1,"")</f>
        <v>3.7889815319878442</v>
      </c>
      <c r="AZ17" s="174">
        <f>IFERROR(VLOOKUP($B17,RD[#All],AZ$2,0)/AZ$1,"")</f>
        <v>4.0536454646577003</v>
      </c>
      <c r="BA17" s="174">
        <f>IFERROR(VLOOKUP($B17,RD[#All],BA$2,0)/BA$1,"")</f>
        <v>3.8423563248627692</v>
      </c>
      <c r="BB17" s="174">
        <f>IFERROR(VLOOKUP($B17,RD[#All],BB$2,0)/BB$1,"")</f>
        <v>3.9376597967940601</v>
      </c>
      <c r="BC17" s="174">
        <f>IFERROR(VLOOKUP($B17,RD[#All],BC$2,0)/BC$1,"")</f>
        <v>3.9514554411106135</v>
      </c>
      <c r="BD17" s="174">
        <f>IFERROR(VLOOKUP($B17,RD[#All],BD$2,0)/BD$1,"")</f>
        <v>4.015381065091896</v>
      </c>
      <c r="BE17" s="174">
        <f>IFERROR(VLOOKUP($B17,RD[#All],BE$2,0)/BE$1,"")</f>
        <v>4.0627908714764214</v>
      </c>
      <c r="BF17" s="174">
        <f>IFERROR(VLOOKUP($B17,RD[#All],BF$2,0)/BF$1,"")</f>
        <v>3.858289348807006</v>
      </c>
      <c r="BG17" s="174">
        <f>IFERROR(VLOOKUP($B17,RD[#All],BG$2,0)/BG$1,"")</f>
        <v>4.02310833740761</v>
      </c>
      <c r="BH17" s="174">
        <f>IFERROR(VLOOKUP($B17,RD[#All],BH$2,0)/BH$1,"")</f>
        <v>3.9573207558022494</v>
      </c>
      <c r="BI17" s="174">
        <f>IFERROR(VLOOKUP($B17,RD[#All],BI$2,0)/BI$1,"")</f>
        <v>4.0712070268720515</v>
      </c>
      <c r="BJ17" s="174">
        <f>IFERROR(VLOOKUP($B17,RD[#All],BJ$2,0)/BJ$1,"")</f>
        <v>4.0098737966739444</v>
      </c>
      <c r="BK17" s="174">
        <f>IFERROR(VLOOKUP($B17,RD[#All],BK$2,0)/BK$1,"")</f>
        <v>4.0168532291588415</v>
      </c>
      <c r="BL17" s="174">
        <f>IFERROR(VLOOKUP($B17,RD[#All],BL$2,0)/BL$1,"")</f>
        <v>4.0635774637214412</v>
      </c>
      <c r="BM17" s="174">
        <f>IFERROR(VLOOKUP($B17,RD[#All],BM$2,0)/BM$1,"")</f>
        <v>4.2197693584887466</v>
      </c>
      <c r="BN17" s="174">
        <f>IFERROR(VLOOKUP($B17,RD[#All],BN$2,0)/BN$1,"")</f>
        <v>4.0757977575921442</v>
      </c>
      <c r="BO17" s="174">
        <f>IFERROR(VLOOKUP($B17,RD[#All],BO$2,0)/BO$1,"")</f>
        <v>3.8564020741922618</v>
      </c>
      <c r="BP17" s="174">
        <f>IFERROR(VLOOKUP($B17,RD[#All],BP$2,0)/BP$1,"")</f>
        <v>4.0972256523787776</v>
      </c>
      <c r="BQ17" s="174">
        <f>IFERROR(VLOOKUP($B17,RD[#All],BQ$2,0)/BQ$1,"")</f>
        <v>2.619355699326352</v>
      </c>
      <c r="BR17" s="174">
        <f>IFERROR(VLOOKUP($B17,RD[#All],BR$2,0)/BR$1,"")</f>
        <v>0.48990160538581046</v>
      </c>
      <c r="BS17" s="174">
        <f>IFERROR(VLOOKUP($B17,RD[#All],BS$2,0)/BS$1,"")</f>
        <v>3.8639375421219628</v>
      </c>
      <c r="BT17" s="174">
        <f>IFERROR(VLOOKUP($B17,RD[#All],BT$2,0)/BT$1,"")</f>
        <v>2.6351550960118169</v>
      </c>
      <c r="BU17" s="174">
        <f>IFERROR(VLOOKUP($B17,RD[#All],BU$2,0)/BU$1,"")</f>
        <v>1.4145959505788781</v>
      </c>
      <c r="BV17" s="174">
        <f>IFERROR(VLOOKUP($B17,RD[#All],BV$2,0)/BV$1,"")</f>
        <v>4.4490740740740735</v>
      </c>
      <c r="BW17" s="174">
        <f>IFERROR(VLOOKUP($B17,RD[#All],BW$2,0)/BW$1,"")</f>
        <v>2.5487695023961372</v>
      </c>
      <c r="BX17" s="174">
        <f>IFERROR(VLOOKUP($B17,RD[#All],BX$2,0)/BX$1,"")</f>
        <v>3.7946213496122754</v>
      </c>
      <c r="BY17" s="174">
        <f>AVERAGEIF(Inv_SY_B[[#This Row],[IS1Inv1M1]:[IS14Inv2M4]],"&gt;="&amp;0.1,Inv_SY_B[[#This Row],[IS1Inv1M1]:[IS14Inv2M4]])</f>
        <v>3.8216743122818326</v>
      </c>
    </row>
    <row r="18" spans="2:77">
      <c r="B18" s="179">
        <f t="shared" si="30"/>
        <v>45836</v>
      </c>
      <c r="C18" s="174">
        <f>IFERROR(VLOOKUP($B18,RD[#All],C$2,0)/C$1,"")</f>
        <v>3.6534371564331378</v>
      </c>
      <c r="D18" s="174">
        <f>IFERROR(VLOOKUP($B18,RD[#All],D$2,0)/D$1,"")</f>
        <v>3.6726064254638056</v>
      </c>
      <c r="E18" s="174">
        <f>IFERROR(VLOOKUP($B18,RD[#All],E$2,0)/E$1,"")</f>
        <v>3.6643300754258314</v>
      </c>
      <c r="F18" s="174">
        <f>IFERROR(VLOOKUP($B18,RD[#All],F$2,0)/F$1,"")</f>
        <v>3.5730077544959578</v>
      </c>
      <c r="G18" s="174">
        <f>IFERROR(VLOOKUP($B18,RD[#All],G$2,0)/G$1,"")</f>
        <v>3.5768893104089097</v>
      </c>
      <c r="H18" s="174">
        <f>IFERROR(VLOOKUP($B18,RD[#All],H$2,0)/H$1,"")</f>
        <v>3.5811639634728087</v>
      </c>
      <c r="I18" s="174">
        <f>IFERROR(VLOOKUP($B18,RD[#All],I$2,0)/I$1,"")</f>
        <v>3.676228199899672</v>
      </c>
      <c r="J18" s="174">
        <f>IFERROR(VLOOKUP($B18,RD[#All],J$2,0)/J$1,"")</f>
        <v>3.633753969090888</v>
      </c>
      <c r="K18" s="174">
        <f>IFERROR(VLOOKUP($B18,RD[#All],K$2,0)/K$1,"")</f>
        <v>3.6128095914182046</v>
      </c>
      <c r="L18" s="174">
        <f>IFERROR(VLOOKUP($B18,RD[#All],L$2,0)/L$1,"")</f>
        <v>3.6639731966890028</v>
      </c>
      <c r="M18" s="174">
        <f>IFERROR(VLOOKUP($B18,RD[#All],M$2,0)/M$1,"")</f>
        <v>3.7937331669184786</v>
      </c>
      <c r="N18" s="174">
        <f>IFERROR(VLOOKUP($B18,RD[#All],N$2,0)/N$1,"")</f>
        <v>3.6776578887798994</v>
      </c>
      <c r="O18" s="174">
        <f>IFERROR(VLOOKUP($B18,RD[#All],O$2,0)/O$1,"")</f>
        <v>3.9127020398704886</v>
      </c>
      <c r="P18" s="174">
        <f>IFERROR(VLOOKUP($B18,RD[#All],P$2,0)/P$1,"")</f>
        <v>3.6146078467993972</v>
      </c>
      <c r="Q18" s="174">
        <f>IFERROR(VLOOKUP($B18,RD[#All],Q$2,0)/Q$1,"")</f>
        <v>3.6638766465439554</v>
      </c>
      <c r="R18" s="174">
        <f>IFERROR(VLOOKUP($B18,RD[#All],R$2,0)/R$1,"")</f>
        <v>3.6727967918224942</v>
      </c>
      <c r="S18" s="174">
        <f>IFERROR(VLOOKUP($B18,RD[#All],S$2,0)/S$1,"")</f>
        <v>3.695959490356687</v>
      </c>
      <c r="T18" s="174">
        <f>IFERROR(VLOOKUP($B18,RD[#All],T$2,0)/T$1,"")</f>
        <v>3.6308721299793922</v>
      </c>
      <c r="U18" s="174">
        <f>IFERROR(VLOOKUP($B18,RD[#All],U$2,0)/U$1,"")</f>
        <v>3.6826589432308658</v>
      </c>
      <c r="V18" s="174">
        <f>IFERROR(VLOOKUP($B18,RD[#All],V$2,0)/V$1,"")</f>
        <v>3.7018083027587108</v>
      </c>
      <c r="W18" s="174">
        <f>IFERROR(VLOOKUP($B18,RD[#All],W$2,0)/W$1,"")</f>
        <v>3.6040669856459333</v>
      </c>
      <c r="X18" s="174">
        <f>IFERROR(VLOOKUP($B18,RD[#All],X$2,0)/X$1,"")</f>
        <v>3.6674680655542025</v>
      </c>
      <c r="Y18" s="174">
        <f>IFERROR(VLOOKUP($B18,RD[#All],Y$2,0)/Y$1,"")</f>
        <v>3.6981050759024154</v>
      </c>
      <c r="Z18" s="174">
        <f>IFERROR(VLOOKUP($B18,RD[#All],Z$2,0)/Z$1,"")</f>
        <v>3.68687050036805</v>
      </c>
      <c r="AA18" s="174">
        <f>IFERROR(VLOOKUP($B18,RD[#All],AA$2,0)/AA$1,"")</f>
        <v>3.729838709677419</v>
      </c>
      <c r="AB18" s="174">
        <f>IFERROR(VLOOKUP($B18,RD[#All],AB$2,0)/AB$1,"")</f>
        <v>3.7201399300349816</v>
      </c>
      <c r="AC18" s="174">
        <f>IFERROR(VLOOKUP($B18,RD[#All],AC$2,0)/AC$1,"")</f>
        <v>3.6788028004346449</v>
      </c>
      <c r="AD18" s="174">
        <f>IFERROR(VLOOKUP($B18,RD[#All],AD$2,0)/AD$1,"")</f>
        <v>3.6128711528901336</v>
      </c>
      <c r="AE18" s="174">
        <f>IFERROR(VLOOKUP($B18,RD[#All],AE$2,0)/AE$1,"")</f>
        <v>3.6703099602040243</v>
      </c>
      <c r="AF18" s="174">
        <f>IFERROR(VLOOKUP($B18,RD[#All],AF$2,0)/AF$1,"")</f>
        <v>3.606248157972296</v>
      </c>
      <c r="AG18" s="174">
        <f>IFERROR(VLOOKUP($B18,RD[#All],AG$2,0)/AG$1,"")</f>
        <v>3.5713779473899416</v>
      </c>
      <c r="AH18" s="174">
        <f>IFERROR(VLOOKUP($B18,RD[#All],AH$2,0)/AH$1,"")</f>
        <v>3.5626172230855797</v>
      </c>
      <c r="AI18" s="174">
        <f>IFERROR(VLOOKUP($B18,RD[#All],AI$2,0)/AI$1,"")</f>
        <v>3.5661987188224069</v>
      </c>
      <c r="AJ18" s="174">
        <f>IFERROR(VLOOKUP($B18,RD[#All],AJ$2,0)/AJ$1,"")</f>
        <v>3.525881826084666</v>
      </c>
      <c r="AK18" s="174">
        <f>IFERROR(VLOOKUP($B18,RD[#All],AK$2,0)/AK$1,"")</f>
        <v>3.5231921789490466</v>
      </c>
      <c r="AL18" s="174">
        <f>IFERROR(VLOOKUP($B18,RD[#All],AL$2,0)/AL$1,"")</f>
        <v>3.4109285482650522</v>
      </c>
      <c r="AM18" s="174">
        <f>IFERROR(VLOOKUP($B18,RD[#All],AM$2,0)/AM$1,"")</f>
        <v>3.5046813895414188</v>
      </c>
      <c r="AN18" s="174">
        <f>IFERROR(VLOOKUP($B18,RD[#All],AN$2,0)/AN$1,"")</f>
        <v>3.5335572502641903</v>
      </c>
      <c r="AO18" s="174">
        <f>IFERROR(VLOOKUP($B18,RD[#All],AO$2,0)/AO$1,"")</f>
        <v>3.4809883756150426</v>
      </c>
      <c r="AP18" s="174">
        <f>IFERROR(VLOOKUP($B18,RD[#All],AP$2,0)/AP$1,"")</f>
        <v>3.5201626202319494</v>
      </c>
      <c r="AQ18" s="174">
        <f>IFERROR(VLOOKUP($B18,RD[#All],AQ$2,0)/AQ$1,"")</f>
        <v>3.4848644380100025</v>
      </c>
      <c r="AR18" s="174">
        <f>IFERROR(VLOOKUP($B18,RD[#All],AR$2,0)/AR$1,"")</f>
        <v>3.4965617143142578</v>
      </c>
      <c r="AS18" s="174">
        <f>IFERROR(VLOOKUP($B18,RD[#All],AS$2,0)/AS$1,"")</f>
        <v>3.5325904835553676</v>
      </c>
      <c r="AT18" s="174">
        <f>IFERROR(VLOOKUP($B18,RD[#All],AT$2,0)/AT$1,"")</f>
        <v>3.5207307619785877</v>
      </c>
      <c r="AU18" s="174">
        <f>IFERROR(VLOOKUP($B18,RD[#All],AU$2,0)/AU$1,"")</f>
        <v>3.6102847490487564</v>
      </c>
      <c r="AV18" s="174">
        <f>IFERROR(VLOOKUP($B18,RD[#All],AV$2,0)/AV$1,"")</f>
        <v>3.5374692497650932</v>
      </c>
      <c r="AW18" s="174">
        <f>IFERROR(VLOOKUP($B18,RD[#All],AW$2,0)/AW$1,"")</f>
        <v>3.4424211690945974</v>
      </c>
      <c r="AX18" s="174">
        <f>IFERROR(VLOOKUP($B18,RD[#All],AX$2,0)/AX$1,"")</f>
        <v>3.522825235109718</v>
      </c>
      <c r="AY18" s="174">
        <f>IFERROR(VLOOKUP($B18,RD[#All],AY$2,0)/AY$1,"")</f>
        <v>3.691056910569106</v>
      </c>
      <c r="AZ18" s="174">
        <f>IFERROR(VLOOKUP($B18,RD[#All],AZ$2,0)/AZ$1,"")</f>
        <v>3.9390737182728284</v>
      </c>
      <c r="BA18" s="174">
        <f>IFERROR(VLOOKUP($B18,RD[#All],BA$2,0)/BA$1,"")</f>
        <v>3.7083706003051509</v>
      </c>
      <c r="BB18" s="174">
        <f>IFERROR(VLOOKUP($B18,RD[#All],BB$2,0)/BB$1,"")</f>
        <v>3.773049645390071</v>
      </c>
      <c r="BC18" s="174">
        <f>IFERROR(VLOOKUP($B18,RD[#All],BC$2,0)/BC$1,"")</f>
        <v>3.7016121809225262</v>
      </c>
      <c r="BD18" s="174">
        <f>IFERROR(VLOOKUP($B18,RD[#All],BD$2,0)/BD$1,"")</f>
        <v>3.8042406682222212</v>
      </c>
      <c r="BE18" s="174">
        <f>IFERROR(VLOOKUP($B18,RD[#All],BE$2,0)/BE$1,"")</f>
        <v>3.8787392908341092</v>
      </c>
      <c r="BF18" s="174">
        <f>IFERROR(VLOOKUP($B18,RD[#All],BF$2,0)/BF$1,"")</f>
        <v>3.8249887610516322</v>
      </c>
      <c r="BG18" s="174">
        <f>IFERROR(VLOOKUP($B18,RD[#All],BG$2,0)/BG$1,"")</f>
        <v>3.8259612895803978</v>
      </c>
      <c r="BH18" s="174">
        <f>IFERROR(VLOOKUP($B18,RD[#All],BH$2,0)/BH$1,"")</f>
        <v>3.7641281527709878</v>
      </c>
      <c r="BI18" s="174">
        <f>IFERROR(VLOOKUP($B18,RD[#All],BI$2,0)/BI$1,"")</f>
        <v>3.7721870357338338</v>
      </c>
      <c r="BJ18" s="174">
        <f>IFERROR(VLOOKUP($B18,RD[#All],BJ$2,0)/BJ$1,"")</f>
        <v>3.7433911479146924</v>
      </c>
      <c r="BK18" s="174">
        <f>IFERROR(VLOOKUP($B18,RD[#All],BK$2,0)/BK$1,"")</f>
        <v>3.6891167705907395</v>
      </c>
      <c r="BL18" s="174">
        <f>IFERROR(VLOOKUP($B18,RD[#All],BL$2,0)/BL$1,"")</f>
        <v>3.8012604352164088</v>
      </c>
      <c r="BM18" s="174">
        <f>IFERROR(VLOOKUP($B18,RD[#All],BM$2,0)/BM$1,"")</f>
        <v>3.8793817819120884</v>
      </c>
      <c r="BN18" s="174">
        <f>IFERROR(VLOOKUP($B18,RD[#All],BN$2,0)/BN$1,"")</f>
        <v>3.8008180359084398</v>
      </c>
      <c r="BO18" s="174">
        <f>IFERROR(VLOOKUP($B18,RD[#All],BO$2,0)/BO$1,"")</f>
        <v>3.5348747644526357</v>
      </c>
      <c r="BP18" s="174">
        <f>IFERROR(VLOOKUP($B18,RD[#All],BP$2,0)/BP$1,"")</f>
        <v>3.7466929436700154</v>
      </c>
      <c r="BQ18" s="174">
        <f>IFERROR(VLOOKUP($B18,RD[#All],BQ$2,0)/BQ$1,"")</f>
        <v>2.7716934569465752</v>
      </c>
      <c r="BR18" s="174">
        <f>IFERROR(VLOOKUP($B18,RD[#All],BR$2,0)/BR$1,"")</f>
        <v>1.0100614041577272</v>
      </c>
      <c r="BS18" s="174">
        <f>IFERROR(VLOOKUP($B18,RD[#All],BS$2,0)/BS$1,"")</f>
        <v>3.503108506175364</v>
      </c>
      <c r="BT18" s="174">
        <f>IFERROR(VLOOKUP($B18,RD[#All],BT$2,0)/BT$1,"")</f>
        <v>2.6490820848280228</v>
      </c>
      <c r="BU18" s="174">
        <f>IFERROR(VLOOKUP($B18,RD[#All],BU$2,0)/BU$1,"")</f>
        <v>1.1933705926689655</v>
      </c>
      <c r="BV18" s="174">
        <f>IFERROR(VLOOKUP($B18,RD[#All],BV$2,0)/BV$1,"")</f>
        <v>1.0162037037037035</v>
      </c>
      <c r="BW18" s="174">
        <f>IFERROR(VLOOKUP($B18,RD[#All],BW$2,0)/BW$1,"")</f>
        <v>3.7351637660793426</v>
      </c>
      <c r="BX18" s="174">
        <f>IFERROR(VLOOKUP($B18,RD[#All],BX$2,0)/BX$1,"")</f>
        <v>3.7139745916515428</v>
      </c>
      <c r="BY18" s="174">
        <f>AVERAGEIF(Inv_SY_B[[#This Row],[IS1Inv1M1]:[IS14Inv2M4]],"&gt;="&amp;0.1,Inv_SY_B[[#This Row],[IS1Inv1M1]:[IS14Inv2M4]])</f>
        <v>3.5249801398269924</v>
      </c>
    </row>
    <row r="19" spans="2:77">
      <c r="B19" s="179">
        <f t="shared" si="30"/>
        <v>45837</v>
      </c>
      <c r="C19" s="174">
        <f>IFERROR(VLOOKUP($B19,RD[#All],C$2,0)/C$1,"")</f>
        <v>2.1654383090950664</v>
      </c>
      <c r="D19" s="174">
        <f>IFERROR(VLOOKUP($B19,RD[#All],D$2,0)/D$1,"")</f>
        <v>2.1499650755964557</v>
      </c>
      <c r="E19" s="174">
        <f>IFERROR(VLOOKUP($B19,RD[#All],E$2,0)/E$1,"")</f>
        <v>2.1300387951847348</v>
      </c>
      <c r="F19" s="174">
        <f>IFERROR(VLOOKUP($B19,RD[#All],F$2,0)/F$1,"")</f>
        <v>2.1540999835010726</v>
      </c>
      <c r="G19" s="174">
        <f>IFERROR(VLOOKUP($B19,RD[#All],G$2,0)/G$1,"")</f>
        <v>2.1708565899172694</v>
      </c>
      <c r="H19" s="174">
        <f>IFERROR(VLOOKUP($B19,RD[#All],H$2,0)/H$1,"")</f>
        <v>2.1576814898335956</v>
      </c>
      <c r="I19" s="174">
        <f>IFERROR(VLOOKUP($B19,RD[#All],I$2,0)/I$1,"")</f>
        <v>2.1869482791194614</v>
      </c>
      <c r="J19" s="174">
        <f>IFERROR(VLOOKUP($B19,RD[#All],J$2,0)/J$1,"")</f>
        <v>2.1798657246300399</v>
      </c>
      <c r="K19" s="174">
        <f>IFERROR(VLOOKUP($B19,RD[#All],K$2,0)/K$1,"")</f>
        <v>2.1564915601829941</v>
      </c>
      <c r="L19" s="174">
        <f>IFERROR(VLOOKUP($B19,RD[#All],L$2,0)/L$1,"")</f>
        <v>2.1995795559059252</v>
      </c>
      <c r="M19" s="174">
        <f>IFERROR(VLOOKUP($B19,RD[#All],M$2,0)/M$1,"")</f>
        <v>2.2523812651908299</v>
      </c>
      <c r="N19" s="174">
        <f>IFERROR(VLOOKUP($B19,RD[#All],N$2,0)/N$1,"")</f>
        <v>2.1695087904625372</v>
      </c>
      <c r="O19" s="174">
        <f>IFERROR(VLOOKUP($B19,RD[#All],O$2,0)/O$1,"")</f>
        <v>2.3050085933326039</v>
      </c>
      <c r="P19" s="174">
        <f>IFERROR(VLOOKUP($B19,RD[#All],P$2,0)/P$1,"")</f>
        <v>2.1209517761757128</v>
      </c>
      <c r="Q19" s="174">
        <f>IFERROR(VLOOKUP($B19,RD[#All],Q$2,0)/Q$1,"")</f>
        <v>2.1709689764576621</v>
      </c>
      <c r="R19" s="174">
        <f>IFERROR(VLOOKUP($B19,RD[#All],R$2,0)/R$1,"")</f>
        <v>2.1536758221598551</v>
      </c>
      <c r="S19" s="174">
        <f>IFERROR(VLOOKUP($B19,RD[#All],S$2,0)/S$1,"")</f>
        <v>2.158029427674014</v>
      </c>
      <c r="T19" s="174">
        <f>IFERROR(VLOOKUP($B19,RD[#All],T$2,0)/T$1,"")</f>
        <v>2.1809120096520953</v>
      </c>
      <c r="U19" s="174">
        <f>IFERROR(VLOOKUP($B19,RD[#All],U$2,0)/U$1,"")</f>
        <v>2.1779524745399317</v>
      </c>
      <c r="V19" s="174">
        <f>IFERROR(VLOOKUP($B19,RD[#All],V$2,0)/V$1,"")</f>
        <v>2.1875634620852118</v>
      </c>
      <c r="W19" s="174">
        <f>IFERROR(VLOOKUP($B19,RD[#All],W$2,0)/W$1,"")</f>
        <v>2.1539349942253754</v>
      </c>
      <c r="X19" s="174">
        <f>IFERROR(VLOOKUP($B19,RD[#All],X$2,0)/X$1,"")</f>
        <v>2.1242383037019201</v>
      </c>
      <c r="Y19" s="174">
        <f>IFERROR(VLOOKUP($B19,RD[#All],Y$2,0)/Y$1,"")</f>
        <v>2.1857878400249415</v>
      </c>
      <c r="Z19" s="174">
        <f>IFERROR(VLOOKUP($B19,RD[#All],Z$2,0)/Z$1,"")</f>
        <v>2.2267006588987233</v>
      </c>
      <c r="AA19" s="174">
        <f>IFERROR(VLOOKUP($B19,RD[#All],AA$2,0)/AA$1,"")</f>
        <v>2.1914864369501466</v>
      </c>
      <c r="AB19" s="174">
        <f>IFERROR(VLOOKUP($B19,RD[#All],AB$2,0)/AB$1,"")</f>
        <v>2.1709599745581749</v>
      </c>
      <c r="AC19" s="174">
        <f>IFERROR(VLOOKUP($B19,RD[#All],AC$2,0)/AC$1,"")</f>
        <v>2.2036229591626206</v>
      </c>
      <c r="AD19" s="174">
        <f>IFERROR(VLOOKUP($B19,RD[#All],AD$2,0)/AD$1,"")</f>
        <v>2.1809102002078906</v>
      </c>
      <c r="AE19" s="174">
        <f>IFERROR(VLOOKUP($B19,RD[#All],AE$2,0)/AE$1,"")</f>
        <v>2.4004820357603274</v>
      </c>
      <c r="AF19" s="174">
        <f>IFERROR(VLOOKUP($B19,RD[#All],AF$2,0)/AF$1,"")</f>
        <v>2.3831417624521074</v>
      </c>
      <c r="AG19" s="174">
        <f>IFERROR(VLOOKUP($B19,RD[#All],AG$2,0)/AG$1,"")</f>
        <v>2.3894234700831403</v>
      </c>
      <c r="AH19" s="174">
        <f>IFERROR(VLOOKUP($B19,RD[#All],AH$2,0)/AH$1,"")</f>
        <v>2.37355983066288</v>
      </c>
      <c r="AI19" s="174">
        <f>IFERROR(VLOOKUP($B19,RD[#All],AI$2,0)/AI$1,"")</f>
        <v>2.3953659533869427</v>
      </c>
      <c r="AJ19" s="174">
        <f>IFERROR(VLOOKUP($B19,RD[#All],AJ$2,0)/AJ$1,"")</f>
        <v>2.4037828297463188</v>
      </c>
      <c r="AK19" s="174">
        <f>IFERROR(VLOOKUP($B19,RD[#All],AK$2,0)/AK$1,"")</f>
        <v>2.3782477020349613</v>
      </c>
      <c r="AL19" s="174">
        <f>IFERROR(VLOOKUP($B19,RD[#All],AL$2,0)/AL$1,"")</f>
        <v>2.2899146038266132</v>
      </c>
      <c r="AM19" s="174">
        <f>IFERROR(VLOOKUP($B19,RD[#All],AM$2,0)/AM$1,"")</f>
        <v>2.3923886192761517</v>
      </c>
      <c r="AN19" s="174">
        <f>IFERROR(VLOOKUP($B19,RD[#All],AN$2,0)/AN$1,"")</f>
        <v>2.4082063984599542</v>
      </c>
      <c r="AO19" s="174">
        <f>IFERROR(VLOOKUP($B19,RD[#All],AO$2,0)/AO$1,"")</f>
        <v>2.3608203706072008</v>
      </c>
      <c r="AP19" s="174">
        <f>IFERROR(VLOOKUP($B19,RD[#All],AP$2,0)/AP$1,"")</f>
        <v>2.3546278783309886</v>
      </c>
      <c r="AQ19" s="174">
        <f>IFERROR(VLOOKUP($B19,RD[#All],AQ$2,0)/AQ$1,"")</f>
        <v>2.3642405896288494</v>
      </c>
      <c r="AR19" s="174">
        <f>IFERROR(VLOOKUP($B19,RD[#All],AR$2,0)/AR$1,"")</f>
        <v>2.3867197256031569</v>
      </c>
      <c r="AS19" s="174">
        <f>IFERROR(VLOOKUP($B19,RD[#All],AS$2,0)/AS$1,"")</f>
        <v>2.3793689291949334</v>
      </c>
      <c r="AT19" s="174">
        <f>IFERROR(VLOOKUP($B19,RD[#All],AT$2,0)/AT$1,"")</f>
        <v>2.4240011732417086</v>
      </c>
      <c r="AU19" s="174">
        <f>IFERROR(VLOOKUP($B19,RD[#All],AU$2,0)/AU$1,"")</f>
        <v>2.4456898728482739</v>
      </c>
      <c r="AV19" s="174">
        <f>IFERROR(VLOOKUP($B19,RD[#All],AV$2,0)/AV$1,"")</f>
        <v>2.4341909560076869</v>
      </c>
      <c r="AW19" s="174">
        <f>IFERROR(VLOOKUP($B19,RD[#All],AW$2,0)/AW$1,"")</f>
        <v>2.1881799741840315</v>
      </c>
      <c r="AX19" s="174">
        <f>IFERROR(VLOOKUP($B19,RD[#All],AX$2,0)/AX$1,"")</f>
        <v>2.212921238244514</v>
      </c>
      <c r="AY19" s="174">
        <f>IFERROR(VLOOKUP($B19,RD[#All],AY$2,0)/AY$1,"")</f>
        <v>2.0966258863866596</v>
      </c>
      <c r="AZ19" s="174">
        <f>IFERROR(VLOOKUP($B19,RD[#All],AZ$2,0)/AZ$1,"")</f>
        <v>2.2296491050662355</v>
      </c>
      <c r="BA19" s="174">
        <f>IFERROR(VLOOKUP($B19,RD[#All],BA$2,0)/BA$1,"")</f>
        <v>2.1311008225039894</v>
      </c>
      <c r="BB19" s="174">
        <f>IFERROR(VLOOKUP($B19,RD[#All],BB$2,0)/BB$1,"")</f>
        <v>2.1826185553258188</v>
      </c>
      <c r="BC19" s="174">
        <f>IFERROR(VLOOKUP($B19,RD[#All],BC$2,0)/BC$1,"")</f>
        <v>2.1742946708463951</v>
      </c>
      <c r="BD19" s="174">
        <f>IFERROR(VLOOKUP($B19,RD[#All],BD$2,0)/BD$1,"")</f>
        <v>2.2106081250149203</v>
      </c>
      <c r="BE19" s="174">
        <f>IFERROR(VLOOKUP($B19,RD[#All],BE$2,0)/BE$1,"")</f>
        <v>2.1630986432225674</v>
      </c>
      <c r="BF19" s="174">
        <f>IFERROR(VLOOKUP($B19,RD[#All],BF$2,0)/BF$1,"")</f>
        <v>2.1019330991191993</v>
      </c>
      <c r="BG19" s="174">
        <f>IFERROR(VLOOKUP($B19,RD[#All],BG$2,0)/BG$1,"")</f>
        <v>2.2031290443185414</v>
      </c>
      <c r="BH19" s="174">
        <f>IFERROR(VLOOKUP($B19,RD[#All],BH$2,0)/BH$1,"")</f>
        <v>2.1778205976244571</v>
      </c>
      <c r="BI19" s="174">
        <f>IFERROR(VLOOKUP($B19,RD[#All],BI$2,0)/BI$1,"")</f>
        <v>2.2102327521046732</v>
      </c>
      <c r="BJ19" s="174">
        <f>IFERROR(VLOOKUP($B19,RD[#All],BJ$2,0)/BJ$1,"")</f>
        <v>2.2107554347079743</v>
      </c>
      <c r="BK19" s="174">
        <f>IFERROR(VLOOKUP($B19,RD[#All],BK$2,0)/BK$1,"")</f>
        <v>2.2006235444369318</v>
      </c>
      <c r="BL19" s="174">
        <f>IFERROR(VLOOKUP($B19,RD[#All],BL$2,0)/BL$1,"")</f>
        <v>2.2094242160168736</v>
      </c>
      <c r="BM19" s="174">
        <f>IFERROR(VLOOKUP($B19,RD[#All],BM$2,0)/BM$1,"")</f>
        <v>2.2130013831258641</v>
      </c>
      <c r="BN19" s="174">
        <f>IFERROR(VLOOKUP($B19,RD[#All],BN$2,0)/BN$1,"")</f>
        <v>2.1837301747099196</v>
      </c>
      <c r="BO19" s="174">
        <f>IFERROR(VLOOKUP($B19,RD[#All],BO$2,0)/BO$1,"")</f>
        <v>2.0416764095016711</v>
      </c>
      <c r="BP19" s="174">
        <f>IFERROR(VLOOKUP($B19,RD[#All],BP$2,0)/BP$1,"")</f>
        <v>2.1605823860088833</v>
      </c>
      <c r="BQ19" s="174">
        <f>IFERROR(VLOOKUP($B19,RD[#All],BQ$2,0)/BQ$1,"")</f>
        <v>1.7535516574401386</v>
      </c>
      <c r="BR19" s="174">
        <f>IFERROR(VLOOKUP($B19,RD[#All],BR$2,0)/BR$1,"")</f>
        <v>1.5553007324110379</v>
      </c>
      <c r="BS19" s="174">
        <f>IFERROR(VLOOKUP($B19,RD[#All],BS$2,0)/BS$1,"")</f>
        <v>2.0583535897377647</v>
      </c>
      <c r="BT19" s="174">
        <f>IFERROR(VLOOKUP($B19,RD[#All],BT$2,0)/BT$1,"")</f>
        <v>1.7204051487655623</v>
      </c>
      <c r="BU19" s="174">
        <f>IFERROR(VLOOKUP($B19,RD[#All],BU$2,0)/BU$1,"")</f>
        <v>0.96778304460308273</v>
      </c>
      <c r="BV19" s="174">
        <f>IFERROR(VLOOKUP($B19,RD[#All],BV$2,0)/BV$1,"")</f>
        <v>1.6128472222222221</v>
      </c>
      <c r="BW19" s="174">
        <f>IFERROR(VLOOKUP($B19,RD[#All],BW$2,0)/BW$1,"")</f>
        <v>2.1746838179656249</v>
      </c>
      <c r="BX19" s="174">
        <f>IFERROR(VLOOKUP($B19,RD[#All],BX$2,0)/BX$1,"")</f>
        <v>2.1502062365946211</v>
      </c>
      <c r="BY19" s="174">
        <f>AVERAGEIF(Inv_SY_B[[#This Row],[IS1Inv1M1]:[IS14Inv2M4]],"&gt;="&amp;0.1,Inv_SY_B[[#This Row],[IS1Inv1M1]:[IS14Inv2M4]])</f>
        <v>2.181417155970125</v>
      </c>
    </row>
    <row r="20" spans="2:77">
      <c r="B20" s="179">
        <f t="shared" si="30"/>
        <v>45838</v>
      </c>
      <c r="C20" s="174">
        <f>IFERROR(VLOOKUP($B20,RD[#All],C$2,0)/C$1,"")</f>
        <v>2.5562784054425687</v>
      </c>
      <c r="D20" s="174">
        <f>IFERROR(VLOOKUP($B20,RD[#All],D$2,0)/D$1,"")</f>
        <v>2.553522039961035</v>
      </c>
      <c r="E20" s="174">
        <f>IFERROR(VLOOKUP($B20,RD[#All],E$2,0)/E$1,"")</f>
        <v>2.521720308363443</v>
      </c>
      <c r="F20" s="174">
        <f>IFERROR(VLOOKUP($B20,RD[#All],F$2,0)/F$1,"")</f>
        <v>2.5052631578947366</v>
      </c>
      <c r="G20" s="174">
        <f>IFERROR(VLOOKUP($B20,RD[#All],G$2,0)/G$1,"")</f>
        <v>2.513313126005293</v>
      </c>
      <c r="H20" s="174">
        <f>IFERROR(VLOOKUP($B20,RD[#All],H$2,0)/H$1,"")</f>
        <v>2.5057925582663212</v>
      </c>
      <c r="I20" s="174">
        <f>IFERROR(VLOOKUP($B20,RD[#All],I$2,0)/I$1,"")</f>
        <v>2.5593334071675669</v>
      </c>
      <c r="J20" s="174">
        <f>IFERROR(VLOOKUP($B20,RD[#All],J$2,0)/J$1,"")</f>
        <v>2.5662296272862548</v>
      </c>
      <c r="K20" s="174">
        <f>IFERROR(VLOOKUP($B20,RD[#All],K$2,0)/K$1,"")</f>
        <v>2.5299258558132198</v>
      </c>
      <c r="L20" s="174">
        <f>IFERROR(VLOOKUP($B20,RD[#All],L$2,0)/L$1,"")</f>
        <v>2.5589935619498094</v>
      </c>
      <c r="M20" s="174">
        <f>IFERROR(VLOOKUP($B20,RD[#All],M$2,0)/M$1,"")</f>
        <v>2.6236615647375681</v>
      </c>
      <c r="N20" s="174">
        <f>IFERROR(VLOOKUP($B20,RD[#All],N$2,0)/N$1,"")</f>
        <v>2.5427576146281345</v>
      </c>
      <c r="O20" s="174">
        <f>IFERROR(VLOOKUP($B20,RD[#All],O$2,0)/O$1,"")</f>
        <v>2.7030054134776926</v>
      </c>
      <c r="P20" s="174">
        <f>IFERROR(VLOOKUP($B20,RD[#All],P$2,0)/P$1,"")</f>
        <v>2.470272558614421</v>
      </c>
      <c r="Q20" s="174">
        <f>IFERROR(VLOOKUP($B20,RD[#All],Q$2,0)/Q$1,"")</f>
        <v>2.5423132476574941</v>
      </c>
      <c r="R20" s="174">
        <f>IFERROR(VLOOKUP($B20,RD[#All],R$2,0)/R$1,"")</f>
        <v>2.5469092968915947</v>
      </c>
      <c r="S20" s="174">
        <f>IFERROR(VLOOKUP($B20,RD[#All],S$2,0)/S$1,"")</f>
        <v>2.5418528434478653</v>
      </c>
      <c r="T20" s="174">
        <f>IFERROR(VLOOKUP($B20,RD[#All],T$2,0)/T$1,"")</f>
        <v>2.563554432716717</v>
      </c>
      <c r="U20" s="174">
        <f>IFERROR(VLOOKUP($B20,RD[#All],U$2,0)/U$1,"")</f>
        <v>2.5627920972701537</v>
      </c>
      <c r="V20" s="174">
        <f>IFERROR(VLOOKUP($B20,RD[#All],V$2,0)/V$1,"")</f>
        <v>2.5791442716019302</v>
      </c>
      <c r="W20" s="174">
        <f>IFERROR(VLOOKUP($B20,RD[#All],W$2,0)/W$1,"")</f>
        <v>2.4934004289721168</v>
      </c>
      <c r="X20" s="174">
        <f>IFERROR(VLOOKUP($B20,RD[#All],X$2,0)/X$1,"")</f>
        <v>2.4446848264332774</v>
      </c>
      <c r="Y20" s="174">
        <f>IFERROR(VLOOKUP($B20,RD[#All],Y$2,0)/Y$1,"")</f>
        <v>2.5106712698696523</v>
      </c>
      <c r="Z20" s="174">
        <f>IFERROR(VLOOKUP($B20,RD[#All],Z$2,0)/Z$1,"")</f>
        <v>2.536535664913194</v>
      </c>
      <c r="AA20" s="174">
        <f>IFERROR(VLOOKUP($B20,RD[#All],AA$2,0)/AA$1,"")</f>
        <v>2.5364277859237534</v>
      </c>
      <c r="AB20" s="174">
        <f>IFERROR(VLOOKUP($B20,RD[#All],AB$2,0)/AB$1,"")</f>
        <v>2.5351869519785555</v>
      </c>
      <c r="AC20" s="174">
        <f>IFERROR(VLOOKUP($B20,RD[#All],AC$2,0)/AC$1,"")</f>
        <v>2.5291482699017465</v>
      </c>
      <c r="AD20" s="174">
        <f>IFERROR(VLOOKUP($B20,RD[#All],AD$2,0)/AD$1,"")</f>
        <v>2.4956840059655621</v>
      </c>
      <c r="AE20" s="174">
        <f>IFERROR(VLOOKUP($B20,RD[#All],AE$2,0)/AE$1,"")</f>
        <v>2.480690544252004</v>
      </c>
      <c r="AF20" s="174">
        <f>IFERROR(VLOOKUP($B20,RD[#All],AF$2,0)/AF$1,"")</f>
        <v>2.4585376309514237</v>
      </c>
      <c r="AG20" s="174">
        <f>IFERROR(VLOOKUP($B20,RD[#All],AG$2,0)/AG$1,"")</f>
        <v>2.4511925855254195</v>
      </c>
      <c r="AH20" s="174">
        <f>IFERROR(VLOOKUP($B20,RD[#All],AH$2,0)/AH$1,"")</f>
        <v>2.4465462729757248</v>
      </c>
      <c r="AI20" s="174">
        <f>IFERROR(VLOOKUP($B20,RD[#All],AI$2,0)/AI$1,"")</f>
        <v>2.4522829494343741</v>
      </c>
      <c r="AJ20" s="174">
        <f>IFERROR(VLOOKUP($B20,RD[#All],AJ$2,0)/AJ$1,"")</f>
        <v>2.4498300887753217</v>
      </c>
      <c r="AK20" s="174">
        <f>IFERROR(VLOOKUP($B20,RD[#All],AK$2,0)/AK$1,"")</f>
        <v>2.4336113915307371</v>
      </c>
      <c r="AL20" s="174">
        <f>IFERROR(VLOOKUP($B20,RD[#All],AL$2,0)/AL$1,"")</f>
        <v>2.3388282347854288</v>
      </c>
      <c r="AM20" s="174">
        <f>IFERROR(VLOOKUP($B20,RD[#All],AM$2,0)/AM$1,"")</f>
        <v>2.4308224572078592</v>
      </c>
      <c r="AN20" s="174">
        <f>IFERROR(VLOOKUP($B20,RD[#All],AN$2,0)/AN$1,"")</f>
        <v>2.4461690685010802</v>
      </c>
      <c r="AO20" s="174">
        <f>IFERROR(VLOOKUP($B20,RD[#All],AO$2,0)/AO$1,"")</f>
        <v>2.4036293389514496</v>
      </c>
      <c r="AP20" s="174">
        <f>IFERROR(VLOOKUP($B20,RD[#All],AP$2,0)/AP$1,"")</f>
        <v>2.4120430512832591</v>
      </c>
      <c r="AQ20" s="174">
        <f>IFERROR(VLOOKUP($B20,RD[#All],AQ$2,0)/AQ$1,"")</f>
        <v>2.4069491971571462</v>
      </c>
      <c r="AR20" s="174">
        <f>IFERROR(VLOOKUP($B20,RD[#All],AR$2,0)/AR$1,"")</f>
        <v>2.4276794485422668</v>
      </c>
      <c r="AS20" s="174">
        <f>IFERROR(VLOOKUP($B20,RD[#All],AS$2,0)/AS$1,"")</f>
        <v>2.4275487129014492</v>
      </c>
      <c r="AT20" s="174">
        <f>IFERROR(VLOOKUP($B20,RD[#All],AT$2,0)/AT$1,"")</f>
        <v>2.4554691919297729</v>
      </c>
      <c r="AU20" s="174">
        <f>IFERROR(VLOOKUP($B20,RD[#All],AU$2,0)/AU$1,"")</f>
        <v>2.455151516910512</v>
      </c>
      <c r="AV20" s="174">
        <f>IFERROR(VLOOKUP($B20,RD[#All],AV$2,0)/AV$1,"")</f>
        <v>2.4467035276008438</v>
      </c>
      <c r="AW20" s="174">
        <f>IFERROR(VLOOKUP($B20,RD[#All],AW$2,0)/AW$1,"")</f>
        <v>2.6046929743684313</v>
      </c>
      <c r="AX20" s="174">
        <f>IFERROR(VLOOKUP($B20,RD[#All],AX$2,0)/AX$1,"")</f>
        <v>2.6459149686520376</v>
      </c>
      <c r="AY20" s="174">
        <f>IFERROR(VLOOKUP($B20,RD[#All],AY$2,0)/AY$1,"")</f>
        <v>2.5441699784409981</v>
      </c>
      <c r="AZ20" s="174">
        <f>IFERROR(VLOOKUP($B20,RD[#All],AZ$2,0)/AZ$1,"")</f>
        <v>2.5308423500859543</v>
      </c>
      <c r="BA20" s="174">
        <f>IFERROR(VLOOKUP($B20,RD[#All],BA$2,0)/BA$1,"")</f>
        <v>2.5879500534890654</v>
      </c>
      <c r="BB20" s="174">
        <f>IFERROR(VLOOKUP($B20,RD[#All],BB$2,0)/BB$1,"")</f>
        <v>2.6587963271749042</v>
      </c>
      <c r="BC20" s="174">
        <f>IFERROR(VLOOKUP($B20,RD[#All],BC$2,0)/BC$1,"")</f>
        <v>2.6343931930138829</v>
      </c>
      <c r="BD20" s="174">
        <f>IFERROR(VLOOKUP($B20,RD[#All],BD$2,0)/BD$1,"")</f>
        <v>2.6729419337383433</v>
      </c>
      <c r="BE20" s="174">
        <f>IFERROR(VLOOKUP($B20,RD[#All],BE$2,0)/BE$1,"")</f>
        <v>2.643032333018541</v>
      </c>
      <c r="BF20" s="174">
        <f>IFERROR(VLOOKUP($B20,RD[#All],BF$2,0)/BF$1,"")</f>
        <v>2.5721373982250784</v>
      </c>
      <c r="BG20" s="174">
        <f>IFERROR(VLOOKUP($B20,RD[#All],BG$2,0)/BG$1,"")</f>
        <v>2.6972908458197926</v>
      </c>
      <c r="BH20" s="174">
        <f>IFERROR(VLOOKUP($B20,RD[#All],BH$2,0)/BH$1,"")</f>
        <v>3.0564263322884013</v>
      </c>
      <c r="BI20" s="174">
        <f>IFERROR(VLOOKUP($B20,RD[#All],BI$2,0)/BI$1,"")</f>
        <v>2.7004326634868505</v>
      </c>
      <c r="BJ20" s="174">
        <f>IFERROR(VLOOKUP($B20,RD[#All],BJ$2,0)/BJ$1,"")</f>
        <v>2.734794490448921</v>
      </c>
      <c r="BK20" s="174">
        <f>IFERROR(VLOOKUP($B20,RD[#All],BK$2,0)/BK$1,"")</f>
        <v>2.7362707535121329</v>
      </c>
      <c r="BL20" s="174">
        <f>IFERROR(VLOOKUP($B20,RD[#All],BL$2,0)/BL$1,"")</f>
        <v>2.6974324000050522</v>
      </c>
      <c r="BM20" s="174">
        <f>IFERROR(VLOOKUP($B20,RD[#All],BM$2,0)/BM$1,"")</f>
        <v>2.7071901451528819</v>
      </c>
      <c r="BN20" s="174">
        <f>IFERROR(VLOOKUP($B20,RD[#All],BN$2,0)/BN$1,"")</f>
        <v>2.6590193923983638</v>
      </c>
      <c r="BO20" s="174">
        <f>IFERROR(VLOOKUP($B20,RD[#All],BO$2,0)/BO$1,"")</f>
        <v>2.4972834683575642</v>
      </c>
      <c r="BP20" s="174">
        <f>IFERROR(VLOOKUP($B20,RD[#All],BP$2,0)/BP$1,"")</f>
        <v>2.6316592751032424</v>
      </c>
      <c r="BQ20" s="174">
        <f>IFERROR(VLOOKUP($B20,RD[#All],BQ$2,0)/BQ$1,"")</f>
        <v>2.6166877876342292</v>
      </c>
      <c r="BR20" s="174">
        <f>IFERROR(VLOOKUP($B20,RD[#All],BR$2,0)/BR$1,"")</f>
        <v>1.9891987867130281</v>
      </c>
      <c r="BS20" s="174">
        <f>IFERROR(VLOOKUP($B20,RD[#All],BS$2,0)/BS$1,"")</f>
        <v>2.5760845695419405</v>
      </c>
      <c r="BT20" s="174">
        <f>IFERROR(VLOOKUP($B20,RD[#All],BT$2,0)/BT$1,"")</f>
        <v>2.6092002532179785</v>
      </c>
      <c r="BU20" s="174">
        <f>IFERROR(VLOOKUP($B20,RD[#All],BU$2,0)/BU$1,"")</f>
        <v>1.3097475943300252</v>
      </c>
      <c r="BV20" s="174">
        <f>IFERROR(VLOOKUP($B20,RD[#All],BV$2,0)/BV$1,"")</f>
        <v>2.2424768518518516</v>
      </c>
      <c r="BW20" s="174">
        <f>IFERROR(VLOOKUP($B20,RD[#All],BW$2,0)/BW$1,"")</f>
        <v>2.692393615104673</v>
      </c>
      <c r="BX20" s="174">
        <f>IFERROR(VLOOKUP($B20,RD[#All],BX$2,0)/BX$1,"")</f>
        <v>2.6523016003959743</v>
      </c>
      <c r="BY20" s="174">
        <f>AVERAGEIF(Inv_SY_B[[#This Row],[IS1Inv1M1]:[IS14Inv2M4]],"&gt;="&amp;0.1,Inv_SY_B[[#This Row],[IS1Inv1M1]:[IS14Inv2M4]])</f>
        <v>2.5250381369991599</v>
      </c>
    </row>
    <row r="21" spans="2:77">
      <c r="B21" s="179">
        <f t="shared" si="30"/>
        <v>45839</v>
      </c>
      <c r="C21" s="174">
        <f>IFERROR(VLOOKUP($B21,RD[#All],C$2,0)/C$1,"")</f>
        <v>2.9844547251308491</v>
      </c>
      <c r="D21" s="174">
        <f>IFERROR(VLOOKUP($B21,RD[#All],D$2,0)/D$1,"")</f>
        <v>2.9645963647297977</v>
      </c>
      <c r="E21" s="174">
        <f>IFERROR(VLOOKUP($B21,RD[#All],E$2,0)/E$1,"")</f>
        <v>2.9453037846117986</v>
      </c>
      <c r="F21" s="174">
        <f>IFERROR(VLOOKUP($B21,RD[#All],F$2,0)/F$1,"")</f>
        <v>2.9307375020623661</v>
      </c>
      <c r="G21" s="174">
        <f>IFERROR(VLOOKUP($B21,RD[#All],G$2,0)/G$1,"")</f>
        <v>2.9385000865112882</v>
      </c>
      <c r="H21" s="174">
        <f>IFERROR(VLOOKUP($B21,RD[#All],H$2,0)/H$1,"")</f>
        <v>2.9405751669619735</v>
      </c>
      <c r="I21" s="174">
        <f>IFERROR(VLOOKUP($B21,RD[#All],I$2,0)/I$1,"")</f>
        <v>3.0013615901287971</v>
      </c>
      <c r="J21" s="174">
        <f>IFERROR(VLOOKUP($B21,RD[#All],J$2,0)/J$1,"")</f>
        <v>2.9919622247999347</v>
      </c>
      <c r="K21" s="174">
        <f>IFERROR(VLOOKUP($B21,RD[#All],K$2,0)/K$1,"")</f>
        <v>2.9662091812588733</v>
      </c>
      <c r="L21" s="174">
        <f>IFERROR(VLOOKUP($B21,RD[#All],L$2,0)/L$1,"")</f>
        <v>2.9919852844567072</v>
      </c>
      <c r="M21" s="174">
        <f>IFERROR(VLOOKUP($B21,RD[#All],M$2,0)/M$1,"")</f>
        <v>3.0637850620771201</v>
      </c>
      <c r="N21" s="174">
        <f>IFERROR(VLOOKUP($B21,RD[#All],N$2,0)/N$1,"")</f>
        <v>2.9717799743454312</v>
      </c>
      <c r="O21" s="174">
        <f>IFERROR(VLOOKUP($B21,RD[#All],O$2,0)/O$1,"")</f>
        <v>3.1524334901804276</v>
      </c>
      <c r="P21" s="174">
        <f>IFERROR(VLOOKUP($B21,RD[#All],P$2,0)/P$1,"")</f>
        <v>2.8779276082327891</v>
      </c>
      <c r="Q21" s="174">
        <f>IFERROR(VLOOKUP($B21,RD[#All],Q$2,0)/Q$1,"")</f>
        <v>2.9637173931829683</v>
      </c>
      <c r="R21" s="174">
        <f>IFERROR(VLOOKUP($B21,RD[#All],R$2,0)/R$1,"")</f>
        <v>2.9730356027884874</v>
      </c>
      <c r="S21" s="174">
        <f>IFERROR(VLOOKUP($B21,RD[#All],S$2,0)/S$1,"")</f>
        <v>2.9432674081919301</v>
      </c>
      <c r="T21" s="174">
        <f>IFERROR(VLOOKUP($B21,RD[#All],T$2,0)/T$1,"")</f>
        <v>2.9480997437174334</v>
      </c>
      <c r="U21" s="174">
        <f>IFERROR(VLOOKUP($B21,RD[#All],U$2,0)/U$1,"")</f>
        <v>2.9756072331982355</v>
      </c>
      <c r="V21" s="174">
        <f>IFERROR(VLOOKUP($B21,RD[#All],V$2,0)/V$1,"")</f>
        <v>2.9918001344832099</v>
      </c>
      <c r="W21" s="174">
        <f>IFERROR(VLOOKUP($B21,RD[#All],W$2,0)/W$1,"")</f>
        <v>2.8631826431281966</v>
      </c>
      <c r="X21" s="174">
        <f>IFERROR(VLOOKUP($B21,RD[#All],X$2,0)/X$1,"")</f>
        <v>2.8245411171884802</v>
      </c>
      <c r="Y21" s="174">
        <f>IFERROR(VLOOKUP($B21,RD[#All],Y$2,0)/Y$1,"")</f>
        <v>2.8821369131947785</v>
      </c>
      <c r="Z21" s="174">
        <f>IFERROR(VLOOKUP($B21,RD[#All],Z$2,0)/Z$1,"")</f>
        <v>2.9338946839261029</v>
      </c>
      <c r="AA21" s="174">
        <f>IFERROR(VLOOKUP($B21,RD[#All],AA$2,0)/AA$1,"")</f>
        <v>2.9237078445747797</v>
      </c>
      <c r="AB21" s="174">
        <f>IFERROR(VLOOKUP($B21,RD[#All],AB$2,0)/AB$1,"")</f>
        <v>2.9153605015673976</v>
      </c>
      <c r="AC21" s="174">
        <f>IFERROR(VLOOKUP($B21,RD[#All],AC$2,0)/AC$1,"")</f>
        <v>2.9231714418020345</v>
      </c>
      <c r="AD21" s="174">
        <f>IFERROR(VLOOKUP($B21,RD[#All],AD$2,0)/AD$1,"")</f>
        <v>2.8868350883535947</v>
      </c>
      <c r="AE21" s="174">
        <f>IFERROR(VLOOKUP($B21,RD[#All],AE$2,0)/AE$1,"")</f>
        <v>2.9466397623451606</v>
      </c>
      <c r="AF21" s="174">
        <f>IFERROR(VLOOKUP($B21,RD[#All],AF$2,0)/AF$1,"")</f>
        <v>2.9165929855585029</v>
      </c>
      <c r="AG21" s="174">
        <f>IFERROR(VLOOKUP($B21,RD[#All],AG$2,0)/AG$1,"")</f>
        <v>2.9077279542047156</v>
      </c>
      <c r="AH21" s="174">
        <f>IFERROR(VLOOKUP($B21,RD[#All],AH$2,0)/AH$1,"")</f>
        <v>2.8948073522319278</v>
      </c>
      <c r="AI21" s="174">
        <f>IFERROR(VLOOKUP($B21,RD[#All],AI$2,0)/AI$1,"")</f>
        <v>2.9211939484803051</v>
      </c>
      <c r="AJ21" s="174">
        <f>IFERROR(VLOOKUP($B21,RD[#All],AJ$2,0)/AJ$1,"")</f>
        <v>2.920207581465188</v>
      </c>
      <c r="AK21" s="174">
        <f>IFERROR(VLOOKUP($B21,RD[#All],AK$2,0)/AK$1,"")</f>
        <v>2.902927580893683</v>
      </c>
      <c r="AL21" s="174">
        <f>IFERROR(VLOOKUP($B21,RD[#All],AL$2,0)/AL$1,"")</f>
        <v>2.7978056426332287</v>
      </c>
      <c r="AM21" s="174">
        <f>IFERROR(VLOOKUP($B21,RD[#All],AM$2,0)/AM$1,"")</f>
        <v>2.9156542166160722</v>
      </c>
      <c r="AN21" s="174">
        <f>IFERROR(VLOOKUP($B21,RD[#All],AN$2,0)/AN$1,"")</f>
        <v>2.9266930071954067</v>
      </c>
      <c r="AO21" s="174">
        <f>IFERROR(VLOOKUP($B21,RD[#All],AO$2,0)/AO$1,"")</f>
        <v>2.8727779385731687</v>
      </c>
      <c r="AP21" s="174">
        <f>IFERROR(VLOOKUP($B21,RD[#All],AP$2,0)/AP$1,"")</f>
        <v>2.8897399826340977</v>
      </c>
      <c r="AQ21" s="174">
        <f>IFERROR(VLOOKUP($B21,RD[#All],AQ$2,0)/AQ$1,"")</f>
        <v>2.8749012898131086</v>
      </c>
      <c r="AR21" s="174">
        <f>IFERROR(VLOOKUP($B21,RD[#All],AR$2,0)/AR$1,"")</f>
        <v>2.8985497594032541</v>
      </c>
      <c r="AS21" s="174">
        <f>IFERROR(VLOOKUP($B21,RD[#All],AS$2,0)/AS$1,"")</f>
        <v>2.901285341019602</v>
      </c>
      <c r="AT21" s="174">
        <f>IFERROR(VLOOKUP($B21,RD[#All],AT$2,0)/AT$1,"")</f>
        <v>2.9387190714629901</v>
      </c>
      <c r="AU21" s="174">
        <f>IFERROR(VLOOKUP($B21,RD[#All],AU$2,0)/AU$1,"")</f>
        <v>2.943848335069903</v>
      </c>
      <c r="AV21" s="174">
        <f>IFERROR(VLOOKUP($B21,RD[#All],AV$2,0)/AV$1,"")</f>
        <v>2.923786634684848</v>
      </c>
      <c r="AW21" s="174">
        <f>IFERROR(VLOOKUP($B21,RD[#All],AW$2,0)/AW$1,"")</f>
        <v>2.9635810437027481</v>
      </c>
      <c r="AX21" s="174">
        <f>IFERROR(VLOOKUP($B21,RD[#All],AX$2,0)/AX$1,"")</f>
        <v>3.0060246865203766</v>
      </c>
      <c r="AY21" s="174">
        <f>IFERROR(VLOOKUP($B21,RD[#All],AY$2,0)/AY$1,"")</f>
        <v>2.893789449076599</v>
      </c>
      <c r="AZ21" s="174">
        <f>IFERROR(VLOOKUP($B21,RD[#All],AZ$2,0)/AZ$1,"")</f>
        <v>2.8394175346344426</v>
      </c>
      <c r="BA21" s="174">
        <f>IFERROR(VLOOKUP($B21,RD[#All],BA$2,0)/BA$1,"")</f>
        <v>2.9376457796250501</v>
      </c>
      <c r="BB21" s="174">
        <f>IFERROR(VLOOKUP($B21,RD[#All],BB$2,0)/BB$1,"")</f>
        <v>3.0207874786011253</v>
      </c>
      <c r="BC21" s="174">
        <f>IFERROR(VLOOKUP($B21,RD[#All],BC$2,0)/BC$1,"")</f>
        <v>2.983296014330497</v>
      </c>
      <c r="BD21" s="174">
        <f>IFERROR(VLOOKUP($B21,RD[#All],BD$2,0)/BD$1,"")</f>
        <v>3.0405366573504358</v>
      </c>
      <c r="BE21" s="174">
        <f>IFERROR(VLOOKUP($B21,RD[#All],BE$2,0)/BE$1,"")</f>
        <v>3.0267618743503166</v>
      </c>
      <c r="BF21" s="174">
        <f>IFERROR(VLOOKUP($B21,RD[#All],BF$2,0)/BF$1,"")</f>
        <v>2.9537621339016633</v>
      </c>
      <c r="BG21" s="174">
        <f>IFERROR(VLOOKUP($B21,RD[#All],BG$2,0)/BG$1,"")</f>
        <v>3.0836760518823159</v>
      </c>
      <c r="BH21" s="174">
        <f>IFERROR(VLOOKUP($B21,RD[#All],BH$2,0)/BH$1,"")</f>
        <v>2.9264329469960599</v>
      </c>
      <c r="BI21" s="174">
        <f>IFERROR(VLOOKUP($B21,RD[#All],BI$2,0)/BI$1,"")</f>
        <v>3.0627883337242938</v>
      </c>
      <c r="BJ21" s="174">
        <f>IFERROR(VLOOKUP($B21,RD[#All],BJ$2,0)/BJ$1,"")</f>
        <v>3.0710391518697042</v>
      </c>
      <c r="BK21" s="174">
        <f>IFERROR(VLOOKUP($B21,RD[#All],BK$2,0)/BK$1,"")</f>
        <v>3.0789071695089274</v>
      </c>
      <c r="BL21" s="174">
        <f>IFERROR(VLOOKUP($B21,RD[#All],BL$2,0)/BL$1,"")</f>
        <v>3.0581341012137058</v>
      </c>
      <c r="BM21" s="174">
        <f>IFERROR(VLOOKUP($B21,RD[#All],BM$2,0)/BM$1,"")</f>
        <v>2.9648915044733122</v>
      </c>
      <c r="BN21" s="174">
        <f>IFERROR(VLOOKUP($B21,RD[#All],BN$2,0)/BN$1,"")</f>
        <v>2.9847955773135979</v>
      </c>
      <c r="BO21" s="174">
        <f>IFERROR(VLOOKUP($B21,RD[#All],BO$2,0)/BO$1,"")</f>
        <v>2.7964183046091633</v>
      </c>
      <c r="BP21" s="174">
        <f>IFERROR(VLOOKUP($B21,RD[#All],BP$2,0)/BP$1,"")</f>
        <v>3.0506779500163446</v>
      </c>
      <c r="BQ21" s="174">
        <f>IFERROR(VLOOKUP($B21,RD[#All],BQ$2,0)/BQ$1,"")</f>
        <v>2.901153871806843</v>
      </c>
      <c r="BR21" s="174">
        <f>IFERROR(VLOOKUP($B21,RD[#All],BR$2,0)/BR$1,"")</f>
        <v>2.2440630317378116</v>
      </c>
      <c r="BS21" s="174">
        <f>IFERROR(VLOOKUP($B21,RD[#All],BS$2,0)/BS$1,"")</f>
        <v>2.840137213475999</v>
      </c>
      <c r="BT21" s="174">
        <f>IFERROR(VLOOKUP($B21,RD[#All],BT$2,0)/BT$1,"")</f>
        <v>2.8705071393402264</v>
      </c>
      <c r="BU21" s="174">
        <f>IFERROR(VLOOKUP($B21,RD[#All],BU$2,0)/BU$1,"")</f>
        <v>2.1025756551775925</v>
      </c>
      <c r="BV21" s="174">
        <f>IFERROR(VLOOKUP($B21,RD[#All],BV$2,0)/BV$1,"")</f>
        <v>2.5329861111111107</v>
      </c>
      <c r="BW21" s="174">
        <f>IFERROR(VLOOKUP($B21,RD[#All],BW$2,0)/BW$1,"")</f>
        <v>3.0208626094476267</v>
      </c>
      <c r="BX21" s="174">
        <f>IFERROR(VLOOKUP($B21,RD[#All],BX$2,0)/BX$1,"")</f>
        <v>3.0037947533410327</v>
      </c>
      <c r="BY21" s="174">
        <f>AVERAGEIF(Inv_SY_B[[#This Row],[IS1Inv1M1]:[IS14Inv2M4]],"&gt;="&amp;0.1,Inv_SY_B[[#This Row],[IS1Inv1M1]:[IS14Inv2M4]])</f>
        <v>2.9219361122731073</v>
      </c>
    </row>
    <row r="22" spans="2:77">
      <c r="B22" s="179">
        <f t="shared" si="30"/>
        <v>45840</v>
      </c>
      <c r="C22" s="174">
        <f>IFERROR(VLOOKUP($B22,RD[#All],C$2,0)/C$1,"")</f>
        <v>3.4388791615637362</v>
      </c>
      <c r="D22" s="174">
        <f>IFERROR(VLOOKUP($B22,RD[#All],D$2,0)/D$1,"")</f>
        <v>3.4421993290755841</v>
      </c>
      <c r="E22" s="174">
        <f>IFERROR(VLOOKUP($B22,RD[#All],E$2,0)/E$1,"")</f>
        <v>3.407848948533942</v>
      </c>
      <c r="F22" s="174">
        <f>IFERROR(VLOOKUP($B22,RD[#All],F$2,0)/F$1,"")</f>
        <v>3.3671011384260021</v>
      </c>
      <c r="G22" s="174">
        <f>IFERROR(VLOOKUP($B22,RD[#All],G$2,0)/G$1,"")</f>
        <v>3.3913706592160153</v>
      </c>
      <c r="H22" s="174">
        <f>IFERROR(VLOOKUP($B22,RD[#All],H$2,0)/H$1,"")</f>
        <v>3.3744904407300478</v>
      </c>
      <c r="I22" s="174">
        <f>IFERROR(VLOOKUP($B22,RD[#All],I$2,0)/I$1,"")</f>
        <v>3.4443018430327625</v>
      </c>
      <c r="J22" s="174">
        <f>IFERROR(VLOOKUP($B22,RD[#All],J$2,0)/J$1,"")</f>
        <v>3.4424760097015712</v>
      </c>
      <c r="K22" s="174">
        <f>IFERROR(VLOOKUP($B22,RD[#All],K$2,0)/K$1,"")</f>
        <v>3.3923331755797443</v>
      </c>
      <c r="L22" s="174">
        <f>IFERROR(VLOOKUP($B22,RD[#All],L$2,0)/L$1,"")</f>
        <v>3.446064906057023</v>
      </c>
      <c r="M22" s="174">
        <f>IFERROR(VLOOKUP($B22,RD[#All],M$2,0)/M$1,"")</f>
        <v>3.533140642448926</v>
      </c>
      <c r="N22" s="174">
        <f>IFERROR(VLOOKUP($B22,RD[#All],N$2,0)/N$1,"")</f>
        <v>3.4377750949470562</v>
      </c>
      <c r="O22" s="174">
        <f>IFERROR(VLOOKUP($B22,RD[#All],O$2,0)/O$1,"")</f>
        <v>3.6296692049719028</v>
      </c>
      <c r="P22" s="174">
        <f>IFERROR(VLOOKUP($B22,RD[#All],P$2,0)/P$1,"")</f>
        <v>3.332212717741835</v>
      </c>
      <c r="Q22" s="174">
        <f>IFERROR(VLOOKUP($B22,RD[#All],Q$2,0)/Q$1,"")</f>
        <v>3.4178363764305031</v>
      </c>
      <c r="R22" s="174">
        <f>IFERROR(VLOOKUP($B22,RD[#All],R$2,0)/R$1,"")</f>
        <v>3.4299949148069233</v>
      </c>
      <c r="S22" s="174">
        <f>IFERROR(VLOOKUP($B22,RD[#All],S$2,0)/S$1,"")</f>
        <v>3.4248648845211531</v>
      </c>
      <c r="T22" s="174">
        <f>IFERROR(VLOOKUP($B22,RD[#All],T$2,0)/T$1,"")</f>
        <v>3.4321215581008371</v>
      </c>
      <c r="U22" s="174">
        <f>IFERROR(VLOOKUP($B22,RD[#All],U$2,0)/U$1,"")</f>
        <v>3.4347347733278162</v>
      </c>
      <c r="V22" s="174">
        <f>IFERROR(VLOOKUP($B22,RD[#All],V$2,0)/V$1,"")</f>
        <v>3.457121066478932</v>
      </c>
      <c r="W22" s="174">
        <f>IFERROR(VLOOKUP($B22,RD[#All],W$2,0)/W$1,"")</f>
        <v>3.3657812242204255</v>
      </c>
      <c r="X22" s="174">
        <f>IFERROR(VLOOKUP($B22,RD[#All],X$2,0)/X$1,"")</f>
        <v>3.3444444067670163</v>
      </c>
      <c r="Y22" s="174">
        <f>IFERROR(VLOOKUP($B22,RD[#All],Y$2,0)/Y$1,"")</f>
        <v>3.4456624898559891</v>
      </c>
      <c r="Z22" s="174">
        <f>IFERROR(VLOOKUP($B22,RD[#All],Z$2,0)/Z$1,"")</f>
        <v>3.4713370078457424</v>
      </c>
      <c r="AA22" s="174">
        <f>IFERROR(VLOOKUP($B22,RD[#All],AA$2,0)/AA$1,"")</f>
        <v>3.4247617302052782</v>
      </c>
      <c r="AB22" s="174">
        <f>IFERROR(VLOOKUP($B22,RD[#All],AB$2,0)/AB$1,"")</f>
        <v>3.4220616964245147</v>
      </c>
      <c r="AC22" s="174">
        <f>IFERROR(VLOOKUP($B22,RD[#All],AC$2,0)/AC$1,"")</f>
        <v>3.4144854178415378</v>
      </c>
      <c r="AD22" s="174">
        <f>IFERROR(VLOOKUP($B22,RD[#All],AD$2,0)/AD$1,"")</f>
        <v>3.3912866633524645</v>
      </c>
      <c r="AE22" s="174">
        <f>IFERROR(VLOOKUP($B22,RD[#All],AE$2,0)/AE$1,"")</f>
        <v>3.5699792612521719</v>
      </c>
      <c r="AF22" s="174">
        <f>IFERROR(VLOOKUP($B22,RD[#All],AF$2,0)/AF$1,"")</f>
        <v>3.4948959086890121</v>
      </c>
      <c r="AG22" s="174">
        <f>IFERROR(VLOOKUP($B22,RD[#All],AG$2,0)/AG$1,"")</f>
        <v>3.4627777020580619</v>
      </c>
      <c r="AH22" s="174">
        <f>IFERROR(VLOOKUP($B22,RD[#All],AH$2,0)/AH$1,"")</f>
        <v>3.4351320936712932</v>
      </c>
      <c r="AI22" s="174">
        <f>IFERROR(VLOOKUP($B22,RD[#All],AI$2,0)/AI$1,"")</f>
        <v>3.1541501976284585</v>
      </c>
      <c r="AJ22" s="174">
        <f>IFERROR(VLOOKUP($B22,RD[#All],AJ$2,0)/AJ$1,"")</f>
        <v>3.1084534127130476</v>
      </c>
      <c r="AK22" s="174">
        <f>IFERROR(VLOOKUP($B22,RD[#All],AK$2,0)/AK$1,"")</f>
        <v>3.128048456511344</v>
      </c>
      <c r="AL22" s="174">
        <f>IFERROR(VLOOKUP($B22,RD[#All],AL$2,0)/AL$1,"")</f>
        <v>2.3820668035888013</v>
      </c>
      <c r="AM22" s="174">
        <f>IFERROR(VLOOKUP($B22,RD[#All],AM$2,0)/AM$1,"")</f>
        <v>3.5102680945297409</v>
      </c>
      <c r="AN22" s="174">
        <f>IFERROR(VLOOKUP($B22,RD[#All],AN$2,0)/AN$1,"")</f>
        <v>3.5302590750301208</v>
      </c>
      <c r="AO22" s="174">
        <f>IFERROR(VLOOKUP($B22,RD[#All],AO$2,0)/AO$1,"")</f>
        <v>2.607577725874521</v>
      </c>
      <c r="AP22" s="174">
        <f>IFERROR(VLOOKUP($B22,RD[#All],AP$2,0)/AP$1,"")</f>
        <v>2.6268282996897021</v>
      </c>
      <c r="AQ22" s="174">
        <f>IFERROR(VLOOKUP($B22,RD[#All],AQ$2,0)/AQ$1,"")</f>
        <v>2.5929849960515923</v>
      </c>
      <c r="AR22" s="174">
        <f>IFERROR(VLOOKUP($B22,RD[#All],AR$2,0)/AR$1,"")</f>
        <v>2.623220499841822</v>
      </c>
      <c r="AS22" s="174">
        <f>IFERROR(VLOOKUP($B22,RD[#All],AS$2,0)/AS$1,"")</f>
        <v>3.4863322670978474</v>
      </c>
      <c r="AT22" s="174">
        <f>IFERROR(VLOOKUP($B22,RD[#All],AT$2,0)/AT$1,"")</f>
        <v>3.4808824453709324</v>
      </c>
      <c r="AU22" s="174">
        <f>IFERROR(VLOOKUP($B22,RD[#All],AU$2,0)/AU$1,"")</f>
        <v>3.4872833762396636</v>
      </c>
      <c r="AV22" s="174">
        <f>IFERROR(VLOOKUP($B22,RD[#All],AV$2,0)/AV$1,"")</f>
        <v>3.4605995646569427</v>
      </c>
      <c r="AW22" s="174">
        <f>IFERROR(VLOOKUP($B22,RD[#All],AW$2,0)/AW$1,"")</f>
        <v>3.4432048681541585</v>
      </c>
      <c r="AX22" s="174">
        <f>IFERROR(VLOOKUP($B22,RD[#All],AX$2,0)/AX$1,"")</f>
        <v>3.4735991379310347</v>
      </c>
      <c r="AY22" s="174">
        <f>IFERROR(VLOOKUP($B22,RD[#All],AY$2,0)/AY$1,"")</f>
        <v>3.3858541780305984</v>
      </c>
      <c r="AZ22" s="174">
        <f>IFERROR(VLOOKUP($B22,RD[#All],AZ$2,0)/AZ$1,"")</f>
        <v>3.5340782687834968</v>
      </c>
      <c r="BA22" s="174">
        <f>IFERROR(VLOOKUP($B22,RD[#All],BA$2,0)/BA$1,"")</f>
        <v>3.5272092737763279</v>
      </c>
      <c r="BB22" s="174">
        <f>IFERROR(VLOOKUP($B22,RD[#All],BB$2,0)/BB$1,"")</f>
        <v>3.6532604104137487</v>
      </c>
      <c r="BC22" s="174">
        <f>IFERROR(VLOOKUP($B22,RD[#All],BC$2,0)/BC$1,"")</f>
        <v>3.5962830273175102</v>
      </c>
      <c r="BD22" s="174">
        <f>IFERROR(VLOOKUP($B22,RD[#All],BD$2,0)/BD$1,"")</f>
        <v>3.6853636734185025</v>
      </c>
      <c r="BE22" s="174">
        <f>IFERROR(VLOOKUP($B22,RD[#All],BE$2,0)/BE$1,"")</f>
        <v>3.7732951959072478</v>
      </c>
      <c r="BF22" s="174">
        <f>IFERROR(VLOOKUP($B22,RD[#All],BF$2,0)/BF$1,"")</f>
        <v>3.7083534524384349</v>
      </c>
      <c r="BG22" s="174">
        <f>IFERROR(VLOOKUP($B22,RD[#All],BG$2,0)/BG$1,"")</f>
        <v>3.8940496390670387</v>
      </c>
      <c r="BH22" s="174">
        <f>IFERROR(VLOOKUP($B22,RD[#All],BH$2,0)/BH$1,"")</f>
        <v>3.8620545857179835</v>
      </c>
      <c r="BI22" s="174">
        <f>IFERROR(VLOOKUP($B22,RD[#All],BI$2,0)/BI$1,"")</f>
        <v>3.8115437745979617</v>
      </c>
      <c r="BJ22" s="174">
        <f>IFERROR(VLOOKUP($B22,RD[#All],BJ$2,0)/BJ$1,"")</f>
        <v>3.8842884412035317</v>
      </c>
      <c r="BK22" s="174">
        <f>IFERROR(VLOOKUP($B22,RD[#All],BK$2,0)/BK$1,"")</f>
        <v>3.8738011168707587</v>
      </c>
      <c r="BL22" s="174">
        <f>IFERROR(VLOOKUP($B22,RD[#All],BL$2,0)/BL$1,"")</f>
        <v>3.8302453933492466</v>
      </c>
      <c r="BM22" s="174">
        <f>IFERROR(VLOOKUP($B22,RD[#All],BM$2,0)/BM$1,"")</f>
        <v>3.7505311022518732</v>
      </c>
      <c r="BN22" s="174">
        <f>IFERROR(VLOOKUP($B22,RD[#All],BN$2,0)/BN$1,"")</f>
        <v>3.7817765530889198</v>
      </c>
      <c r="BO22" s="174">
        <f>IFERROR(VLOOKUP($B22,RD[#All],BO$2,0)/BO$1,"")</f>
        <v>3.5485193183224899</v>
      </c>
      <c r="BP22" s="174">
        <f>IFERROR(VLOOKUP($B22,RD[#All],BP$2,0)/BP$1,"")</f>
        <v>3.8380445647172956</v>
      </c>
      <c r="BQ22" s="174">
        <f>IFERROR(VLOOKUP($B22,RD[#All],BQ$2,0)/BQ$1,"")</f>
        <v>3.6529713866471019</v>
      </c>
      <c r="BR22" s="174">
        <f>IFERROR(VLOOKUP($B22,RD[#All],BR$2,0)/BR$1,"")</f>
        <v>3.0869275726862471</v>
      </c>
      <c r="BS22" s="174">
        <f>IFERROR(VLOOKUP($B22,RD[#All],BS$2,0)/BS$1,"")</f>
        <v>3.6320679706490377</v>
      </c>
      <c r="BT22" s="174">
        <f>IFERROR(VLOOKUP($B22,RD[#All],BT$2,0)/BT$1,"")</f>
        <v>3.7889850179362736</v>
      </c>
      <c r="BU22" s="174">
        <f>IFERROR(VLOOKUP($B22,RD[#All],BU$2,0)/BU$1,"")</f>
        <v>3.6369760425400783</v>
      </c>
      <c r="BV22" s="174">
        <f>IFERROR(VLOOKUP($B22,RD[#All],BV$2,0)/BV$1,"")</f>
        <v>4.1261574074074074</v>
      </c>
      <c r="BW22" s="174">
        <f>IFERROR(VLOOKUP($B22,RD[#All],BW$2,0)/BW$1,"")</f>
        <v>3.816884661117717</v>
      </c>
      <c r="BX22" s="174">
        <f>IFERROR(VLOOKUP($B22,RD[#All],BX$2,0)/BX$1,"")</f>
        <v>3.7865038772479789</v>
      </c>
      <c r="BY22" s="174">
        <f>AVERAGEIF(Inv_SY_B[[#This Row],[IS1Inv1M1]:[IS14Inv2M4]],"&gt;="&amp;0.1,Inv_SY_B[[#This Row],[IS1Inv1M1]:[IS14Inv2M4]])</f>
        <v>3.4659584807336543</v>
      </c>
    </row>
    <row r="23" spans="2:77">
      <c r="B23" s="179">
        <f t="shared" si="30"/>
        <v>45841</v>
      </c>
      <c r="C23" s="174">
        <f>IFERROR(VLOOKUP($B23,RD[#All],C$2,0)/C$1,"")</f>
        <v>3.3999768214720869</v>
      </c>
      <c r="D23" s="174">
        <f>IFERROR(VLOOKUP($B23,RD[#All],D$2,0)/D$1,"")</f>
        <v>3.4088097199470027</v>
      </c>
      <c r="E23" s="174">
        <f>IFERROR(VLOOKUP($B23,RD[#All],E$2,0)/E$1,"")</f>
        <v>3.3706188914234336</v>
      </c>
      <c r="F23" s="174">
        <f>IFERROR(VLOOKUP($B23,RD[#All],F$2,0)/F$1,"")</f>
        <v>3.3195842270252434</v>
      </c>
      <c r="G23" s="174">
        <f>IFERROR(VLOOKUP($B23,RD[#All],G$2,0)/G$1,"")</f>
        <v>3.3423475959474267</v>
      </c>
      <c r="H23" s="174">
        <f>IFERROR(VLOOKUP($B23,RD[#All],H$2,0)/H$1,"")</f>
        <v>3.3283358320839578</v>
      </c>
      <c r="I23" s="174">
        <f>IFERROR(VLOOKUP($B23,RD[#All],I$2,0)/I$1,"")</f>
        <v>3.4000664508101135</v>
      </c>
      <c r="J23" s="174">
        <f>IFERROR(VLOOKUP($B23,RD[#All],J$2,0)/J$1,"")</f>
        <v>3.3694798879866896</v>
      </c>
      <c r="K23" s="174">
        <f>IFERROR(VLOOKUP($B23,RD[#All],K$2,0)/K$1,"")</f>
        <v>3.3841299889572487</v>
      </c>
      <c r="L23" s="174">
        <f>IFERROR(VLOOKUP($B23,RD[#All],L$2,0)/L$1,"")</f>
        <v>3.4229404808829322</v>
      </c>
      <c r="M23" s="174">
        <f>IFERROR(VLOOKUP($B23,RD[#All],M$2,0)/M$1,"")</f>
        <v>3.5246666228732844</v>
      </c>
      <c r="N23" s="174">
        <f>IFERROR(VLOOKUP($B23,RD[#All],N$2,0)/N$1,"")</f>
        <v>3.43016675469705</v>
      </c>
      <c r="O23" s="174">
        <f>IFERROR(VLOOKUP($B23,RD[#All],O$2,0)/O$1,"")</f>
        <v>3.6135124522860838</v>
      </c>
      <c r="P23" s="174">
        <f>IFERROR(VLOOKUP($B23,RD[#All],P$2,0)/P$1,"")</f>
        <v>3.3518234905930546</v>
      </c>
      <c r="Q23" s="174">
        <f>IFERROR(VLOOKUP($B23,RD[#All],Q$2,0)/Q$1,"")</f>
        <v>3.4181450069750507</v>
      </c>
      <c r="R23" s="174">
        <f>IFERROR(VLOOKUP($B23,RD[#All],R$2,0)/R$1,"")</f>
        <v>3.4257465256544766</v>
      </c>
      <c r="S23" s="174">
        <f>IFERROR(VLOOKUP($B23,RD[#All],S$2,0)/S$1,"")</f>
        <v>3.4190011681977484</v>
      </c>
      <c r="T23" s="174">
        <f>IFERROR(VLOOKUP($B23,RD[#All],T$2,0)/T$1,"")</f>
        <v>3.4424052503512246</v>
      </c>
      <c r="U23" s="174">
        <f>IFERROR(VLOOKUP($B23,RD[#All],U$2,0)/U$1,"")</f>
        <v>3.4310673951270885</v>
      </c>
      <c r="V23" s="174">
        <f>IFERROR(VLOOKUP($B23,RD[#All],V$2,0)/V$1,"")</f>
        <v>3.4584749242967843</v>
      </c>
      <c r="W23" s="174">
        <f>IFERROR(VLOOKUP($B23,RD[#All],W$2,0)/W$1,"")</f>
        <v>3.4550816696914701</v>
      </c>
      <c r="X23" s="174">
        <f>IFERROR(VLOOKUP($B23,RD[#All],X$2,0)/X$1,"")</f>
        <v>3.4414261057100513</v>
      </c>
      <c r="Y23" s="174">
        <f>IFERROR(VLOOKUP($B23,RD[#All],Y$2,0)/Y$1,"")</f>
        <v>3.5552865768950381</v>
      </c>
      <c r="Z23" s="174">
        <f>IFERROR(VLOOKUP($B23,RD[#All],Z$2,0)/Z$1,"")</f>
        <v>3.5533402754088943</v>
      </c>
      <c r="AA23" s="174">
        <f>IFERROR(VLOOKUP($B23,RD[#All],AA$2,0)/AA$1,"")</f>
        <v>3.4953262463343107</v>
      </c>
      <c r="AB23" s="174">
        <f>IFERROR(VLOOKUP($B23,RD[#All],AB$2,0)/AB$1,"")</f>
        <v>3.4738994139293982</v>
      </c>
      <c r="AC23" s="174">
        <f>IFERROR(VLOOKUP($B23,RD[#All],AC$2,0)/AC$1,"")</f>
        <v>3.4887602070524371</v>
      </c>
      <c r="AD23" s="174">
        <f>IFERROR(VLOOKUP($B23,RD[#All],AD$2,0)/AD$1,"")</f>
        <v>3.4578569168888684</v>
      </c>
      <c r="AE23" s="174">
        <f>IFERROR(VLOOKUP($B23,RD[#All],AE$2,0)/AE$1,"")</f>
        <v>3.7621209573454406</v>
      </c>
      <c r="AF23" s="174">
        <f>IFERROR(VLOOKUP($B23,RD[#All],AF$2,0)/AF$1,"")</f>
        <v>3.69798783591887</v>
      </c>
      <c r="AG23" s="174">
        <f>IFERROR(VLOOKUP($B23,RD[#All],AG$2,0)/AG$1,"")</f>
        <v>3.6724001635545864</v>
      </c>
      <c r="AH23" s="174">
        <f>IFERROR(VLOOKUP($B23,RD[#All],AH$2,0)/AH$1,"")</f>
        <v>3.6339424468142116</v>
      </c>
      <c r="AI23" s="174">
        <f>IFERROR(VLOOKUP($B23,RD[#All],AI$2,0)/AI$1,"")</f>
        <v>3.708763799918223</v>
      </c>
      <c r="AJ23" s="174">
        <f>IFERROR(VLOOKUP($B23,RD[#All],AJ$2,0)/AJ$1,"")</f>
        <v>3.6868891757329889</v>
      </c>
      <c r="AK23" s="174">
        <f>IFERROR(VLOOKUP($B23,RD[#All],AK$2,0)/AK$1,"")</f>
        <v>3.6873173582700174</v>
      </c>
      <c r="AL23" s="174">
        <f>IFERROR(VLOOKUP($B23,RD[#All],AL$2,0)/AL$1,"")</f>
        <v>3.6856556047994808</v>
      </c>
      <c r="AM23" s="174">
        <f>IFERROR(VLOOKUP($B23,RD[#All],AM$2,0)/AM$1,"")</f>
        <v>3.6765230502063044</v>
      </c>
      <c r="AN23" s="174">
        <f>IFERROR(VLOOKUP($B23,RD[#All],AN$2,0)/AN$1,"")</f>
        <v>3.7142164814528127</v>
      </c>
      <c r="AO23" s="174">
        <f>IFERROR(VLOOKUP($B23,RD[#All],AO$2,0)/AO$1,"")</f>
        <v>3.6850040722367683</v>
      </c>
      <c r="AP23" s="174">
        <f>IFERROR(VLOOKUP($B23,RD[#All],AP$2,0)/AP$1,"")</f>
        <v>3.67571533382245</v>
      </c>
      <c r="AQ23" s="174">
        <f>IFERROR(VLOOKUP($B23,RD[#All],AQ$2,0)/AQ$1,"")</f>
        <v>3.6340484337983678</v>
      </c>
      <c r="AR23" s="174">
        <f>IFERROR(VLOOKUP($B23,RD[#All],AR$2,0)/AR$1,"")</f>
        <v>3.6542066967481976</v>
      </c>
      <c r="AS23" s="174">
        <f>IFERROR(VLOOKUP($B23,RD[#All],AS$2,0)/AS$1,"")</f>
        <v>3.6860815260056001</v>
      </c>
      <c r="AT23" s="174">
        <f>IFERROR(VLOOKUP($B23,RD[#All],AT$2,0)/AT$1,"")</f>
        <v>3.7150698707339047</v>
      </c>
      <c r="AU23" s="174">
        <f>IFERROR(VLOOKUP($B23,RD[#All],AU$2,0)/AU$1,"")</f>
        <v>3.7638768360958816</v>
      </c>
      <c r="AV23" s="174">
        <f>IFERROR(VLOOKUP($B23,RD[#All],AV$2,0)/AV$1,"")</f>
        <v>3.7037211915745529</v>
      </c>
      <c r="AW23" s="174">
        <f>IFERROR(VLOOKUP($B23,RD[#All],AW$2,0)/AW$1,"")</f>
        <v>3.5029503964595246</v>
      </c>
      <c r="AX23" s="174">
        <f>IFERROR(VLOOKUP($B23,RD[#All],AX$2,0)/AX$1,"")</f>
        <v>3.5676430250783699</v>
      </c>
      <c r="AY23" s="174">
        <f>IFERROR(VLOOKUP($B23,RD[#All],AY$2,0)/AY$1,"")</f>
        <v>3.5308969064131537</v>
      </c>
      <c r="AZ23" s="174">
        <f>IFERROR(VLOOKUP($B23,RD[#All],AZ$2,0)/AZ$1,"")</f>
        <v>3.2765699261806045</v>
      </c>
      <c r="BA23" s="174">
        <f>IFERROR(VLOOKUP($B23,RD[#All],BA$2,0)/BA$1,"")</f>
        <v>3.5441328633310536</v>
      </c>
      <c r="BB23" s="174">
        <f>IFERROR(VLOOKUP($B23,RD[#All],BB$2,0)/BB$1,"")</f>
        <v>3.6547722270392851</v>
      </c>
      <c r="BC23" s="174">
        <f>IFERROR(VLOOKUP($B23,RD[#All],BC$2,0)/BC$1,"")</f>
        <v>3.6271831616659203</v>
      </c>
      <c r="BD23" s="174">
        <f>IFERROR(VLOOKUP($B23,RD[#All],BD$2,0)/BD$1,"")</f>
        <v>3.6955758659806666</v>
      </c>
      <c r="BE23" s="174">
        <f>IFERROR(VLOOKUP($B23,RD[#All],BE$2,0)/BE$1,"")</f>
        <v>3.7128958399858685</v>
      </c>
      <c r="BF23" s="174">
        <f>IFERROR(VLOOKUP($B23,RD[#All],BF$2,0)/BF$1,"")</f>
        <v>3.6375897034582656</v>
      </c>
      <c r="BG23" s="174">
        <f>IFERROR(VLOOKUP($B23,RD[#All],BG$2,0)/BG$1,"")</f>
        <v>3.8066204595783844</v>
      </c>
      <c r="BH23" s="174">
        <f>IFERROR(VLOOKUP($B23,RD[#All],BH$2,0)/BH$1,"")</f>
        <v>3.7749849012107792</v>
      </c>
      <c r="BI23" s="174">
        <f>IFERROR(VLOOKUP($B23,RD[#All],BI$2,0)/BI$1,"")</f>
        <v>3.7660619803476942</v>
      </c>
      <c r="BJ23" s="174">
        <f>IFERROR(VLOOKUP($B23,RD[#All],BJ$2,0)/BJ$1,"")</f>
        <v>3.8194701932188027</v>
      </c>
      <c r="BK23" s="174">
        <f>IFERROR(VLOOKUP($B23,RD[#All],BK$2,0)/BK$1,"")</f>
        <v>3.8029324117897478</v>
      </c>
      <c r="BL23" s="174">
        <f>IFERROR(VLOOKUP($B23,RD[#All],BL$2,0)/BL$1,"")</f>
        <v>3.7636873413405074</v>
      </c>
      <c r="BM23" s="174">
        <f>IFERROR(VLOOKUP($B23,RD[#All],BM$2,0)/BM$1,"")</f>
        <v>3.6751974495038522</v>
      </c>
      <c r="BN23" s="174">
        <f>IFERROR(VLOOKUP($B23,RD[#All],BN$2,0)/BN$1,"")</f>
        <v>3.7501941540921933</v>
      </c>
      <c r="BO23" s="174">
        <f>IFERROR(VLOOKUP($B23,RD[#All],BO$2,0)/BO$1,"")</f>
        <v>3.4700081152084508</v>
      </c>
      <c r="BP23" s="174">
        <f>IFERROR(VLOOKUP($B23,RD[#All],BP$2,0)/BP$1,"")</f>
        <v>3.7663951462652672</v>
      </c>
      <c r="BQ23" s="174">
        <f>IFERROR(VLOOKUP($B23,RD[#All],BQ$2,0)/BQ$1,"")</f>
        <v>3.6891215900753687</v>
      </c>
      <c r="BR23" s="174">
        <f>IFERROR(VLOOKUP($B23,RD[#All],BR$2,0)/BR$1,"")</f>
        <v>3.7977361840645107</v>
      </c>
      <c r="BS23" s="174">
        <f>IFERROR(VLOOKUP($B23,RD[#All],BS$2,0)/BS$1,"")</f>
        <v>3.660616249043974</v>
      </c>
      <c r="BT23" s="174">
        <f>IFERROR(VLOOKUP($B23,RD[#All],BT$2,0)/BT$1,"")</f>
        <v>3.8302032777660542</v>
      </c>
      <c r="BU23" s="174">
        <f>IFERROR(VLOOKUP($B23,RD[#All],BU$2,0)/BU$1,"")</f>
        <v>3.8329630145475928</v>
      </c>
      <c r="BV23" s="174">
        <f>IFERROR(VLOOKUP($B23,RD[#All],BV$2,0)/BV$1,"")</f>
        <v>4.182291666666667</v>
      </c>
      <c r="BW23" s="174">
        <f>IFERROR(VLOOKUP($B23,RD[#All],BW$2,0)/BW$1,"")</f>
        <v>3.7884913342701689</v>
      </c>
      <c r="BX23" s="174">
        <f>IFERROR(VLOOKUP($B23,RD[#All],BX$2,0)/BX$1,"")</f>
        <v>3.7342352747071441</v>
      </c>
      <c r="BY23" s="174">
        <f>AVERAGEIF(Inv_SY_B[[#This Row],[IS1Inv1M1]:[IS14Inv2M4]],"&gt;="&amp;0.1,Inv_SY_B[[#This Row],[IS1Inv1M1]:[IS14Inv2M4]])</f>
        <v>3.5984761945110408</v>
      </c>
    </row>
    <row r="24" spans="2:77">
      <c r="B24" s="179">
        <f t="shared" si="30"/>
        <v>45842</v>
      </c>
      <c r="C24" s="174">
        <f>IFERROR(VLOOKUP($B24,RD[#All],C$2,0)/C$1,"")</f>
        <v>2.8401840500405626</v>
      </c>
      <c r="D24" s="174">
        <f>IFERROR(VLOOKUP($B24,RD[#All],D$2,0)/D$1,"")</f>
        <v>2.8158779180670361</v>
      </c>
      <c r="E24" s="174">
        <f>IFERROR(VLOOKUP($B24,RD[#All],E$2,0)/E$1,"")</f>
        <v>2.7897234386186915</v>
      </c>
      <c r="F24" s="174">
        <f>IFERROR(VLOOKUP($B24,RD[#All],F$2,0)/F$1,"")</f>
        <v>2.8115492492987952</v>
      </c>
      <c r="G24" s="174">
        <f>IFERROR(VLOOKUP($B24,RD[#All],G$2,0)/G$1,"")</f>
        <v>2.8428890925286288</v>
      </c>
      <c r="H24" s="174">
        <f>IFERROR(VLOOKUP($B24,RD[#All],H$2,0)/H$1,"")</f>
        <v>2.8294943437372222</v>
      </c>
      <c r="I24" s="174">
        <f>IFERROR(VLOOKUP($B24,RD[#All],I$2,0)/I$1,"")</f>
        <v>2.871196179729897</v>
      </c>
      <c r="J24" s="174">
        <f>IFERROR(VLOOKUP($B24,RD[#All],J$2,0)/J$1,"")</f>
        <v>2.8600888139008984</v>
      </c>
      <c r="K24" s="174">
        <f>IFERROR(VLOOKUP($B24,RD[#All],K$2,0)/K$1,"")</f>
        <v>2.8173528947783564</v>
      </c>
      <c r="L24" s="174">
        <f>IFERROR(VLOOKUP($B24,RD[#All],L$2,0)/L$1,"")</f>
        <v>2.8789252397845226</v>
      </c>
      <c r="M24" s="174">
        <f>IFERROR(VLOOKUP($B24,RD[#All],M$2,0)/M$1,"")</f>
        <v>2.9362149379228799</v>
      </c>
      <c r="N24" s="174">
        <f>IFERROR(VLOOKUP($B24,RD[#All],N$2,0)/N$1,"")</f>
        <v>2.8440101612213589</v>
      </c>
      <c r="O24" s="174">
        <f>IFERROR(VLOOKUP($B24,RD[#All],O$2,0)/O$1,"")</f>
        <v>2.9858451397784402</v>
      </c>
      <c r="P24" s="174">
        <f>IFERROR(VLOOKUP($B24,RD[#All],P$2,0)/P$1,"")</f>
        <v>2.7618816380909692</v>
      </c>
      <c r="Q24" s="174">
        <f>IFERROR(VLOOKUP($B24,RD[#All],Q$2,0)/Q$1,"")</f>
        <v>2.8331666728392775</v>
      </c>
      <c r="R24" s="174">
        <f>IFERROR(VLOOKUP($B24,RD[#All],R$2,0)/R$1,"")</f>
        <v>2.8186774635829361</v>
      </c>
      <c r="S24" s="174">
        <f>IFERROR(VLOOKUP($B24,RD[#All],S$2,0)/S$1,"")</f>
        <v>2.80817465692714</v>
      </c>
      <c r="T24" s="174">
        <f>IFERROR(VLOOKUP($B24,RD[#All],T$2,0)/T$1,"")</f>
        <v>2.8345337722121684</v>
      </c>
      <c r="U24" s="174">
        <f>IFERROR(VLOOKUP($B24,RD[#All],U$2,0)/U$1,"")</f>
        <v>2.8249626209529541</v>
      </c>
      <c r="V24" s="174">
        <f>IFERROR(VLOOKUP($B24,RD[#All],V$2,0)/V$1,"")</f>
        <v>2.8382275293448682</v>
      </c>
      <c r="W24" s="174">
        <f>IFERROR(VLOOKUP($B24,RD[#All],W$2,0)/W$1,"")</f>
        <v>2.7774294670846396</v>
      </c>
      <c r="X24" s="174">
        <f>IFERROR(VLOOKUP($B24,RD[#All],X$2,0)/X$1,"")</f>
        <v>2.7673693883710127</v>
      </c>
      <c r="Y24" s="174">
        <f>IFERROR(VLOOKUP($B24,RD[#All],Y$2,0)/Y$1,"")</f>
        <v>2.8658147990225071</v>
      </c>
      <c r="Z24" s="174">
        <f>IFERROR(VLOOKUP($B24,RD[#All],Z$2,0)/Z$1,"")</f>
        <v>2.8724034542810464</v>
      </c>
      <c r="AA24" s="174">
        <f>IFERROR(VLOOKUP($B24,RD[#All],AA$2,0)/AA$1,"")</f>
        <v>2.8380681818181817</v>
      </c>
      <c r="AB24" s="174">
        <f>IFERROR(VLOOKUP($B24,RD[#All],AB$2,0)/AB$1,"")</f>
        <v>2.8249511607832445</v>
      </c>
      <c r="AC24" s="174">
        <f>IFERROR(VLOOKUP($B24,RD[#All],AC$2,0)/AC$1,"")</f>
        <v>2.8376178883035545</v>
      </c>
      <c r="AD24" s="174">
        <f>IFERROR(VLOOKUP($B24,RD[#All],AD$2,0)/AD$1,"")</f>
        <v>2.8162425995390246</v>
      </c>
      <c r="AE24" s="174">
        <f>IFERROR(VLOOKUP($B24,RD[#All],AE$2,0)/AE$1,"")</f>
        <v>2.9338602096295054</v>
      </c>
      <c r="AF24" s="174">
        <f>IFERROR(VLOOKUP($B24,RD[#All],AF$2,0)/AF$1,"")</f>
        <v>2.9053398708571123</v>
      </c>
      <c r="AG24" s="174">
        <f>IFERROR(VLOOKUP($B24,RD[#All],AG$2,0)/AG$1,"")</f>
        <v>2.9050020444323295</v>
      </c>
      <c r="AH24" s="174">
        <f>IFERROR(VLOOKUP($B24,RD[#All],AH$2,0)/AH$1,"")</f>
        <v>2.8793205080113609</v>
      </c>
      <c r="AI24" s="174">
        <f>IFERROR(VLOOKUP($B24,RD[#All],AI$2,0)/AI$1,"")</f>
        <v>2.9082186179637453</v>
      </c>
      <c r="AJ24" s="174">
        <f>IFERROR(VLOOKUP($B24,RD[#All],AJ$2,0)/AJ$1,"")</f>
        <v>2.9108295355759859</v>
      </c>
      <c r="AK24" s="174">
        <f>IFERROR(VLOOKUP($B24,RD[#All],AK$2,0)/AK$1,"")</f>
        <v>2.8919823601296426</v>
      </c>
      <c r="AL24" s="174">
        <f>IFERROR(VLOOKUP($B24,RD[#All],AL$2,0)/AL$1,"")</f>
        <v>2.8986055561560913</v>
      </c>
      <c r="AM24" s="174">
        <f>IFERROR(VLOOKUP($B24,RD[#All],AM$2,0)/AM$1,"")</f>
        <v>2.8946535906358748</v>
      </c>
      <c r="AN24" s="174">
        <f>IFERROR(VLOOKUP($B24,RD[#All],AN$2,0)/AN$1,"")</f>
        <v>2.9123560413820027</v>
      </c>
      <c r="AO24" s="174">
        <f>IFERROR(VLOOKUP($B24,RD[#All],AO$2,0)/AO$1,"")</f>
        <v>2.9298565630321671</v>
      </c>
      <c r="AP24" s="174">
        <f>IFERROR(VLOOKUP($B24,RD[#All],AP$2,0)/AP$1,"")</f>
        <v>2.9034711611596116</v>
      </c>
      <c r="AQ24" s="174">
        <f>IFERROR(VLOOKUP($B24,RD[#All],AQ$2,0)/AQ$1,"")</f>
        <v>2.9047775730455383</v>
      </c>
      <c r="AR24" s="174">
        <f>IFERROR(VLOOKUP($B24,RD[#All],AR$2,0)/AR$1,"")</f>
        <v>2.8871609583909157</v>
      </c>
      <c r="AS24" s="174">
        <f>IFERROR(VLOOKUP($B24,RD[#All],AS$2,0)/AS$1,"")</f>
        <v>2.8835225608398654</v>
      </c>
      <c r="AT24" s="174">
        <f>IFERROR(VLOOKUP($B24,RD[#All],AT$2,0)/AT$1,"")</f>
        <v>2.9236764366973245</v>
      </c>
      <c r="AU24" s="174">
        <f>IFERROR(VLOOKUP($B24,RD[#All],AU$2,0)/AU$1,"")</f>
        <v>2.9185398883758182</v>
      </c>
      <c r="AV24" s="174">
        <f>IFERROR(VLOOKUP($B24,RD[#All],AV$2,0)/AV$1,"")</f>
        <v>2.900461312545151</v>
      </c>
      <c r="AW24" s="174">
        <f>IFERROR(VLOOKUP($B24,RD[#All],AW$2,0)/AW$1,"")</f>
        <v>2.9026369168357</v>
      </c>
      <c r="AX24" s="174">
        <f>IFERROR(VLOOKUP($B24,RD[#All],AX$2,0)/AX$1,"")</f>
        <v>2.9500881661442007</v>
      </c>
      <c r="AY24" s="174">
        <f>IFERROR(VLOOKUP($B24,RD[#All],AY$2,0)/AY$1,"")</f>
        <v>2.7838645159614535</v>
      </c>
      <c r="AZ24" s="174">
        <f>IFERROR(VLOOKUP($B24,RD[#All],AZ$2,0)/AZ$1,"")</f>
        <v>2.151532005258368</v>
      </c>
      <c r="BA24" s="174">
        <f>IFERROR(VLOOKUP($B24,RD[#All],BA$2,0)/BA$1,"")</f>
        <v>2.8479858297820102</v>
      </c>
      <c r="BB24" s="174">
        <f>IFERROR(VLOOKUP($B24,RD[#All],BB$2,0)/BB$1,"")</f>
        <v>2.9154938971520048</v>
      </c>
      <c r="BC24" s="174">
        <f>IFERROR(VLOOKUP($B24,RD[#All],BC$2,0)/BC$1,"")</f>
        <v>2.8732646663681147</v>
      </c>
      <c r="BD24" s="174">
        <f>IFERROR(VLOOKUP($B24,RD[#All],BD$2,0)/BD$1,"")</f>
        <v>2.9186534759916216</v>
      </c>
      <c r="BE24" s="174">
        <f>IFERROR(VLOOKUP($B24,RD[#All],BE$2,0)/BE$1,"")</f>
        <v>2.8820480069571364</v>
      </c>
      <c r="BF24" s="174">
        <f>IFERROR(VLOOKUP($B24,RD[#All],BF$2,0)/BF$1,"")</f>
        <v>2.8080720624719024</v>
      </c>
      <c r="BG24" s="174">
        <f>IFERROR(VLOOKUP($B24,RD[#All],BG$2,0)/BG$1,"")</f>
        <v>2.9265048459923504</v>
      </c>
      <c r="BH24" s="174">
        <f>IFERROR(VLOOKUP($B24,RD[#All],BH$2,0)/BH$1,"")</f>
        <v>2.8989675304132758</v>
      </c>
      <c r="BI24" s="174">
        <f>IFERROR(VLOOKUP($B24,RD[#All],BI$2,0)/BI$1,"")</f>
        <v>2.9355956942163837</v>
      </c>
      <c r="BJ24" s="174">
        <f>IFERROR(VLOOKUP($B24,RD[#All],BJ$2,0)/BJ$1,"")</f>
        <v>2.9222455677776398</v>
      </c>
      <c r="BK24" s="174">
        <f>IFERROR(VLOOKUP($B24,RD[#All],BK$2,0)/BK$1,"")</f>
        <v>2.9591440663110711</v>
      </c>
      <c r="BL24" s="174">
        <f>IFERROR(VLOOKUP($B24,RD[#All],BL$2,0)/BL$1,"")</f>
        <v>2.9336692809962237</v>
      </c>
      <c r="BM24" s="174">
        <f>IFERROR(VLOOKUP($B24,RD[#All],BM$2,0)/BM$1,"")</f>
        <v>2.8137420635996828</v>
      </c>
      <c r="BN24" s="174">
        <f>IFERROR(VLOOKUP($B24,RD[#All],BN$2,0)/BN$1,"")</f>
        <v>2.8905085974308382</v>
      </c>
      <c r="BO24" s="174">
        <f>IFERROR(VLOOKUP($B24,RD[#All],BO$2,0)/BO$1,"")</f>
        <v>2.6851711758799497</v>
      </c>
      <c r="BP24" s="174">
        <f>IFERROR(VLOOKUP($B24,RD[#All],BP$2,0)/BP$1,"")</f>
        <v>2.9061026323807644</v>
      </c>
      <c r="BQ24" s="174">
        <f>IFERROR(VLOOKUP($B24,RD[#All],BQ$2,0)/BQ$1,"")</f>
        <v>2.5970786366971255</v>
      </c>
      <c r="BR24" s="174">
        <f>IFERROR(VLOOKUP($B24,RD[#All],BR$2,0)/BR$1,"")</f>
        <v>2.8994599393356513</v>
      </c>
      <c r="BS24" s="174">
        <f>IFERROR(VLOOKUP($B24,RD[#All],BS$2,0)/BS$1,"")</f>
        <v>2.7672141575228881</v>
      </c>
      <c r="BT24" s="174">
        <f>IFERROR(VLOOKUP($B24,RD[#All],BT$2,0)/BT$1,"")</f>
        <v>2.923542238165576</v>
      </c>
      <c r="BU24" s="174">
        <f>IFERROR(VLOOKUP($B24,RD[#All],BU$2,0)/BU$1,"")</f>
        <v>2.8711000851561836</v>
      </c>
      <c r="BV24" s="174">
        <f>IFERROR(VLOOKUP($B24,RD[#All],BV$2,0)/BV$1,"")</f>
        <v>2.9797453703703702</v>
      </c>
      <c r="BW24" s="174">
        <f>IFERROR(VLOOKUP($B24,RD[#All],BW$2,0)/BW$1,"")</f>
        <v>2.8897776816920691</v>
      </c>
      <c r="BX24" s="174">
        <f>IFERROR(VLOOKUP($B24,RD[#All],BX$2,0)/BX$1,"")</f>
        <v>2.8603200791948526</v>
      </c>
      <c r="BY24" s="174">
        <f>AVERAGEIF(Inv_SY_B[[#This Row],[IS1Inv1M1]:[IS14Inv2M4]],"&gt;="&amp;0.1,Inv_SY_B[[#This Row],[IS1Inv1M1]:[IS14Inv2M4]])</f>
        <v>2.8571356314523815</v>
      </c>
    </row>
    <row r="25" spans="2:77">
      <c r="B25" s="179">
        <f t="shared" si="30"/>
        <v>45843</v>
      </c>
      <c r="C25" s="174">
        <f>IFERROR(VLOOKUP($B25,RD[#All],C$2,0)/C$1,"")</f>
        <v>2.5235152430143364</v>
      </c>
      <c r="D25" s="174">
        <f>IFERROR(VLOOKUP($B25,RD[#All],D$2,0)/D$1,"")</f>
        <v>2.5307820247383801</v>
      </c>
      <c r="E25" s="174">
        <f>IFERROR(VLOOKUP($B25,RD[#All],E$2,0)/E$1,"")</f>
        <v>2.5016733545347076</v>
      </c>
      <c r="F25" s="174">
        <f>IFERROR(VLOOKUP($B25,RD[#All],F$2,0)/F$1,"")</f>
        <v>2.4412473189242698</v>
      </c>
      <c r="G25" s="174">
        <f>IFERROR(VLOOKUP($B25,RD[#All],G$2,0)/G$1,"")</f>
        <v>2.4505764215086288</v>
      </c>
      <c r="H25" s="174">
        <f>IFERROR(VLOOKUP($B25,RD[#All],H$2,0)/H$1,"")</f>
        <v>2.4587086621978265</v>
      </c>
      <c r="I25" s="174">
        <f>IFERROR(VLOOKUP($B25,RD[#All],I$2,0)/I$1,"")</f>
        <v>2.524088418666163</v>
      </c>
      <c r="J25" s="174">
        <f>IFERROR(VLOOKUP($B25,RD[#All],J$2,0)/J$1,"")</f>
        <v>2.4854417847141668</v>
      </c>
      <c r="K25" s="174">
        <f>IFERROR(VLOOKUP($B25,RD[#All],K$2,0)/K$1,"")</f>
        <v>2.5076510490613662</v>
      </c>
      <c r="L25" s="174">
        <f>IFERROR(VLOOKUP($B25,RD[#All],L$2,0)/L$1,"")</f>
        <v>2.5241098410195768</v>
      </c>
      <c r="M25" s="174">
        <f>IFERROR(VLOOKUP($B25,RD[#All],M$2,0)/M$1,"")</f>
        <v>2.5837219996058596</v>
      </c>
      <c r="N25" s="174">
        <f>IFERROR(VLOOKUP($B25,RD[#All],N$2,0)/N$1,"")</f>
        <v>2.5241454764958879</v>
      </c>
      <c r="O25" s="174">
        <f>IFERROR(VLOOKUP($B25,RD[#All],O$2,0)/O$1,"")</f>
        <v>2.6565949804638471</v>
      </c>
      <c r="P25" s="174">
        <f>IFERROR(VLOOKUP($B25,RD[#All],P$2,0)/P$1,"")</f>
        <v>2.445805784866709</v>
      </c>
      <c r="Q25" s="174">
        <f>IFERROR(VLOOKUP($B25,RD[#All],Q$2,0)/Q$1,"")</f>
        <v>2.5194128612520523</v>
      </c>
      <c r="R25" s="174">
        <f>IFERROR(VLOOKUP($B25,RD[#All],R$2,0)/R$1,"")</f>
        <v>2.5362883240104788</v>
      </c>
      <c r="S25" s="174">
        <f>IFERROR(VLOOKUP($B25,RD[#All],S$2,0)/S$1,"")</f>
        <v>2.319622540307368</v>
      </c>
      <c r="T25" s="174">
        <f>IFERROR(VLOOKUP($B25,RD[#All],T$2,0)/T$1,"")</f>
        <v>2.3348839845663645</v>
      </c>
      <c r="U25" s="174">
        <f>IFERROR(VLOOKUP($B25,RD[#All],U$2,0)/U$1,"")</f>
        <v>2.3396932567258775</v>
      </c>
      <c r="V25" s="174">
        <f>IFERROR(VLOOKUP($B25,RD[#All],V$2,0)/V$1,"")</f>
        <v>2.3565700463470658</v>
      </c>
      <c r="W25" s="174">
        <f>IFERROR(VLOOKUP($B25,RD[#All],W$2,0)/W$1,"")</f>
        <v>2.4864296320739152</v>
      </c>
      <c r="X25" s="174">
        <f>IFERROR(VLOOKUP($B25,RD[#All],X$2,0)/X$1,"")</f>
        <v>2.4631316950434212</v>
      </c>
      <c r="Y25" s="174">
        <f>IFERROR(VLOOKUP($B25,RD[#All],Y$2,0)/Y$1,"")</f>
        <v>2.5506054312293394</v>
      </c>
      <c r="Z25" s="174">
        <f>IFERROR(VLOOKUP($B25,RD[#All],Z$2,0)/Z$1,"")</f>
        <v>2.5351891416362951</v>
      </c>
      <c r="AA25" s="174">
        <f>IFERROR(VLOOKUP($B25,RD[#All],AA$2,0)/AA$1,"")</f>
        <v>1.6436033724340176</v>
      </c>
      <c r="AB25" s="174">
        <f>IFERROR(VLOOKUP($B25,RD[#All],AB$2,0)/AB$1,"")</f>
        <v>1.630094043887147</v>
      </c>
      <c r="AC25" s="174">
        <f>IFERROR(VLOOKUP($B25,RD[#All],AC$2,0)/AC$1,"")</f>
        <v>2.5260764113356164</v>
      </c>
      <c r="AD25" s="174">
        <f>IFERROR(VLOOKUP($B25,RD[#All],AD$2,0)/AD$1,"")</f>
        <v>2.4964522980973465</v>
      </c>
      <c r="AE25" s="174">
        <f>IFERROR(VLOOKUP($B25,RD[#All],AE$2,0)/AE$1,"")</f>
        <v>2.5555181884423521</v>
      </c>
      <c r="AF25" s="174">
        <f>IFERROR(VLOOKUP($B25,RD[#All],AF$2,0)/AF$1,"")</f>
        <v>2.5233234198751435</v>
      </c>
      <c r="AG25" s="174">
        <f>IFERROR(VLOOKUP($B25,RD[#All],AG$2,0)/AG$1,"")</f>
        <v>2.5325337331334334</v>
      </c>
      <c r="AH25" s="174">
        <f>IFERROR(VLOOKUP($B25,RD[#All],AH$2,0)/AH$1,"")</f>
        <v>2.508440062161728</v>
      </c>
      <c r="AI25" s="174">
        <f>IFERROR(VLOOKUP($B25,RD[#All],AI$2,0)/AI$1,"")</f>
        <v>2.5527599836445414</v>
      </c>
      <c r="AJ25" s="174">
        <f>IFERROR(VLOOKUP($B25,RD[#All],AJ$2,0)/AJ$1,"")</f>
        <v>2.5631042385606277</v>
      </c>
      <c r="AK25" s="174">
        <f>IFERROR(VLOOKUP($B25,RD[#All],AK$2,0)/AK$1,"")</f>
        <v>2.5470485096434836</v>
      </c>
      <c r="AL25" s="174">
        <f>IFERROR(VLOOKUP($B25,RD[#All],AL$2,0)/AL$1,"")</f>
        <v>2.5644795157280296</v>
      </c>
      <c r="AM25" s="174">
        <f>IFERROR(VLOOKUP($B25,RD[#All],AM$2,0)/AM$1,"")</f>
        <v>2.5448450867285466</v>
      </c>
      <c r="AN25" s="174">
        <f>IFERROR(VLOOKUP($B25,RD[#All],AN$2,0)/AN$1,"")</f>
        <v>2.5623456083787115</v>
      </c>
      <c r="AO25" s="174">
        <f>IFERROR(VLOOKUP($B25,RD[#All],AO$2,0)/AO$1,"")</f>
        <v>2.5626821568719835</v>
      </c>
      <c r="AP25" s="174">
        <f>IFERROR(VLOOKUP($B25,RD[#All],AP$2,0)/AP$1,"")</f>
        <v>2.5335370573545939</v>
      </c>
      <c r="AQ25" s="174">
        <f>IFERROR(VLOOKUP($B25,RD[#All],AQ$2,0)/AQ$1,"")</f>
        <v>2.5400763358778624</v>
      </c>
      <c r="AR25" s="174">
        <f>IFERROR(VLOOKUP($B25,RD[#All],AR$2,0)/AR$1,"")</f>
        <v>2.5339749246574201</v>
      </c>
      <c r="AS25" s="174">
        <f>IFERROR(VLOOKUP($B25,RD[#All],AS$2,0)/AS$1,"")</f>
        <v>2.5524974515800203</v>
      </c>
      <c r="AT25" s="174">
        <f>IFERROR(VLOOKUP($B25,RD[#All],AT$2,0)/AT$1,"")</f>
        <v>2.609038151306279</v>
      </c>
      <c r="AU25" s="174">
        <f>IFERROR(VLOOKUP($B25,RD[#All],AU$2,0)/AU$1,"")</f>
        <v>2.6191920452533597</v>
      </c>
      <c r="AV25" s="174">
        <f>IFERROR(VLOOKUP($B25,RD[#All],AV$2,0)/AV$1,"")</f>
        <v>2.5960044761954224</v>
      </c>
      <c r="AW25" s="174">
        <f>IFERROR(VLOOKUP($B25,RD[#All],AW$2,0)/AW$1,"")</f>
        <v>2.5038262954084458</v>
      </c>
      <c r="AX25" s="174">
        <f>IFERROR(VLOOKUP($B25,RD[#All],AX$2,0)/AX$1,"")</f>
        <v>2.5621571316614418</v>
      </c>
      <c r="AY25" s="174">
        <f>IFERROR(VLOOKUP($B25,RD[#All],AY$2,0)/AY$1,"")</f>
        <v>1.1512506818358919</v>
      </c>
      <c r="AZ25" s="174">
        <f>IFERROR(VLOOKUP($B25,RD[#All],AZ$2,0)/AZ$1,"")</f>
        <v>8.089796743856811E-3</v>
      </c>
      <c r="BA25" s="174">
        <f>IFERROR(VLOOKUP($B25,RD[#All],BA$2,0)/BA$1,"")</f>
        <v>2.5452026446396938</v>
      </c>
      <c r="BB25" s="174">
        <f>IFERROR(VLOOKUP($B25,RD[#All],BB$2,0)/BB$1,"")</f>
        <v>2.5707552413348456</v>
      </c>
      <c r="BC25" s="174">
        <f>IFERROR(VLOOKUP($B25,RD[#All],BC$2,0)/BC$1,"")</f>
        <v>2.5943573667711597</v>
      </c>
      <c r="BD25" s="174">
        <f>IFERROR(VLOOKUP($B25,RD[#All],BD$2,0)/BD$1,"")</f>
        <v>2.6393875867483763</v>
      </c>
      <c r="BE25" s="174">
        <f>IFERROR(VLOOKUP($B25,RD[#All],BE$2,0)/BE$1,"")</f>
        <v>2.6348114982980837</v>
      </c>
      <c r="BF25" s="174">
        <f>IFERROR(VLOOKUP($B25,RD[#All],BF$2,0)/BF$1,"")</f>
        <v>2.5740521820210125</v>
      </c>
      <c r="BG25" s="174">
        <f>IFERROR(VLOOKUP($B25,RD[#All],BG$2,0)/BG$1,"")</f>
        <v>2.6921141180869119</v>
      </c>
      <c r="BH25" s="174">
        <f>IFERROR(VLOOKUP($B25,RD[#All],BH$2,0)/BH$1,"")</f>
        <v>2.6713353081590983</v>
      </c>
      <c r="BI25" s="174">
        <f>IFERROR(VLOOKUP($B25,RD[#All],BI$2,0)/BI$1,"")</f>
        <v>2.6546250684181718</v>
      </c>
      <c r="BJ25" s="174">
        <f>IFERROR(VLOOKUP($B25,RD[#All],BJ$2,0)/BJ$1,"")</f>
        <v>2.6933904612807096</v>
      </c>
      <c r="BK25" s="174">
        <f>IFERROR(VLOOKUP($B25,RD[#All],BK$2,0)/BK$1,"")</f>
        <v>2.6797385620915031</v>
      </c>
      <c r="BL25" s="174">
        <f>IFERROR(VLOOKUP($B25,RD[#All],BL$2,0)/BL$1,"")</f>
        <v>2.6548074615744075</v>
      </c>
      <c r="BM25" s="174">
        <f>IFERROR(VLOOKUP($B25,RD[#All],BM$2,0)/BM$1,"")</f>
        <v>2.5994931551843115</v>
      </c>
      <c r="BN25" s="174">
        <f>IFERROR(VLOOKUP($B25,RD[#All],BN$2,0)/BN$1,"")</f>
        <v>2.6769678595877604</v>
      </c>
      <c r="BO25" s="174">
        <f>IFERROR(VLOOKUP($B25,RD[#All],BO$2,0)/BO$1,"")</f>
        <v>2.4923318157435044</v>
      </c>
      <c r="BP25" s="174">
        <f>IFERROR(VLOOKUP($B25,RD[#All],BP$2,0)/BP$1,"")</f>
        <v>2.6722846618630292</v>
      </c>
      <c r="BQ25" s="174">
        <f>IFERROR(VLOOKUP($B25,RD[#All],BQ$2,0)/BQ$1,"")</f>
        <v>2.5451210564930302</v>
      </c>
      <c r="BR25" s="174">
        <f>IFERROR(VLOOKUP($B25,RD[#All],BR$2,0)/BR$1,"")</f>
        <v>2.6061996005030701</v>
      </c>
      <c r="BS25" s="174">
        <f>IFERROR(VLOOKUP($B25,RD[#All],BS$2,0)/BS$1,"")</f>
        <v>2.4600740589290986</v>
      </c>
      <c r="BT25" s="174">
        <f>IFERROR(VLOOKUP($B25,RD[#All],BT$2,0)/BT$1,"")</f>
        <v>2.6103256664556516</v>
      </c>
      <c r="BU25" s="174">
        <f>IFERROR(VLOOKUP($B25,RD[#All],BU$2,0)/BU$1,"")</f>
        <v>2.5729132294945125</v>
      </c>
      <c r="BV25" s="174">
        <f>IFERROR(VLOOKUP($B25,RD[#All],BV$2,0)/BV$1,"")</f>
        <v>2.7384259259259256</v>
      </c>
      <c r="BW25" s="174">
        <f>IFERROR(VLOOKUP($B25,RD[#All],BW$2,0)/BW$1,"")</f>
        <v>2.6188159838576008</v>
      </c>
      <c r="BX25" s="174">
        <f>IFERROR(VLOOKUP($B25,RD[#All],BX$2,0)/BX$1,"")</f>
        <v>2.5981191222570534</v>
      </c>
      <c r="BY25" s="174">
        <f>AVERAGEIF(Inv_SY_B[[#This Row],[IS1Inv1M1]:[IS14Inv2M4]],"&gt;="&amp;0.1,Inv_SY_B[[#This Row],[IS1Inv1M1]:[IS14Inv2M4]])</f>
        <v>2.5056219190243261</v>
      </c>
    </row>
    <row r="26" spans="2:77">
      <c r="B26" s="179">
        <f t="shared" si="30"/>
        <v>45844</v>
      </c>
      <c r="C26" s="174">
        <f>IFERROR(VLOOKUP($B26,RD[#All],C$2,0)/C$1,"")</f>
        <v>2.3754232430519231</v>
      </c>
      <c r="D26" s="174">
        <f>IFERROR(VLOOKUP($B26,RD[#All],D$2,0)/D$1,"")</f>
        <v>2.3617040603142883</v>
      </c>
      <c r="E26" s="174">
        <f>IFERROR(VLOOKUP($B26,RD[#All],E$2,0)/E$1,"")</f>
        <v>2.3512212990559287</v>
      </c>
      <c r="F26" s="174">
        <f>IFERROR(VLOOKUP($B26,RD[#All],F$2,0)/F$1,"")</f>
        <v>2.3609305395149316</v>
      </c>
      <c r="G26" s="174">
        <f>IFERROR(VLOOKUP($B26,RD[#All],G$2,0)/G$1,"")</f>
        <v>2.3921973226358388</v>
      </c>
      <c r="H26" s="174">
        <f>IFERROR(VLOOKUP($B26,RD[#All],H$2,0)/H$1,"")</f>
        <v>2.3817017111279069</v>
      </c>
      <c r="I26" s="174">
        <f>IFERROR(VLOOKUP($B26,RD[#All],I$2,0)/I$1,"")</f>
        <v>2.4058450653758707</v>
      </c>
      <c r="J26" s="174">
        <f>IFERROR(VLOOKUP($B26,RD[#All],J$2,0)/J$1,"")</f>
        <v>2.381806038876586</v>
      </c>
      <c r="K26" s="174">
        <f>IFERROR(VLOOKUP($B26,RD[#All],K$2,0)/K$1,"")</f>
        <v>2.3471840984382393</v>
      </c>
      <c r="L26" s="174">
        <f>IFERROR(VLOOKUP($B26,RD[#All],L$2,0)/L$1,"")</f>
        <v>2.4128235448692683</v>
      </c>
      <c r="M26" s="174">
        <f>IFERROR(VLOOKUP($B26,RD[#All],M$2,0)/M$1,"")</f>
        <v>2.4519477107009129</v>
      </c>
      <c r="N26" s="174">
        <f>IFERROR(VLOOKUP($B26,RD[#All],N$2,0)/N$1,"")</f>
        <v>2.3691491234689006</v>
      </c>
      <c r="O26" s="174">
        <f>IFERROR(VLOOKUP($B26,RD[#All],O$2,0)/O$1,"")</f>
        <v>2.4876893268877973</v>
      </c>
      <c r="P26" s="174">
        <f>IFERROR(VLOOKUP($B26,RD[#All],P$2,0)/P$1,"")</f>
        <v>2.2988806295369368</v>
      </c>
      <c r="Q26" s="174">
        <f>IFERROR(VLOOKUP($B26,RD[#All],Q$2,0)/Q$1,"")</f>
        <v>2.3721343653938742</v>
      </c>
      <c r="R26" s="174">
        <f>IFERROR(VLOOKUP($B26,RD[#All],R$2,0)/R$1,"")</f>
        <v>2.3657734321191093</v>
      </c>
      <c r="S26" s="174">
        <f>IFERROR(VLOOKUP($B26,RD[#All],S$2,0)/S$1,"")</f>
        <v>2.366259539902817</v>
      </c>
      <c r="T26" s="174">
        <f>IFERROR(VLOOKUP($B26,RD[#All],T$2,0)/T$1,"")</f>
        <v>2.3692169413708082</v>
      </c>
      <c r="U26" s="174">
        <f>IFERROR(VLOOKUP($B26,RD[#All],U$2,0)/U$1,"")</f>
        <v>2.3873221556660993</v>
      </c>
      <c r="V26" s="174">
        <f>IFERROR(VLOOKUP($B26,RD[#All],V$2,0)/V$1,"")</f>
        <v>2.3922216355505013</v>
      </c>
      <c r="W26" s="174">
        <f>IFERROR(VLOOKUP($B26,RD[#All],W$2,0)/W$1,"")</f>
        <v>2.3125721828081174</v>
      </c>
      <c r="X26" s="174">
        <f>IFERROR(VLOOKUP($B26,RD[#All],X$2,0)/X$1,"")</f>
        <v>2.3042987307604923</v>
      </c>
      <c r="Y26" s="174">
        <f>IFERROR(VLOOKUP($B26,RD[#All],Y$2,0)/Y$1,"")</f>
        <v>2.3897684185430221</v>
      </c>
      <c r="Z26" s="174">
        <f>IFERROR(VLOOKUP($B26,RD[#All],Z$2,0)/Z$1,"")</f>
        <v>2.4025117147525088</v>
      </c>
      <c r="AA26" s="174">
        <f>IFERROR(VLOOKUP($B26,RD[#All],AA$2,0)/AA$1,"")</f>
        <v>2.3519978005865103</v>
      </c>
      <c r="AB26" s="174">
        <f>IFERROR(VLOOKUP($B26,RD[#All],AB$2,0)/AB$1,"")</f>
        <v>2.3460996774340099</v>
      </c>
      <c r="AC26" s="174">
        <f>IFERROR(VLOOKUP($B26,RD[#All],AC$2,0)/AC$1,"")</f>
        <v>2.3685405003920055</v>
      </c>
      <c r="AD26" s="174">
        <f>IFERROR(VLOOKUP($B26,RD[#All],AD$2,0)/AD$1,"")</f>
        <v>2.3529624440728516</v>
      </c>
      <c r="AE26" s="174">
        <f>IFERROR(VLOOKUP($B26,RD[#All],AE$2,0)/AE$1,"")</f>
        <v>2.4853988005156662</v>
      </c>
      <c r="AF26" s="174">
        <f>IFERROR(VLOOKUP($B26,RD[#All],AF$2,0)/AF$1,"")</f>
        <v>2.4514642445676929</v>
      </c>
      <c r="AG26" s="174">
        <f>IFERROR(VLOOKUP($B26,RD[#All],AG$2,0)/AG$1,"")</f>
        <v>2.4517377674798966</v>
      </c>
      <c r="AH26" s="174">
        <f>IFERROR(VLOOKUP($B26,RD[#All],AH$2,0)/AH$1,"")</f>
        <v>2.4404372756015222</v>
      </c>
      <c r="AI26" s="174">
        <f>IFERROR(VLOOKUP($B26,RD[#All],AI$2,0)/AI$1,"")</f>
        <v>2.4597519422107128</v>
      </c>
      <c r="AJ26" s="174">
        <f>IFERROR(VLOOKUP($B26,RD[#All],AJ$2,0)/AJ$1,"")</f>
        <v>2.4575221938305103</v>
      </c>
      <c r="AK26" s="174">
        <f>IFERROR(VLOOKUP($B26,RD[#All],AK$2,0)/AK$1,"")</f>
        <v>2.4361617342330377</v>
      </c>
      <c r="AL26" s="174">
        <f>IFERROR(VLOOKUP($B26,RD[#All],AL$2,0)/AL$1,"")</f>
        <v>2.4547616473894713</v>
      </c>
      <c r="AM26" s="174">
        <f>IFERROR(VLOOKUP($B26,RD[#All],AM$2,0)/AM$1,"")</f>
        <v>2.4298801214266961</v>
      </c>
      <c r="AN26" s="174">
        <f>IFERROR(VLOOKUP($B26,RD[#All],AN$2,0)/AN$1,"")</f>
        <v>2.4482556691593693</v>
      </c>
      <c r="AO26" s="174">
        <f>IFERROR(VLOOKUP($B26,RD[#All],AO$2,0)/AO$1,"")</f>
        <v>2.4596983179306307</v>
      </c>
      <c r="AP26" s="174">
        <f>IFERROR(VLOOKUP($B26,RD[#All],AP$2,0)/AP$1,"")</f>
        <v>2.4489287661459138</v>
      </c>
      <c r="AQ26" s="174">
        <f>IFERROR(VLOOKUP($B26,RD[#All],AQ$2,0)/AQ$1,"")</f>
        <v>2.4484732824427478</v>
      </c>
      <c r="AR26" s="174">
        <f>IFERROR(VLOOKUP($B26,RD[#All],AR$2,0)/AR$1,"")</f>
        <v>2.4366706072362176</v>
      </c>
      <c r="AS26" s="174">
        <f>IFERROR(VLOOKUP($B26,RD[#All],AS$2,0)/AS$1,"")</f>
        <v>2.4312043774239278</v>
      </c>
      <c r="AT26" s="174">
        <f>IFERROR(VLOOKUP($B26,RD[#All],AT$2,0)/AT$1,"")</f>
        <v>2.4409293750392824</v>
      </c>
      <c r="AU26" s="174">
        <f>IFERROR(VLOOKUP($B26,RD[#All],AU$2,0)/AU$1,"")</f>
        <v>2.4381437763569185</v>
      </c>
      <c r="AV26" s="174">
        <f>IFERROR(VLOOKUP($B26,RD[#All],AV$2,0)/AV$1,"")</f>
        <v>2.4239920297279811</v>
      </c>
      <c r="AW26" s="174">
        <f>IFERROR(VLOOKUP($B26,RD[#All],AW$2,0)/AW$1,"")</f>
        <v>2.0143370827955009</v>
      </c>
      <c r="AX26" s="174">
        <f>IFERROR(VLOOKUP($B26,RD[#All],AX$2,0)/AX$1,"")</f>
        <v>2.0646061912225706</v>
      </c>
      <c r="AY26" s="174">
        <f>IFERROR(VLOOKUP($B26,RD[#All],AY$2,0)/AY$1,"")</f>
        <v>1.3621652510454816</v>
      </c>
      <c r="AZ26" s="174">
        <f>IFERROR(VLOOKUP($B26,RD[#All],AZ$2,0)/AZ$1,"")</f>
        <v>1.7797552836484987E-2</v>
      </c>
      <c r="BA26" s="174">
        <f>IFERROR(VLOOKUP($B26,RD[#All],BA$2,0)/BA$1,"")</f>
        <v>2.3474246330299362</v>
      </c>
      <c r="BB26" s="174">
        <f>IFERROR(VLOOKUP($B26,RD[#All],BB$2,0)/BB$1,"")</f>
        <v>2.4030325262900467</v>
      </c>
      <c r="BC26" s="174">
        <f>IFERROR(VLOOKUP($B26,RD[#All],BC$2,0)/BC$1,"")</f>
        <v>2.3650246305418721</v>
      </c>
      <c r="BD26" s="174">
        <f>IFERROR(VLOOKUP($B26,RD[#All],BD$2,0)/BD$1,"")</f>
        <v>2.415515105645353</v>
      </c>
      <c r="BE26" s="174">
        <f>IFERROR(VLOOKUP($B26,RD[#All],BE$2,0)/BE$1,"")</f>
        <v>2.3851970622405512</v>
      </c>
      <c r="BF26" s="174">
        <f>IFERROR(VLOOKUP($B26,RD[#All],BF$2,0)/BF$1,"")</f>
        <v>2.3199686974475098</v>
      </c>
      <c r="BG26" s="174">
        <f>IFERROR(VLOOKUP($B26,RD[#All],BG$2,0)/BG$1,"")</f>
        <v>2.4131460124816662</v>
      </c>
      <c r="BH26" s="174">
        <f>IFERROR(VLOOKUP($B26,RD[#All],BH$2,0)/BH$1,"")</f>
        <v>2.3987662132236638</v>
      </c>
      <c r="BI26" s="174">
        <f>IFERROR(VLOOKUP($B26,RD[#All],BI$2,0)/BI$1,"")</f>
        <v>2.3901399640315897</v>
      </c>
      <c r="BJ26" s="174">
        <f>IFERROR(VLOOKUP($B26,RD[#All],BJ$2,0)/BJ$1,"")</f>
        <v>2.4108405773218524</v>
      </c>
      <c r="BK26" s="174">
        <f>IFERROR(VLOOKUP($B26,RD[#All],BK$2,0)/BK$1,"")</f>
        <v>2.4187388876367919</v>
      </c>
      <c r="BL26" s="174">
        <f>IFERROR(VLOOKUP($B26,RD[#All],BL$2,0)/BL$1,"")</f>
        <v>2.393879690321929</v>
      </c>
      <c r="BM26" s="174">
        <f>IFERROR(VLOOKUP($B26,RD[#All],BM$2,0)/BM$1,"")</f>
        <v>2.3678873731757957</v>
      </c>
      <c r="BN26" s="174">
        <f>IFERROR(VLOOKUP($B26,RD[#All],BN$2,0)/BN$1,"")</f>
        <v>2.4172903567257853</v>
      </c>
      <c r="BO26" s="174">
        <f>IFERROR(VLOOKUP($B26,RD[#All],BO$2,0)/BO$1,"")</f>
        <v>2.0791439142813912</v>
      </c>
      <c r="BP26" s="174">
        <f>IFERROR(VLOOKUP($B26,RD[#All],BP$2,0)/BP$1,"")</f>
        <v>2.4131035742015476</v>
      </c>
      <c r="BQ26" s="174">
        <f>IFERROR(VLOOKUP($B26,RD[#All],BQ$2,0)/BQ$1,"")</f>
        <v>2.3683052090975791</v>
      </c>
      <c r="BR26" s="174">
        <f>IFERROR(VLOOKUP($B26,RD[#All],BR$2,0)/BR$1,"")</f>
        <v>2.4069690019974845</v>
      </c>
      <c r="BS26" s="174">
        <f>IFERROR(VLOOKUP($B26,RD[#All],BS$2,0)/BS$1,"")</f>
        <v>2.3053681364865173</v>
      </c>
      <c r="BT26" s="174">
        <f>IFERROR(VLOOKUP($B26,RD[#All],BT$2,0)/BT$1,"")</f>
        <v>2.4259689104593094</v>
      </c>
      <c r="BU26" s="174">
        <f>IFERROR(VLOOKUP($B26,RD[#All],BU$2,0)/BU$1,"")</f>
        <v>2.3688250471973396</v>
      </c>
      <c r="BV26" s="174">
        <f>IFERROR(VLOOKUP($B26,RD[#All],BV$2,0)/BV$1,"")</f>
        <v>2.4091435185185186</v>
      </c>
      <c r="BW26" s="174">
        <f>IFERROR(VLOOKUP($B26,RD[#All],BW$2,0)/BW$1,"")</f>
        <v>2.4049291968435842</v>
      </c>
      <c r="BX26" s="174">
        <f>IFERROR(VLOOKUP($B26,RD[#All],BX$2,0)/BX$1,"")</f>
        <v>2.3947863388879722</v>
      </c>
      <c r="BY26" s="174">
        <f>AVERAGEIF(Inv_SY_B[[#This Row],[IS1Inv1M1]:[IS14Inv2M4]],"&gt;="&amp;0.1,Inv_SY_B[[#This Row],[IS1Inv1M1]:[IS14Inv2M4]])</f>
        <v>2.3694260039051422</v>
      </c>
    </row>
    <row r="27" spans="2:77">
      <c r="B27" s="179">
        <f t="shared" si="30"/>
        <v>45845</v>
      </c>
      <c r="C27" s="174">
        <f>IFERROR(VLOOKUP($B27,RD[#All],C$2,0)/C$1,"")</f>
        <v>1.5549659996053384</v>
      </c>
      <c r="D27" s="174">
        <f>IFERROR(VLOOKUP($B27,RD[#All],D$2,0)/D$1,"")</f>
        <v>1.5471980605210158</v>
      </c>
      <c r="E27" s="174">
        <f>IFERROR(VLOOKUP($B27,RD[#All],E$2,0)/E$1,"")</f>
        <v>1.5298956026573869</v>
      </c>
      <c r="F27" s="174">
        <f>IFERROR(VLOOKUP($B27,RD[#All],F$2,0)/F$1,"")</f>
        <v>1.5174393664411814</v>
      </c>
      <c r="G27" s="174">
        <f>IFERROR(VLOOKUP($B27,RD[#All],G$2,0)/G$1,"")</f>
        <v>1.5327236957622286</v>
      </c>
      <c r="H27" s="174">
        <f>IFERROR(VLOOKUP($B27,RD[#All],H$2,0)/H$1,"")</f>
        <v>1.5341296294001761</v>
      </c>
      <c r="I27" s="174">
        <f>IFERROR(VLOOKUP($B27,RD[#All],I$2,0)/I$1,"")</f>
        <v>1.5565776529834461</v>
      </c>
      <c r="J27" s="174">
        <f>IFERROR(VLOOKUP($B27,RD[#All],J$2,0)/J$1,"")</f>
        <v>1.5605117930331469</v>
      </c>
      <c r="K27" s="174">
        <f>IFERROR(VLOOKUP($B27,RD[#All],K$2,0)/K$1,"")</f>
        <v>1.5422621864647421</v>
      </c>
      <c r="L27" s="174">
        <f>IFERROR(VLOOKUP($B27,RD[#All],L$2,0)/L$1,"")</f>
        <v>1.5681250821179871</v>
      </c>
      <c r="M27" s="174">
        <f>IFERROR(VLOOKUP($B27,RD[#All],M$2,0)/M$1,"")</f>
        <v>1.5941667214083954</v>
      </c>
      <c r="N27" s="174">
        <f>IFERROR(VLOOKUP($B27,RD[#All],N$2,0)/N$1,"")</f>
        <v>1.5512211071707036</v>
      </c>
      <c r="O27" s="174">
        <f>IFERROR(VLOOKUP($B27,RD[#All],O$2,0)/O$1,"")</f>
        <v>1.6269399367891191</v>
      </c>
      <c r="P27" s="174">
        <f>IFERROR(VLOOKUP($B27,RD[#All],P$2,0)/P$1,"")</f>
        <v>1.5045509444299179</v>
      </c>
      <c r="Q27" s="174">
        <f>IFERROR(VLOOKUP($B27,RD[#All],Q$2,0)/Q$1,"")</f>
        <v>1.5502512252632619</v>
      </c>
      <c r="R27" s="174">
        <f>IFERROR(VLOOKUP($B27,RD[#All],R$2,0)/R$1,"")</f>
        <v>1.5515632140995024</v>
      </c>
      <c r="S27" s="174">
        <f>IFERROR(VLOOKUP($B27,RD[#All],S$2,0)/S$1,"")</f>
        <v>1.5758396705409621</v>
      </c>
      <c r="T27" s="174">
        <f>IFERROR(VLOOKUP($B27,RD[#All],T$2,0)/T$1,"")</f>
        <v>1.5977375877049149</v>
      </c>
      <c r="U27" s="174">
        <f>IFERROR(VLOOKUP($B27,RD[#All],U$2,0)/U$1,"")</f>
        <v>1.5920182804698004</v>
      </c>
      <c r="V27" s="174">
        <f>IFERROR(VLOOKUP($B27,RD[#All],V$2,0)/V$1,"")</f>
        <v>1.6011173839856674</v>
      </c>
      <c r="W27" s="174">
        <f>IFERROR(VLOOKUP($B27,RD[#All],W$2,0)/W$1,"")</f>
        <v>1.5482181158224715</v>
      </c>
      <c r="X27" s="174">
        <f>IFERROR(VLOOKUP($B27,RD[#All],X$2,0)/X$1,"")</f>
        <v>1.5279704036269799</v>
      </c>
      <c r="Y27" s="174">
        <f>IFERROR(VLOOKUP($B27,RD[#All],Y$2,0)/Y$1,"")</f>
        <v>1.5887469109481955</v>
      </c>
      <c r="Z27" s="174">
        <f>IFERROR(VLOOKUP($B27,RD[#All],Z$2,0)/Z$1,"")</f>
        <v>1.5897951489254745</v>
      </c>
      <c r="AA27" s="174">
        <f>IFERROR(VLOOKUP($B27,RD[#All],AA$2,0)/AA$1,"")</f>
        <v>1.5724890029325513</v>
      </c>
      <c r="AB27" s="174">
        <f>IFERROR(VLOOKUP($B27,RD[#All],AB$2,0)/AB$1,"")</f>
        <v>1.576484485030212</v>
      </c>
      <c r="AC27" s="174">
        <f>IFERROR(VLOOKUP($B27,RD[#All],AC$2,0)/AC$1,"")</f>
        <v>1.5820071615568361</v>
      </c>
      <c r="AD27" s="174">
        <f>IFERROR(VLOOKUP($B27,RD[#All],AD$2,0)/AD$1,"")</f>
        <v>1.5653274280291045</v>
      </c>
      <c r="AE27" s="174">
        <f>IFERROR(VLOOKUP($B27,RD[#All],AE$2,0)/AE$1,"")</f>
        <v>1.572333389384003</v>
      </c>
      <c r="AF27" s="174">
        <f>IFERROR(VLOOKUP($B27,RD[#All],AF$2,0)/AF$1,"")</f>
        <v>1.5575382471934194</v>
      </c>
      <c r="AG27" s="174">
        <f>IFERROR(VLOOKUP($B27,RD[#All],AG$2,0)/AG$1,"")</f>
        <v>1.5605833446912907</v>
      </c>
      <c r="AH27" s="174">
        <f>IFERROR(VLOOKUP($B27,RD[#All],AH$2,0)/AH$1,"")</f>
        <v>1.5511494560848829</v>
      </c>
      <c r="AI27" s="174">
        <f>IFERROR(VLOOKUP($B27,RD[#All],AI$2,0)/AI$1,"")</f>
        <v>1.5614011176230067</v>
      </c>
      <c r="AJ27" s="174">
        <f>IFERROR(VLOOKUP($B27,RD[#All],AJ$2,0)/AJ$1,"")</f>
        <v>1.5648165222201733</v>
      </c>
      <c r="AK27" s="174">
        <f>IFERROR(VLOOKUP($B27,RD[#All],AK$2,0)/AK$1,"")</f>
        <v>1.5248924074172467</v>
      </c>
      <c r="AL27" s="174">
        <f>IFERROR(VLOOKUP($B27,RD[#All],AL$2,0)/AL$1,"")</f>
        <v>1.4179548156956003</v>
      </c>
      <c r="AM27" s="174">
        <f>IFERROR(VLOOKUP($B27,RD[#All],AM$2,0)/AM$1,"")</f>
        <v>1.5139970518351991</v>
      </c>
      <c r="AN27" s="174">
        <f>IFERROR(VLOOKUP($B27,RD[#All],AN$2,0)/AN$1,"")</f>
        <v>1.5257089394010781</v>
      </c>
      <c r="AO27" s="174">
        <f>IFERROR(VLOOKUP($B27,RD[#All],AO$2,0)/AO$1,"")</f>
        <v>1.5348630584180876</v>
      </c>
      <c r="AP27" s="174">
        <f>IFERROR(VLOOKUP($B27,RD[#All],AP$2,0)/AP$1,"")</f>
        <v>1.5260454878943506</v>
      </c>
      <c r="AQ27" s="174">
        <f>IFERROR(VLOOKUP($B27,RD[#All],AQ$2,0)/AQ$1,"")</f>
        <v>1.5232956041063437</v>
      </c>
      <c r="AR27" s="174">
        <f>IFERROR(VLOOKUP($B27,RD[#All],AR$2,0)/AR$1,"")</f>
        <v>1.5183069981185167</v>
      </c>
      <c r="AS27" s="174">
        <f>IFERROR(VLOOKUP($B27,RD[#All],AS$2,0)/AS$1,"")</f>
        <v>1.5393628364207295</v>
      </c>
      <c r="AT27" s="174">
        <f>IFERROR(VLOOKUP($B27,RD[#All],AT$2,0)/AT$1,"")</f>
        <v>1.5596991473046866</v>
      </c>
      <c r="AU27" s="174">
        <f>IFERROR(VLOOKUP($B27,RD[#All],AU$2,0)/AU$1,"")</f>
        <v>1.5611132233731631</v>
      </c>
      <c r="AV27" s="174">
        <f>IFERROR(VLOOKUP($B27,RD[#All],AV$2,0)/AV$1,"")</f>
        <v>1.5643547526524288</v>
      </c>
      <c r="AW27" s="174">
        <f>IFERROR(VLOOKUP($B27,RD[#All],AW$2,0)/AW$1,"")</f>
        <v>0.96957403651115615</v>
      </c>
      <c r="AX27" s="174">
        <f>IFERROR(VLOOKUP($B27,RD[#All],AX$2,0)/AX$1,"")</f>
        <v>1.0005387931034484</v>
      </c>
      <c r="AY27" s="174">
        <f>IFERROR(VLOOKUP($B27,RD[#All],AY$2,0)/AY$1,"")</f>
        <v>1.5636250292215383</v>
      </c>
      <c r="AZ27" s="174">
        <f>IFERROR(VLOOKUP($B27,RD[#All],AZ$2,0)/AZ$1,"")</f>
        <v>1.3397714632419861</v>
      </c>
      <c r="BA27" s="174">
        <f>IFERROR(VLOOKUP($B27,RD[#All],BA$2,0)/BA$1,"")</f>
        <v>1.5695094789638904</v>
      </c>
      <c r="BB27" s="174">
        <f>IFERROR(VLOOKUP($B27,RD[#All],BB$2,0)/BB$1,"")</f>
        <v>1.6125302919140045</v>
      </c>
      <c r="BC27" s="174">
        <f>IFERROR(VLOOKUP($B27,RD[#All],BC$2,0)/BC$1,"")</f>
        <v>1.5963278101209135</v>
      </c>
      <c r="BD27" s="174">
        <f>IFERROR(VLOOKUP($B27,RD[#All],BD$2,0)/BD$1,"")</f>
        <v>1.6269658470682165</v>
      </c>
      <c r="BE27" s="174">
        <f>IFERROR(VLOOKUP($B27,RD[#All],BE$2,0)/BE$1,"")</f>
        <v>1.5646762281995015</v>
      </c>
      <c r="BF27" s="174">
        <f>IFERROR(VLOOKUP($B27,RD[#All],BF$2,0)/BF$1,"")</f>
        <v>1.5065185900531144</v>
      </c>
      <c r="BG27" s="174">
        <f>IFERROR(VLOOKUP($B27,RD[#All],BG$2,0)/BG$1,"")</f>
        <v>1.5898306059647407</v>
      </c>
      <c r="BH27" s="174">
        <f>IFERROR(VLOOKUP($B27,RD[#All],BH$2,0)/BH$1,"")</f>
        <v>1.5738690287883581</v>
      </c>
      <c r="BI27" s="174">
        <f>IFERROR(VLOOKUP($B27,RD[#All],BI$2,0)/BI$1,"")</f>
        <v>1.5781791643860608</v>
      </c>
      <c r="BJ27" s="174">
        <f>IFERROR(VLOOKUP($B27,RD[#All],BJ$2,0)/BJ$1,"")</f>
        <v>1.5890083632019114</v>
      </c>
      <c r="BK27" s="174">
        <f>IFERROR(VLOOKUP($B27,RD[#All],BK$2,0)/BK$1,"")</f>
        <v>1.5989908096060903</v>
      </c>
      <c r="BL27" s="174">
        <f>IFERROR(VLOOKUP($B27,RD[#All],BL$2,0)/BL$1,"")</f>
        <v>1.5848267848798292</v>
      </c>
      <c r="BM27" s="174">
        <f>IFERROR(VLOOKUP($B27,RD[#All],BM$2,0)/BM$1,"")</f>
        <v>1.6071380142651803</v>
      </c>
      <c r="BN27" s="174">
        <f>IFERROR(VLOOKUP($B27,RD[#All],BN$2,0)/BN$1,"")</f>
        <v>1.6080561004653946</v>
      </c>
      <c r="BO27" s="174">
        <f>IFERROR(VLOOKUP($B27,RD[#All],BO$2,0)/BO$1,"")</f>
        <v>1.4450572878698265</v>
      </c>
      <c r="BP27" s="174">
        <f>IFERROR(VLOOKUP($B27,RD[#All],BP$2,0)/BP$1,"")</f>
        <v>1.6047582761738213</v>
      </c>
      <c r="BQ27" s="174">
        <f>IFERROR(VLOOKUP($B27,RD[#All],BQ$2,0)/BQ$1,"")</f>
        <v>1.5209097578870141</v>
      </c>
      <c r="BR27" s="174">
        <f>IFERROR(VLOOKUP($B27,RD[#All],BR$2,0)/BR$1,"")</f>
        <v>1.5514537249389657</v>
      </c>
      <c r="BS27" s="174">
        <f>IFERROR(VLOOKUP($B27,RD[#All],BS$2,0)/BS$1,"")</f>
        <v>1.4621716380048011</v>
      </c>
      <c r="BT27" s="174">
        <f>IFERROR(VLOOKUP($B27,RD[#All],BT$2,0)/BT$1,"")</f>
        <v>1.5589083491594571</v>
      </c>
      <c r="BU27" s="174">
        <f>IFERROR(VLOOKUP($B27,RD[#All],BU$2,0)/BU$1,"")</f>
        <v>1.4583736446441495</v>
      </c>
      <c r="BV27" s="174">
        <f>IFERROR(VLOOKUP($B27,RD[#All],BV$2,0)/BV$1,"")</f>
        <v>1.2523148148148147</v>
      </c>
      <c r="BW27" s="174">
        <f>IFERROR(VLOOKUP($B27,RD[#All],BW$2,0)/BW$1,"")</f>
        <v>1.5512557201023311</v>
      </c>
      <c r="BX27" s="174">
        <f>IFERROR(VLOOKUP($B27,RD[#All],BX$2,0)/BX$1,"")</f>
        <v>1.5586866853654513</v>
      </c>
      <c r="BY27" s="174">
        <f>AVERAGEIF(Inv_SY_B[[#This Row],[IS1Inv1M1]:[IS14Inv2M4]],"&gt;="&amp;0.1,Inv_SY_B[[#This Row],[IS1Inv1M1]:[IS14Inv2M4]])</f>
        <v>1.5332637369793367</v>
      </c>
    </row>
    <row r="28" spans="2:77">
      <c r="B28" s="179">
        <f t="shared" si="30"/>
        <v>45846</v>
      </c>
      <c r="C28" s="174">
        <f>IFERROR(VLOOKUP($B28,RD[#All],C$2,0)/C$1,"")</f>
        <v>1.7581226645283952</v>
      </c>
      <c r="D28" s="174">
        <f>IFERROR(VLOOKUP($B28,RD[#All],D$2,0)/D$1,"")</f>
        <v>1.7512317508245605</v>
      </c>
      <c r="E28" s="174">
        <f>IFERROR(VLOOKUP($B28,RD[#All],E$2,0)/E$1,"")</f>
        <v>1.7275012903977758</v>
      </c>
      <c r="F28" s="174">
        <f>IFERROR(VLOOKUP($B28,RD[#All],F$2,0)/F$1,"")</f>
        <v>1.7059231149975251</v>
      </c>
      <c r="G28" s="174">
        <f>IFERROR(VLOOKUP($B28,RD[#All],G$2,0)/G$1,"")</f>
        <v>1.7239456837275471</v>
      </c>
      <c r="H28" s="174">
        <f>IFERROR(VLOOKUP($B28,RD[#All],H$2,0)/H$1,"")</f>
        <v>1.7292799881051211</v>
      </c>
      <c r="I28" s="174">
        <f>IFERROR(VLOOKUP($B28,RD[#All],I$2,0)/I$1,"")</f>
        <v>1.756842153266839</v>
      </c>
      <c r="J28" s="174">
        <f>IFERROR(VLOOKUP($B28,RD[#All],J$2,0)/J$1,"")</f>
        <v>1.7655570787491064</v>
      </c>
      <c r="K28" s="174">
        <f>IFERROR(VLOOKUP($B28,RD[#All],K$2,0)/K$1,"")</f>
        <v>1.738570752484619</v>
      </c>
      <c r="L28" s="174">
        <f>IFERROR(VLOOKUP($B28,RD[#All],L$2,0)/L$1,"")</f>
        <v>1.7604782551570097</v>
      </c>
      <c r="M28" s="174">
        <f>IFERROR(VLOOKUP($B28,RD[#All],M$2,0)/M$1,"")</f>
        <v>1.78420810615516</v>
      </c>
      <c r="N28" s="174">
        <f>IFERROR(VLOOKUP($B28,RD[#All],N$2,0)/N$1,"")</f>
        <v>1.7394803692245782</v>
      </c>
      <c r="O28" s="174">
        <f>IFERROR(VLOOKUP($B28,RD[#All],O$2,0)/O$1,"")</f>
        <v>1.8228164245299416</v>
      </c>
      <c r="P28" s="174">
        <f>IFERROR(VLOOKUP($B28,RD[#All],P$2,0)/P$1,"")</f>
        <v>1.6803008230298955</v>
      </c>
      <c r="Q28" s="174">
        <f>IFERROR(VLOOKUP($B28,RD[#All],Q$2,0)/Q$1,"")</f>
        <v>1.7406145451403037</v>
      </c>
      <c r="R28" s="174">
        <f>IFERROR(VLOOKUP($B28,RD[#All],R$2,0)/R$1,"")</f>
        <v>1.7503363308079016</v>
      </c>
      <c r="S28" s="174">
        <f>IFERROR(VLOOKUP($B28,RD[#All],S$2,0)/S$1,"")</f>
        <v>1.7567057732605444</v>
      </c>
      <c r="T28" s="174">
        <f>IFERROR(VLOOKUP($B28,RD[#All],T$2,0)/T$1,"")</f>
        <v>1.7770544104488792</v>
      </c>
      <c r="U28" s="174">
        <f>IFERROR(VLOOKUP($B28,RD[#All],U$2,0)/U$1,"")</f>
        <v>1.7833331766077691</v>
      </c>
      <c r="V28" s="174">
        <f>IFERROR(VLOOKUP($B28,RD[#All],V$2,0)/V$1,"")</f>
        <v>1.7943128945931432</v>
      </c>
      <c r="W28" s="174">
        <f>IFERROR(VLOOKUP($B28,RD[#All],W$2,0)/W$1,"")</f>
        <v>1.7061953473024252</v>
      </c>
      <c r="X28" s="174">
        <f>IFERROR(VLOOKUP($B28,RD[#All],X$2,0)/X$1,"")</f>
        <v>1.6901943364044203</v>
      </c>
      <c r="Y28" s="174">
        <f>IFERROR(VLOOKUP($B28,RD[#All],Y$2,0)/Y$1,"")</f>
        <v>1.7593496829566868</v>
      </c>
      <c r="Z28" s="174">
        <f>IFERROR(VLOOKUP($B28,RD[#All],Z$2,0)/Z$1,"")</f>
        <v>1.7606689527639634</v>
      </c>
      <c r="AA28" s="174">
        <f>IFERROR(VLOOKUP($B28,RD[#All],AA$2,0)/AA$1,"")</f>
        <v>1.7404692082111437</v>
      </c>
      <c r="AB28" s="174">
        <f>IFERROR(VLOOKUP($B28,RD[#All],AB$2,0)/AB$1,"")</f>
        <v>1.7473081640997681</v>
      </c>
      <c r="AC28" s="174">
        <f>IFERROR(VLOOKUP($B28,RD[#All],AC$2,0)/AC$1,"")</f>
        <v>1.7534810576363193</v>
      </c>
      <c r="AD28" s="174">
        <f>IFERROR(VLOOKUP($B28,RD[#All],AD$2,0)/AD$1,"")</f>
        <v>1.7340353414380618</v>
      </c>
      <c r="AE28" s="174">
        <f>IFERROR(VLOOKUP($B28,RD[#All],AE$2,0)/AE$1,"")</f>
        <v>1.724398856566336</v>
      </c>
      <c r="AF28" s="174">
        <f>IFERROR(VLOOKUP($B28,RD[#All],AF$2,0)/AF$1,"")</f>
        <v>1.71208102242585</v>
      </c>
      <c r="AG28" s="174">
        <f>IFERROR(VLOOKUP($B28,RD[#All],AG$2,0)/AG$1,"")</f>
        <v>1.7239743764481394</v>
      </c>
      <c r="AH28" s="174">
        <f>IFERROR(VLOOKUP($B28,RD[#All],AH$2,0)/AH$1,"")</f>
        <v>1.7143775789078828</v>
      </c>
      <c r="AI28" s="174">
        <f>IFERROR(VLOOKUP($B28,RD[#All],AI$2,0)/AI$1,"")</f>
        <v>1.7208123211121713</v>
      </c>
      <c r="AJ28" s="174">
        <f>IFERROR(VLOOKUP($B28,RD[#All],AJ$2,0)/AJ$1,"")</f>
        <v>1.7276678696556993</v>
      </c>
      <c r="AK28" s="174">
        <f>IFERROR(VLOOKUP($B28,RD[#All],AK$2,0)/AK$1,"")</f>
        <v>1.7095265926358856</v>
      </c>
      <c r="AL28" s="174">
        <f>IFERROR(VLOOKUP($B28,RD[#All],AL$2,0)/AL$1,"")</f>
        <v>1.6366879256296616</v>
      </c>
      <c r="AM28" s="174">
        <f>IFERROR(VLOOKUP($B28,RD[#All],AM$2,0)/AM$1,"")</f>
        <v>1.6831463245539049</v>
      </c>
      <c r="AN28" s="174">
        <f>IFERROR(VLOOKUP($B28,RD[#All],AN$2,0)/AN$1,"")</f>
        <v>1.6957332382022927</v>
      </c>
      <c r="AO28" s="174">
        <f>IFERROR(VLOOKUP($B28,RD[#All],AO$2,0)/AO$1,"")</f>
        <v>1.7048200475206472</v>
      </c>
      <c r="AP28" s="174">
        <f>IFERROR(VLOOKUP($B28,RD[#All],AP$2,0)/AP$1,"")</f>
        <v>1.6931754696534222</v>
      </c>
      <c r="AQ28" s="174">
        <f>IFERROR(VLOOKUP($B28,RD[#All],AQ$2,0)/AQ$1,"")</f>
        <v>1.6911029218215319</v>
      </c>
      <c r="AR28" s="174">
        <f>IFERROR(VLOOKUP($B28,RD[#All],AR$2,0)/AR$1,"")</f>
        <v>1.6866747698096873</v>
      </c>
      <c r="AS28" s="174">
        <f>IFERROR(VLOOKUP($B28,RD[#All],AS$2,0)/AS$1,"")</f>
        <v>1.7019461726832812</v>
      </c>
      <c r="AT28" s="174">
        <f>IFERROR(VLOOKUP($B28,RD[#All],AT$2,0)/AT$1,"")</f>
        <v>1.729483983155601</v>
      </c>
      <c r="AU28" s="174">
        <f>IFERROR(VLOOKUP($B28,RD[#All],AU$2,0)/AU$1,"")</f>
        <v>1.6744788114317555</v>
      </c>
      <c r="AV28" s="174">
        <f>IFERROR(VLOOKUP($B28,RD[#All],AV$2,0)/AV$1,"")</f>
        <v>1.7314093877339023</v>
      </c>
      <c r="AW28" s="174">
        <f>IFERROR(VLOOKUP($B28,RD[#All],AW$2,0)/AW$1,"")</f>
        <v>1.8629909644108429</v>
      </c>
      <c r="AX28" s="174">
        <f>IFERROR(VLOOKUP($B28,RD[#All],AX$2,0)/AX$1,"")</f>
        <v>1.8282719435736678</v>
      </c>
      <c r="AY28" s="174">
        <f>IFERROR(VLOOKUP($B28,RD[#All],AY$2,0)/AY$1,"")</f>
        <v>1.2964492584222966</v>
      </c>
      <c r="AZ28" s="174">
        <f>IFERROR(VLOOKUP($B28,RD[#All],AZ$2,0)/AZ$1,"")</f>
        <v>1.7885529376074427</v>
      </c>
      <c r="BA28" s="174">
        <f>IFERROR(VLOOKUP($B28,RD[#All],BA$2,0)/BA$1,"")</f>
        <v>1.8031076270146087</v>
      </c>
      <c r="BB28" s="174">
        <f>IFERROR(VLOOKUP($B28,RD[#All],BB$2,0)/BB$1,"")</f>
        <v>1.872651681895996</v>
      </c>
      <c r="BC28" s="174">
        <f>IFERROR(VLOOKUP($B28,RD[#All],BC$2,0)/BC$1,"")</f>
        <v>1.8201522615315719</v>
      </c>
      <c r="BD28" s="174">
        <f>IFERROR(VLOOKUP($B28,RD[#All],BD$2,0)/BD$1,"")</f>
        <v>1.8834642940191917</v>
      </c>
      <c r="BE28" s="174">
        <f>IFERROR(VLOOKUP($B28,RD[#All],BE$2,0)/BE$1,"")</f>
        <v>1.8257726565525492</v>
      </c>
      <c r="BF28" s="174">
        <f>IFERROR(VLOOKUP($B28,RD[#All],BF$2,0)/BF$1,"")</f>
        <v>1.7711750112389484</v>
      </c>
      <c r="BG28" s="174">
        <f>IFERROR(VLOOKUP($B28,RD[#All],BG$2,0)/BG$1,"")</f>
        <v>1.8591642460671252</v>
      </c>
      <c r="BH28" s="174">
        <f>IFERROR(VLOOKUP($B28,RD[#All],BH$2,0)/BH$1,"")</f>
        <v>1.8391763250985018</v>
      </c>
      <c r="BI28" s="174">
        <f>IFERROR(VLOOKUP($B28,RD[#All],BI$2,0)/BI$1,"")</f>
        <v>1.8629290796778482</v>
      </c>
      <c r="BJ28" s="174">
        <f>IFERROR(VLOOKUP($B28,RD[#All],BJ$2,0)/BJ$1,"")</f>
        <v>1.8767080020324363</v>
      </c>
      <c r="BK28" s="174">
        <f>IFERROR(VLOOKUP($B28,RD[#All],BK$2,0)/BK$1,"")</f>
        <v>1.8849698244559638</v>
      </c>
      <c r="BL28" s="174">
        <f>IFERROR(VLOOKUP($B28,RD[#All],BL$2,0)/BL$1,"")</f>
        <v>1.8628676795615</v>
      </c>
      <c r="BM28" s="174">
        <f>IFERROR(VLOOKUP($B28,RD[#All],BM$2,0)/BM$1,"")</f>
        <v>1.8887653416983821</v>
      </c>
      <c r="BN28" s="174">
        <f>IFERROR(VLOOKUP($B28,RD[#All],BN$2,0)/BN$1,"")</f>
        <v>1.862153470899897</v>
      </c>
      <c r="BO28" s="174">
        <f>IFERROR(VLOOKUP($B28,RD[#All],BO$2,0)/BO$1,"")</f>
        <v>1.6734935284651251</v>
      </c>
      <c r="BP28" s="174">
        <f>IFERROR(VLOOKUP($B28,RD[#All],BP$2,0)/BP$1,"")</f>
        <v>1.8769816669617372</v>
      </c>
      <c r="BQ28" s="174">
        <f>IFERROR(VLOOKUP($B28,RD[#All],BQ$2,0)/BQ$1,"")</f>
        <v>1.7997065297138666</v>
      </c>
      <c r="BR28" s="174">
        <f>IFERROR(VLOOKUP($B28,RD[#All],BR$2,0)/BR$1,"")</f>
        <v>1.8415328845157948</v>
      </c>
      <c r="BS28" s="174">
        <f>IFERROR(VLOOKUP($B28,RD[#All],BS$2,0)/BS$1,"")</f>
        <v>1.7616635240842971</v>
      </c>
      <c r="BT28" s="174">
        <f>IFERROR(VLOOKUP($B28,RD[#All],BT$2,0)/BT$1,"")</f>
        <v>1.8624182316944504</v>
      </c>
      <c r="BU28" s="174">
        <f>IFERROR(VLOOKUP($B28,RD[#All],BU$2,0)/BU$1,"")</f>
        <v>1.778683036096812</v>
      </c>
      <c r="BV28" s="174">
        <f>IFERROR(VLOOKUP($B28,RD[#All],BV$2,0)/BV$1,"")</f>
        <v>1.6354166666666667</v>
      </c>
      <c r="BW28" s="174">
        <f>IFERROR(VLOOKUP($B28,RD[#All],BW$2,0)/BW$1,"")</f>
        <v>1.8281987532879327</v>
      </c>
      <c r="BX28" s="174">
        <f>IFERROR(VLOOKUP($B28,RD[#All],BX$2,0)/BX$1,"")</f>
        <v>1.8277511961722488</v>
      </c>
      <c r="BY28" s="174">
        <f>AVERAGEIF(Inv_SY_B[[#This Row],[IS1Inv1M1]:[IS14Inv2M4]],"&gt;="&amp;0.1,Inv_SY_B[[#This Row],[IS1Inv1M1]:[IS14Inv2M4]])</f>
        <v>1.7591214050029029</v>
      </c>
    </row>
    <row r="29" spans="2:77">
      <c r="B29" s="179">
        <f t="shared" si="30"/>
        <v>45847</v>
      </c>
      <c r="C29" s="174">
        <f>IFERROR(VLOOKUP($B29,RD[#All],C$2,0)/C$1,"")</f>
        <v>1.909472187332621</v>
      </c>
      <c r="D29" s="174">
        <f>IFERROR(VLOOKUP($B29,RD[#All],D$2,0)/D$1,"")</f>
        <v>1.9048991264200763</v>
      </c>
      <c r="E29" s="174">
        <f>IFERROR(VLOOKUP($B29,RD[#All],E$2,0)/E$1,"")</f>
        <v>1.8800845834928988</v>
      </c>
      <c r="F29" s="174">
        <f>IFERROR(VLOOKUP($B29,RD[#All],F$2,0)/F$1,"")</f>
        <v>1.8594951328163669</v>
      </c>
      <c r="G29" s="174">
        <f>IFERROR(VLOOKUP($B29,RD[#All],G$2,0)/G$1,"")</f>
        <v>1.8799864145236431</v>
      </c>
      <c r="H29" s="174">
        <f>IFERROR(VLOOKUP($B29,RD[#All],H$2,0)/H$1,"")</f>
        <v>1.8811255529260162</v>
      </c>
      <c r="I29" s="174">
        <f>IFERROR(VLOOKUP($B29,RD[#All],I$2,0)/I$1,"")</f>
        <v>1.8913073219672045</v>
      </c>
      <c r="J29" s="174">
        <f>IFERROR(VLOOKUP($B29,RD[#All],J$2,0)/J$1,"")</f>
        <v>1.9161774871993158</v>
      </c>
      <c r="K29" s="174">
        <f>IFERROR(VLOOKUP($B29,RD[#All],K$2,0)/K$1,"")</f>
        <v>1.892853762423095</v>
      </c>
      <c r="L29" s="174">
        <f>IFERROR(VLOOKUP($B29,RD[#All],L$2,0)/L$1,"")</f>
        <v>1.9262252003678884</v>
      </c>
      <c r="M29" s="174">
        <f>IFERROR(VLOOKUP($B29,RD[#All],M$2,0)/M$1,"")</f>
        <v>1.9542797083360706</v>
      </c>
      <c r="N29" s="174">
        <f>IFERROR(VLOOKUP($B29,RD[#All],N$2,0)/N$1,"")</f>
        <v>1.9045373374581858</v>
      </c>
      <c r="O29" s="174">
        <f>IFERROR(VLOOKUP($B29,RD[#All],O$2,0)/O$1,"")</f>
        <v>1.9858644506382239</v>
      </c>
      <c r="P29" s="174">
        <f>IFERROR(VLOOKUP($B29,RD[#All],P$2,0)/P$1,"")</f>
        <v>1.8447822892931405</v>
      </c>
      <c r="Q29" s="174">
        <f>IFERROR(VLOOKUP($B29,RD[#All],Q$2,0)/Q$1,"")</f>
        <v>1.9015962371764008</v>
      </c>
      <c r="R29" s="174">
        <f>IFERROR(VLOOKUP($B29,RD[#All],R$2,0)/R$1,"")</f>
        <v>1.9070117731875147</v>
      </c>
      <c r="S29" s="174">
        <f>IFERROR(VLOOKUP($B29,RD[#All],S$2,0)/S$1,"")</f>
        <v>1.9158443069678226</v>
      </c>
      <c r="T29" s="174">
        <f>IFERROR(VLOOKUP($B29,RD[#All],T$2,0)/T$1,"")</f>
        <v>1.9440631920742695</v>
      </c>
      <c r="U29" s="174">
        <f>IFERROR(VLOOKUP($B29,RD[#All],U$2,0)/U$1,"")</f>
        <v>1.9379742907384594</v>
      </c>
      <c r="V29" s="174">
        <f>IFERROR(VLOOKUP($B29,RD[#All],V$2,0)/V$1,"")</f>
        <v>1.9493296147371937</v>
      </c>
      <c r="W29" s="174">
        <f>IFERROR(VLOOKUP($B29,RD[#All],W$2,0)/W$1,"")</f>
        <v>1.8866523675961062</v>
      </c>
      <c r="X29" s="174">
        <f>IFERROR(VLOOKUP($B29,RD[#All],X$2,0)/X$1,"")</f>
        <v>1.8705260409425535</v>
      </c>
      <c r="Y29" s="174">
        <f>IFERROR(VLOOKUP($B29,RD[#All],Y$2,0)/Y$1,"")</f>
        <v>1.9463662664080801</v>
      </c>
      <c r="Z29" s="174">
        <f>IFERROR(VLOOKUP($B29,RD[#All],Z$2,0)/Z$1,"")</f>
        <v>1.9514264169913282</v>
      </c>
      <c r="AA29" s="174">
        <f>IFERROR(VLOOKUP($B29,RD[#All],AA$2,0)/AA$1,"")</f>
        <v>1.923432917888563</v>
      </c>
      <c r="AB29" s="174">
        <f>IFERROR(VLOOKUP($B29,RD[#All],AB$2,0)/AB$1,"")</f>
        <v>1.9208577529417106</v>
      </c>
      <c r="AC29" s="174">
        <f>IFERROR(VLOOKUP($B29,RD[#All],AC$2,0)/AC$1,"")</f>
        <v>1.9356376857442839</v>
      </c>
      <c r="AD29" s="174">
        <f>IFERROR(VLOOKUP($B29,RD[#All],AD$2,0)/AD$1,"")</f>
        <v>1.9175667736249828</v>
      </c>
      <c r="AE29" s="174">
        <f>IFERROR(VLOOKUP($B29,RD[#All],AE$2,0)/AE$1,"")</f>
        <v>1.9390729219214171</v>
      </c>
      <c r="AF29" s="174">
        <f>IFERROR(VLOOKUP($B29,RD[#All],AF$2,0)/AF$1,"")</f>
        <v>1.9234252337700612</v>
      </c>
      <c r="AG29" s="174">
        <f>IFERROR(VLOOKUP($B29,RD[#All],AG$2,0)/AG$1,"")</f>
        <v>1.9345781654627232</v>
      </c>
      <c r="AH29" s="174">
        <f>IFERROR(VLOOKUP($B29,RD[#All],AH$2,0)/AH$1,"")</f>
        <v>1.9214404372756015</v>
      </c>
      <c r="AI29" s="174">
        <f>IFERROR(VLOOKUP($B29,RD[#All],AI$2,0)/AI$1,"")</f>
        <v>1.9349597928308573</v>
      </c>
      <c r="AJ29" s="174">
        <f>IFERROR(VLOOKUP($B29,RD[#All],AJ$2,0)/AJ$1,"")</f>
        <v>1.9434682964094729</v>
      </c>
      <c r="AK29" s="174">
        <f>IFERROR(VLOOKUP($B29,RD[#All],AK$2,0)/AK$1,"")</f>
        <v>1.9207268476701558</v>
      </c>
      <c r="AL29" s="174">
        <f>IFERROR(VLOOKUP($B29,RD[#All],AL$2,0)/AL$1,"")</f>
        <v>1.8772024645984215</v>
      </c>
      <c r="AM29" s="174">
        <f>IFERROR(VLOOKUP($B29,RD[#All],AM$2,0)/AM$1,"")</f>
        <v>1.9041240652365599</v>
      </c>
      <c r="AN29" s="174">
        <f>IFERROR(VLOOKUP($B29,RD[#All],AN$2,0)/AN$1,"")</f>
        <v>1.9187975795432362</v>
      </c>
      <c r="AO29" s="174">
        <f>IFERROR(VLOOKUP($B29,RD[#All],AO$2,0)/AO$1,"")</f>
        <v>1.9276151500669731</v>
      </c>
      <c r="AP29" s="174">
        <f>IFERROR(VLOOKUP($B29,RD[#All],AP$2,0)/AP$1,"")</f>
        <v>1.9119319902804794</v>
      </c>
      <c r="AQ29" s="174">
        <f>IFERROR(VLOOKUP($B29,RD[#All],AQ$2,0)/AQ$1,"")</f>
        <v>1.9112266385891024</v>
      </c>
      <c r="AR29" s="174">
        <f>IFERROR(VLOOKUP($B29,RD[#All],AR$2,0)/AR$1,"")</f>
        <v>1.9077240713298591</v>
      </c>
      <c r="AS29" s="174">
        <f>IFERROR(VLOOKUP($B29,RD[#All],AS$2,0)/AS$1,"")</f>
        <v>1.9148183298768555</v>
      </c>
      <c r="AT29" s="174">
        <f>IFERROR(VLOOKUP($B29,RD[#All],AT$2,0)/AT$1,"")</f>
        <v>1.9482097588569272</v>
      </c>
      <c r="AU29" s="174">
        <f>IFERROR(VLOOKUP($B29,RD[#All],AU$2,0)/AU$1,"")</f>
        <v>1.954845319533651</v>
      </c>
      <c r="AV29" s="174">
        <f>IFERROR(VLOOKUP($B29,RD[#All],AV$2,0)/AV$1,"")</f>
        <v>1.9551719416205902</v>
      </c>
      <c r="AW29" s="174">
        <f>IFERROR(VLOOKUP($B29,RD[#All],AW$2,0)/AW$1,"")</f>
        <v>1.9704038355153974</v>
      </c>
      <c r="AX29" s="174">
        <f>IFERROR(VLOOKUP($B29,RD[#All],AX$2,0)/AX$1,"")</f>
        <v>1.8894004702194358</v>
      </c>
      <c r="AY29" s="174">
        <f>IFERROR(VLOOKUP($B29,RD[#All],AY$2,0)/AY$1,"")</f>
        <v>1.8796851866282243</v>
      </c>
      <c r="AZ29" s="174">
        <f>IFERROR(VLOOKUP($B29,RD[#All],AZ$2,0)/AZ$1,"")</f>
        <v>2.0237637779350792</v>
      </c>
      <c r="BA29" s="174">
        <f>IFERROR(VLOOKUP($B29,RD[#All],BA$2,0)/BA$1,"")</f>
        <v>1.8966696480244118</v>
      </c>
      <c r="BB29" s="174">
        <f>IFERROR(VLOOKUP($B29,RD[#All],BB$2,0)/BB$1,"")</f>
        <v>1.9679850596945241</v>
      </c>
      <c r="BC29" s="174">
        <f>IFERROR(VLOOKUP($B29,RD[#All],BC$2,0)/BC$1,"")</f>
        <v>1.9508284818629646</v>
      </c>
      <c r="BD29" s="174">
        <f>IFERROR(VLOOKUP($B29,RD[#All],BD$2,0)/BD$1,"")</f>
        <v>1.9832431624728892</v>
      </c>
      <c r="BE29" s="174">
        <f>IFERROR(VLOOKUP($B29,RD[#All],BE$2,0)/BE$1,"")</f>
        <v>1.9321679224388026</v>
      </c>
      <c r="BF29" s="174">
        <f>IFERROR(VLOOKUP($B29,RD[#All],BF$2,0)/BF$1,"")</f>
        <v>1.8719092891989542</v>
      </c>
      <c r="BG29" s="174">
        <f>IFERROR(VLOOKUP($B29,RD[#All],BG$2,0)/BG$1,"")</f>
        <v>1.9712547812832533</v>
      </c>
      <c r="BH29" s="174">
        <f>IFERROR(VLOOKUP($B29,RD[#All],BH$2,0)/BH$1,"")</f>
        <v>1.9491817894222199</v>
      </c>
      <c r="BI29" s="174">
        <f>IFERROR(VLOOKUP($B29,RD[#All],BI$2,0)/BI$1,"")</f>
        <v>1.9583235593087809</v>
      </c>
      <c r="BJ29" s="174">
        <f>IFERROR(VLOOKUP($B29,RD[#All],BJ$2,0)/BJ$1,"")</f>
        <v>1.9716694818659963</v>
      </c>
      <c r="BK29" s="174">
        <f>IFERROR(VLOOKUP($B29,RD[#All],BK$2,0)/BK$1,"")</f>
        <v>1.9829464352790926</v>
      </c>
      <c r="BL29" s="174">
        <f>IFERROR(VLOOKUP($B29,RD[#All],BL$2,0)/BL$1,"")</f>
        <v>1.9623890172899381</v>
      </c>
      <c r="BM29" s="174">
        <f>IFERROR(VLOOKUP($B29,RD[#All],BM$2,0)/BM$1,"")</f>
        <v>1.9833844095498965</v>
      </c>
      <c r="BN29" s="174">
        <f>IFERROR(VLOOKUP($B29,RD[#All],BN$2,0)/BN$1,"")</f>
        <v>1.9655297386542101</v>
      </c>
      <c r="BO29" s="174">
        <f>IFERROR(VLOOKUP($B29,RD[#All],BO$2,0)/BO$1,"")</f>
        <v>1.7578366779912795</v>
      </c>
      <c r="BP29" s="174">
        <f>IFERROR(VLOOKUP($B29,RD[#All],BP$2,0)/BP$1,"")</f>
        <v>1.9680002930355767</v>
      </c>
      <c r="BQ29" s="174">
        <f>IFERROR(VLOOKUP($B29,RD[#All],BQ$2,0)/BQ$1,"")</f>
        <v>1.8896151537384112</v>
      </c>
      <c r="BR29" s="174">
        <f>IFERROR(VLOOKUP($B29,RD[#All],BR$2,0)/BR$1,"")</f>
        <v>1.9346748538876968</v>
      </c>
      <c r="BS29" s="174">
        <f>IFERROR(VLOOKUP($B29,RD[#All],BS$2,0)/BS$1,"")</f>
        <v>1.8339807810263751</v>
      </c>
      <c r="BT29" s="174">
        <f>IFERROR(VLOOKUP($B29,RD[#All],BT$2,0)/BT$1,"")</f>
        <v>1.9536470422733347</v>
      </c>
      <c r="BU29" s="174">
        <f>IFERROR(VLOOKUP($B29,RD[#All],BU$2,0)/BU$1,"")</f>
        <v>1.8629667816103772</v>
      </c>
      <c r="BV29" s="174">
        <f>IFERROR(VLOOKUP($B29,RD[#All],BV$2,0)/BV$1,"")</f>
        <v>1.7488425925925923</v>
      </c>
      <c r="BW29" s="174">
        <f>IFERROR(VLOOKUP($B29,RD[#All],BW$2,0)/BW$1,"")</f>
        <v>1.925341404532843</v>
      </c>
      <c r="BX29" s="174">
        <f>IFERROR(VLOOKUP($B29,RD[#All],BX$2,0)/BX$1,"")</f>
        <v>1.9260188087774295</v>
      </c>
      <c r="BY29" s="174">
        <f>AVERAGEIF(Inv_SY_B[[#This Row],[IS1Inv1M1]:[IS14Inv2M4]],"&gt;="&amp;0.1,Inv_SY_B[[#This Row],[IS1Inv1M1]:[IS14Inv2M4]])</f>
        <v>1.9202753463945528</v>
      </c>
    </row>
    <row r="30" spans="2:77">
      <c r="B30" s="179">
        <f t="shared" si="30"/>
        <v>45848</v>
      </c>
      <c r="C30" s="174">
        <f>IFERROR(VLOOKUP($B30,RD[#All],C$2,0)/C$1,"")</f>
        <v>2.1943801466511723</v>
      </c>
      <c r="D30" s="174">
        <f>IFERROR(VLOOKUP($B30,RD[#All],D$2,0)/D$1,"")</f>
        <v>2.1884915476678954</v>
      </c>
      <c r="E30" s="174">
        <f>IFERROR(VLOOKUP($B30,RD[#All],E$2,0)/E$1,"")</f>
        <v>2.1664030370136036</v>
      </c>
      <c r="F30" s="174">
        <f>IFERROR(VLOOKUP($B30,RD[#All],F$2,0)/F$1,"")</f>
        <v>2.1359511631743935</v>
      </c>
      <c r="G30" s="174">
        <f>IFERROR(VLOOKUP($B30,RD[#All],G$2,0)/G$1,"")</f>
        <v>2.1636152746893607</v>
      </c>
      <c r="H30" s="174">
        <f>IFERROR(VLOOKUP($B30,RD[#All],H$2,0)/H$1,"")</f>
        <v>2.1677797464903912</v>
      </c>
      <c r="I30" s="174">
        <f>IFERROR(VLOOKUP($B30,RD[#All],I$2,0)/I$1,"")</f>
        <v>2.2025837638520622</v>
      </c>
      <c r="J30" s="174">
        <f>IFERROR(VLOOKUP($B30,RD[#All],J$2,0)/J$1,"")</f>
        <v>2.2095094145078327</v>
      </c>
      <c r="K30" s="174">
        <f>IFERROR(VLOOKUP($B30,RD[#All],K$2,0)/K$1,"")</f>
        <v>2.123426407950781</v>
      </c>
      <c r="L30" s="174">
        <f>IFERROR(VLOOKUP($B30,RD[#All],L$2,0)/L$1,"")</f>
        <v>2.2093680199710946</v>
      </c>
      <c r="M30" s="174">
        <f>IFERROR(VLOOKUP($B30,RD[#All],M$2,0)/M$1,"")</f>
        <v>2.236812717598371</v>
      </c>
      <c r="N30" s="174">
        <f>IFERROR(VLOOKUP($B30,RD[#All],N$2,0)/N$1,"")</f>
        <v>2.1829648633013909</v>
      </c>
      <c r="O30" s="174">
        <f>IFERROR(VLOOKUP($B30,RD[#All],O$2,0)/O$1,"")</f>
        <v>2.2752698692654794</v>
      </c>
      <c r="P30" s="174">
        <f>IFERROR(VLOOKUP($B30,RD[#All],P$2,0)/P$1,"")</f>
        <v>2.1132319798787247</v>
      </c>
      <c r="Q30" s="174">
        <f>IFERROR(VLOOKUP($B30,RD[#All],Q$2,0)/Q$1,"")</f>
        <v>2.1781909312000791</v>
      </c>
      <c r="R30" s="174">
        <f>IFERROR(VLOOKUP($B30,RD[#All],R$2,0)/R$1,"")</f>
        <v>2.1835432852922052</v>
      </c>
      <c r="S30" s="174">
        <f>IFERROR(VLOOKUP($B30,RD[#All],S$2,0)/S$1,"")</f>
        <v>2.1841206925548988</v>
      </c>
      <c r="T30" s="174">
        <f>IFERROR(VLOOKUP($B30,RD[#All],T$2,0)/T$1,"")</f>
        <v>2.2141113310903551</v>
      </c>
      <c r="U30" s="174">
        <f>IFERROR(VLOOKUP($B30,RD[#All],U$2,0)/U$1,"")</f>
        <v>2.2051757050299501</v>
      </c>
      <c r="V30" s="174">
        <f>IFERROR(VLOOKUP($B30,RD[#All],V$2,0)/V$1,"")</f>
        <v>2.2192437350229484</v>
      </c>
      <c r="W30" s="174">
        <f>IFERROR(VLOOKUP($B30,RD[#All],W$2,0)/W$1,"")</f>
        <v>2.1191635043722155</v>
      </c>
      <c r="X30" s="174">
        <f>IFERROR(VLOOKUP($B30,RD[#All],X$2,0)/X$1,"")</f>
        <v>2.1194231284397134</v>
      </c>
      <c r="Y30" s="174">
        <f>IFERROR(VLOOKUP($B30,RD[#All],Y$2,0)/Y$1,"")</f>
        <v>2.2079785795175808</v>
      </c>
      <c r="Z30" s="174">
        <f>IFERROR(VLOOKUP($B30,RD[#All],Z$2,0)/Z$1,"")</f>
        <v>2.2132803102389631</v>
      </c>
      <c r="AA30" s="174">
        <f>IFERROR(VLOOKUP($B30,RD[#All],AA$2,0)/AA$1,"")</f>
        <v>2.2024376832844577</v>
      </c>
      <c r="AB30" s="174">
        <f>IFERROR(VLOOKUP($B30,RD[#All],AB$2,0)/AB$1,"")</f>
        <v>2.1825450910908177</v>
      </c>
      <c r="AC30" s="174">
        <f>IFERROR(VLOOKUP($B30,RD[#All],AC$2,0)/AC$1,"")</f>
        <v>2.196516420688738</v>
      </c>
      <c r="AD30" s="174">
        <f>IFERROR(VLOOKUP($B30,RD[#All],AD$2,0)/AD$1,"")</f>
        <v>2.1761648664527495</v>
      </c>
      <c r="AE30" s="174">
        <f>IFERROR(VLOOKUP($B30,RD[#All],AE$2,0)/AE$1,"")</f>
        <v>2.1618182837284907</v>
      </c>
      <c r="AF30" s="174">
        <f>IFERROR(VLOOKUP($B30,RD[#All],AF$2,0)/AF$1,"")</f>
        <v>2.1507381507381504</v>
      </c>
      <c r="AG30" s="174">
        <f>IFERROR(VLOOKUP($B30,RD[#All],AG$2,0)/AG$1,"")</f>
        <v>2.1684067057380401</v>
      </c>
      <c r="AH30" s="174">
        <f>IFERROR(VLOOKUP($B30,RD[#All],AH$2,0)/AH$1,"")</f>
        <v>2.1532608113177214</v>
      </c>
      <c r="AI30" s="174">
        <f>IFERROR(VLOOKUP($B30,RD[#All],AI$2,0)/AI$1,"")</f>
        <v>2.1637726591249828</v>
      </c>
      <c r="AJ30" s="174">
        <f>IFERROR(VLOOKUP($B30,RD[#All],AJ$2,0)/AJ$1,"")</f>
        <v>2.1750744184821262</v>
      </c>
      <c r="AK30" s="174">
        <f>IFERROR(VLOOKUP($B30,RD[#All],AK$2,0)/AK$1,"")</f>
        <v>2.1456883268689233</v>
      </c>
      <c r="AL30" s="174">
        <f>IFERROR(VLOOKUP($B30,RD[#All],AL$2,0)/AL$1,"")</f>
        <v>1.9965949627067343</v>
      </c>
      <c r="AM30" s="174">
        <f>IFERROR(VLOOKUP($B30,RD[#All],AM$2,0)/AM$1,"")</f>
        <v>2.1446889282276684</v>
      </c>
      <c r="AN30" s="174">
        <f>IFERROR(VLOOKUP($B30,RD[#All],AN$2,0)/AN$1,"")</f>
        <v>2.1627279274670688</v>
      </c>
      <c r="AO30" s="174">
        <f>IFERROR(VLOOKUP($B30,RD[#All],AO$2,0)/AO$1,"")</f>
        <v>2.1702666137163704</v>
      </c>
      <c r="AP30" s="174">
        <f>IFERROR(VLOOKUP($B30,RD[#All],AP$2,0)/AP$1,"")</f>
        <v>2.1513525883944618</v>
      </c>
      <c r="AQ30" s="174">
        <f>IFERROR(VLOOKUP($B30,RD[#All],AQ$2,0)/AQ$1,"")</f>
        <v>2.152145301395104</v>
      </c>
      <c r="AR30" s="174">
        <f>IFERROR(VLOOKUP($B30,RD[#All],AR$2,0)/AR$1,"")</f>
        <v>2.1486871243277443</v>
      </c>
      <c r="AS30" s="174">
        <f>IFERROR(VLOOKUP($B30,RD[#All],AS$2,0)/AS$1,"")</f>
        <v>2.141047722825641</v>
      </c>
      <c r="AT30" s="174">
        <f>IFERROR(VLOOKUP($B30,RD[#All],AT$2,0)/AT$1,"")</f>
        <v>2.1730950535291527</v>
      </c>
      <c r="AU30" s="174">
        <f>IFERROR(VLOOKUP($B30,RD[#All],AU$2,0)/AU$1,"")</f>
        <v>2.1763522750029747</v>
      </c>
      <c r="AV30" s="174">
        <f>IFERROR(VLOOKUP($B30,RD[#All],AV$2,0)/AV$1,"")</f>
        <v>2.1836090033854769</v>
      </c>
      <c r="AW30" s="174">
        <f>IFERROR(VLOOKUP($B30,RD[#All],AW$2,0)/AW$1,"")</f>
        <v>2.3008482389821134</v>
      </c>
      <c r="AX30" s="174">
        <f>IFERROR(VLOOKUP($B30,RD[#All],AX$2,0)/AX$1,"")</f>
        <v>2.3259208463949848</v>
      </c>
      <c r="AY30" s="174">
        <f>IFERROR(VLOOKUP($B30,RD[#All],AY$2,0)/AY$1,"")</f>
        <v>2.2120574560378192</v>
      </c>
      <c r="AZ30" s="174">
        <f>IFERROR(VLOOKUP($B30,RD[#All],AZ$2,0)/AZ$1,"")</f>
        <v>2.3679846293861866</v>
      </c>
      <c r="BA30" s="174">
        <f>IFERROR(VLOOKUP($B30,RD[#All],BA$2,0)/BA$1,"")</f>
        <v>2.226197365882745</v>
      </c>
      <c r="BB30" s="174">
        <f>IFERROR(VLOOKUP($B30,RD[#All],BB$2,0)/BB$1,"")</f>
        <v>2.3135240890193205</v>
      </c>
      <c r="BC30" s="174">
        <f>IFERROR(VLOOKUP($B30,RD[#All],BC$2,0)/BC$1,"")</f>
        <v>2.2879086430810567</v>
      </c>
      <c r="BD30" s="174">
        <f>IFERROR(VLOOKUP($B30,RD[#All],BD$2,0)/BD$1,"")</f>
        <v>2.293278255280057</v>
      </c>
      <c r="BE30" s="174">
        <f>IFERROR(VLOOKUP($B30,RD[#All],BE$2,0)/BE$1,"")</f>
        <v>2.2756765203448674</v>
      </c>
      <c r="BF30" s="174">
        <f>IFERROR(VLOOKUP($B30,RD[#All],BF$2,0)/BF$1,"")</f>
        <v>2.2197339283038344</v>
      </c>
      <c r="BG30" s="174">
        <f>IFERROR(VLOOKUP($B30,RD[#All],BG$2,0)/BG$1,"")</f>
        <v>2.3226251761525409</v>
      </c>
      <c r="BH30" s="174">
        <f>IFERROR(VLOOKUP($B30,RD[#All],BH$2,0)/BH$1,"")</f>
        <v>2.2576284835063705</v>
      </c>
      <c r="BI30" s="174">
        <f>IFERROR(VLOOKUP($B30,RD[#All],BI$2,0)/BI$1,"")</f>
        <v>2.3309093752443504</v>
      </c>
      <c r="BJ30" s="174">
        <f>IFERROR(VLOOKUP($B30,RD[#All],BJ$2,0)/BJ$1,"")</f>
        <v>2.3489061920652574</v>
      </c>
      <c r="BK30" s="174">
        <f>IFERROR(VLOOKUP($B30,RD[#All],BK$2,0)/BK$1,"")</f>
        <v>2.3572609120276464</v>
      </c>
      <c r="BL30" s="174">
        <f>IFERROR(VLOOKUP($B30,RD[#All],BL$2,0)/BL$1,"")</f>
        <v>2.3271321941423864</v>
      </c>
      <c r="BM30" s="174">
        <f>IFERROR(VLOOKUP($B30,RD[#All],BM$2,0)/BM$1,"")</f>
        <v>2.3425752658524606</v>
      </c>
      <c r="BN30" s="174">
        <f>IFERROR(VLOOKUP($B30,RD[#All],BN$2,0)/BN$1,"")</f>
        <v>2.3154673217090163</v>
      </c>
      <c r="BO30" s="174">
        <f>IFERROR(VLOOKUP($B30,RD[#All],BO$2,0)/BO$1,"")</f>
        <v>2.1116047480846731</v>
      </c>
      <c r="BP30" s="174">
        <f>IFERROR(VLOOKUP($B30,RD[#All],BP$2,0)/BP$1,"")</f>
        <v>2.329299839218927</v>
      </c>
      <c r="BQ30" s="174">
        <f>IFERROR(VLOOKUP($B30,RD[#All],BQ$2,0)/BQ$1,"")</f>
        <v>2.2500500233442273</v>
      </c>
      <c r="BR30" s="174">
        <f>IFERROR(VLOOKUP($B30,RD[#All],BR$2,0)/BR$1,"")</f>
        <v>2.3031737811644595</v>
      </c>
      <c r="BS30" s="174">
        <f>IFERROR(VLOOKUP($B30,RD[#All],BS$2,0)/BS$1,"")</f>
        <v>2.2048812255313992</v>
      </c>
      <c r="BT30" s="174">
        <f>IFERROR(VLOOKUP($B30,RD[#All],BT$2,0)/BT$1,"")</f>
        <v>2.3332629950059784</v>
      </c>
      <c r="BU30" s="174">
        <f>IFERROR(VLOOKUP($B30,RD[#All],BU$2,0)/BU$1,"")</f>
        <v>2.2678715035877457</v>
      </c>
      <c r="BV30" s="174">
        <f>IFERROR(VLOOKUP($B30,RD[#All],BV$2,0)/BV$1,"")</f>
        <v>2.261574074074074</v>
      </c>
      <c r="BW30" s="174">
        <f>IFERROR(VLOOKUP($B30,RD[#All],BW$2,0)/BW$1,"")</f>
        <v>2.2955356177710518</v>
      </c>
      <c r="BX30" s="174">
        <f>IFERROR(VLOOKUP($B30,RD[#All],BX$2,0)/BX$1,"")</f>
        <v>2.2932189407688504</v>
      </c>
      <c r="BY30" s="174">
        <f>AVERAGEIF(Inv_SY_B[[#This Row],[IS1Inv1M1]:[IS14Inv2M4]],"&gt;="&amp;0.1,Inv_SY_B[[#This Row],[IS1Inv1M1]:[IS14Inv2M4]])</f>
        <v>2.2157718610166137</v>
      </c>
    </row>
    <row r="31" spans="2:77">
      <c r="B31" s="179">
        <f t="shared" si="30"/>
        <v>45849</v>
      </c>
      <c r="C31" s="174">
        <f>IFERROR(VLOOKUP($B31,RD[#All],C$2,0)/C$1,"")</f>
        <v>4.9266900748917024</v>
      </c>
      <c r="D31" s="174">
        <f>IFERROR(VLOOKUP($B31,RD[#All],D$2,0)/D$1,"")</f>
        <v>4.8842169886080669</v>
      </c>
      <c r="E31" s="174">
        <f>IFERROR(VLOOKUP($B31,RD[#All],E$2,0)/E$1,"")</f>
        <v>4.9315506418688297</v>
      </c>
      <c r="F31" s="174">
        <f>IFERROR(VLOOKUP($B31,RD[#All],F$2,0)/F$1,"")</f>
        <v>4.8826266292690974</v>
      </c>
      <c r="G31" s="174">
        <f>IFERROR(VLOOKUP($B31,RD[#All],G$2,0)/G$1,"")</f>
        <v>4.6962172138238625</v>
      </c>
      <c r="H31" s="174">
        <f>IFERROR(VLOOKUP($B31,RD[#All],H$2,0)/H$1,"")</f>
        <v>4.6627306181619934</v>
      </c>
      <c r="I31" s="174">
        <f>IFERROR(VLOOKUP($B31,RD[#All],I$2,0)/I$1,"")</f>
        <v>4.8706489377642557</v>
      </c>
      <c r="J31" s="174">
        <f>IFERROR(VLOOKUP($B31,RD[#All],J$2,0)/J$1,"")</f>
        <v>4.6885655031811311</v>
      </c>
      <c r="K31" s="174">
        <f>IFERROR(VLOOKUP($B31,RD[#All],K$2,0)/K$1,"")</f>
        <v>4.8814639533049373</v>
      </c>
      <c r="L31" s="174">
        <f>IFERROR(VLOOKUP($B31,RD[#All],L$2,0)/L$1,"")</f>
        <v>4.9849559847589013</v>
      </c>
      <c r="M31" s="174">
        <f>IFERROR(VLOOKUP($B31,RD[#All],M$2,0)/M$1,"")</f>
        <v>5.057413124876831</v>
      </c>
      <c r="N31" s="174">
        <f>IFERROR(VLOOKUP($B31,RD[#All],N$2,0)/N$1,"")</f>
        <v>4.9320279685102744</v>
      </c>
      <c r="O31" s="174">
        <f>IFERROR(VLOOKUP($B31,RD[#All],O$2,0)/O$1,"")</f>
        <v>5.2016375609096697</v>
      </c>
      <c r="P31" s="174">
        <f>IFERROR(VLOOKUP($B31,RD[#All],P$2,0)/P$1,"")</f>
        <v>4.8140400682330382</v>
      </c>
      <c r="Q31" s="174">
        <f>IFERROR(VLOOKUP($B31,RD[#All],Q$2,0)/Q$1,"")</f>
        <v>4.9430885275853989</v>
      </c>
      <c r="R31" s="174">
        <f>IFERROR(VLOOKUP($B31,RD[#All],R$2,0)/R$1,"")</f>
        <v>5.0097519841908422</v>
      </c>
      <c r="S31" s="174">
        <f>IFERROR(VLOOKUP($B31,RD[#All],S$2,0)/S$1,"")</f>
        <v>4.9260217184779798</v>
      </c>
      <c r="T31" s="174">
        <f>IFERROR(VLOOKUP($B31,RD[#All],T$2,0)/T$1,"")</f>
        <v>4.7646694440733137</v>
      </c>
      <c r="U31" s="174">
        <f>IFERROR(VLOOKUP($B31,RD[#All],U$2,0)/U$1,"")</f>
        <v>4.9625739352848797</v>
      </c>
      <c r="V31" s="174">
        <f>IFERROR(VLOOKUP($B31,RD[#All],V$2,0)/V$1,"")</f>
        <v>4.9316978730893686</v>
      </c>
      <c r="W31" s="174">
        <f>IFERROR(VLOOKUP($B31,RD[#All],W$2,0)/W$1,"")</f>
        <v>4.6903976241544294</v>
      </c>
      <c r="X31" s="174">
        <f>IFERROR(VLOOKUP($B31,RD[#All],X$2,0)/X$1,"")</f>
        <v>4.7877084174010935</v>
      </c>
      <c r="Y31" s="174">
        <f>IFERROR(VLOOKUP($B31,RD[#All],Y$2,0)/Y$1,"")</f>
        <v>4.8587632789110025</v>
      </c>
      <c r="Z31" s="174">
        <f>IFERROR(VLOOKUP($B31,RD[#All],Z$2,0)/Z$1,"")</f>
        <v>4.8547550225318234</v>
      </c>
      <c r="AA31" s="174">
        <f>IFERROR(VLOOKUP($B31,RD[#All],AA$2,0)/AA$1,"")</f>
        <v>4.9060667155425222</v>
      </c>
      <c r="AB31" s="174">
        <f>IFERROR(VLOOKUP($B31,RD[#All],AB$2,0)/AB$1,"")</f>
        <v>4.8861932670028612</v>
      </c>
      <c r="AC31" s="174">
        <f>IFERROR(VLOOKUP($B31,RD[#All],AC$2,0)/AC$1,"")</f>
        <v>4.8495018545772988</v>
      </c>
      <c r="AD31" s="174">
        <f>IFERROR(VLOOKUP($B31,RD[#All],AD$2,0)/AD$1,"")</f>
        <v>4.7943688706105654</v>
      </c>
      <c r="AE31" s="174">
        <f>IFERROR(VLOOKUP($B31,RD[#All],AE$2,0)/AE$1,"")</f>
        <v>4.9539263494198753</v>
      </c>
      <c r="AF31" s="174">
        <f>IFERROR(VLOOKUP($B31,RD[#All],AF$2,0)/AF$1,"")</f>
        <v>4.8786003268761888</v>
      </c>
      <c r="AG31" s="174">
        <f>IFERROR(VLOOKUP($B31,RD[#All],AG$2,0)/AG$1,"")</f>
        <v>4.9240834128390354</v>
      </c>
      <c r="AH31" s="174">
        <f>IFERROR(VLOOKUP($B31,RD[#All],AH$2,0)/AH$1,"")</f>
        <v>4.8589035957344198</v>
      </c>
      <c r="AI31" s="174">
        <f>IFERROR(VLOOKUP($B31,RD[#All],AI$2,0)/AI$1,"")</f>
        <v>4.9552133024396898</v>
      </c>
      <c r="AJ31" s="174">
        <f>IFERROR(VLOOKUP($B31,RD[#All],AJ$2,0)/AJ$1,"")</f>
        <v>4.963146387081478</v>
      </c>
      <c r="AK31" s="174">
        <f>IFERROR(VLOOKUP($B31,RD[#All],AK$2,0)/AK$1,"")</f>
        <v>4.8687636151107805</v>
      </c>
      <c r="AL31" s="174">
        <f>IFERROR(VLOOKUP($B31,RD[#All],AL$2,0)/AL$1,"")</f>
        <v>4.7785644795157278</v>
      </c>
      <c r="AM31" s="174">
        <f>IFERROR(VLOOKUP($B31,RD[#All],AM$2,0)/AM$1,"")</f>
        <v>4.9356182732369902</v>
      </c>
      <c r="AN31" s="174">
        <f>IFERROR(VLOOKUP($B31,RD[#All],AN$2,0)/AN$1,"")</f>
        <v>4.9529841754898465</v>
      </c>
      <c r="AO31" s="174">
        <f>IFERROR(VLOOKUP($B31,RD[#All],AO$2,0)/AO$1,"")</f>
        <v>4.9849562823507236</v>
      </c>
      <c r="AP31" s="174">
        <f>IFERROR(VLOOKUP($B31,RD[#All],AP$2,0)/AP$1,"")</f>
        <v>4.7581225978851291</v>
      </c>
      <c r="AQ31" s="174">
        <f>IFERROR(VLOOKUP($B31,RD[#All],AQ$2,0)/AQ$1,"")</f>
        <v>4.9107001842590154</v>
      </c>
      <c r="AR31" s="174">
        <f>IFERROR(VLOOKUP($B31,RD[#All],AR$2,0)/AR$1,"")</f>
        <v>4.906175593999234</v>
      </c>
      <c r="AS31" s="174">
        <f>IFERROR(VLOOKUP($B31,RD[#All],AS$2,0)/AS$1,"")</f>
        <v>4.9351002378525308</v>
      </c>
      <c r="AT31" s="174">
        <f>IFERROR(VLOOKUP($B31,RD[#All],AT$2,0)/AT$1,"")</f>
        <v>4.8730175357733962</v>
      </c>
      <c r="AU31" s="174">
        <f>IFERROR(VLOOKUP($B31,RD[#All],AU$2,0)/AU$1,"")</f>
        <v>5.0698159042690589</v>
      </c>
      <c r="AV31" s="174">
        <f>IFERROR(VLOOKUP($B31,RD[#All],AV$2,0)/AV$1,"")</f>
        <v>4.9455821178825889</v>
      </c>
      <c r="AW31" s="174">
        <f>IFERROR(VLOOKUP($B31,RD[#All],AW$2,0)/AW$1,"")</f>
        <v>4.1432325281209668</v>
      </c>
      <c r="AX31" s="174">
        <f>IFERROR(VLOOKUP($B31,RD[#All],AX$2,0)/AX$1,"")</f>
        <v>4.2567104231974922</v>
      </c>
      <c r="AY31" s="174">
        <f>IFERROR(VLOOKUP($B31,RD[#All],AY$2,0)/AY$1,"")</f>
        <v>4.6736278864386085</v>
      </c>
      <c r="AZ31" s="174">
        <f>IFERROR(VLOOKUP($B31,RD[#All],AZ$2,0)/AZ$1,"")</f>
        <v>4.9668318333501871</v>
      </c>
      <c r="BA31" s="174">
        <f>IFERROR(VLOOKUP($B31,RD[#All],BA$2,0)/BA$1,"")</f>
        <v>4.5580137142456287</v>
      </c>
      <c r="BB31" s="174">
        <f>IFERROR(VLOOKUP($B31,RD[#All],BB$2,0)/BB$1,"")</f>
        <v>4.6543942728829011</v>
      </c>
      <c r="BC31" s="174">
        <f>IFERROR(VLOOKUP($B31,RD[#All],BC$2,0)/BC$1,"")</f>
        <v>4.6593819973130319</v>
      </c>
      <c r="BD31" s="174">
        <f>IFERROR(VLOOKUP($B31,RD[#All],BD$2,0)/BD$1,"")</f>
        <v>4.6798809196455178</v>
      </c>
      <c r="BE31" s="174">
        <f>IFERROR(VLOOKUP($B31,RD[#All],BE$2,0)/BE$1,"")</f>
        <v>4.7232432212083948</v>
      </c>
      <c r="BF31" s="174">
        <f>IFERROR(VLOOKUP($B31,RD[#All],BF$2,0)/BF$1,"")</f>
        <v>4.6346093008541596</v>
      </c>
      <c r="BG31" s="174">
        <f>IFERROR(VLOOKUP($B31,RD[#All],BG$2,0)/BG$1,"")</f>
        <v>4.746771735066579</v>
      </c>
      <c r="BH31" s="174">
        <f>IFERROR(VLOOKUP($B31,RD[#All],BH$2,0)/BH$1,"")</f>
        <v>4.7208880964021747</v>
      </c>
      <c r="BI31" s="174">
        <f>IFERROR(VLOOKUP($B31,RD[#All],BI$2,0)/BI$1,"")</f>
        <v>4.7256105507337036</v>
      </c>
      <c r="BJ31" s="174">
        <f>IFERROR(VLOOKUP($B31,RD[#All],BJ$2,0)/BJ$1,"")</f>
        <v>4.7912632692017185</v>
      </c>
      <c r="BK31" s="174">
        <f>IFERROR(VLOOKUP($B31,RD[#All],BK$2,0)/BK$1,"")</f>
        <v>4.6952395262063957</v>
      </c>
      <c r="BL31" s="174">
        <f>IFERROR(VLOOKUP($B31,RD[#All],BL$2,0)/BL$1,"")</f>
        <v>4.71033986284242</v>
      </c>
      <c r="BM31" s="174">
        <f>IFERROR(VLOOKUP($B31,RD[#All],BM$2,0)/BM$1,"")</f>
        <v>4.6676731242673801</v>
      </c>
      <c r="BN31" s="174">
        <f>IFERROR(VLOOKUP($B31,RD[#All],BN$2,0)/BN$1,"")</f>
        <v>4.613676501889767</v>
      </c>
      <c r="BO31" s="174">
        <f>IFERROR(VLOOKUP($B31,RD[#All],BO$2,0)/BO$1,"")</f>
        <v>4.2133061909412266</v>
      </c>
      <c r="BP31" s="174">
        <f>IFERROR(VLOOKUP($B31,RD[#All],BP$2,0)/BP$1,"")</f>
        <v>4.6547147370810436</v>
      </c>
      <c r="BQ31" s="174">
        <f>IFERROR(VLOOKUP($B31,RD[#All],BQ$2,0)/BQ$1,"")</f>
        <v>4.7221369972653902</v>
      </c>
      <c r="BR31" s="174">
        <f>IFERROR(VLOOKUP($B31,RD[#All],BR$2,0)/BR$1,"")</f>
        <v>4.8288081674927872</v>
      </c>
      <c r="BS31" s="174">
        <f>IFERROR(VLOOKUP($B31,RD[#All],BS$2,0)/BS$1,"")</f>
        <v>4.6796459104780519</v>
      </c>
      <c r="BT31" s="174">
        <f>IFERROR(VLOOKUP($B31,RD[#All],BT$2,0)/BT$1,"")</f>
        <v>4.9193922768516565</v>
      </c>
      <c r="BU31" s="174">
        <f>IFERROR(VLOOKUP($B31,RD[#All],BU$2,0)/BU$1,"")</f>
        <v>4.953578507115199</v>
      </c>
      <c r="BV31" s="174">
        <f>IFERROR(VLOOKUP($B31,RD[#All],BV$2,0)/BV$1,"")</f>
        <v>5.5700231481481479</v>
      </c>
      <c r="BW31" s="174">
        <f>IFERROR(VLOOKUP($B31,RD[#All],BW$2,0)/BW$1,"")</f>
        <v>4.7893200735055661</v>
      </c>
      <c r="BX31" s="174">
        <f>IFERROR(VLOOKUP($B31,RD[#All],BX$2,0)/BX$1,"")</f>
        <v>4.6187097838640492</v>
      </c>
      <c r="BY31" s="174">
        <f>AVERAGEIF(Inv_SY_B[[#This Row],[IS1Inv1M1]:[IS14Inv2M4]],"&gt;="&amp;0.1,Inv_SY_B[[#This Row],[IS1Inv1M1]:[IS14Inv2M4]])</f>
        <v>4.8189816585165124</v>
      </c>
    </row>
    <row r="32" spans="2:77">
      <c r="B32" s="179">
        <f>B31+1</f>
        <v>45850</v>
      </c>
      <c r="C32" s="174">
        <f>IFERROR(VLOOKUP($B32,RD[#All],C$2,0)/C$1,"")</f>
        <v>3.689144618353009</v>
      </c>
      <c r="D32" s="174">
        <f>IFERROR(VLOOKUP($B32,RD[#All],D$2,0)/D$1,"")</f>
        <v>3.6904601564237414</v>
      </c>
      <c r="E32" s="174">
        <f>IFERROR(VLOOKUP($B32,RD[#All],E$2,0)/E$1,"")</f>
        <v>3.6796483457933031</v>
      </c>
      <c r="F32" s="174">
        <f>IFERROR(VLOOKUP($B32,RD[#All],F$2,0)/F$1,"")</f>
        <v>3.6697574657647256</v>
      </c>
      <c r="G32" s="174">
        <f>IFERROR(VLOOKUP($B32,RD[#All],G$2,0)/G$1,"")</f>
        <v>3.6647463296784983</v>
      </c>
      <c r="H32" s="174">
        <f>IFERROR(VLOOKUP($B32,RD[#All],H$2,0)/H$1,"")</f>
        <v>3.637292923786041</v>
      </c>
      <c r="I32" s="174">
        <f>IFERROR(VLOOKUP($B32,RD[#All],I$2,0)/I$1,"")</f>
        <v>3.7190954872082189</v>
      </c>
      <c r="J32" s="174">
        <f>IFERROR(VLOOKUP($B32,RD[#All],J$2,0)/J$1,"")</f>
        <v>3.6834920969688447</v>
      </c>
      <c r="K32" s="174">
        <f>IFERROR(VLOOKUP($B32,RD[#All],K$2,0)/K$1,"")</f>
        <v>3.6087079981069565</v>
      </c>
      <c r="L32" s="174">
        <f>IFERROR(VLOOKUP($B32,RD[#All],L$2,0)/L$1,"")</f>
        <v>3.7571935356720534</v>
      </c>
      <c r="M32" s="174">
        <f>IFERROR(VLOOKUP($B32,RD[#All],M$2,0)/M$1,"")</f>
        <v>3.8081192931748018</v>
      </c>
      <c r="N32" s="174">
        <f>IFERROR(VLOOKUP($B32,RD[#All],N$2,0)/N$1,"")</f>
        <v>3.7042556402324007</v>
      </c>
      <c r="O32" s="174">
        <f>IFERROR(VLOOKUP($B32,RD[#All],O$2,0)/O$1,"")</f>
        <v>3.8551556777146243</v>
      </c>
      <c r="P32" s="174">
        <f>IFERROR(VLOOKUP($B32,RD[#All],P$2,0)/P$1,"")</f>
        <v>3.613923026160148</v>
      </c>
      <c r="Q32" s="174">
        <f>IFERROR(VLOOKUP($B32,RD[#All],Q$2,0)/Q$1,"")</f>
        <v>3.706714566127181</v>
      </c>
      <c r="R32" s="174">
        <f>IFERROR(VLOOKUP($B32,RD[#All],R$2,0)/R$1,"")</f>
        <v>3.7230050272604966</v>
      </c>
      <c r="S32" s="174">
        <f>IFERROR(VLOOKUP($B32,RD[#All],S$2,0)/S$1,"")</f>
        <v>3.6687773015086571</v>
      </c>
      <c r="T32" s="174">
        <f>IFERROR(VLOOKUP($B32,RD[#All],T$2,0)/T$1,"")</f>
        <v>3.6858939322167026</v>
      </c>
      <c r="U32" s="174">
        <f>IFERROR(VLOOKUP($B32,RD[#All],U$2,0)/U$1,"")</f>
        <v>3.7001965338574236</v>
      </c>
      <c r="V32" s="174">
        <f>IFERROR(VLOOKUP($B32,RD[#All],V$2,0)/V$1,"")</f>
        <v>3.7117817220168874</v>
      </c>
      <c r="W32" s="174">
        <f>IFERROR(VLOOKUP($B32,RD[#All],W$2,0)/W$1,"")</f>
        <v>3.6096766210196334</v>
      </c>
      <c r="X32" s="174">
        <f>IFERROR(VLOOKUP($B32,RD[#All],X$2,0)/X$1,"")</f>
        <v>3.7503433355600686</v>
      </c>
      <c r="Y32" s="174">
        <f>IFERROR(VLOOKUP($B32,RD[#All],Y$2,0)/Y$1,"")</f>
        <v>3.8116262969432713</v>
      </c>
      <c r="Z32" s="174">
        <f>IFERROR(VLOOKUP($B32,RD[#All],Z$2,0)/Z$1,"")</f>
        <v>3.8245749474855923</v>
      </c>
      <c r="AA32" s="174">
        <f>IFERROR(VLOOKUP($B32,RD[#All],AA$2,0)/AA$1,"")</f>
        <v>3.7768053519061584</v>
      </c>
      <c r="AB32" s="174">
        <f>IFERROR(VLOOKUP($B32,RD[#All],AB$2,0)/AB$1,"")</f>
        <v>3.6999681977193215</v>
      </c>
      <c r="AC32" s="174">
        <f>IFERROR(VLOOKUP($B32,RD[#All],AC$2,0)/AC$1,"")</f>
        <v>3.7885185847443248</v>
      </c>
      <c r="AD32" s="174">
        <f>IFERROR(VLOOKUP($B32,RD[#All],AD$2,0)/AD$1,"")</f>
        <v>3.759840918335065</v>
      </c>
      <c r="AE32" s="174">
        <f>IFERROR(VLOOKUP($B32,RD[#All],AE$2,0)/AE$1,"")</f>
        <v>3.9192309848102687</v>
      </c>
      <c r="AF32" s="174">
        <f>IFERROR(VLOOKUP($B32,RD[#All],AF$2,0)/AF$1,"")</f>
        <v>3.8614259303914475</v>
      </c>
      <c r="AG32" s="174">
        <f>IFERROR(VLOOKUP($B32,RD[#All],AG$2,0)/AG$1,"")</f>
        <v>3.913643178410795</v>
      </c>
      <c r="AH32" s="174">
        <f>IFERROR(VLOOKUP($B32,RD[#All],AH$2,0)/AH$1,"")</f>
        <v>3.878302341782327</v>
      </c>
      <c r="AI32" s="174">
        <f>IFERROR(VLOOKUP($B32,RD[#All],AI$2,0)/AI$1,"")</f>
        <v>3.9023033937576668</v>
      </c>
      <c r="AJ32" s="174">
        <f>IFERROR(VLOOKUP($B32,RD[#All],AJ$2,0)/AJ$1,"")</f>
        <v>3.9080635388951821</v>
      </c>
      <c r="AK32" s="174">
        <f>IFERROR(VLOOKUP($B32,RD[#All],AK$2,0)/AK$1,"")</f>
        <v>3.8559587694596464</v>
      </c>
      <c r="AL32" s="174">
        <f>IFERROR(VLOOKUP($B32,RD[#All],AL$2,0)/AL$1,"")</f>
        <v>3.8722300291860337</v>
      </c>
      <c r="AM32" s="174">
        <f>IFERROR(VLOOKUP($B32,RD[#All],AM$2,0)/AM$1,"")</f>
        <v>3.8862600712136608</v>
      </c>
      <c r="AN32" s="174">
        <f>IFERROR(VLOOKUP($B32,RD[#All],AN$2,0)/AN$1,"")</f>
        <v>3.9117704470037089</v>
      </c>
      <c r="AO32" s="174">
        <f>IFERROR(VLOOKUP($B32,RD[#All],AO$2,0)/AO$1,"")</f>
        <v>3.946233012714802</v>
      </c>
      <c r="AP32" s="174">
        <f>IFERROR(VLOOKUP($B32,RD[#All],AP$2,0)/AP$1,"")</f>
        <v>3.7503617896302677</v>
      </c>
      <c r="AQ32" s="174">
        <f>IFERROR(VLOOKUP($B32,RD[#All],AQ$2,0)/AQ$1,"")</f>
        <v>3.9000394840747563</v>
      </c>
      <c r="AR32" s="174">
        <f>IFERROR(VLOOKUP($B32,RD[#All],AR$2,0)/AR$1,"")</f>
        <v>3.8892422451256268</v>
      </c>
      <c r="AS32" s="174">
        <f>IFERROR(VLOOKUP($B32,RD[#All],AS$2,0)/AS$1,"")</f>
        <v>3.8159044840474761</v>
      </c>
      <c r="AT32" s="174">
        <f>IFERROR(VLOOKUP($B32,RD[#All],AT$2,0)/AT$1,"")</f>
        <v>3.8212482453751231</v>
      </c>
      <c r="AU32" s="174">
        <f>IFERROR(VLOOKUP($B32,RD[#All],AU$2,0)/AU$1,"")</f>
        <v>3.9158436100525611</v>
      </c>
      <c r="AV32" s="174">
        <f>IFERROR(VLOOKUP($B32,RD[#All],AV$2,0)/AV$1,"")</f>
        <v>3.8795110181455885</v>
      </c>
      <c r="AW32" s="174">
        <f>IFERROR(VLOOKUP($B32,RD[#All],AW$2,0)/AW$1,"")</f>
        <v>3.7165775401069521</v>
      </c>
      <c r="AX32" s="174">
        <f>IFERROR(VLOOKUP($B32,RD[#All],AX$2,0)/AX$1,"")</f>
        <v>3.8009404388714736</v>
      </c>
      <c r="AY32" s="174">
        <f>IFERROR(VLOOKUP($B32,RD[#All],AY$2,0)/AY$1,"")</f>
        <v>3.8047741499779213</v>
      </c>
      <c r="AZ32" s="174">
        <f>IFERROR(VLOOKUP($B32,RD[#All],AZ$2,0)/AZ$1,"")</f>
        <v>4.0833249064617254</v>
      </c>
      <c r="BA32" s="174">
        <f>IFERROR(VLOOKUP($B32,RD[#All],BA$2,0)/BA$1,"")</f>
        <v>3.7644025885200185</v>
      </c>
      <c r="BB32" s="174">
        <f>IFERROR(VLOOKUP($B32,RD[#All],BB$2,0)/BB$1,"")</f>
        <v>3.9067120211654331</v>
      </c>
      <c r="BC32" s="174">
        <f>IFERROR(VLOOKUP($B32,RD[#All],BC$2,0)/BC$1,"")</f>
        <v>3.9977608598298255</v>
      </c>
      <c r="BD32" s="174">
        <f>IFERROR(VLOOKUP($B32,RD[#All],BD$2,0)/BD$1,"")</f>
        <v>3.9933651694384</v>
      </c>
      <c r="BE32" s="174">
        <f>IFERROR(VLOOKUP($B32,RD[#All],BE$2,0)/BE$1,"")</f>
        <v>4.0574235496341391</v>
      </c>
      <c r="BF32" s="174">
        <f>IFERROR(VLOOKUP($B32,RD[#All],BF$2,0)/BF$1,"")</f>
        <v>3.9669325163589133</v>
      </c>
      <c r="BG32" s="174">
        <f>IFERROR(VLOOKUP($B32,RD[#All],BG$2,0)/BG$1,"")</f>
        <v>4.1672658249690837</v>
      </c>
      <c r="BH32" s="174">
        <f>IFERROR(VLOOKUP($B32,RD[#All],BH$2,0)/BH$1,"")</f>
        <v>4.1320353167869781</v>
      </c>
      <c r="BI32" s="174">
        <f>IFERROR(VLOOKUP($B32,RD[#All],BI$2,0)/BI$1,"")</f>
        <v>4.1474444183803785</v>
      </c>
      <c r="BJ32" s="174">
        <f>IFERROR(VLOOKUP($B32,RD[#All],BJ$2,0)/BJ$1,"")</f>
        <v>4.2042598772298438</v>
      </c>
      <c r="BK32" s="174">
        <f>IFERROR(VLOOKUP($B32,RD[#All],BK$2,0)/BK$1,"")</f>
        <v>4.1769964690857186</v>
      </c>
      <c r="BL32" s="174">
        <f>IFERROR(VLOOKUP($B32,RD[#All],BL$2,0)/BL$1,"")</f>
        <v>4.1248310789477012</v>
      </c>
      <c r="BM32" s="174">
        <f>IFERROR(VLOOKUP($B32,RD[#All],BM$2,0)/BM$1,"")</f>
        <v>4.1638416546886159</v>
      </c>
      <c r="BN32" s="174">
        <f>IFERROR(VLOOKUP($B32,RD[#All],BN$2,0)/BN$1,"")</f>
        <v>4.1206689255656359</v>
      </c>
      <c r="BO32" s="174">
        <f>IFERROR(VLOOKUP($B32,RD[#All],BO$2,0)/BO$1,"")</f>
        <v>3.6438661403243331</v>
      </c>
      <c r="BP32" s="174">
        <f>IFERROR(VLOOKUP($B32,RD[#All],BP$2,0)/BP$1,"")</f>
        <v>4.1363525617580805</v>
      </c>
      <c r="BQ32" s="174">
        <f>IFERROR(VLOOKUP($B32,RD[#All],BQ$2,0)/BQ$1,"")</f>
        <v>4.1085840058694059</v>
      </c>
      <c r="BR32" s="174">
        <f>IFERROR(VLOOKUP($B32,RD[#All],BR$2,0)/BR$1,"")</f>
        <v>4.182141007620034</v>
      </c>
      <c r="BS32" s="174">
        <f>IFERROR(VLOOKUP($B32,RD[#All],BS$2,0)/BS$1,"")</f>
        <v>3.9785850049599798</v>
      </c>
      <c r="BT32" s="174">
        <f>IFERROR(VLOOKUP($B32,RD[#All],BT$2,0)/BT$1,"")</f>
        <v>4.1133853836955758</v>
      </c>
      <c r="BU32" s="174">
        <f>IFERROR(VLOOKUP($B32,RD[#All],BU$2,0)/BU$1,"")</f>
        <v>4.2484616269037456</v>
      </c>
      <c r="BV32" s="174">
        <f>IFERROR(VLOOKUP($B32,RD[#All],BV$2,0)/BV$1,"")</f>
        <v>4.6759259259259256</v>
      </c>
      <c r="BW32" s="174">
        <f>IFERROR(VLOOKUP($B32,RD[#All],BW$2,0)/BW$1,"")</f>
        <v>4.202068244874428</v>
      </c>
      <c r="BX32" s="174">
        <f>IFERROR(VLOOKUP($B32,RD[#All],BX$2,0)/BX$1,"")</f>
        <v>4.1438706484078534</v>
      </c>
      <c r="BY32" s="174">
        <f>AVERAGEIF(Inv_SY_B[[#This Row],[IS1Inv1M1]:[IS14Inv2M4]],"&gt;="&amp;0.1,Inv_SY_B[[#This Row],[IS1Inv1M1]:[IS14Inv2M4]])</f>
        <v>3.886339004894233</v>
      </c>
    </row>
    <row r="33" spans="2:77">
      <c r="B33" s="179">
        <f t="shared" si="30"/>
        <v>45851</v>
      </c>
      <c r="C33" s="174">
        <f>IFERROR(VLOOKUP($B33,RD[#All],C$2,0)/C$1,"")</f>
        <v>3.3660234103131916</v>
      </c>
      <c r="D33" s="174">
        <f>IFERROR(VLOOKUP($B33,RD[#All],D$2,0)/D$1,"")</f>
        <v>3.3604480346800893</v>
      </c>
      <c r="E33" s="174">
        <f>IFERROR(VLOOKUP($B33,RD[#All],E$2,0)/E$1,"")</f>
        <v>3.3081469887943529</v>
      </c>
      <c r="F33" s="174">
        <f>IFERROR(VLOOKUP($B33,RD[#All],F$2,0)/F$1,"")</f>
        <v>3.2677775944563603</v>
      </c>
      <c r="G33" s="174">
        <f>IFERROR(VLOOKUP($B33,RD[#All],G$2,0)/G$1,"")</f>
        <v>3.2589763471730038</v>
      </c>
      <c r="H33" s="174">
        <f>IFERROR(VLOOKUP($B33,RD[#All],H$2,0)/H$1,"")</f>
        <v>3.2728883492138223</v>
      </c>
      <c r="I33" s="174">
        <f>IFERROR(VLOOKUP($B33,RD[#All],I$2,0)/I$1,"")</f>
        <v>3.3465149156009564</v>
      </c>
      <c r="J33" s="174">
        <f>IFERROR(VLOOKUP($B33,RD[#All],J$2,0)/J$1,"")</f>
        <v>3.375865584027558</v>
      </c>
      <c r="K33" s="174">
        <f>IFERROR(VLOOKUP($B33,RD[#All],K$2,0)/K$1,"")</f>
        <v>3.2553399589840666</v>
      </c>
      <c r="L33" s="174">
        <f>IFERROR(VLOOKUP($B33,RD[#All],L$2,0)/L$1,"")</f>
        <v>3.3491656812508213</v>
      </c>
      <c r="M33" s="174">
        <f>IFERROR(VLOOKUP($B33,RD[#All],M$2,0)/M$1,"")</f>
        <v>3.3865860868422781</v>
      </c>
      <c r="N33" s="174">
        <f>IFERROR(VLOOKUP($B33,RD[#All],N$2,0)/N$1,"")</f>
        <v>3.31579013556679</v>
      </c>
      <c r="O33" s="174">
        <f>IFERROR(VLOOKUP($B33,RD[#All],O$2,0)/O$1,"")</f>
        <v>3.4542622286019582</v>
      </c>
      <c r="P33" s="174">
        <f>IFERROR(VLOOKUP($B33,RD[#All],P$2,0)/P$1,"")</f>
        <v>3.189520999091056</v>
      </c>
      <c r="Q33" s="174">
        <f>IFERROR(VLOOKUP($B33,RD[#All],Q$2,0)/Q$1,"")</f>
        <v>3.3306173845413136</v>
      </c>
      <c r="R33" s="174">
        <f>IFERROR(VLOOKUP($B33,RD[#All],R$2,0)/R$1,"")</f>
        <v>3.3773406371296333</v>
      </c>
      <c r="S33" s="174">
        <f>IFERROR(VLOOKUP($B33,RD[#All],S$2,0)/S$1,"")</f>
        <v>3.3073178270612784</v>
      </c>
      <c r="T33" s="174">
        <f>IFERROR(VLOOKUP($B33,RD[#All],T$2,0)/T$1,"")</f>
        <v>3.3226852582866719</v>
      </c>
      <c r="U33" s="174">
        <f>IFERROR(VLOOKUP($B33,RD[#All],U$2,0)/U$1,"")</f>
        <v>3.3586131668280941</v>
      </c>
      <c r="V33" s="174">
        <f>IFERROR(VLOOKUP($B33,RD[#All],V$2,0)/V$1,"")</f>
        <v>3.3782814128860186</v>
      </c>
      <c r="W33" s="174">
        <f>IFERROR(VLOOKUP($B33,RD[#All],W$2,0)/W$1,"")</f>
        <v>3.1445718528295661</v>
      </c>
      <c r="X33" s="174">
        <f>IFERROR(VLOOKUP($B33,RD[#All],X$2,0)/X$1,"")</f>
        <v>3.2064319890403894</v>
      </c>
      <c r="Y33" s="174">
        <f>IFERROR(VLOOKUP($B33,RD[#All],Y$2,0)/Y$1,"")</f>
        <v>3.3362217973582018</v>
      </c>
      <c r="Z33" s="174">
        <f>IFERROR(VLOOKUP($B33,RD[#All],Z$2,0)/Z$1,"")</f>
        <v>3.3378965511050467</v>
      </c>
      <c r="AA33" s="174">
        <f>IFERROR(VLOOKUP($B33,RD[#All],AA$2,0)/AA$1,"")</f>
        <v>3.3174486803519061</v>
      </c>
      <c r="AB33" s="174">
        <f>IFERROR(VLOOKUP($B33,RD[#All],AB$2,0)/AB$1,"")</f>
        <v>3.2756349098178177</v>
      </c>
      <c r="AC33" s="174">
        <f>IFERROR(VLOOKUP($B33,RD[#All],AC$2,0)/AC$1,"")</f>
        <v>3.3059616980500577</v>
      </c>
      <c r="AD33" s="174">
        <f>IFERROR(VLOOKUP($B33,RD[#All],AD$2,0)/AD$1,"")</f>
        <v>3.2857142857142856</v>
      </c>
      <c r="AE33" s="174">
        <f>IFERROR(VLOOKUP($B33,RD[#All],AE$2,0)/AE$1,"")</f>
        <v>3.1924780001121014</v>
      </c>
      <c r="AF33" s="174">
        <f>IFERROR(VLOOKUP($B33,RD[#All],AF$2,0)/AF$1,"")</f>
        <v>3.1393510703855529</v>
      </c>
      <c r="AG33" s="174">
        <f>IFERROR(VLOOKUP($B33,RD[#All],AG$2,0)/AG$1,"")</f>
        <v>3.1620008177729315</v>
      </c>
      <c r="AH33" s="174">
        <f>IFERROR(VLOOKUP($B33,RD[#All],AH$2,0)/AH$1,"")</f>
        <v>3.1337013021810196</v>
      </c>
      <c r="AI33" s="174">
        <f>IFERROR(VLOOKUP($B33,RD[#All],AI$2,0)/AI$1,"")</f>
        <v>3.1626550361183048</v>
      </c>
      <c r="AJ33" s="174">
        <f>IFERROR(VLOOKUP($B33,RD[#All],AJ$2,0)/AJ$1,"")</f>
        <v>3.163984088933379</v>
      </c>
      <c r="AK33" s="174">
        <f>IFERROR(VLOOKUP($B33,RD[#All],AK$2,0)/AK$1,"")</f>
        <v>3.1139153073694277</v>
      </c>
      <c r="AL33" s="174">
        <f>IFERROR(VLOOKUP($B33,RD[#All],AL$2,0)/AL$1,"")</f>
        <v>2.9355745324829745</v>
      </c>
      <c r="AM33" s="174">
        <f>IFERROR(VLOOKUP($B33,RD[#All],AM$2,0)/AM$1,"")</f>
        <v>3.1442379532466833</v>
      </c>
      <c r="AN33" s="174">
        <f>IFERROR(VLOOKUP($B33,RD[#All],AN$2,0)/AN$1,"")</f>
        <v>3.1625461912807014</v>
      </c>
      <c r="AO33" s="174">
        <f>IFERROR(VLOOKUP($B33,RD[#All],AO$2,0)/AO$1,"")</f>
        <v>3.1920951489900178</v>
      </c>
      <c r="AP33" s="174">
        <f>IFERROR(VLOOKUP($B33,RD[#All],AP$2,0)/AP$1,"")</f>
        <v>3.0029548957709311</v>
      </c>
      <c r="AQ33" s="174">
        <f>IFERROR(VLOOKUP($B33,RD[#All],AQ$2,0)/AQ$1,"")</f>
        <v>3.1550408002105814</v>
      </c>
      <c r="AR33" s="174">
        <f>IFERROR(VLOOKUP($B33,RD[#All],AR$2,0)/AR$1,"")</f>
        <v>3.1387801994705211</v>
      </c>
      <c r="AS33" s="174">
        <f>IFERROR(VLOOKUP($B33,RD[#All],AS$2,0)/AS$1,"")</f>
        <v>3.1199221999601621</v>
      </c>
      <c r="AT33" s="174">
        <f>IFERROR(VLOOKUP($B33,RD[#All],AT$2,0)/AT$1,"")</f>
        <v>3.147514194129601</v>
      </c>
      <c r="AU33" s="174">
        <f>IFERROR(VLOOKUP($B33,RD[#All],AU$2,0)/AU$1,"")</f>
        <v>3.1450388769086546</v>
      </c>
      <c r="AV33" s="174">
        <f>IFERROR(VLOOKUP($B33,RD[#All],AV$2,0)/AV$1,"")</f>
        <v>3.1214380486054383</v>
      </c>
      <c r="AW33" s="174">
        <f>IFERROR(VLOOKUP($B33,RD[#All],AW$2,0)/AW$1,"")</f>
        <v>3.3039830352203579</v>
      </c>
      <c r="AX33" s="174">
        <f>IFERROR(VLOOKUP($B33,RD[#All],AX$2,0)/AX$1,"")</f>
        <v>3.3694161442006272</v>
      </c>
      <c r="AY33" s="174">
        <f>IFERROR(VLOOKUP($B33,RD[#All],AY$2,0)/AY$1,"")</f>
        <v>3.3377490324424008</v>
      </c>
      <c r="AZ33" s="174">
        <f>IFERROR(VLOOKUP($B33,RD[#All],AZ$2,0)/AZ$1,"")</f>
        <v>3.5615330164829611</v>
      </c>
      <c r="BA33" s="174">
        <f>IFERROR(VLOOKUP($B33,RD[#All],BA$2,0)/BA$1,"")</f>
        <v>3.3079917924975009</v>
      </c>
      <c r="BB33" s="174">
        <f>IFERROR(VLOOKUP($B33,RD[#All],BB$2,0)/BB$1,"")</f>
        <v>3.4224860490451103</v>
      </c>
      <c r="BC33" s="174">
        <f>IFERROR(VLOOKUP($B33,RD[#All],BC$2,0)/BC$1,"")</f>
        <v>3.4451410658307209</v>
      </c>
      <c r="BD33" s="174">
        <f>IFERROR(VLOOKUP($B33,RD[#All],BD$2,0)/BD$1,"")</f>
        <v>3.4217476377120799</v>
      </c>
      <c r="BE33" s="174">
        <f>IFERROR(VLOOKUP($B33,RD[#All],BE$2,0)/BE$1,"")</f>
        <v>3.460903476529857</v>
      </c>
      <c r="BF33" s="174">
        <f>IFERROR(VLOOKUP($B33,RD[#All],BF$2,0)/BF$1,"")</f>
        <v>3.3850047453337551</v>
      </c>
      <c r="BG33" s="174">
        <f>IFERROR(VLOOKUP($B33,RD[#All],BG$2,0)/BG$1,"")</f>
        <v>3.5352736475798801</v>
      </c>
      <c r="BH33" s="174">
        <f>IFERROR(VLOOKUP($B33,RD[#All],BH$2,0)/BH$1,"")</f>
        <v>3.5029190992493748</v>
      </c>
      <c r="BI33" s="174">
        <f>IFERROR(VLOOKUP($B33,RD[#All],BI$2,0)/BI$1,"")</f>
        <v>3.5427580994083456</v>
      </c>
      <c r="BJ33" s="174">
        <f>IFERROR(VLOOKUP($B33,RD[#All],BJ$2,0)/BJ$1,"")</f>
        <v>3.5663769071258873</v>
      </c>
      <c r="BK33" s="174">
        <f>IFERROR(VLOOKUP($B33,RD[#All],BK$2,0)/BK$1,"")</f>
        <v>3.5709813938346731</v>
      </c>
      <c r="BL33" s="174">
        <f>IFERROR(VLOOKUP($B33,RD[#All],BL$2,0)/BL$1,"")</f>
        <v>3.5362911883201353</v>
      </c>
      <c r="BM33" s="174">
        <f>IFERROR(VLOOKUP($B33,RD[#All],BM$2,0)/BM$1,"")</f>
        <v>3.4930708106202371</v>
      </c>
      <c r="BN33" s="174">
        <f>IFERROR(VLOOKUP($B33,RD[#All],BN$2,0)/BN$1,"")</f>
        <v>3.4234400078236908</v>
      </c>
      <c r="BO33" s="174">
        <f>IFERROR(VLOOKUP($B33,RD[#All],BO$2,0)/BO$1,"")</f>
        <v>3.1949163033162318</v>
      </c>
      <c r="BP33" s="174">
        <f>IFERROR(VLOOKUP($B33,RD[#All],BP$2,0)/BP$1,"")</f>
        <v>3.4797974724571534</v>
      </c>
      <c r="BQ33" s="174">
        <f>IFERROR(VLOOKUP($B33,RD[#All],BQ$2,0)/BQ$1,"")</f>
        <v>3.426265590608951</v>
      </c>
      <c r="BR33" s="174">
        <f>IFERROR(VLOOKUP($B33,RD[#All],BR$2,0)/BR$1,"")</f>
        <v>3.5126137456536211</v>
      </c>
      <c r="BS33" s="174">
        <f>IFERROR(VLOOKUP($B33,RD[#All],BS$2,0)/BS$1,"")</f>
        <v>3.3561265211234543</v>
      </c>
      <c r="BT33" s="174">
        <f>IFERROR(VLOOKUP($B33,RD[#All],BT$2,0)/BT$1,"")</f>
        <v>3.483153970598579</v>
      </c>
      <c r="BU33" s="174">
        <f>IFERROR(VLOOKUP($B33,RD[#All],BU$2,0)/BU$1,"")</f>
        <v>3.533374026335788</v>
      </c>
      <c r="BV33" s="174">
        <f>IFERROR(VLOOKUP($B33,RD[#All],BV$2,0)/BV$1,"")</f>
        <v>3.7557870370370368</v>
      </c>
      <c r="BW33" s="174">
        <f>IFERROR(VLOOKUP($B33,RD[#All],BW$2,0)/BW$1,"")</f>
        <v>3.4756602889777679</v>
      </c>
      <c r="BX33" s="174">
        <f>IFERROR(VLOOKUP($B33,RD[#All],BX$2,0)/BX$1,"")</f>
        <v>3.4581752186107901</v>
      </c>
      <c r="BY33" s="174">
        <f>AVERAGEIF(Inv_SY_B[[#This Row],[IS1Inv1M1]:[IS14Inv2M4]],"&gt;="&amp;0.1,Inv_SY_B[[#This Row],[IS1Inv1M1]:[IS14Inv2M4]])</f>
        <v>3.3241649966689537</v>
      </c>
    </row>
    <row r="34" spans="2:77">
      <c r="B34" s="179">
        <f t="shared" si="30"/>
        <v>45852</v>
      </c>
      <c r="C34" s="174">
        <f>IFERROR(VLOOKUP($B34,RD[#All],C$2,0)/C$1,"")</f>
        <v>4.4405047907511408</v>
      </c>
      <c r="D34" s="174">
        <f>IFERROR(VLOOKUP($B34,RD[#All],D$2,0)/D$1,"")</f>
        <v>4.4679431562264105</v>
      </c>
      <c r="E34" s="174">
        <f>IFERROR(VLOOKUP($B34,RD[#All],E$2,0)/E$1,"")</f>
        <v>4.423117268019781</v>
      </c>
      <c r="F34" s="174">
        <f>IFERROR(VLOOKUP($B34,RD[#All],F$2,0)/F$1,"")</f>
        <v>4.3362481438706482</v>
      </c>
      <c r="G34" s="174">
        <f>IFERROR(VLOOKUP($B34,RD[#All],G$2,0)/G$1,"")</f>
        <v>4.3019820697345059</v>
      </c>
      <c r="H34" s="174">
        <f>IFERROR(VLOOKUP($B34,RD[#All],H$2,0)/H$1,"")</f>
        <v>4.3137522148016894</v>
      </c>
      <c r="I34" s="174">
        <f>IFERROR(VLOOKUP($B34,RD[#All],I$2,0)/I$1,"")</f>
        <v>4.4360476100510109</v>
      </c>
      <c r="J34" s="174">
        <f>IFERROR(VLOOKUP($B34,RD[#All],J$2,0)/J$1,"")</f>
        <v>4.3751977222397969</v>
      </c>
      <c r="K34" s="174">
        <f>IFERROR(VLOOKUP($B34,RD[#All],K$2,0)/K$1,"")</f>
        <v>4.3467423883893357</v>
      </c>
      <c r="L34" s="174">
        <f>IFERROR(VLOOKUP($B34,RD[#All],L$2,0)/L$1,"")</f>
        <v>4.4574957298646689</v>
      </c>
      <c r="M34" s="174">
        <f>IFERROR(VLOOKUP($B34,RD[#All],M$2,0)/M$1,"")</f>
        <v>4.526505944951718</v>
      </c>
      <c r="N34" s="174">
        <f>IFERROR(VLOOKUP($B34,RD[#All],N$2,0)/N$1,"")</f>
        <v>4.3979979375738827</v>
      </c>
      <c r="O34" s="174">
        <f>IFERROR(VLOOKUP($B34,RD[#All],O$2,0)/O$1,"")</f>
        <v>4.6335764356015012</v>
      </c>
      <c r="P34" s="174">
        <f>IFERROR(VLOOKUP($B34,RD[#All],P$2,0)/P$1,"")</f>
        <v>4.3178563868863078</v>
      </c>
      <c r="Q34" s="174">
        <f>IFERROR(VLOOKUP($B34,RD[#All],Q$2,0)/Q$1,"")</f>
        <v>4.4513783440119505</v>
      </c>
      <c r="R34" s="174">
        <f>IFERROR(VLOOKUP($B34,RD[#All],R$2,0)/R$1,"")</f>
        <v>4.5270448591272769</v>
      </c>
      <c r="S34" s="174">
        <f>IFERROR(VLOOKUP($B34,RD[#All],S$2,0)/S$1,"")</f>
        <v>4.4485152070255509</v>
      </c>
      <c r="T34" s="174">
        <f>IFERROR(VLOOKUP($B34,RD[#All],T$2,0)/T$1,"")</f>
        <v>4.3814197163482369</v>
      </c>
      <c r="U34" s="174">
        <f>IFERROR(VLOOKUP($B34,RD[#All],U$2,0)/U$1,"")</f>
        <v>4.4929614549147567</v>
      </c>
      <c r="V34" s="174">
        <f>IFERROR(VLOOKUP($B34,RD[#All],V$2,0)/V$1,"")</f>
        <v>4.4726498156496941</v>
      </c>
      <c r="W34" s="174">
        <f>IFERROR(VLOOKUP($B34,RD[#All],W$2,0)/W$1,"")</f>
        <v>4.3287823791453555</v>
      </c>
      <c r="X34" s="174">
        <f>IFERROR(VLOOKUP($B34,RD[#All],X$2,0)/X$1,"")</f>
        <v>4.5257221915151185</v>
      </c>
      <c r="Y34" s="174">
        <f>IFERROR(VLOOKUP($B34,RD[#All],Y$2,0)/Y$1,"")</f>
        <v>4.4928453204590362</v>
      </c>
      <c r="Z34" s="174">
        <f>IFERROR(VLOOKUP($B34,RD[#All],Z$2,0)/Z$1,"")</f>
        <v>4.4744070809170715</v>
      </c>
      <c r="AA34" s="174">
        <f>IFERROR(VLOOKUP($B34,RD[#All],AA$2,0)/AA$1,"")</f>
        <v>4.5096682551319649</v>
      </c>
      <c r="AB34" s="174">
        <f>IFERROR(VLOOKUP($B34,RD[#All],AB$2,0)/AB$1,"")</f>
        <v>4.4623142973967553</v>
      </c>
      <c r="AC34" s="174">
        <f>IFERROR(VLOOKUP($B34,RD[#All],AC$2,0)/AC$1,"")</f>
        <v>4.4561205635714254</v>
      </c>
      <c r="AD34" s="174">
        <f>IFERROR(VLOOKUP($B34,RD[#All],AD$2,0)/AD$1,"")</f>
        <v>4.4143806209608165</v>
      </c>
      <c r="AE34" s="174">
        <f>IFERROR(VLOOKUP($B34,RD[#All],AE$2,0)/AE$1,"")</f>
        <v>4.5881957289389614</v>
      </c>
      <c r="AF34" s="174">
        <f>IFERROR(VLOOKUP($B34,RD[#All],AF$2,0)/AF$1,"")</f>
        <v>4.4963159445918057</v>
      </c>
      <c r="AG34" s="174">
        <f>IFERROR(VLOOKUP($B34,RD[#All],AG$2,0)/AG$1,"")</f>
        <v>4.5425105629003681</v>
      </c>
      <c r="AH34" s="174">
        <f>IFERROR(VLOOKUP($B34,RD[#All],AH$2,0)/AH$1,"")</f>
        <v>4.4945072611328447</v>
      </c>
      <c r="AI34" s="174">
        <f>IFERROR(VLOOKUP($B34,RD[#All],AI$2,0)/AI$1,"")</f>
        <v>4.5862886738448951</v>
      </c>
      <c r="AJ34" s="174">
        <f>IFERROR(VLOOKUP($B34,RD[#All],AJ$2,0)/AJ$1,"")</f>
        <v>4.5910803192750453</v>
      </c>
      <c r="AK34" s="174">
        <f>IFERROR(VLOOKUP($B34,RD[#All],AK$2,0)/AK$1,"")</f>
        <v>4.5459327347112266</v>
      </c>
      <c r="AL34" s="174">
        <f>IFERROR(VLOOKUP($B34,RD[#All],AL$2,0)/AL$1,"")</f>
        <v>4.5886931142579179</v>
      </c>
      <c r="AM34" s="174">
        <f>IFERROR(VLOOKUP($B34,RD[#All],AM$2,0)/AM$1,"")</f>
        <v>4.5711362550229859</v>
      </c>
      <c r="AN34" s="174">
        <f>IFERROR(VLOOKUP($B34,RD[#All],AN$2,0)/AN$1,"")</f>
        <v>4.6145510106551253</v>
      </c>
      <c r="AO34" s="174">
        <f>IFERROR(VLOOKUP($B34,RD[#All],AO$2,0)/AO$1,"")</f>
        <v>4.6228301035896262</v>
      </c>
      <c r="AP34" s="174">
        <f>IFERROR(VLOOKUP($B34,RD[#All],AP$2,0)/AP$1,"")</f>
        <v>4.3795055429536838</v>
      </c>
      <c r="AQ34" s="174">
        <f>IFERROR(VLOOKUP($B34,RD[#All],AQ$2,0)/AQ$1,"")</f>
        <v>4.571202948144248</v>
      </c>
      <c r="AR34" s="174">
        <f>IFERROR(VLOOKUP($B34,RD[#All],AR$2,0)/AR$1,"")</f>
        <v>4.5845585174578334</v>
      </c>
      <c r="AS34" s="174">
        <f>IFERROR(VLOOKUP($B34,RD[#All],AS$2,0)/AS$1,"")</f>
        <v>4.4959049527224151</v>
      </c>
      <c r="AT34" s="174">
        <f>IFERROR(VLOOKUP($B34,RD[#All],AT$2,0)/AT$1,"")</f>
        <v>4.4828308646372372</v>
      </c>
      <c r="AU34" s="174">
        <f>IFERROR(VLOOKUP($B34,RD[#All],AU$2,0)/AU$1,"")</f>
        <v>4.6539679406992907</v>
      </c>
      <c r="AV34" s="174">
        <f>IFERROR(VLOOKUP($B34,RD[#All],AV$2,0)/AV$1,"")</f>
        <v>4.5679857592770086</v>
      </c>
      <c r="AW34" s="174">
        <f>IFERROR(VLOOKUP($B34,RD[#All],AW$2,0)/AW$1,"")</f>
        <v>3.871934353678776</v>
      </c>
      <c r="AX34" s="174">
        <f>IFERROR(VLOOKUP($B34,RD[#All],AX$2,0)/AX$1,"")</f>
        <v>4.0083757836990594</v>
      </c>
      <c r="AY34" s="174">
        <f>IFERROR(VLOOKUP($B34,RD[#All],AY$2,0)/AY$1,"")</f>
        <v>4.2551754591028335</v>
      </c>
      <c r="AZ34" s="174">
        <f>IFERROR(VLOOKUP($B34,RD[#All],AZ$2,0)/AZ$1,"")</f>
        <v>4.4655678026089598</v>
      </c>
      <c r="BA34" s="174">
        <f>IFERROR(VLOOKUP($B34,RD[#All],BA$2,0)/BA$1,"")</f>
        <v>4.164781396327669</v>
      </c>
      <c r="BB34" s="174">
        <f>IFERROR(VLOOKUP($B34,RD[#All],BB$2,0)/BB$1,"")</f>
        <v>4.2173458725182869</v>
      </c>
      <c r="BC34" s="174">
        <f>IFERROR(VLOOKUP($B34,RD[#All],BC$2,0)/BC$1,"")</f>
        <v>4.1627854903716974</v>
      </c>
      <c r="BD34" s="174">
        <f>IFERROR(VLOOKUP($B34,RD[#All],BD$2,0)/BD$1,"")</f>
        <v>4.1709954279439181</v>
      </c>
      <c r="BE34" s="174">
        <f>IFERROR(VLOOKUP($B34,RD[#All],BE$2,0)/BE$1,"")</f>
        <v>4.2530930041375941</v>
      </c>
      <c r="BF34" s="174">
        <f>IFERROR(VLOOKUP($B34,RD[#All],BF$2,0)/BF$1,"")</f>
        <v>4.1967065718709931</v>
      </c>
      <c r="BG34" s="174">
        <f>IFERROR(VLOOKUP($B34,RD[#All],BG$2,0)/BG$1,"")</f>
        <v>4.3139397774007078</v>
      </c>
      <c r="BH34" s="174">
        <f>IFERROR(VLOOKUP($B34,RD[#All],BH$2,0)/BH$1,"")</f>
        <v>4.2801472491444024</v>
      </c>
      <c r="BI34" s="174">
        <f>IFERROR(VLOOKUP($B34,RD[#All],BI$2,0)/BI$1,"")</f>
        <v>4.2866265280058382</v>
      </c>
      <c r="BJ34" s="174">
        <f>IFERROR(VLOOKUP($B34,RD[#All],BJ$2,0)/BJ$1,"")</f>
        <v>4.3326604320301021</v>
      </c>
      <c r="BK34" s="174">
        <f>IFERROR(VLOOKUP($B34,RD[#All],BK$2,0)/BK$1,"")</f>
        <v>4.2846768336964418</v>
      </c>
      <c r="BL34" s="174">
        <f>IFERROR(VLOOKUP($B34,RD[#All],BL$2,0)/BL$1,"")</f>
        <v>4.2823223329418152</v>
      </c>
      <c r="BM34" s="174">
        <f>IFERROR(VLOOKUP($B34,RD[#All],BM$2,0)/BM$1,"")</f>
        <v>4.2192872231111593</v>
      </c>
      <c r="BN34" s="174">
        <f>IFERROR(VLOOKUP($B34,RD[#All],BN$2,0)/BN$1,"")</f>
        <v>4.1804971495302912</v>
      </c>
      <c r="BO34" s="174">
        <f>IFERROR(VLOOKUP($B34,RD[#All],BO$2,0)/BO$1,"")</f>
        <v>4.0706985956563004</v>
      </c>
      <c r="BP34" s="174">
        <f>IFERROR(VLOOKUP($B34,RD[#All],BP$2,0)/BP$1,"")</f>
        <v>4.1968466485998395</v>
      </c>
      <c r="BQ34" s="174">
        <f>IFERROR(VLOOKUP($B34,RD[#All],BQ$2,0)/BQ$1,"")</f>
        <v>4.1550056693123461</v>
      </c>
      <c r="BR34" s="174">
        <f>IFERROR(VLOOKUP($B34,RD[#All],BR$2,0)/BR$1,"")</f>
        <v>4.3454168824443293</v>
      </c>
      <c r="BS34" s="174">
        <f>IFERROR(VLOOKUP($B34,RD[#All],BS$2,0)/BS$1,"")</f>
        <v>4.0434054991405235</v>
      </c>
      <c r="BT34" s="174">
        <f>IFERROR(VLOOKUP($B34,RD[#All],BT$2,0)/BT$1,"")</f>
        <v>4.1729619469649011</v>
      </c>
      <c r="BU34" s="174">
        <f>IFERROR(VLOOKUP($B34,RD[#All],BU$2,0)/BU$1,"")</f>
        <v>4.8988953376600026</v>
      </c>
      <c r="BV34" s="174">
        <f>IFERROR(VLOOKUP($B34,RD[#All],BV$2,0)/BV$1,"")</f>
        <v>4.7054398148148149</v>
      </c>
      <c r="BW34" s="174">
        <f>IFERROR(VLOOKUP($B34,RD[#All],BW$2,0)/BW$1,"")</f>
        <v>4.2341368500702625</v>
      </c>
      <c r="BX34" s="174">
        <f>IFERROR(VLOOKUP($B34,RD[#All],BX$2,0)/BX$1,"")</f>
        <v>4.1741626794258373</v>
      </c>
      <c r="BY34" s="174">
        <f>AVERAGEIF(Inv_SY_B[[#This Row],[IS1Inv1M1]:[IS14Inv2M4]],"&gt;="&amp;0.1,Inv_SY_B[[#This Row],[IS1Inv1M1]:[IS14Inv2M4]])</f>
        <v>4.393717091245402</v>
      </c>
    </row>
    <row r="35" spans="2:77">
      <c r="B35" s="181">
        <f>B34+1</f>
        <v>45853</v>
      </c>
      <c r="C35" s="182">
        <f>IFERROR(VLOOKUP($B35,RD[#All],C$2,0)/C$1,"")</f>
        <v>4.3219810750451826</v>
      </c>
      <c r="D35" s="182">
        <f>IFERROR(VLOOKUP($B35,RD[#All],D$2,0)/D$1,"")</f>
        <v>4.4338018110574104</v>
      </c>
      <c r="E35" s="182">
        <f>IFERROR(VLOOKUP($B35,RD[#All],E$2,0)/E$1,"")</f>
        <v>4.4901846517591038</v>
      </c>
      <c r="F35" s="182">
        <f>IFERROR(VLOOKUP($B35,RD[#All],F$2,0)/F$1,"")</f>
        <v>4.4084474509156903</v>
      </c>
      <c r="G35" s="182">
        <f>IFERROR(VLOOKUP($B35,RD[#All],G$2,0)/G$1,"")</f>
        <v>4.4145108267275024</v>
      </c>
      <c r="H35" s="182">
        <f>IFERROR(VLOOKUP($B35,RD[#All],H$2,0)/H$1,"")</f>
        <v>4.3461533695961938</v>
      </c>
      <c r="I35" s="182">
        <f>IFERROR(VLOOKUP($B35,RD[#All],I$2,0)/I$1,"")</f>
        <v>4.4323341824270184</v>
      </c>
      <c r="J35" s="182">
        <f>IFERROR(VLOOKUP($B35,RD[#All],J$2,0)/J$1,"")</f>
        <v>4.2722649888103854</v>
      </c>
      <c r="K35" s="182">
        <f>IFERROR(VLOOKUP($B35,RD[#All],K$2,0)/K$1,"")</f>
        <v>4.302445180627859</v>
      </c>
      <c r="L35" s="182">
        <f>IFERROR(VLOOKUP($B35,RD[#All],L$2,0)/L$1,"")</f>
        <v>4.4924451451846013</v>
      </c>
      <c r="M35" s="182">
        <f>IFERROR(VLOOKUP($B35,RD[#All],M$2,0)/M$1,"")</f>
        <v>4.539775339946134</v>
      </c>
      <c r="N35" s="182">
        <f>IFERROR(VLOOKUP($B35,RD[#All],N$2,0)/N$1,"")</f>
        <v>4.3527251691440929</v>
      </c>
      <c r="O35" s="182">
        <f>IFERROR(VLOOKUP($B35,RD[#All],O$2,0)/O$1,"")</f>
        <v>4.5661815349558745</v>
      </c>
      <c r="P35" s="182">
        <f>IFERROR(VLOOKUP($B35,RD[#All],P$2,0)/P$1,"")</f>
        <v>4.3364710569895282</v>
      </c>
      <c r="Q35" s="182">
        <f>IFERROR(VLOOKUP($B35,RD[#All],Q$2,0)/Q$1,"")</f>
        <v>4.4213794550819108</v>
      </c>
      <c r="R35" s="182">
        <f>IFERROR(VLOOKUP($B35,RD[#All],R$2,0)/R$1,"")</f>
        <v>4.4231524334901797</v>
      </c>
      <c r="S35" s="182">
        <f>IFERROR(VLOOKUP($B35,RD[#All],S$2,0)/S$1,"")</f>
        <v>4.3863779960635831</v>
      </c>
      <c r="T35" s="182">
        <f>IFERROR(VLOOKUP($B35,RD[#All],T$2,0)/T$1,"")</f>
        <v>4.2735624086512578</v>
      </c>
      <c r="U35" s="182">
        <f>IFERROR(VLOOKUP($B35,RD[#All],U$2,0)/U$1,"")</f>
        <v>4.4232812691009284</v>
      </c>
      <c r="V35" s="182">
        <f>IFERROR(VLOOKUP($B35,RD[#All],V$2,0)/V$1,"")</f>
        <v>4.394802991123206</v>
      </c>
      <c r="W35" s="182">
        <f>IFERROR(VLOOKUP($B35,RD[#All],W$2,0)/W$1,"")</f>
        <v>4.3009816861903971</v>
      </c>
      <c r="X35" s="182">
        <f>IFERROR(VLOOKUP($B35,RD[#All],X$2,0)/X$1,"")</f>
        <v>4.5613273607074909</v>
      </c>
      <c r="Y35" s="182">
        <f>IFERROR(VLOOKUP($B35,RD[#All],Y$2,0)/Y$1,"")</f>
        <v>4.4997684643916571</v>
      </c>
      <c r="Z35" s="182">
        <f>IFERROR(VLOOKUP($B35,RD[#All],Z$2,0)/Z$1,"")</f>
        <v>4.5004398642704535</v>
      </c>
      <c r="AA35" s="182">
        <f>IFERROR(VLOOKUP($B35,RD[#All],AA$2,0)/AA$1,"")</f>
        <v>4.4645344574780053</v>
      </c>
      <c r="AB35" s="182">
        <f>IFERROR(VLOOKUP($B35,RD[#All],AB$2,0)/AB$1,"")</f>
        <v>4.4232429239925484</v>
      </c>
      <c r="AC35" s="182">
        <f>IFERROR(VLOOKUP($B35,RD[#All],AC$2,0)/AC$1,"")</f>
        <v>4.4482804469324968</v>
      </c>
      <c r="AD35" s="182">
        <f>IFERROR(VLOOKUP($B35,RD[#All],AD$2,0)/AD$1,"")</f>
        <v>4.4389659691779269</v>
      </c>
      <c r="AE35" s="182">
        <f>IFERROR(VLOOKUP($B35,RD[#All],AE$2,0)/AE$1,"")</f>
        <v>5.1450591334566447</v>
      </c>
      <c r="AF35" s="182">
        <f>IFERROR(VLOOKUP($B35,RD[#All],AF$2,0)/AF$1,"")</f>
        <v>5.0278916485813028</v>
      </c>
      <c r="AG35" s="182">
        <f>IFERROR(VLOOKUP($B35,RD[#All],AG$2,0)/AG$1,"")</f>
        <v>5.077933760392531</v>
      </c>
      <c r="AH35" s="182">
        <f>IFERROR(VLOOKUP($B35,RD[#All],AH$2,0)/AH$1,"")</f>
        <v>4.9939981780183267</v>
      </c>
      <c r="AI35" s="182">
        <f>IFERROR(VLOOKUP($B35,RD[#All],AI$2,0)/AI$1,"")</f>
        <v>5.11544227886057</v>
      </c>
      <c r="AJ35" s="182">
        <f>IFERROR(VLOOKUP($B35,RD[#All],AJ$2,0)/AJ$1,"")</f>
        <v>5.0488132557098071</v>
      </c>
      <c r="AK35" s="182">
        <f>IFERROR(VLOOKUP($B35,RD[#All],AK$2,0)/AK$1,"")</f>
        <v>5.0665214388183415</v>
      </c>
      <c r="AL35" s="182">
        <f>IFERROR(VLOOKUP($B35,RD[#All],AL$2,0)/AL$1,"")</f>
        <v>5.1062047346232839</v>
      </c>
      <c r="AM35" s="182">
        <f>IFERROR(VLOOKUP($B35,RD[#All],AM$2,0)/AM$1,"")</f>
        <v>5.0440541977693565</v>
      </c>
      <c r="AN35" s="182">
        <f>IFERROR(VLOOKUP($B35,RD[#All],AN$2,0)/AN$1,"")</f>
        <v>5.0754205173423435</v>
      </c>
      <c r="AO35" s="182">
        <f>IFERROR(VLOOKUP($B35,RD[#All],AO$2,0)/AO$1,"")</f>
        <v>5.0909017480328735</v>
      </c>
      <c r="AP35" s="182">
        <f>IFERROR(VLOOKUP($B35,RD[#All],AP$2,0)/AP$1,"")</f>
        <v>4.9577631640943141</v>
      </c>
      <c r="AQ35" s="182">
        <f>IFERROR(VLOOKUP($B35,RD[#All],AQ$2,0)/AQ$1,"")</f>
        <v>5.0044090550144773</v>
      </c>
      <c r="AR35" s="182">
        <f>IFERROR(VLOOKUP($B35,RD[#All],AR$2,0)/AR$1,"")</f>
        <v>5.0187981817879095</v>
      </c>
      <c r="AS35" s="182">
        <f>IFERROR(VLOOKUP($B35,RD[#All],AS$2,0)/AS$1,"")</f>
        <v>4.9607367570037608</v>
      </c>
      <c r="AT35" s="182">
        <f>IFERROR(VLOOKUP($B35,RD[#All],AT$2,0)/AT$1,"")</f>
        <v>4.7833064465441746</v>
      </c>
      <c r="AU35" s="182">
        <f>IFERROR(VLOOKUP($B35,RD[#All],AU$2,0)/AU$1,"")</f>
        <v>5.0713831704634176</v>
      </c>
      <c r="AV35" s="182">
        <f>IFERROR(VLOOKUP($B35,RD[#All],AV$2,0)/AV$1,"")</f>
        <v>5.0061618512939878</v>
      </c>
      <c r="AW35" s="182">
        <f>IFERROR(VLOOKUP($B35,RD[#All],AW$2,0)/AW$1,"")</f>
        <v>4.1775769869076163</v>
      </c>
      <c r="AX35" s="182">
        <f>IFERROR(VLOOKUP($B35,RD[#All],AX$2,0)/AX$1,"")</f>
        <v>4.2809561128526648</v>
      </c>
      <c r="AY35" s="182">
        <f>IFERROR(VLOOKUP($B35,RD[#All],AY$2,0)/AY$1,"")</f>
        <v>4.8744123223979843</v>
      </c>
      <c r="AZ35" s="182">
        <f>IFERROR(VLOOKUP($B35,RD[#All],AZ$2,0)/AZ$1,"")</f>
        <v>5.1063808271817166</v>
      </c>
      <c r="BA35" s="182">
        <f>IFERROR(VLOOKUP($B35,RD[#All],BA$2,0)/BA$1,"")</f>
        <v>4.666131776012346</v>
      </c>
      <c r="BB35" s="182">
        <f>IFERROR(VLOOKUP($B35,RD[#All],BB$2,0)/BB$1,"")</f>
        <v>4.7528846795171082</v>
      </c>
      <c r="BC35" s="182">
        <f>IFERROR(VLOOKUP($B35,RD[#All],BC$2,0)/BC$1,"")</f>
        <v>4.702418271383789</v>
      </c>
      <c r="BD35" s="182">
        <f>IFERROR(VLOOKUP($B35,RD[#All],BD$2,0)/BD$1,"")</f>
        <v>4.7469896136254528</v>
      </c>
      <c r="BE35" s="182">
        <f>IFERROR(VLOOKUP($B35,RD[#All],BE$2,0)/BE$1,"")</f>
        <v>4.8971716252114659</v>
      </c>
      <c r="BF35" s="182">
        <f>IFERROR(VLOOKUP($B35,RD[#All],BF$2,0)/BF$1,"")</f>
        <v>4.9617875755507086</v>
      </c>
      <c r="BG35" s="182">
        <f>IFERROR(VLOOKUP($B35,RD[#All],BG$2,0)/BG$1,"")</f>
        <v>5.046590549595928</v>
      </c>
      <c r="BH35" s="182">
        <f>IFERROR(VLOOKUP($B35,RD[#All],BH$2,0)/BH$1,"")</f>
        <v>5.0092030715251221</v>
      </c>
      <c r="BI35" s="182">
        <f>IFERROR(VLOOKUP($B35,RD[#All],BI$2,0)/BI$1,"")</f>
        <v>4.9289754215862587</v>
      </c>
      <c r="BJ35" s="182">
        <f>IFERROR(VLOOKUP($B35,RD[#All],BJ$2,0)/BJ$1,"")</f>
        <v>5.0280146665018739</v>
      </c>
      <c r="BK35" s="182">
        <f>IFERROR(VLOOKUP($B35,RD[#All],BK$2,0)/BK$1,"")</f>
        <v>4.899644404377332</v>
      </c>
      <c r="BL35" s="182">
        <f>IFERROR(VLOOKUP($B35,RD[#All],BL$2,0)/BL$1,"")</f>
        <v>4.8918273784715645</v>
      </c>
      <c r="BM35" s="182">
        <f>IFERROR(VLOOKUP($B35,RD[#All],BM$2,0)/BM$1,"")</f>
        <v>5.0630241338889945</v>
      </c>
      <c r="BN35" s="182">
        <f>IFERROR(VLOOKUP($B35,RD[#All],BN$2,0)/BN$1,"")</f>
        <v>4.9812749164418317</v>
      </c>
      <c r="BO35" s="182">
        <f>IFERROR(VLOOKUP($B35,RD[#All],BO$2,0)/BO$1,"")</f>
        <v>4.8234598297181686</v>
      </c>
      <c r="BP35" s="182">
        <f>IFERROR(VLOOKUP($B35,RD[#All],BP$2,0)/BP$1,"")</f>
        <v>4.9865997272771168</v>
      </c>
      <c r="BQ35" s="182">
        <f>IFERROR(VLOOKUP($B35,RD[#All],BQ$2,0)/BQ$1,"")</f>
        <v>4.804308677382779</v>
      </c>
      <c r="BR35" s="182">
        <f>IFERROR(VLOOKUP($B35,RD[#All],BR$2,0)/BR$1,"")</f>
        <v>5.2222386624250943</v>
      </c>
      <c r="BS35" s="182">
        <f>IFERROR(VLOOKUP($B35,RD[#All],BS$2,0)/BS$1,"")</f>
        <v>4.9056089415934032</v>
      </c>
      <c r="BT35" s="182">
        <f>IFERROR(VLOOKUP($B35,RD[#All],BT$2,0)/BT$1,"")</f>
        <v>4.9566715903495808</v>
      </c>
      <c r="BU35" s="182">
        <f>IFERROR(VLOOKUP($B35,RD[#All],BU$2,0)/BU$1,"")</f>
        <v>6.8452111097505233</v>
      </c>
      <c r="BV35" s="182">
        <f>IFERROR(VLOOKUP($B35,RD[#All],BV$2,0)/BV$1,"")</f>
        <v>5.9172453703703702</v>
      </c>
      <c r="BW35" s="182">
        <f>IFERROR(VLOOKUP($B35,RD[#All],BW$2,0)/BW$1,"")</f>
        <v>5.0124310885309695</v>
      </c>
      <c r="BX35" s="182">
        <f>IFERROR(VLOOKUP($B35,RD[#All],BX$2,0)/BX$1,"")</f>
        <v>4.9073090249133804</v>
      </c>
      <c r="BY35" s="174">
        <f>AVERAGEIF(Inv_SY_B[[#This Row],[IS1Inv1M1]:[IS14Inv2M4]],"&gt;="&amp;0.1,Inv_SY_B[[#This Row],[IS1Inv1M1]:[IS14Inv2M4]])</f>
        <v>4.7792022619322578</v>
      </c>
    </row>
    <row r="36" spans="2:77">
      <c r="B36" s="183"/>
    </row>
  </sheetData>
  <phoneticPr fontId="10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851F-1C88-4B07-A18E-0FF3FC150AF1}">
  <dimension ref="A1:BX56"/>
  <sheetViews>
    <sheetView topLeftCell="A2" workbookViewId="0">
      <pane xSplit="2" ySplit="2" topLeftCell="C16" activePane="bottomRight" state="frozen"/>
      <selection pane="topRight" activeCell="C2" sqref="C2"/>
      <selection pane="bottomLeft" activeCell="A4" sqref="A4"/>
      <selection pane="bottomRight" activeCell="X38" sqref="X38"/>
    </sheetView>
  </sheetViews>
  <sheetFormatPr defaultColWidth="8.85546875" defaultRowHeight="15"/>
  <cols>
    <col min="1" max="1" width="1.140625" style="144" customWidth="1"/>
    <col min="2" max="2" width="10.140625" style="144" bestFit="1" customWidth="1"/>
    <col min="3" max="49" width="12.7109375" style="144" bestFit="1" customWidth="1"/>
    <col min="50" max="50" width="12.85546875" style="144" customWidth="1"/>
    <col min="51" max="72" width="12.7109375" style="144" bestFit="1" customWidth="1"/>
    <col min="73" max="73" width="11.140625" style="144" customWidth="1"/>
    <col min="74" max="74" width="14.42578125" style="144" customWidth="1"/>
    <col min="75" max="75" width="11.28515625" style="144" customWidth="1"/>
    <col min="76" max="16384" width="8.85546875" style="144"/>
  </cols>
  <sheetData>
    <row r="1" spans="1:76" hidden="1">
      <c r="A1"/>
      <c r="B1"/>
      <c r="C1">
        <v>1596.3050000000001</v>
      </c>
      <c r="D1">
        <v>1596.3050000000001</v>
      </c>
      <c r="E1">
        <v>1501.4749999999999</v>
      </c>
      <c r="F1">
        <v>1515.25</v>
      </c>
      <c r="G1">
        <v>1560.49</v>
      </c>
      <c r="H1">
        <v>1582.53</v>
      </c>
      <c r="I1">
        <v>1473.4900000000002</v>
      </c>
      <c r="J1">
        <v>1675.33</v>
      </c>
      <c r="K1">
        <v>1568.2650000000001</v>
      </c>
      <c r="L1">
        <v>1522.2</v>
      </c>
      <c r="M1">
        <v>1547.15</v>
      </c>
      <c r="N1">
        <v>1558.46</v>
      </c>
      <c r="O1">
        <v>1622.26</v>
      </c>
      <c r="P1">
        <v>1512.9299999999998</v>
      </c>
      <c r="Q1">
        <v>1622.38</v>
      </c>
      <c r="R1">
        <v>1553.5300000000002</v>
      </c>
      <c r="S1">
        <v>2199.0699999999997</v>
      </c>
      <c r="T1">
        <v>2404.5300000000002</v>
      </c>
      <c r="U1">
        <v>2126.86</v>
      </c>
      <c r="V1">
        <v>2180.9900000000002</v>
      </c>
      <c r="W1">
        <v>2391.4</v>
      </c>
      <c r="X1">
        <v>1474.5050000000001</v>
      </c>
      <c r="Y1">
        <v>2181.09</v>
      </c>
      <c r="Z1">
        <v>2227.96</v>
      </c>
      <c r="AA1">
        <v>2149.9500000000003</v>
      </c>
      <c r="AB1">
        <v>2201.1000000000004</v>
      </c>
      <c r="AC1">
        <v>2181.09</v>
      </c>
      <c r="AD1">
        <v>2212.7000000000003</v>
      </c>
      <c r="AE1">
        <v>1818.3000000000002</v>
      </c>
      <c r="AF1">
        <v>1898.05</v>
      </c>
      <c r="AG1">
        <v>1834.25</v>
      </c>
      <c r="AH1">
        <v>1866.1</v>
      </c>
      <c r="AI1">
        <v>1802.35</v>
      </c>
      <c r="AJ1">
        <v>1913.9999999999998</v>
      </c>
      <c r="AK1">
        <v>1882.1</v>
      </c>
      <c r="AL1">
        <v>1850.2</v>
      </c>
      <c r="AM1">
        <v>1485.67</v>
      </c>
      <c r="AN1">
        <v>1485.67</v>
      </c>
      <c r="AO1">
        <v>1485.67</v>
      </c>
      <c r="AP1">
        <v>1485.67</v>
      </c>
      <c r="AQ1">
        <v>1519.6000000000001</v>
      </c>
      <c r="AR1">
        <v>1501.4749999999999</v>
      </c>
      <c r="AS1">
        <v>2133.6750000000002</v>
      </c>
      <c r="AT1">
        <v>2370.75</v>
      </c>
      <c r="AU1">
        <v>1722.7450000000001</v>
      </c>
      <c r="AV1">
        <v>2117.8700000000003</v>
      </c>
    </row>
    <row r="2" spans="1:76">
      <c r="A2"/>
      <c r="B2"/>
      <c r="C2">
        <v>8</v>
      </c>
      <c r="D2">
        <f>C2+1</f>
        <v>9</v>
      </c>
      <c r="E2">
        <f t="shared" ref="E2:AV2" si="0">D2+1</f>
        <v>10</v>
      </c>
      <c r="F2">
        <f t="shared" si="0"/>
        <v>11</v>
      </c>
      <c r="G2">
        <f t="shared" si="0"/>
        <v>12</v>
      </c>
      <c r="H2">
        <f t="shared" si="0"/>
        <v>13</v>
      </c>
      <c r="I2">
        <f t="shared" si="0"/>
        <v>14</v>
      </c>
      <c r="J2">
        <f t="shared" si="0"/>
        <v>15</v>
      </c>
      <c r="K2">
        <f t="shared" si="0"/>
        <v>16</v>
      </c>
      <c r="L2">
        <f t="shared" si="0"/>
        <v>17</v>
      </c>
      <c r="M2">
        <f t="shared" si="0"/>
        <v>18</v>
      </c>
      <c r="N2">
        <f t="shared" si="0"/>
        <v>19</v>
      </c>
      <c r="O2">
        <f t="shared" si="0"/>
        <v>20</v>
      </c>
      <c r="P2">
        <f t="shared" si="0"/>
        <v>21</v>
      </c>
      <c r="Q2">
        <f t="shared" si="0"/>
        <v>22</v>
      </c>
      <c r="R2">
        <f t="shared" si="0"/>
        <v>23</v>
      </c>
      <c r="S2">
        <f t="shared" si="0"/>
        <v>24</v>
      </c>
      <c r="T2">
        <f t="shared" si="0"/>
        <v>25</v>
      </c>
      <c r="U2">
        <f t="shared" si="0"/>
        <v>26</v>
      </c>
      <c r="V2">
        <f t="shared" si="0"/>
        <v>27</v>
      </c>
      <c r="W2">
        <f t="shared" si="0"/>
        <v>28</v>
      </c>
      <c r="X2">
        <f t="shared" si="0"/>
        <v>29</v>
      </c>
      <c r="Y2">
        <f t="shared" si="0"/>
        <v>30</v>
      </c>
      <c r="Z2">
        <f t="shared" si="0"/>
        <v>31</v>
      </c>
      <c r="AA2">
        <f t="shared" si="0"/>
        <v>32</v>
      </c>
      <c r="AB2">
        <f t="shared" si="0"/>
        <v>33</v>
      </c>
      <c r="AC2">
        <f t="shared" si="0"/>
        <v>34</v>
      </c>
      <c r="AD2">
        <f t="shared" si="0"/>
        <v>35</v>
      </c>
      <c r="AE2">
        <f t="shared" si="0"/>
        <v>36</v>
      </c>
      <c r="AF2">
        <f t="shared" si="0"/>
        <v>37</v>
      </c>
      <c r="AG2">
        <f t="shared" si="0"/>
        <v>38</v>
      </c>
      <c r="AH2">
        <f t="shared" si="0"/>
        <v>39</v>
      </c>
      <c r="AI2">
        <f t="shared" si="0"/>
        <v>40</v>
      </c>
      <c r="AJ2">
        <f t="shared" si="0"/>
        <v>41</v>
      </c>
      <c r="AK2">
        <f t="shared" si="0"/>
        <v>42</v>
      </c>
      <c r="AL2">
        <f t="shared" si="0"/>
        <v>43</v>
      </c>
      <c r="AM2">
        <f t="shared" si="0"/>
        <v>44</v>
      </c>
      <c r="AN2">
        <f t="shared" si="0"/>
        <v>45</v>
      </c>
      <c r="AO2">
        <f t="shared" si="0"/>
        <v>46</v>
      </c>
      <c r="AP2">
        <f t="shared" si="0"/>
        <v>47</v>
      </c>
      <c r="AQ2">
        <f t="shared" si="0"/>
        <v>48</v>
      </c>
      <c r="AR2">
        <f t="shared" si="0"/>
        <v>49</v>
      </c>
      <c r="AS2">
        <f t="shared" si="0"/>
        <v>50</v>
      </c>
      <c r="AT2">
        <f t="shared" si="0"/>
        <v>51</v>
      </c>
      <c r="AU2">
        <f t="shared" si="0"/>
        <v>52</v>
      </c>
      <c r="AV2">
        <f t="shared" si="0"/>
        <v>53</v>
      </c>
    </row>
    <row r="3" spans="1:76" ht="24">
      <c r="A3"/>
      <c r="B3" s="177" t="s">
        <v>68</v>
      </c>
      <c r="C3" s="178" t="s">
        <v>117</v>
      </c>
      <c r="D3" s="178" t="s">
        <v>118</v>
      </c>
      <c r="E3" s="178" t="s">
        <v>119</v>
      </c>
      <c r="F3" s="178" t="s">
        <v>120</v>
      </c>
      <c r="G3" s="178" t="s">
        <v>121</v>
      </c>
      <c r="H3" s="178" t="s">
        <v>122</v>
      </c>
      <c r="I3" s="178" t="s">
        <v>123</v>
      </c>
      <c r="J3" s="178" t="s">
        <v>124</v>
      </c>
      <c r="K3" s="178" t="s">
        <v>125</v>
      </c>
      <c r="L3" s="178" t="s">
        <v>126</v>
      </c>
      <c r="M3" s="178" t="s">
        <v>127</v>
      </c>
      <c r="N3" s="178" t="s">
        <v>128</v>
      </c>
      <c r="O3" s="178" t="s">
        <v>129</v>
      </c>
      <c r="P3" s="178" t="s">
        <v>130</v>
      </c>
      <c r="Q3" s="178" t="s">
        <v>131</v>
      </c>
      <c r="R3" s="178" t="s">
        <v>132</v>
      </c>
      <c r="S3" s="178" t="s">
        <v>133</v>
      </c>
      <c r="T3" s="178" t="s">
        <v>134</v>
      </c>
      <c r="U3" s="178" t="s">
        <v>135</v>
      </c>
      <c r="V3" s="178" t="s">
        <v>136</v>
      </c>
      <c r="W3" s="178" t="s">
        <v>137</v>
      </c>
      <c r="X3" s="178" t="s">
        <v>138</v>
      </c>
      <c r="Y3" s="178" t="s">
        <v>139</v>
      </c>
      <c r="Z3" s="178" t="s">
        <v>140</v>
      </c>
      <c r="AA3" s="178" t="s">
        <v>141</v>
      </c>
      <c r="AB3" s="178" t="s">
        <v>142</v>
      </c>
      <c r="AC3" s="178" t="s">
        <v>143</v>
      </c>
      <c r="AD3" s="178" t="s">
        <v>144</v>
      </c>
      <c r="AE3" s="178" t="s">
        <v>145</v>
      </c>
      <c r="AF3" s="178" t="s">
        <v>146</v>
      </c>
      <c r="AG3" s="178" t="s">
        <v>147</v>
      </c>
      <c r="AH3" s="178" t="s">
        <v>148</v>
      </c>
      <c r="AI3" s="178" t="s">
        <v>149</v>
      </c>
      <c r="AJ3" s="178" t="s">
        <v>150</v>
      </c>
      <c r="AK3" s="178" t="s">
        <v>151</v>
      </c>
      <c r="AL3" s="178" t="s">
        <v>152</v>
      </c>
      <c r="AM3" s="178" t="s">
        <v>153</v>
      </c>
      <c r="AN3" s="178" t="s">
        <v>154</v>
      </c>
      <c r="AO3" s="178" t="s">
        <v>155</v>
      </c>
      <c r="AP3" s="178" t="s">
        <v>156</v>
      </c>
      <c r="AQ3" s="178" t="s">
        <v>157</v>
      </c>
      <c r="AR3" s="178" t="s">
        <v>158</v>
      </c>
      <c r="AS3" s="178" t="s">
        <v>159</v>
      </c>
      <c r="AT3" s="178" t="s">
        <v>160</v>
      </c>
      <c r="AU3" s="178" t="s">
        <v>161</v>
      </c>
      <c r="AV3" s="178" t="s">
        <v>162</v>
      </c>
      <c r="AW3" s="178" t="s">
        <v>163</v>
      </c>
      <c r="AX3" s="178" t="s">
        <v>164</v>
      </c>
      <c r="AY3" s="178" t="s">
        <v>165</v>
      </c>
      <c r="AZ3" s="178" t="s">
        <v>166</v>
      </c>
      <c r="BA3" s="178" t="s">
        <v>167</v>
      </c>
      <c r="BB3" s="178" t="s">
        <v>168</v>
      </c>
      <c r="BC3" s="178" t="s">
        <v>169</v>
      </c>
      <c r="BD3" s="178" t="s">
        <v>170</v>
      </c>
      <c r="BE3" s="178" t="s">
        <v>171</v>
      </c>
      <c r="BF3" s="178" t="s">
        <v>172</v>
      </c>
      <c r="BG3" s="178" t="s">
        <v>173</v>
      </c>
      <c r="BH3" s="178" t="s">
        <v>174</v>
      </c>
      <c r="BI3" s="178" t="s">
        <v>175</v>
      </c>
      <c r="BJ3" s="178" t="s">
        <v>176</v>
      </c>
      <c r="BK3" s="178" t="s">
        <v>177</v>
      </c>
      <c r="BL3" s="178" t="s">
        <v>178</v>
      </c>
      <c r="BM3" s="178" t="s">
        <v>179</v>
      </c>
      <c r="BN3" s="178" t="s">
        <v>180</v>
      </c>
      <c r="BO3" s="178" t="s">
        <v>181</v>
      </c>
      <c r="BP3" s="178" t="s">
        <v>182</v>
      </c>
      <c r="BQ3" s="178" t="s">
        <v>183</v>
      </c>
      <c r="BR3" s="178" t="s">
        <v>184</v>
      </c>
      <c r="BS3" s="178" t="s">
        <v>185</v>
      </c>
      <c r="BT3" s="178" t="s">
        <v>186</v>
      </c>
      <c r="BU3" s="178" t="s">
        <v>187</v>
      </c>
      <c r="BV3" s="178" t="s">
        <v>188</v>
      </c>
      <c r="BW3" s="178" t="s">
        <v>189</v>
      </c>
      <c r="BX3" s="178" t="s">
        <v>190</v>
      </c>
    </row>
    <row r="4" spans="1:76">
      <c r="A4"/>
      <c r="B4" s="179">
        <f>O2Summary!B5-31</f>
        <v>45822</v>
      </c>
      <c r="C4" s="184">
        <f>IFERROR(Inv_SY_B!C4/Inv_SY_B!$BY4-1,"")</f>
        <v>-1.1609304432699585E-2</v>
      </c>
      <c r="D4" s="184">
        <f>IFERROR(Inv_SY_B!D4/Inv_SY_B!$BY4-1,"")</f>
        <v>-9.6530506644398884E-3</v>
      </c>
      <c r="E4" s="184">
        <f>IFERROR(Inv_SY_B!E4/Inv_SY_B!$BY4-1,"")</f>
        <v>-1.8899747423379964E-2</v>
      </c>
      <c r="F4" s="184">
        <f>IFERROR(Inv_SY_B!F4/Inv_SY_B!$BY4-1,"")</f>
        <v>-4.1901652544500845E-2</v>
      </c>
      <c r="G4" s="184">
        <f>IFERROR(Inv_SY_B!G4/Inv_SY_B!$BY4-1,"")</f>
        <v>-3.1122251694243874E-2</v>
      </c>
      <c r="H4" s="184">
        <f>IFERROR(Inv_SY_B!H4/Inv_SY_B!$BY4-1,"")</f>
        <v>-2.6231866705484164E-2</v>
      </c>
      <c r="I4" s="184">
        <f>IFERROR(Inv_SY_B!I4/Inv_SY_B!$BY4-1,"")</f>
        <v>-1.2993090023009635E-2</v>
      </c>
      <c r="J4" s="184">
        <f>IFERROR(Inv_SY_B!J4/Inv_SY_B!$BY4-1,"")</f>
        <v>-2.4922456620544708E-2</v>
      </c>
      <c r="K4" s="184">
        <f>IFERROR(Inv_SY_B!K4/Inv_SY_B!$BY4-1,"")</f>
        <v>-2.6892754821667086E-2</v>
      </c>
      <c r="L4" s="184">
        <f>IFERROR(Inv_SY_B!L4/Inv_SY_B!$BY4-1,"")</f>
        <v>-2.1972784699244685E-2</v>
      </c>
      <c r="M4" s="184">
        <f>IFERROR(Inv_SY_B!M4/Inv_SY_B!$BY4-1,"")</f>
        <v>3.8327507551322304E-2</v>
      </c>
      <c r="N4" s="184">
        <f>IFERROR(Inv_SY_B!N4/Inv_SY_B!$BY4-1,"")</f>
        <v>5.1569126322292824E-4</v>
      </c>
      <c r="O4" s="184">
        <f>IFERROR(Inv_SY_B!O4/Inv_SY_B!$BY4-1,"")</f>
        <v>5.840721143047678E-2</v>
      </c>
      <c r="P4" s="184">
        <f>IFERROR(Inv_SY_B!P4/Inv_SY_B!$BY4-1,"")</f>
        <v>1.6157678932076536E-2</v>
      </c>
      <c r="Q4" s="184">
        <f>IFERROR(Inv_SY_B!Q4/Inv_SY_B!$BY4-1,"")</f>
        <v>-1.5937399308982525E-2</v>
      </c>
      <c r="R4" s="184">
        <f>IFERROR(Inv_SY_B!R4/Inv_SY_B!$BY4-1,"")</f>
        <v>-1.153147301838664E-2</v>
      </c>
      <c r="S4" s="184">
        <f>IFERROR(Inv_SY_B!S4/Inv_SY_B!$BY4-1,"")</f>
        <v>1.7812289077710375E-2</v>
      </c>
      <c r="T4" s="184">
        <f>IFERROR(Inv_SY_B!T4/Inv_SY_B!$BY4-1,"")</f>
        <v>5.5207640277081804E-3</v>
      </c>
      <c r="U4" s="184">
        <f>IFERROR(Inv_SY_B!U4/Inv_SY_B!$BY4-1,"")</f>
        <v>-4.7896468928598779E-4</v>
      </c>
      <c r="V4" s="184">
        <f>IFERROR(Inv_SY_B!V4/Inv_SY_B!$BY4-1,"")</f>
        <v>1.4953124498220616E-2</v>
      </c>
      <c r="W4" s="184">
        <f>IFERROR(Inv_SY_B!W4/Inv_SY_B!$BY4-1,"")</f>
        <v>-1.118910065527412E-2</v>
      </c>
      <c r="X4" s="184">
        <f>IFERROR(Inv_SY_B!X4/Inv_SY_B!$BY4-1,"")</f>
        <v>1.3799785588533897E-2</v>
      </c>
      <c r="Y4" s="184">
        <f>IFERROR(Inv_SY_B!Y4/Inv_SY_B!$BY4-1,"")</f>
        <v>4.5836796259842494E-2</v>
      </c>
      <c r="Z4" s="184">
        <f>IFERROR(Inv_SY_B!Z4/Inv_SY_B!$BY4-1,"")</f>
        <v>2.7442200860494648E-2</v>
      </c>
      <c r="AA4" s="184">
        <f>IFERROR(Inv_SY_B!AA4/Inv_SY_B!$BY4-1,"")</f>
        <v>3.4992460309554607E-2</v>
      </c>
      <c r="AB4" s="184">
        <f>IFERROR(Inv_SY_B!AB4/Inv_SY_B!$BY4-1,"")</f>
        <v>2.9907048458134966E-2</v>
      </c>
      <c r="AC4" s="184">
        <f>IFERROR(Inv_SY_B!AC4/Inv_SY_B!$BY4-1,"")</f>
        <v>2.9514835471623924E-2</v>
      </c>
      <c r="AD4" s="184">
        <f>IFERROR(Inv_SY_B!AD4/Inv_SY_B!$BY4-1,"")</f>
        <v>1.8806156536436136E-2</v>
      </c>
      <c r="AE4" s="184">
        <f>IFERROR(Inv_SY_B!AE4/Inv_SY_B!$BY4-1,"")</f>
        <v>3.1240688012635243E-2</v>
      </c>
      <c r="AF4" s="184">
        <f>IFERROR(Inv_SY_B!AF4/Inv_SY_B!$BY4-1,"")</f>
        <v>9.4884763250946413E-4</v>
      </c>
      <c r="AG4" s="184">
        <f>IFERROR(Inv_SY_B!AG4/Inv_SY_B!$BY4-1,"")</f>
        <v>-4.3999588300537629E-2</v>
      </c>
      <c r="AH4" s="184">
        <f>IFERROR(Inv_SY_B!AH4/Inv_SY_B!$BY4-1,"")</f>
        <v>-6.6697624472289774E-2</v>
      </c>
      <c r="AI4" s="184">
        <f>IFERROR(Inv_SY_B!AI4/Inv_SY_B!$BY4-1,"")</f>
        <v>-5.5234943237931766E-3</v>
      </c>
      <c r="AJ4" s="184">
        <f>IFERROR(Inv_SY_B!AJ4/Inv_SY_B!$BY4-1,"")</f>
        <v>-2.6491205832797515E-2</v>
      </c>
      <c r="AK4" s="184">
        <f>IFERROR(Inv_SY_B!AK4/Inv_SY_B!$BY4-1,"")</f>
        <v>-1.7544267896973498E-2</v>
      </c>
      <c r="AL4" s="184">
        <f>IFERROR(Inv_SY_B!AL4/Inv_SY_B!$BY4-1,"")</f>
        <v>-3.1087142664002698E-2</v>
      </c>
      <c r="AM4" s="184">
        <f>IFERROR(Inv_SY_B!AM4/Inv_SY_B!$BY4-1,"")</f>
        <v>-4.1098511945894978E-2</v>
      </c>
      <c r="AN4" s="184">
        <f>IFERROR(Inv_SY_B!AN4/Inv_SY_B!$BY4-1,"")</f>
        <v>-4.6591561534046533E-2</v>
      </c>
      <c r="AO4" s="184">
        <f>IFERROR(Inv_SY_B!AO4/Inv_SY_B!$BY4-1,"")</f>
        <v>-3.0588850744074469E-2</v>
      </c>
      <c r="AP4" s="184">
        <f>IFERROR(Inv_SY_B!AP4/Inv_SY_B!$BY4-1,"")</f>
        <v>-4.1855207552425999E-2</v>
      </c>
      <c r="AQ4" s="184">
        <f>IFERROR(Inv_SY_B!AQ4/Inv_SY_B!$BY4-1,"")</f>
        <v>-4.895980003177991E-2</v>
      </c>
      <c r="AR4" s="184">
        <f>IFERROR(Inv_SY_B!AR4/Inv_SY_B!$BY4-1,"")</f>
        <v>-5.5629132647527668E-2</v>
      </c>
      <c r="AS4" s="184">
        <f>IFERROR(Inv_SY_B!AS4/Inv_SY_B!$BY4-1,"")</f>
        <v>5.3733934039033038E-3</v>
      </c>
      <c r="AT4" s="184">
        <f>IFERROR(Inv_SY_B!AT4/Inv_SY_B!$BY4-1,"")</f>
        <v>-2.0580178517800585E-3</v>
      </c>
      <c r="AU4" s="184">
        <f>IFERROR(Inv_SY_B!AU4/Inv_SY_B!$BY4-1,"")</f>
        <v>2.0470219494321817E-3</v>
      </c>
      <c r="AV4" s="184">
        <f>IFERROR(Inv_SY_B!AV4/Inv_SY_B!$BY4-1,"")</f>
        <v>-4.7479601762164481E-2</v>
      </c>
      <c r="AW4" s="184">
        <f>IFERROR(Inv_SY_B!AW4/Inv_SY_B!$BY4-1,"")</f>
        <v>-0.13000247118673902</v>
      </c>
      <c r="AX4" s="184">
        <f>IFERROR(Inv_SY_B!AX4/Inv_SY_B!$BY4-1,"")</f>
        <v>-0.10328231818169542</v>
      </c>
      <c r="AY4" s="184">
        <f>IFERROR(Inv_SY_B!AY4/Inv_SY_B!$BY4-1,"")</f>
        <v>-3.4677033589439632E-2</v>
      </c>
      <c r="AZ4" s="184">
        <f>IFERROR(Inv_SY_B!AZ4/Inv_SY_B!$BY4-1,"")</f>
        <v>4.5420534615940866E-2</v>
      </c>
      <c r="BA4" s="184">
        <f>IFERROR(Inv_SY_B!BA4/Inv_SY_B!$BY4-1,"")</f>
        <v>-0.17331634043733746</v>
      </c>
      <c r="BB4" s="184">
        <f>IFERROR(Inv_SY_B!BB4/Inv_SY_B!$BY4-1,"")</f>
        <v>-0.12030781141833102</v>
      </c>
      <c r="BC4" s="184">
        <f>IFERROR(Inv_SY_B!BC4/Inv_SY_B!$BY4-1,"")</f>
        <v>6.1133757339857375E-3</v>
      </c>
      <c r="BD4" s="184">
        <f>IFERROR(Inv_SY_B!BD4/Inv_SY_B!$BY4-1,"")</f>
        <v>2.3990381781961556E-2</v>
      </c>
      <c r="BE4" s="184">
        <f>IFERROR(Inv_SY_B!BE4/Inv_SY_B!$BY4-1,"")</f>
        <v>9.6039015075015888E-2</v>
      </c>
      <c r="BF4" s="184">
        <f>IFERROR(Inv_SY_B!BF4/Inv_SY_B!$BY4-1,"")</f>
        <v>8.319796042788874E-2</v>
      </c>
      <c r="BG4" s="184">
        <f>IFERROR(Inv_SY_B!BG4/Inv_SY_B!$BY4-1,"")</f>
        <v>0.12382036553140052</v>
      </c>
      <c r="BH4" s="184">
        <f>IFERROR(Inv_SY_B!BH4/Inv_SY_B!$BY4-1,"")</f>
        <v>0.11572251233810671</v>
      </c>
      <c r="BI4" s="184">
        <f>IFERROR(Inv_SY_B!BI4/Inv_SY_B!$BY4-1,"")</f>
        <v>8.1432116034211743E-2</v>
      </c>
      <c r="BJ4" s="184">
        <f>IFERROR(Inv_SY_B!BJ4/Inv_SY_B!$BY4-1,"")</f>
        <v>0.10769644263067546</v>
      </c>
      <c r="BK4" s="184">
        <f>IFERROR(Inv_SY_B!BK4/Inv_SY_B!$BY4-1,"")</f>
        <v>9.918520900485106E-2</v>
      </c>
      <c r="BL4" s="184">
        <f>IFERROR(Inv_SY_B!BL4/Inv_SY_B!$BY4-1,"")</f>
        <v>0.10075556413607134</v>
      </c>
      <c r="BM4" s="184">
        <f>IFERROR(Inv_SY_B!BM4/Inv_SY_B!$BY4-1,"")</f>
        <v>0.14237520777071855</v>
      </c>
      <c r="BN4" s="184">
        <f>IFERROR(Inv_SY_B!BN4/Inv_SY_B!$BY4-1,"")</f>
        <v>0.12613125949943682</v>
      </c>
      <c r="BO4" s="184">
        <f>IFERROR(Inv_SY_B!BO4/Inv_SY_B!$BY4-1,"")</f>
        <v>2.7378663059692387E-2</v>
      </c>
      <c r="BP4" s="184">
        <f>IFERROR(Inv_SY_B!BP4/Inv_SY_B!$BY4-1,"")</f>
        <v>0.10226142386461068</v>
      </c>
      <c r="BQ4" s="184">
        <f>IFERROR(Inv_SY_B!BQ4/Inv_SY_B!$BY4-1,"")</f>
        <v>-1</v>
      </c>
      <c r="BR4" s="184">
        <f>IFERROR(Inv_SY_B!BR4/Inv_SY_B!$BY4-1,"")</f>
        <v>-1</v>
      </c>
      <c r="BS4" s="184">
        <f>IFERROR(Inv_SY_B!BS4/Inv_SY_B!$BY4-1,"")</f>
        <v>-1</v>
      </c>
      <c r="BT4" s="184">
        <f>IFERROR(Inv_SY_B!BT4/Inv_SY_B!$BY4-1,"")</f>
        <v>-1</v>
      </c>
      <c r="BU4" s="184">
        <f>IFERROR(Inv_SY_B!BU4/Inv_SY_B!$BY4-1,"")</f>
        <v>-0.5725239589563591</v>
      </c>
      <c r="BV4" s="184">
        <f>IFERROR(Inv_SY_B!BV4/Inv_SY_B!$BY4-1,"")</f>
        <v>0.34332449991089553</v>
      </c>
      <c r="BW4" s="184">
        <f>IFERROR(Inv_SY_B!BW4/Inv_SY_B!$BY4-1,"")</f>
        <v>-0.24956418342512932</v>
      </c>
      <c r="BX4" s="184">
        <f>IFERROR(Inv_SY_B!BX4/Inv_SY_B!$BY4-1,"")</f>
        <v>0.13816598937696911</v>
      </c>
    </row>
    <row r="5" spans="1:76">
      <c r="A5"/>
      <c r="B5" s="179">
        <f>B4+1</f>
        <v>45823</v>
      </c>
      <c r="C5" s="184">
        <f>IFERROR(Inv_SY_B!C5/Inv_SY_B!$BY5-1,"")</f>
        <v>4.6674805552989307E-2</v>
      </c>
      <c r="D5" s="184">
        <f>IFERROR(Inv_SY_B!D5/Inv_SY_B!$BY5-1,"")</f>
        <v>5.6040732488847E-2</v>
      </c>
      <c r="E5" s="184">
        <f>IFERROR(Inv_SY_B!E5/Inv_SY_B!$BY5-1,"")</f>
        <v>7.0848786299688271E-2</v>
      </c>
      <c r="F5" s="184">
        <f>IFERROR(Inv_SY_B!F5/Inv_SY_B!$BY5-1,"")</f>
        <v>1.6644166884155043E-2</v>
      </c>
      <c r="G5" s="184">
        <f>IFERROR(Inv_SY_B!G5/Inv_SY_B!$BY5-1,"")</f>
        <v>-5.7284767393328551E-3</v>
      </c>
      <c r="H5" s="184">
        <f>IFERROR(Inv_SY_B!H5/Inv_SY_B!$BY5-1,"")</f>
        <v>1.8782843479791644E-2</v>
      </c>
      <c r="I5" s="184">
        <f>IFERROR(Inv_SY_B!I5/Inv_SY_B!$BY5-1,"")</f>
        <v>5.4175058313569391E-2</v>
      </c>
      <c r="J5" s="184">
        <f>IFERROR(Inv_SY_B!J5/Inv_SY_B!$BY5-1,"")</f>
        <v>1.9363130836890896E-2</v>
      </c>
      <c r="K5" s="184">
        <f>IFERROR(Inv_SY_B!K5/Inv_SY_B!$BY5-1,"")</f>
        <v>7.0045839352739225E-3</v>
      </c>
      <c r="L5" s="184">
        <f>IFERROR(Inv_SY_B!L5/Inv_SY_B!$BY5-1,"")</f>
        <v>-9.941709392040643E-3</v>
      </c>
      <c r="M5" s="184">
        <f>IFERROR(Inv_SY_B!M5/Inv_SY_B!$BY5-1,"")</f>
        <v>8.1073154299617922E-3</v>
      </c>
      <c r="N5" s="184">
        <f>IFERROR(Inv_SY_B!N5/Inv_SY_B!$BY5-1,"")</f>
        <v>-2.9791315260994322E-2</v>
      </c>
      <c r="O5" s="184">
        <f>IFERROR(Inv_SY_B!O5/Inv_SY_B!$BY5-1,"")</f>
        <v>7.5746107825144904E-2</v>
      </c>
      <c r="P5" s="184">
        <f>IFERROR(Inv_SY_B!P5/Inv_SY_B!$BY5-1,"")</f>
        <v>-9.7752300487079835E-2</v>
      </c>
      <c r="Q5" s="184">
        <f>IFERROR(Inv_SY_B!Q5/Inv_SY_B!$BY5-1,"")</f>
        <v>-1.3637471496386055E-3</v>
      </c>
      <c r="R5" s="184">
        <f>IFERROR(Inv_SY_B!R5/Inv_SY_B!$BY5-1,"")</f>
        <v>2.3727121730298562E-2</v>
      </c>
      <c r="S5" s="184">
        <f>IFERROR(Inv_SY_B!S5/Inv_SY_B!$BY5-1,"")</f>
        <v>-2.9834290934083407E-2</v>
      </c>
      <c r="T5" s="184">
        <f>IFERROR(Inv_SY_B!T5/Inv_SY_B!$BY5-1,"")</f>
        <v>-9.2884407646094624E-2</v>
      </c>
      <c r="U5" s="184">
        <f>IFERROR(Inv_SY_B!U5/Inv_SY_B!$BY5-1,"")</f>
        <v>2.1852279221335813E-2</v>
      </c>
      <c r="V5" s="184">
        <f>IFERROR(Inv_SY_B!V5/Inv_SY_B!$BY5-1,"")</f>
        <v>4.1000583564930748E-2</v>
      </c>
      <c r="W5" s="184">
        <f>IFERROR(Inv_SY_B!W5/Inv_SY_B!$BY5-1,"")</f>
        <v>-9.1327715764123907E-2</v>
      </c>
      <c r="X5" s="184">
        <f>IFERROR(Inv_SY_B!X5/Inv_SY_B!$BY5-1,"")</f>
        <v>-5.6408827016386609E-2</v>
      </c>
      <c r="Y5" s="184">
        <f>IFERROR(Inv_SY_B!Y5/Inv_SY_B!$BY5-1,"")</f>
        <v>-3.9296753026880293E-2</v>
      </c>
      <c r="Z5" s="184">
        <f>IFERROR(Inv_SY_B!Z5/Inv_SY_B!$BY5-1,"")</f>
        <v>-5.4668188770579662E-2</v>
      </c>
      <c r="AA5" s="184">
        <f>IFERROR(Inv_SY_B!AA5/Inv_SY_B!$BY5-1,"")</f>
        <v>-6.5196577911976639E-2</v>
      </c>
      <c r="AB5" s="184">
        <f>IFERROR(Inv_SY_B!AB5/Inv_SY_B!$BY5-1,"")</f>
        <v>-7.2939581412003962E-2</v>
      </c>
      <c r="AC5" s="184">
        <f>IFERROR(Inv_SY_B!AC5/Inv_SY_B!$BY5-1,"")</f>
        <v>-6.2902942223926339E-2</v>
      </c>
      <c r="AD5" s="184">
        <f>IFERROR(Inv_SY_B!AD5/Inv_SY_B!$BY5-1,"")</f>
        <v>-8.4848022204799367E-2</v>
      </c>
      <c r="AE5" s="184">
        <f>IFERROR(Inv_SY_B!AE5/Inv_SY_B!$BY5-1,"")</f>
        <v>-8.3641704617861468E-2</v>
      </c>
      <c r="AF5" s="184">
        <f>IFERROR(Inv_SY_B!AF5/Inv_SY_B!$BY5-1,"")</f>
        <v>-0.10714311941811694</v>
      </c>
      <c r="AG5" s="184">
        <f>IFERROR(Inv_SY_B!AG5/Inv_SY_B!$BY5-1,"")</f>
        <v>-0.10693744841894948</v>
      </c>
      <c r="AH5" s="184">
        <f>IFERROR(Inv_SY_B!AH5/Inv_SY_B!$BY5-1,"")</f>
        <v>-0.11451378214156127</v>
      </c>
      <c r="AI5" s="184">
        <f>IFERROR(Inv_SY_B!AI5/Inv_SY_B!$BY5-1,"")</f>
        <v>-0.11282773272861257</v>
      </c>
      <c r="AJ5" s="184">
        <f>IFERROR(Inv_SY_B!AJ5/Inv_SY_B!$BY5-1,"")</f>
        <v>-0.11911484685684748</v>
      </c>
      <c r="AK5" s="184">
        <f>IFERROR(Inv_SY_B!AK5/Inv_SY_B!$BY5-1,"")</f>
        <v>-0.12413445606322471</v>
      </c>
      <c r="AL5" s="184">
        <f>IFERROR(Inv_SY_B!AL5/Inv_SY_B!$BY5-1,"")</f>
        <v>-0.11843381006244891</v>
      </c>
      <c r="AM5" s="184">
        <f>IFERROR(Inv_SY_B!AM5/Inv_SY_B!$BY5-1,"")</f>
        <v>-0.12949354233871435</v>
      </c>
      <c r="AN5" s="184">
        <f>IFERROR(Inv_SY_B!AN5/Inv_SY_B!$BY5-1,"")</f>
        <v>-0.12419049266788862</v>
      </c>
      <c r="AO5" s="184">
        <f>IFERROR(Inv_SY_B!AO5/Inv_SY_B!$BY5-1,"")</f>
        <v>-0.11910452690171647</v>
      </c>
      <c r="AP5" s="184">
        <f>IFERROR(Inv_SY_B!AP5/Inv_SY_B!$BY5-1,"")</f>
        <v>-0.11915104488128503</v>
      </c>
      <c r="AQ5" s="184">
        <f>IFERROR(Inv_SY_B!AQ5/Inv_SY_B!$BY5-1,"")</f>
        <v>-0.12508410246357049</v>
      </c>
      <c r="AR5" s="184">
        <f>IFERROR(Inv_SY_B!AR5/Inv_SY_B!$BY5-1,"")</f>
        <v>-0.12653597816403395</v>
      </c>
      <c r="AS5" s="184">
        <f>IFERROR(Inv_SY_B!AS5/Inv_SY_B!$BY5-1,"")</f>
        <v>-0.10807919144790301</v>
      </c>
      <c r="AT5" s="184">
        <f>IFERROR(Inv_SY_B!AT5/Inv_SY_B!$BY5-1,"")</f>
        <v>-9.7196877325625097E-2</v>
      </c>
      <c r="AU5" s="184">
        <f>IFERROR(Inv_SY_B!AU5/Inv_SY_B!$BY5-1,"")</f>
        <v>-0.10837238801909288</v>
      </c>
      <c r="AV5" s="184">
        <f>IFERROR(Inv_SY_B!AV5/Inv_SY_B!$BY5-1,"")</f>
        <v>-0.14462785455718263</v>
      </c>
      <c r="AW5" s="184">
        <f>IFERROR(Inv_SY_B!AW5/Inv_SY_B!$BY5-1,"")</f>
        <v>-5.9954156725510632E-2</v>
      </c>
      <c r="AX5" s="184">
        <f>IFERROR(Inv_SY_B!AX5/Inv_SY_B!$BY5-1,"")</f>
        <v>-4.0445977943694533E-2</v>
      </c>
      <c r="AY5" s="184">
        <f>IFERROR(Inv_SY_B!AY5/Inv_SY_B!$BY5-1,"")</f>
        <v>8.6897947926459995E-2</v>
      </c>
      <c r="AZ5" s="184">
        <f>IFERROR(Inv_SY_B!AZ5/Inv_SY_B!$BY5-1,"")</f>
        <v>0.16952062901391529</v>
      </c>
      <c r="BA5" s="184">
        <f>IFERROR(Inv_SY_B!BA5/Inv_SY_B!$BY5-1,"")</f>
        <v>9.4854490875223574E-2</v>
      </c>
      <c r="BB5" s="184">
        <f>IFERROR(Inv_SY_B!BB5/Inv_SY_B!$BY5-1,"")</f>
        <v>0.12389045622600525</v>
      </c>
      <c r="BC5" s="184">
        <f>IFERROR(Inv_SY_B!BC5/Inv_SY_B!$BY5-1,"")</f>
        <v>0.11583479069923186</v>
      </c>
      <c r="BD5" s="184">
        <f>IFERROR(Inv_SY_B!BD5/Inv_SY_B!$BY5-1,"")</f>
        <v>0.14067649107753022</v>
      </c>
      <c r="BE5" s="184">
        <f>IFERROR(Inv_SY_B!BE5/Inv_SY_B!$BY5-1,"")</f>
        <v>0.19005227646279144</v>
      </c>
      <c r="BF5" s="184">
        <f>IFERROR(Inv_SY_B!BF5/Inv_SY_B!$BY5-1,"")</f>
        <v>0.17679062840011572</v>
      </c>
      <c r="BG5" s="184">
        <f>IFERROR(Inv_SY_B!BG5/Inv_SY_B!$BY5-1,"")</f>
        <v>0.20742561140891413</v>
      </c>
      <c r="BH5" s="184">
        <f>IFERROR(Inv_SY_B!BH5/Inv_SY_B!$BY5-1,"")</f>
        <v>1.6319179072827206E-2</v>
      </c>
      <c r="BI5" s="184">
        <f>IFERROR(Inv_SY_B!BI5/Inv_SY_B!$BY5-1,"")</f>
        <v>0.14909246698378698</v>
      </c>
      <c r="BJ5" s="184">
        <f>IFERROR(Inv_SY_B!BJ5/Inv_SY_B!$BY5-1,"")</f>
        <v>0.16196286405055638</v>
      </c>
      <c r="BK5" s="184">
        <f>IFERROR(Inv_SY_B!BK5/Inv_SY_B!$BY5-1,"")</f>
        <v>0.12968702244208385</v>
      </c>
      <c r="BL5" s="184">
        <f>IFERROR(Inv_SY_B!BL5/Inv_SY_B!$BY5-1,"")</f>
        <v>0.14475491750949332</v>
      </c>
      <c r="BM5" s="184">
        <f>IFERROR(Inv_SY_B!BM5/Inv_SY_B!$BY5-1,"")</f>
        <v>0.23072238283318969</v>
      </c>
      <c r="BN5" s="184">
        <f>IFERROR(Inv_SY_B!BN5/Inv_SY_B!$BY5-1,"")</f>
        <v>0.22416444778941336</v>
      </c>
      <c r="BO5" s="184">
        <f>IFERROR(Inv_SY_B!BO5/Inv_SY_B!$BY5-1,"")</f>
        <v>8.7190172855959203E-2</v>
      </c>
      <c r="BP5" s="184">
        <f>IFERROR(Inv_SY_B!BP5/Inv_SY_B!$BY5-1,"")</f>
        <v>0.1800251125336354</v>
      </c>
      <c r="BQ5" s="184">
        <f>IFERROR(Inv_SY_B!BQ5/Inv_SY_B!$BY5-1,"")</f>
        <v>-1</v>
      </c>
      <c r="BR5" s="184">
        <f>IFERROR(Inv_SY_B!BR5/Inv_SY_B!$BY5-1,"")</f>
        <v>-1</v>
      </c>
      <c r="BS5" s="184">
        <f>IFERROR(Inv_SY_B!BS5/Inv_SY_B!$BY5-1,"")</f>
        <v>-1</v>
      </c>
      <c r="BT5" s="184">
        <f>IFERROR(Inv_SY_B!BT5/Inv_SY_B!$BY5-1,"")</f>
        <v>-1</v>
      </c>
      <c r="BU5" s="184">
        <f>IFERROR(Inv_SY_B!BU5/Inv_SY_B!$BY5-1,"")</f>
        <v>-0.54466876363593231</v>
      </c>
      <c r="BV5" s="184">
        <f>IFERROR(Inv_SY_B!BV5/Inv_SY_B!$BY5-1,"")</f>
        <v>0.4338001425932958</v>
      </c>
      <c r="BW5" s="184">
        <f>IFERROR(Inv_SY_B!BW5/Inv_SY_B!$BY5-1,"")</f>
        <v>-0.19349242125604527</v>
      </c>
      <c r="BX5" s="184">
        <f>IFERROR(Inv_SY_B!BX5/Inv_SY_B!$BY5-1,"")</f>
        <v>0.19839952825846452</v>
      </c>
    </row>
    <row r="6" spans="1:76">
      <c r="A6"/>
      <c r="B6" s="179">
        <f t="shared" ref="B6:B34" si="1">B5+1</f>
        <v>45824</v>
      </c>
      <c r="C6" s="184">
        <f>IFERROR(Inv_SY_B!C6/Inv_SY_B!$BY6-1,"")</f>
        <v>-1.7168902582178625E-2</v>
      </c>
      <c r="D6" s="184">
        <f>IFERROR(Inv_SY_B!D6/Inv_SY_B!$BY6-1,"")</f>
        <v>-2.2471919853497391E-2</v>
      </c>
      <c r="E6" s="184">
        <f>IFERROR(Inv_SY_B!E6/Inv_SY_B!$BY6-1,"")</f>
        <v>-9.9068572550397027E-3</v>
      </c>
      <c r="F6" s="184">
        <f>IFERROR(Inv_SY_B!F6/Inv_SY_B!$BY6-1,"")</f>
        <v>-2.1783692677562194E-2</v>
      </c>
      <c r="G6" s="184">
        <f>IFERROR(Inv_SY_B!G6/Inv_SY_B!$BY6-1,"")</f>
        <v>-2.351695461767267E-2</v>
      </c>
      <c r="H6" s="184">
        <f>IFERROR(Inv_SY_B!H6/Inv_SY_B!$BY6-1,"")</f>
        <v>-2.1946137496713924E-2</v>
      </c>
      <c r="I6" s="184">
        <f>IFERROR(Inv_SY_B!I6/Inv_SY_B!$BY6-1,"")</f>
        <v>-1.9141384770214875E-3</v>
      </c>
      <c r="J6" s="184">
        <f>IFERROR(Inv_SY_B!J6/Inv_SY_B!$BY6-1,"")</f>
        <v>-3.8232648726570284E-2</v>
      </c>
      <c r="K6" s="184">
        <f>IFERROR(Inv_SY_B!K6/Inv_SY_B!$BY6-1,"")</f>
        <v>-2.7118229174687647E-2</v>
      </c>
      <c r="L6" s="184">
        <f>IFERROR(Inv_SY_B!L6/Inv_SY_B!$BY6-1,"")</f>
        <v>-1.8187923405467266E-2</v>
      </c>
      <c r="M6" s="184">
        <f>IFERROR(Inv_SY_B!M6/Inv_SY_B!$BY6-1,"")</f>
        <v>2.6727687653322452E-2</v>
      </c>
      <c r="N6" s="184">
        <f>IFERROR(Inv_SY_B!N6/Inv_SY_B!$BY6-1,"")</f>
        <v>-9.305953964779845E-3</v>
      </c>
      <c r="O6" s="184">
        <f>IFERROR(Inv_SY_B!O6/Inv_SY_B!$BY6-1,"")</f>
        <v>5.9981603993123356E-2</v>
      </c>
      <c r="P6" s="184">
        <f>IFERROR(Inv_SY_B!P6/Inv_SY_B!$BY6-1,"")</f>
        <v>1.8386544894207324E-2</v>
      </c>
      <c r="Q6" s="184">
        <f>IFERROR(Inv_SY_B!Q6/Inv_SY_B!$BY6-1,"")</f>
        <v>-1.4760423100554254E-2</v>
      </c>
      <c r="R6" s="184">
        <f>IFERROR(Inv_SY_B!R6/Inv_SY_B!$BY6-1,"")</f>
        <v>-3.7623847854137971E-3</v>
      </c>
      <c r="S6" s="184">
        <f>IFERROR(Inv_SY_B!S6/Inv_SY_B!$BY6-1,"")</f>
        <v>1.6035343333454799E-2</v>
      </c>
      <c r="T6" s="184">
        <f>IFERROR(Inv_SY_B!T6/Inv_SY_B!$BY6-1,"")</f>
        <v>7.3599309835170601E-4</v>
      </c>
      <c r="U6" s="184">
        <f>IFERROR(Inv_SY_B!U6/Inv_SY_B!$BY6-1,"")</f>
        <v>4.2120093932456193E-3</v>
      </c>
      <c r="V6" s="184">
        <f>IFERROR(Inv_SY_B!V6/Inv_SY_B!$BY6-1,"")</f>
        <v>2.931749459958044E-2</v>
      </c>
      <c r="W6" s="184">
        <f>IFERROR(Inv_SY_B!W6/Inv_SY_B!$BY6-1,"")</f>
        <v>-1.2447534739641331E-3</v>
      </c>
      <c r="X6" s="184">
        <f>IFERROR(Inv_SY_B!X6/Inv_SY_B!$BY6-1,"")</f>
        <v>5.5133502021054603E-2</v>
      </c>
      <c r="Y6" s="184">
        <f>IFERROR(Inv_SY_B!Y6/Inv_SY_B!$BY6-1,"")</f>
        <v>7.4573955621210608E-2</v>
      </c>
      <c r="Z6" s="184">
        <f>IFERROR(Inv_SY_B!Z6/Inv_SY_B!$BY6-1,"")</f>
        <v>3.8961814927306548E-2</v>
      </c>
      <c r="AA6" s="184">
        <f>IFERROR(Inv_SY_B!AA6/Inv_SY_B!$BY6-1,"")</f>
        <v>4.8876981952675091E-2</v>
      </c>
      <c r="AB6" s="184">
        <f>IFERROR(Inv_SY_B!AB6/Inv_SY_B!$BY6-1,"")</f>
        <v>4.3698108999487673E-2</v>
      </c>
      <c r="AC6" s="184">
        <f>IFERROR(Inv_SY_B!AC6/Inv_SY_B!$BY6-1,"")</f>
        <v>6.3665274822328977E-2</v>
      </c>
      <c r="AD6" s="184">
        <f>IFERROR(Inv_SY_B!AD6/Inv_SY_B!$BY6-1,"")</f>
        <v>2.754162946769223E-2</v>
      </c>
      <c r="AE6" s="184">
        <f>IFERROR(Inv_SY_B!AE6/Inv_SY_B!$BY6-1,"")</f>
        <v>7.1571224148821111E-2</v>
      </c>
      <c r="AF6" s="184">
        <f>IFERROR(Inv_SY_B!AF6/Inv_SY_B!$BY6-1,"")</f>
        <v>4.3514303549737177E-2</v>
      </c>
      <c r="AG6" s="184">
        <f>IFERROR(Inv_SY_B!AG6/Inv_SY_B!$BY6-1,"")</f>
        <v>3.8586917073942351E-2</v>
      </c>
      <c r="AH6" s="184">
        <f>IFERROR(Inv_SY_B!AH6/Inv_SY_B!$BY6-1,"")</f>
        <v>2.3799862030821739E-2</v>
      </c>
      <c r="AI6" s="184">
        <f>IFERROR(Inv_SY_B!AI6/Inv_SY_B!$BY6-1,"")</f>
        <v>4.2123333927147177E-2</v>
      </c>
      <c r="AJ6" s="184">
        <f>IFERROR(Inv_SY_B!AJ6/Inv_SY_B!$BY6-1,"")</f>
        <v>3.7469229894192768E-2</v>
      </c>
      <c r="AK6" s="184">
        <f>IFERROR(Inv_SY_B!AK6/Inv_SY_B!$BY6-1,"")</f>
        <v>3.444474332568781E-2</v>
      </c>
      <c r="AL6" s="184">
        <f>IFERROR(Inv_SY_B!AL6/Inv_SY_B!$BY6-1,"")</f>
        <v>3.9149678656127618E-2</v>
      </c>
      <c r="AM6" s="184">
        <f>IFERROR(Inv_SY_B!AM6/Inv_SY_B!$BY6-1,"")</f>
        <v>1.4938286590047589E-2</v>
      </c>
      <c r="AN6" s="184">
        <f>IFERROR(Inv_SY_B!AN6/Inv_SY_B!$BY6-1,"")</f>
        <v>1.0470980242733852E-2</v>
      </c>
      <c r="AO6" s="184">
        <f>IFERROR(Inv_SY_B!AO6/Inv_SY_B!$BY6-1,"")</f>
        <v>1.3539092526549279E-2</v>
      </c>
      <c r="AP6" s="184">
        <f>IFERROR(Inv_SY_B!AP6/Inv_SY_B!$BY6-1,"")</f>
        <v>8.2288981891764923E-3</v>
      </c>
      <c r="AQ6" s="184">
        <f>IFERROR(Inv_SY_B!AQ6/Inv_SY_B!$BY6-1,"")</f>
        <v>1.3810323510132783E-4</v>
      </c>
      <c r="AR6" s="184">
        <f>IFERROR(Inv_SY_B!AR6/Inv_SY_B!$BY6-1,"")</f>
        <v>1.8194004626634896E-3</v>
      </c>
      <c r="AS6" s="184">
        <f>IFERROR(Inv_SY_B!AS6/Inv_SY_B!$BY6-1,"")</f>
        <v>3.0243883766573942E-2</v>
      </c>
      <c r="AT6" s="184">
        <f>IFERROR(Inv_SY_B!AT6/Inv_SY_B!$BY6-1,"")</f>
        <v>6.5041470938269619E-3</v>
      </c>
      <c r="AU6" s="184">
        <f>IFERROR(Inv_SY_B!AU6/Inv_SY_B!$BY6-1,"")</f>
        <v>6.0102544972619798E-2</v>
      </c>
      <c r="AV6" s="184">
        <f>IFERROR(Inv_SY_B!AV6/Inv_SY_B!$BY6-1,"")</f>
        <v>4.4540180354875059E-3</v>
      </c>
      <c r="AW6" s="184">
        <f>IFERROR(Inv_SY_B!AW6/Inv_SY_B!$BY6-1,"")</f>
        <v>-7.377584113830904E-2</v>
      </c>
      <c r="AX6" s="184">
        <f>IFERROR(Inv_SY_B!AX6/Inv_SY_B!$BY6-1,"")</f>
        <v>-4.9119143720405378E-2</v>
      </c>
      <c r="AY6" s="184">
        <f>IFERROR(Inv_SY_B!AY6/Inv_SY_B!$BY6-1,"")</f>
        <v>3.279435733061109E-2</v>
      </c>
      <c r="AZ6" s="184">
        <f>IFERROR(Inv_SY_B!AZ6/Inv_SY_B!$BY6-1,"")</f>
        <v>8.4315442932274776E-2</v>
      </c>
      <c r="BA6" s="184">
        <f>IFERROR(Inv_SY_B!BA6/Inv_SY_B!$BY6-1,"")</f>
        <v>2.2573183778993311E-3</v>
      </c>
      <c r="BB6" s="184">
        <f>IFERROR(Inv_SY_B!BB6/Inv_SY_B!$BY6-1,"")</f>
        <v>1.370746578807891E-2</v>
      </c>
      <c r="BC6" s="184">
        <f>IFERROR(Inv_SY_B!BC6/Inv_SY_B!$BY6-1,"")</f>
        <v>-3.1322686162609248E-3</v>
      </c>
      <c r="BD6" s="184">
        <f>IFERROR(Inv_SY_B!BD6/Inv_SY_B!$BY6-1,"")</f>
        <v>2.7245475140515119E-2</v>
      </c>
      <c r="BE6" s="184">
        <f>IFERROR(Inv_SY_B!BE6/Inv_SY_B!$BY6-1,"")</f>
        <v>3.3863919262129727E-2</v>
      </c>
      <c r="BF6" s="184">
        <f>IFERROR(Inv_SY_B!BF6/Inv_SY_B!$BY6-1,"")</f>
        <v>1.5247049769564036E-2</v>
      </c>
      <c r="BG6" s="184">
        <f>IFERROR(Inv_SY_B!BG6/Inv_SY_B!$BY6-1,"")</f>
        <v>3.3322439915047131E-2</v>
      </c>
      <c r="BH6" s="184">
        <f>IFERROR(Inv_SY_B!BH6/Inv_SY_B!$BY6-1,"")</f>
        <v>2.3778649082149883E-2</v>
      </c>
      <c r="BI6" s="184">
        <f>IFERROR(Inv_SY_B!BI6/Inv_SY_B!$BY6-1,"")</f>
        <v>7.0053472020044083E-3</v>
      </c>
      <c r="BJ6" s="184">
        <f>IFERROR(Inv_SY_B!BJ6/Inv_SY_B!$BY6-1,"")</f>
        <v>-3.0846089278285804E-3</v>
      </c>
      <c r="BK6" s="184">
        <f>IFERROR(Inv_SY_B!BK6/Inv_SY_B!$BY6-1,"")</f>
        <v>-9.9850757334410956E-3</v>
      </c>
      <c r="BL6" s="184">
        <f>IFERROR(Inv_SY_B!BL6/Inv_SY_B!$BY6-1,"")</f>
        <v>1.2111245977295626E-2</v>
      </c>
      <c r="BM6" s="184">
        <f>IFERROR(Inv_SY_B!BM6/Inv_SY_B!$BY6-1,"")</f>
        <v>3.9863477333584196E-2</v>
      </c>
      <c r="BN6" s="184">
        <f>IFERROR(Inv_SY_B!BN6/Inv_SY_B!$BY6-1,"")</f>
        <v>2.9344500385553696E-2</v>
      </c>
      <c r="BO6" s="184">
        <f>IFERROR(Inv_SY_B!BO6/Inv_SY_B!$BY6-1,"")</f>
        <v>-7.7387412753779694E-2</v>
      </c>
      <c r="BP6" s="184">
        <f>IFERROR(Inv_SY_B!BP6/Inv_SY_B!$BY6-1,"")</f>
        <v>-3.27293188298039E-3</v>
      </c>
      <c r="BQ6" s="184">
        <f>IFERROR(Inv_SY_B!BQ6/Inv_SY_B!$BY6-1,"")</f>
        <v>-1</v>
      </c>
      <c r="BR6" s="184">
        <f>IFERROR(Inv_SY_B!BR6/Inv_SY_B!$BY6-1,"")</f>
        <v>-1</v>
      </c>
      <c r="BS6" s="184">
        <f>IFERROR(Inv_SY_B!BS6/Inv_SY_B!$BY6-1,"")</f>
        <v>-1</v>
      </c>
      <c r="BT6" s="184">
        <f>IFERROR(Inv_SY_B!BT6/Inv_SY_B!$BY6-1,"")</f>
        <v>-1</v>
      </c>
      <c r="BU6" s="184">
        <f>IFERROR(Inv_SY_B!BU6/Inv_SY_B!$BY6-1,"")</f>
        <v>-0.64614268392679208</v>
      </c>
      <c r="BV6" s="184">
        <f>IFERROR(Inv_SY_B!BV6/Inv_SY_B!$BY6-1,"")</f>
        <v>9.9635017042903451E-2</v>
      </c>
      <c r="BW6" s="184">
        <f>IFERROR(Inv_SY_B!BW6/Inv_SY_B!$BY6-1,"")</f>
        <v>-0.34474745513722105</v>
      </c>
      <c r="BX6" s="184">
        <f>IFERROR(Inv_SY_B!BX6/Inv_SY_B!$BY6-1,"")</f>
        <v>-1.4699566097846617E-3</v>
      </c>
    </row>
    <row r="7" spans="1:76">
      <c r="A7"/>
      <c r="B7" s="179">
        <f t="shared" si="1"/>
        <v>45825</v>
      </c>
      <c r="C7" s="184">
        <f>IFERROR(Inv_SY_B!C7/Inv_SY_B!$BY7-1,"")</f>
        <v>1.1701248797820751E-2</v>
      </c>
      <c r="D7" s="184">
        <f>IFERROR(Inv_SY_B!D7/Inv_SY_B!$BY7-1,"")</f>
        <v>2.0837444773041724E-2</v>
      </c>
      <c r="E7" s="184">
        <f>IFERROR(Inv_SY_B!E7/Inv_SY_B!$BY7-1,"")</f>
        <v>4.2694125623165213E-2</v>
      </c>
      <c r="F7" s="184">
        <f>IFERROR(Inv_SY_B!F7/Inv_SY_B!$BY7-1,"")</f>
        <v>9.9219724212216143E-3</v>
      </c>
      <c r="G7" s="184">
        <f>IFERROR(Inv_SY_B!G7/Inv_SY_B!$BY7-1,"")</f>
        <v>-5.9127749083607295E-3</v>
      </c>
      <c r="H7" s="184">
        <f>IFERROR(Inv_SY_B!H7/Inv_SY_B!$BY7-1,"")</f>
        <v>-1.2627579958296553E-2</v>
      </c>
      <c r="I7" s="184">
        <f>IFERROR(Inv_SY_B!I7/Inv_SY_B!$BY7-1,"")</f>
        <v>2.8031397307726857E-2</v>
      </c>
      <c r="J7" s="184">
        <f>IFERROR(Inv_SY_B!J7/Inv_SY_B!$BY7-1,"")</f>
        <v>-1.828190469962232E-2</v>
      </c>
      <c r="K7" s="184">
        <f>IFERROR(Inv_SY_B!K7/Inv_SY_B!$BY7-1,"")</f>
        <v>1.3558854341403137E-2</v>
      </c>
      <c r="L7" s="184">
        <f>IFERROR(Inv_SY_B!L7/Inv_SY_B!$BY7-1,"")</f>
        <v>2.5800910147907086E-2</v>
      </c>
      <c r="M7" s="184">
        <f>IFERROR(Inv_SY_B!M7/Inv_SY_B!$BY7-1,"")</f>
        <v>6.7591626818693795E-2</v>
      </c>
      <c r="N7" s="184">
        <f>IFERROR(Inv_SY_B!N7/Inv_SY_B!$BY7-1,"")</f>
        <v>3.0101217285226634E-2</v>
      </c>
      <c r="O7" s="184">
        <f>IFERROR(Inv_SY_B!O7/Inv_SY_B!$BY7-1,"")</f>
        <v>0.10247004797383386</v>
      </c>
      <c r="P7" s="184">
        <f>IFERROR(Inv_SY_B!P7/Inv_SY_B!$BY7-1,"")</f>
        <v>4.9300723250115031E-2</v>
      </c>
      <c r="Q7" s="184">
        <f>IFERROR(Inv_SY_B!Q7/Inv_SY_B!$BY7-1,"")</f>
        <v>2.887739989257887E-2</v>
      </c>
      <c r="R7" s="184">
        <f>IFERROR(Inv_SY_B!R7/Inv_SY_B!$BY7-1,"")</f>
        <v>4.7019899586076219E-2</v>
      </c>
      <c r="S7" s="184">
        <f>IFERROR(Inv_SY_B!S7/Inv_SY_B!$BY7-1,"")</f>
        <v>4.9165847660223028E-2</v>
      </c>
      <c r="T7" s="184">
        <f>IFERROR(Inv_SY_B!T7/Inv_SY_B!$BY7-1,"")</f>
        <v>6.3518564140312428E-3</v>
      </c>
      <c r="U7" s="184">
        <f>IFERROR(Inv_SY_B!U7/Inv_SY_B!$BY7-1,"")</f>
        <v>4.8306769605488409E-2</v>
      </c>
      <c r="V7" s="184">
        <f>IFERROR(Inv_SY_B!V7/Inv_SY_B!$BY7-1,"")</f>
        <v>8.2160523768159521E-2</v>
      </c>
      <c r="W7" s="184">
        <f>IFERROR(Inv_SY_B!W7/Inv_SY_B!$BY7-1,"")</f>
        <v>3.1002854744826225E-2</v>
      </c>
      <c r="X7" s="184">
        <f>IFERROR(Inv_SY_B!X7/Inv_SY_B!$BY7-1,"")</f>
        <v>8.3562237735121059E-2</v>
      </c>
      <c r="Y7" s="184">
        <f>IFERROR(Inv_SY_B!Y7/Inv_SY_B!$BY7-1,"")</f>
        <v>0.11512662800664408</v>
      </c>
      <c r="Z7" s="184">
        <f>IFERROR(Inv_SY_B!Z7/Inv_SY_B!$BY7-1,"")</f>
        <v>7.3603596760416945E-2</v>
      </c>
      <c r="AA7" s="184">
        <f>IFERROR(Inv_SY_B!AA7/Inv_SY_B!$BY7-1,"")</f>
        <v>8.3548955376329559E-2</v>
      </c>
      <c r="AB7" s="184">
        <f>IFERROR(Inv_SY_B!AB7/Inv_SY_B!$BY7-1,"")</f>
        <v>7.1194473898804844E-2</v>
      </c>
      <c r="AC7" s="184">
        <f>IFERROR(Inv_SY_B!AC7/Inv_SY_B!$BY7-1,"")</f>
        <v>9.7081222291610869E-2</v>
      </c>
      <c r="AD7" s="184">
        <f>IFERROR(Inv_SY_B!AD7/Inv_SY_B!$BY7-1,"")</f>
        <v>8.3496906767495771E-2</v>
      </c>
      <c r="AE7" s="184">
        <f>IFERROR(Inv_SY_B!AE7/Inv_SY_B!$BY7-1,"")</f>
        <v>-3.2400837451209474E-2</v>
      </c>
      <c r="AF7" s="184">
        <f>IFERROR(Inv_SY_B!AF7/Inv_SY_B!$BY7-1,"")</f>
        <v>-5.0238325139528306E-2</v>
      </c>
      <c r="AG7" s="184">
        <f>IFERROR(Inv_SY_B!AG7/Inv_SY_B!$BY7-1,"")</f>
        <v>-5.5054651182433578E-2</v>
      </c>
      <c r="AH7" s="184">
        <f>IFERROR(Inv_SY_B!AH7/Inv_SY_B!$BY7-1,"")</f>
        <v>-5.8459303662002471E-2</v>
      </c>
      <c r="AI7" s="184">
        <f>IFERROR(Inv_SY_B!AI7/Inv_SY_B!$BY7-1,"")</f>
        <v>-5.1377164642119499E-2</v>
      </c>
      <c r="AJ7" s="184">
        <f>IFERROR(Inv_SY_B!AJ7/Inv_SY_B!$BY7-1,"")</f>
        <v>-4.6735912580305627E-2</v>
      </c>
      <c r="AK7" s="184">
        <f>IFERROR(Inv_SY_B!AK7/Inv_SY_B!$BY7-1,"")</f>
        <v>-5.488948547014505E-2</v>
      </c>
      <c r="AL7" s="184">
        <f>IFERROR(Inv_SY_B!AL7/Inv_SY_B!$BY7-1,"")</f>
        <v>-4.5205944346929705E-2</v>
      </c>
      <c r="AM7" s="184">
        <f>IFERROR(Inv_SY_B!AM7/Inv_SY_B!$BY7-1,"")</f>
        <v>-4.7530742388728675E-2</v>
      </c>
      <c r="AN7" s="184">
        <f>IFERROR(Inv_SY_B!AN7/Inv_SY_B!$BY7-1,"")</f>
        <v>-3.9366482155552274E-2</v>
      </c>
      <c r="AO7" s="184">
        <f>IFERROR(Inv_SY_B!AO7/Inv_SY_B!$BY7-1,"")</f>
        <v>-5.8027648402812604E-2</v>
      </c>
      <c r="AP7" s="184">
        <f>IFERROR(Inv_SY_B!AP7/Inv_SY_B!$BY7-1,"")</f>
        <v>-5.8694118625929104E-2</v>
      </c>
      <c r="AQ7" s="184">
        <f>IFERROR(Inv_SY_B!AQ7/Inv_SY_B!$BY7-1,"")</f>
        <v>-6.4019388473652183E-2</v>
      </c>
      <c r="AR7" s="184">
        <f>IFERROR(Inv_SY_B!AR7/Inv_SY_B!$BY7-1,"")</f>
        <v>-5.2555869408726252E-2</v>
      </c>
      <c r="AS7" s="184">
        <f>IFERROR(Inv_SY_B!AS7/Inv_SY_B!$BY7-1,"")</f>
        <v>-5.7347601934410575E-2</v>
      </c>
      <c r="AT7" s="184">
        <f>IFERROR(Inv_SY_B!AT7/Inv_SY_B!$BY7-1,"")</f>
        <v>-7.3836720984495452E-2</v>
      </c>
      <c r="AU7" s="184">
        <f>IFERROR(Inv_SY_B!AU7/Inv_SY_B!$BY7-1,"")</f>
        <v>-3.3634736329989146E-2</v>
      </c>
      <c r="AV7" s="184">
        <f>IFERROR(Inv_SY_B!AV7/Inv_SY_B!$BY7-1,"")</f>
        <v>-6.0393866377795091E-2</v>
      </c>
      <c r="AW7" s="184">
        <f>IFERROR(Inv_SY_B!AW7/Inv_SY_B!$BY7-1,"")</f>
        <v>-0.13990418542115135</v>
      </c>
      <c r="AX7" s="184">
        <f>IFERROR(Inv_SY_B!AX7/Inv_SY_B!$BY7-1,"")</f>
        <v>-0.11392395693500601</v>
      </c>
      <c r="AY7" s="184">
        <f>IFERROR(Inv_SY_B!AY7/Inv_SY_B!$BY7-1,"")</f>
        <v>1.0284200767063378E-2</v>
      </c>
      <c r="AZ7" s="184">
        <f>IFERROR(Inv_SY_B!AZ7/Inv_SY_B!$BY7-1,"")</f>
        <v>7.669782506942413E-2</v>
      </c>
      <c r="BA7" s="184">
        <f>IFERROR(Inv_SY_B!BA7/Inv_SY_B!$BY7-1,"")</f>
        <v>-2.2871807144136946E-3</v>
      </c>
      <c r="BB7" s="184">
        <f>IFERROR(Inv_SY_B!BB7/Inv_SY_B!$BY7-1,"")</f>
        <v>1.4061709162597635E-2</v>
      </c>
      <c r="BC7" s="184">
        <f>IFERROR(Inv_SY_B!BC7/Inv_SY_B!$BY7-1,"")</f>
        <v>1.4897167328074001E-3</v>
      </c>
      <c r="BD7" s="184">
        <f>IFERROR(Inv_SY_B!BD7/Inv_SY_B!$BY7-1,"")</f>
        <v>2.2181466702476449E-2</v>
      </c>
      <c r="BE7" s="184">
        <f>IFERROR(Inv_SY_B!BE7/Inv_SY_B!$BY7-1,"")</f>
        <v>6.2980004503334852E-2</v>
      </c>
      <c r="BF7" s="184">
        <f>IFERROR(Inv_SY_B!BF7/Inv_SY_B!$BY7-1,"")</f>
        <v>4.5424680435308229E-2</v>
      </c>
      <c r="BG7" s="184">
        <f>IFERROR(Inv_SY_B!BG7/Inv_SY_B!$BY7-1,"")</f>
        <v>6.4737618287576515E-2</v>
      </c>
      <c r="BH7" s="184">
        <f>IFERROR(Inv_SY_B!BH7/Inv_SY_B!$BY7-1,"")</f>
        <v>-9.7133230533142823E-2</v>
      </c>
      <c r="BI7" s="184">
        <f>IFERROR(Inv_SY_B!BI7/Inv_SY_B!$BY7-1,"")</f>
        <v>3.310488161981362E-2</v>
      </c>
      <c r="BJ7" s="184">
        <f>IFERROR(Inv_SY_B!BJ7/Inv_SY_B!$BY7-1,"")</f>
        <v>4.233174230529535E-2</v>
      </c>
      <c r="BK7" s="184">
        <f>IFERROR(Inv_SY_B!BK7/Inv_SY_B!$BY7-1,"")</f>
        <v>1.7683395664136681E-2</v>
      </c>
      <c r="BL7" s="184">
        <f>IFERROR(Inv_SY_B!BL7/Inv_SY_B!$BY7-1,"")</f>
        <v>2.9717845006992372E-2</v>
      </c>
      <c r="BM7" s="184">
        <f>IFERROR(Inv_SY_B!BM7/Inv_SY_B!$BY7-1,"")</f>
        <v>9.1790366145141356E-2</v>
      </c>
      <c r="BN7" s="184">
        <f>IFERROR(Inv_SY_B!BN7/Inv_SY_B!$BY7-1,"")</f>
        <v>7.4849790028323593E-2</v>
      </c>
      <c r="BO7" s="184">
        <f>IFERROR(Inv_SY_B!BO7/Inv_SY_B!$BY7-1,"")</f>
        <v>-2.7556919571591565E-2</v>
      </c>
      <c r="BP7" s="184">
        <f>IFERROR(Inv_SY_B!BP7/Inv_SY_B!$BY7-1,"")</f>
        <v>5.4692348473493801E-2</v>
      </c>
      <c r="BQ7" s="184">
        <f>IFERROR(Inv_SY_B!BQ7/Inv_SY_B!$BY7-1,"")</f>
        <v>-1</v>
      </c>
      <c r="BR7" s="184">
        <f>IFERROR(Inv_SY_B!BR7/Inv_SY_B!$BY7-1,"")</f>
        <v>-1</v>
      </c>
      <c r="BS7" s="184">
        <f>IFERROR(Inv_SY_B!BS7/Inv_SY_B!$BY7-1,"")</f>
        <v>-1</v>
      </c>
      <c r="BT7" s="184">
        <f>IFERROR(Inv_SY_B!BT7/Inv_SY_B!$BY7-1,"")</f>
        <v>-1</v>
      </c>
      <c r="BU7" s="184">
        <f>IFERROR(Inv_SY_B!BU7/Inv_SY_B!$BY7-1,"")</f>
        <v>-0.60345872996545324</v>
      </c>
      <c r="BV7" s="184">
        <f>IFERROR(Inv_SY_B!BV7/Inv_SY_B!$BY7-1,"")</f>
        <v>0.24748237740448076</v>
      </c>
      <c r="BW7" s="184">
        <f>IFERROR(Inv_SY_B!BW7/Inv_SY_B!$BY7-1,"")</f>
        <v>-0.29091172213812477</v>
      </c>
      <c r="BX7" s="184">
        <f>IFERROR(Inv_SY_B!BX7/Inv_SY_B!$BY7-1,"")</f>
        <v>5.9748274845756066E-2</v>
      </c>
    </row>
    <row r="8" spans="1:76">
      <c r="A8"/>
      <c r="B8" s="179">
        <f t="shared" si="1"/>
        <v>45826</v>
      </c>
      <c r="C8" s="184">
        <f>IFERROR(Inv_SY_B!C8/Inv_SY_B!$BY8-1,"")</f>
        <v>-4.9843053423546113E-3</v>
      </c>
      <c r="D8" s="184">
        <f>IFERROR(Inv_SY_B!D8/Inv_SY_B!$BY8-1,"")</f>
        <v>-9.913471022413245E-3</v>
      </c>
      <c r="E8" s="184">
        <f>IFERROR(Inv_SY_B!E8/Inv_SY_B!$BY8-1,"")</f>
        <v>-8.9784777531355386E-3</v>
      </c>
      <c r="F8" s="184">
        <f>IFERROR(Inv_SY_B!F8/Inv_SY_B!$BY8-1,"")</f>
        <v>-1.1622346727020116E-2</v>
      </c>
      <c r="G8" s="184">
        <f>IFERROR(Inv_SY_B!G8/Inv_SY_B!$BY8-1,"")</f>
        <v>-8.192659616384268E-3</v>
      </c>
      <c r="H8" s="184">
        <f>IFERROR(Inv_SY_B!H8/Inv_SY_B!$BY8-1,"")</f>
        <v>-1.8003033971940585E-2</v>
      </c>
      <c r="I8" s="184">
        <f>IFERROR(Inv_SY_B!I8/Inv_SY_B!$BY8-1,"")</f>
        <v>1.8478644940784772E-3</v>
      </c>
      <c r="J8" s="184">
        <f>IFERROR(Inv_SY_B!J8/Inv_SY_B!$BY8-1,"")</f>
        <v>-7.0780597458054428E-3</v>
      </c>
      <c r="K8" s="184">
        <f>IFERROR(Inv_SY_B!K8/Inv_SY_B!$BY8-1,"")</f>
        <v>-1.1728181788075442E-3</v>
      </c>
      <c r="L8" s="184">
        <f>IFERROR(Inv_SY_B!L8/Inv_SY_B!$BY8-1,"")</f>
        <v>9.0019438075608083E-3</v>
      </c>
      <c r="M8" s="184">
        <f>IFERROR(Inv_SY_B!M8/Inv_SY_B!$BY8-1,"")</f>
        <v>5.0160945714548433E-2</v>
      </c>
      <c r="N8" s="184">
        <f>IFERROR(Inv_SY_B!N8/Inv_SY_B!$BY8-1,"")</f>
        <v>1.3278735316871293E-2</v>
      </c>
      <c r="O8" s="184">
        <f>IFERROR(Inv_SY_B!O8/Inv_SY_B!$BY8-1,"")</f>
        <v>8.4498219231808669E-2</v>
      </c>
      <c r="P8" s="184">
        <f>IFERROR(Inv_SY_B!P8/Inv_SY_B!$BY8-1,"")</f>
        <v>1.2867981824586483E-2</v>
      </c>
      <c r="Q8" s="184">
        <f>IFERROR(Inv_SY_B!Q8/Inv_SY_B!$BY8-1,"")</f>
        <v>1.2622217326694996E-2</v>
      </c>
      <c r="R8" s="184">
        <f>IFERROR(Inv_SY_B!R8/Inv_SY_B!$BY8-1,"")</f>
        <v>1.1282029334139354E-2</v>
      </c>
      <c r="S8" s="184">
        <f>IFERROR(Inv_SY_B!S8/Inv_SY_B!$BY8-1,"")</f>
        <v>1.394229738143582E-2</v>
      </c>
      <c r="T8" s="184">
        <f>IFERROR(Inv_SY_B!T8/Inv_SY_B!$BY8-1,"")</f>
        <v>1.7458088107145109E-2</v>
      </c>
      <c r="U8" s="184">
        <f>IFERROR(Inv_SY_B!U8/Inv_SY_B!$BY8-1,"")</f>
        <v>1.4605057165716806E-2</v>
      </c>
      <c r="V8" s="184">
        <f>IFERROR(Inv_SY_B!V8/Inv_SY_B!$BY8-1,"")</f>
        <v>2.1190663212069971E-2</v>
      </c>
      <c r="W8" s="184">
        <f>IFERROR(Inv_SY_B!W8/Inv_SY_B!$BY8-1,"")</f>
        <v>1.1831809129014381E-2</v>
      </c>
      <c r="X8" s="184">
        <f>IFERROR(Inv_SY_B!X8/Inv_SY_B!$BY8-1,"")</f>
        <v>1.6227432141386666E-2</v>
      </c>
      <c r="Y8" s="184">
        <f>IFERROR(Inv_SY_B!Y8/Inv_SY_B!$BY8-1,"")</f>
        <v>4.9106893216129155E-2</v>
      </c>
      <c r="Z8" s="184">
        <f>IFERROR(Inv_SY_B!Z8/Inv_SY_B!$BY8-1,"")</f>
        <v>4.658907134533008E-2</v>
      </c>
      <c r="AA8" s="184">
        <f>IFERROR(Inv_SY_B!AA8/Inv_SY_B!$BY8-1,"")</f>
        <v>3.6134437907573425E-2</v>
      </c>
      <c r="AB8" s="184">
        <f>IFERROR(Inv_SY_B!AB8/Inv_SY_B!$BY8-1,"")</f>
        <v>2.6236198963209167E-2</v>
      </c>
      <c r="AC8" s="184">
        <f>IFERROR(Inv_SY_B!AC8/Inv_SY_B!$BY8-1,"")</f>
        <v>3.2160005659324087E-2</v>
      </c>
      <c r="AD8" s="184">
        <f>IFERROR(Inv_SY_B!AD8/Inv_SY_B!$BY8-1,"")</f>
        <v>2.5731410115856557E-2</v>
      </c>
      <c r="AE8" s="184">
        <f>IFERROR(Inv_SY_B!AE8/Inv_SY_B!$BY8-1,"")</f>
        <v>6.9164700202801521E-2</v>
      </c>
      <c r="AF8" s="184">
        <f>IFERROR(Inv_SY_B!AF8/Inv_SY_B!$BY8-1,"")</f>
        <v>5.0871958764078684E-2</v>
      </c>
      <c r="AG8" s="184">
        <f>IFERROR(Inv_SY_B!AG8/Inv_SY_B!$BY8-1,"")</f>
        <v>4.8737142942162581E-2</v>
      </c>
      <c r="AH8" s="184">
        <f>IFERROR(Inv_SY_B!AH8/Inv_SY_B!$BY8-1,"")</f>
        <v>4.5187408357210357E-2</v>
      </c>
      <c r="AI8" s="184">
        <f>IFERROR(Inv_SY_B!AI8/Inv_SY_B!$BY8-1,"")</f>
        <v>4.3011726575448828E-2</v>
      </c>
      <c r="AJ8" s="184">
        <f>IFERROR(Inv_SY_B!AJ8/Inv_SY_B!$BY8-1,"")</f>
        <v>4.0732403565307829E-2</v>
      </c>
      <c r="AK8" s="184">
        <f>IFERROR(Inv_SY_B!AK8/Inv_SY_B!$BY8-1,"")</f>
        <v>2.7435040775875441E-2</v>
      </c>
      <c r="AL8" s="184">
        <f>IFERROR(Inv_SY_B!AL8/Inv_SY_B!$BY8-1,"")</f>
        <v>3.8444485771821357E-2</v>
      </c>
      <c r="AM8" s="184">
        <f>IFERROR(Inv_SY_B!AM8/Inv_SY_B!$BY8-1,"")</f>
        <v>3.2038989623624836E-2</v>
      </c>
      <c r="AN8" s="184">
        <f>IFERROR(Inv_SY_B!AN8/Inv_SY_B!$BY8-1,"")</f>
        <v>4.0196894147819462E-2</v>
      </c>
      <c r="AO8" s="184">
        <f>IFERROR(Inv_SY_B!AO8/Inv_SY_B!$BY8-1,"")</f>
        <v>4.5087365708134763E-2</v>
      </c>
      <c r="AP8" s="184">
        <f>IFERROR(Inv_SY_B!AP8/Inv_SY_B!$BY8-1,"")</f>
        <v>4.5898885006353085E-2</v>
      </c>
      <c r="AQ8" s="184">
        <f>IFERROR(Inv_SY_B!AQ8/Inv_SY_B!$BY8-1,"")</f>
        <v>4.2339028774261767E-2</v>
      </c>
      <c r="AR8" s="184">
        <f>IFERROR(Inv_SY_B!AR8/Inv_SY_B!$BY8-1,"")</f>
        <v>4.0996274376202679E-2</v>
      </c>
      <c r="AS8" s="184">
        <f>IFERROR(Inv_SY_B!AS8/Inv_SY_B!$BY8-1,"")</f>
        <v>2.1862569262146581E-2</v>
      </c>
      <c r="AT8" s="184">
        <f>IFERROR(Inv_SY_B!AT8/Inv_SY_B!$BY8-1,"")</f>
        <v>2.6483265416530788E-2</v>
      </c>
      <c r="AU8" s="184">
        <f>IFERROR(Inv_SY_B!AU8/Inv_SY_B!$BY8-1,"")</f>
        <v>3.4366964587755566E-2</v>
      </c>
      <c r="AV8" s="184">
        <f>IFERROR(Inv_SY_B!AV8/Inv_SY_B!$BY8-1,"")</f>
        <v>1.8672189431133468E-2</v>
      </c>
      <c r="AW8" s="184">
        <f>IFERROR(Inv_SY_B!AW8/Inv_SY_B!$BY8-1,"")</f>
        <v>-2.0702735628450375E-2</v>
      </c>
      <c r="AX8" s="184">
        <f>IFERROR(Inv_SY_B!AX8/Inv_SY_B!$BY8-1,"")</f>
        <v>-1.5649803882683555E-3</v>
      </c>
      <c r="AY8" s="184">
        <f>IFERROR(Inv_SY_B!AY8/Inv_SY_B!$BY8-1,"")</f>
        <v>-1.1572174794835077E-2</v>
      </c>
      <c r="AZ8" s="184">
        <f>IFERROR(Inv_SY_B!AZ8/Inv_SY_B!$BY8-1,"")</f>
        <v>5.5282927052094477E-2</v>
      </c>
      <c r="BA8" s="184">
        <f>IFERROR(Inv_SY_B!BA8/Inv_SY_B!$BY8-1,"")</f>
        <v>-5.0652885551180082E-3</v>
      </c>
      <c r="BB8" s="184">
        <f>IFERROR(Inv_SY_B!BB8/Inv_SY_B!$BY8-1,"")</f>
        <v>6.6021954931398952E-3</v>
      </c>
      <c r="BC8" s="184">
        <f>IFERROR(Inv_SY_B!BC8/Inv_SY_B!$BY8-1,"")</f>
        <v>-1.6088309351479646E-2</v>
      </c>
      <c r="BD8" s="184">
        <f>IFERROR(Inv_SY_B!BD8/Inv_SY_B!$BY8-1,"")</f>
        <v>9.9391694669079822E-3</v>
      </c>
      <c r="BE8" s="184">
        <f>IFERROR(Inv_SY_B!BE8/Inv_SY_B!$BY8-1,"")</f>
        <v>1.2977115048775634E-3</v>
      </c>
      <c r="BF8" s="184">
        <f>IFERROR(Inv_SY_B!BF8/Inv_SY_B!$BY8-1,"")</f>
        <v>-2.5941366662998733E-2</v>
      </c>
      <c r="BG8" s="184">
        <f>IFERROR(Inv_SY_B!BG8/Inv_SY_B!$BY8-1,"")</f>
        <v>-1.60794453197739E-2</v>
      </c>
      <c r="BH8" s="184">
        <f>IFERROR(Inv_SY_B!BH8/Inv_SY_B!$BY8-1,"")</f>
        <v>-0.15876754393622605</v>
      </c>
      <c r="BI8" s="184">
        <f>IFERROR(Inv_SY_B!BI8/Inv_SY_B!$BY8-1,"")</f>
        <v>1.8142048515682241E-2</v>
      </c>
      <c r="BJ8" s="184">
        <f>IFERROR(Inv_SY_B!BJ8/Inv_SY_B!$BY8-1,"")</f>
        <v>-9.9778782188808535E-5</v>
      </c>
      <c r="BK8" s="184">
        <f>IFERROR(Inv_SY_B!BK8/Inv_SY_B!$BY8-1,"")</f>
        <v>1.0969059486771737E-2</v>
      </c>
      <c r="BL8" s="184">
        <f>IFERROR(Inv_SY_B!BL8/Inv_SY_B!$BY8-1,"")</f>
        <v>2.2625870859739328E-2</v>
      </c>
      <c r="BM8" s="184">
        <f>IFERROR(Inv_SY_B!BM8/Inv_SY_B!$BY8-1,"")</f>
        <v>2.5282233002664523E-2</v>
      </c>
      <c r="BN8" s="184">
        <f>IFERROR(Inv_SY_B!BN8/Inv_SY_B!$BY8-1,"")</f>
        <v>9.7187071024815719E-3</v>
      </c>
      <c r="BO8" s="184">
        <f>IFERROR(Inv_SY_B!BO8/Inv_SY_B!$BY8-1,"")</f>
        <v>-8.6927882471612761E-2</v>
      </c>
      <c r="BP8" s="184">
        <f>IFERROR(Inv_SY_B!BP8/Inv_SY_B!$BY8-1,"")</f>
        <v>-6.3661213628425362E-3</v>
      </c>
      <c r="BQ8" s="184">
        <f>IFERROR(Inv_SY_B!BQ8/Inv_SY_B!$BY8-1,"")</f>
        <v>-0.9743944305641119</v>
      </c>
      <c r="BR8" s="184">
        <f>IFERROR(Inv_SY_B!BR8/Inv_SY_B!$BY8-1,"")</f>
        <v>-0.98967214880783738</v>
      </c>
      <c r="BS8" s="184">
        <f>IFERROR(Inv_SY_B!BS8/Inv_SY_B!$BY8-1,"")</f>
        <v>-0.99495460146366943</v>
      </c>
      <c r="BT8" s="184">
        <f>IFERROR(Inv_SY_B!BT8/Inv_SY_B!$BY8-1,"")</f>
        <v>-0.99263549458934053</v>
      </c>
      <c r="BU8" s="184">
        <f>IFERROR(Inv_SY_B!BU8/Inv_SY_B!$BY8-1,"")</f>
        <v>-0.65874033992528125</v>
      </c>
      <c r="BV8" s="184">
        <f>IFERROR(Inv_SY_B!BV8/Inv_SY_B!$BY8-1,"")</f>
        <v>5.6669565536191069E-2</v>
      </c>
      <c r="BW8" s="184">
        <f>IFERROR(Inv_SY_B!BW8/Inv_SY_B!$BY8-1,"")</f>
        <v>-0.35003690413911814</v>
      </c>
      <c r="BX8" s="184">
        <f>IFERROR(Inv_SY_B!BX8/Inv_SY_B!$BY8-1,"")</f>
        <v>-6.9320390276547128E-3</v>
      </c>
    </row>
    <row r="9" spans="1:76">
      <c r="A9"/>
      <c r="B9" s="179">
        <f t="shared" si="1"/>
        <v>45827</v>
      </c>
      <c r="C9" s="184">
        <f>IFERROR(Inv_SY_B!C9/Inv_SY_B!$BY9-1,"")</f>
        <v>1.7764551883993507E-2</v>
      </c>
      <c r="D9" s="184">
        <f>IFERROR(Inv_SY_B!D9/Inv_SY_B!$BY9-1,"")</f>
        <v>4.0819171005090915E-3</v>
      </c>
      <c r="E9" s="184">
        <f>IFERROR(Inv_SY_B!E9/Inv_SY_B!$BY9-1,"")</f>
        <v>1.6169150676330402E-2</v>
      </c>
      <c r="F9" s="184">
        <f>IFERROR(Inv_SY_B!F9/Inv_SY_B!$BY9-1,"")</f>
        <v>1.9946550879106573E-2</v>
      </c>
      <c r="G9" s="184">
        <f>IFERROR(Inv_SY_B!G9/Inv_SY_B!$BY9-1,"")</f>
        <v>2.374078354563891E-2</v>
      </c>
      <c r="H9" s="184">
        <f>IFERROR(Inv_SY_B!H9/Inv_SY_B!$BY9-1,"")</f>
        <v>1.4066629550221865E-2</v>
      </c>
      <c r="I9" s="184">
        <f>IFERROR(Inv_SY_B!I9/Inv_SY_B!$BY9-1,"")</f>
        <v>3.3065523421779153E-2</v>
      </c>
      <c r="J9" s="184">
        <f>IFERROR(Inv_SY_B!J9/Inv_SY_B!$BY9-1,"")</f>
        <v>4.1250584331453677E-3</v>
      </c>
      <c r="K9" s="184">
        <f>IFERROR(Inv_SY_B!K9/Inv_SY_B!$BY9-1,"")</f>
        <v>2.0428505262263474E-2</v>
      </c>
      <c r="L9" s="184">
        <f>IFERROR(Inv_SY_B!L9/Inv_SY_B!$BY9-1,"")</f>
        <v>3.7420833460234615E-2</v>
      </c>
      <c r="M9" s="184">
        <f>IFERROR(Inv_SY_B!M9/Inv_SY_B!$BY9-1,"")</f>
        <v>7.4051222332185862E-2</v>
      </c>
      <c r="N9" s="184">
        <f>IFERROR(Inv_SY_B!N9/Inv_SY_B!$BY9-1,"")</f>
        <v>2.7663603972281514E-2</v>
      </c>
      <c r="O9" s="184">
        <f>IFERROR(Inv_SY_B!O9/Inv_SY_B!$BY9-1,"")</f>
        <v>9.8234195037591121E-2</v>
      </c>
      <c r="P9" s="184">
        <f>IFERROR(Inv_SY_B!P9/Inv_SY_B!$BY9-1,"")</f>
        <v>3.1340255909482195E-2</v>
      </c>
      <c r="Q9" s="184">
        <f>IFERROR(Inv_SY_B!Q9/Inv_SY_B!$BY9-1,"")</f>
        <v>3.3648142756053989E-2</v>
      </c>
      <c r="R9" s="184">
        <f>IFERROR(Inv_SY_B!R9/Inv_SY_B!$BY9-1,"")</f>
        <v>2.2629860559896686E-2</v>
      </c>
      <c r="S9" s="184">
        <f>IFERROR(Inv_SY_B!S9/Inv_SY_B!$BY9-1,"")</f>
        <v>2.4130437903157942E-2</v>
      </c>
      <c r="T9" s="184">
        <f>IFERROR(Inv_SY_B!T9/Inv_SY_B!$BY9-1,"")</f>
        <v>2.0858687682160815E-2</v>
      </c>
      <c r="U9" s="184">
        <f>IFERROR(Inv_SY_B!U9/Inv_SY_B!$BY9-1,"")</f>
        <v>2.6231809843348275E-2</v>
      </c>
      <c r="V9" s="184">
        <f>IFERROR(Inv_SY_B!V9/Inv_SY_B!$BY9-1,"")</f>
        <v>3.5514253492969994E-2</v>
      </c>
      <c r="W9" s="184">
        <f>IFERROR(Inv_SY_B!W9/Inv_SY_B!$BY9-1,"")</f>
        <v>1.6112478466199898E-2</v>
      </c>
      <c r="X9" s="184">
        <f>IFERROR(Inv_SY_B!X9/Inv_SY_B!$BY9-1,"")</f>
        <v>3.4664486185639998E-2</v>
      </c>
      <c r="Y9" s="184">
        <f>IFERROR(Inv_SY_B!Y9/Inv_SY_B!$BY9-1,"")</f>
        <v>6.4056228775349444E-2</v>
      </c>
      <c r="Z9" s="184">
        <f>IFERROR(Inv_SY_B!Z9/Inv_SY_B!$BY9-1,"")</f>
        <v>6.3800961098576803E-2</v>
      </c>
      <c r="AA9" s="184">
        <f>IFERROR(Inv_SY_B!AA9/Inv_SY_B!$BY9-1,"")</f>
        <v>4.933834280375371E-2</v>
      </c>
      <c r="AB9" s="184">
        <f>IFERROR(Inv_SY_B!AB9/Inv_SY_B!$BY9-1,"")</f>
        <v>3.6585690437122897E-2</v>
      </c>
      <c r="AC9" s="184">
        <f>IFERROR(Inv_SY_B!AC9/Inv_SY_B!$BY9-1,"")</f>
        <v>4.8765049501620084E-2</v>
      </c>
      <c r="AD9" s="184">
        <f>IFERROR(Inv_SY_B!AD9/Inv_SY_B!$BY9-1,"")</f>
        <v>4.0109893754423975E-2</v>
      </c>
      <c r="AE9" s="184">
        <f>IFERROR(Inv_SY_B!AE9/Inv_SY_B!$BY9-1,"")</f>
        <v>9.5949079581842289E-2</v>
      </c>
      <c r="AF9" s="184">
        <f>IFERROR(Inv_SY_B!AF9/Inv_SY_B!$BY9-1,"")</f>
        <v>7.3118847279094679E-2</v>
      </c>
      <c r="AG9" s="184">
        <f>IFERROR(Inv_SY_B!AG9/Inv_SY_B!$BY9-1,"")</f>
        <v>7.0865369444144788E-2</v>
      </c>
      <c r="AH9" s="184">
        <f>IFERROR(Inv_SY_B!AH9/Inv_SY_B!$BY9-1,"")</f>
        <v>6.176778115881687E-2</v>
      </c>
      <c r="AI9" s="184">
        <f>IFERROR(Inv_SY_B!AI9/Inv_SY_B!$BY9-1,"")</f>
        <v>8.2662961023902692E-2</v>
      </c>
      <c r="AJ9" s="184">
        <f>IFERROR(Inv_SY_B!AJ9/Inv_SY_B!$BY9-1,"")</f>
        <v>8.781466492570833E-2</v>
      </c>
      <c r="AK9" s="184">
        <f>IFERROR(Inv_SY_B!AK9/Inv_SY_B!$BY9-1,"")</f>
        <v>8.3282741186236686E-2</v>
      </c>
      <c r="AL9" s="184">
        <f>IFERROR(Inv_SY_B!AL9/Inv_SY_B!$BY9-1,"")</f>
        <v>8.8990872300936275E-2</v>
      </c>
      <c r="AM9" s="184">
        <f>IFERROR(Inv_SY_B!AM9/Inv_SY_B!$BY9-1,"")</f>
        <v>8.3769594639394374E-2</v>
      </c>
      <c r="AN9" s="184">
        <f>IFERROR(Inv_SY_B!AN9/Inv_SY_B!$BY9-1,"")</f>
        <v>8.6487909781771011E-2</v>
      </c>
      <c r="AO9" s="184">
        <f>IFERROR(Inv_SY_B!AO9/Inv_SY_B!$BY9-1,"")</f>
        <v>6.933987175861156E-2</v>
      </c>
      <c r="AP9" s="184">
        <f>IFERROR(Inv_SY_B!AP9/Inv_SY_B!$BY9-1,"")</f>
        <v>6.1524715724278423E-2</v>
      </c>
      <c r="AQ9" s="184">
        <f>IFERROR(Inv_SY_B!AQ9/Inv_SY_B!$BY9-1,"")</f>
        <v>6.364593963072962E-2</v>
      </c>
      <c r="AR9" s="184">
        <f>IFERROR(Inv_SY_B!AR9/Inv_SY_B!$BY9-1,"")</f>
        <v>7.3728758470066325E-2</v>
      </c>
      <c r="AS9" s="184">
        <f>IFERROR(Inv_SY_B!AS9/Inv_SY_B!$BY9-1,"")</f>
        <v>8.9831269609663256E-2</v>
      </c>
      <c r="AT9" s="184">
        <f>IFERROR(Inv_SY_B!AT9/Inv_SY_B!$BY9-1,"")</f>
        <v>9.5459594694502492E-2</v>
      </c>
      <c r="AU9" s="184">
        <f>IFERROR(Inv_SY_B!AU9/Inv_SY_B!$BY9-1,"")</f>
        <v>0.12312302534853714</v>
      </c>
      <c r="AV9" s="184">
        <f>IFERROR(Inv_SY_B!AV9/Inv_SY_B!$BY9-1,"")</f>
        <v>9.7074462485514434E-2</v>
      </c>
      <c r="AW9" s="184">
        <f>IFERROR(Inv_SY_B!AW9/Inv_SY_B!$BY9-1,"")</f>
        <v>2.5594364750366028E-2</v>
      </c>
      <c r="AX9" s="184">
        <f>IFERROR(Inv_SY_B!AX9/Inv_SY_B!$BY9-1,"")</f>
        <v>3.3663909701062478E-2</v>
      </c>
      <c r="AY9" s="184">
        <f>IFERROR(Inv_SY_B!AY9/Inv_SY_B!$BY9-1,"")</f>
        <v>3.0356173432689593E-2</v>
      </c>
      <c r="AZ9" s="184">
        <f>IFERROR(Inv_SY_B!AZ9/Inv_SY_B!$BY9-1,"")</f>
        <v>0.12348414897602256</v>
      </c>
      <c r="BA9" s="184">
        <f>IFERROR(Inv_SY_B!BA9/Inv_SY_B!$BY9-1,"")</f>
        <v>6.8396959024135118E-2</v>
      </c>
      <c r="BB9" s="184">
        <f>IFERROR(Inv_SY_B!BB9/Inv_SY_B!$BY9-1,"")</f>
        <v>9.3138995407406444E-2</v>
      </c>
      <c r="BC9" s="184">
        <f>IFERROR(Inv_SY_B!BC9/Inv_SY_B!$BY9-1,"")</f>
        <v>8.5845637223796345E-2</v>
      </c>
      <c r="BD9" s="184">
        <f>IFERROR(Inv_SY_B!BD9/Inv_SY_B!$BY9-1,"")</f>
        <v>0.10880644001057593</v>
      </c>
      <c r="BE9" s="184">
        <f>IFERROR(Inv_SY_B!BE9/Inv_SY_B!$BY9-1,"")</f>
        <v>8.0349014072515823E-2</v>
      </c>
      <c r="BF9" s="184">
        <f>IFERROR(Inv_SY_B!BF9/Inv_SY_B!$BY9-1,"")</f>
        <v>6.9688602977534764E-2</v>
      </c>
      <c r="BG9" s="184">
        <f>IFERROR(Inv_SY_B!BG9/Inv_SY_B!$BY9-1,"")</f>
        <v>8.156302291586659E-2</v>
      </c>
      <c r="BH9" s="184">
        <f>IFERROR(Inv_SY_B!BH9/Inv_SY_B!$BY9-1,"")</f>
        <v>-7.6178024701219926E-2</v>
      </c>
      <c r="BI9" s="184">
        <f>IFERROR(Inv_SY_B!BI9/Inv_SY_B!$BY9-1,"")</f>
        <v>0.11356552017166521</v>
      </c>
      <c r="BJ9" s="184">
        <f>IFERROR(Inv_SY_B!BJ9/Inv_SY_B!$BY9-1,"")</f>
        <v>0.10032027452015502</v>
      </c>
      <c r="BK9" s="184">
        <f>IFERROR(Inv_SY_B!BK9/Inv_SY_B!$BY9-1,"")</f>
        <v>0.10415487719254068</v>
      </c>
      <c r="BL9" s="184">
        <f>IFERROR(Inv_SY_B!BL9/Inv_SY_B!$BY9-1,"")</f>
        <v>0.11518026413768045</v>
      </c>
      <c r="BM9" s="184">
        <f>IFERROR(Inv_SY_B!BM9/Inv_SY_B!$BY9-1,"")</f>
        <v>0.16603673729936275</v>
      </c>
      <c r="BN9" s="184">
        <f>IFERROR(Inv_SY_B!BN9/Inv_SY_B!$BY9-1,"")</f>
        <v>0.14799258042367214</v>
      </c>
      <c r="BO9" s="184">
        <f>IFERROR(Inv_SY_B!BO9/Inv_SY_B!$BY9-1,"")</f>
        <v>3.1492651843686215E-2</v>
      </c>
      <c r="BP9" s="184">
        <f>IFERROR(Inv_SY_B!BP9/Inv_SY_B!$BY9-1,"")</f>
        <v>0.12455717431223556</v>
      </c>
      <c r="BQ9" s="184">
        <f>IFERROR(Inv_SY_B!BQ9/Inv_SY_B!$BY9-1,"")</f>
        <v>-0.82626259446837069</v>
      </c>
      <c r="BR9" s="184">
        <f>IFERROR(Inv_SY_B!BR9/Inv_SY_B!$BY9-1,"")</f>
        <v>-0.94397999846154712</v>
      </c>
      <c r="BS9" s="184">
        <f>IFERROR(Inv_SY_B!BS9/Inv_SY_B!$BY9-1,"")</f>
        <v>-0.8534629886396603</v>
      </c>
      <c r="BT9" s="184">
        <f>IFERROR(Inv_SY_B!BT9/Inv_SY_B!$BY9-1,"")</f>
        <v>-0.96212497472439329</v>
      </c>
      <c r="BU9" s="184">
        <f>IFERROR(Inv_SY_B!BU9/Inv_SY_B!$BY9-1,"")</f>
        <v>-0.60026666977537713</v>
      </c>
      <c r="BV9" s="184">
        <f>IFERROR(Inv_SY_B!BV9/Inv_SY_B!$BY9-1,"")</f>
        <v>0.2493779435446597</v>
      </c>
      <c r="BW9" s="184">
        <f>IFERROR(Inv_SY_B!BW9/Inv_SY_B!$BY9-1,"")</f>
        <v>-0.25022626474060705</v>
      </c>
      <c r="BX9" s="184">
        <f>IFERROR(Inv_SY_B!BX9/Inv_SY_B!$BY9-1,"")</f>
        <v>0.13195365980474882</v>
      </c>
    </row>
    <row r="10" spans="1:76">
      <c r="A10"/>
      <c r="B10" s="179">
        <f t="shared" si="1"/>
        <v>45828</v>
      </c>
      <c r="C10" s="184">
        <f>IFERROR(Inv_SY_B!C10/Inv_SY_B!$BY10-1,"")</f>
        <v>3.9050653043637418E-2</v>
      </c>
      <c r="D10" s="184">
        <f>IFERROR(Inv_SY_B!D10/Inv_SY_B!$BY10-1,"")</f>
        <v>3.8135246710766069E-2</v>
      </c>
      <c r="E10" s="184">
        <f>IFERROR(Inv_SY_B!E10/Inv_SY_B!$BY10-1,"")</f>
        <v>5.1421870875050901E-2</v>
      </c>
      <c r="F10" s="184">
        <f>IFERROR(Inv_SY_B!F10/Inv_SY_B!$BY10-1,"")</f>
        <v>3.3292786074085479E-2</v>
      </c>
      <c r="G10" s="184">
        <f>IFERROR(Inv_SY_B!G10/Inv_SY_B!$BY10-1,"")</f>
        <v>2.8712257568512811E-2</v>
      </c>
      <c r="H10" s="184">
        <f>IFERROR(Inv_SY_B!H10/Inv_SY_B!$BY10-1,"")</f>
        <v>1.9473322197746556E-2</v>
      </c>
      <c r="I10" s="184">
        <f>IFERROR(Inv_SY_B!I10/Inv_SY_B!$BY10-1,"")</f>
        <v>4.9408758394684726E-2</v>
      </c>
      <c r="J10" s="184">
        <f>IFERROR(Inv_SY_B!J10/Inv_SY_B!$BY10-1,"")</f>
        <v>1.8234231855700278E-2</v>
      </c>
      <c r="K10" s="184">
        <f>IFERROR(Inv_SY_B!K10/Inv_SY_B!$BY10-1,"")</f>
        <v>2.808124227831077E-2</v>
      </c>
      <c r="L10" s="184">
        <f>IFERROR(Inv_SY_B!L10/Inv_SY_B!$BY10-1,"")</f>
        <v>4.2149818905834247E-2</v>
      </c>
      <c r="M10" s="184">
        <f>IFERROR(Inv_SY_B!M10/Inv_SY_B!$BY10-1,"")</f>
        <v>7.4921024028469008E-2</v>
      </c>
      <c r="N10" s="184">
        <f>IFERROR(Inv_SY_B!N10/Inv_SY_B!$BY10-1,"")</f>
        <v>3.2128839528514863E-2</v>
      </c>
      <c r="O10" s="184">
        <f>IFERROR(Inv_SY_B!O10/Inv_SY_B!$BY10-1,"")</f>
        <v>0.11178918172559049</v>
      </c>
      <c r="P10" s="184">
        <f>IFERROR(Inv_SY_B!P10/Inv_SY_B!$BY10-1,"")</f>
        <v>3.4020450356517351E-2</v>
      </c>
      <c r="Q10" s="184">
        <f>IFERROR(Inv_SY_B!Q10/Inv_SY_B!$BY10-1,"")</f>
        <v>4.0152353184885747E-2</v>
      </c>
      <c r="R10" s="184">
        <f>IFERROR(Inv_SY_B!R10/Inv_SY_B!$BY10-1,"")</f>
        <v>5.113963186393744E-2</v>
      </c>
      <c r="S10" s="184">
        <f>IFERROR(Inv_SY_B!S10/Inv_SY_B!$BY10-1,"")</f>
        <v>3.460474138164904E-2</v>
      </c>
      <c r="T10" s="184">
        <f>IFERROR(Inv_SY_B!T10/Inv_SY_B!$BY10-1,"")</f>
        <v>2.4305254092160666E-4</v>
      </c>
      <c r="U10" s="184">
        <f>IFERROR(Inv_SY_B!U10/Inv_SY_B!$BY10-1,"")</f>
        <v>4.7979942430580902E-2</v>
      </c>
      <c r="V10" s="184">
        <f>IFERROR(Inv_SY_B!V10/Inv_SY_B!$BY10-1,"")</f>
        <v>7.0333091141508097E-2</v>
      </c>
      <c r="W10" s="184">
        <f>IFERROR(Inv_SY_B!W10/Inv_SY_B!$BY10-1,"")</f>
        <v>-5.3874401732852961E-3</v>
      </c>
      <c r="X10" s="184">
        <f>IFERROR(Inv_SY_B!X10/Inv_SY_B!$BY10-1,"")</f>
        <v>2.2567775605205842E-2</v>
      </c>
      <c r="Y10" s="184">
        <f>IFERROR(Inv_SY_B!Y10/Inv_SY_B!$BY10-1,"")</f>
        <v>6.4990155500368685E-2</v>
      </c>
      <c r="Z10" s="184">
        <f>IFERROR(Inv_SY_B!Z10/Inv_SY_B!$BY10-1,"")</f>
        <v>5.7892639522221456E-2</v>
      </c>
      <c r="AA10" s="184">
        <f>IFERROR(Inv_SY_B!AA10/Inv_SY_B!$BY10-1,"")</f>
        <v>4.3547091821750872E-2</v>
      </c>
      <c r="AB10" s="184">
        <f>IFERROR(Inv_SY_B!AB10/Inv_SY_B!$BY10-1,"")</f>
        <v>3.4793579580832512E-2</v>
      </c>
      <c r="AC10" s="184">
        <f>IFERROR(Inv_SY_B!AC10/Inv_SY_B!$BY10-1,"")</f>
        <v>5.5289725950525614E-2</v>
      </c>
      <c r="AD10" s="184">
        <f>IFERROR(Inv_SY_B!AD10/Inv_SY_B!$BY10-1,"")</f>
        <v>4.1125696855735638E-2</v>
      </c>
      <c r="AE10" s="184">
        <f>IFERROR(Inv_SY_B!AE10/Inv_SY_B!$BY10-1,"")</f>
        <v>9.5935494551276701E-2</v>
      </c>
      <c r="AF10" s="184">
        <f>IFERROR(Inv_SY_B!AF10/Inv_SY_B!$BY10-1,"")</f>
        <v>7.6898813451700576E-2</v>
      </c>
      <c r="AG10" s="184">
        <f>IFERROR(Inv_SY_B!AG10/Inv_SY_B!$BY10-1,"")</f>
        <v>7.5329571251404603E-2</v>
      </c>
      <c r="AH10" s="184">
        <f>IFERROR(Inv_SY_B!AH10/Inv_SY_B!$BY10-1,"")</f>
        <v>6.7056703890855607E-2</v>
      </c>
      <c r="AI10" s="184">
        <f>IFERROR(Inv_SY_B!AI10/Inv_SY_B!$BY10-1,"")</f>
        <v>8.4283544683712019E-2</v>
      </c>
      <c r="AJ10" s="184">
        <f>IFERROR(Inv_SY_B!AJ10/Inv_SY_B!$BY10-1,"")</f>
        <v>8.7111680981690531E-2</v>
      </c>
      <c r="AK10" s="184">
        <f>IFERROR(Inv_SY_B!AK10/Inv_SY_B!$BY10-1,"")</f>
        <v>7.867499724536664E-2</v>
      </c>
      <c r="AL10" s="184">
        <f>IFERROR(Inv_SY_B!AL10/Inv_SY_B!$BY10-1,"")</f>
        <v>8.4602845806130533E-2</v>
      </c>
      <c r="AM10" s="184">
        <f>IFERROR(Inv_SY_B!AM10/Inv_SY_B!$BY10-1,"")</f>
        <v>9.0853818375397077E-2</v>
      </c>
      <c r="AN10" s="184">
        <f>IFERROR(Inv_SY_B!AN10/Inv_SY_B!$BY10-1,"")</f>
        <v>9.5369950966964545E-2</v>
      </c>
      <c r="AO10" s="184">
        <f>IFERROR(Inv_SY_B!AO10/Inv_SY_B!$BY10-1,"")</f>
        <v>8.07410061304763E-2</v>
      </c>
      <c r="AP10" s="184">
        <f>IFERROR(Inv_SY_B!AP10/Inv_SY_B!$BY10-1,"")</f>
        <v>7.6169460869073724E-2</v>
      </c>
      <c r="AQ10" s="184">
        <f>IFERROR(Inv_SY_B!AQ10/Inv_SY_B!$BY10-1,"")</f>
        <v>7.2957384563809402E-2</v>
      </c>
      <c r="AR10" s="184">
        <f>IFERROR(Inv_SY_B!AR10/Inv_SY_B!$BY10-1,"")</f>
        <v>8.3140666379970529E-2</v>
      </c>
      <c r="AS10" s="184">
        <f>IFERROR(Inv_SY_B!AS10/Inv_SY_B!$BY10-1,"")</f>
        <v>8.5762830642317489E-2</v>
      </c>
      <c r="AT10" s="184">
        <f>IFERROR(Inv_SY_B!AT10/Inv_SY_B!$BY10-1,"")</f>
        <v>7.021043737178867E-2</v>
      </c>
      <c r="AU10" s="184">
        <f>IFERROR(Inv_SY_B!AU10/Inv_SY_B!$BY10-1,"")</f>
        <v>0.1112405971435666</v>
      </c>
      <c r="AV10" s="184">
        <f>IFERROR(Inv_SY_B!AV10/Inv_SY_B!$BY10-1,"")</f>
        <v>8.6975551778014415E-2</v>
      </c>
      <c r="AW10" s="184">
        <f>IFERROR(Inv_SY_B!AW10/Inv_SY_B!$BY10-1,"")</f>
        <v>-9.4300406082863608E-2</v>
      </c>
      <c r="AX10" s="184">
        <f>IFERROR(Inv_SY_B!AX10/Inv_SY_B!$BY10-1,"")</f>
        <v>-6.7957145984066769E-2</v>
      </c>
      <c r="AY10" s="184">
        <f>IFERROR(Inv_SY_B!AY10/Inv_SY_B!$BY10-1,"")</f>
        <v>2.8030003473814347E-2</v>
      </c>
      <c r="AZ10" s="184">
        <f>IFERROR(Inv_SY_B!AZ10/Inv_SY_B!$BY10-1,"")</f>
        <v>0.12653594383186717</v>
      </c>
      <c r="BA10" s="184">
        <f>IFERROR(Inv_SY_B!BA10/Inv_SY_B!$BY10-1,"")</f>
        <v>4.4546147772215772E-2</v>
      </c>
      <c r="BB10" s="184">
        <f>IFERROR(Inv_SY_B!BB10/Inv_SY_B!$BY10-1,"")</f>
        <v>5.8570732763782773E-2</v>
      </c>
      <c r="BC10" s="184">
        <f>IFERROR(Inv_SY_B!BC10/Inv_SY_B!$BY10-1,"")</f>
        <v>5.3421910422062346E-2</v>
      </c>
      <c r="BD10" s="184">
        <f>IFERROR(Inv_SY_B!BD10/Inv_SY_B!$BY10-1,"")</f>
        <v>7.1724571674141924E-2</v>
      </c>
      <c r="BE10" s="184">
        <f>IFERROR(Inv_SY_B!BE10/Inv_SY_B!$BY10-1,"")</f>
        <v>7.2332320498442293E-2</v>
      </c>
      <c r="BF10" s="184">
        <f>IFERROR(Inv_SY_B!BF10/Inv_SY_B!$BY10-1,"")</f>
        <v>6.3090248002778848E-2</v>
      </c>
      <c r="BG10" s="184">
        <f>IFERROR(Inv_SY_B!BG10/Inv_SY_B!$BY10-1,"")</f>
        <v>7.2049088084227053E-2</v>
      </c>
      <c r="BH10" s="184">
        <f>IFERROR(Inv_SY_B!BH10/Inv_SY_B!$BY10-1,"")</f>
        <v>-8.1876603997599884E-2</v>
      </c>
      <c r="BI10" s="184">
        <f>IFERROR(Inv_SY_B!BI10/Inv_SY_B!$BY10-1,"")</f>
        <v>8.6137987610594324E-2</v>
      </c>
      <c r="BJ10" s="184">
        <f>IFERROR(Inv_SY_B!BJ10/Inv_SY_B!$BY10-1,"")</f>
        <v>8.527796812616173E-2</v>
      </c>
      <c r="BK10" s="184">
        <f>IFERROR(Inv_SY_B!BK10/Inv_SY_B!$BY10-1,"")</f>
        <v>6.7278242459920756E-2</v>
      </c>
      <c r="BL10" s="184">
        <f>IFERROR(Inv_SY_B!BL10/Inv_SY_B!$BY10-1,"")</f>
        <v>8.1503248418210994E-2</v>
      </c>
      <c r="BM10" s="184">
        <f>IFERROR(Inv_SY_B!BM10/Inv_SY_B!$BY10-1,"")</f>
        <v>0.10968256492753836</v>
      </c>
      <c r="BN10" s="184">
        <f>IFERROR(Inv_SY_B!BN10/Inv_SY_B!$BY10-1,"")</f>
        <v>9.4068163327601706E-2</v>
      </c>
      <c r="BO10" s="184">
        <f>IFERROR(Inv_SY_B!BO10/Inv_SY_B!$BY10-1,"")</f>
        <v>-1.0250452533316134E-2</v>
      </c>
      <c r="BP10" s="184">
        <f>IFERROR(Inv_SY_B!BP10/Inv_SY_B!$BY10-1,"")</f>
        <v>7.6459639492297615E-2</v>
      </c>
      <c r="BQ10" s="184">
        <f>IFERROR(Inv_SY_B!BQ10/Inv_SY_B!$BY10-1,"")</f>
        <v>-0.68480908177878985</v>
      </c>
      <c r="BR10" s="184">
        <f>IFERROR(Inv_SY_B!BR10/Inv_SY_B!$BY10-1,"")</f>
        <v>-0.89015829589151263</v>
      </c>
      <c r="BS10" s="184">
        <f>IFERROR(Inv_SY_B!BS10/Inv_SY_B!$BY10-1,"")</f>
        <v>-0.56079587454865987</v>
      </c>
      <c r="BT10" s="184">
        <f>IFERROR(Inv_SY_B!BT10/Inv_SY_B!$BY10-1,"")</f>
        <v>-0.92276789033020723</v>
      </c>
      <c r="BU10" s="184">
        <f>IFERROR(Inv_SY_B!BU10/Inv_SY_B!$BY10-1,"")</f>
        <v>-0.60121975653439907</v>
      </c>
      <c r="BV10" s="184">
        <f>IFERROR(Inv_SY_B!BV10/Inv_SY_B!$BY10-1,"")</f>
        <v>0.25964782706613976</v>
      </c>
      <c r="BW10" s="184">
        <f>IFERROR(Inv_SY_B!BW10/Inv_SY_B!$BY10-1,"")</f>
        <v>-0.28214478546620148</v>
      </c>
      <c r="BX10" s="184">
        <f>IFERROR(Inv_SY_B!BX10/Inv_SY_B!$BY10-1,"")</f>
        <v>8.2516608362021904E-2</v>
      </c>
    </row>
    <row r="11" spans="1:76">
      <c r="A11"/>
      <c r="B11" s="179">
        <f t="shared" si="1"/>
        <v>45829</v>
      </c>
      <c r="C11" s="184">
        <f>IFERROR(Inv_SY_B!C11/Inv_SY_B!$BY11-1,"")</f>
        <v>2.5020371186893708E-2</v>
      </c>
      <c r="D11" s="184">
        <f>IFERROR(Inv_SY_B!D11/Inv_SY_B!$BY11-1,"")</f>
        <v>9.8617919192365289E-3</v>
      </c>
      <c r="E11" s="184">
        <f>IFERROR(Inv_SY_B!E11/Inv_SY_B!$BY11-1,"")</f>
        <v>1.8255116055698961E-2</v>
      </c>
      <c r="F11" s="184">
        <f>IFERROR(Inv_SY_B!F11/Inv_SY_B!$BY11-1,"")</f>
        <v>2.8697679521120456E-2</v>
      </c>
      <c r="G11" s="184">
        <f>IFERROR(Inv_SY_B!G11/Inv_SY_B!$BY11-1,"")</f>
        <v>3.3431229313020117E-2</v>
      </c>
      <c r="H11" s="184">
        <f>IFERROR(Inv_SY_B!H11/Inv_SY_B!$BY11-1,"")</f>
        <v>2.6184735556086691E-2</v>
      </c>
      <c r="I11" s="184">
        <f>IFERROR(Inv_SY_B!I11/Inv_SY_B!$BY11-1,"")</f>
        <v>4.0841787930465445E-2</v>
      </c>
      <c r="J11" s="184">
        <f>IFERROR(Inv_SY_B!J11/Inv_SY_B!$BY11-1,"")</f>
        <v>2.6296500692705393E-2</v>
      </c>
      <c r="K11" s="184">
        <f>IFERROR(Inv_SY_B!K11/Inv_SY_B!$BY11-1,"")</f>
        <v>2.19339437629269E-2</v>
      </c>
      <c r="L11" s="184">
        <f>IFERROR(Inv_SY_B!L11/Inv_SY_B!$BY11-1,"")</f>
        <v>4.9605737039883024E-2</v>
      </c>
      <c r="M11" s="184">
        <f>IFERROR(Inv_SY_B!M11/Inv_SY_B!$BY11-1,"")</f>
        <v>8.7145953377949503E-2</v>
      </c>
      <c r="N11" s="184">
        <f>IFERROR(Inv_SY_B!N11/Inv_SY_B!$BY11-1,"")</f>
        <v>3.7436584559633834E-2</v>
      </c>
      <c r="O11" s="184">
        <f>IFERROR(Inv_SY_B!O11/Inv_SY_B!$BY11-1,"")</f>
        <v>0.10594016715583243</v>
      </c>
      <c r="P11" s="184">
        <f>IFERROR(Inv_SY_B!P11/Inv_SY_B!$BY11-1,"")</f>
        <v>4.0053666760412554E-2</v>
      </c>
      <c r="Q11" s="184">
        <f>IFERROR(Inv_SY_B!Q11/Inv_SY_B!$BY11-1,"")</f>
        <v>4.2792948732801817E-2</v>
      </c>
      <c r="R11" s="184">
        <f>IFERROR(Inv_SY_B!R11/Inv_SY_B!$BY11-1,"")</f>
        <v>3.450180598385133E-2</v>
      </c>
      <c r="S11" s="184">
        <f>IFERROR(Inv_SY_B!S11/Inv_SY_B!$BY11-1,"")</f>
        <v>2.9923904836381077E-2</v>
      </c>
      <c r="T11" s="184">
        <f>IFERROR(Inv_SY_B!T11/Inv_SY_B!$BY11-1,"")</f>
        <v>2.3208943285725425E-2</v>
      </c>
      <c r="U11" s="184">
        <f>IFERROR(Inv_SY_B!U11/Inv_SY_B!$BY11-1,"")</f>
        <v>2.9930127818828423E-2</v>
      </c>
      <c r="V11" s="184">
        <f>IFERROR(Inv_SY_B!V11/Inv_SY_B!$BY11-1,"")</f>
        <v>3.7264909056999196E-2</v>
      </c>
      <c r="W11" s="184">
        <f>IFERROR(Inv_SY_B!W11/Inv_SY_B!$BY11-1,"")</f>
        <v>1.3203185047949706E-3</v>
      </c>
      <c r="X11" s="184">
        <f>IFERROR(Inv_SY_B!X11/Inv_SY_B!$BY11-1,"")</f>
        <v>3.118841265637684E-2</v>
      </c>
      <c r="Y11" s="184">
        <f>IFERROR(Inv_SY_B!Y11/Inv_SY_B!$BY11-1,"")</f>
        <v>6.791547865557912E-2</v>
      </c>
      <c r="Z11" s="184">
        <f>IFERROR(Inv_SY_B!Z11/Inv_SY_B!$BY11-1,"")</f>
        <v>6.2668896249300277E-2</v>
      </c>
      <c r="AA11" s="184">
        <f>IFERROR(Inv_SY_B!AA11/Inv_SY_B!$BY11-1,"")</f>
        <v>4.8305470601290201E-2</v>
      </c>
      <c r="AB11" s="184">
        <f>IFERROR(Inv_SY_B!AB11/Inv_SY_B!$BY11-1,"")</f>
        <v>3.3641374811299141E-2</v>
      </c>
      <c r="AC11" s="184">
        <f>IFERROR(Inv_SY_B!AC11/Inv_SY_B!$BY11-1,"")</f>
        <v>5.2008755383972982E-2</v>
      </c>
      <c r="AD11" s="184">
        <f>IFERROR(Inv_SY_B!AD11/Inv_SY_B!$BY11-1,"")</f>
        <v>4.2232354417747198E-2</v>
      </c>
      <c r="AE11" s="184">
        <f>IFERROR(Inv_SY_B!AE11/Inv_SY_B!$BY11-1,"")</f>
        <v>8.7465894791962429E-2</v>
      </c>
      <c r="AF11" s="184">
        <f>IFERROR(Inv_SY_B!AF11/Inv_SY_B!$BY11-1,"")</f>
        <v>6.919150054683243E-2</v>
      </c>
      <c r="AG11" s="184">
        <f>IFERROR(Inv_SY_B!AG11/Inv_SY_B!$BY11-1,"")</f>
        <v>6.3949546450530637E-2</v>
      </c>
      <c r="AH11" s="184">
        <f>IFERROR(Inv_SY_B!AH11/Inv_SY_B!$BY11-1,"")</f>
        <v>6.1130524371393546E-2</v>
      </c>
      <c r="AI11" s="184">
        <f>IFERROR(Inv_SY_B!AI11/Inv_SY_B!$BY11-1,"")</f>
        <v>6.4469762995940982E-2</v>
      </c>
      <c r="AJ11" s="184">
        <f>IFERROR(Inv_SY_B!AJ11/Inv_SY_B!$BY11-1,"")</f>
        <v>6.309406429699238E-2</v>
      </c>
      <c r="AK11" s="184">
        <f>IFERROR(Inv_SY_B!AK11/Inv_SY_B!$BY11-1,"")</f>
        <v>5.3903669837302326E-2</v>
      </c>
      <c r="AL11" s="184">
        <f>IFERROR(Inv_SY_B!AL11/Inv_SY_B!$BY11-1,"")</f>
        <v>6.3412771288290148E-2</v>
      </c>
      <c r="AM11" s="184">
        <f>IFERROR(Inv_SY_B!AM11/Inv_SY_B!$BY11-1,"")</f>
        <v>6.6405382953819814E-2</v>
      </c>
      <c r="AN11" s="184">
        <f>IFERROR(Inv_SY_B!AN11/Inv_SY_B!$BY11-1,"")</f>
        <v>7.220231742581773E-2</v>
      </c>
      <c r="AO11" s="184">
        <f>IFERROR(Inv_SY_B!AO11/Inv_SY_B!$BY11-1,"")</f>
        <v>6.4379749601388703E-2</v>
      </c>
      <c r="AP11" s="184">
        <f>IFERROR(Inv_SY_B!AP11/Inv_SY_B!$BY11-1,"")</f>
        <v>6.4116252579934363E-2</v>
      </c>
      <c r="AQ11" s="184">
        <f>IFERROR(Inv_SY_B!AQ11/Inv_SY_B!$BY11-1,"")</f>
        <v>6.0772282406337697E-2</v>
      </c>
      <c r="AR11" s="184">
        <f>IFERROR(Inv_SY_B!AR11/Inv_SY_B!$BY11-1,"")</f>
        <v>6.6358577561850929E-2</v>
      </c>
      <c r="AS11" s="184">
        <f>IFERROR(Inv_SY_B!AS11/Inv_SY_B!$BY11-1,"")</f>
        <v>5.545708171238739E-2</v>
      </c>
      <c r="AT11" s="184">
        <f>IFERROR(Inv_SY_B!AT11/Inv_SY_B!$BY11-1,"")</f>
        <v>5.2703562059201792E-2</v>
      </c>
      <c r="AU11" s="184">
        <f>IFERROR(Inv_SY_B!AU11/Inv_SY_B!$BY11-1,"")</f>
        <v>6.4884533746273787E-2</v>
      </c>
      <c r="AV11" s="184">
        <f>IFERROR(Inv_SY_B!AV11/Inv_SY_B!$BY11-1,"")</f>
        <v>4.4722429361858662E-2</v>
      </c>
      <c r="AW11" s="184">
        <f>IFERROR(Inv_SY_B!AW11/Inv_SY_B!$BY11-1,"")</f>
        <v>-1.7998584897686465E-2</v>
      </c>
      <c r="AX11" s="184">
        <f>IFERROR(Inv_SY_B!AX11/Inv_SY_B!$BY11-1,"")</f>
        <v>5.6144305338599043E-3</v>
      </c>
      <c r="AY11" s="184">
        <f>IFERROR(Inv_SY_B!AY11/Inv_SY_B!$BY11-1,"")</f>
        <v>2.9871471308303255E-2</v>
      </c>
      <c r="AZ11" s="184">
        <f>IFERROR(Inv_SY_B!AZ11/Inv_SY_B!$BY11-1,"")</f>
        <v>0.10171343809624789</v>
      </c>
      <c r="BA11" s="184">
        <f>IFERROR(Inv_SY_B!BA11/Inv_SY_B!$BY11-1,"")</f>
        <v>3.591826888033034E-2</v>
      </c>
      <c r="BB11" s="184">
        <f>IFERROR(Inv_SY_B!BB11/Inv_SY_B!$BY11-1,"")</f>
        <v>5.285954005202731E-2</v>
      </c>
      <c r="BC11" s="184">
        <f>IFERROR(Inv_SY_B!BC11/Inv_SY_B!$BY11-1,"")</f>
        <v>4.5686706262935806E-2</v>
      </c>
      <c r="BD11" s="184">
        <f>IFERROR(Inv_SY_B!BD11/Inv_SY_B!$BY11-1,"")</f>
        <v>7.1727178651008083E-2</v>
      </c>
      <c r="BE11" s="184">
        <f>IFERROR(Inv_SY_B!BE11/Inv_SY_B!$BY11-1,"")</f>
        <v>6.8291806944324351E-2</v>
      </c>
      <c r="BF11" s="184">
        <f>IFERROR(Inv_SY_B!BF11/Inv_SY_B!$BY11-1,"")</f>
        <v>4.7211705180506325E-2</v>
      </c>
      <c r="BG11" s="184">
        <f>IFERROR(Inv_SY_B!BG11/Inv_SY_B!$BY11-1,"")</f>
        <v>6.169499940977996E-2</v>
      </c>
      <c r="BH11" s="184">
        <f>IFERROR(Inv_SY_B!BH11/Inv_SY_B!$BY11-1,"")</f>
        <v>9.2603125169277822E-2</v>
      </c>
      <c r="BI11" s="184">
        <f>IFERROR(Inv_SY_B!BI11/Inv_SY_B!$BY11-1,"")</f>
        <v>9.9563902655423142E-2</v>
      </c>
      <c r="BJ11" s="184">
        <f>IFERROR(Inv_SY_B!BJ11/Inv_SY_B!$BY11-1,"")</f>
        <v>8.5198040893751603E-2</v>
      </c>
      <c r="BK11" s="184">
        <f>IFERROR(Inv_SY_B!BK11/Inv_SY_B!$BY11-1,"")</f>
        <v>9.3956157074157165E-2</v>
      </c>
      <c r="BL11" s="184">
        <f>IFERROR(Inv_SY_B!BL11/Inv_SY_B!$BY11-1,"")</f>
        <v>0.10299985484262808</v>
      </c>
      <c r="BM11" s="184">
        <f>IFERROR(Inv_SY_B!BM11/Inv_SY_B!$BY11-1,"")</f>
        <v>0.11053642647489115</v>
      </c>
      <c r="BN11" s="184">
        <f>IFERROR(Inv_SY_B!BN11/Inv_SY_B!$BY11-1,"")</f>
        <v>9.0959402942947243E-2</v>
      </c>
      <c r="BO11" s="184">
        <f>IFERROR(Inv_SY_B!BO11/Inv_SY_B!$BY11-1,"")</f>
        <v>-8.2550660262675768E-3</v>
      </c>
      <c r="BP11" s="184">
        <f>IFERROR(Inv_SY_B!BP11/Inv_SY_B!$BY11-1,"")</f>
        <v>7.8123722074898261E-2</v>
      </c>
      <c r="BQ11" s="184">
        <f>IFERROR(Inv_SY_B!BQ11/Inv_SY_B!$BY11-1,"")</f>
        <v>-0.59455818108756286</v>
      </c>
      <c r="BR11" s="184">
        <f>IFERROR(Inv_SY_B!BR11/Inv_SY_B!$BY11-1,"")</f>
        <v>-0.89103318452769498</v>
      </c>
      <c r="BS11" s="184">
        <f>IFERROR(Inv_SY_B!BS11/Inv_SY_B!$BY11-1,"")</f>
        <v>-0.56701249194349135</v>
      </c>
      <c r="BT11" s="184">
        <f>IFERROR(Inv_SY_B!BT11/Inv_SY_B!$BY11-1,"")</f>
        <v>-0.86972352542852827</v>
      </c>
      <c r="BU11" s="184">
        <f>IFERROR(Inv_SY_B!BU11/Inv_SY_B!$BY11-1,"")</f>
        <v>-0.60262484791880833</v>
      </c>
      <c r="BV11" s="184">
        <f>IFERROR(Inv_SY_B!BV11/Inv_SY_B!$BY11-1,"")</f>
        <v>0.24613864454030798</v>
      </c>
      <c r="BW11" s="184">
        <f>IFERROR(Inv_SY_B!BW11/Inv_SY_B!$BY11-1,"")</f>
        <v>-0.28150168407617349</v>
      </c>
      <c r="BX11" s="184">
        <f>IFERROR(Inv_SY_B!BX11/Inv_SY_B!$BY11-1,"")</f>
        <v>8.58098741036879E-2</v>
      </c>
    </row>
    <row r="12" spans="1:76">
      <c r="A12"/>
      <c r="B12" s="179">
        <f t="shared" si="1"/>
        <v>45830</v>
      </c>
      <c r="C12" s="184">
        <f>IFERROR(Inv_SY_B!C12/Inv_SY_B!$BY12-1,"")</f>
        <v>2.8812018752440105E-2</v>
      </c>
      <c r="D12" s="184">
        <f>IFERROR(Inv_SY_B!D12/Inv_SY_B!$BY12-1,"")</f>
        <v>2.2997858263031468E-2</v>
      </c>
      <c r="E12" s="184">
        <f>IFERROR(Inv_SY_B!E12/Inv_SY_B!$BY12-1,"")</f>
        <v>2.2377836085147207E-2</v>
      </c>
      <c r="F12" s="184">
        <f>IFERROR(Inv_SY_B!F12/Inv_SY_B!$BY12-1,"")</f>
        <v>1.6314070362913435E-2</v>
      </c>
      <c r="G12" s="184">
        <f>IFERROR(Inv_SY_B!G12/Inv_SY_B!$BY12-1,"")</f>
        <v>1.889700081845147E-2</v>
      </c>
      <c r="H12" s="184">
        <f>IFERROR(Inv_SY_B!H12/Inv_SY_B!$BY12-1,"")</f>
        <v>1.2131224915248096E-2</v>
      </c>
      <c r="I12" s="184">
        <f>IFERROR(Inv_SY_B!I12/Inv_SY_B!$BY12-1,"")</f>
        <v>3.3668338732218306E-2</v>
      </c>
      <c r="J12" s="184">
        <f>IFERROR(Inv_SY_B!J12/Inv_SY_B!$BY12-1,"")</f>
        <v>1.5470523902271216E-2</v>
      </c>
      <c r="K12" s="184">
        <f>IFERROR(Inv_SY_B!K12/Inv_SY_B!$BY12-1,"")</f>
        <v>3.1222962162846368E-2</v>
      </c>
      <c r="L12" s="184">
        <f>IFERROR(Inv_SY_B!L12/Inv_SY_B!$BY12-1,"")</f>
        <v>4.1182263683135156E-2</v>
      </c>
      <c r="M12" s="184">
        <f>IFERROR(Inv_SY_B!M12/Inv_SY_B!$BY12-1,"")</f>
        <v>7.8929523663154866E-2</v>
      </c>
      <c r="N12" s="184">
        <f>IFERROR(Inv_SY_B!N12/Inv_SY_B!$BY12-1,"")</f>
        <v>3.5071024422695274E-2</v>
      </c>
      <c r="O12" s="184">
        <f>IFERROR(Inv_SY_B!O12/Inv_SY_B!$BY12-1,"")</f>
        <v>0.10752978534595359</v>
      </c>
      <c r="P12" s="184">
        <f>IFERROR(Inv_SY_B!P12/Inv_SY_B!$BY12-1,"")</f>
        <v>3.2675543663114759E-2</v>
      </c>
      <c r="Q12" s="184">
        <f>IFERROR(Inv_SY_B!Q12/Inv_SY_B!$BY12-1,"")</f>
        <v>3.9929613026815414E-2</v>
      </c>
      <c r="R12" s="184">
        <f>IFERROR(Inv_SY_B!R12/Inv_SY_B!$BY12-1,"")</f>
        <v>3.4099471600670173E-2</v>
      </c>
      <c r="S12" s="184">
        <f>IFERROR(Inv_SY_B!S12/Inv_SY_B!$BY12-1,"")</f>
        <v>3.2121860273836456E-2</v>
      </c>
      <c r="T12" s="184">
        <f>IFERROR(Inv_SY_B!T12/Inv_SY_B!$BY12-1,"")</f>
        <v>4.0065035806900573E-2</v>
      </c>
      <c r="U12" s="184">
        <f>IFERROR(Inv_SY_B!U12/Inv_SY_B!$BY12-1,"")</f>
        <v>4.0018547016744233E-2</v>
      </c>
      <c r="V12" s="184">
        <f>IFERROR(Inv_SY_B!V12/Inv_SY_B!$BY12-1,"")</f>
        <v>4.7310171883674812E-2</v>
      </c>
      <c r="W12" s="184">
        <f>IFERROR(Inv_SY_B!W12/Inv_SY_B!$BY12-1,"")</f>
        <v>1.6856807507599214E-2</v>
      </c>
      <c r="X12" s="184">
        <f>IFERROR(Inv_SY_B!X12/Inv_SY_B!$BY12-1,"")</f>
        <v>3.4066509846155668E-2</v>
      </c>
      <c r="Y12" s="184">
        <f>IFERROR(Inv_SY_B!Y12/Inv_SY_B!$BY12-1,"")</f>
        <v>7.0897040642662557E-2</v>
      </c>
      <c r="Z12" s="184">
        <f>IFERROR(Inv_SY_B!Z12/Inv_SY_B!$BY12-1,"")</f>
        <v>6.6929799330448736E-2</v>
      </c>
      <c r="AA12" s="184">
        <f>IFERROR(Inv_SY_B!AA12/Inv_SY_B!$BY12-1,"")</f>
        <v>5.7244799772198096E-2</v>
      </c>
      <c r="AB12" s="184">
        <f>IFERROR(Inv_SY_B!AB12/Inv_SY_B!$BY12-1,"")</f>
        <v>4.3868187210159837E-2</v>
      </c>
      <c r="AC12" s="184">
        <f>IFERROR(Inv_SY_B!AC12/Inv_SY_B!$BY12-1,"")</f>
        <v>5.8544127290738546E-2</v>
      </c>
      <c r="AD12" s="184">
        <f>IFERROR(Inv_SY_B!AD12/Inv_SY_B!$BY12-1,"")</f>
        <v>4.7457284958438484E-2</v>
      </c>
      <c r="AE12" s="184">
        <f>IFERROR(Inv_SY_B!AE12/Inv_SY_B!$BY12-1,"")</f>
        <v>-1.1633520951896847E-2</v>
      </c>
      <c r="AF12" s="184">
        <f>IFERROR(Inv_SY_B!AF12/Inv_SY_B!$BY12-1,"")</f>
        <v>-1.9729905261751779E-2</v>
      </c>
      <c r="AG12" s="184">
        <f>IFERROR(Inv_SY_B!AG12/Inv_SY_B!$BY12-1,"")</f>
        <v>-2.0978601185387746E-2</v>
      </c>
      <c r="AH12" s="184">
        <f>IFERROR(Inv_SY_B!AH12/Inv_SY_B!$BY12-1,"")</f>
        <v>-2.4404395402921608E-2</v>
      </c>
      <c r="AI12" s="184">
        <f>IFERROR(Inv_SY_B!AI12/Inv_SY_B!$BY12-1,"")</f>
        <v>-2.8942117012277446E-2</v>
      </c>
      <c r="AJ12" s="184">
        <f>IFERROR(Inv_SY_B!AJ12/Inv_SY_B!$BY12-1,"")</f>
        <v>-2.8942475834267234E-2</v>
      </c>
      <c r="AK12" s="184">
        <f>IFERROR(Inv_SY_B!AK12/Inv_SY_B!$BY12-1,"")</f>
        <v>-4.2019659622623107E-2</v>
      </c>
      <c r="AL12" s="184">
        <f>IFERROR(Inv_SY_B!AL12/Inv_SY_B!$BY12-1,"")</f>
        <v>-3.545071020323376E-2</v>
      </c>
      <c r="AM12" s="184">
        <f>IFERROR(Inv_SY_B!AM12/Inv_SY_B!$BY12-1,"")</f>
        <v>-4.3872816829871542E-2</v>
      </c>
      <c r="AN12" s="184">
        <f>IFERROR(Inv_SY_B!AN12/Inv_SY_B!$BY12-1,"")</f>
        <v>-3.8469181273124819E-2</v>
      </c>
      <c r="AO12" s="184">
        <f>IFERROR(Inv_SY_B!AO12/Inv_SY_B!$BY12-1,"")</f>
        <v>-3.9101802021231813E-2</v>
      </c>
      <c r="AP12" s="184">
        <f>IFERROR(Inv_SY_B!AP12/Inv_SY_B!$BY12-1,"")</f>
        <v>-3.5068844752050077E-2</v>
      </c>
      <c r="AQ12" s="184">
        <f>IFERROR(Inv_SY_B!AQ12/Inv_SY_B!$BY12-1,"")</f>
        <v>-4.1795943437792249E-2</v>
      </c>
      <c r="AR12" s="184">
        <f>IFERROR(Inv_SY_B!AR12/Inv_SY_B!$BY12-1,"")</f>
        <v>-4.1444163580669824E-2</v>
      </c>
      <c r="AS12" s="184">
        <f>IFERROR(Inv_SY_B!AS12/Inv_SY_B!$BY12-1,"")</f>
        <v>-5.2576233449275089E-2</v>
      </c>
      <c r="AT12" s="184">
        <f>IFERROR(Inv_SY_B!AT12/Inv_SY_B!$BY12-1,"")</f>
        <v>-4.9209173393385153E-2</v>
      </c>
      <c r="AU12" s="184">
        <f>IFERROR(Inv_SY_B!AU12/Inv_SY_B!$BY12-1,"")</f>
        <v>-4.8993030552986427E-2</v>
      </c>
      <c r="AV12" s="184">
        <f>IFERROR(Inv_SY_B!AV12/Inv_SY_B!$BY12-1,"")</f>
        <v>-6.2646860424189654E-2</v>
      </c>
      <c r="AW12" s="184">
        <f>IFERROR(Inv_SY_B!AW12/Inv_SY_B!$BY12-1,"")</f>
        <v>4.8315038225832607E-2</v>
      </c>
      <c r="AX12" s="184">
        <f>IFERROR(Inv_SY_B!AX12/Inv_SY_B!$BY12-1,"")</f>
        <v>5.9033016014919282E-2</v>
      </c>
      <c r="AY12" s="184">
        <f>IFERROR(Inv_SY_B!AY12/Inv_SY_B!$BY12-1,"")</f>
        <v>5.1110405651755286E-2</v>
      </c>
      <c r="AZ12" s="184">
        <f>IFERROR(Inv_SY_B!AZ12/Inv_SY_B!$BY12-1,"")</f>
        <v>0.13457803653051181</v>
      </c>
      <c r="BA12" s="184">
        <f>IFERROR(Inv_SY_B!BA12/Inv_SY_B!$BY12-1,"")</f>
        <v>7.1347578806579826E-2</v>
      </c>
      <c r="BB12" s="184">
        <f>IFERROR(Inv_SY_B!BB12/Inv_SY_B!$BY12-1,"")</f>
        <v>0.10336023688188312</v>
      </c>
      <c r="BC12" s="184">
        <f>IFERROR(Inv_SY_B!BC12/Inv_SY_B!$BY12-1,"")</f>
        <v>0.10175363464494325</v>
      </c>
      <c r="BD12" s="184">
        <f>IFERROR(Inv_SY_B!BD12/Inv_SY_B!$BY12-1,"")</f>
        <v>0.1191018798503678</v>
      </c>
      <c r="BE12" s="184">
        <f>IFERROR(Inv_SY_B!BE12/Inv_SY_B!$BY12-1,"")</f>
        <v>0.12603340059482582</v>
      </c>
      <c r="BF12" s="184">
        <f>IFERROR(Inv_SY_B!BF12/Inv_SY_B!$BY12-1,"")</f>
        <v>7.163318809532071E-2</v>
      </c>
      <c r="BG12" s="184">
        <f>IFERROR(Inv_SY_B!BG12/Inv_SY_B!$BY12-1,"")</f>
        <v>0.12391965236996638</v>
      </c>
      <c r="BH12" s="184">
        <f>IFERROR(Inv_SY_B!BH12/Inv_SY_B!$BY12-1,"")</f>
        <v>0.11336099641789743</v>
      </c>
      <c r="BI12" s="184">
        <f>IFERROR(Inv_SY_B!BI12/Inv_SY_B!$BY12-1,"")</f>
        <v>0.14417545882096272</v>
      </c>
      <c r="BJ12" s="184">
        <f>IFERROR(Inv_SY_B!BJ12/Inv_SY_B!$BY12-1,"")</f>
        <v>0.10816270083505297</v>
      </c>
      <c r="BK12" s="184">
        <f>IFERROR(Inv_SY_B!BK12/Inv_SY_B!$BY12-1,"")</f>
        <v>0.12774524435134516</v>
      </c>
      <c r="BL12" s="184">
        <f>IFERROR(Inv_SY_B!BL12/Inv_SY_B!$BY12-1,"")</f>
        <v>0.14225350027946781</v>
      </c>
      <c r="BM12" s="184">
        <f>IFERROR(Inv_SY_B!BM12/Inv_SY_B!$BY12-1,"")</f>
        <v>0.15914792519020993</v>
      </c>
      <c r="BN12" s="184">
        <f>IFERROR(Inv_SY_B!BN12/Inv_SY_B!$BY12-1,"")</f>
        <v>0.14089779167170335</v>
      </c>
      <c r="BO12" s="184">
        <f>IFERROR(Inv_SY_B!BO12/Inv_SY_B!$BY12-1,"")</f>
        <v>5.3588598097234152E-2</v>
      </c>
      <c r="BP12" s="184">
        <f>IFERROR(Inv_SY_B!BP12/Inv_SY_B!$BY12-1,"")</f>
        <v>0.12473788807030806</v>
      </c>
      <c r="BQ12" s="184">
        <f>IFERROR(Inv_SY_B!BQ12/Inv_SY_B!$BY12-1,"")</f>
        <v>-0.46373913365423725</v>
      </c>
      <c r="BR12" s="184">
        <f>IFERROR(Inv_SY_B!BR12/Inv_SY_B!$BY12-1,"")</f>
        <v>-0.83993126528041173</v>
      </c>
      <c r="BS12" s="184">
        <f>IFERROR(Inv_SY_B!BS12/Inv_SY_B!$BY12-1,"")</f>
        <v>-0.25729875400998592</v>
      </c>
      <c r="BT12" s="184">
        <f>IFERROR(Inv_SY_B!BT12/Inv_SY_B!$BY12-1,"")</f>
        <v>-0.51721455702371066</v>
      </c>
      <c r="BU12" s="184">
        <f>IFERROR(Inv_SY_B!BU12/Inv_SY_B!$BY12-1,"")</f>
        <v>-0.60819370738706691</v>
      </c>
      <c r="BV12" s="184">
        <f>IFERROR(Inv_SY_B!BV12/Inv_SY_B!$BY12-1,"")</f>
        <v>0.2151716111102171</v>
      </c>
      <c r="BW12" s="184">
        <f>IFERROR(Inv_SY_B!BW12/Inv_SY_B!$BY12-1,"")</f>
        <v>-0.24816052227730667</v>
      </c>
      <c r="BX12" s="184">
        <f>IFERROR(Inv_SY_B!BX12/Inv_SY_B!$BY12-1,"")</f>
        <v>0.13370036137065333</v>
      </c>
    </row>
    <row r="13" spans="1:76">
      <c r="A13"/>
      <c r="B13" s="179">
        <f t="shared" si="1"/>
        <v>45831</v>
      </c>
      <c r="C13" s="184">
        <f>IFERROR(Inv_SY_B!C13/Inv_SY_B!$BY13-1,"")</f>
        <v>5.5664907234741268E-2</v>
      </c>
      <c r="D13" s="184">
        <f>IFERROR(Inv_SY_B!D13/Inv_SY_B!$BY13-1,"")</f>
        <v>5.7718587315514824E-2</v>
      </c>
      <c r="E13" s="184">
        <f>IFERROR(Inv_SY_B!E13/Inv_SY_B!$BY13-1,"")</f>
        <v>4.7453532505764118E-2</v>
      </c>
      <c r="F13" s="184">
        <f>IFERROR(Inv_SY_B!F13/Inv_SY_B!$BY13-1,"")</f>
        <v>3.806000964252676E-2</v>
      </c>
      <c r="G13" s="184">
        <f>IFERROR(Inv_SY_B!G13/Inv_SY_B!$BY13-1,"")</f>
        <v>3.4125862622753189E-2</v>
      </c>
      <c r="H13" s="184">
        <f>IFERROR(Inv_SY_B!H13/Inv_SY_B!$BY13-1,"")</f>
        <v>3.2298263237578118E-2</v>
      </c>
      <c r="I13" s="184">
        <f>IFERROR(Inv_SY_B!I13/Inv_SY_B!$BY13-1,"")</f>
        <v>6.133660881567371E-2</v>
      </c>
      <c r="J13" s="184">
        <f>IFERROR(Inv_SY_B!J13/Inv_SY_B!$BY13-1,"")</f>
        <v>5.5673962261552523E-2</v>
      </c>
      <c r="K13" s="184">
        <f>IFERROR(Inv_SY_B!K13/Inv_SY_B!$BY13-1,"")</f>
        <v>5.9027828461196696E-2</v>
      </c>
      <c r="L13" s="184">
        <f>IFERROR(Inv_SY_B!L13/Inv_SY_B!$BY13-1,"")</f>
        <v>6.4881837050844826E-2</v>
      </c>
      <c r="M13" s="184">
        <f>IFERROR(Inv_SY_B!M13/Inv_SY_B!$BY13-1,"")</f>
        <v>0.10503651644801226</v>
      </c>
      <c r="N13" s="184">
        <f>IFERROR(Inv_SY_B!N13/Inv_SY_B!$BY13-1,"")</f>
        <v>6.5746129386222263E-2</v>
      </c>
      <c r="O13" s="184">
        <f>IFERROR(Inv_SY_B!O13/Inv_SY_B!$BY13-1,"")</f>
        <v>0.13831632975375929</v>
      </c>
      <c r="P13" s="184">
        <f>IFERROR(Inv_SY_B!P13/Inv_SY_B!$BY13-1,"")</f>
        <v>5.5852572775331177E-2</v>
      </c>
      <c r="Q13" s="184">
        <f>IFERROR(Inv_SY_B!Q13/Inv_SY_B!$BY13-1,"")</f>
        <v>6.59138611041441E-2</v>
      </c>
      <c r="R13" s="184">
        <f>IFERROR(Inv_SY_B!R13/Inv_SY_B!$BY13-1,"")</f>
        <v>6.5237185084495497E-2</v>
      </c>
      <c r="S13" s="184">
        <f>IFERROR(Inv_SY_B!S13/Inv_SY_B!$BY13-1,"")</f>
        <v>6.9311529138698091E-2</v>
      </c>
      <c r="T13" s="184">
        <f>IFERROR(Inv_SY_B!T13/Inv_SY_B!$BY13-1,"")</f>
        <v>8.429662261034232E-2</v>
      </c>
      <c r="U13" s="184">
        <f>IFERROR(Inv_SY_B!U13/Inv_SY_B!$BY13-1,"")</f>
        <v>7.2231740257091559E-2</v>
      </c>
      <c r="V13" s="184">
        <f>IFERROR(Inv_SY_B!V13/Inv_SY_B!$BY13-1,"")</f>
        <v>7.9206372316242168E-2</v>
      </c>
      <c r="W13" s="184">
        <f>IFERROR(Inv_SY_B!W13/Inv_SY_B!$BY13-1,"")</f>
        <v>5.5674164645734159E-2</v>
      </c>
      <c r="X13" s="184">
        <f>IFERROR(Inv_SY_B!X13/Inv_SY_B!$BY13-1,"")</f>
        <v>4.4934991641965016E-2</v>
      </c>
      <c r="Y13" s="184">
        <f>IFERROR(Inv_SY_B!Y13/Inv_SY_B!$BY13-1,"")</f>
        <v>8.5796709724205833E-2</v>
      </c>
      <c r="Z13" s="184">
        <f>IFERROR(Inv_SY_B!Z13/Inv_SY_B!$BY13-1,"")</f>
        <v>7.9263018571044119E-2</v>
      </c>
      <c r="AA13" s="184">
        <f>IFERROR(Inv_SY_B!AA13/Inv_SY_B!$BY13-1,"")</f>
        <v>7.8742917963401826E-2</v>
      </c>
      <c r="AB13" s="184">
        <f>IFERROR(Inv_SY_B!AB13/Inv_SY_B!$BY13-1,"")</f>
        <v>7.5376174132724794E-2</v>
      </c>
      <c r="AC13" s="184">
        <f>IFERROR(Inv_SY_B!AC13/Inv_SY_B!$BY13-1,"")</f>
        <v>7.2358675924451665E-2</v>
      </c>
      <c r="AD13" s="184">
        <f>IFERROR(Inv_SY_B!AD13/Inv_SY_B!$BY13-1,"")</f>
        <v>5.8609039248496364E-2</v>
      </c>
      <c r="AE13" s="184">
        <f>IFERROR(Inv_SY_B!AE13/Inv_SY_B!$BY13-1,"")</f>
        <v>8.9551951745248104E-4</v>
      </c>
      <c r="AF13" s="184">
        <f>IFERROR(Inv_SY_B!AF13/Inv_SY_B!$BY13-1,"")</f>
        <v>-1.3644523502818418E-2</v>
      </c>
      <c r="AG13" s="184">
        <f>IFERROR(Inv_SY_B!AG13/Inv_SY_B!$BY13-1,"")</f>
        <v>-2.0576104580163124E-2</v>
      </c>
      <c r="AH13" s="184">
        <f>IFERROR(Inv_SY_B!AH13/Inv_SY_B!$BY13-1,"")</f>
        <v>-2.6647438104272392E-2</v>
      </c>
      <c r="AI13" s="184">
        <f>IFERROR(Inv_SY_B!AI13/Inv_SY_B!$BY13-1,"")</f>
        <v>-2.4831509061479684E-2</v>
      </c>
      <c r="AJ13" s="184">
        <f>IFERROR(Inv_SY_B!AJ13/Inv_SY_B!$BY13-1,"")</f>
        <v>-2.7117090384364939E-2</v>
      </c>
      <c r="AK13" s="184">
        <f>IFERROR(Inv_SY_B!AK13/Inv_SY_B!$BY13-1,"")</f>
        <v>-3.3491257180958911E-2</v>
      </c>
      <c r="AL13" s="184">
        <f>IFERROR(Inv_SY_B!AL13/Inv_SY_B!$BY13-1,"")</f>
        <v>-2.9905345215021861E-2</v>
      </c>
      <c r="AM13" s="184">
        <f>IFERROR(Inv_SY_B!AM13/Inv_SY_B!$BY13-1,"")</f>
        <v>-3.9334962519944505E-2</v>
      </c>
      <c r="AN13" s="184">
        <f>IFERROR(Inv_SY_B!AN13/Inv_SY_B!$BY13-1,"")</f>
        <v>-3.7995232771202869E-2</v>
      </c>
      <c r="AO13" s="184">
        <f>IFERROR(Inv_SY_B!AO13/Inv_SY_B!$BY13-1,"")</f>
        <v>-3.6287734071826283E-2</v>
      </c>
      <c r="AP13" s="184">
        <f>IFERROR(Inv_SY_B!AP13/Inv_SY_B!$BY13-1,"")</f>
        <v>-2.9562816117358226E-2</v>
      </c>
      <c r="AQ13" s="184">
        <f>IFERROR(Inv_SY_B!AQ13/Inv_SY_B!$BY13-1,"")</f>
        <v>-4.1445879093183535E-2</v>
      </c>
      <c r="AR13" s="184">
        <f>IFERROR(Inv_SY_B!AR13/Inv_SY_B!$BY13-1,"")</f>
        <v>-4.0973608235330028E-2</v>
      </c>
      <c r="AS13" s="184">
        <f>IFERROR(Inv_SY_B!AS13/Inv_SY_B!$BY13-1,"")</f>
        <v>-3.6202505076917135E-2</v>
      </c>
      <c r="AT13" s="184">
        <f>IFERROR(Inv_SY_B!AT13/Inv_SY_B!$BY13-1,"")</f>
        <v>-2.9953256248285154E-2</v>
      </c>
      <c r="AU13" s="184">
        <f>IFERROR(Inv_SY_B!AU13/Inv_SY_B!$BY13-1,"")</f>
        <v>-4.1750765902097253E-2</v>
      </c>
      <c r="AV13" s="184">
        <f>IFERROR(Inv_SY_B!AV13/Inv_SY_B!$BY13-1,"")</f>
        <v>-5.5195684652179389E-2</v>
      </c>
      <c r="AW13" s="184">
        <f>IFERROR(Inv_SY_B!AW13/Inv_SY_B!$BY13-1,"")</f>
        <v>6.3699365095817972E-2</v>
      </c>
      <c r="AX13" s="184">
        <f>IFERROR(Inv_SY_B!AX13/Inv_SY_B!$BY13-1,"")</f>
        <v>8.0650825559794637E-2</v>
      </c>
      <c r="AY13" s="184">
        <f>IFERROR(Inv_SY_B!AY13/Inv_SY_B!$BY13-1,"")</f>
        <v>3.6634642457435751E-2</v>
      </c>
      <c r="AZ13" s="184">
        <f>IFERROR(Inv_SY_B!AZ13/Inv_SY_B!$BY13-1,"")</f>
        <v>0.11197837230172714</v>
      </c>
      <c r="BA13" s="184">
        <f>IFERROR(Inv_SY_B!BA13/Inv_SY_B!$BY13-1,"")</f>
        <v>4.5702536372237867E-2</v>
      </c>
      <c r="BB13" s="184">
        <f>IFERROR(Inv_SY_B!BB13/Inv_SY_B!$BY13-1,"")</f>
        <v>6.6621660268058935E-2</v>
      </c>
      <c r="BC13" s="184">
        <f>IFERROR(Inv_SY_B!BC13/Inv_SY_B!$BY13-1,"")</f>
        <v>6.1674025000771238E-2</v>
      </c>
      <c r="BD13" s="184">
        <f>IFERROR(Inv_SY_B!BD13/Inv_SY_B!$BY13-1,"")</f>
        <v>8.2499814329021426E-2</v>
      </c>
      <c r="BE13" s="184">
        <f>IFERROR(Inv_SY_B!BE13/Inv_SY_B!$BY13-1,"")</f>
        <v>6.6029417784356115E-2</v>
      </c>
      <c r="BF13" s="184">
        <f>IFERROR(Inv_SY_B!BF13/Inv_SY_B!$BY13-1,"")</f>
        <v>8.191570104405077E-3</v>
      </c>
      <c r="BG13" s="184">
        <f>IFERROR(Inv_SY_B!BG13/Inv_SY_B!$BY13-1,"")</f>
        <v>6.2082101837785952E-2</v>
      </c>
      <c r="BH13" s="184">
        <f>IFERROR(Inv_SY_B!BH13/Inv_SY_B!$BY13-1,"")</f>
        <v>5.2260999178784129E-2</v>
      </c>
      <c r="BI13" s="184">
        <f>IFERROR(Inv_SY_B!BI13/Inv_SY_B!$BY13-1,"")</f>
        <v>8.4475297589621912E-2</v>
      </c>
      <c r="BJ13" s="184">
        <f>IFERROR(Inv_SY_B!BJ13/Inv_SY_B!$BY13-1,"")</f>
        <v>4.9873404583902436E-2</v>
      </c>
      <c r="BK13" s="184">
        <f>IFERROR(Inv_SY_B!BK13/Inv_SY_B!$BY13-1,"")</f>
        <v>6.5524735063663853E-2</v>
      </c>
      <c r="BL13" s="184">
        <f>IFERROR(Inv_SY_B!BL13/Inv_SY_B!$BY13-1,"")</f>
        <v>8.5539684859953224E-2</v>
      </c>
      <c r="BM13" s="184">
        <f>IFERROR(Inv_SY_B!BM13/Inv_SY_B!$BY13-1,"")</f>
        <v>0.10271627788419058</v>
      </c>
      <c r="BN13" s="184">
        <f>IFERROR(Inv_SY_B!BN13/Inv_SY_B!$BY13-1,"")</f>
        <v>8.8036546739404864E-2</v>
      </c>
      <c r="BO13" s="184">
        <f>IFERROR(Inv_SY_B!BO13/Inv_SY_B!$BY13-1,"")</f>
        <v>3.8909095710843999E-3</v>
      </c>
      <c r="BP13" s="184">
        <f>IFERROR(Inv_SY_B!BP13/Inv_SY_B!$BY13-1,"")</f>
        <v>7.1123793727571938E-2</v>
      </c>
      <c r="BQ13" s="184">
        <f>IFERROR(Inv_SY_B!BQ13/Inv_SY_B!$BY13-1,"")</f>
        <v>-0.50583889109408364</v>
      </c>
      <c r="BR13" s="184">
        <f>IFERROR(Inv_SY_B!BR13/Inv_SY_B!$BY13-1,"")</f>
        <v>-0.85595354695233117</v>
      </c>
      <c r="BS13" s="184">
        <f>IFERROR(Inv_SY_B!BS13/Inv_SY_B!$BY13-1,"")</f>
        <v>3.2183236198600529E-2</v>
      </c>
      <c r="BT13" s="184">
        <f>IFERROR(Inv_SY_B!BT13/Inv_SY_B!$BY13-1,"")</f>
        <v>-0.47310156851938645</v>
      </c>
      <c r="BU13" s="184">
        <f>IFERROR(Inv_SY_B!BU13/Inv_SY_B!$BY13-1,"")</f>
        <v>-0.64619472970400293</v>
      </c>
      <c r="BV13" s="184">
        <f>IFERROR(Inv_SY_B!BV13/Inv_SY_B!$BY13-1,"")</f>
        <v>9.1772841090256296E-2</v>
      </c>
      <c r="BW13" s="184">
        <f>IFERROR(Inv_SY_B!BW13/Inv_SY_B!$BY13-1,"")</f>
        <v>-0.30253309142530493</v>
      </c>
      <c r="BX13" s="184">
        <f>IFERROR(Inv_SY_B!BX13/Inv_SY_B!$BY13-1,"")</f>
        <v>7.6334013422115987E-2</v>
      </c>
    </row>
    <row r="14" spans="1:76">
      <c r="A14"/>
      <c r="B14" s="179">
        <f t="shared" si="1"/>
        <v>45832</v>
      </c>
      <c r="C14" s="184">
        <f>IFERROR(Inv_SY_B!C14/Inv_SY_B!$BY14-1,"")</f>
        <v>-3.7910116294680662E-2</v>
      </c>
      <c r="D14" s="184">
        <f>IFERROR(Inv_SY_B!D14/Inv_SY_B!$BY14-1,"")</f>
        <v>-2.4023388158203263E-2</v>
      </c>
      <c r="E14" s="184">
        <f>IFERROR(Inv_SY_B!E14/Inv_SY_B!$BY14-1,"")</f>
        <v>-3.7355103969489045E-2</v>
      </c>
      <c r="F14" s="184">
        <f>IFERROR(Inv_SY_B!F14/Inv_SY_B!$BY14-1,"")</f>
        <v>-6.7022132315557315E-2</v>
      </c>
      <c r="G14" s="184">
        <f>IFERROR(Inv_SY_B!G14/Inv_SY_B!$BY14-1,"")</f>
        <v>-6.9432427459750756E-2</v>
      </c>
      <c r="H14" s="184">
        <f>IFERROR(Inv_SY_B!H14/Inv_SY_B!$BY14-1,"")</f>
        <v>-7.5470590625951628E-2</v>
      </c>
      <c r="I14" s="184">
        <f>IFERROR(Inv_SY_B!I14/Inv_SY_B!$BY14-1,"")</f>
        <v>-4.6965900577573994E-2</v>
      </c>
      <c r="J14" s="184">
        <f>IFERROR(Inv_SY_B!J14/Inv_SY_B!$BY14-1,"")</f>
        <v>-4.3248229237189406E-2</v>
      </c>
      <c r="K14" s="184">
        <f>IFERROR(Inv_SY_B!K14/Inv_SY_B!$BY14-1,"")</f>
        <v>-2.9693069980532005E-2</v>
      </c>
      <c r="L14" s="184">
        <f>IFERROR(Inv_SY_B!L14/Inv_SY_B!$BY14-1,"")</f>
        <v>-2.9186368775683369E-2</v>
      </c>
      <c r="M14" s="184">
        <f>IFERROR(Inv_SY_B!M14/Inv_SY_B!$BY14-1,"")</f>
        <v>1.4207780110038204E-2</v>
      </c>
      <c r="N14" s="184">
        <f>IFERROR(Inv_SY_B!N14/Inv_SY_B!$BY14-1,"")</f>
        <v>-1.4059098091286026E-2</v>
      </c>
      <c r="O14" s="184">
        <f>IFERROR(Inv_SY_B!O14/Inv_SY_B!$BY14-1,"")</f>
        <v>5.4128746525538896E-2</v>
      </c>
      <c r="P14" s="184">
        <f>IFERROR(Inv_SY_B!P14/Inv_SY_B!$BY14-1,"")</f>
        <v>-1.5624557475411582E-2</v>
      </c>
      <c r="Q14" s="184">
        <f>IFERROR(Inv_SY_B!Q14/Inv_SY_B!$BY14-1,"")</f>
        <v>-1.5778423582787471E-2</v>
      </c>
      <c r="R14" s="184">
        <f>IFERROR(Inv_SY_B!R14/Inv_SY_B!$BY14-1,"")</f>
        <v>-1.431827656738438E-2</v>
      </c>
      <c r="S14" s="184">
        <f>IFERROR(Inv_SY_B!S14/Inv_SY_B!$BY14-1,"")</f>
        <v>3.5098798338797144E-2</v>
      </c>
      <c r="T14" s="184">
        <f>IFERROR(Inv_SY_B!T14/Inv_SY_B!$BY14-1,"")</f>
        <v>6.0794881071593254E-2</v>
      </c>
      <c r="U14" s="184">
        <f>IFERROR(Inv_SY_B!U14/Inv_SY_B!$BY14-1,"")</f>
        <v>2.6790922728781252E-2</v>
      </c>
      <c r="V14" s="184">
        <f>IFERROR(Inv_SY_B!V14/Inv_SY_B!$BY14-1,"")</f>
        <v>3.6102916805834662E-2</v>
      </c>
      <c r="W14" s="184">
        <f>IFERROR(Inv_SY_B!W14/Inv_SY_B!$BY14-1,"")</f>
        <v>4.0684267558286358E-3</v>
      </c>
      <c r="X14" s="184">
        <f>IFERROR(Inv_SY_B!X14/Inv_SY_B!$BY14-1,"")</f>
        <v>2.547145596117395E-2</v>
      </c>
      <c r="Y14" s="184">
        <f>IFERROR(Inv_SY_B!Y14/Inv_SY_B!$BY14-1,"")</f>
        <v>7.0182150371805641E-2</v>
      </c>
      <c r="Z14" s="184">
        <f>IFERROR(Inv_SY_B!Z14/Inv_SY_B!$BY14-1,"")</f>
        <v>6.5313641076827578E-2</v>
      </c>
      <c r="AA14" s="184">
        <f>IFERROR(Inv_SY_B!AA14/Inv_SY_B!$BY14-1,"")</f>
        <v>6.0175937090246157E-2</v>
      </c>
      <c r="AB14" s="184">
        <f>IFERROR(Inv_SY_B!AB14/Inv_SY_B!$BY14-1,"")</f>
        <v>5.5102960634140663E-2</v>
      </c>
      <c r="AC14" s="184">
        <f>IFERROR(Inv_SY_B!AC14/Inv_SY_B!$BY14-1,"")</f>
        <v>4.9775798342902355E-2</v>
      </c>
      <c r="AD14" s="184">
        <f>IFERROR(Inv_SY_B!AD14/Inv_SY_B!$BY14-1,"")</f>
        <v>3.822278581292049E-2</v>
      </c>
      <c r="AE14" s="184">
        <f>IFERROR(Inv_SY_B!AE14/Inv_SY_B!$BY14-1,"")</f>
        <v>1.9530000764643729E-2</v>
      </c>
      <c r="AF14" s="184">
        <f>IFERROR(Inv_SY_B!AF14/Inv_SY_B!$BY14-1,"")</f>
        <v>5.0501786434085094E-3</v>
      </c>
      <c r="AG14" s="184">
        <f>IFERROR(Inv_SY_B!AG14/Inv_SY_B!$BY14-1,"")</f>
        <v>6.2471380766204732E-4</v>
      </c>
      <c r="AH14" s="184">
        <f>IFERROR(Inv_SY_B!AH14/Inv_SY_B!$BY14-1,"")</f>
        <v>-5.0386267054294276E-3</v>
      </c>
      <c r="AI14" s="184">
        <f>IFERROR(Inv_SY_B!AI14/Inv_SY_B!$BY14-1,"")</f>
        <v>5.8215573764730522E-5</v>
      </c>
      <c r="AJ14" s="184">
        <f>IFERROR(Inv_SY_B!AJ14/Inv_SY_B!$BY14-1,"")</f>
        <v>2.3924421901881932E-3</v>
      </c>
      <c r="AK14" s="184">
        <f>IFERROR(Inv_SY_B!AK14/Inv_SY_B!$BY14-1,"")</f>
        <v>-6.1356584779312939E-3</v>
      </c>
      <c r="AL14" s="184">
        <f>IFERROR(Inv_SY_B!AL14/Inv_SY_B!$BY14-1,"")</f>
        <v>7.0366542934019449E-4</v>
      </c>
      <c r="AM14" s="184">
        <f>IFERROR(Inv_SY_B!AM14/Inv_SY_B!$BY14-1,"")</f>
        <v>-3.5157469469090596E-2</v>
      </c>
      <c r="AN14" s="184">
        <f>IFERROR(Inv_SY_B!AN14/Inv_SY_B!$BY14-1,"")</f>
        <v>-3.1194119700086231E-2</v>
      </c>
      <c r="AO14" s="184">
        <f>IFERROR(Inv_SY_B!AO14/Inv_SY_B!$BY14-1,"")</f>
        <v>-3.8887681016389064E-2</v>
      </c>
      <c r="AP14" s="184">
        <f>IFERROR(Inv_SY_B!AP14/Inv_SY_B!$BY14-1,"")</f>
        <v>-3.1543827032645355E-2</v>
      </c>
      <c r="AQ14" s="184">
        <f>IFERROR(Inv_SY_B!AQ14/Inv_SY_B!$BY14-1,"")</f>
        <v>-3.9947659068665486E-2</v>
      </c>
      <c r="AR14" s="184">
        <f>IFERROR(Inv_SY_B!AR14/Inv_SY_B!$BY14-1,"")</f>
        <v>-3.5740315023355951E-2</v>
      </c>
      <c r="AS14" s="184">
        <f>IFERROR(Inv_SY_B!AS14/Inv_SY_B!$BY14-1,"")</f>
        <v>-7.250824330864436E-3</v>
      </c>
      <c r="AT14" s="184">
        <f>IFERROR(Inv_SY_B!AT14/Inv_SY_B!$BY14-1,"")</f>
        <v>-1.8078161749479627E-4</v>
      </c>
      <c r="AU14" s="184">
        <f>IFERROR(Inv_SY_B!AU14/Inv_SY_B!$BY14-1,"")</f>
        <v>-2.566243292508319E-3</v>
      </c>
      <c r="AV14" s="184">
        <f>IFERROR(Inv_SY_B!AV14/Inv_SY_B!$BY14-1,"")</f>
        <v>-6.05694785523192E-3</v>
      </c>
      <c r="AW14" s="184">
        <f>IFERROR(Inv_SY_B!AW14/Inv_SY_B!$BY14-1,"")</f>
        <v>0.11133624120485108</v>
      </c>
      <c r="AX14" s="184">
        <f>IFERROR(Inv_SY_B!AX14/Inv_SY_B!$BY14-1,"")</f>
        <v>0.12141570962813497</v>
      </c>
      <c r="AY14" s="184">
        <f>IFERROR(Inv_SY_B!AY14/Inv_SY_B!$BY14-1,"")</f>
        <v>6.1618288718591874E-2</v>
      </c>
      <c r="AZ14" s="184">
        <f>IFERROR(Inv_SY_B!AZ14/Inv_SY_B!$BY14-1,"")</f>
        <v>0.13920206000777213</v>
      </c>
      <c r="BA14" s="184">
        <f>IFERROR(Inv_SY_B!BA14/Inv_SY_B!$BY14-1,"")</f>
        <v>7.6985210442087393E-2</v>
      </c>
      <c r="BB14" s="184">
        <f>IFERROR(Inv_SY_B!BB14/Inv_SY_B!$BY14-1,"")</f>
        <v>0.10396175925864792</v>
      </c>
      <c r="BC14" s="184">
        <f>IFERROR(Inv_SY_B!BC14/Inv_SY_B!$BY14-1,"")</f>
        <v>0.10207510586147728</v>
      </c>
      <c r="BD14" s="184">
        <f>IFERROR(Inv_SY_B!BD14/Inv_SY_B!$BY14-1,"")</f>
        <v>0.12622593916770342</v>
      </c>
      <c r="BE14" s="184">
        <f>IFERROR(Inv_SY_B!BE14/Inv_SY_B!$BY14-1,"")</f>
        <v>8.6020654950270226E-2</v>
      </c>
      <c r="BF14" s="184">
        <f>IFERROR(Inv_SY_B!BF14/Inv_SY_B!$BY14-1,"")</f>
        <v>2.0777298091303686E-2</v>
      </c>
      <c r="BG14" s="184">
        <f>IFERROR(Inv_SY_B!BG14/Inv_SY_B!$BY14-1,"")</f>
        <v>8.0807601445928467E-2</v>
      </c>
      <c r="BH14" s="184">
        <f>IFERROR(Inv_SY_B!BH14/Inv_SY_B!$BY14-1,"")</f>
        <v>7.0846241063938331E-2</v>
      </c>
      <c r="BI14" s="184">
        <f>IFERROR(Inv_SY_B!BI14/Inv_SY_B!$BY14-1,"")</f>
        <v>0.10025314820068054</v>
      </c>
      <c r="BJ14" s="184">
        <f>IFERROR(Inv_SY_B!BJ14/Inv_SY_B!$BY14-1,"")</f>
        <v>6.4275749971675511E-2</v>
      </c>
      <c r="BK14" s="184">
        <f>IFERROR(Inv_SY_B!BK14/Inv_SY_B!$BY14-1,"")</f>
        <v>8.4536510469821913E-2</v>
      </c>
      <c r="BL14" s="184">
        <f>IFERROR(Inv_SY_B!BL14/Inv_SY_B!$BY14-1,"")</f>
        <v>0.10455463715316049</v>
      </c>
      <c r="BM14" s="184">
        <f>IFERROR(Inv_SY_B!BM14/Inv_SY_B!$BY14-1,"")</f>
        <v>0.14663302259653199</v>
      </c>
      <c r="BN14" s="184">
        <f>IFERROR(Inv_SY_B!BN14/Inv_SY_B!$BY14-1,"")</f>
        <v>0.13017273764106352</v>
      </c>
      <c r="BO14" s="184">
        <f>IFERROR(Inv_SY_B!BO14/Inv_SY_B!$BY14-1,"")</f>
        <v>3.9151790944197407E-2</v>
      </c>
      <c r="BP14" s="184">
        <f>IFERROR(Inv_SY_B!BP14/Inv_SY_B!$BY14-1,"")</f>
        <v>0.11147666197595707</v>
      </c>
      <c r="BQ14" s="184">
        <f>IFERROR(Inv_SY_B!BQ14/Inv_SY_B!$BY14-1,"")</f>
        <v>-0.48690728223072199</v>
      </c>
      <c r="BR14" s="184">
        <f>IFERROR(Inv_SY_B!BR14/Inv_SY_B!$BY14-1,"")</f>
        <v>-0.87623363093158824</v>
      </c>
      <c r="BS14" s="184">
        <f>IFERROR(Inv_SY_B!BS14/Inv_SY_B!$BY14-1,"")</f>
        <v>8.0485426413483996E-2</v>
      </c>
      <c r="BT14" s="184">
        <f>IFERROR(Inv_SY_B!BT14/Inv_SY_B!$BY14-1,"")</f>
        <v>-0.38581286466615172</v>
      </c>
      <c r="BU14" s="184">
        <f>IFERROR(Inv_SY_B!BU14/Inv_SY_B!$BY14-1,"")</f>
        <v>-0.69134137008645835</v>
      </c>
      <c r="BV14" s="184">
        <f>IFERROR(Inv_SY_B!BV14/Inv_SY_B!$BY14-1,"")</f>
        <v>-7.2948561330974604E-2</v>
      </c>
      <c r="BW14" s="184">
        <f>IFERROR(Inv_SY_B!BW14/Inv_SY_B!$BY14-1,"")</f>
        <v>-0.29548564944362843</v>
      </c>
      <c r="BX14" s="184">
        <f>IFERROR(Inv_SY_B!BX14/Inv_SY_B!$BY14-1,"")</f>
        <v>0.10567535121637861</v>
      </c>
    </row>
    <row r="15" spans="1:76">
      <c r="A15"/>
      <c r="B15" s="179">
        <f t="shared" si="1"/>
        <v>45833</v>
      </c>
      <c r="C15" s="184">
        <f>IFERROR(Inv_SY_B!C15/Inv_SY_B!$BY15-1,"")</f>
        <v>1.1295601073098904E-2</v>
      </c>
      <c r="D15" s="184">
        <f>IFERROR(Inv_SY_B!D15/Inv_SY_B!$BY15-1,"")</f>
        <v>8.8957301653265208E-3</v>
      </c>
      <c r="E15" s="184">
        <f>IFERROR(Inv_SY_B!E15/Inv_SY_B!$BY15-1,"")</f>
        <v>9.6247269520421952E-4</v>
      </c>
      <c r="F15" s="184">
        <f>IFERROR(Inv_SY_B!F15/Inv_SY_B!$BY15-1,"")</f>
        <v>1.0508633835728531E-2</v>
      </c>
      <c r="G15" s="184">
        <f>IFERROR(Inv_SY_B!G15/Inv_SY_B!$BY15-1,"")</f>
        <v>1.289729200207046E-2</v>
      </c>
      <c r="H15" s="184">
        <f>IFERROR(Inv_SY_B!H15/Inv_SY_B!$BY15-1,"")</f>
        <v>4.1513235873840149E-3</v>
      </c>
      <c r="I15" s="184">
        <f>IFERROR(Inv_SY_B!I15/Inv_SY_B!$BY15-1,"")</f>
        <v>2.5239872719107437E-2</v>
      </c>
      <c r="J15" s="184">
        <f>IFERROR(Inv_SY_B!J15/Inv_SY_B!$BY15-1,"")</f>
        <v>1.6585131357089056E-2</v>
      </c>
      <c r="K15" s="184">
        <f>IFERROR(Inv_SY_B!K15/Inv_SY_B!$BY15-1,"")</f>
        <v>9.9567306727670335E-3</v>
      </c>
      <c r="L15" s="184">
        <f>IFERROR(Inv_SY_B!L15/Inv_SY_B!$BY15-1,"")</f>
        <v>2.9803576237804164E-2</v>
      </c>
      <c r="M15" s="184">
        <f>IFERROR(Inv_SY_B!M15/Inv_SY_B!$BY15-1,"")</f>
        <v>6.1192654448582573E-2</v>
      </c>
      <c r="N15" s="184">
        <f>IFERROR(Inv_SY_B!N15/Inv_SY_B!$BY15-1,"")</f>
        <v>1.9165985975087452E-2</v>
      </c>
      <c r="O15" s="184">
        <f>IFERROR(Inv_SY_B!O15/Inv_SY_B!$BY15-1,"")</f>
        <v>8.7201003274138822E-2</v>
      </c>
      <c r="P15" s="184">
        <f>IFERROR(Inv_SY_B!P15/Inv_SY_B!$BY15-1,"")</f>
        <v>9.5246822227463834E-3</v>
      </c>
      <c r="Q15" s="184">
        <f>IFERROR(Inv_SY_B!Q15/Inv_SY_B!$BY15-1,"")</f>
        <v>1.9695005513357344E-2</v>
      </c>
      <c r="R15" s="184">
        <f>IFERROR(Inv_SY_B!R15/Inv_SY_B!$BY15-1,"")</f>
        <v>1.2554668589799478E-2</v>
      </c>
      <c r="S15" s="184">
        <f>IFERROR(Inv_SY_B!S15/Inv_SY_B!$BY15-1,"")</f>
        <v>1.3794365168982914E-2</v>
      </c>
      <c r="T15" s="184">
        <f>IFERROR(Inv_SY_B!T15/Inv_SY_B!$BY15-1,"")</f>
        <v>2.8443409150056054E-2</v>
      </c>
      <c r="U15" s="184">
        <f>IFERROR(Inv_SY_B!U15/Inv_SY_B!$BY15-1,"")</f>
        <v>1.768482651829717E-2</v>
      </c>
      <c r="V15" s="184">
        <f>IFERROR(Inv_SY_B!V15/Inv_SY_B!$BY15-1,"")</f>
        <v>2.1872278246186427E-2</v>
      </c>
      <c r="W15" s="184">
        <f>IFERROR(Inv_SY_B!W15/Inv_SY_B!$BY15-1,"")</f>
        <v>1.1134111554091941E-2</v>
      </c>
      <c r="X15" s="184">
        <f>IFERROR(Inv_SY_B!X15/Inv_SY_B!$BY15-1,"")</f>
        <v>-4.9780638144061307E-3</v>
      </c>
      <c r="Y15" s="184">
        <f>IFERROR(Inv_SY_B!Y15/Inv_SY_B!$BY15-1,"")</f>
        <v>3.3694033912954335E-2</v>
      </c>
      <c r="Z15" s="184">
        <f>IFERROR(Inv_SY_B!Z15/Inv_SY_B!$BY15-1,"")</f>
        <v>3.4516159738501528E-2</v>
      </c>
      <c r="AA15" s="184">
        <f>IFERROR(Inv_SY_B!AA15/Inv_SY_B!$BY15-1,"")</f>
        <v>2.2815591562999948E-2</v>
      </c>
      <c r="AB15" s="184">
        <f>IFERROR(Inv_SY_B!AB15/Inv_SY_B!$BY15-1,"")</f>
        <v>1.5558257154688837E-2</v>
      </c>
      <c r="AC15" s="184">
        <f>IFERROR(Inv_SY_B!AC15/Inv_SY_B!$BY15-1,"")</f>
        <v>2.1106305226414657E-2</v>
      </c>
      <c r="AD15" s="184">
        <f>IFERROR(Inv_SY_B!AD15/Inv_SY_B!$BY15-1,"")</f>
        <v>1.1550765918873163E-2</v>
      </c>
      <c r="AE15" s="184">
        <f>IFERROR(Inv_SY_B!AE15/Inv_SY_B!$BY15-1,"")</f>
        <v>4.0906479328665757E-2</v>
      </c>
      <c r="AF15" s="184">
        <f>IFERROR(Inv_SY_B!AF15/Inv_SY_B!$BY15-1,"")</f>
        <v>3.2006159518961796E-2</v>
      </c>
      <c r="AG15" s="184">
        <f>IFERROR(Inv_SY_B!AG15/Inv_SY_B!$BY15-1,"")</f>
        <v>3.6422018264614886E-2</v>
      </c>
      <c r="AH15" s="184">
        <f>IFERROR(Inv_SY_B!AH15/Inv_SY_B!$BY15-1,"")</f>
        <v>3.2397346187046372E-2</v>
      </c>
      <c r="AI15" s="184">
        <f>IFERROR(Inv_SY_B!AI15/Inv_SY_B!$BY15-1,"")</f>
        <v>2.7980788535051371E-2</v>
      </c>
      <c r="AJ15" s="184">
        <f>IFERROR(Inv_SY_B!AJ15/Inv_SY_B!$BY15-1,"")</f>
        <v>3.0429864023599373E-2</v>
      </c>
      <c r="AK15" s="184">
        <f>IFERROR(Inv_SY_B!AK15/Inv_SY_B!$BY15-1,"")</f>
        <v>1.6178664677840571E-2</v>
      </c>
      <c r="AL15" s="184">
        <f>IFERROR(Inv_SY_B!AL15/Inv_SY_B!$BY15-1,"")</f>
        <v>-3.4068289072451297E-2</v>
      </c>
      <c r="AM15" s="184">
        <f>IFERROR(Inv_SY_B!AM15/Inv_SY_B!$BY15-1,"")</f>
        <v>2.1898488176597342E-2</v>
      </c>
      <c r="AN15" s="184">
        <f>IFERROR(Inv_SY_B!AN15/Inv_SY_B!$BY15-1,"")</f>
        <v>2.4853116477278725E-2</v>
      </c>
      <c r="AO15" s="184">
        <f>IFERROR(Inv_SY_B!AO15/Inv_SY_B!$BY15-1,"")</f>
        <v>2.1307562516461154E-2</v>
      </c>
      <c r="AP15" s="184">
        <f>IFERROR(Inv_SY_B!AP15/Inv_SY_B!$BY15-1,"")</f>
        <v>3.0896674365036514E-2</v>
      </c>
      <c r="AQ15" s="184">
        <f>IFERROR(Inv_SY_B!AQ15/Inv_SY_B!$BY15-1,"")</f>
        <v>1.9275625061336843E-2</v>
      </c>
      <c r="AR15" s="184">
        <f>IFERROR(Inv_SY_B!AR15/Inv_SY_B!$BY15-1,"")</f>
        <v>2.2251064395827136E-2</v>
      </c>
      <c r="AS15" s="184">
        <f>IFERROR(Inv_SY_B!AS15/Inv_SY_B!$BY15-1,"")</f>
        <v>1.3985456382227035E-2</v>
      </c>
      <c r="AT15" s="184">
        <f>IFERROR(Inv_SY_B!AT15/Inv_SY_B!$BY15-1,"")</f>
        <v>1.9478753838476193E-2</v>
      </c>
      <c r="AU15" s="184">
        <f>IFERROR(Inv_SY_B!AU15/Inv_SY_B!$BY15-1,"")</f>
        <v>1.8400494120869748E-2</v>
      </c>
      <c r="AV15" s="184">
        <f>IFERROR(Inv_SY_B!AV15/Inv_SY_B!$BY15-1,"")</f>
        <v>1.0605153138578682E-2</v>
      </c>
      <c r="AW15" s="184">
        <f>IFERROR(Inv_SY_B!AW15/Inv_SY_B!$BY15-1,"")</f>
        <v>5.0673792025919706E-2</v>
      </c>
      <c r="AX15" s="184">
        <f>IFERROR(Inv_SY_B!AX15/Inv_SY_B!$BY15-1,"")</f>
        <v>5.4105871050394549E-2</v>
      </c>
      <c r="AY15" s="184">
        <f>IFERROR(Inv_SY_B!AY15/Inv_SY_B!$BY15-1,"")</f>
        <v>-1.4664382899597372E-3</v>
      </c>
      <c r="AZ15" s="184">
        <f>IFERROR(Inv_SY_B!AZ15/Inv_SY_B!$BY15-1,"")</f>
        <v>7.6083972692520208E-2</v>
      </c>
      <c r="BA15" s="184">
        <f>IFERROR(Inv_SY_B!BA15/Inv_SY_B!$BY15-1,"")</f>
        <v>2.2113804551259664E-2</v>
      </c>
      <c r="BB15" s="184">
        <f>IFERROR(Inv_SY_B!BB15/Inv_SY_B!$BY15-1,"")</f>
        <v>5.4599793282337883E-2</v>
      </c>
      <c r="BC15" s="184">
        <f>IFERROR(Inv_SY_B!BC15/Inv_SY_B!$BY15-1,"")</f>
        <v>5.4055050985777564E-2</v>
      </c>
      <c r="BD15" s="184">
        <f>IFERROR(Inv_SY_B!BD15/Inv_SY_B!$BY15-1,"")</f>
        <v>7.6494315166297122E-2</v>
      </c>
      <c r="BE15" s="184">
        <f>IFERROR(Inv_SY_B!BE15/Inv_SY_B!$BY15-1,"")</f>
        <v>7.2201998500923015E-2</v>
      </c>
      <c r="BF15" s="184">
        <f>IFERROR(Inv_SY_B!BF15/Inv_SY_B!$BY15-1,"")</f>
        <v>1.5360842924682983E-2</v>
      </c>
      <c r="BG15" s="184">
        <f>IFERROR(Inv_SY_B!BG15/Inv_SY_B!$BY15-1,"")</f>
        <v>7.2809053546831093E-2</v>
      </c>
      <c r="BH15" s="184">
        <f>IFERROR(Inv_SY_B!BH15/Inv_SY_B!$BY15-1,"")</f>
        <v>6.4517170032749149E-2</v>
      </c>
      <c r="BI15" s="184">
        <f>IFERROR(Inv_SY_B!BI15/Inv_SY_B!$BY15-1,"")</f>
        <v>3.747275258781535E-2</v>
      </c>
      <c r="BJ15" s="184">
        <f>IFERROR(Inv_SY_B!BJ15/Inv_SY_B!$BY15-1,"")</f>
        <v>5.8534477793337425E-2</v>
      </c>
      <c r="BK15" s="184">
        <f>IFERROR(Inv_SY_B!BK15/Inv_SY_B!$BY15-1,"")</f>
        <v>7.3709495925858404E-2</v>
      </c>
      <c r="BL15" s="184">
        <f>IFERROR(Inv_SY_B!BL15/Inv_SY_B!$BY15-1,"")</f>
        <v>9.113983258645586E-2</v>
      </c>
      <c r="BM15" s="184">
        <f>IFERROR(Inv_SY_B!BM15/Inv_SY_B!$BY15-1,"")</f>
        <v>0.13077366751092234</v>
      </c>
      <c r="BN15" s="184">
        <f>IFERROR(Inv_SY_B!BN15/Inv_SY_B!$BY15-1,"")</f>
        <v>0.11729187271822927</v>
      </c>
      <c r="BO15" s="184">
        <f>IFERROR(Inv_SY_B!BO15/Inv_SY_B!$BY15-1,"")</f>
        <v>2.2460217904908708E-2</v>
      </c>
      <c r="BP15" s="184">
        <f>IFERROR(Inv_SY_B!BP15/Inv_SY_B!$BY15-1,"")</f>
        <v>9.4404195235146871E-2</v>
      </c>
      <c r="BQ15" s="184">
        <f>IFERROR(Inv_SY_B!BQ15/Inv_SY_B!$BY15-1,"")</f>
        <v>-0.45514236712278977</v>
      </c>
      <c r="BR15" s="184">
        <f>IFERROR(Inv_SY_B!BR15/Inv_SY_B!$BY15-1,"")</f>
        <v>-0.84722138722837315</v>
      </c>
      <c r="BS15" s="184">
        <f>IFERROR(Inv_SY_B!BS15/Inv_SY_B!$BY15-1,"")</f>
        <v>9.3844709683094329E-2</v>
      </c>
      <c r="BT15" s="184">
        <f>IFERROR(Inv_SY_B!BT15/Inv_SY_B!$BY15-1,"")</f>
        <v>-0.36421256808494207</v>
      </c>
      <c r="BU15" s="184">
        <f>IFERROR(Inv_SY_B!BU15/Inv_SY_B!$BY15-1,"")</f>
        <v>-0.62294049834359688</v>
      </c>
      <c r="BV15" s="184">
        <f>IFERROR(Inv_SY_B!BV15/Inv_SY_B!$BY15-1,"")</f>
        <v>0.16344791862431762</v>
      </c>
      <c r="BW15" s="184">
        <f>IFERROR(Inv_SY_B!BW15/Inv_SY_B!$BY15-1,"")</f>
        <v>-0.27093741995652676</v>
      </c>
      <c r="BX15" s="184">
        <f>IFERROR(Inv_SY_B!BX15/Inv_SY_B!$BY15-1,"")</f>
        <v>0.11379804905344382</v>
      </c>
    </row>
    <row r="16" spans="1:76">
      <c r="A16"/>
      <c r="B16" s="179">
        <f t="shared" si="1"/>
        <v>45834</v>
      </c>
      <c r="C16" s="184">
        <f>IFERROR(Inv_SY_B!C16/Inv_SY_B!$BY16-1,"")</f>
        <v>4.3380317367461396E-2</v>
      </c>
      <c r="D16" s="184">
        <f>IFERROR(Inv_SY_B!D16/Inv_SY_B!$BY16-1,"")</f>
        <v>4.2708302696148559E-2</v>
      </c>
      <c r="E16" s="184">
        <f>IFERROR(Inv_SY_B!E16/Inv_SY_B!$BY16-1,"")</f>
        <v>2.9808341714114617E-2</v>
      </c>
      <c r="F16" s="184">
        <f>IFERROR(Inv_SY_B!F16/Inv_SY_B!$BY16-1,"")</f>
        <v>2.3278298231156569E-2</v>
      </c>
      <c r="G16" s="184">
        <f>IFERROR(Inv_SY_B!G16/Inv_SY_B!$BY16-1,"")</f>
        <v>3.1315884950999351E-2</v>
      </c>
      <c r="H16" s="184">
        <f>IFERROR(Inv_SY_B!H16/Inv_SY_B!$BY16-1,"")</f>
        <v>2.8528823779731427E-2</v>
      </c>
      <c r="I16" s="184">
        <f>IFERROR(Inv_SY_B!I16/Inv_SY_B!$BY16-1,"")</f>
        <v>4.3193882103643721E-2</v>
      </c>
      <c r="J16" s="184">
        <f>IFERROR(Inv_SY_B!J16/Inv_SY_B!$BY16-1,"")</f>
        <v>5.2183996747415584E-2</v>
      </c>
      <c r="K16" s="184">
        <f>IFERROR(Inv_SY_B!K16/Inv_SY_B!$BY16-1,"")</f>
        <v>3.1565748831992479E-2</v>
      </c>
      <c r="L16" s="184">
        <f>IFERROR(Inv_SY_B!L16/Inv_SY_B!$BY16-1,"")</f>
        <v>4.4627064091398383E-2</v>
      </c>
      <c r="M16" s="184">
        <f>IFERROR(Inv_SY_B!M16/Inv_SY_B!$BY16-1,"")</f>
        <v>7.2257942415212106E-2</v>
      </c>
      <c r="N16" s="184">
        <f>IFERROR(Inv_SY_B!N16/Inv_SY_B!$BY16-1,"")</f>
        <v>3.3115564738535053E-2</v>
      </c>
      <c r="O16" s="184">
        <f>IFERROR(Inv_SY_B!O16/Inv_SY_B!$BY16-1,"")</f>
        <v>0.10844069003857548</v>
      </c>
      <c r="P16" s="184">
        <f>IFERROR(Inv_SY_B!P16/Inv_SY_B!$BY16-1,"")</f>
        <v>1.9909352827968352E-2</v>
      </c>
      <c r="Q16" s="184">
        <f>IFERROR(Inv_SY_B!Q16/Inv_SY_B!$BY16-1,"")</f>
        <v>4.122253998712555E-2</v>
      </c>
      <c r="R16" s="184">
        <f>IFERROR(Inv_SY_B!R16/Inv_SY_B!$BY16-1,"")</f>
        <v>3.8007857232788878E-2</v>
      </c>
      <c r="S16" s="184">
        <f>IFERROR(Inv_SY_B!S16/Inv_SY_B!$BY16-1,"")</f>
        <v>6.2515074196543008E-2</v>
      </c>
      <c r="T16" s="184">
        <f>IFERROR(Inv_SY_B!T16/Inv_SY_B!$BY16-1,"")</f>
        <v>7.7949214915425946E-2</v>
      </c>
      <c r="U16" s="184">
        <f>IFERROR(Inv_SY_B!U16/Inv_SY_B!$BY16-1,"")</f>
        <v>7.7156399100597906E-2</v>
      </c>
      <c r="V16" s="184">
        <f>IFERROR(Inv_SY_B!V16/Inv_SY_B!$BY16-1,"")</f>
        <v>8.4039941534032492E-2</v>
      </c>
      <c r="W16" s="184">
        <f>IFERROR(Inv_SY_B!W16/Inv_SY_B!$BY16-1,"")</f>
        <v>-4.223327133757615E-3</v>
      </c>
      <c r="X16" s="184">
        <f>IFERROR(Inv_SY_B!X16/Inv_SY_B!$BY16-1,"")</f>
        <v>1.3219538233940398E-2</v>
      </c>
      <c r="Y16" s="184">
        <f>IFERROR(Inv_SY_B!Y16/Inv_SY_B!$BY16-1,"")</f>
        <v>6.5696898224835598E-2</v>
      </c>
      <c r="Z16" s="184">
        <f>IFERROR(Inv_SY_B!Z16/Inv_SY_B!$BY16-1,"")</f>
        <v>7.072256656445064E-2</v>
      </c>
      <c r="AA16" s="184">
        <f>IFERROR(Inv_SY_B!AA16/Inv_SY_B!$BY16-1,"")</f>
        <v>6.3393527380742887E-2</v>
      </c>
      <c r="AB16" s="184">
        <f>IFERROR(Inv_SY_B!AB16/Inv_SY_B!$BY16-1,"")</f>
        <v>5.7883227607671284E-2</v>
      </c>
      <c r="AC16" s="184">
        <f>IFERROR(Inv_SY_B!AC16/Inv_SY_B!$BY16-1,"")</f>
        <v>6.8950587987947509E-2</v>
      </c>
      <c r="AD16" s="184">
        <f>IFERROR(Inv_SY_B!AD16/Inv_SY_B!$BY16-1,"")</f>
        <v>5.0733708674710387E-2</v>
      </c>
      <c r="AE16" s="184">
        <f>IFERROR(Inv_SY_B!AE16/Inv_SY_B!$BY16-1,"")</f>
        <v>7.4345330077367766E-2</v>
      </c>
      <c r="AF16" s="184">
        <f>IFERROR(Inv_SY_B!AF16/Inv_SY_B!$BY16-1,"")</f>
        <v>6.5932930514150723E-2</v>
      </c>
      <c r="AG16" s="184">
        <f>IFERROR(Inv_SY_B!AG16/Inv_SY_B!$BY16-1,"")</f>
        <v>6.8500299337010295E-2</v>
      </c>
      <c r="AH16" s="184">
        <f>IFERROR(Inv_SY_B!AH16/Inv_SY_B!$BY16-1,"")</f>
        <v>6.8968434516218258E-2</v>
      </c>
      <c r="AI16" s="184">
        <f>IFERROR(Inv_SY_B!AI16/Inv_SY_B!$BY16-1,"")</f>
        <v>6.5216205115647075E-2</v>
      </c>
      <c r="AJ16" s="184">
        <f>IFERROR(Inv_SY_B!AJ16/Inv_SY_B!$BY16-1,"")</f>
        <v>7.1451334158233237E-2</v>
      </c>
      <c r="AK16" s="184">
        <f>IFERROR(Inv_SY_B!AK16/Inv_SY_B!$BY16-1,"")</f>
        <v>6.03632639334164E-2</v>
      </c>
      <c r="AL16" s="184">
        <f>IFERROR(Inv_SY_B!AL16/Inv_SY_B!$BY16-1,"")</f>
        <v>1.6071914664214981E-2</v>
      </c>
      <c r="AM16" s="184">
        <f>IFERROR(Inv_SY_B!AM16/Inv_SY_B!$BY16-1,"")</f>
        <v>3.4431853593646755E-2</v>
      </c>
      <c r="AN16" s="184">
        <f>IFERROR(Inv_SY_B!AN16/Inv_SY_B!$BY16-1,"")</f>
        <v>4.3985240557677274E-2</v>
      </c>
      <c r="AO16" s="184">
        <f>IFERROR(Inv_SY_B!AO16/Inv_SY_B!$BY16-1,"")</f>
        <v>2.0934917359580085E-2</v>
      </c>
      <c r="AP16" s="184">
        <f>IFERROR(Inv_SY_B!AP16/Inv_SY_B!$BY16-1,"")</f>
        <v>3.3209908749410211E-2</v>
      </c>
      <c r="AQ16" s="184">
        <f>IFERROR(Inv_SY_B!AQ16/Inv_SY_B!$BY16-1,"")</f>
        <v>2.6159462954831181E-2</v>
      </c>
      <c r="AR16" s="184">
        <f>IFERROR(Inv_SY_B!AR16/Inv_SY_B!$BY16-1,"")</f>
        <v>3.6018627903339429E-2</v>
      </c>
      <c r="AS16" s="184">
        <f>IFERROR(Inv_SY_B!AS16/Inv_SY_B!$BY16-1,"")</f>
        <v>6.184291531163022E-2</v>
      </c>
      <c r="AT16" s="184">
        <f>IFERROR(Inv_SY_B!AT16/Inv_SY_B!$BY16-1,"")</f>
        <v>7.8336582663658172E-2</v>
      </c>
      <c r="AU16" s="184">
        <f>IFERROR(Inv_SY_B!AU16/Inv_SY_B!$BY16-1,"")</f>
        <v>8.3245441754109306E-2</v>
      </c>
      <c r="AV16" s="184">
        <f>IFERROR(Inv_SY_B!AV16/Inv_SY_B!$BY16-1,"")</f>
        <v>8.640430143606026E-2</v>
      </c>
      <c r="AW16" s="184">
        <f>IFERROR(Inv_SY_B!AW16/Inv_SY_B!$BY16-1,"")</f>
        <v>5.7805491694897349E-2</v>
      </c>
      <c r="AX16" s="184">
        <f>IFERROR(Inv_SY_B!AX16/Inv_SY_B!$BY16-1,"")</f>
        <v>7.5618179920384998E-2</v>
      </c>
      <c r="AY16" s="184">
        <f>IFERROR(Inv_SY_B!AY16/Inv_SY_B!$BY16-1,"")</f>
        <v>2.0512320346374402E-2</v>
      </c>
      <c r="AZ16" s="184">
        <f>IFERROR(Inv_SY_B!AZ16/Inv_SY_B!$BY16-1,"")</f>
        <v>8.8035798391753461E-2</v>
      </c>
      <c r="BA16" s="184">
        <f>IFERROR(Inv_SY_B!BA16/Inv_SY_B!$BY16-1,"")</f>
        <v>3.077564417711609E-2</v>
      </c>
      <c r="BB16" s="184">
        <f>IFERROR(Inv_SY_B!BB16/Inv_SY_B!$BY16-1,"")</f>
        <v>5.4564993866081934E-2</v>
      </c>
      <c r="BC16" s="184">
        <f>IFERROR(Inv_SY_B!BC16/Inv_SY_B!$BY16-1,"")</f>
        <v>4.838763228073506E-2</v>
      </c>
      <c r="BD16" s="184">
        <f>IFERROR(Inv_SY_B!BD16/Inv_SY_B!$BY16-1,"")</f>
        <v>6.9893968719609179E-2</v>
      </c>
      <c r="BE16" s="184">
        <f>IFERROR(Inv_SY_B!BE16/Inv_SY_B!$BY16-1,"")</f>
        <v>8.4179263887886879E-3</v>
      </c>
      <c r="BF16" s="184">
        <f>IFERROR(Inv_SY_B!BF16/Inv_SY_B!$BY16-1,"")</f>
        <v>-6.2274264569480153E-2</v>
      </c>
      <c r="BG16" s="184">
        <f>IFERROR(Inv_SY_B!BG16/Inv_SY_B!$BY16-1,"")</f>
        <v>-9.0708976688300691E-3</v>
      </c>
      <c r="BH16" s="184">
        <f>IFERROR(Inv_SY_B!BH16/Inv_SY_B!$BY16-1,"")</f>
        <v>-3.6481342242952963E-2</v>
      </c>
      <c r="BI16" s="184">
        <f>IFERROR(Inv_SY_B!BI16/Inv_SY_B!$BY16-1,"")</f>
        <v>1.9571260331542328E-2</v>
      </c>
      <c r="BJ16" s="184">
        <f>IFERROR(Inv_SY_B!BJ16/Inv_SY_B!$BY16-1,"")</f>
        <v>-2.097186046550692E-2</v>
      </c>
      <c r="BK16" s="184">
        <f>IFERROR(Inv_SY_B!BK16/Inv_SY_B!$BY16-1,"")</f>
        <v>-6.2592106341619047E-4</v>
      </c>
      <c r="BL16" s="184">
        <f>IFERROR(Inv_SY_B!BL16/Inv_SY_B!$BY16-1,"")</f>
        <v>2.3677838186396238E-2</v>
      </c>
      <c r="BM16" s="184">
        <f>IFERROR(Inv_SY_B!BM16/Inv_SY_B!$BY16-1,"")</f>
        <v>4.6148775914587326E-2</v>
      </c>
      <c r="BN16" s="184">
        <f>IFERROR(Inv_SY_B!BN16/Inv_SY_B!$BY16-1,"")</f>
        <v>3.8844999918636436E-2</v>
      </c>
      <c r="BO16" s="184">
        <f>IFERROR(Inv_SY_B!BO16/Inv_SY_B!$BY16-1,"")</f>
        <v>-3.7603968393777221E-2</v>
      </c>
      <c r="BP16" s="184">
        <f>IFERROR(Inv_SY_B!BP16/Inv_SY_B!$BY16-1,"")</f>
        <v>1.9900772627269081E-2</v>
      </c>
      <c r="BQ16" s="184">
        <f>IFERROR(Inv_SY_B!BQ16/Inv_SY_B!$BY16-1,"")</f>
        <v>-0.9210754913953606</v>
      </c>
      <c r="BR16" s="184">
        <f>IFERROR(Inv_SY_B!BR16/Inv_SY_B!$BY16-1,"")</f>
        <v>-1</v>
      </c>
      <c r="BS16" s="184">
        <f>IFERROR(Inv_SY_B!BS16/Inv_SY_B!$BY16-1,"")</f>
        <v>-0.57133900768695134</v>
      </c>
      <c r="BT16" s="184">
        <f>IFERROR(Inv_SY_B!BT16/Inv_SY_B!$BY16-1,"")</f>
        <v>-0.76121469298038691</v>
      </c>
      <c r="BU16" s="184">
        <f>IFERROR(Inv_SY_B!BU16/Inv_SY_B!$BY16-1,"")</f>
        <v>-0.75882589678498213</v>
      </c>
      <c r="BV16" s="184">
        <f>IFERROR(Inv_SY_B!BV16/Inv_SY_B!$BY16-1,"")</f>
        <v>-0.30709299714196248</v>
      </c>
      <c r="BW16" s="184">
        <f>IFERROR(Inv_SY_B!BW16/Inv_SY_B!$BY16-1,"")</f>
        <v>-0.38696132219744284</v>
      </c>
      <c r="BX16" s="184">
        <f>IFERROR(Inv_SY_B!BX16/Inv_SY_B!$BY16-1,"")</f>
        <v>-1.6694361210124353E-2</v>
      </c>
    </row>
    <row r="17" spans="1:76">
      <c r="A17"/>
      <c r="B17" s="179">
        <f t="shared" si="1"/>
        <v>45835</v>
      </c>
      <c r="C17" s="184">
        <f>IFERROR(Inv_SY_B!C17/Inv_SY_B!$BY17-1,"")</f>
        <v>3.1413879321406046E-2</v>
      </c>
      <c r="D17" s="184">
        <f>IFERROR(Inv_SY_B!D17/Inv_SY_B!$BY17-1,"")</f>
        <v>2.8266626137627648E-2</v>
      </c>
      <c r="E17" s="184">
        <f>IFERROR(Inv_SY_B!E17/Inv_SY_B!$BY17-1,"")</f>
        <v>2.0259420477187762E-2</v>
      </c>
      <c r="F17" s="184">
        <f>IFERROR(Inv_SY_B!F17/Inv_SY_B!$BY17-1,"")</f>
        <v>8.32494040554832E-3</v>
      </c>
      <c r="G17" s="184">
        <f>IFERROR(Inv_SY_B!G17/Inv_SY_B!$BY17-1,"")</f>
        <v>9.8622675223929424E-3</v>
      </c>
      <c r="H17" s="184">
        <f>IFERROR(Inv_SY_B!H17/Inv_SY_B!$BY17-1,"")</f>
        <v>4.5037929097837548E-3</v>
      </c>
      <c r="I17" s="184">
        <f>IFERROR(Inv_SY_B!I17/Inv_SY_B!$BY17-1,"")</f>
        <v>2.9839744836306581E-2</v>
      </c>
      <c r="J17" s="184">
        <f>IFERROR(Inv_SY_B!J17/Inv_SY_B!$BY17-1,"")</f>
        <v>2.3642883805903736E-2</v>
      </c>
      <c r="K17" s="184">
        <f>IFERROR(Inv_SY_B!K17/Inv_SY_B!$BY17-1,"")</f>
        <v>3.8670117030465079E-2</v>
      </c>
      <c r="L17" s="184">
        <f>IFERROR(Inv_SY_B!L17/Inv_SY_B!$BY17-1,"")</f>
        <v>3.6880583865141814E-2</v>
      </c>
      <c r="M17" s="184">
        <f>IFERROR(Inv_SY_B!M17/Inv_SY_B!$BY17-1,"")</f>
        <v>6.752889355425884E-2</v>
      </c>
      <c r="N17" s="184">
        <f>IFERROR(Inv_SY_B!N17/Inv_SY_B!$BY17-1,"")</f>
        <v>2.8786888017030332E-2</v>
      </c>
      <c r="O17" s="184">
        <f>IFERROR(Inv_SY_B!O17/Inv_SY_B!$BY17-1,"")</f>
        <v>0.11411563526605462</v>
      </c>
      <c r="P17" s="184">
        <f>IFERROR(Inv_SY_B!P17/Inv_SY_B!$BY17-1,"")</f>
        <v>2.4060430237826669E-2</v>
      </c>
      <c r="Q17" s="184">
        <f>IFERROR(Inv_SY_B!Q17/Inv_SY_B!$BY17-1,"")</f>
        <v>3.6431249488586337E-2</v>
      </c>
      <c r="R17" s="184">
        <f>IFERROR(Inv_SY_B!R17/Inv_SY_B!$BY17-1,"")</f>
        <v>3.9718865076320053E-2</v>
      </c>
      <c r="S17" s="184">
        <f>IFERROR(Inv_SY_B!S17/Inv_SY_B!$BY17-1,"")</f>
        <v>1.6155819339230826E-2</v>
      </c>
      <c r="T17" s="184">
        <f>IFERROR(Inv_SY_B!T17/Inv_SY_B!$BY17-1,"")</f>
        <v>1.6032171702136999E-2</v>
      </c>
      <c r="U17" s="184">
        <f>IFERROR(Inv_SY_B!U17/Inv_SY_B!$BY17-1,"")</f>
        <v>3.4427663551280796E-2</v>
      </c>
      <c r="V17" s="184">
        <f>IFERROR(Inv_SY_B!V17/Inv_SY_B!$BY17-1,"")</f>
        <v>3.8506651463805497E-2</v>
      </c>
      <c r="W17" s="184">
        <f>IFERROR(Inv_SY_B!W17/Inv_SY_B!$BY17-1,"")</f>
        <v>1.5286423392377735E-2</v>
      </c>
      <c r="X17" s="184">
        <f>IFERROR(Inv_SY_B!X17/Inv_SY_B!$BY17-1,"")</f>
        <v>1.2958493156645989E-2</v>
      </c>
      <c r="Y17" s="184">
        <f>IFERROR(Inv_SY_B!Y17/Inv_SY_B!$BY17-1,"")</f>
        <v>3.6049117130531494E-2</v>
      </c>
      <c r="Z17" s="184">
        <f>IFERROR(Inv_SY_B!Z17/Inv_SY_B!$BY17-1,"")</f>
        <v>5.5394964102833288E-2</v>
      </c>
      <c r="AA17" s="184">
        <f>IFERROR(Inv_SY_B!AA17/Inv_SY_B!$BY17-1,"")</f>
        <v>3.921599891782046E-2</v>
      </c>
      <c r="AB17" s="184">
        <f>IFERROR(Inv_SY_B!AB17/Inv_SY_B!$BY17-1,"")</f>
        <v>2.4027030241519531E-2</v>
      </c>
      <c r="AC17" s="184">
        <f>IFERROR(Inv_SY_B!AC17/Inv_SY_B!$BY17-1,"")</f>
        <v>4.5574736915402037E-2</v>
      </c>
      <c r="AD17" s="184">
        <f>IFERROR(Inv_SY_B!AD17/Inv_SY_B!$BY17-1,"")</f>
        <v>2.8970543032749374E-2</v>
      </c>
      <c r="AE17" s="184">
        <f>IFERROR(Inv_SY_B!AE17/Inv_SY_B!$BY17-1,"")</f>
        <v>4.7556323151929814E-2</v>
      </c>
      <c r="AF17" s="184">
        <f>IFERROR(Inv_SY_B!AF17/Inv_SY_B!$BY17-1,"")</f>
        <v>4.2090600521300425E-2</v>
      </c>
      <c r="AG17" s="184">
        <f>IFERROR(Inv_SY_B!AG17/Inv_SY_B!$BY17-1,"")</f>
        <v>3.8530315322720776E-2</v>
      </c>
      <c r="AH17" s="184">
        <f>IFERROR(Inv_SY_B!AH17/Inv_SY_B!$BY17-1,"")</f>
        <v>2.9709010673404812E-2</v>
      </c>
      <c r="AI17" s="184">
        <f>IFERROR(Inv_SY_B!AI17/Inv_SY_B!$BY17-1,"")</f>
        <v>4.0869861637458538E-2</v>
      </c>
      <c r="AJ17" s="184">
        <f>IFERROR(Inv_SY_B!AJ17/Inv_SY_B!$BY17-1,"")</f>
        <v>4.1202404242351331E-2</v>
      </c>
      <c r="AK17" s="184">
        <f>IFERROR(Inv_SY_B!AK17/Inv_SY_B!$BY17-1,"")</f>
        <v>3.3328838462881816E-2</v>
      </c>
      <c r="AL17" s="184">
        <f>IFERROR(Inv_SY_B!AL17/Inv_SY_B!$BY17-1,"")</f>
        <v>2.8480527480134743E-3</v>
      </c>
      <c r="AM17" s="184">
        <f>IFERROR(Inv_SY_B!AM17/Inv_SY_B!$BY17-1,"")</f>
        <v>4.2631897789517259E-2</v>
      </c>
      <c r="AN17" s="184">
        <f>IFERROR(Inv_SY_B!AN17/Inv_SY_B!$BY17-1,"")</f>
        <v>5.0927441960922692E-2</v>
      </c>
      <c r="AO17" s="184">
        <f>IFERROR(Inv_SY_B!AO17/Inv_SY_B!$BY17-1,"")</f>
        <v>3.255747896564487E-2</v>
      </c>
      <c r="AP17" s="184">
        <f>IFERROR(Inv_SY_B!AP17/Inv_SY_B!$BY17-1,"")</f>
        <v>3.246941586403751E-2</v>
      </c>
      <c r="AQ17" s="184">
        <f>IFERROR(Inv_SY_B!AQ17/Inv_SY_B!$BY17-1,"")</f>
        <v>3.1577504704109804E-2</v>
      </c>
      <c r="AR17" s="184">
        <f>IFERROR(Inv_SY_B!AR17/Inv_SY_B!$BY17-1,"")</f>
        <v>4.1381216350690586E-2</v>
      </c>
      <c r="AS17" s="184">
        <f>IFERROR(Inv_SY_B!AS17/Inv_SY_B!$BY17-1,"")</f>
        <v>2.6156922276973527E-2</v>
      </c>
      <c r="AT17" s="184">
        <f>IFERROR(Inv_SY_B!AT17/Inv_SY_B!$BY17-1,"")</f>
        <v>3.6179918110281095E-2</v>
      </c>
      <c r="AU17" s="184">
        <f>IFERROR(Inv_SY_B!AU17/Inv_SY_B!$BY17-1,"")</f>
        <v>5.5656511309069678E-2</v>
      </c>
      <c r="AV17" s="184">
        <f>IFERROR(Inv_SY_B!AV17/Inv_SY_B!$BY17-1,"")</f>
        <v>3.9868819398489963E-2</v>
      </c>
      <c r="AW17" s="184">
        <f>IFERROR(Inv_SY_B!AW17/Inv_SY_B!$BY17-1,"")</f>
        <v>-5.7608842644906844E-2</v>
      </c>
      <c r="AX17" s="184">
        <f>IFERROR(Inv_SY_B!AX17/Inv_SY_B!$BY17-1,"")</f>
        <v>-3.5365110959857393E-2</v>
      </c>
      <c r="AY17" s="184">
        <f>IFERROR(Inv_SY_B!AY17/Inv_SY_B!$BY17-1,"")</f>
        <v>-8.5545699666040864E-3</v>
      </c>
      <c r="AZ17" s="184">
        <f>IFERROR(Inv_SY_B!AZ17/Inv_SY_B!$BY17-1,"")</f>
        <v>6.0698828162927043E-2</v>
      </c>
      <c r="BA17" s="184">
        <f>IFERROR(Inv_SY_B!BA17/Inv_SY_B!$BY17-1,"")</f>
        <v>5.4117674325282472E-3</v>
      </c>
      <c r="BB17" s="184">
        <f>IFERROR(Inv_SY_B!BB17/Inv_SY_B!$BY17-1,"")</f>
        <v>3.034939009310178E-2</v>
      </c>
      <c r="BC17" s="184">
        <f>IFERROR(Inv_SY_B!BC17/Inv_SY_B!$BY17-1,"")</f>
        <v>3.3959233106729991E-2</v>
      </c>
      <c r="BD17" s="184">
        <f>IFERROR(Inv_SY_B!BD17/Inv_SY_B!$BY17-1,"")</f>
        <v>5.0686358119932384E-2</v>
      </c>
      <c r="BE17" s="184">
        <f>IFERROR(Inv_SY_B!BE17/Inv_SY_B!$BY17-1,"")</f>
        <v>6.3091864845652879E-2</v>
      </c>
      <c r="BF17" s="184">
        <f>IFERROR(Inv_SY_B!BF17/Inv_SY_B!$BY17-1,"")</f>
        <v>9.5808887762891537E-3</v>
      </c>
      <c r="BG17" s="184">
        <f>IFERROR(Inv_SY_B!BG17/Inv_SY_B!$BY17-1,"")</f>
        <v>5.2708318047517189E-2</v>
      </c>
      <c r="BH17" s="184">
        <f>IFERROR(Inv_SY_B!BH17/Inv_SY_B!$BY17-1,"")</f>
        <v>3.5493983117421912E-2</v>
      </c>
      <c r="BI17" s="184">
        <f>IFERROR(Inv_SY_B!BI17/Inv_SY_B!$BY17-1,"")</f>
        <v>6.5294081651146474E-2</v>
      </c>
      <c r="BJ17" s="184">
        <f>IFERROR(Inv_SY_B!BJ17/Inv_SY_B!$BY17-1,"")</f>
        <v>4.9245296436509323E-2</v>
      </c>
      <c r="BK17" s="184">
        <f>IFERROR(Inv_SY_B!BK17/Inv_SY_B!$BY17-1,"")</f>
        <v>5.1071572543415433E-2</v>
      </c>
      <c r="BL17" s="184">
        <f>IFERROR(Inv_SY_B!BL17/Inv_SY_B!$BY17-1,"")</f>
        <v>6.3297688832927745E-2</v>
      </c>
      <c r="BM17" s="184">
        <f>IFERROR(Inv_SY_B!BM17/Inv_SY_B!$BY17-1,"")</f>
        <v>0.10416770600454983</v>
      </c>
      <c r="BN17" s="184">
        <f>IFERROR(Inv_SY_B!BN17/Inv_SY_B!$BY17-1,"")</f>
        <v>6.649531711627743E-2</v>
      </c>
      <c r="BO17" s="184">
        <f>IFERROR(Inv_SY_B!BO17/Inv_SY_B!$BY17-1,"")</f>
        <v>9.0870542784935449E-3</v>
      </c>
      <c r="BP17" s="184">
        <f>IFERROR(Inv_SY_B!BP17/Inv_SY_B!$BY17-1,"")</f>
        <v>7.2102256126692188E-2</v>
      </c>
      <c r="BQ17" s="184">
        <f>IFERROR(Inv_SY_B!BQ17/Inv_SY_B!$BY17-1,"")</f>
        <v>-0.31460520042002327</v>
      </c>
      <c r="BR17" s="184">
        <f>IFERROR(Inv_SY_B!BR17/Inv_SY_B!$BY17-1,"")</f>
        <v>-0.87180969246610096</v>
      </c>
      <c r="BS17" s="184">
        <f>IFERROR(Inv_SY_B!BS17/Inv_SY_B!$BY17-1,"")</f>
        <v>1.1058825631558244E-2</v>
      </c>
      <c r="BT17" s="184">
        <f>IFERROR(Inv_SY_B!BT17/Inv_SY_B!$BY17-1,"")</f>
        <v>-0.31047104470856202</v>
      </c>
      <c r="BU17" s="184">
        <f>IFERROR(Inv_SY_B!BU17/Inv_SY_B!$BY17-1,"")</f>
        <v>-0.62984916165337601</v>
      </c>
      <c r="BV17" s="184">
        <f>IFERROR(Inv_SY_B!BV17/Inv_SY_B!$BY17-1,"")</f>
        <v>0.164168819874563</v>
      </c>
      <c r="BW17" s="184">
        <f>IFERROR(Inv_SY_B!BW17/Inv_SY_B!$BY17-1,"")</f>
        <v>-0.33307516702690287</v>
      </c>
      <c r="BX17" s="184">
        <f>IFERROR(Inv_SY_B!BX17/Inv_SY_B!$BY17-1,"")</f>
        <v>-7.0788247398833049E-3</v>
      </c>
    </row>
    <row r="18" spans="1:76">
      <c r="A18"/>
      <c r="B18" s="179">
        <f t="shared" si="1"/>
        <v>45836</v>
      </c>
      <c r="C18" s="184">
        <f>IFERROR(Inv_SY_B!C18/Inv_SY_B!$BY18-1,"")</f>
        <v>3.6441912155695144E-2</v>
      </c>
      <c r="D18" s="184">
        <f>IFERROR(Inv_SY_B!D18/Inv_SY_B!$BY18-1,"")</f>
        <v>4.1880033299722008E-2</v>
      </c>
      <c r="E18" s="184">
        <f>IFERROR(Inv_SY_B!E18/Inv_SY_B!$BY18-1,"")</f>
        <v>3.9532119351366912E-2</v>
      </c>
      <c r="F18" s="184">
        <f>IFERROR(Inv_SY_B!F18/Inv_SY_B!$BY18-1,"")</f>
        <v>1.3624931989353772E-2</v>
      </c>
      <c r="G18" s="184">
        <f>IFERROR(Inv_SY_B!G18/Inv_SY_B!$BY18-1,"")</f>
        <v>1.4726088806975568E-2</v>
      </c>
      <c r="H18" s="184">
        <f>IFERROR(Inv_SY_B!H18/Inv_SY_B!$BY18-1,"")</f>
        <v>1.5938763175151971E-2</v>
      </c>
      <c r="I18" s="184">
        <f>IFERROR(Inv_SY_B!I18/Inv_SY_B!$BY18-1,"")</f>
        <v>4.2907492829194371E-2</v>
      </c>
      <c r="J18" s="184">
        <f>IFERROR(Inv_SY_B!J18/Inv_SY_B!$BY18-1,"")</f>
        <v>3.0857997761438272E-2</v>
      </c>
      <c r="K18" s="184">
        <f>IFERROR(Inv_SY_B!K18/Inv_SY_B!$BY18-1,"")</f>
        <v>2.4916296860476139E-2</v>
      </c>
      <c r="L18" s="184">
        <f>IFERROR(Inv_SY_B!L18/Inv_SY_B!$BY18-1,"")</f>
        <v>3.9430876586110886E-2</v>
      </c>
      <c r="M18" s="184">
        <f>IFERROR(Inv_SY_B!M18/Inv_SY_B!$BY18-1,"")</f>
        <v>7.624242305792861E-2</v>
      </c>
      <c r="N18" s="184">
        <f>IFERROR(Inv_SY_B!N18/Inv_SY_B!$BY18-1,"")</f>
        <v>4.3313080612250143E-2</v>
      </c>
      <c r="O18" s="184">
        <f>IFERROR(Inv_SY_B!O18/Inv_SY_B!$BY18-1,"")</f>
        <v>0.10999264808979192</v>
      </c>
      <c r="P18" s="184">
        <f>IFERROR(Inv_SY_B!P18/Inv_SY_B!$BY18-1,"")</f>
        <v>2.5426443105238006E-2</v>
      </c>
      <c r="Q18" s="184">
        <f>IFERROR(Inv_SY_B!Q18/Inv_SY_B!$BY18-1,"")</f>
        <v>3.9403486319721459E-2</v>
      </c>
      <c r="R18" s="184">
        <f>IFERROR(Inv_SY_B!R18/Inv_SY_B!$BY18-1,"")</f>
        <v>4.1934038244753502E-2</v>
      </c>
      <c r="S18" s="184">
        <f>IFERROR(Inv_SY_B!S18/Inv_SY_B!$BY18-1,"")</f>
        <v>4.8505053574028567E-2</v>
      </c>
      <c r="T18" s="184">
        <f>IFERROR(Inv_SY_B!T18/Inv_SY_B!$BY18-1,"")</f>
        <v>3.0040450144946718E-2</v>
      </c>
      <c r="U18" s="184">
        <f>IFERROR(Inv_SY_B!U18/Inv_SY_B!$BY18-1,"")</f>
        <v>4.4731827456937712E-2</v>
      </c>
      <c r="V18" s="184">
        <f>IFERROR(Inv_SY_B!V18/Inv_SY_B!$BY18-1,"")</f>
        <v>5.016430048323528E-2</v>
      </c>
      <c r="W18" s="184">
        <f>IFERROR(Inv_SY_B!W18/Inv_SY_B!$BY18-1,"")</f>
        <v>2.2436111036592266E-2</v>
      </c>
      <c r="X18" s="184">
        <f>IFERROR(Inv_SY_B!X18/Inv_SY_B!$BY18-1,"")</f>
        <v>4.0422334332415044E-2</v>
      </c>
      <c r="Y18" s="184">
        <f>IFERROR(Inv_SY_B!Y18/Inv_SY_B!$BY18-1,"")</f>
        <v>4.9113733753949562E-2</v>
      </c>
      <c r="Z18" s="184">
        <f>IFERROR(Inv_SY_B!Z18/Inv_SY_B!$BY18-1,"")</f>
        <v>4.5926602170587971E-2</v>
      </c>
      <c r="AA18" s="184">
        <f>IFERROR(Inv_SY_B!AA18/Inv_SY_B!$BY18-1,"")</f>
        <v>5.8116233772733006E-2</v>
      </c>
      <c r="AB18" s="184">
        <f>IFERROR(Inv_SY_B!AB18/Inv_SY_B!$BY18-1,"")</f>
        <v>5.5364791421936177E-2</v>
      </c>
      <c r="AC18" s="184">
        <f>IFERROR(Inv_SY_B!AC18/Inv_SY_B!$BY18-1,"")</f>
        <v>4.3637880074751889E-2</v>
      </c>
      <c r="AD18" s="184">
        <f>IFERROR(Inv_SY_B!AD18/Inv_SY_B!$BY18-1,"")</f>
        <v>2.49337612062277E-2</v>
      </c>
      <c r="AE18" s="184">
        <f>IFERROR(Inv_SY_B!AE18/Inv_SY_B!$BY18-1,"")</f>
        <v>4.1228550122885066E-2</v>
      </c>
      <c r="AF18" s="184">
        <f>IFERROR(Inv_SY_B!AF18/Inv_SY_B!$BY18-1,"")</f>
        <v>2.3054886813998365E-2</v>
      </c>
      <c r="AG18" s="184">
        <f>IFERROR(Inv_SY_B!AG18/Inv_SY_B!$BY18-1,"")</f>
        <v>1.3162572758559365E-2</v>
      </c>
      <c r="AH18" s="184">
        <f>IFERROR(Inv_SY_B!AH18/Inv_SY_B!$BY18-1,"")</f>
        <v>1.0677246896612091E-2</v>
      </c>
      <c r="AI18" s="184">
        <f>IFERROR(Inv_SY_B!AI18/Inv_SY_B!$BY18-1,"")</f>
        <v>1.169327978041812E-2</v>
      </c>
      <c r="AJ18" s="184">
        <f>IFERROR(Inv_SY_B!AJ18/Inv_SY_B!$BY18-1,"")</f>
        <v>2.5579896110228262E-4</v>
      </c>
      <c r="AK18" s="184">
        <f>IFERROR(Inv_SY_B!AK18/Inv_SY_B!$BY18-1,"")</f>
        <v>-5.0722580185480481E-4</v>
      </c>
      <c r="AL18" s="184">
        <f>IFERROR(Inv_SY_B!AL18/Inv_SY_B!$BY18-1,"")</f>
        <v>-3.2355243728419358E-2</v>
      </c>
      <c r="AM18" s="184">
        <f>IFERROR(Inv_SY_B!AM18/Inv_SY_B!$BY18-1,"")</f>
        <v>-5.7585431634714634E-3</v>
      </c>
      <c r="AN18" s="184">
        <f>IFERROR(Inv_SY_B!AN18/Inv_SY_B!$BY18-1,"")</f>
        <v>2.4332365281407586E-3</v>
      </c>
      <c r="AO18" s="184">
        <f>IFERROR(Inv_SY_B!AO18/Inv_SY_B!$BY18-1,"")</f>
        <v>-1.2480003423255837E-2</v>
      </c>
      <c r="AP18" s="184">
        <f>IFERROR(Inv_SY_B!AP18/Inv_SY_B!$BY18-1,"")</f>
        <v>-1.3666799255440676E-3</v>
      </c>
      <c r="AQ18" s="184">
        <f>IFERROR(Inv_SY_B!AQ18/Inv_SY_B!$BY18-1,"")</f>
        <v>-1.1380405059234988E-2</v>
      </c>
      <c r="AR18" s="184">
        <f>IFERROR(Inv_SY_B!AR18/Inv_SY_B!$BY18-1,"")</f>
        <v>-8.0620101065673744E-3</v>
      </c>
      <c r="AS18" s="184">
        <f>IFERROR(Inv_SY_B!AS18/Inv_SY_B!$BY18-1,"")</f>
        <v>2.1589749236852196E-3</v>
      </c>
      <c r="AT18" s="184">
        <f>IFERROR(Inv_SY_B!AT18/Inv_SY_B!$BY18-1,"")</f>
        <v>-1.2055040538790918E-3</v>
      </c>
      <c r="AU18" s="184">
        <f>IFERROR(Inv_SY_B!AU18/Inv_SY_B!$BY18-1,"")</f>
        <v>2.4200025486087018E-2</v>
      </c>
      <c r="AV18" s="184">
        <f>IFERROR(Inv_SY_B!AV18/Inv_SY_B!$BY18-1,"")</f>
        <v>3.5430298732728183E-3</v>
      </c>
      <c r="AW18" s="184">
        <f>IFERROR(Inv_SY_B!AW18/Inv_SY_B!$BY18-1,"")</f>
        <v>-2.3421116561651578E-2</v>
      </c>
      <c r="AX18" s="184">
        <f>IFERROR(Inv_SY_B!AX18/Inv_SY_B!$BY18-1,"")</f>
        <v>-6.1132393142504515E-4</v>
      </c>
      <c r="AY18" s="184">
        <f>IFERROR(Inv_SY_B!AY18/Inv_SY_B!$BY18-1,"")</f>
        <v>4.7114242961455277E-2</v>
      </c>
      <c r="AZ18" s="184">
        <f>IFERROR(Inv_SY_B!AZ18/Inv_SY_B!$BY18-1,"")</f>
        <v>0.11747401744685004</v>
      </c>
      <c r="BA18" s="184">
        <f>IFERROR(Inv_SY_B!BA18/Inv_SY_B!$BY18-1,"")</f>
        <v>5.202595566599677E-2</v>
      </c>
      <c r="BB18" s="184">
        <f>IFERROR(Inv_SY_B!BB18/Inv_SY_B!$BY18-1,"")</f>
        <v>7.037472431695857E-2</v>
      </c>
      <c r="BC18" s="184">
        <f>IFERROR(Inv_SY_B!BC18/Inv_SY_B!$BY18-1,"")</f>
        <v>5.0108662769431378E-2</v>
      </c>
      <c r="BD18" s="184">
        <f>IFERROR(Inv_SY_B!BD18/Inv_SY_B!$BY18-1,"")</f>
        <v>7.9223291286099284E-2</v>
      </c>
      <c r="BE18" s="184">
        <f>IFERROR(Inv_SY_B!BE18/Inv_SY_B!$BY18-1,"")</f>
        <v>0.10035777138434576</v>
      </c>
      <c r="BF18" s="184">
        <f>IFERROR(Inv_SY_B!BF18/Inv_SY_B!$BY18-1,"")</f>
        <v>8.5109308229851299E-2</v>
      </c>
      <c r="BG18" s="184">
        <f>IFERROR(Inv_SY_B!BG18/Inv_SY_B!$BY18-1,"")</f>
        <v>8.5385204402365078E-2</v>
      </c>
      <c r="BH18" s="184">
        <f>IFERROR(Inv_SY_B!BH18/Inv_SY_B!$BY18-1,"")</f>
        <v>6.7843790165505125E-2</v>
      </c>
      <c r="BI18" s="184">
        <f>IFERROR(Inv_SY_B!BI18/Inv_SY_B!$BY18-1,"")</f>
        <v>7.0130010979005064E-2</v>
      </c>
      <c r="BJ18" s="184">
        <f>IFERROR(Inv_SY_B!BJ18/Inv_SY_B!$BY18-1,"")</f>
        <v>6.1960918763763528E-2</v>
      </c>
      <c r="BK18" s="184">
        <f>IFERROR(Inv_SY_B!BK18/Inv_SY_B!$BY18-1,"")</f>
        <v>4.6563845540361859E-2</v>
      </c>
      <c r="BL18" s="184">
        <f>IFERROR(Inv_SY_B!BL18/Inv_SY_B!$BY18-1,"")</f>
        <v>7.8377830350833122E-2</v>
      </c>
      <c r="BM18" s="184">
        <f>IFERROR(Inv_SY_B!BM18/Inv_SY_B!$BY18-1,"")</f>
        <v>0.10054003938373679</v>
      </c>
      <c r="BN18" s="184">
        <f>IFERROR(Inv_SY_B!BN18/Inv_SY_B!$BY18-1,"")</f>
        <v>7.82523262939534E-2</v>
      </c>
      <c r="BO18" s="184">
        <f>IFERROR(Inv_SY_B!BO18/Inv_SY_B!$BY18-1,"")</f>
        <v>2.8070015243062407E-3</v>
      </c>
      <c r="BP18" s="184">
        <f>IFERROR(Inv_SY_B!BP18/Inv_SY_B!$BY18-1,"")</f>
        <v>6.2897603688032433E-2</v>
      </c>
      <c r="BQ18" s="184">
        <f>IFERROR(Inv_SY_B!BQ18/Inv_SY_B!$BY18-1,"")</f>
        <v>-0.21369955375617777</v>
      </c>
      <c r="BR18" s="184">
        <f>IFERROR(Inv_SY_B!BR18/Inv_SY_B!$BY18-1,"")</f>
        <v>-0.71345614327140539</v>
      </c>
      <c r="BS18" s="184">
        <f>IFERROR(Inv_SY_B!BS18/Inv_SY_B!$BY18-1,"")</f>
        <v>-6.204753724570522E-3</v>
      </c>
      <c r="BT18" s="184">
        <f>IFERROR(Inv_SY_B!BT18/Inv_SY_B!$BY18-1,"")</f>
        <v>-0.24848311770685871</v>
      </c>
      <c r="BU18" s="184">
        <f>IFERROR(Inv_SY_B!BU18/Inv_SY_B!$BY18-1,"")</f>
        <v>-0.66145324361244873</v>
      </c>
      <c r="BV18" s="184">
        <f>IFERROR(Inv_SY_B!BV18/Inv_SY_B!$BY18-1,"")</f>
        <v>-0.71171363712886637</v>
      </c>
      <c r="BW18" s="184">
        <f>IFERROR(Inv_SY_B!BW18/Inv_SY_B!$BY18-1,"")</f>
        <v>5.9626896582363864E-2</v>
      </c>
      <c r="BX18" s="184">
        <f>IFERROR(Inv_SY_B!BX18/Inv_SY_B!$BY18-1,"")</f>
        <v>5.3615749402158741E-2</v>
      </c>
    </row>
    <row r="19" spans="1:76">
      <c r="A19"/>
      <c r="B19" s="179">
        <f t="shared" si="1"/>
        <v>45837</v>
      </c>
      <c r="C19" s="184">
        <f>IFERROR(Inv_SY_B!C19/Inv_SY_B!$BY19-1,"")</f>
        <v>-7.3249845089590204E-3</v>
      </c>
      <c r="D19" s="184">
        <f>IFERROR(Inv_SY_B!D19/Inv_SY_B!$BY19-1,"")</f>
        <v>-1.441818695135455E-2</v>
      </c>
      <c r="E19" s="184">
        <f>IFERROR(Inv_SY_B!E19/Inv_SY_B!$BY19-1,"")</f>
        <v>-2.355274443715516E-2</v>
      </c>
      <c r="F19" s="184">
        <f>IFERROR(Inv_SY_B!F19/Inv_SY_B!$BY19-1,"")</f>
        <v>-1.2522672426175108E-2</v>
      </c>
      <c r="G19" s="184">
        <f>IFERROR(Inv_SY_B!G19/Inv_SY_B!$BY19-1,"")</f>
        <v>-4.8411492611366569E-3</v>
      </c>
      <c r="H19" s="184">
        <f>IFERROR(Inv_SY_B!H19/Inv_SY_B!$BY19-1,"")</f>
        <v>-1.0880846917137976E-2</v>
      </c>
      <c r="I19" s="184">
        <f>IFERROR(Inv_SY_B!I19/Inv_SY_B!$BY19-1,"")</f>
        <v>2.5355641557136543E-3</v>
      </c>
      <c r="J19" s="184">
        <f>IFERROR(Inv_SY_B!J19/Inv_SY_B!$BY19-1,"")</f>
        <v>-7.1120341922636943E-4</v>
      </c>
      <c r="K19" s="184">
        <f>IFERROR(Inv_SY_B!K19/Inv_SY_B!$BY19-1,"")</f>
        <v>-1.1426331602332085E-2</v>
      </c>
      <c r="L19" s="184">
        <f>IFERROR(Inv_SY_B!L19/Inv_SY_B!$BY19-1,"")</f>
        <v>8.3259636452812646E-3</v>
      </c>
      <c r="M19" s="184">
        <f>IFERROR(Inv_SY_B!M19/Inv_SY_B!$BY19-1,"")</f>
        <v>3.2531196074299551E-2</v>
      </c>
      <c r="N19" s="184">
        <f>IFERROR(Inv_SY_B!N19/Inv_SY_B!$BY19-1,"")</f>
        <v>-5.459004241805343E-3</v>
      </c>
      <c r="O19" s="184">
        <f>IFERROR(Inv_SY_B!O19/Inv_SY_B!$BY19-1,"")</f>
        <v>5.6656489119576436E-2</v>
      </c>
      <c r="P19" s="184">
        <f>IFERROR(Inv_SY_B!P19/Inv_SY_B!$BY19-1,"")</f>
        <v>-2.7718393810615249E-2</v>
      </c>
      <c r="Q19" s="184">
        <f>IFERROR(Inv_SY_B!Q19/Inv_SY_B!$BY19-1,"")</f>
        <v>-4.789629293905695E-3</v>
      </c>
      <c r="R19" s="184">
        <f>IFERROR(Inv_SY_B!R19/Inv_SY_B!$BY19-1,"")</f>
        <v>-1.2717115446876814E-2</v>
      </c>
      <c r="S19" s="184">
        <f>IFERROR(Inv_SY_B!S19/Inv_SY_B!$BY19-1,"")</f>
        <v>-1.0721346090133754E-2</v>
      </c>
      <c r="T19" s="184">
        <f>IFERROR(Inv_SY_B!T19/Inv_SY_B!$BY19-1,"")</f>
        <v>-2.3156795876810854E-4</v>
      </c>
      <c r="U19" s="184">
        <f>IFERROR(Inv_SY_B!U19/Inv_SY_B!$BY19-1,"")</f>
        <v>-1.5882709186141319E-3</v>
      </c>
      <c r="V19" s="184">
        <f>IFERROR(Inv_SY_B!V19/Inv_SY_B!$BY19-1,"")</f>
        <v>2.8175748495722353E-3</v>
      </c>
      <c r="W19" s="184">
        <f>IFERROR(Inv_SY_B!W19/Inv_SY_B!$BY19-1,"")</f>
        <v>-1.259830641266213E-2</v>
      </c>
      <c r="X19" s="184">
        <f>IFERROR(Inv_SY_B!X19/Inv_SY_B!$BY19-1,"")</f>
        <v>-2.6211791775689108E-2</v>
      </c>
      <c r="Y19" s="184">
        <f>IFERROR(Inv_SY_B!Y19/Inv_SY_B!$BY19-1,"")</f>
        <v>2.0035984602280177E-3</v>
      </c>
      <c r="Z19" s="184">
        <f>IFERROR(Inv_SY_B!Z19/Inv_SY_B!$BY19-1,"")</f>
        <v>2.0758754374267996E-2</v>
      </c>
      <c r="AA19" s="184">
        <f>IFERROR(Inv_SY_B!AA19/Inv_SY_B!$BY19-1,"")</f>
        <v>4.6159355410146929E-3</v>
      </c>
      <c r="AB19" s="184">
        <f>IFERROR(Inv_SY_B!AB19/Inv_SY_B!$BY19-1,"")</f>
        <v>-4.793755922992915E-3</v>
      </c>
      <c r="AC19" s="184">
        <f>IFERROR(Inv_SY_B!AC19/Inv_SY_B!$BY19-1,"")</f>
        <v>1.0179530830094929E-2</v>
      </c>
      <c r="AD19" s="184">
        <f>IFERROR(Inv_SY_B!AD19/Inv_SY_B!$BY19-1,"")</f>
        <v>-2.3239743982339522E-4</v>
      </c>
      <c r="AE19" s="184">
        <f>IFERROR(Inv_SY_B!AE19/Inv_SY_B!$BY19-1,"")</f>
        <v>0.10042319470655281</v>
      </c>
      <c r="AF19" s="184">
        <f>IFERROR(Inv_SY_B!AF19/Inv_SY_B!$BY19-1,"")</f>
        <v>9.2474108370286023E-2</v>
      </c>
      <c r="AG19" s="184">
        <f>IFERROR(Inv_SY_B!AG19/Inv_SY_B!$BY19-1,"")</f>
        <v>9.5353753656764573E-2</v>
      </c>
      <c r="AH19" s="184">
        <f>IFERROR(Inv_SY_B!AH19/Inv_SY_B!$BY19-1,"")</f>
        <v>8.8081582271825942E-2</v>
      </c>
      <c r="AI19" s="184">
        <f>IFERROR(Inv_SY_B!AI19/Inv_SY_B!$BY19-1,"")</f>
        <v>9.8077892543973366E-2</v>
      </c>
      <c r="AJ19" s="184">
        <f>IFERROR(Inv_SY_B!AJ19/Inv_SY_B!$BY19-1,"")</f>
        <v>0.10193633673762093</v>
      </c>
      <c r="AK19" s="184">
        <f>IFERROR(Inv_SY_B!AK19/Inv_SY_B!$BY19-1,"")</f>
        <v>9.0230584978278294E-2</v>
      </c>
      <c r="AL19" s="184">
        <f>IFERROR(Inv_SY_B!AL19/Inv_SY_B!$BY19-1,"")</f>
        <v>4.9737138795095337E-2</v>
      </c>
      <c r="AM19" s="184">
        <f>IFERROR(Inv_SY_B!AM19/Inv_SY_B!$BY19-1,"")</f>
        <v>9.6713030210034745E-2</v>
      </c>
      <c r="AN19" s="184">
        <f>IFERROR(Inv_SY_B!AN19/Inv_SY_B!$BY19-1,"")</f>
        <v>0.10396417845580341</v>
      </c>
      <c r="AO19" s="184">
        <f>IFERROR(Inv_SY_B!AO19/Inv_SY_B!$BY19-1,"")</f>
        <v>8.2241589668479165E-2</v>
      </c>
      <c r="AP19" s="184">
        <f>IFERROR(Inv_SY_B!AP19/Inv_SY_B!$BY19-1,"")</f>
        <v>7.940284227013561E-2</v>
      </c>
      <c r="AQ19" s="184">
        <f>IFERROR(Inv_SY_B!AQ19/Inv_SY_B!$BY19-1,"")</f>
        <v>8.3809478236829493E-2</v>
      </c>
      <c r="AR19" s="184">
        <f>IFERROR(Inv_SY_B!AR19/Inv_SY_B!$BY19-1,"")</f>
        <v>9.4114309622603809E-2</v>
      </c>
      <c r="AS19" s="184">
        <f>IFERROR(Inv_SY_B!AS19/Inv_SY_B!$BY19-1,"")</f>
        <v>9.0744575233146829E-2</v>
      </c>
      <c r="AT19" s="184">
        <f>IFERROR(Inv_SY_B!AT19/Inv_SY_B!$BY19-1,"")</f>
        <v>0.11120478107897758</v>
      </c>
      <c r="AU19" s="184">
        <f>IFERROR(Inv_SY_B!AU19/Inv_SY_B!$BY19-1,"")</f>
        <v>0.12114726252834518</v>
      </c>
      <c r="AV19" s="184">
        <f>IFERROR(Inv_SY_B!AV19/Inv_SY_B!$BY19-1,"")</f>
        <v>0.11587595675855389</v>
      </c>
      <c r="AW19" s="184">
        <f>IFERROR(Inv_SY_B!AW19/Inv_SY_B!$BY19-1,"")</f>
        <v>3.1001948414122182E-3</v>
      </c>
      <c r="AX19" s="184">
        <f>IFERROR(Inv_SY_B!AX19/Inv_SY_B!$BY19-1,"")</f>
        <v>1.4442025537466874E-2</v>
      </c>
      <c r="AY19" s="184">
        <f>IFERROR(Inv_SY_B!AY19/Inv_SY_B!$BY19-1,"")</f>
        <v>-3.8869809633342189E-2</v>
      </c>
      <c r="AZ19" s="184">
        <f>IFERROR(Inv_SY_B!AZ19/Inv_SY_B!$BY19-1,"")</f>
        <v>2.2110373966808039E-2</v>
      </c>
      <c r="BA19" s="184">
        <f>IFERROR(Inv_SY_B!BA19/Inv_SY_B!$BY19-1,"")</f>
        <v>-2.3065892430720769E-2</v>
      </c>
      <c r="BB19" s="184">
        <f>IFERROR(Inv_SY_B!BB19/Inv_SY_B!$BY19-1,"")</f>
        <v>5.5074259978460383E-4</v>
      </c>
      <c r="BC19" s="184">
        <f>IFERROR(Inv_SY_B!BC19/Inv_SY_B!$BY19-1,"")</f>
        <v>-3.2650724801704945E-3</v>
      </c>
      <c r="BD19" s="184">
        <f>IFERROR(Inv_SY_B!BD19/Inv_SY_B!$BY19-1,"")</f>
        <v>1.3381653740507815E-2</v>
      </c>
      <c r="BE19" s="184">
        <f>IFERROR(Inv_SY_B!BE19/Inv_SY_B!$BY19-1,"")</f>
        <v>-8.3975285045426729E-3</v>
      </c>
      <c r="BF19" s="184">
        <f>IFERROR(Inv_SY_B!BF19/Inv_SY_B!$BY19-1,"")</f>
        <v>-3.6436889951742102E-2</v>
      </c>
      <c r="BG19" s="184">
        <f>IFERROR(Inv_SY_B!BG19/Inv_SY_B!$BY19-1,"")</f>
        <v>9.9531115765707501E-3</v>
      </c>
      <c r="BH19" s="184">
        <f>IFERROR(Inv_SY_B!BH19/Inv_SY_B!$BY19-1,"")</f>
        <v>-1.6487256166591857E-3</v>
      </c>
      <c r="BI19" s="184">
        <f>IFERROR(Inv_SY_B!BI19/Inv_SY_B!$BY19-1,"")</f>
        <v>1.3209576194853634E-2</v>
      </c>
      <c r="BJ19" s="184">
        <f>IFERROR(Inv_SY_B!BJ19/Inv_SY_B!$BY19-1,"")</f>
        <v>1.3449183095290085E-2</v>
      </c>
      <c r="BK19" s="184">
        <f>IFERROR(Inv_SY_B!BK19/Inv_SY_B!$BY19-1,"")</f>
        <v>8.8045463538426461E-3</v>
      </c>
      <c r="BL19" s="184">
        <f>IFERROR(Inv_SY_B!BL19/Inv_SY_B!$BY19-1,"")</f>
        <v>1.2838929028360591E-2</v>
      </c>
      <c r="BM19" s="184">
        <f>IFERROR(Inv_SY_B!BM19/Inv_SY_B!$BY19-1,"")</f>
        <v>1.447876536099435E-2</v>
      </c>
      <c r="BN19" s="184">
        <f>IFERROR(Inv_SY_B!BN19/Inv_SY_B!$BY19-1,"")</f>
        <v>1.0603284811729896E-3</v>
      </c>
      <c r="BO19" s="184">
        <f>IFERROR(Inv_SY_B!BO19/Inv_SY_B!$BY19-1,"")</f>
        <v>-6.4059616513975737E-2</v>
      </c>
      <c r="BP19" s="184">
        <f>IFERROR(Inv_SY_B!BP19/Inv_SY_B!$BY19-1,"")</f>
        <v>-9.5510250775376893E-3</v>
      </c>
      <c r="BQ19" s="184">
        <f>IFERROR(Inv_SY_B!BQ19/Inv_SY_B!$BY19-1,"")</f>
        <v>-0.19614107157771254</v>
      </c>
      <c r="BR19" s="184">
        <f>IFERROR(Inv_SY_B!BR19/Inv_SY_B!$BY19-1,"")</f>
        <v>-0.28702278326065478</v>
      </c>
      <c r="BS19" s="184">
        <f>IFERROR(Inv_SY_B!BS19/Inv_SY_B!$BY19-1,"")</f>
        <v>-5.6414503707169716E-2</v>
      </c>
      <c r="BT19" s="184">
        <f>IFERROR(Inv_SY_B!BT19/Inv_SY_B!$BY19-1,"")</f>
        <v>-0.21133601427075066</v>
      </c>
      <c r="BU19" s="184">
        <f>IFERROR(Inv_SY_B!BU19/Inv_SY_B!$BY19-1,"")</f>
        <v>-0.55635122702026796</v>
      </c>
      <c r="BV19" s="184">
        <f>IFERROR(Inv_SY_B!BV19/Inv_SY_B!$BY19-1,"")</f>
        <v>-0.26064245996774837</v>
      </c>
      <c r="BW19" s="184">
        <f>IFERROR(Inv_SY_B!BW19/Inv_SY_B!$BY19-1,"")</f>
        <v>-3.0866805948014386E-3</v>
      </c>
      <c r="BX19" s="184">
        <f>IFERROR(Inv_SY_B!BX19/Inv_SY_B!$BY19-1,"")</f>
        <v>-1.4307634507267686E-2</v>
      </c>
    </row>
    <row r="20" spans="1:76">
      <c r="A20"/>
      <c r="B20" s="179">
        <f t="shared" si="1"/>
        <v>45838</v>
      </c>
      <c r="C20" s="184">
        <f>IFERROR(Inv_SY_B!C20/Inv_SY_B!$BY20-1,"")</f>
        <v>1.2372196675229485E-2</v>
      </c>
      <c r="D20" s="184">
        <f>IFERROR(Inv_SY_B!D20/Inv_SY_B!$BY20-1,"")</f>
        <v>1.1280583269021927E-2</v>
      </c>
      <c r="E20" s="184">
        <f>IFERROR(Inv_SY_B!E20/Inv_SY_B!$BY20-1,"")</f>
        <v>-1.3139716929819745E-3</v>
      </c>
      <c r="F20" s="184">
        <f>IFERROR(Inv_SY_B!F20/Inv_SY_B!$BY20-1,"")</f>
        <v>-7.8315566068735132E-3</v>
      </c>
      <c r="G20" s="184">
        <f>IFERROR(Inv_SY_B!G20/Inv_SY_B!$BY20-1,"")</f>
        <v>-4.6434985761447667E-3</v>
      </c>
      <c r="H20" s="184">
        <f>IFERROR(Inv_SY_B!H20/Inv_SY_B!$BY20-1,"")</f>
        <v>-7.6218962600346218E-3</v>
      </c>
      <c r="I20" s="184">
        <f>IFERROR(Inv_SY_B!I20/Inv_SY_B!$BY20-1,"")</f>
        <v>1.3582080074705072E-2</v>
      </c>
      <c r="J20" s="184">
        <f>IFERROR(Inv_SY_B!J20/Inv_SY_B!$BY20-1,"")</f>
        <v>1.6313215108920476E-2</v>
      </c>
      <c r="K20" s="184">
        <f>IFERROR(Inv_SY_B!K20/Inv_SY_B!$BY20-1,"")</f>
        <v>1.9357009870228925E-3</v>
      </c>
      <c r="L20" s="184">
        <f>IFERROR(Inv_SY_B!L20/Inv_SY_B!$BY20-1,"")</f>
        <v>1.3447489942074009E-2</v>
      </c>
      <c r="M20" s="184">
        <f>IFERROR(Inv_SY_B!M20/Inv_SY_B!$BY20-1,"")</f>
        <v>3.905819333707794E-2</v>
      </c>
      <c r="N20" s="184">
        <f>IFERROR(Inv_SY_B!N20/Inv_SY_B!$BY20-1,"")</f>
        <v>7.0175089117794354E-3</v>
      </c>
      <c r="O20" s="184">
        <f>IFERROR(Inv_SY_B!O20/Inv_SY_B!$BY20-1,"")</f>
        <v>7.0481025165835653E-2</v>
      </c>
      <c r="P20" s="184">
        <f>IFERROR(Inv_SY_B!P20/Inv_SY_B!$BY20-1,"")</f>
        <v>-2.1689010388502128E-2</v>
      </c>
      <c r="Q20" s="184">
        <f>IFERROR(Inv_SY_B!Q20/Inv_SY_B!$BY20-1,"")</f>
        <v>6.8415246507382843E-3</v>
      </c>
      <c r="R20" s="184">
        <f>IFERROR(Inv_SY_B!R20/Inv_SY_B!$BY20-1,"")</f>
        <v>8.661714677477006E-3</v>
      </c>
      <c r="S20" s="184">
        <f>IFERROR(Inv_SY_B!S20/Inv_SY_B!$BY20-1,"")</f>
        <v>6.6591891038478845E-3</v>
      </c>
      <c r="T20" s="184">
        <f>IFERROR(Inv_SY_B!T20/Inv_SY_B!$BY20-1,"")</f>
        <v>1.5253748113021048E-2</v>
      </c>
      <c r="U20" s="184">
        <f>IFERROR(Inv_SY_B!U20/Inv_SY_B!$BY20-1,"")</f>
        <v>1.4951837644662902E-2</v>
      </c>
      <c r="V20" s="184">
        <f>IFERROR(Inv_SY_B!V20/Inv_SY_B!$BY20-1,"")</f>
        <v>2.1427848478784428E-2</v>
      </c>
      <c r="W20" s="184">
        <f>IFERROR(Inv_SY_B!W20/Inv_SY_B!$BY20-1,"")</f>
        <v>-1.2529596113206587E-2</v>
      </c>
      <c r="X20" s="184">
        <f>IFERROR(Inv_SY_B!X20/Inv_SY_B!$BY20-1,"")</f>
        <v>-3.1822612652249727E-2</v>
      </c>
      <c r="Y20" s="184">
        <f>IFERROR(Inv_SY_B!Y20/Inv_SY_B!$BY20-1,"")</f>
        <v>-5.6897624313040351E-3</v>
      </c>
      <c r="Z20" s="184">
        <f>IFERROR(Inv_SY_B!Z20/Inv_SY_B!$BY20-1,"")</f>
        <v>4.5534076280124847E-3</v>
      </c>
      <c r="AA20" s="184">
        <f>IFERROR(Inv_SY_B!AA20/Inv_SY_B!$BY20-1,"")</f>
        <v>4.5106839210473648E-3</v>
      </c>
      <c r="AB20" s="184">
        <f>IFERROR(Inv_SY_B!AB20/Inv_SY_B!$BY20-1,"")</f>
        <v>4.0192719589799975E-3</v>
      </c>
      <c r="AC20" s="184">
        <f>IFERROR(Inv_SY_B!AC20/Inv_SY_B!$BY20-1,"")</f>
        <v>1.6277508218038861E-3</v>
      </c>
      <c r="AD20" s="184">
        <f>IFERROR(Inv_SY_B!AD20/Inv_SY_B!$BY20-1,"")</f>
        <v>-1.1625222844548144E-2</v>
      </c>
      <c r="AE20" s="184">
        <f>IFERROR(Inv_SY_B!AE20/Inv_SY_B!$BY20-1,"")</f>
        <v>-1.7563137798726536E-2</v>
      </c>
      <c r="AF20" s="184">
        <f>IFERROR(Inv_SY_B!AF20/Inv_SY_B!$BY20-1,"")</f>
        <v>-2.6336436299044363E-2</v>
      </c>
      <c r="AG20" s="184">
        <f>IFERROR(Inv_SY_B!AG20/Inv_SY_B!$BY20-1,"")</f>
        <v>-2.9245321245524258E-2</v>
      </c>
      <c r="AH20" s="184">
        <f>IFERROR(Inv_SY_B!AH20/Inv_SY_B!$BY20-1,"")</f>
        <v>-3.1085417235209523E-2</v>
      </c>
      <c r="AI20" s="184">
        <f>IFERROR(Inv_SY_B!AI20/Inv_SY_B!$BY20-1,"")</f>
        <v>-2.8813500476967291E-2</v>
      </c>
      <c r="AJ20" s="184">
        <f>IFERROR(Inv_SY_B!AJ20/Inv_SY_B!$BY20-1,"")</f>
        <v>-2.9784915768922948E-2</v>
      </c>
      <c r="AK20" s="184">
        <f>IFERROR(Inv_SY_B!AK20/Inv_SY_B!$BY20-1,"")</f>
        <v>-3.6208065188701455E-2</v>
      </c>
      <c r="AL20" s="184">
        <f>IFERROR(Inv_SY_B!AL20/Inv_SY_B!$BY20-1,"")</f>
        <v>-7.3745382093527212E-2</v>
      </c>
      <c r="AM20" s="184">
        <f>IFERROR(Inv_SY_B!AM20/Inv_SY_B!$BY20-1,"")</f>
        <v>-3.7312576951122778E-2</v>
      </c>
      <c r="AN20" s="184">
        <f>IFERROR(Inv_SY_B!AN20/Inv_SY_B!$BY20-1,"")</f>
        <v>-3.1234802889674507E-2</v>
      </c>
      <c r="AO20" s="184">
        <f>IFERROR(Inv_SY_B!AO20/Inv_SY_B!$BY20-1,"")</f>
        <v>-4.8081966077548666E-2</v>
      </c>
      <c r="AP20" s="184">
        <f>IFERROR(Inv_SY_B!AP20/Inv_SY_B!$BY20-1,"")</f>
        <v>-4.4749853105263582E-2</v>
      </c>
      <c r="AQ20" s="184">
        <f>IFERROR(Inv_SY_B!AQ20/Inv_SY_B!$BY20-1,"")</f>
        <v>-4.6767190606615827E-2</v>
      </c>
      <c r="AR20" s="184">
        <f>IFERROR(Inv_SY_B!AR20/Inv_SY_B!$BY20-1,"")</f>
        <v>-3.8557314058074943E-2</v>
      </c>
      <c r="AS20" s="184">
        <f>IFERROR(Inv_SY_B!AS20/Inv_SY_B!$BY20-1,"")</f>
        <v>-3.8609089767479898E-2</v>
      </c>
      <c r="AT20" s="184">
        <f>IFERROR(Inv_SY_B!AT20/Inv_SY_B!$BY20-1,"")</f>
        <v>-2.7551641319788156E-2</v>
      </c>
      <c r="AU20" s="184">
        <f>IFERROR(Inv_SY_B!AU20/Inv_SY_B!$BY20-1,"")</f>
        <v>-2.7677451308400269E-2</v>
      </c>
      <c r="AV20" s="184">
        <f>IFERROR(Inv_SY_B!AV20/Inv_SY_B!$BY20-1,"")</f>
        <v>-3.102313911639043E-2</v>
      </c>
      <c r="AW20" s="184">
        <f>IFERROR(Inv_SY_B!AW20/Inv_SY_B!$BY20-1,"")</f>
        <v>3.1545993782072568E-2</v>
      </c>
      <c r="AX20" s="184">
        <f>IFERROR(Inv_SY_B!AX20/Inv_SY_B!$BY20-1,"")</f>
        <v>4.787128949922792E-2</v>
      </c>
      <c r="AY20" s="184">
        <f>IFERROR(Inv_SY_B!AY20/Inv_SY_B!$BY20-1,"")</f>
        <v>7.5768524686818939E-3</v>
      </c>
      <c r="AZ20" s="184">
        <f>IFERROR(Inv_SY_B!AZ20/Inv_SY_B!$BY20-1,"")</f>
        <v>2.298663533728762E-3</v>
      </c>
      <c r="BA20" s="184">
        <f>IFERROR(Inv_SY_B!BA20/Inv_SY_B!$BY20-1,"")</f>
        <v>2.4915234177283363E-2</v>
      </c>
      <c r="BB20" s="184">
        <f>IFERROR(Inv_SY_B!BB20/Inv_SY_B!$BY20-1,"")</f>
        <v>5.297274057599255E-2</v>
      </c>
      <c r="BC20" s="184">
        <f>IFERROR(Inv_SY_B!BC20/Inv_SY_B!$BY20-1,"")</f>
        <v>4.330827895719791E-2</v>
      </c>
      <c r="BD20" s="184">
        <f>IFERROR(Inv_SY_B!BD20/Inv_SY_B!$BY20-1,"")</f>
        <v>5.8574876383830521E-2</v>
      </c>
      <c r="BE20" s="184">
        <f>IFERROR(Inv_SY_B!BE20/Inv_SY_B!$BY20-1,"")</f>
        <v>4.6729668867341978E-2</v>
      </c>
      <c r="BF20" s="184">
        <f>IFERROR(Inv_SY_B!BF20/Inv_SY_B!$BY20-1,"")</f>
        <v>1.8652891033912322E-2</v>
      </c>
      <c r="BG20" s="184">
        <f>IFERROR(Inv_SY_B!BG20/Inv_SY_B!$BY20-1,"")</f>
        <v>6.821786423604026E-2</v>
      </c>
      <c r="BH20" s="184">
        <f>IFERROR(Inv_SY_B!BH20/Inv_SY_B!$BY20-1,"")</f>
        <v>0.21044759186123074</v>
      </c>
      <c r="BI20" s="184">
        <f>IFERROR(Inv_SY_B!BI20/Inv_SY_B!$BY20-1,"")</f>
        <v>6.9462129667528627E-2</v>
      </c>
      <c r="BJ20" s="184">
        <f>IFERROR(Inv_SY_B!BJ20/Inv_SY_B!$BY20-1,"")</f>
        <v>8.3070568470321238E-2</v>
      </c>
      <c r="BK20" s="184">
        <f>IFERROR(Inv_SY_B!BK20/Inv_SY_B!$BY20-1,"")</f>
        <v>8.365521827880551E-2</v>
      </c>
      <c r="BL20" s="184">
        <f>IFERROR(Inv_SY_B!BL20/Inv_SY_B!$BY20-1,"")</f>
        <v>6.8273924452789236E-2</v>
      </c>
      <c r="BM20" s="184">
        <f>IFERROR(Inv_SY_B!BM20/Inv_SY_B!$BY20-1,"")</f>
        <v>7.2138319609777346E-2</v>
      </c>
      <c r="BN20" s="184">
        <f>IFERROR(Inv_SY_B!BN20/Inv_SY_B!$BY20-1,"")</f>
        <v>5.306108190446257E-2</v>
      </c>
      <c r="BO20" s="184">
        <f>IFERROR(Inv_SY_B!BO20/Inv_SY_B!$BY20-1,"")</f>
        <v>-1.099178195961048E-2</v>
      </c>
      <c r="BP20" s="184">
        <f>IFERROR(Inv_SY_B!BP20/Inv_SY_B!$BY20-1,"")</f>
        <v>4.2225555543804472E-2</v>
      </c>
      <c r="BQ20" s="184">
        <f>IFERROR(Inv_SY_B!BQ20/Inv_SY_B!$BY20-1,"")</f>
        <v>3.6296343129291753E-2</v>
      </c>
      <c r="BR20" s="184">
        <f>IFERROR(Inv_SY_B!BR20/Inv_SY_B!$BY20-1,"")</f>
        <v>-0.21221039889834747</v>
      </c>
      <c r="BS20" s="184">
        <f>IFERROR(Inv_SY_B!BS20/Inv_SY_B!$BY20-1,"")</f>
        <v>2.0216103588615919E-2</v>
      </c>
      <c r="BT20" s="184">
        <f>IFERROR(Inv_SY_B!BT20/Inv_SY_B!$BY20-1,"")</f>
        <v>3.3331027751857922E-2</v>
      </c>
      <c r="BU20" s="184">
        <f>IFERROR(Inv_SY_B!BU20/Inv_SY_B!$BY20-1,"")</f>
        <v>-0.48129591583651354</v>
      </c>
      <c r="BV20" s="184">
        <f>IFERROR(Inv_SY_B!BV20/Inv_SY_B!$BY20-1,"")</f>
        <v>-0.11190376929637724</v>
      </c>
      <c r="BW20" s="184">
        <f>IFERROR(Inv_SY_B!BW20/Inv_SY_B!$BY20-1,"")</f>
        <v>6.6278396216385094E-2</v>
      </c>
      <c r="BX20" s="184">
        <f>IFERROR(Inv_SY_B!BX20/Inv_SY_B!$BY20-1,"")</f>
        <v>5.0400610403476431E-2</v>
      </c>
    </row>
    <row r="21" spans="1:76">
      <c r="A21"/>
      <c r="B21" s="179">
        <f t="shared" si="1"/>
        <v>45839</v>
      </c>
      <c r="C21" s="184">
        <f>IFERROR(Inv_SY_B!C21/Inv_SY_B!$BY21-1,"")</f>
        <v>2.1396296994702579E-2</v>
      </c>
      <c r="D21" s="184">
        <f>IFERROR(Inv_SY_B!D21/Inv_SY_B!$BY21-1,"")</f>
        <v>1.459999494085551E-2</v>
      </c>
      <c r="E21" s="184">
        <f>IFERROR(Inv_SY_B!E21/Inv_SY_B!$BY21-1,"")</f>
        <v>7.9973248698146371E-3</v>
      </c>
      <c r="F21" s="184">
        <f>IFERROR(Inv_SY_B!F21/Inv_SY_B!$BY21-1,"")</f>
        <v>3.0121773546964992E-3</v>
      </c>
      <c r="G21" s="184">
        <f>IFERROR(Inv_SY_B!G21/Inv_SY_B!$BY21-1,"")</f>
        <v>5.6688351838380946E-3</v>
      </c>
      <c r="H21" s="184">
        <f>IFERROR(Inv_SY_B!H21/Inv_SY_B!$BY21-1,"")</f>
        <v>6.3790082919936708E-3</v>
      </c>
      <c r="I21" s="184">
        <f>IFERROR(Inv_SY_B!I21/Inv_SY_B!$BY21-1,"")</f>
        <v>2.7182482711403555E-2</v>
      </c>
      <c r="J21" s="184">
        <f>IFERROR(Inv_SY_B!J21/Inv_SY_B!$BY21-1,"")</f>
        <v>2.3965654906927814E-2</v>
      </c>
      <c r="K21" s="184">
        <f>IFERROR(Inv_SY_B!K21/Inv_SY_B!$BY21-1,"")</f>
        <v>1.5151963384758549E-2</v>
      </c>
      <c r="L21" s="184">
        <f>IFERROR(Inv_SY_B!L21/Inv_SY_B!$BY21-1,"")</f>
        <v>2.3973546816910218E-2</v>
      </c>
      <c r="M21" s="184">
        <f>IFERROR(Inv_SY_B!M21/Inv_SY_B!$BY21-1,"")</f>
        <v>4.8546218792464346E-2</v>
      </c>
      <c r="N21" s="184">
        <f>IFERROR(Inv_SY_B!N21/Inv_SY_B!$BY21-1,"")</f>
        <v>1.7058505099739607E-2</v>
      </c>
      <c r="O21" s="184">
        <f>IFERROR(Inv_SY_B!O21/Inv_SY_B!$BY21-1,"")</f>
        <v>7.8885153217126858E-2</v>
      </c>
      <c r="P21" s="184">
        <f>IFERROR(Inv_SY_B!P21/Inv_SY_B!$BY21-1,"")</f>
        <v>-1.5061418987043496E-2</v>
      </c>
      <c r="Q21" s="184">
        <f>IFERROR(Inv_SY_B!Q21/Inv_SY_B!$BY21-1,"")</f>
        <v>1.4299176745982134E-2</v>
      </c>
      <c r="R21" s="184">
        <f>IFERROR(Inv_SY_B!R21/Inv_SY_B!$BY21-1,"")</f>
        <v>1.748822991055321E-2</v>
      </c>
      <c r="S21" s="184">
        <f>IFERROR(Inv_SY_B!S21/Inv_SY_B!$BY21-1,"")</f>
        <v>7.3003977839296574E-3</v>
      </c>
      <c r="T21" s="184">
        <f>IFERROR(Inv_SY_B!T21/Inv_SY_B!$BY21-1,"")</f>
        <v>8.9542106463005311E-3</v>
      </c>
      <c r="U21" s="184">
        <f>IFERROR(Inv_SY_B!U21/Inv_SY_B!$BY21-1,"")</f>
        <v>1.8368341696346935E-2</v>
      </c>
      <c r="V21" s="184">
        <f>IFERROR(Inv_SY_B!V21/Inv_SY_B!$BY21-1,"")</f>
        <v>2.3910181306377787E-2</v>
      </c>
      <c r="W21" s="184">
        <f>IFERROR(Inv_SY_B!W21/Inv_SY_B!$BY21-1,"")</f>
        <v>-2.0107718611001357E-2</v>
      </c>
      <c r="X21" s="184">
        <f>IFERROR(Inv_SY_B!X21/Inv_SY_B!$BY21-1,"")</f>
        <v>-3.3332349285645102E-2</v>
      </c>
      <c r="Y21" s="184">
        <f>IFERROR(Inv_SY_B!Y21/Inv_SY_B!$BY21-1,"")</f>
        <v>-1.3620831376551679E-2</v>
      </c>
      <c r="Z21" s="184">
        <f>IFERROR(Inv_SY_B!Z21/Inv_SY_B!$BY21-1,"")</f>
        <v>4.0926875857296707E-3</v>
      </c>
      <c r="AA21" s="184">
        <f>IFERROR(Inv_SY_B!AA21/Inv_SY_B!$BY21-1,"")</f>
        <v>6.0635559218091828E-4</v>
      </c>
      <c r="AB21" s="184">
        <f>IFERROR(Inv_SY_B!AB21/Inv_SY_B!$BY21-1,"")</f>
        <v>-2.2504293225611427E-3</v>
      </c>
      <c r="AC21" s="184">
        <f>IFERROR(Inv_SY_B!AC21/Inv_SY_B!$BY21-1,"")</f>
        <v>4.2277773416676823E-4</v>
      </c>
      <c r="AD21" s="184">
        <f>IFERROR(Inv_SY_B!AD21/Inv_SY_B!$BY21-1,"")</f>
        <v>-1.2012933401273407E-2</v>
      </c>
      <c r="AE21" s="184">
        <f>IFERROR(Inv_SY_B!AE21/Inv_SY_B!$BY21-1,"")</f>
        <v>8.4545483278328781E-3</v>
      </c>
      <c r="AF21" s="184">
        <f>IFERROR(Inv_SY_B!AF21/Inv_SY_B!$BY21-1,"")</f>
        <v>-1.8286254419326298E-3</v>
      </c>
      <c r="AG21" s="184">
        <f>IFERROR(Inv_SY_B!AG21/Inv_SY_B!$BY21-1,"")</f>
        <v>-4.8625834112910882E-3</v>
      </c>
      <c r="AH21" s="184">
        <f>IFERROR(Inv_SY_B!AH21/Inv_SY_B!$BY21-1,"")</f>
        <v>-9.2845151292767492E-3</v>
      </c>
      <c r="AI21" s="184">
        <f>IFERROR(Inv_SY_B!AI21/Inv_SY_B!$BY21-1,"")</f>
        <v>-2.5399726903163611E-4</v>
      </c>
      <c r="AJ21" s="184">
        <f>IFERROR(Inv_SY_B!AJ21/Inv_SY_B!$BY21-1,"")</f>
        <v>-5.9157036345147684E-4</v>
      </c>
      <c r="AK21" s="184">
        <f>IFERROR(Inv_SY_B!AK21/Inv_SY_B!$BY21-1,"")</f>
        <v>-6.5054575627380151E-3</v>
      </c>
      <c r="AL21" s="184">
        <f>IFERROR(Inv_SY_B!AL21/Inv_SY_B!$BY21-1,"")</f>
        <v>-4.2482266849877104E-2</v>
      </c>
      <c r="AM21" s="184">
        <f>IFERROR(Inv_SY_B!AM21/Inv_SY_B!$BY21-1,"")</f>
        <v>-2.1499086275874602E-3</v>
      </c>
      <c r="AN21" s="184">
        <f>IFERROR(Inv_SY_B!AN21/Inv_SY_B!$BY21-1,"")</f>
        <v>1.627994158502899E-3</v>
      </c>
      <c r="AO21" s="184">
        <f>IFERROR(Inv_SY_B!AO21/Inv_SY_B!$BY21-1,"")</f>
        <v>-1.6823835912584739E-2</v>
      </c>
      <c r="AP21" s="184">
        <f>IFERROR(Inv_SY_B!AP21/Inv_SY_B!$BY21-1,"")</f>
        <v>-1.101876577786054E-2</v>
      </c>
      <c r="AQ21" s="184">
        <f>IFERROR(Inv_SY_B!AQ21/Inv_SY_B!$BY21-1,"")</f>
        <v>-1.6097142665931985E-2</v>
      </c>
      <c r="AR21" s="184">
        <f>IFERROR(Inv_SY_B!AR21/Inv_SY_B!$BY21-1,"")</f>
        <v>-8.0037180729662927E-3</v>
      </c>
      <c r="AS21" s="184">
        <f>IFERROR(Inv_SY_B!AS21/Inv_SY_B!$BY21-1,"")</f>
        <v>-7.067495817846714E-3</v>
      </c>
      <c r="AT21" s="184">
        <f>IFERROR(Inv_SY_B!AT21/Inv_SY_B!$BY21-1,"")</f>
        <v>5.7437803377660135E-3</v>
      </c>
      <c r="AU21" s="184">
        <f>IFERROR(Inv_SY_B!AU21/Inv_SY_B!$BY21-1,"")</f>
        <v>7.499213519678527E-3</v>
      </c>
      <c r="AV21" s="184">
        <f>IFERROR(Inv_SY_B!AV21/Inv_SY_B!$BY21-1,"")</f>
        <v>6.3332062736343175E-4</v>
      </c>
      <c r="AW21" s="184">
        <f>IFERROR(Inv_SY_B!AW21/Inv_SY_B!$BY21-1,"")</f>
        <v>1.425251265923233E-2</v>
      </c>
      <c r="AX21" s="184">
        <f>IFERROR(Inv_SY_B!AX21/Inv_SY_B!$BY21-1,"")</f>
        <v>2.8778375370381637E-2</v>
      </c>
      <c r="AY21" s="184">
        <f>IFERROR(Inv_SY_B!AY21/Inv_SY_B!$BY21-1,"")</f>
        <v>-9.6328811154641203E-3</v>
      </c>
      <c r="AZ21" s="184">
        <f>IFERROR(Inv_SY_B!AZ21/Inv_SY_B!$BY21-1,"")</f>
        <v>-2.8241061566014136E-2</v>
      </c>
      <c r="BA21" s="184">
        <f>IFERROR(Inv_SY_B!BA21/Inv_SY_B!$BY21-1,"")</f>
        <v>5.3764581935782374E-3</v>
      </c>
      <c r="BB21" s="184">
        <f>IFERROR(Inv_SY_B!BB21/Inv_SY_B!$BY21-1,"")</f>
        <v>3.3830776077823588E-2</v>
      </c>
      <c r="BC21" s="184">
        <f>IFERROR(Inv_SY_B!BC21/Inv_SY_B!$BY21-1,"")</f>
        <v>2.099974116465364E-2</v>
      </c>
      <c r="BD21" s="184">
        <f>IFERROR(Inv_SY_B!BD21/Inv_SY_B!$BY21-1,"")</f>
        <v>4.0589711930786754E-2</v>
      </c>
      <c r="BE21" s="184">
        <f>IFERROR(Inv_SY_B!BE21/Inv_SY_B!$BY21-1,"")</f>
        <v>3.5875446296346425E-2</v>
      </c>
      <c r="BF21" s="184">
        <f>IFERROR(Inv_SY_B!BF21/Inv_SY_B!$BY21-1,"")</f>
        <v>1.0892100444933162E-2</v>
      </c>
      <c r="BG21" s="184">
        <f>IFERROR(Inv_SY_B!BG21/Inv_SY_B!$BY21-1,"")</f>
        <v>5.5353687895449477E-2</v>
      </c>
      <c r="BH21" s="184">
        <f>IFERROR(Inv_SY_B!BH21/Inv_SY_B!$BY21-1,"")</f>
        <v>1.5389914598284982E-3</v>
      </c>
      <c r="BI21" s="184">
        <f>IFERROR(Inv_SY_B!BI21/Inv_SY_B!$BY21-1,"")</f>
        <v>4.8205099645936889E-2</v>
      </c>
      <c r="BJ21" s="184">
        <f>IFERROR(Inv_SY_B!BJ21/Inv_SY_B!$BY21-1,"")</f>
        <v>5.1028850004732895E-2</v>
      </c>
      <c r="BK21" s="184">
        <f>IFERROR(Inv_SY_B!BK21/Inv_SY_B!$BY21-1,"")</f>
        <v>5.3721591165696303E-2</v>
      </c>
      <c r="BL21" s="184">
        <f>IFERROR(Inv_SY_B!BL21/Inv_SY_B!$BY21-1,"")</f>
        <v>4.6612240551229478E-2</v>
      </c>
      <c r="BM21" s="184">
        <f>IFERROR(Inv_SY_B!BM21/Inv_SY_B!$BY21-1,"")</f>
        <v>1.4701003221726072E-2</v>
      </c>
      <c r="BN21" s="184">
        <f>IFERROR(Inv_SY_B!BN21/Inv_SY_B!$BY21-1,"")</f>
        <v>2.1512949847349416E-2</v>
      </c>
      <c r="BO21" s="184">
        <f>IFERROR(Inv_SY_B!BO21/Inv_SY_B!$BY21-1,"")</f>
        <v>-4.295706779375752E-2</v>
      </c>
      <c r="BP21" s="184">
        <f>IFERROR(Inv_SY_B!BP21/Inv_SY_B!$BY21-1,"")</f>
        <v>4.4060456079952681E-2</v>
      </c>
      <c r="BQ21" s="184">
        <f>IFERROR(Inv_SY_B!BQ21/Inv_SY_B!$BY21-1,"")</f>
        <v>-7.1124896875643939E-3</v>
      </c>
      <c r="BR21" s="184">
        <f>IFERROR(Inv_SY_B!BR21/Inv_SY_B!$BY21-1,"")</f>
        <v>-0.23199449080628509</v>
      </c>
      <c r="BS21" s="184">
        <f>IFERROR(Inv_SY_B!BS21/Inv_SY_B!$BY21-1,"")</f>
        <v>-2.799475952041719E-2</v>
      </c>
      <c r="BT21" s="184">
        <f>IFERROR(Inv_SY_B!BT21/Inv_SY_B!$BY21-1,"")</f>
        <v>-1.7600991588030301E-2</v>
      </c>
      <c r="BU21" s="184">
        <f>IFERROR(Inv_SY_B!BU21/Inv_SY_B!$BY21-1,"")</f>
        <v>-0.28041696519438852</v>
      </c>
      <c r="BV21" s="184">
        <f>IFERROR(Inv_SY_B!BV21/Inv_SY_B!$BY21-1,"")</f>
        <v>-0.13311379380551025</v>
      </c>
      <c r="BW21" s="184">
        <f>IFERROR(Inv_SY_B!BW21/Inv_SY_B!$BY21-1,"")</f>
        <v>3.3856488770919846E-2</v>
      </c>
      <c r="BX21" s="184">
        <f>IFERROR(Inv_SY_B!BX21/Inv_SY_B!$BY21-1,"")</f>
        <v>2.8015205645356867E-2</v>
      </c>
    </row>
    <row r="22" spans="1:76">
      <c r="A22"/>
      <c r="B22" s="179">
        <f t="shared" si="1"/>
        <v>45840</v>
      </c>
      <c r="C22" s="184">
        <f>IFERROR(Inv_SY_B!C22/Inv_SY_B!$BY22-1,"")</f>
        <v>-7.8129381296530021E-3</v>
      </c>
      <c r="D22" s="184">
        <f>IFERROR(Inv_SY_B!D22/Inv_SY_B!$BY22-1,"")</f>
        <v>-6.8550018097853771E-3</v>
      </c>
      <c r="E22" s="184">
        <f>IFERROR(Inv_SY_B!E22/Inv_SY_B!$BY22-1,"")</f>
        <v>-1.6765790047032492E-2</v>
      </c>
      <c r="F22" s="184">
        <f>IFERROR(Inv_SY_B!F22/Inv_SY_B!$BY22-1,"")</f>
        <v>-2.8522367725168696E-2</v>
      </c>
      <c r="G22" s="184">
        <f>IFERROR(Inv_SY_B!G22/Inv_SY_B!$BY22-1,"")</f>
        <v>-2.1520113969123678E-2</v>
      </c>
      <c r="H22" s="184">
        <f>IFERROR(Inv_SY_B!H22/Inv_SY_B!$BY22-1,"")</f>
        <v>-2.6390402687179626E-2</v>
      </c>
      <c r="I22" s="184">
        <f>IFERROR(Inv_SY_B!I22/Inv_SY_B!$BY22-1,"")</f>
        <v>-6.2483834763963353E-3</v>
      </c>
      <c r="J22" s="184">
        <f>IFERROR(Inv_SY_B!J22/Inv_SY_B!$BY22-1,"")</f>
        <v>-6.775173783129862E-3</v>
      </c>
      <c r="K22" s="184">
        <f>IFERROR(Inv_SY_B!K22/Inv_SY_B!$BY22-1,"")</f>
        <v>-2.1242408287108328E-2</v>
      </c>
      <c r="L22" s="184">
        <f>IFERROR(Inv_SY_B!L22/Inv_SY_B!$BY22-1,"")</f>
        <v>-5.7397036886663866E-3</v>
      </c>
      <c r="M22" s="184">
        <f>IFERROR(Inv_SY_B!M22/Inv_SY_B!$BY22-1,"")</f>
        <v>1.9383429457888735E-2</v>
      </c>
      <c r="N22" s="184">
        <f>IFERROR(Inv_SY_B!N22/Inv_SY_B!$BY22-1,"")</f>
        <v>-8.1314839584092358E-3</v>
      </c>
      <c r="O22" s="184">
        <f>IFERROR(Inv_SY_B!O22/Inv_SY_B!$BY22-1,"")</f>
        <v>4.7233896524806473E-2</v>
      </c>
      <c r="P22" s="184">
        <f>IFERROR(Inv_SY_B!P22/Inv_SY_B!$BY22-1,"")</f>
        <v>-3.8588391561894531E-2</v>
      </c>
      <c r="Q22" s="184">
        <f>IFERROR(Inv_SY_B!Q22/Inv_SY_B!$BY22-1,"")</f>
        <v>-1.3884212569379994E-2</v>
      </c>
      <c r="R22" s="184">
        <f>IFERROR(Inv_SY_B!R22/Inv_SY_B!$BY22-1,"")</f>
        <v>-1.0376225256777616E-2</v>
      </c>
      <c r="S22" s="184">
        <f>IFERROR(Inv_SY_B!S22/Inv_SY_B!$BY22-1,"")</f>
        <v>-1.185634405055036E-2</v>
      </c>
      <c r="T22" s="184">
        <f>IFERROR(Inv_SY_B!T22/Inv_SY_B!$BY22-1,"")</f>
        <v>-9.7626451156029859E-3</v>
      </c>
      <c r="U22" s="184">
        <f>IFERROR(Inv_SY_B!U22/Inv_SY_B!$BY22-1,"")</f>
        <v>-9.0086790073806711E-3</v>
      </c>
      <c r="V22" s="184">
        <f>IFERROR(Inv_SY_B!V22/Inv_SY_B!$BY22-1,"")</f>
        <v>-2.5497749912029022E-3</v>
      </c>
      <c r="W22" s="184">
        <f>IFERROR(Inv_SY_B!W22/Inv_SY_B!$BY22-1,"")</f>
        <v>-2.8903190003598644E-2</v>
      </c>
      <c r="X22" s="184">
        <f>IFERROR(Inv_SY_B!X22/Inv_SY_B!$BY22-1,"")</f>
        <v>-3.5059298789094751E-2</v>
      </c>
      <c r="Y22" s="184">
        <f>IFERROR(Inv_SY_B!Y22/Inv_SY_B!$BY22-1,"")</f>
        <v>-5.85580900362348E-3</v>
      </c>
      <c r="Z22" s="184">
        <f>IFERROR(Inv_SY_B!Z22/Inv_SY_B!$BY22-1,"")</f>
        <v>1.5518152170563848E-3</v>
      </c>
      <c r="AA22" s="184">
        <f>IFERROR(Inv_SY_B!AA22/Inv_SY_B!$BY22-1,"")</f>
        <v>-1.1886106183146117E-2</v>
      </c>
      <c r="AB22" s="184">
        <f>IFERROR(Inv_SY_B!AB22/Inv_SY_B!$BY22-1,"")</f>
        <v>-1.2665121222066089E-2</v>
      </c>
      <c r="AC22" s="184">
        <f>IFERROR(Inv_SY_B!AC22/Inv_SY_B!$BY22-1,"")</f>
        <v>-1.4851032745556991E-2</v>
      </c>
      <c r="AD22" s="184">
        <f>IFERROR(Inv_SY_B!AD22/Inv_SY_B!$BY22-1,"")</f>
        <v>-2.1544348495883825E-2</v>
      </c>
      <c r="AE22" s="184">
        <f>IFERROR(Inv_SY_B!AE22/Inv_SY_B!$BY22-1,"")</f>
        <v>3.001212538948228E-2</v>
      </c>
      <c r="AF22" s="184">
        <f>IFERROR(Inv_SY_B!AF22/Inv_SY_B!$BY22-1,"")</f>
        <v>8.3490405658963596E-3</v>
      </c>
      <c r="AG22" s="184">
        <f>IFERROR(Inv_SY_B!AG22/Inv_SY_B!$BY22-1,"")</f>
        <v>-9.177197861063302E-4</v>
      </c>
      <c r="AH22" s="184">
        <f>IFERROR(Inv_SY_B!AH22/Inv_SY_B!$BY22-1,"")</f>
        <v>-8.8940439516851377E-3</v>
      </c>
      <c r="AI22" s="184">
        <f>IFERROR(Inv_SY_B!AI22/Inv_SY_B!$BY22-1,"")</f>
        <v>-8.9963075102732937E-2</v>
      </c>
      <c r="AJ22" s="184">
        <f>IFERROR(Inv_SY_B!AJ22/Inv_SY_B!$BY22-1,"")</f>
        <v>-0.1031475333613725</v>
      </c>
      <c r="AK22" s="184">
        <f>IFERROR(Inv_SY_B!AK22/Inv_SY_B!$BY22-1,"")</f>
        <v>-9.7493961944628782E-2</v>
      </c>
      <c r="AL22" s="184">
        <f>IFERROR(Inv_SY_B!AL22/Inv_SY_B!$BY22-1,"")</f>
        <v>-0.31272494554390073</v>
      </c>
      <c r="AM22" s="184">
        <f>IFERROR(Inv_SY_B!AM22/Inv_SY_B!$BY22-1,"")</f>
        <v>1.2784230983259537E-2</v>
      </c>
      <c r="AN22" s="184">
        <f>IFERROR(Inv_SY_B!AN22/Inv_SY_B!$BY22-1,"")</f>
        <v>1.8552038246821612E-2</v>
      </c>
      <c r="AO22" s="184">
        <f>IFERROR(Inv_SY_B!AO22/Inv_SY_B!$BY22-1,"")</f>
        <v>-0.24766042629496132</v>
      </c>
      <c r="AP22" s="184">
        <f>IFERROR(Inv_SY_B!AP22/Inv_SY_B!$BY22-1,"")</f>
        <v>-0.24210624152264226</v>
      </c>
      <c r="AQ22" s="184">
        <f>IFERROR(Inv_SY_B!AQ22/Inv_SY_B!$BY22-1,"")</f>
        <v>-0.2518707276889468</v>
      </c>
      <c r="AR22" s="184">
        <f>IFERROR(Inv_SY_B!AR22/Inv_SY_B!$BY22-1,"")</f>
        <v>-0.24314716566179018</v>
      </c>
      <c r="AS22" s="184">
        <f>IFERROR(Inv_SY_B!AS22/Inv_SY_B!$BY22-1,"")</f>
        <v>5.8782545946367559E-3</v>
      </c>
      <c r="AT22" s="184">
        <f>IFERROR(Inv_SY_B!AT22/Inv_SY_B!$BY22-1,"")</f>
        <v>4.3058694211821624E-3</v>
      </c>
      <c r="AU22" s="184">
        <f>IFERROR(Inv_SY_B!AU22/Inv_SY_B!$BY22-1,"")</f>
        <v>6.1526690595252731E-3</v>
      </c>
      <c r="AV22" s="184">
        <f>IFERROR(Inv_SY_B!AV22/Inv_SY_B!$BY22-1,"")</f>
        <v>-1.5461570317418794E-3</v>
      </c>
      <c r="AW22" s="184">
        <f>IFERROR(Inv_SY_B!AW22/Inv_SY_B!$BY22-1,"")</f>
        <v>-6.5648831934880247E-3</v>
      </c>
      <c r="AX22" s="184">
        <f>IFERROR(Inv_SY_B!AX22/Inv_SY_B!$BY22-1,"")</f>
        <v>2.2044860721364135E-3</v>
      </c>
      <c r="AY22" s="184">
        <f>IFERROR(Inv_SY_B!AY22/Inv_SY_B!$BY22-1,"")</f>
        <v>-2.3111731761454868E-2</v>
      </c>
      <c r="AZ22" s="184">
        <f>IFERROR(Inv_SY_B!AZ22/Inv_SY_B!$BY22-1,"")</f>
        <v>1.9653953856776596E-2</v>
      </c>
      <c r="BA22" s="184">
        <f>IFERROR(Inv_SY_B!BA22/Inv_SY_B!$BY22-1,"")</f>
        <v>1.7672108129151098E-2</v>
      </c>
      <c r="BB22" s="184">
        <f>IFERROR(Inv_SY_B!BB22/Inv_SY_B!$BY22-1,"")</f>
        <v>5.4040442411891654E-2</v>
      </c>
      <c r="BC22" s="184">
        <f>IFERROR(Inv_SY_B!BC22/Inv_SY_B!$BY22-1,"")</f>
        <v>3.7601300566147966E-2</v>
      </c>
      <c r="BD22" s="184">
        <f>IFERROR(Inv_SY_B!BD22/Inv_SY_B!$BY22-1,"")</f>
        <v>6.3302891221710622E-2</v>
      </c>
      <c r="BE22" s="184">
        <f>IFERROR(Inv_SY_B!BE22/Inv_SY_B!$BY22-1,"")</f>
        <v>8.8672936182587536E-2</v>
      </c>
      <c r="BF22" s="184">
        <f>IFERROR(Inv_SY_B!BF22/Inv_SY_B!$BY22-1,"")</f>
        <v>6.9935913269645322E-2</v>
      </c>
      <c r="BG22" s="184">
        <f>IFERROR(Inv_SY_B!BG22/Inv_SY_B!$BY22-1,"")</f>
        <v>0.12351306592765887</v>
      </c>
      <c r="BH22" s="184">
        <f>IFERROR(Inv_SY_B!BH22/Inv_SY_B!$BY22-1,"")</f>
        <v>0.11428183781950141</v>
      </c>
      <c r="BI22" s="184">
        <f>IFERROR(Inv_SY_B!BI22/Inv_SY_B!$BY22-1,"")</f>
        <v>9.9708434415854752E-2</v>
      </c>
      <c r="BJ22" s="184">
        <f>IFERROR(Inv_SY_B!BJ22/Inv_SY_B!$BY22-1,"")</f>
        <v>0.12069676044743849</v>
      </c>
      <c r="BK22" s="184">
        <f>IFERROR(Inv_SY_B!BK22/Inv_SY_B!$BY22-1,"")</f>
        <v>0.11767095261071181</v>
      </c>
      <c r="BL22" s="184">
        <f>IFERROR(Inv_SY_B!BL22/Inv_SY_B!$BY22-1,"")</f>
        <v>0.10510423441035632</v>
      </c>
      <c r="BM22" s="184">
        <f>IFERROR(Inv_SY_B!BM22/Inv_SY_B!$BY22-1,"")</f>
        <v>8.2105028984069683E-2</v>
      </c>
      <c r="BN22" s="184">
        <f>IFERROR(Inv_SY_B!BN22/Inv_SY_B!$BY22-1,"")</f>
        <v>9.1119981416631024E-2</v>
      </c>
      <c r="BO22" s="184">
        <f>IFERROR(Inv_SY_B!BO22/Inv_SY_B!$BY22-1,"")</f>
        <v>2.3820492382632175E-2</v>
      </c>
      <c r="BP22" s="184">
        <f>IFERROR(Inv_SY_B!BP22/Inv_SY_B!$BY22-1,"")</f>
        <v>0.10735445506689389</v>
      </c>
      <c r="BQ22" s="184">
        <f>IFERROR(Inv_SY_B!BQ22/Inv_SY_B!$BY22-1,"")</f>
        <v>5.3957053136384214E-2</v>
      </c>
      <c r="BR22" s="184">
        <f>IFERROR(Inv_SY_B!BR22/Inv_SY_B!$BY22-1,"")</f>
        <v>-0.10935817903022782</v>
      </c>
      <c r="BS22" s="184">
        <f>IFERROR(Inv_SY_B!BS22/Inv_SY_B!$BY22-1,"")</f>
        <v>4.7925989546251602E-2</v>
      </c>
      <c r="BT22" s="184">
        <f>IFERROR(Inv_SY_B!BT22/Inv_SY_B!$BY22-1,"")</f>
        <v>9.3199771145049182E-2</v>
      </c>
      <c r="BU22" s="184">
        <f>IFERROR(Inv_SY_B!BU22/Inv_SY_B!$BY22-1,"")</f>
        <v>4.9342068797726624E-2</v>
      </c>
      <c r="BV22" s="184">
        <f>IFERROR(Inv_SY_B!BV22/Inv_SY_B!$BY22-1,"")</f>
        <v>0.19048091035816617</v>
      </c>
      <c r="BW22" s="184">
        <f>IFERROR(Inv_SY_B!BW22/Inv_SY_B!$BY22-1,"")</f>
        <v>0.101249389551193</v>
      </c>
      <c r="BX22" s="184">
        <f>IFERROR(Inv_SY_B!BX22/Inv_SY_B!$BY22-1,"")</f>
        <v>9.2483911245951678E-2</v>
      </c>
    </row>
    <row r="23" spans="1:76">
      <c r="A23"/>
      <c r="B23" s="179">
        <f t="shared" si="1"/>
        <v>45841</v>
      </c>
      <c r="C23" s="184">
        <f>IFERROR(Inv_SY_B!C23/Inv_SY_B!$BY23-1,"")</f>
        <v>-5.5162063692886565E-2</v>
      </c>
      <c r="D23" s="184">
        <f>IFERROR(Inv_SY_B!D23/Inv_SY_B!$BY23-1,"")</f>
        <v>-5.2707441792541831E-2</v>
      </c>
      <c r="E23" s="184">
        <f>IFERROR(Inv_SY_B!E23/Inv_SY_B!$BY23-1,"")</f>
        <v>-6.3320497558152722E-2</v>
      </c>
      <c r="F23" s="184">
        <f>IFERROR(Inv_SY_B!F23/Inv_SY_B!$BY23-1,"")</f>
        <v>-7.7502796297834964E-2</v>
      </c>
      <c r="G23" s="184">
        <f>IFERROR(Inv_SY_B!G23/Inv_SY_B!$BY23-1,"")</f>
        <v>-7.1176960668602351E-2</v>
      </c>
      <c r="H23" s="184">
        <f>IFERROR(Inv_SY_B!H23/Inv_SY_B!$BY23-1,"")</f>
        <v>-7.5070765464321676E-2</v>
      </c>
      <c r="I23" s="184">
        <f>IFERROR(Inv_SY_B!I23/Inv_SY_B!$BY23-1,"")</f>
        <v>-5.513715611168224E-2</v>
      </c>
      <c r="J23" s="184">
        <f>IFERROR(Inv_SY_B!J23/Inv_SY_B!$BY23-1,"")</f>
        <v>-6.3637021379675196E-2</v>
      </c>
      <c r="K23" s="184">
        <f>IFERROR(Inv_SY_B!K23/Inv_SY_B!$BY23-1,"")</f>
        <v>-5.9565825634958047E-2</v>
      </c>
      <c r="L23" s="184">
        <f>IFERROR(Inv_SY_B!L23/Inv_SY_B!$BY23-1,"")</f>
        <v>-4.8780568257159262E-2</v>
      </c>
      <c r="M23" s="184">
        <f>IFERROR(Inv_SY_B!M23/Inv_SY_B!$BY23-1,"")</f>
        <v>-2.0511340814298618E-2</v>
      </c>
      <c r="N23" s="184">
        <f>IFERROR(Inv_SY_B!N23/Inv_SY_B!$BY23-1,"")</f>
        <v>-4.6772419967852752E-2</v>
      </c>
      <c r="O23" s="184">
        <f>IFERROR(Inv_SY_B!O23/Inv_SY_B!$BY23-1,"")</f>
        <v>4.1785069463509128E-3</v>
      </c>
      <c r="P23" s="184">
        <f>IFERROR(Inv_SY_B!P23/Inv_SY_B!$BY23-1,"")</f>
        <v>-6.8543653086887035E-2</v>
      </c>
      <c r="Q23" s="184">
        <f>IFERROR(Inv_SY_B!Q23/Inv_SY_B!$BY23-1,"")</f>
        <v>-5.011320842168121E-2</v>
      </c>
      <c r="R23" s="184">
        <f>IFERROR(Inv_SY_B!R23/Inv_SY_B!$BY23-1,"")</f>
        <v>-4.8000781308499052E-2</v>
      </c>
      <c r="S23" s="184">
        <f>IFERROR(Inv_SY_B!S23/Inv_SY_B!$BY23-1,"")</f>
        <v>-4.9875285151825044E-2</v>
      </c>
      <c r="T23" s="184">
        <f>IFERROR(Inv_SY_B!T23/Inv_SY_B!$BY23-1,"")</f>
        <v>-4.3371398259596683E-2</v>
      </c>
      <c r="U23" s="184">
        <f>IFERROR(Inv_SY_B!U23/Inv_SY_B!$BY23-1,"")</f>
        <v>-4.6522136130651814E-2</v>
      </c>
      <c r="V23" s="184">
        <f>IFERROR(Inv_SY_B!V23/Inv_SY_B!$BY23-1,"")</f>
        <v>-3.8905709707850344E-2</v>
      </c>
      <c r="W23" s="184">
        <f>IFERROR(Inv_SY_B!W23/Inv_SY_B!$BY23-1,"")</f>
        <v>-3.9848679571174772E-2</v>
      </c>
      <c r="X23" s="184">
        <f>IFERROR(Inv_SY_B!X23/Inv_SY_B!$BY23-1,"")</f>
        <v>-4.3643498056357033E-2</v>
      </c>
      <c r="Y23" s="184">
        <f>IFERROR(Inv_SY_B!Y23/Inv_SY_B!$BY23-1,"")</f>
        <v>-1.2002196285717304E-2</v>
      </c>
      <c r="Z23" s="184">
        <f>IFERROR(Inv_SY_B!Z23/Inv_SY_B!$BY23-1,"")</f>
        <v>-1.2543064525755376E-2</v>
      </c>
      <c r="AA23" s="184">
        <f>IFERROR(Inv_SY_B!AA23/Inv_SY_B!$BY23-1,"")</f>
        <v>-2.8664896639880699E-2</v>
      </c>
      <c r="AB23" s="184">
        <f>IFERROR(Inv_SY_B!AB23/Inv_SY_B!$BY23-1,"")</f>
        <v>-3.4619314912147203E-2</v>
      </c>
      <c r="AC23" s="184">
        <f>IFERROR(Inv_SY_B!AC23/Inv_SY_B!$BY23-1,"")</f>
        <v>-3.0489568786354559E-2</v>
      </c>
      <c r="AD23" s="184">
        <f>IFERROR(Inv_SY_B!AD23/Inv_SY_B!$BY23-1,"")</f>
        <v>-3.9077451126859453E-2</v>
      </c>
      <c r="AE23" s="184">
        <f>IFERROR(Inv_SY_B!AE23/Inv_SY_B!$BY23-1,"")</f>
        <v>4.5476127668710564E-2</v>
      </c>
      <c r="AF23" s="184">
        <f>IFERROR(Inv_SY_B!AF23/Inv_SY_B!$BY23-1,"")</f>
        <v>2.7653827906273243E-2</v>
      </c>
      <c r="AG23" s="184">
        <f>IFERROR(Inv_SY_B!AG23/Inv_SY_B!$BY23-1,"")</f>
        <v>2.054313132772867E-2</v>
      </c>
      <c r="AH23" s="184">
        <f>IFERROR(Inv_SY_B!AH23/Inv_SY_B!$BY23-1,"")</f>
        <v>9.8559085529785762E-3</v>
      </c>
      <c r="AI23" s="184">
        <f>IFERROR(Inv_SY_B!AI23/Inv_SY_B!$BY23-1,"")</f>
        <v>3.0648418787766252E-2</v>
      </c>
      <c r="AJ23" s="184">
        <f>IFERROR(Inv_SY_B!AJ23/Inv_SY_B!$BY23-1,"")</f>
        <v>2.4569561237284043E-2</v>
      </c>
      <c r="AK23" s="184">
        <f>IFERROR(Inv_SY_B!AK23/Inv_SY_B!$BY23-1,"")</f>
        <v>2.4688551196890174E-2</v>
      </c>
      <c r="AL23" s="184">
        <f>IFERROR(Inv_SY_B!AL23/Inv_SY_B!$BY23-1,"")</f>
        <v>2.4226757542934241E-2</v>
      </c>
      <c r="AM23" s="184">
        <f>IFERROR(Inv_SY_B!AM23/Inv_SY_B!$BY23-1,"")</f>
        <v>2.1688862584199553E-2</v>
      </c>
      <c r="AN23" s="184">
        <f>IFERROR(Inv_SY_B!AN23/Inv_SY_B!$BY23-1,"")</f>
        <v>3.2163693931980708E-2</v>
      </c>
      <c r="AO23" s="184">
        <f>IFERROR(Inv_SY_B!AO23/Inv_SY_B!$BY23-1,"")</f>
        <v>2.4045699637450291E-2</v>
      </c>
      <c r="AP23" s="184">
        <f>IFERROR(Inv_SY_B!AP23/Inv_SY_B!$BY23-1,"")</f>
        <v>2.146440191246124E-2</v>
      </c>
      <c r="AQ23" s="184">
        <f>IFERROR(Inv_SY_B!AQ23/Inv_SY_B!$BY23-1,"")</f>
        <v>9.8853618488812245E-3</v>
      </c>
      <c r="AR23" s="184">
        <f>IFERROR(Inv_SY_B!AR23/Inv_SY_B!$BY23-1,"")</f>
        <v>1.5487250498465333E-2</v>
      </c>
      <c r="AS23" s="184">
        <f>IFERROR(Inv_SY_B!AS23/Inv_SY_B!$BY23-1,"")</f>
        <v>2.4345119089071332E-2</v>
      </c>
      <c r="AT23" s="184">
        <f>IFERROR(Inv_SY_B!AT23/Inv_SY_B!$BY23-1,"")</f>
        <v>3.24008468920014E-2</v>
      </c>
      <c r="AU23" s="184">
        <f>IFERROR(Inv_SY_B!AU23/Inv_SY_B!$BY23-1,"")</f>
        <v>4.5964078305460454E-2</v>
      </c>
      <c r="AV23" s="184">
        <f>IFERROR(Inv_SY_B!AV23/Inv_SY_B!$BY23-1,"")</f>
        <v>2.9247101099084238E-2</v>
      </c>
      <c r="AW23" s="184">
        <f>IFERROR(Inv_SY_B!AW23/Inv_SY_B!$BY23-1,"")</f>
        <v>-2.6546180351902038E-2</v>
      </c>
      <c r="AX23" s="184">
        <f>IFERROR(Inv_SY_B!AX23/Inv_SY_B!$BY23-1,"")</f>
        <v>-8.5683961115825547E-3</v>
      </c>
      <c r="AY23" s="184">
        <f>IFERROR(Inv_SY_B!AY23/Inv_SY_B!$BY23-1,"")</f>
        <v>-1.8779973645780879E-2</v>
      </c>
      <c r="AZ23" s="184">
        <f>IFERROR(Inv_SY_B!AZ23/Inv_SY_B!$BY23-1,"")</f>
        <v>-8.9456272858344343E-2</v>
      </c>
      <c r="BA23" s="184">
        <f>IFERROR(Inv_SY_B!BA23/Inv_SY_B!$BY23-1,"")</f>
        <v>-1.5101762035519384E-2</v>
      </c>
      <c r="BB23" s="184">
        <f>IFERROR(Inv_SY_B!BB23/Inv_SY_B!$BY23-1,"")</f>
        <v>1.5644408767832241E-2</v>
      </c>
      <c r="BC23" s="184">
        <f>IFERROR(Inv_SY_B!BC23/Inv_SY_B!$BY23-1,"")</f>
        <v>7.9775342681627226E-3</v>
      </c>
      <c r="BD23" s="184">
        <f>IFERROR(Inv_SY_B!BD23/Inv_SY_B!$BY23-1,"")</f>
        <v>2.6983552543083933E-2</v>
      </c>
      <c r="BE23" s="184">
        <f>IFERROR(Inv_SY_B!BE23/Inv_SY_B!$BY23-1,"")</f>
        <v>3.1796693736465098E-2</v>
      </c>
      <c r="BF23" s="184">
        <f>IFERROR(Inv_SY_B!BF23/Inv_SY_B!$BY23-1,"")</f>
        <v>1.0869464415767638E-2</v>
      </c>
      <c r="BG23" s="184">
        <f>IFERROR(Inv_SY_B!BG23/Inv_SY_B!$BY23-1,"")</f>
        <v>5.7842334870753742E-2</v>
      </c>
      <c r="BH23" s="184">
        <f>IFERROR(Inv_SY_B!BH23/Inv_SY_B!$BY23-1,"")</f>
        <v>4.905095856100905E-2</v>
      </c>
      <c r="BI23" s="184">
        <f>IFERROR(Inv_SY_B!BI23/Inv_SY_B!$BY23-1,"")</f>
        <v>4.657131985263141E-2</v>
      </c>
      <c r="BJ23" s="184">
        <f>IFERROR(Inv_SY_B!BJ23/Inv_SY_B!$BY23-1,"")</f>
        <v>6.1413216806840865E-2</v>
      </c>
      <c r="BK23" s="184">
        <f>IFERROR(Inv_SY_B!BK23/Inv_SY_B!$BY23-1,"")</f>
        <v>5.6817443336314222E-2</v>
      </c>
      <c r="BL23" s="184">
        <f>IFERROR(Inv_SY_B!BL23/Inv_SY_B!$BY23-1,"")</f>
        <v>4.5911418583641783E-2</v>
      </c>
      <c r="BM23" s="184">
        <f>IFERROR(Inv_SY_B!BM23/Inv_SY_B!$BY23-1,"")</f>
        <v>2.1320484239923276E-2</v>
      </c>
      <c r="BN23" s="184">
        <f>IFERROR(Inv_SY_B!BN23/Inv_SY_B!$BY23-1,"")</f>
        <v>4.2161723846492638E-2</v>
      </c>
      <c r="BO23" s="184">
        <f>IFERROR(Inv_SY_B!BO23/Inv_SY_B!$BY23-1,"")</f>
        <v>-3.5700688946768588E-2</v>
      </c>
      <c r="BP23" s="184">
        <f>IFERROR(Inv_SY_B!BP23/Inv_SY_B!$BY23-1,"")</f>
        <v>4.6663905130277739E-2</v>
      </c>
      <c r="BQ23" s="184">
        <f>IFERROR(Inv_SY_B!BQ23/Inv_SY_B!$BY23-1,"")</f>
        <v>2.5189938925424649E-2</v>
      </c>
      <c r="BR23" s="184">
        <f>IFERROR(Inv_SY_B!BR23/Inv_SY_B!$BY23-1,"")</f>
        <v>5.5373435527352521E-2</v>
      </c>
      <c r="BS23" s="184">
        <f>IFERROR(Inv_SY_B!BS23/Inv_SY_B!$BY23-1,"")</f>
        <v>1.7268435630536816E-2</v>
      </c>
      <c r="BT23" s="184">
        <f>IFERROR(Inv_SY_B!BT23/Inv_SY_B!$BY23-1,"")</f>
        <v>6.4395891685619544E-2</v>
      </c>
      <c r="BU23" s="184">
        <f>IFERROR(Inv_SY_B!BU23/Inv_SY_B!$BY23-1,"")</f>
        <v>6.5162809856635473E-2</v>
      </c>
      <c r="BV23" s="184">
        <f>IFERROR(Inv_SY_B!BV23/Inv_SY_B!$BY23-1,"")</f>
        <v>0.1622396371681305</v>
      </c>
      <c r="BW23" s="184">
        <f>IFERROR(Inv_SY_B!BW23/Inv_SY_B!$BY23-1,"")</f>
        <v>5.2804334248193419E-2</v>
      </c>
      <c r="BX23" s="184">
        <f>IFERROR(Inv_SY_B!BX23/Inv_SY_B!$BY23-1,"")</f>
        <v>3.7726824594027875E-2</v>
      </c>
    </row>
    <row r="24" spans="1:76">
      <c r="A24"/>
      <c r="B24" s="179">
        <f t="shared" si="1"/>
        <v>45842</v>
      </c>
      <c r="C24" s="184">
        <f>IFERROR(Inv_SY_B!C24/Inv_SY_B!$BY24-1,"")</f>
        <v>-5.9330684988173621E-3</v>
      </c>
      <c r="D24" s="184">
        <f>IFERROR(Inv_SY_B!D24/Inv_SY_B!$BY24-1,"")</f>
        <v>-1.4440236204107837E-2</v>
      </c>
      <c r="E24" s="184">
        <f>IFERROR(Inv_SY_B!E24/Inv_SY_B!$BY24-1,"")</f>
        <v>-2.3594327161648221E-2</v>
      </c>
      <c r="F24" s="184">
        <f>IFERROR(Inv_SY_B!F24/Inv_SY_B!$BY24-1,"")</f>
        <v>-1.5955274104510475E-2</v>
      </c>
      <c r="G24" s="184">
        <f>IFERROR(Inv_SY_B!G24/Inv_SY_B!$BY24-1,"")</f>
        <v>-4.9863012336277546E-3</v>
      </c>
      <c r="H24" s="184">
        <f>IFERROR(Inv_SY_B!H24/Inv_SY_B!$BY24-1,"")</f>
        <v>-9.6744751669728402E-3</v>
      </c>
      <c r="I24" s="184">
        <f>IFERROR(Inv_SY_B!I24/Inv_SY_B!$BY24-1,"")</f>
        <v>4.9212043428152885E-3</v>
      </c>
      <c r="J24" s="184">
        <f>IFERROR(Inv_SY_B!J24/Inv_SY_B!$BY24-1,"")</f>
        <v>1.0336164709883189E-3</v>
      </c>
      <c r="K24" s="184">
        <f>IFERROR(Inv_SY_B!K24/Inv_SY_B!$BY24-1,"")</f>
        <v>-1.3923993049571148E-2</v>
      </c>
      <c r="L24" s="184">
        <f>IFERROR(Inv_SY_B!L24/Inv_SY_B!$BY24-1,"")</f>
        <v>7.6263822033064699E-3</v>
      </c>
      <c r="M24" s="184">
        <f>IFERROR(Inv_SY_B!M24/Inv_SY_B!$BY24-1,"")</f>
        <v>2.7677827261668897E-2</v>
      </c>
      <c r="N24" s="184">
        <f>IFERROR(Inv_SY_B!N24/Inv_SY_B!$BY24-1,"")</f>
        <v>-4.5939261988590108E-3</v>
      </c>
      <c r="O24" s="184">
        <f>IFERROR(Inv_SY_B!O24/Inv_SY_B!$BY24-1,"")</f>
        <v>4.5048441841254672E-2</v>
      </c>
      <c r="P24" s="184">
        <f>IFERROR(Inv_SY_B!P24/Inv_SY_B!$BY24-1,"")</f>
        <v>-3.3338981990501892E-2</v>
      </c>
      <c r="Q24" s="184">
        <f>IFERROR(Inv_SY_B!Q24/Inv_SY_B!$BY24-1,"")</f>
        <v>-8.3891567306938475E-3</v>
      </c>
      <c r="R24" s="184">
        <f>IFERROR(Inv_SY_B!R24/Inv_SY_B!$BY24-1,"")</f>
        <v>-1.3460392795527021E-2</v>
      </c>
      <c r="S24" s="184">
        <f>IFERROR(Inv_SY_B!S24/Inv_SY_B!$BY24-1,"")</f>
        <v>-1.713638442160792E-2</v>
      </c>
      <c r="T24" s="184">
        <f>IFERROR(Inv_SY_B!T24/Inv_SY_B!$BY24-1,"")</f>
        <v>-7.9106707400949938E-3</v>
      </c>
      <c r="U24" s="184">
        <f>IFERROR(Inv_SY_B!U24/Inv_SY_B!$BY24-1,"")</f>
        <v>-1.1260582152717968E-2</v>
      </c>
      <c r="V24" s="184">
        <f>IFERROR(Inv_SY_B!V24/Inv_SY_B!$BY24-1,"")</f>
        <v>-6.6178524741233868E-3</v>
      </c>
      <c r="W24" s="184">
        <f>IFERROR(Inv_SY_B!W24/Inv_SY_B!$BY24-1,"")</f>
        <v>-2.7897228080567049E-2</v>
      </c>
      <c r="X24" s="184">
        <f>IFERROR(Inv_SY_B!X24/Inv_SY_B!$BY24-1,"")</f>
        <v>-3.1418264535008289E-2</v>
      </c>
      <c r="Y24" s="184">
        <f>IFERROR(Inv_SY_B!Y24/Inv_SY_B!$BY24-1,"")</f>
        <v>3.0377163319033063E-3</v>
      </c>
      <c r="Z24" s="184">
        <f>IFERROR(Inv_SY_B!Z24/Inv_SY_B!$BY24-1,"")</f>
        <v>5.3437515043357475E-3</v>
      </c>
      <c r="AA24" s="184">
        <f>IFERROR(Inv_SY_B!AA24/Inv_SY_B!$BY24-1,"")</f>
        <v>-6.6736242495100129E-3</v>
      </c>
      <c r="AB24" s="184">
        <f>IFERROR(Inv_SY_B!AB24/Inv_SY_B!$BY24-1,"")</f>
        <v>-1.1264593222260366E-2</v>
      </c>
      <c r="AC24" s="184">
        <f>IFERROR(Inv_SY_B!AC24/Inv_SY_B!$BY24-1,"")</f>
        <v>-6.8312273782065169E-3</v>
      </c>
      <c r="AD24" s="184">
        <f>IFERROR(Inv_SY_B!AD24/Inv_SY_B!$BY24-1,"")</f>
        <v>-1.4312597366114344E-2</v>
      </c>
      <c r="AE24" s="184">
        <f>IFERROR(Inv_SY_B!AE24/Inv_SY_B!$BY24-1,"")</f>
        <v>2.6853670274701757E-2</v>
      </c>
      <c r="AF24" s="184">
        <f>IFERROR(Inv_SY_B!AF24/Inv_SY_B!$BY24-1,"")</f>
        <v>1.6871526459605546E-2</v>
      </c>
      <c r="AG24" s="184">
        <f>IFERROR(Inv_SY_B!AG24/Inv_SY_B!$BY24-1,"")</f>
        <v>1.6753286911904697E-2</v>
      </c>
      <c r="AH24" s="184">
        <f>IFERROR(Inv_SY_B!AH24/Inv_SY_B!$BY24-1,"")</f>
        <v>7.7647264325713117E-3</v>
      </c>
      <c r="AI24" s="184">
        <f>IFERROR(Inv_SY_B!AI24/Inv_SY_B!$BY24-1,"")</f>
        <v>1.78790904950481E-2</v>
      </c>
      <c r="AJ24" s="184">
        <f>IFERROR(Inv_SY_B!AJ24/Inv_SY_B!$BY24-1,"")</f>
        <v>1.8792913970384406E-2</v>
      </c>
      <c r="AK24" s="184">
        <f>IFERROR(Inv_SY_B!AK24/Inv_SY_B!$BY24-1,"")</f>
        <v>1.2196385881599658E-2</v>
      </c>
      <c r="AL24" s="184">
        <f>IFERROR(Inv_SY_B!AL24/Inv_SY_B!$BY24-1,"")</f>
        <v>1.4514510353374144E-2</v>
      </c>
      <c r="AM24" s="184">
        <f>IFERROR(Inv_SY_B!AM24/Inv_SY_B!$BY24-1,"")</f>
        <v>1.3131318923218727E-2</v>
      </c>
      <c r="AN24" s="184">
        <f>IFERROR(Inv_SY_B!AN24/Inv_SY_B!$BY24-1,"")</f>
        <v>1.9327192353675748E-2</v>
      </c>
      <c r="AO24" s="184">
        <f>IFERROR(Inv_SY_B!AO24/Inv_SY_B!$BY24-1,"")</f>
        <v>2.5452390421808246E-2</v>
      </c>
      <c r="AP24" s="184">
        <f>IFERROR(Inv_SY_B!AP24/Inv_SY_B!$BY24-1,"")</f>
        <v>1.621747641139315E-2</v>
      </c>
      <c r="AQ24" s="184">
        <f>IFERROR(Inv_SY_B!AQ24/Inv_SY_B!$BY24-1,"")</f>
        <v>1.6674721727837127E-2</v>
      </c>
      <c r="AR24" s="184">
        <f>IFERROR(Inv_SY_B!AR24/Inv_SY_B!$BY24-1,"")</f>
        <v>1.0508891005384768E-2</v>
      </c>
      <c r="AS24" s="184">
        <f>IFERROR(Inv_SY_B!AS24/Inv_SY_B!$BY24-1,"")</f>
        <v>9.2354486419921056E-3</v>
      </c>
      <c r="AT24" s="184">
        <f>IFERROR(Inv_SY_B!AT24/Inv_SY_B!$BY24-1,"")</f>
        <v>2.3289340734278685E-2</v>
      </c>
      <c r="AU24" s="184">
        <f>IFERROR(Inv_SY_B!AU24/Inv_SY_B!$BY24-1,"")</f>
        <v>2.1491544275139329E-2</v>
      </c>
      <c r="AV24" s="184">
        <f>IFERROR(Inv_SY_B!AV24/Inv_SY_B!$BY24-1,"")</f>
        <v>1.5164026732166658E-2</v>
      </c>
      <c r="AW24" s="184">
        <f>IFERROR(Inv_SY_B!AW24/Inv_SY_B!$BY24-1,"")</f>
        <v>1.5925490159593325E-2</v>
      </c>
      <c r="AX24" s="184">
        <f>IFERROR(Inv_SY_B!AX24/Inv_SY_B!$BY24-1,"")</f>
        <v>3.2533469419009808E-2</v>
      </c>
      <c r="AY24" s="184">
        <f>IFERROR(Inv_SY_B!AY24/Inv_SY_B!$BY24-1,"")</f>
        <v>-2.5644955277702941E-2</v>
      </c>
      <c r="AZ24" s="184">
        <f>IFERROR(Inv_SY_B!AZ24/Inv_SY_B!$BY24-1,"")</f>
        <v>-0.2469618937324759</v>
      </c>
      <c r="BA24" s="184">
        <f>IFERROR(Inv_SY_B!BA24/Inv_SY_B!$BY24-1,"")</f>
        <v>-3.2024386835707297E-3</v>
      </c>
      <c r="BB24" s="184">
        <f>IFERROR(Inv_SY_B!BB24/Inv_SY_B!$BY24-1,"")</f>
        <v>2.0425444650647551E-2</v>
      </c>
      <c r="BC24" s="184">
        <f>IFERROR(Inv_SY_B!BC24/Inv_SY_B!$BY24-1,"")</f>
        <v>5.6451764971110485E-3</v>
      </c>
      <c r="BD24" s="184">
        <f>IFERROR(Inv_SY_B!BD24/Inv_SY_B!$BY24-1,"")</f>
        <v>2.1531300041212509E-2</v>
      </c>
      <c r="BE24" s="184">
        <f>IFERROR(Inv_SY_B!BE24/Inv_SY_B!$BY24-1,"")</f>
        <v>8.7193534778364779E-3</v>
      </c>
      <c r="BF24" s="184">
        <f>IFERROR(Inv_SY_B!BF24/Inv_SY_B!$BY24-1,"")</f>
        <v>-1.7172292571752457E-2</v>
      </c>
      <c r="BG24" s="184">
        <f>IFERROR(Inv_SY_B!BG24/Inv_SY_B!$BY24-1,"")</f>
        <v>2.4279286491102336E-2</v>
      </c>
      <c r="BH24" s="184">
        <f>IFERROR(Inv_SY_B!BH24/Inv_SY_B!$BY24-1,"")</f>
        <v>1.4641201663790016E-2</v>
      </c>
      <c r="BI24" s="184">
        <f>IFERROR(Inv_SY_B!BI24/Inv_SY_B!$BY24-1,"")</f>
        <v>2.7461091416272065E-2</v>
      </c>
      <c r="BJ24" s="184">
        <f>IFERROR(Inv_SY_B!BJ24/Inv_SY_B!$BY24-1,"")</f>
        <v>2.2788535345856342E-2</v>
      </c>
      <c r="BK24" s="184">
        <f>IFERROR(Inv_SY_B!BK24/Inv_SY_B!$BY24-1,"")</f>
        <v>3.5703042493238302E-2</v>
      </c>
      <c r="BL24" s="184">
        <f>IFERROR(Inv_SY_B!BL24/Inv_SY_B!$BY24-1,"")</f>
        <v>2.6786845084052713E-2</v>
      </c>
      <c r="BM24" s="184">
        <f>IFERROR(Inv_SY_B!BM24/Inv_SY_B!$BY24-1,"")</f>
        <v>-1.5187787158231658E-2</v>
      </c>
      <c r="BN24" s="184">
        <f>IFERROR(Inv_SY_B!BN24/Inv_SY_B!$BY24-1,"")</f>
        <v>1.1680567632518013E-2</v>
      </c>
      <c r="BO24" s="184">
        <f>IFERROR(Inv_SY_B!BO24/Inv_SY_B!$BY24-1,"")</f>
        <v>-6.0187711664572374E-2</v>
      </c>
      <c r="BP24" s="184">
        <f>IFERROR(Inv_SY_B!BP24/Inv_SY_B!$BY24-1,"")</f>
        <v>1.7138493668041654E-2</v>
      </c>
      <c r="BQ24" s="184">
        <f>IFERROR(Inv_SY_B!BQ24/Inv_SY_B!$BY24-1,"")</f>
        <v>-9.1020178353612091E-2</v>
      </c>
      <c r="BR24" s="184">
        <f>IFERROR(Inv_SY_B!BR24/Inv_SY_B!$BY24-1,"")</f>
        <v>1.4813545222476909E-2</v>
      </c>
      <c r="BS24" s="184">
        <f>IFERROR(Inv_SY_B!BS24/Inv_SY_B!$BY24-1,"")</f>
        <v>-3.1472595469254294E-2</v>
      </c>
      <c r="BT24" s="184">
        <f>IFERROR(Inv_SY_B!BT24/Inv_SY_B!$BY24-1,"")</f>
        <v>2.324237112938099E-2</v>
      </c>
      <c r="BU24" s="184">
        <f>IFERROR(Inv_SY_B!BU24/Inv_SY_B!$BY24-1,"")</f>
        <v>4.887571156957593E-3</v>
      </c>
      <c r="BV24" s="184">
        <f>IFERROR(Inv_SY_B!BV24/Inv_SY_B!$BY24-1,"")</f>
        <v>4.2913517149223424E-2</v>
      </c>
      <c r="BW24" s="184">
        <f>IFERROR(Inv_SY_B!BW24/Inv_SY_B!$BY24-1,"")</f>
        <v>1.142474647697922E-2</v>
      </c>
      <c r="BX24" s="184">
        <f>IFERROR(Inv_SY_B!BX24/Inv_SY_B!$BY24-1,"")</f>
        <v>1.1145595285766419E-3</v>
      </c>
    </row>
    <row r="25" spans="1:76">
      <c r="A25"/>
      <c r="B25" s="179">
        <f t="shared" si="1"/>
        <v>45843</v>
      </c>
      <c r="C25" s="184">
        <f>IFERROR(Inv_SY_B!C25/Inv_SY_B!$BY25-1,"")</f>
        <v>7.1412705381257435E-3</v>
      </c>
      <c r="D25" s="184">
        <f>IFERROR(Inv_SY_B!D25/Inv_SY_B!$BY25-1,"")</f>
        <v>1.004146137253259E-2</v>
      </c>
      <c r="E25" s="184">
        <f>IFERROR(Inv_SY_B!E25/Inv_SY_B!$BY25-1,"")</f>
        <v>-1.5758820034412757E-3</v>
      </c>
      <c r="F25" s="184">
        <f>IFERROR(Inv_SY_B!F25/Inv_SY_B!$BY25-1,"")</f>
        <v>-2.5692064557418681E-2</v>
      </c>
      <c r="G25" s="184">
        <f>IFERROR(Inv_SY_B!G25/Inv_SY_B!$BY25-1,"")</f>
        <v>-2.1968796288760029E-2</v>
      </c>
      <c r="H25" s="184">
        <f>IFERROR(Inv_SY_B!H25/Inv_SY_B!$BY25-1,"")</f>
        <v>-1.8723198608019631E-2</v>
      </c>
      <c r="I25" s="184">
        <f>IFERROR(Inv_SY_B!I25/Inv_SY_B!$BY25-1,"")</f>
        <v>7.3700263801281807E-3</v>
      </c>
      <c r="J25" s="184">
        <f>IFERROR(Inv_SY_B!J25/Inv_SY_B!$BY25-1,"")</f>
        <v>-8.0539422795348203E-3</v>
      </c>
      <c r="K25" s="184">
        <f>IFERROR(Inv_SY_B!K25/Inv_SY_B!$BY25-1,"")</f>
        <v>8.0983089333375169E-4</v>
      </c>
      <c r="L25" s="184">
        <f>IFERROR(Inv_SY_B!L25/Inv_SY_B!$BY25-1,"")</f>
        <v>7.3785760951714519E-3</v>
      </c>
      <c r="M25" s="184">
        <f>IFERROR(Inv_SY_B!M25/Inv_SY_B!$BY25-1,"")</f>
        <v>3.1169938285000809E-2</v>
      </c>
      <c r="N25" s="184">
        <f>IFERROR(Inv_SY_B!N25/Inv_SY_B!$BY25-1,"")</f>
        <v>7.3927983032551214E-3</v>
      </c>
      <c r="O25" s="184">
        <f>IFERROR(Inv_SY_B!O25/Inv_SY_B!$BY25-1,"")</f>
        <v>6.0253727944042268E-2</v>
      </c>
      <c r="P25" s="184">
        <f>IFERROR(Inv_SY_B!P25/Inv_SY_B!$BY25-1,"")</f>
        <v>-2.387276935257221E-2</v>
      </c>
      <c r="Q25" s="184">
        <f>IFERROR(Inv_SY_B!Q25/Inv_SY_B!$BY25-1,"")</f>
        <v>5.5039996748975639E-3</v>
      </c>
      <c r="R25" s="184">
        <f>IFERROR(Inv_SY_B!R25/Inv_SY_B!$BY25-1,"")</f>
        <v>1.2239039239445137E-2</v>
      </c>
      <c r="S25" s="184">
        <f>IFERROR(Inv_SY_B!S25/Inv_SY_B!$BY25-1,"")</f>
        <v>-7.4232819127550198E-2</v>
      </c>
      <c r="T25" s="184">
        <f>IFERROR(Inv_SY_B!T25/Inv_SY_B!$BY25-1,"")</f>
        <v>-6.8141938399248203E-2</v>
      </c>
      <c r="U25" s="184">
        <f>IFERROR(Inv_SY_B!U25/Inv_SY_B!$BY25-1,"")</f>
        <v>-6.6222545803342969E-2</v>
      </c>
      <c r="V25" s="184">
        <f>IFERROR(Inv_SY_B!V25/Inv_SY_B!$BY25-1,"")</f>
        <v>-5.9486976684535176E-2</v>
      </c>
      <c r="W25" s="184">
        <f>IFERROR(Inv_SY_B!W25/Inv_SY_B!$BY25-1,"")</f>
        <v>-7.6596899175771505E-3</v>
      </c>
      <c r="X25" s="184">
        <f>IFERROR(Inv_SY_B!X25/Inv_SY_B!$BY25-1,"")</f>
        <v>-1.6957955092223309E-2</v>
      </c>
      <c r="Y25" s="184">
        <f>IFERROR(Inv_SY_B!Y25/Inv_SY_B!$BY25-1,"")</f>
        <v>1.7953032683609926E-2</v>
      </c>
      <c r="Z25" s="184">
        <f>IFERROR(Inv_SY_B!Z25/Inv_SY_B!$BY25-1,"")</f>
        <v>1.1800352793641888E-2</v>
      </c>
      <c r="AA25" s="184">
        <f>IFERROR(Inv_SY_B!AA25/Inv_SY_B!$BY25-1,"")</f>
        <v>-0.34403376664503849</v>
      </c>
      <c r="AB25" s="184">
        <f>IFERROR(Inv_SY_B!AB25/Inv_SY_B!$BY25-1,"")</f>
        <v>-0.34942537359271841</v>
      </c>
      <c r="AC25" s="184">
        <f>IFERROR(Inv_SY_B!AC25/Inv_SY_B!$BY25-1,"")</f>
        <v>8.1634392467540007E-3</v>
      </c>
      <c r="AD25" s="184">
        <f>IFERROR(Inv_SY_B!AD25/Inv_SY_B!$BY25-1,"")</f>
        <v>-3.6596187387082368E-3</v>
      </c>
      <c r="AE25" s="184">
        <f>IFERROR(Inv_SY_B!AE25/Inv_SY_B!$BY25-1,"")</f>
        <v>1.9913726424238609E-2</v>
      </c>
      <c r="AF25" s="184">
        <f>IFERROR(Inv_SY_B!AF25/Inv_SY_B!$BY25-1,"")</f>
        <v>7.0647134415675605E-3</v>
      </c>
      <c r="AG25" s="184">
        <f>IFERROR(Inv_SY_B!AG25/Inv_SY_B!$BY25-1,"")</f>
        <v>1.074057259188832E-2</v>
      </c>
      <c r="AH25" s="184">
        <f>IFERROR(Inv_SY_B!AH25/Inv_SY_B!$BY25-1,"")</f>
        <v>1.12472800305774E-3</v>
      </c>
      <c r="AI25" s="184">
        <f>IFERROR(Inv_SY_B!AI25/Inv_SY_B!$BY25-1,"")</f>
        <v>1.8812919963028918E-2</v>
      </c>
      <c r="AJ25" s="184">
        <f>IFERROR(Inv_SY_B!AJ25/Inv_SY_B!$BY25-1,"")</f>
        <v>2.2941338076530204E-2</v>
      </c>
      <c r="AK25" s="184">
        <f>IFERROR(Inv_SY_B!AK25/Inv_SY_B!$BY25-1,"")</f>
        <v>1.653345634655401E-2</v>
      </c>
      <c r="AL25" s="184">
        <f>IFERROR(Inv_SY_B!AL25/Inv_SY_B!$BY25-1,"")</f>
        <v>2.3490214647636121E-2</v>
      </c>
      <c r="AM25" s="184">
        <f>IFERROR(Inv_SY_B!AM25/Inv_SY_B!$BY25-1,"")</f>
        <v>1.5654064727967265E-2</v>
      </c>
      <c r="AN25" s="184">
        <f>IFERROR(Inv_SY_B!AN25/Inv_SY_B!$BY25-1,"")</f>
        <v>2.2638566865855525E-2</v>
      </c>
      <c r="AO25" s="184">
        <f>IFERROR(Inv_SY_B!AO25/Inv_SY_B!$BY25-1,"")</f>
        <v>2.2772884214660838E-2</v>
      </c>
      <c r="AP25" s="184">
        <f>IFERROR(Inv_SY_B!AP25/Inv_SY_B!$BY25-1,"")</f>
        <v>1.114100180810107E-2</v>
      </c>
      <c r="AQ25" s="184">
        <f>IFERROR(Inv_SY_B!AQ25/Inv_SY_B!$BY25-1,"")</f>
        <v>1.3750844288172859E-2</v>
      </c>
      <c r="AR25" s="184">
        <f>IFERROR(Inv_SY_B!AR25/Inv_SY_B!$BY25-1,"")</f>
        <v>1.1315755748231293E-2</v>
      </c>
      <c r="AS25" s="184">
        <f>IFERROR(Inv_SY_B!AS25/Inv_SY_B!$BY25-1,"")</f>
        <v>1.8708142756807877E-2</v>
      </c>
      <c r="AT25" s="184">
        <f>IFERROR(Inv_SY_B!AT25/Inv_SY_B!$BY25-1,"")</f>
        <v>4.1273678002554659E-2</v>
      </c>
      <c r="AU25" s="184">
        <f>IFERROR(Inv_SY_B!AU25/Inv_SY_B!$BY25-1,"")</f>
        <v>4.532612257529145E-2</v>
      </c>
      <c r="AV25" s="184">
        <f>IFERROR(Inv_SY_B!AV25/Inv_SY_B!$BY25-1,"")</f>
        <v>3.6071905535648652E-2</v>
      </c>
      <c r="AW25" s="184">
        <f>IFERROR(Inv_SY_B!AW25/Inv_SY_B!$BY25-1,"")</f>
        <v>-7.1663789426756885E-4</v>
      </c>
      <c r="AX25" s="184">
        <f>IFERROR(Inv_SY_B!AX25/Inv_SY_B!$BY25-1,"")</f>
        <v>2.256334533469051E-2</v>
      </c>
      <c r="AY25" s="184">
        <f>IFERROR(Inv_SY_B!AY25/Inv_SY_B!$BY25-1,"")</f>
        <v>-0.54053296185875399</v>
      </c>
      <c r="AZ25" s="184">
        <f>IFERROR(Inv_SY_B!AZ25/Inv_SY_B!$BY25-1,"")</f>
        <v>-0.99677134180443039</v>
      </c>
      <c r="BA25" s="184">
        <f>IFERROR(Inv_SY_B!BA25/Inv_SY_B!$BY25-1,"")</f>
        <v>1.5796766988205535E-2</v>
      </c>
      <c r="BB25" s="184">
        <f>IFERROR(Inv_SY_B!BB25/Inv_SY_B!$BY25-1,"")</f>
        <v>2.5994872496917676E-2</v>
      </c>
      <c r="BC25" s="184">
        <f>IFERROR(Inv_SY_B!BC25/Inv_SY_B!$BY25-1,"")</f>
        <v>3.5414540028204433E-2</v>
      </c>
      <c r="BD25" s="184">
        <f>IFERROR(Inv_SY_B!BD25/Inv_SY_B!$BY25-1,"")</f>
        <v>5.3386213900993296E-2</v>
      </c>
      <c r="BE25" s="184">
        <f>IFERROR(Inv_SY_B!BE25/Inv_SY_B!$BY25-1,"")</f>
        <v>5.1559885509008918E-2</v>
      </c>
      <c r="BF25" s="184">
        <f>IFERROR(Inv_SY_B!BF25/Inv_SY_B!$BY25-1,"")</f>
        <v>2.7310689804043831E-2</v>
      </c>
      <c r="BG25" s="184">
        <f>IFERROR(Inv_SY_B!BG25/Inv_SY_B!$BY25-1,"")</f>
        <v>7.4429504965060733E-2</v>
      </c>
      <c r="BH25" s="184">
        <f>IFERROR(Inv_SY_B!BH25/Inv_SY_B!$BY25-1,"")</f>
        <v>6.6136629743125841E-2</v>
      </c>
      <c r="BI25" s="184">
        <f>IFERROR(Inv_SY_B!BI25/Inv_SY_B!$BY25-1,"")</f>
        <v>5.9467531099770543E-2</v>
      </c>
      <c r="BJ25" s="184">
        <f>IFERROR(Inv_SY_B!BJ25/Inv_SY_B!$BY25-1,"")</f>
        <v>7.4938896738858229E-2</v>
      </c>
      <c r="BK25" s="184">
        <f>IFERROR(Inv_SY_B!BK25/Inv_SY_B!$BY25-1,"")</f>
        <v>6.9490389489798687E-2</v>
      </c>
      <c r="BL25" s="184">
        <f>IFERROR(Inv_SY_B!BL25/Inv_SY_B!$BY25-1,"")</f>
        <v>5.9540324666449873E-2</v>
      </c>
      <c r="BM25" s="184">
        <f>IFERROR(Inv_SY_B!BM25/Inv_SY_B!$BY25-1,"")</f>
        <v>3.74642460808845E-2</v>
      </c>
      <c r="BN25" s="184">
        <f>IFERROR(Inv_SY_B!BN25/Inv_SY_B!$BY25-1,"")</f>
        <v>6.838459516276707E-2</v>
      </c>
      <c r="BO25" s="184">
        <f>IFERROR(Inv_SY_B!BO25/Inv_SY_B!$BY25-1,"")</f>
        <v>-5.3041135934813743E-3</v>
      </c>
      <c r="BP25" s="184">
        <f>IFERROR(Inv_SY_B!BP25/Inv_SY_B!$BY25-1,"")</f>
        <v>6.6515519190381456E-2</v>
      </c>
      <c r="BQ25" s="184">
        <f>IFERROR(Inv_SY_B!BQ25/Inv_SY_B!$BY25-1,"")</f>
        <v>1.5764204953987893E-2</v>
      </c>
      <c r="BR25" s="184">
        <f>IFERROR(Inv_SY_B!BR25/Inv_SY_B!$BY25-1,"")</f>
        <v>4.0140805248825462E-2</v>
      </c>
      <c r="BS25" s="184">
        <f>IFERROR(Inv_SY_B!BS25/Inv_SY_B!$BY25-1,"")</f>
        <v>-1.8178265343784861E-2</v>
      </c>
      <c r="BT25" s="184">
        <f>IFERROR(Inv_SY_B!BT25/Inv_SY_B!$BY25-1,"")</f>
        <v>4.178752853187695E-2</v>
      </c>
      <c r="BU25" s="184">
        <f>IFERROR(Inv_SY_B!BU25/Inv_SY_B!$BY25-1,"")</f>
        <v>2.6856130990580374E-2</v>
      </c>
      <c r="BV25" s="184">
        <f>IFERROR(Inv_SY_B!BV25/Inv_SY_B!$BY25-1,"")</f>
        <v>9.2912663771816062E-2</v>
      </c>
      <c r="BW25" s="184">
        <f>IFERROR(Inv_SY_B!BW25/Inv_SY_B!$BY25-1,"")</f>
        <v>4.5176035527878744E-2</v>
      </c>
      <c r="BX25" s="184">
        <f>IFERROR(Inv_SY_B!BX25/Inv_SY_B!$BY25-1,"")</f>
        <v>3.6915866089144433E-2</v>
      </c>
    </row>
    <row r="26" spans="1:76">
      <c r="A26"/>
      <c r="B26" s="179">
        <f t="shared" si="1"/>
        <v>45844</v>
      </c>
      <c r="C26" s="184">
        <f>IFERROR(Inv_SY_B!C26/Inv_SY_B!$BY26-1,"")</f>
        <v>2.5310936644133974E-3</v>
      </c>
      <c r="D26" s="184">
        <f>IFERROR(Inv_SY_B!D26/Inv_SY_B!$BY26-1,"")</f>
        <v>-3.2589933503418544E-3</v>
      </c>
      <c r="E26" s="184">
        <f>IFERROR(Inv_SY_B!E26/Inv_SY_B!$BY26-1,"")</f>
        <v>-7.683170868898026E-3</v>
      </c>
      <c r="F26" s="184">
        <f>IFERROR(Inv_SY_B!F26/Inv_SY_B!$BY26-1,"")</f>
        <v>-3.5854525003984339E-3</v>
      </c>
      <c r="G26" s="184">
        <f>IFERROR(Inv_SY_B!G26/Inv_SY_B!$BY26-1,"")</f>
        <v>9.6104789485580433E-3</v>
      </c>
      <c r="H26" s="184">
        <f>IFERROR(Inv_SY_B!H26/Inv_SY_B!$BY26-1,"")</f>
        <v>5.1808780702720103E-3</v>
      </c>
      <c r="I26" s="184">
        <f>IFERROR(Inv_SY_B!I26/Inv_SY_B!$BY26-1,"")</f>
        <v>1.5370415202122789E-2</v>
      </c>
      <c r="J26" s="184">
        <f>IFERROR(Inv_SY_B!J26/Inv_SY_B!$BY26-1,"")</f>
        <v>5.2249088813238753E-3</v>
      </c>
      <c r="K26" s="184">
        <f>IFERROR(Inv_SY_B!K26/Inv_SY_B!$BY26-1,"")</f>
        <v>-9.3870437102678839E-3</v>
      </c>
      <c r="L26" s="184">
        <f>IFERROR(Inv_SY_B!L26/Inv_SY_B!$BY26-1,"")</f>
        <v>1.8315634627374289E-2</v>
      </c>
      <c r="M26" s="184">
        <f>IFERROR(Inv_SY_B!M26/Inv_SY_B!$BY26-1,"")</f>
        <v>3.4827720578639587E-2</v>
      </c>
      <c r="N26" s="184">
        <f>IFERROR(Inv_SY_B!N26/Inv_SY_B!$BY26-1,"")</f>
        <v>-1.1685548980444604E-4</v>
      </c>
      <c r="O26" s="184">
        <f>IFERROR(Inv_SY_B!O26/Inv_SY_B!$BY26-1,"")</f>
        <v>4.9912224643327452E-2</v>
      </c>
      <c r="P26" s="184">
        <f>IFERROR(Inv_SY_B!P26/Inv_SY_B!$BY26-1,"")</f>
        <v>-2.9773191588147063E-2</v>
      </c>
      <c r="Q26" s="184">
        <f>IFERROR(Inv_SY_B!Q26/Inv_SY_B!$BY26-1,"")</f>
        <v>1.1430453976060129E-3</v>
      </c>
      <c r="R26" s="184">
        <f>IFERROR(Inv_SY_B!R26/Inv_SY_B!$BY26-1,"")</f>
        <v>-1.5415428800110709E-3</v>
      </c>
      <c r="S26" s="184">
        <f>IFERROR(Inv_SY_B!S26/Inv_SY_B!$BY26-1,"")</f>
        <v>-1.336384422685688E-3</v>
      </c>
      <c r="T26" s="184">
        <f>IFERROR(Inv_SY_B!T26/Inv_SY_B!$BY26-1,"")</f>
        <v>-8.8233409268556606E-5</v>
      </c>
      <c r="U26" s="184">
        <f>IFERROR(Inv_SY_B!U26/Inv_SY_B!$BY26-1,"")</f>
        <v>7.5529481534606369E-3</v>
      </c>
      <c r="V26" s="184">
        <f>IFERROR(Inv_SY_B!V26/Inv_SY_B!$BY26-1,"")</f>
        <v>9.6207400475003535E-3</v>
      </c>
      <c r="W26" s="184">
        <f>IFERROR(Inv_SY_B!W26/Inv_SY_B!$BY26-1,"")</f>
        <v>-2.3994765400279228E-2</v>
      </c>
      <c r="X26" s="184">
        <f>IFERROR(Inv_SY_B!X26/Inv_SY_B!$BY26-1,"")</f>
        <v>-2.7486519113621211E-2</v>
      </c>
      <c r="Y26" s="184">
        <f>IFERROR(Inv_SY_B!Y26/Inv_SY_B!$BY26-1,"")</f>
        <v>8.5853766289187838E-3</v>
      </c>
      <c r="Z26" s="184">
        <f>IFERROR(Inv_SY_B!Z26/Inv_SY_B!$BY26-1,"")</f>
        <v>1.396359742521458E-2</v>
      </c>
      <c r="AA26" s="184">
        <f>IFERROR(Inv_SY_B!AA26/Inv_SY_B!$BY26-1,"")</f>
        <v>-7.3554537216641291E-3</v>
      </c>
      <c r="AB26" s="184">
        <f>IFERROR(Inv_SY_B!AB26/Inv_SY_B!$BY26-1,"")</f>
        <v>-9.8447161602376321E-3</v>
      </c>
      <c r="AC26" s="184">
        <f>IFERROR(Inv_SY_B!AC26/Inv_SY_B!$BY26-1,"")</f>
        <v>-3.7372068664620617E-4</v>
      </c>
      <c r="AD26" s="184">
        <f>IFERROR(Inv_SY_B!AD26/Inv_SY_B!$BY26-1,"")</f>
        <v>-6.9483325519160699E-3</v>
      </c>
      <c r="AE26" s="184">
        <f>IFERROR(Inv_SY_B!AE26/Inv_SY_B!$BY26-1,"")</f>
        <v>4.8945523691976245E-2</v>
      </c>
      <c r="AF26" s="184">
        <f>IFERROR(Inv_SY_B!AF26/Inv_SY_B!$BY26-1,"")</f>
        <v>3.4623677011791143E-2</v>
      </c>
      <c r="AG26" s="184">
        <f>IFERROR(Inv_SY_B!AG26/Inv_SY_B!$BY26-1,"")</f>
        <v>3.4739115481594807E-2</v>
      </c>
      <c r="AH26" s="184">
        <f>IFERROR(Inv_SY_B!AH26/Inv_SY_B!$BY26-1,"")</f>
        <v>2.9969820361278821E-2</v>
      </c>
      <c r="AI26" s="184">
        <f>IFERROR(Inv_SY_B!AI26/Inv_SY_B!$BY26-1,"")</f>
        <v>3.8121442981000841E-2</v>
      </c>
      <c r="AJ26" s="184">
        <f>IFERROR(Inv_SY_B!AJ26/Inv_SY_B!$BY26-1,"")</f>
        <v>3.7180392964445197E-2</v>
      </c>
      <c r="AK26" s="184">
        <f>IFERROR(Inv_SY_B!AK26/Inv_SY_B!$BY26-1,"")</f>
        <v>2.8165357440116612E-2</v>
      </c>
      <c r="AL26" s="184">
        <f>IFERROR(Inv_SY_B!AL26/Inv_SY_B!$BY26-1,"")</f>
        <v>3.6015323265501387E-2</v>
      </c>
      <c r="AM26" s="184">
        <f>IFERROR(Inv_SY_B!AM26/Inv_SY_B!$BY26-1,"")</f>
        <v>2.551424582237094E-2</v>
      </c>
      <c r="AN26" s="184">
        <f>IFERROR(Inv_SY_B!AN26/Inv_SY_B!$BY26-1,"")</f>
        <v>3.3269519758922561E-2</v>
      </c>
      <c r="AO26" s="184">
        <f>IFERROR(Inv_SY_B!AO26/Inv_SY_B!$BY26-1,"")</f>
        <v>3.8098811221243922E-2</v>
      </c>
      <c r="AP26" s="184">
        <f>IFERROR(Inv_SY_B!AP26/Inv_SY_B!$BY26-1,"")</f>
        <v>3.3553595727294327E-2</v>
      </c>
      <c r="AQ26" s="184">
        <f>IFERROR(Inv_SY_B!AQ26/Inv_SY_B!$BY26-1,"")</f>
        <v>3.3361361953200719E-2</v>
      </c>
      <c r="AR26" s="184">
        <f>IFERROR(Inv_SY_B!AR26/Inv_SY_B!$BY26-1,"")</f>
        <v>2.8380123802240309E-2</v>
      </c>
      <c r="AS26" s="184">
        <f>IFERROR(Inv_SY_B!AS26/Inv_SY_B!$BY26-1,"")</f>
        <v>2.6073138986812072E-2</v>
      </c>
      <c r="AT26" s="184">
        <f>IFERROR(Inv_SY_B!AT26/Inv_SY_B!$BY26-1,"")</f>
        <v>3.0177507555117833E-2</v>
      </c>
      <c r="AU26" s="184">
        <f>IFERROR(Inv_SY_B!AU26/Inv_SY_B!$BY26-1,"")</f>
        <v>2.9001864729482962E-2</v>
      </c>
      <c r="AV26" s="184">
        <f>IFERROR(Inv_SY_B!AV26/Inv_SY_B!$BY26-1,"")</f>
        <v>2.3029217090091203E-2</v>
      </c>
      <c r="AW26" s="184">
        <f>IFERROR(Inv_SY_B!AW26/Inv_SY_B!$BY26-1,"")</f>
        <v>-0.14986284464018107</v>
      </c>
      <c r="AX26" s="184">
        <f>IFERROR(Inv_SY_B!AX26/Inv_SY_B!$BY26-1,"")</f>
        <v>-0.12864711207701207</v>
      </c>
      <c r="AY26" s="184">
        <f>IFERROR(Inv_SY_B!AY26/Inv_SY_B!$BY26-1,"")</f>
        <v>-0.4251074948952005</v>
      </c>
      <c r="AZ26" s="184">
        <f>IFERROR(Inv_SY_B!AZ26/Inv_SY_B!$BY26-1,"")</f>
        <v>-0.99248866484661169</v>
      </c>
      <c r="BA26" s="184">
        <f>IFERROR(Inv_SY_B!BA26/Inv_SY_B!$BY26-1,"")</f>
        <v>-9.2855277349639387E-3</v>
      </c>
      <c r="BB26" s="184">
        <f>IFERROR(Inv_SY_B!BB26/Inv_SY_B!$BY26-1,"")</f>
        <v>1.4183402363912689E-2</v>
      </c>
      <c r="BC26" s="184">
        <f>IFERROR(Inv_SY_B!BC26/Inv_SY_B!$BY26-1,"")</f>
        <v>-1.8575694518486729E-3</v>
      </c>
      <c r="BD26" s="184">
        <f>IFERROR(Inv_SY_B!BD26/Inv_SY_B!$BY26-1,"")</f>
        <v>1.9451589399394509E-2</v>
      </c>
      <c r="BE26" s="184">
        <f>IFERROR(Inv_SY_B!BE26/Inv_SY_B!$BY26-1,"")</f>
        <v>6.6560670429951507E-3</v>
      </c>
      <c r="BF26" s="184">
        <f>IFERROR(Inv_SY_B!BF26/Inv_SY_B!$BY26-1,"")</f>
        <v>-2.0873117107738315E-2</v>
      </c>
      <c r="BG26" s="184">
        <f>IFERROR(Inv_SY_B!BG26/Inv_SY_B!$BY26-1,"")</f>
        <v>1.8451729872326572E-2</v>
      </c>
      <c r="BH26" s="184">
        <f>IFERROR(Inv_SY_B!BH26/Inv_SY_B!$BY26-1,"")</f>
        <v>1.2382834184382574E-2</v>
      </c>
      <c r="BI26" s="184">
        <f>IFERROR(Inv_SY_B!BI26/Inv_SY_B!$BY26-1,"")</f>
        <v>8.7421848550273129E-3</v>
      </c>
      <c r="BJ26" s="184">
        <f>IFERROR(Inv_SY_B!BJ26/Inv_SY_B!$BY26-1,"")</f>
        <v>1.7478736769349634E-2</v>
      </c>
      <c r="BK26" s="184">
        <f>IFERROR(Inv_SY_B!BK26/Inv_SY_B!$BY26-1,"")</f>
        <v>2.0812164486409435E-2</v>
      </c>
      <c r="BL26" s="184">
        <f>IFERROR(Inv_SY_B!BL26/Inv_SY_B!$BY26-1,"")</f>
        <v>1.0320510696043561E-2</v>
      </c>
      <c r="BM26" s="184">
        <f>IFERROR(Inv_SY_B!BM26/Inv_SY_B!$BY26-1,"")</f>
        <v>-6.4936855036223928E-4</v>
      </c>
      <c r="BN26" s="184">
        <f>IFERROR(Inv_SY_B!BN26/Inv_SY_B!$BY26-1,"")</f>
        <v>2.0200821946646963E-2</v>
      </c>
      <c r="BO26" s="184">
        <f>IFERROR(Inv_SY_B!BO26/Inv_SY_B!$BY26-1,"")</f>
        <v>-0.1225115657316691</v>
      </c>
      <c r="BP26" s="184">
        <f>IFERROR(Inv_SY_B!BP26/Inv_SY_B!$BY26-1,"")</f>
        <v>1.843381908716224E-2</v>
      </c>
      <c r="BQ26" s="184">
        <f>IFERROR(Inv_SY_B!BQ26/Inv_SY_B!$BY26-1,"")</f>
        <v>-4.7302376428548509E-4</v>
      </c>
      <c r="BR26" s="184">
        <f>IFERROR(Inv_SY_B!BR26/Inv_SY_B!$BY26-1,"")</f>
        <v>1.5844764947487766E-2</v>
      </c>
      <c r="BS26" s="184">
        <f>IFERROR(Inv_SY_B!BS26/Inv_SY_B!$BY26-1,"")</f>
        <v>-2.7035183758871817E-2</v>
      </c>
      <c r="BT26" s="184">
        <f>IFERROR(Inv_SY_B!BT26/Inv_SY_B!$BY26-1,"")</f>
        <v>2.3863546049117668E-2</v>
      </c>
      <c r="BU26" s="184">
        <f>IFERROR(Inv_SY_B!BU26/Inv_SY_B!$BY26-1,"")</f>
        <v>-2.5362965832742557E-4</v>
      </c>
      <c r="BV26" s="184">
        <f>IFERROR(Inv_SY_B!BV26/Inv_SY_B!$BY26-1,"")</f>
        <v>1.676250473655494E-2</v>
      </c>
      <c r="BW26" s="184">
        <f>IFERROR(Inv_SY_B!BW26/Inv_SY_B!$BY26-1,"")</f>
        <v>1.4983879167329128E-2</v>
      </c>
      <c r="BX26" s="184">
        <f>IFERROR(Inv_SY_B!BX26/Inv_SY_B!$BY26-1,"")</f>
        <v>1.0703155507296946E-2</v>
      </c>
    </row>
    <row r="27" spans="1:76">
      <c r="A27"/>
      <c r="B27" s="179">
        <f t="shared" si="1"/>
        <v>45845</v>
      </c>
      <c r="C27" s="184">
        <f>IFERROR(Inv_SY_B!C27/Inv_SY_B!$BY27-1,"")</f>
        <v>1.4154291986815615E-2</v>
      </c>
      <c r="D27" s="184">
        <f>IFERROR(Inv_SY_B!D27/Inv_SY_B!$BY27-1,"")</f>
        <v>9.0880148050269671E-3</v>
      </c>
      <c r="E27" s="184">
        <f>IFERROR(Inv_SY_B!E27/Inv_SY_B!$BY27-1,"")</f>
        <v>-2.1967090466675776E-3</v>
      </c>
      <c r="F27" s="184">
        <f>IFERROR(Inv_SY_B!F27/Inv_SY_B!$BY27-1,"")</f>
        <v>-1.0320710101271113E-2</v>
      </c>
      <c r="G27" s="184">
        <f>IFERROR(Inv_SY_B!G27/Inv_SY_B!$BY27-1,"")</f>
        <v>-3.5221678050778582E-4</v>
      </c>
      <c r="H27" s="184">
        <f>IFERROR(Inv_SY_B!H27/Inv_SY_B!$BY27-1,"")</f>
        <v>5.6473808122881053E-4</v>
      </c>
      <c r="I27" s="184">
        <f>IFERROR(Inv_SY_B!I27/Inv_SY_B!$BY27-1,"")</f>
        <v>1.5205417986366765E-2</v>
      </c>
      <c r="J27" s="184">
        <f>IFERROR(Inv_SY_B!J27/Inv_SY_B!$BY27-1,"")</f>
        <v>1.777127795867095E-2</v>
      </c>
      <c r="K27" s="184">
        <f>IFERROR(Inv_SY_B!K27/Inv_SY_B!$BY27-1,"")</f>
        <v>5.8688203916783532E-3</v>
      </c>
      <c r="L27" s="184">
        <f>IFERROR(Inv_SY_B!L27/Inv_SY_B!$BY27-1,"")</f>
        <v>2.2736691867069281E-2</v>
      </c>
      <c r="M27" s="184">
        <f>IFERROR(Inv_SY_B!M27/Inv_SY_B!$BY27-1,"")</f>
        <v>3.9721140571055802E-2</v>
      </c>
      <c r="N27" s="184">
        <f>IFERROR(Inv_SY_B!N27/Inv_SY_B!$BY27-1,"")</f>
        <v>1.171185997442592E-2</v>
      </c>
      <c r="O27" s="184">
        <f>IFERROR(Inv_SY_B!O27/Inv_SY_B!$BY27-1,"")</f>
        <v>6.1095946868431561E-2</v>
      </c>
      <c r="P27" s="184">
        <f>IFERROR(Inv_SY_B!P27/Inv_SY_B!$BY27-1,"")</f>
        <v>-1.8726584250916667E-2</v>
      </c>
      <c r="Q27" s="184">
        <f>IFERROR(Inv_SY_B!Q27/Inv_SY_B!$BY27-1,"")</f>
        <v>1.1079299584422442E-2</v>
      </c>
      <c r="R27" s="184">
        <f>IFERROR(Inv_SY_B!R27/Inv_SY_B!$BY27-1,"")</f>
        <v>1.1934983316188807E-2</v>
      </c>
      <c r="S27" s="184">
        <f>IFERROR(Inv_SY_B!S27/Inv_SY_B!$BY27-1,"")</f>
        <v>2.7768173559953757E-2</v>
      </c>
      <c r="T27" s="184">
        <f>IFERROR(Inv_SY_B!T27/Inv_SY_B!$BY27-1,"")</f>
        <v>4.205007212431533E-2</v>
      </c>
      <c r="U27" s="184">
        <f>IFERROR(Inv_SY_B!U27/Inv_SY_B!$BY27-1,"")</f>
        <v>3.8319919837284777E-2</v>
      </c>
      <c r="V27" s="184">
        <f>IFERROR(Inv_SY_B!V27/Inv_SY_B!$BY27-1,"")</f>
        <v>4.425438714151575E-2</v>
      </c>
      <c r="W27" s="184">
        <f>IFERROR(Inv_SY_B!W27/Inv_SY_B!$BY27-1,"")</f>
        <v>9.7532984590089633E-3</v>
      </c>
      <c r="X27" s="184">
        <f>IFERROR(Inv_SY_B!X27/Inv_SY_B!$BY27-1,"")</f>
        <v>-3.4523306230310746E-3</v>
      </c>
      <c r="Y27" s="184">
        <f>IFERROR(Inv_SY_B!Y27/Inv_SY_B!$BY27-1,"")</f>
        <v>3.6186321133613752E-2</v>
      </c>
      <c r="Z27" s="184">
        <f>IFERROR(Inv_SY_B!Z27/Inv_SY_B!$BY27-1,"")</f>
        <v>3.6869985627854041E-2</v>
      </c>
      <c r="AA27" s="184">
        <f>IFERROR(Inv_SY_B!AA27/Inv_SY_B!$BY27-1,"")</f>
        <v>2.5582856365266915E-2</v>
      </c>
      <c r="AB27" s="184">
        <f>IFERROR(Inv_SY_B!AB27/Inv_SY_B!$BY27-1,"")</f>
        <v>2.8188723836920504E-2</v>
      </c>
      <c r="AC27" s="184">
        <f>IFERROR(Inv_SY_B!AC27/Inv_SY_B!$BY27-1,"")</f>
        <v>3.1790632884547421E-2</v>
      </c>
      <c r="AD27" s="184">
        <f>IFERROR(Inv_SY_B!AD27/Inv_SY_B!$BY27-1,"")</f>
        <v>2.0912052034137263E-2</v>
      </c>
      <c r="AE27" s="184">
        <f>IFERROR(Inv_SY_B!AE27/Inv_SY_B!$BY27-1,"")</f>
        <v>2.5481364661787964E-2</v>
      </c>
      <c r="AF27" s="184">
        <f>IFERROR(Inv_SY_B!AF27/Inv_SY_B!$BY27-1,"")</f>
        <v>1.5831920907426911E-2</v>
      </c>
      <c r="AG27" s="184">
        <f>IFERROR(Inv_SY_B!AG27/Inv_SY_B!$BY27-1,"")</f>
        <v>1.7817944201677927E-2</v>
      </c>
      <c r="AH27" s="184">
        <f>IFERROR(Inv_SY_B!AH27/Inv_SY_B!$BY27-1,"")</f>
        <v>1.1665128884338349E-2</v>
      </c>
      <c r="AI27" s="184">
        <f>IFERROR(Inv_SY_B!AI27/Inv_SY_B!$BY27-1,"")</f>
        <v>1.8351298582919062E-2</v>
      </c>
      <c r="AJ27" s="184">
        <f>IFERROR(Inv_SY_B!AJ27/Inv_SY_B!$BY27-1,"")</f>
        <v>2.0578837469278577E-2</v>
      </c>
      <c r="AK27" s="184">
        <f>IFERROR(Inv_SY_B!AK27/Inv_SY_B!$BY27-1,"")</f>
        <v>-5.4598105728256296E-3</v>
      </c>
      <c r="AL27" s="184">
        <f>IFERROR(Inv_SY_B!AL27/Inv_SY_B!$BY27-1,"")</f>
        <v>-7.5204883871384687E-2</v>
      </c>
      <c r="AM27" s="184">
        <f>IFERROR(Inv_SY_B!AM27/Inv_SY_B!$BY27-1,"")</f>
        <v>-1.2565799789992282E-2</v>
      </c>
      <c r="AN27" s="184">
        <f>IFERROR(Inv_SY_B!AN27/Inv_SY_B!$BY27-1,"")</f>
        <v>-4.9272655421579437E-3</v>
      </c>
      <c r="AO27" s="184">
        <f>IFERROR(Inv_SY_B!AO27/Inv_SY_B!$BY27-1,"")</f>
        <v>1.0430830653451739E-3</v>
      </c>
      <c r="AP27" s="184">
        <f>IFERROR(Inv_SY_B!AP27/Inv_SY_B!$BY27-1,"")</f>
        <v>-4.7077674315879614E-3</v>
      </c>
      <c r="AQ27" s="184">
        <f>IFERROR(Inv_SY_B!AQ27/Inv_SY_B!$BY27-1,"")</f>
        <v>-6.5012513063350541E-3</v>
      </c>
      <c r="AR27" s="184">
        <f>IFERROR(Inv_SY_B!AR27/Inv_SY_B!$BY27-1,"")</f>
        <v>-9.7548376708407325E-3</v>
      </c>
      <c r="AS27" s="184">
        <f>IFERROR(Inv_SY_B!AS27/Inv_SY_B!$BY27-1,"")</f>
        <v>3.9778540992618794E-3</v>
      </c>
      <c r="AT27" s="184">
        <f>IFERROR(Inv_SY_B!AT27/Inv_SY_B!$BY27-1,"")</f>
        <v>1.7241267557419615E-2</v>
      </c>
      <c r="AU27" s="184">
        <f>IFERROR(Inv_SY_B!AU27/Inv_SY_B!$BY27-1,"")</f>
        <v>1.8163532940974836E-2</v>
      </c>
      <c r="AV27" s="184">
        <f>IFERROR(Inv_SY_B!AV27/Inv_SY_B!$BY27-1,"")</f>
        <v>2.0277669733678172E-2</v>
      </c>
      <c r="AW27" s="184">
        <f>IFERROR(Inv_SY_B!AW27/Inv_SY_B!$BY27-1,"")</f>
        <v>-0.36764040449994495</v>
      </c>
      <c r="AX27" s="184">
        <f>IFERROR(Inv_SY_B!AX27/Inv_SY_B!$BY27-1,"")</f>
        <v>-0.34744508138267383</v>
      </c>
      <c r="AY27" s="184">
        <f>IFERROR(Inv_SY_B!AY27/Inv_SY_B!$BY27-1,"")</f>
        <v>1.9801741546445317E-2</v>
      </c>
      <c r="AZ27" s="184">
        <f>IFERROR(Inv_SY_B!AZ27/Inv_SY_B!$BY27-1,"")</f>
        <v>-0.1261963412234266</v>
      </c>
      <c r="BA27" s="184">
        <f>IFERROR(Inv_SY_B!BA27/Inv_SY_B!$BY27-1,"")</f>
        <v>2.3639600357314272E-2</v>
      </c>
      <c r="BB27" s="184">
        <f>IFERROR(Inv_SY_B!BB27/Inv_SY_B!$BY27-1,"")</f>
        <v>5.1697925818574353E-2</v>
      </c>
      <c r="BC27" s="184">
        <f>IFERROR(Inv_SY_B!BC27/Inv_SY_B!$BY27-1,"")</f>
        <v>4.1130610227447573E-2</v>
      </c>
      <c r="BD27" s="184">
        <f>IFERROR(Inv_SY_B!BD27/Inv_SY_B!$BY27-1,"")</f>
        <v>6.1112845643555902E-2</v>
      </c>
      <c r="BE27" s="184">
        <f>IFERROR(Inv_SY_B!BE27/Inv_SY_B!$BY27-1,"")</f>
        <v>2.0487337215742141E-2</v>
      </c>
      <c r="BF27" s="184">
        <f>IFERROR(Inv_SY_B!BF27/Inv_SY_B!$BY27-1,"")</f>
        <v>-1.7443278857499522E-2</v>
      </c>
      <c r="BG27" s="184">
        <f>IFERROR(Inv_SY_B!BG27/Inv_SY_B!$BY27-1,"")</f>
        <v>3.6893110833525311E-2</v>
      </c>
      <c r="BH27" s="184">
        <f>IFERROR(Inv_SY_B!BH27/Inv_SY_B!$BY27-1,"")</f>
        <v>2.6482914080403042E-2</v>
      </c>
      <c r="BI27" s="184">
        <f>IFERROR(Inv_SY_B!BI27/Inv_SY_B!$BY27-1,"")</f>
        <v>2.9293999671061943E-2</v>
      </c>
      <c r="BJ27" s="184">
        <f>IFERROR(Inv_SY_B!BJ27/Inv_SY_B!$BY27-1,"")</f>
        <v>3.6356841212716873E-2</v>
      </c>
      <c r="BK27" s="184">
        <f>IFERROR(Inv_SY_B!BK27/Inv_SY_B!$BY27-1,"")</f>
        <v>4.2867427854415663E-2</v>
      </c>
      <c r="BL27" s="184">
        <f>IFERROR(Inv_SY_B!BL27/Inv_SY_B!$BY27-1,"")</f>
        <v>3.3629601129206987E-2</v>
      </c>
      <c r="BM27" s="184">
        <f>IFERROR(Inv_SY_B!BM27/Inv_SY_B!$BY27-1,"")</f>
        <v>4.8181063377512823E-2</v>
      </c>
      <c r="BN27" s="184">
        <f>IFERROR(Inv_SY_B!BN27/Inv_SY_B!$BY27-1,"")</f>
        <v>4.8779842425155984E-2</v>
      </c>
      <c r="BO27" s="184">
        <f>IFERROR(Inv_SY_B!BO27/Inv_SY_B!$BY27-1,"")</f>
        <v>-5.7528556230831307E-2</v>
      </c>
      <c r="BP27" s="184">
        <f>IFERROR(Inv_SY_B!BP27/Inv_SY_B!$BY27-1,"")</f>
        <v>4.66289898275003E-2</v>
      </c>
      <c r="BQ27" s="184">
        <f>IFERROR(Inv_SY_B!BQ27/Inv_SY_B!$BY27-1,"")</f>
        <v>-8.0573085988853155E-3</v>
      </c>
      <c r="BR27" s="184">
        <f>IFERROR(Inv_SY_B!BR27/Inv_SY_B!$BY27-1,"")</f>
        <v>1.1863574100738017E-2</v>
      </c>
      <c r="BS27" s="184">
        <f>IFERROR(Inv_SY_B!BS27/Inv_SY_B!$BY27-1,"")</f>
        <v>-4.6366516901125698E-2</v>
      </c>
      <c r="BT27" s="184">
        <f>IFERROR(Inv_SY_B!BT27/Inv_SY_B!$BY27-1,"")</f>
        <v>1.6725506226764608E-2</v>
      </c>
      <c r="BU27" s="184">
        <f>IFERROR(Inv_SY_B!BU27/Inv_SY_B!$BY27-1,"")</f>
        <v>-4.884358152415913E-2</v>
      </c>
      <c r="BV27" s="184">
        <f>IFERROR(Inv_SY_B!BV27/Inv_SY_B!$BY27-1,"")</f>
        <v>-0.1832358748130416</v>
      </c>
      <c r="BW27" s="184">
        <f>IFERROR(Inv_SY_B!BW27/Inv_SY_B!$BY27-1,"")</f>
        <v>1.1734434650127579E-2</v>
      </c>
      <c r="BX27" s="184">
        <f>IFERROR(Inv_SY_B!BX27/Inv_SY_B!$BY27-1,"")</f>
        <v>1.6580936320975015E-2</v>
      </c>
    </row>
    <row r="28" spans="1:76">
      <c r="A28"/>
      <c r="B28" s="179">
        <f t="shared" si="1"/>
        <v>45846</v>
      </c>
      <c r="C28" s="184">
        <f>IFERROR(Inv_SY_B!C28/Inv_SY_B!$BY28-1,"")</f>
        <v>-5.6774960026484411E-4</v>
      </c>
      <c r="D28" s="184">
        <f>IFERROR(Inv_SY_B!D28/Inv_SY_B!$BY28-1,"")</f>
        <v>-4.4849969740032858E-3</v>
      </c>
      <c r="E28" s="184">
        <f>IFERROR(Inv_SY_B!E28/Inv_SY_B!$BY28-1,"")</f>
        <v>-1.797494733177607E-2</v>
      </c>
      <c r="F28" s="184">
        <f>IFERROR(Inv_SY_B!F28/Inv_SY_B!$BY28-1,"")</f>
        <v>-3.0241397696647354E-2</v>
      </c>
      <c r="G28" s="184">
        <f>IFERROR(Inv_SY_B!G28/Inv_SY_B!$BY28-1,"")</f>
        <v>-1.9996187400890486E-2</v>
      </c>
      <c r="H28" s="184">
        <f>IFERROR(Inv_SY_B!H28/Inv_SY_B!$BY28-1,"")</f>
        <v>-1.6963818877374526E-2</v>
      </c>
      <c r="I28" s="184">
        <f>IFERROR(Inv_SY_B!I28/Inv_SY_B!$BY28-1,"")</f>
        <v>-1.2956761992559684E-3</v>
      </c>
      <c r="J28" s="184">
        <f>IFERROR(Inv_SY_B!J28/Inv_SY_B!$BY28-1,"")</f>
        <v>3.6584591193651317E-3</v>
      </c>
      <c r="K28" s="184">
        <f>IFERROR(Inv_SY_B!K28/Inv_SY_B!$BY28-1,"")</f>
        <v>-1.1682338956161997E-2</v>
      </c>
      <c r="L28" s="184">
        <f>IFERROR(Inv_SY_B!L28/Inv_SY_B!$BY28-1,"")</f>
        <v>7.7132263313273164E-4</v>
      </c>
      <c r="M28" s="184">
        <f>IFERROR(Inv_SY_B!M28/Inv_SY_B!$BY28-1,"")</f>
        <v>1.4260926551692865E-2</v>
      </c>
      <c r="N28" s="184">
        <f>IFERROR(Inv_SY_B!N28/Inv_SY_B!$BY28-1,"")</f>
        <v>-1.116525313287986E-2</v>
      </c>
      <c r="O28" s="184">
        <f>IFERROR(Inv_SY_B!O28/Inv_SY_B!$BY28-1,"")</f>
        <v>3.6208427312572899E-2</v>
      </c>
      <c r="P28" s="184">
        <f>IFERROR(Inv_SY_B!P28/Inv_SY_B!$BY28-1,"")</f>
        <v>-4.4806789201042863E-2</v>
      </c>
      <c r="Q28" s="184">
        <f>IFERROR(Inv_SY_B!Q28/Inv_SY_B!$BY28-1,"")</f>
        <v>-1.0520513143644439E-2</v>
      </c>
      <c r="R28" s="184">
        <f>IFERROR(Inv_SY_B!R28/Inv_SY_B!$BY28-1,"")</f>
        <v>-4.9940124484966208E-3</v>
      </c>
      <c r="S28" s="184">
        <f>IFERROR(Inv_SY_B!S28/Inv_SY_B!$BY28-1,"")</f>
        <v>-1.3732035409770305E-3</v>
      </c>
      <c r="T28" s="184">
        <f>IFERROR(Inv_SY_B!T28/Inv_SY_B!$BY28-1,"")</f>
        <v>1.0194296650006818E-2</v>
      </c>
      <c r="U28" s="184">
        <f>IFERROR(Inv_SY_B!U28/Inv_SY_B!$BY28-1,"")</f>
        <v>1.376355920404837E-2</v>
      </c>
      <c r="V28" s="184">
        <f>IFERROR(Inv_SY_B!V28/Inv_SY_B!$BY28-1,"")</f>
        <v>2.000515114542778E-2</v>
      </c>
      <c r="W28" s="184">
        <f>IFERROR(Inv_SY_B!W28/Inv_SY_B!$BY28-1,"")</f>
        <v>-3.0086642996871693E-2</v>
      </c>
      <c r="X28" s="184">
        <f>IFERROR(Inv_SY_B!X28/Inv_SY_B!$BY28-1,"")</f>
        <v>-3.9182667212425248E-2</v>
      </c>
      <c r="Y28" s="184">
        <f>IFERROR(Inv_SY_B!Y28/Inv_SY_B!$BY28-1,"")</f>
        <v>1.2976816331988772E-4</v>
      </c>
      <c r="Z28" s="184">
        <f>IFERROR(Inv_SY_B!Z28/Inv_SY_B!$BY28-1,"")</f>
        <v>8.7972766214949871E-4</v>
      </c>
      <c r="AA28" s="184">
        <f>IFERROR(Inv_SY_B!AA28/Inv_SY_B!$BY28-1,"")</f>
        <v>-1.0603132187871012E-2</v>
      </c>
      <c r="AB28" s="184">
        <f>IFERROR(Inv_SY_B!AB28/Inv_SY_B!$BY28-1,"")</f>
        <v>-6.7154210445841134E-3</v>
      </c>
      <c r="AC28" s="184">
        <f>IFERROR(Inv_SY_B!AC28/Inv_SY_B!$BY28-1,"")</f>
        <v>-3.2063434340248165E-3</v>
      </c>
      <c r="AD28" s="184">
        <f>IFERROR(Inv_SY_B!AD28/Inv_SY_B!$BY28-1,"")</f>
        <v>-1.4260564105181617E-2</v>
      </c>
      <c r="AE28" s="184">
        <f>IFERROR(Inv_SY_B!AE28/Inv_SY_B!$BY28-1,"")</f>
        <v>-1.9738574232464501E-2</v>
      </c>
      <c r="AF28" s="184">
        <f>IFERROR(Inv_SY_B!AF28/Inv_SY_B!$BY28-1,"")</f>
        <v>-2.6740839173050257E-2</v>
      </c>
      <c r="AG28" s="184">
        <f>IFERROR(Inv_SY_B!AG28/Inv_SY_B!$BY28-1,"")</f>
        <v>-1.9979876576344369E-2</v>
      </c>
      <c r="AH28" s="184">
        <f>IFERROR(Inv_SY_B!AH28/Inv_SY_B!$BY28-1,"")</f>
        <v>-2.5435325821043242E-2</v>
      </c>
      <c r="AI28" s="184">
        <f>IFERROR(Inv_SY_B!AI28/Inv_SY_B!$BY28-1,"")</f>
        <v>-2.1777396251208891E-2</v>
      </c>
      <c r="AJ28" s="184">
        <f>IFERROR(Inv_SY_B!AJ28/Inv_SY_B!$BY28-1,"")</f>
        <v>-1.7880252754443493E-2</v>
      </c>
      <c r="AK28" s="184">
        <f>IFERROR(Inv_SY_B!AK28/Inv_SY_B!$BY28-1,"")</f>
        <v>-2.8192944629046535E-2</v>
      </c>
      <c r="AL28" s="184">
        <f>IFERROR(Inv_SY_B!AL28/Inv_SY_B!$BY28-1,"")</f>
        <v>-6.9599220966240938E-2</v>
      </c>
      <c r="AM28" s="184">
        <f>IFERROR(Inv_SY_B!AM28/Inv_SY_B!$BY28-1,"")</f>
        <v>-4.3189219477931751E-2</v>
      </c>
      <c r="AN28" s="184">
        <f>IFERROR(Inv_SY_B!AN28/Inv_SY_B!$BY28-1,"")</f>
        <v>-3.6033992094198664E-2</v>
      </c>
      <c r="AO28" s="184">
        <f>IFERROR(Inv_SY_B!AO28/Inv_SY_B!$BY28-1,"")</f>
        <v>-3.086845360861612E-2</v>
      </c>
      <c r="AP28" s="184">
        <f>IFERROR(Inv_SY_B!AP28/Inv_SY_B!$BY28-1,"")</f>
        <v>-3.7487995519770223E-2</v>
      </c>
      <c r="AQ28" s="184">
        <f>IFERROR(Inv_SY_B!AQ28/Inv_SY_B!$BY28-1,"")</f>
        <v>-3.8666167660701523E-2</v>
      </c>
      <c r="AR28" s="184">
        <f>IFERROR(Inv_SY_B!AR28/Inv_SY_B!$BY28-1,"")</f>
        <v>-4.1183419738500704E-2</v>
      </c>
      <c r="AS28" s="184">
        <f>IFERROR(Inv_SY_B!AS28/Inv_SY_B!$BY28-1,"")</f>
        <v>-3.2502152584248378E-2</v>
      </c>
      <c r="AT28" s="184">
        <f>IFERROR(Inv_SY_B!AT28/Inv_SY_B!$BY28-1,"")</f>
        <v>-1.6847854709182486E-2</v>
      </c>
      <c r="AU28" s="184">
        <f>IFERROR(Inv_SY_B!AU28/Inv_SY_B!$BY28-1,"")</f>
        <v>-4.8116402500944955E-2</v>
      </c>
      <c r="AV28" s="184">
        <f>IFERROR(Inv_SY_B!AV28/Inv_SY_B!$BY28-1,"")</f>
        <v>-1.5753328445773152E-2</v>
      </c>
      <c r="AW28" s="184">
        <f>IFERROR(Inv_SY_B!AW28/Inv_SY_B!$BY28-1,"")</f>
        <v>5.9046271117239035E-2</v>
      </c>
      <c r="AX28" s="184">
        <f>IFERROR(Inv_SY_B!AX28/Inv_SY_B!$BY28-1,"")</f>
        <v>3.9309702203669472E-2</v>
      </c>
      <c r="AY28" s="184">
        <f>IFERROR(Inv_SY_B!AY28/Inv_SY_B!$BY28-1,"")</f>
        <v>-0.26301319810263057</v>
      </c>
      <c r="AZ28" s="184">
        <f>IFERROR(Inv_SY_B!AZ28/Inv_SY_B!$BY28-1,"")</f>
        <v>1.6730813757843688E-2</v>
      </c>
      <c r="BA28" s="184">
        <f>IFERROR(Inv_SY_B!BA28/Inv_SY_B!$BY28-1,"")</f>
        <v>2.5004653963399015E-2</v>
      </c>
      <c r="BB28" s="184">
        <f>IFERROR(Inv_SY_B!BB28/Inv_SY_B!$BY28-1,"")</f>
        <v>6.4538056651584963E-2</v>
      </c>
      <c r="BC28" s="184">
        <f>IFERROR(Inv_SY_B!BC28/Inv_SY_B!$BY28-1,"")</f>
        <v>3.4693942302730596E-2</v>
      </c>
      <c r="BD28" s="184">
        <f>IFERROR(Inv_SY_B!BD28/Inv_SY_B!$BY28-1,"")</f>
        <v>7.0684654659229462E-2</v>
      </c>
      <c r="BE28" s="184">
        <f>IFERROR(Inv_SY_B!BE28/Inv_SY_B!$BY28-1,"")</f>
        <v>3.7888943514695184E-2</v>
      </c>
      <c r="BF28" s="184">
        <f>IFERROR(Inv_SY_B!BF28/Inv_SY_B!$BY28-1,"")</f>
        <v>6.8520604670976315E-3</v>
      </c>
      <c r="BG28" s="184">
        <f>IFERROR(Inv_SY_B!BG28/Inv_SY_B!$BY28-1,"")</f>
        <v>5.6870913388753275E-2</v>
      </c>
      <c r="BH28" s="184">
        <f>IFERROR(Inv_SY_B!BH28/Inv_SY_B!$BY28-1,"")</f>
        <v>4.5508467959018972E-2</v>
      </c>
      <c r="BI28" s="184">
        <f>IFERROR(Inv_SY_B!BI28/Inv_SY_B!$BY28-1,"")</f>
        <v>5.9011091775541091E-2</v>
      </c>
      <c r="BJ28" s="184">
        <f>IFERROR(Inv_SY_B!BJ28/Inv_SY_B!$BY28-1,"")</f>
        <v>6.6843935100283414E-2</v>
      </c>
      <c r="BK28" s="184">
        <f>IFERROR(Inv_SY_B!BK28/Inv_SY_B!$BY28-1,"")</f>
        <v>7.1540496918035767E-2</v>
      </c>
      <c r="BL28" s="184">
        <f>IFERROR(Inv_SY_B!BL28/Inv_SY_B!$BY28-1,"")</f>
        <v>5.8976187921734535E-2</v>
      </c>
      <c r="BM28" s="184">
        <f>IFERROR(Inv_SY_B!BM28/Inv_SY_B!$BY28-1,"")</f>
        <v>7.3698117893838733E-2</v>
      </c>
      <c r="BN28" s="184">
        <f>IFERROR(Inv_SY_B!BN28/Inv_SY_B!$BY28-1,"")</f>
        <v>5.8570184868408148E-2</v>
      </c>
      <c r="BO28" s="184">
        <f>IFERROR(Inv_SY_B!BO28/Inv_SY_B!$BY28-1,"")</f>
        <v>-4.8676501970957742E-2</v>
      </c>
      <c r="BP28" s="184">
        <f>IFERROR(Inv_SY_B!BP28/Inv_SY_B!$BY28-1,"")</f>
        <v>6.6999504197744475E-2</v>
      </c>
      <c r="BQ28" s="184">
        <f>IFERROR(Inv_SY_B!BQ28/Inv_SY_B!$BY28-1,"")</f>
        <v>2.3071247155278973E-2</v>
      </c>
      <c r="BR28" s="184">
        <f>IFERROR(Inv_SY_B!BR28/Inv_SY_B!$BY28-1,"")</f>
        <v>4.6848090915450946E-2</v>
      </c>
      <c r="BS28" s="184">
        <f>IFERROR(Inv_SY_B!BS28/Inv_SY_B!$BY28-1,"")</f>
        <v>1.4451072416972188E-3</v>
      </c>
      <c r="BT28" s="184">
        <f>IFERROR(Inv_SY_B!BT28/Inv_SY_B!$BY28-1,"")</f>
        <v>5.8720692271592823E-2</v>
      </c>
      <c r="BU28" s="184">
        <f>IFERROR(Inv_SY_B!BU28/Inv_SY_B!$BY28-1,"")</f>
        <v>1.1120114301534922E-2</v>
      </c>
      <c r="BV28" s="184">
        <f>IFERROR(Inv_SY_B!BV28/Inv_SY_B!$BY28-1,"")</f>
        <v>-7.0321887951805162E-2</v>
      </c>
      <c r="BW28" s="184">
        <f>IFERROR(Inv_SY_B!BW28/Inv_SY_B!$BY28-1,"")</f>
        <v>3.9268096044181577E-2</v>
      </c>
      <c r="BX28" s="184">
        <f>IFERROR(Inv_SY_B!BX28/Inv_SY_B!$BY28-1,"")</f>
        <v>3.9013675221144073E-2</v>
      </c>
    </row>
    <row r="29" spans="1:76">
      <c r="A29"/>
      <c r="B29" s="179">
        <f t="shared" si="1"/>
        <v>45847</v>
      </c>
      <c r="C29" s="184">
        <f>IFERROR(Inv_SY_B!C29/Inv_SY_B!$BY29-1,"")</f>
        <v>-5.6258385456103843E-3</v>
      </c>
      <c r="D29" s="184">
        <f>IFERROR(Inv_SY_B!D29/Inv_SY_B!$BY29-1,"")</f>
        <v>-8.0072995798995406E-3</v>
      </c>
      <c r="E29" s="184">
        <f>IFERROR(Inv_SY_B!E29/Inv_SY_B!$BY29-1,"")</f>
        <v>-2.0929687493574711E-2</v>
      </c>
      <c r="F29" s="184">
        <f>IFERROR(Inv_SY_B!F29/Inv_SY_B!$BY29-1,"")</f>
        <v>-3.1651822064114321E-2</v>
      </c>
      <c r="G29" s="184">
        <f>IFERROR(Inv_SY_B!G29/Inv_SY_B!$BY29-1,"")</f>
        <v>-2.0980809833628711E-2</v>
      </c>
      <c r="H29" s="184">
        <f>IFERROR(Inv_SY_B!H29/Inv_SY_B!$BY29-1,"")</f>
        <v>-2.0387593655275982E-2</v>
      </c>
      <c r="I29" s="184">
        <f>IFERROR(Inv_SY_B!I29/Inv_SY_B!$BY29-1,"")</f>
        <v>-1.5085349338956888E-2</v>
      </c>
      <c r="J29" s="184">
        <f>IFERROR(Inv_SY_B!J29/Inv_SY_B!$BY29-1,"")</f>
        <v>-2.1339956287680373E-3</v>
      </c>
      <c r="K29" s="184">
        <f>IFERROR(Inv_SY_B!K29/Inv_SY_B!$BY29-1,"")</f>
        <v>-1.4280027092439473E-2</v>
      </c>
      <c r="L29" s="184">
        <f>IFERROR(Inv_SY_B!L29/Inv_SY_B!$BY29-1,"")</f>
        <v>3.0984379320948552E-3</v>
      </c>
      <c r="M29" s="184">
        <f>IFERROR(Inv_SY_B!M29/Inv_SY_B!$BY29-1,"")</f>
        <v>1.7708065671604434E-2</v>
      </c>
      <c r="N29" s="184">
        <f>IFERROR(Inv_SY_B!N29/Inv_SY_B!$BY29-1,"")</f>
        <v>-8.1957043118405792E-3</v>
      </c>
      <c r="O29" s="184">
        <f>IFERROR(Inv_SY_B!O29/Inv_SY_B!$BY29-1,"")</f>
        <v>3.4156093482540895E-2</v>
      </c>
      <c r="P29" s="184">
        <f>IFERROR(Inv_SY_B!P29/Inv_SY_B!$BY29-1,"")</f>
        <v>-3.9313662617788458E-2</v>
      </c>
      <c r="Q29" s="184">
        <f>IFERROR(Inv_SY_B!Q29/Inv_SY_B!$BY29-1,"")</f>
        <v>-9.7273077286668119E-3</v>
      </c>
      <c r="R29" s="184">
        <f>IFERROR(Inv_SY_B!R29/Inv_SY_B!$BY29-1,"")</f>
        <v>-6.9071204980792889E-3</v>
      </c>
      <c r="S29" s="184">
        <f>IFERROR(Inv_SY_B!S29/Inv_SY_B!$BY29-1,"")</f>
        <v>-2.3075021168447174E-3</v>
      </c>
      <c r="T29" s="184">
        <f>IFERROR(Inv_SY_B!T29/Inv_SY_B!$BY29-1,"")</f>
        <v>1.2387726439533786E-2</v>
      </c>
      <c r="U29" s="184">
        <f>IFERROR(Inv_SY_B!U29/Inv_SY_B!$BY29-1,"")</f>
        <v>9.216878390454486E-3</v>
      </c>
      <c r="V29" s="184">
        <f>IFERROR(Inv_SY_B!V29/Inv_SY_B!$BY29-1,"")</f>
        <v>1.5130261603989448E-2</v>
      </c>
      <c r="W29" s="184">
        <f>IFERROR(Inv_SY_B!W29/Inv_SY_B!$BY29-1,"")</f>
        <v>-1.7509457100293391E-2</v>
      </c>
      <c r="X29" s="184">
        <f>IFERROR(Inv_SY_B!X29/Inv_SY_B!$BY29-1,"")</f>
        <v>-2.5907381222910031E-2</v>
      </c>
      <c r="Y29" s="184">
        <f>IFERROR(Inv_SY_B!Y29/Inv_SY_B!$BY29-1,"")</f>
        <v>1.3587072324036553E-2</v>
      </c>
      <c r="Z29" s="184">
        <f>IFERROR(Inv_SY_B!Z29/Inv_SY_B!$BY29-1,"")</f>
        <v>1.622218951842691E-2</v>
      </c>
      <c r="AA29" s="184">
        <f>IFERROR(Inv_SY_B!AA29/Inv_SY_B!$BY29-1,"")</f>
        <v>1.6443326734048025E-3</v>
      </c>
      <c r="AB29" s="184">
        <f>IFERROR(Inv_SY_B!AB29/Inv_SY_B!$BY29-1,"")</f>
        <v>3.0329324815392411E-4</v>
      </c>
      <c r="AC29" s="184">
        <f>IFERROR(Inv_SY_B!AC29/Inv_SY_B!$BY29-1,"")</f>
        <v>8.0000711244743172E-3</v>
      </c>
      <c r="AD29" s="184">
        <f>IFERROR(Inv_SY_B!AD29/Inv_SY_B!$BY29-1,"")</f>
        <v>-1.4105127031159848E-3</v>
      </c>
      <c r="AE29" s="184">
        <f>IFERROR(Inv_SY_B!AE29/Inv_SY_B!$BY29-1,"")</f>
        <v>9.7890000838463109E-3</v>
      </c>
      <c r="AF29" s="184">
        <f>IFERROR(Inv_SY_B!AF29/Inv_SY_B!$BY29-1,"")</f>
        <v>1.6403311022155087E-3</v>
      </c>
      <c r="AG29" s="184">
        <f>IFERROR(Inv_SY_B!AG29/Inv_SY_B!$BY29-1,"")</f>
        <v>7.4483167713552678E-3</v>
      </c>
      <c r="AH29" s="184">
        <f>IFERROR(Inv_SY_B!AH29/Inv_SY_B!$BY29-1,"")</f>
        <v>6.0673115615239581E-4</v>
      </c>
      <c r="AI29" s="184">
        <f>IFERROR(Inv_SY_B!AI29/Inv_SY_B!$BY29-1,"")</f>
        <v>7.6470525249805466E-3</v>
      </c>
      <c r="AJ29" s="184">
        <f>IFERROR(Inv_SY_B!AJ29/Inv_SY_B!$BY29-1,"")</f>
        <v>1.2077929375319263E-2</v>
      </c>
      <c r="AK29" s="184">
        <f>IFERROR(Inv_SY_B!AK29/Inv_SY_B!$BY29-1,"")</f>
        <v>2.3512319545782034E-4</v>
      </c>
      <c r="AL29" s="184">
        <f>IFERROR(Inv_SY_B!AL29/Inv_SY_B!$BY29-1,"")</f>
        <v>-2.2430575842679823E-2</v>
      </c>
      <c r="AM29" s="184">
        <f>IFERROR(Inv_SY_B!AM29/Inv_SY_B!$BY29-1,"")</f>
        <v>-8.4109193966990237E-3</v>
      </c>
      <c r="AN29" s="184">
        <f>IFERROR(Inv_SY_B!AN29/Inv_SY_B!$BY29-1,"")</f>
        <v>-7.6955987280225013E-4</v>
      </c>
      <c r="AO29" s="184">
        <f>IFERROR(Inv_SY_B!AO29/Inv_SY_B!$BY29-1,"")</f>
        <v>3.8222662631175464E-3</v>
      </c>
      <c r="AP29" s="184">
        <f>IFERROR(Inv_SY_B!AP29/Inv_SY_B!$BY29-1,"")</f>
        <v>-4.3448748793960545E-3</v>
      </c>
      <c r="AQ29" s="184">
        <f>IFERROR(Inv_SY_B!AQ29/Inv_SY_B!$BY29-1,"")</f>
        <v>-4.7121928750686326E-3</v>
      </c>
      <c r="AR29" s="184">
        <f>IFERROR(Inv_SY_B!AR29/Inv_SY_B!$BY29-1,"")</f>
        <v>-6.5361850779678266E-3</v>
      </c>
      <c r="AS29" s="184">
        <f>IFERROR(Inv_SY_B!AS29/Inv_SY_B!$BY29-1,"")</f>
        <v>-2.8417885632615603E-3</v>
      </c>
      <c r="AT29" s="184">
        <f>IFERROR(Inv_SY_B!AT29/Inv_SY_B!$BY29-1,"")</f>
        <v>1.45470869658475E-2</v>
      </c>
      <c r="AU29" s="184">
        <f>IFERROR(Inv_SY_B!AU29/Inv_SY_B!$BY29-1,"")</f>
        <v>1.8002612596160095E-2</v>
      </c>
      <c r="AV29" s="184">
        <f>IFERROR(Inv_SY_B!AV29/Inv_SY_B!$BY29-1,"")</f>
        <v>1.8172703873722051E-2</v>
      </c>
      <c r="AW29" s="184">
        <f>IFERROR(Inv_SY_B!AW29/Inv_SY_B!$BY29-1,"")</f>
        <v>2.610484439898908E-2</v>
      </c>
      <c r="AX29" s="184">
        <f>IFERROR(Inv_SY_B!AX29/Inv_SY_B!$BY29-1,"")</f>
        <v>-1.6078358883837462E-2</v>
      </c>
      <c r="AY29" s="184">
        <f>IFERROR(Inv_SY_B!AY29/Inv_SY_B!$BY29-1,"")</f>
        <v>-2.1137676866257338E-2</v>
      </c>
      <c r="AZ29" s="184">
        <f>IFERROR(Inv_SY_B!AZ29/Inv_SY_B!$BY29-1,"")</f>
        <v>5.3892496060438999E-2</v>
      </c>
      <c r="BA29" s="184">
        <f>IFERROR(Inv_SY_B!BA29/Inv_SY_B!$BY29-1,"")</f>
        <v>-1.2292871652215043E-2</v>
      </c>
      <c r="BB29" s="184">
        <f>IFERROR(Inv_SY_B!BB29/Inv_SY_B!$BY29-1,"")</f>
        <v>2.4845245964100648E-2</v>
      </c>
      <c r="BC29" s="184">
        <f>IFERROR(Inv_SY_B!BC29/Inv_SY_B!$BY29-1,"")</f>
        <v>1.5910809627263767E-2</v>
      </c>
      <c r="BD29" s="184">
        <f>IFERROR(Inv_SY_B!BD29/Inv_SY_B!$BY29-1,"")</f>
        <v>3.2791034992228019E-2</v>
      </c>
      <c r="BE29" s="184">
        <f>IFERROR(Inv_SY_B!BE29/Inv_SY_B!$BY29-1,"")</f>
        <v>6.1931618643018549E-3</v>
      </c>
      <c r="BF29" s="184">
        <f>IFERROR(Inv_SY_B!BF29/Inv_SY_B!$BY29-1,"")</f>
        <v>-2.5187042726143027E-2</v>
      </c>
      <c r="BG29" s="184">
        <f>IFERROR(Inv_SY_B!BG29/Inv_SY_B!$BY29-1,"")</f>
        <v>2.6547981769602824E-2</v>
      </c>
      <c r="BH29" s="184">
        <f>IFERROR(Inv_SY_B!BH29/Inv_SY_B!$BY29-1,"")</f>
        <v>1.5053280292298243E-2</v>
      </c>
      <c r="BI29" s="184">
        <f>IFERROR(Inv_SY_B!BI29/Inv_SY_B!$BY29-1,"")</f>
        <v>1.9813936051236825E-2</v>
      </c>
      <c r="BJ29" s="184">
        <f>IFERROR(Inv_SY_B!BJ29/Inv_SY_B!$BY29-1,"")</f>
        <v>2.6763940685870624E-2</v>
      </c>
      <c r="BK29" s="184">
        <f>IFERROR(Inv_SY_B!BK29/Inv_SY_B!$BY29-1,"")</f>
        <v>3.2636511738907137E-2</v>
      </c>
      <c r="BL29" s="184">
        <f>IFERROR(Inv_SY_B!BL29/Inv_SY_B!$BY29-1,"")</f>
        <v>2.1931058467451914E-2</v>
      </c>
      <c r="BM29" s="184">
        <f>IFERROR(Inv_SY_B!BM29/Inv_SY_B!$BY29-1,"")</f>
        <v>3.2864590629586132E-2</v>
      </c>
      <c r="BN29" s="184">
        <f>IFERROR(Inv_SY_B!BN29/Inv_SY_B!$BY29-1,"")</f>
        <v>2.3566616290015663E-2</v>
      </c>
      <c r="BO29" s="184">
        <f>IFERROR(Inv_SY_B!BO29/Inv_SY_B!$BY29-1,"")</f>
        <v>-8.4591341917846785E-2</v>
      </c>
      <c r="BP29" s="184">
        <f>IFERROR(Inv_SY_B!BP29/Inv_SY_B!$BY29-1,"")</f>
        <v>2.4853178858245784E-2</v>
      </c>
      <c r="BQ29" s="184">
        <f>IFERROR(Inv_SY_B!BQ29/Inv_SY_B!$BY29-1,"")</f>
        <v>-1.5966560583985157E-2</v>
      </c>
      <c r="BR29" s="184">
        <f>IFERROR(Inv_SY_B!BR29/Inv_SY_B!$BY29-1,"")</f>
        <v>7.498668105165196E-3</v>
      </c>
      <c r="BS29" s="184">
        <f>IFERROR(Inv_SY_B!BS29/Inv_SY_B!$BY29-1,"")</f>
        <v>-4.4938641497534015E-2</v>
      </c>
      <c r="BT29" s="184">
        <f>IFERROR(Inv_SY_B!BT29/Inv_SY_B!$BY29-1,"")</f>
        <v>1.7378599345890366E-2</v>
      </c>
      <c r="BU29" s="184">
        <f>IFERROR(Inv_SY_B!BU29/Inv_SY_B!$BY29-1,"")</f>
        <v>-2.9843930919477901E-2</v>
      </c>
      <c r="BV29" s="184">
        <f>IFERROR(Inv_SY_B!BV29/Inv_SY_B!$BY29-1,"")</f>
        <v>-8.9275089702024801E-2</v>
      </c>
      <c r="BW29" s="184">
        <f>IFERROR(Inv_SY_B!BW29/Inv_SY_B!$BY29-1,"")</f>
        <v>2.6381936047881194E-3</v>
      </c>
      <c r="BX29" s="184">
        <f>IFERROR(Inv_SY_B!BX29/Inv_SY_B!$BY29-1,"")</f>
        <v>2.9909577257556386E-3</v>
      </c>
    </row>
    <row r="30" spans="1:76">
      <c r="A30"/>
      <c r="B30" s="179">
        <f t="shared" si="1"/>
        <v>45848</v>
      </c>
      <c r="C30" s="184">
        <f>IFERROR(Inv_SY_B!C30/Inv_SY_B!$BY30-1,"")</f>
        <v>-9.6542946238277194E-3</v>
      </c>
      <c r="D30" s="184">
        <f>IFERROR(Inv_SY_B!D30/Inv_SY_B!$BY30-1,"")</f>
        <v>-1.2311878234703255E-2</v>
      </c>
      <c r="E30" s="184">
        <f>IFERROR(Inv_SY_B!E30/Inv_SY_B!$BY30-1,"")</f>
        <v>-2.2280643992093729E-2</v>
      </c>
      <c r="F30" s="184">
        <f>IFERROR(Inv_SY_B!F30/Inv_SY_B!$BY30-1,"")</f>
        <v>-3.6023879193771258E-2</v>
      </c>
      <c r="G30" s="184">
        <f>IFERROR(Inv_SY_B!G30/Inv_SY_B!$BY30-1,"")</f>
        <v>-2.3538789008414995E-2</v>
      </c>
      <c r="H30" s="184">
        <f>IFERROR(Inv_SY_B!H30/Inv_SY_B!$BY30-1,"")</f>
        <v>-2.1659321237252005E-2</v>
      </c>
      <c r="I30" s="184">
        <f>IFERROR(Inv_SY_B!I30/Inv_SY_B!$BY30-1,"")</f>
        <v>-5.9519201396937005E-3</v>
      </c>
      <c r="J30" s="184">
        <f>IFERROR(Inv_SY_B!J30/Inv_SY_B!$BY30-1,"")</f>
        <v>-2.8263047378477291E-3</v>
      </c>
      <c r="K30" s="184">
        <f>IFERROR(Inv_SY_B!K30/Inv_SY_B!$BY30-1,"")</f>
        <v>-4.1676426481679352E-2</v>
      </c>
      <c r="L30" s="184">
        <f>IFERROR(Inv_SY_B!L30/Inv_SY_B!$BY30-1,"")</f>
        <v>-2.8901175063127393E-3</v>
      </c>
      <c r="M30" s="184">
        <f>IFERROR(Inv_SY_B!M30/Inv_SY_B!$BY30-1,"")</f>
        <v>9.4959489972508138E-3</v>
      </c>
      <c r="N30" s="184">
        <f>IFERROR(Inv_SY_B!N30/Inv_SY_B!$BY30-1,"")</f>
        <v>-1.480612615965371E-2</v>
      </c>
      <c r="O30" s="184">
        <f>IFERROR(Inv_SY_B!O30/Inv_SY_B!$BY30-1,"")</f>
        <v>2.6852046140511732E-2</v>
      </c>
      <c r="P30" s="184">
        <f>IFERROR(Inv_SY_B!P30/Inv_SY_B!$BY30-1,"")</f>
        <v>-4.6277273821341391E-2</v>
      </c>
      <c r="Q30" s="184">
        <f>IFERROR(Inv_SY_B!Q30/Inv_SY_B!$BY30-1,"")</f>
        <v>-1.6960649459323074E-2</v>
      </c>
      <c r="R30" s="184">
        <f>IFERROR(Inv_SY_B!R30/Inv_SY_B!$BY30-1,"")</f>
        <v>-1.4545078530612709E-2</v>
      </c>
      <c r="S30" s="184">
        <f>IFERROR(Inv_SY_B!S30/Inv_SY_B!$BY30-1,"")</f>
        <v>-1.4284488858520406E-2</v>
      </c>
      <c r="T30" s="184">
        <f>IFERROR(Inv_SY_B!T30/Inv_SY_B!$BY30-1,"")</f>
        <v>-7.4941376207238175E-4</v>
      </c>
      <c r="U30" s="184">
        <f>IFERROR(Inv_SY_B!U30/Inv_SY_B!$BY30-1,"")</f>
        <v>-4.7821511650580906E-3</v>
      </c>
      <c r="V30" s="184">
        <f>IFERROR(Inv_SY_B!V30/Inv_SY_B!$BY30-1,"")</f>
        <v>1.5668914599997752E-3</v>
      </c>
      <c r="W30" s="184">
        <f>IFERROR(Inv_SY_B!W30/Inv_SY_B!$BY30-1,"")</f>
        <v>-4.3600317498424079E-2</v>
      </c>
      <c r="X30" s="184">
        <f>IFERROR(Inv_SY_B!X30/Inv_SY_B!$BY30-1,"")</f>
        <v>-4.3483146560357011E-2</v>
      </c>
      <c r="Y30" s="184">
        <f>IFERROR(Inv_SY_B!Y30/Inv_SY_B!$BY30-1,"")</f>
        <v>-3.5171858782687693E-3</v>
      </c>
      <c r="Z30" s="184">
        <f>IFERROR(Inv_SY_B!Z30/Inv_SY_B!$BY30-1,"")</f>
        <v>-1.1244617830409309E-3</v>
      </c>
      <c r="AA30" s="184">
        <f>IFERROR(Inv_SY_B!AA30/Inv_SY_B!$BY30-1,"")</f>
        <v>-6.017847760751982E-3</v>
      </c>
      <c r="AB30" s="184">
        <f>IFERROR(Inv_SY_B!AB30/Inv_SY_B!$BY30-1,"")</f>
        <v>-1.4995573556273678E-2</v>
      </c>
      <c r="AC30" s="184">
        <f>IFERROR(Inv_SY_B!AC30/Inv_SY_B!$BY30-1,"")</f>
        <v>-8.6901727865797973E-3</v>
      </c>
      <c r="AD30" s="184">
        <f>IFERROR(Inv_SY_B!AD30/Inv_SY_B!$BY30-1,"")</f>
        <v>-1.7875032741724639E-2</v>
      </c>
      <c r="AE30" s="184">
        <f>IFERROR(Inv_SY_B!AE30/Inv_SY_B!$BY30-1,"")</f>
        <v>-2.4349789000104316E-2</v>
      </c>
      <c r="AF30" s="184">
        <f>IFERROR(Inv_SY_B!AF30/Inv_SY_B!$BY30-1,"")</f>
        <v>-2.9350363826998516E-2</v>
      </c>
      <c r="AG30" s="184">
        <f>IFERROR(Inv_SY_B!AG30/Inv_SY_B!$BY30-1,"")</f>
        <v>-2.1376368258798184E-2</v>
      </c>
      <c r="AH30" s="184">
        <f>IFERROR(Inv_SY_B!AH30/Inv_SY_B!$BY30-1,"")</f>
        <v>-2.8211861879233302E-2</v>
      </c>
      <c r="AI30" s="184">
        <f>IFERROR(Inv_SY_B!AI30/Inv_SY_B!$BY30-1,"")</f>
        <v>-2.3467759838674551E-2</v>
      </c>
      <c r="AJ30" s="184">
        <f>IFERROR(Inv_SY_B!AJ30/Inv_SY_B!$BY30-1,"")</f>
        <v>-1.8367162816037896E-2</v>
      </c>
      <c r="AK30" s="184">
        <f>IFERROR(Inv_SY_B!AK30/Inv_SY_B!$BY30-1,"")</f>
        <v>-3.162939984062052E-2</v>
      </c>
      <c r="AL30" s="184">
        <f>IFERROR(Inv_SY_B!AL30/Inv_SY_B!$BY30-1,"")</f>
        <v>-9.8916726115169329E-2</v>
      </c>
      <c r="AM30" s="184">
        <f>IFERROR(Inv_SY_B!AM30/Inv_SY_B!$BY30-1,"")</f>
        <v>-3.2080438442038783E-2</v>
      </c>
      <c r="AN30" s="184">
        <f>IFERROR(Inv_SY_B!AN30/Inv_SY_B!$BY30-1,"")</f>
        <v>-2.3939257683870063E-2</v>
      </c>
      <c r="AO30" s="184">
        <f>IFERROR(Inv_SY_B!AO30/Inv_SY_B!$BY30-1,"")</f>
        <v>-2.0536973187918917E-2</v>
      </c>
      <c r="AP30" s="184">
        <f>IFERROR(Inv_SY_B!AP30/Inv_SY_B!$BY30-1,"")</f>
        <v>-2.907306196793924E-2</v>
      </c>
      <c r="AQ30" s="184">
        <f>IFERROR(Inv_SY_B!AQ30/Inv_SY_B!$BY30-1,"")</f>
        <v>-2.8715302663116837E-2</v>
      </c>
      <c r="AR30" s="184">
        <f>IFERROR(Inv_SY_B!AR30/Inv_SY_B!$BY30-1,"")</f>
        <v>-3.0276012557579057E-2</v>
      </c>
      <c r="AS30" s="184">
        <f>IFERROR(Inv_SY_B!AS30/Inv_SY_B!$BY30-1,"")</f>
        <v>-3.3723750854335988E-2</v>
      </c>
      <c r="AT30" s="184">
        <f>IFERROR(Inv_SY_B!AT30/Inv_SY_B!$BY30-1,"")</f>
        <v>-1.9260470014219155E-2</v>
      </c>
      <c r="AU30" s="184">
        <f>IFERROR(Inv_SY_B!AU30/Inv_SY_B!$BY30-1,"")</f>
        <v>-1.7790453388803806E-2</v>
      </c>
      <c r="AV30" s="184">
        <f>IFERROR(Inv_SY_B!AV30/Inv_SY_B!$BY30-1,"")</f>
        <v>-1.451541929789657E-2</v>
      </c>
      <c r="AW30" s="184">
        <f>IFERROR(Inv_SY_B!AW30/Inv_SY_B!$BY30-1,"")</f>
        <v>3.8395820193540153E-2</v>
      </c>
      <c r="AX30" s="184">
        <f>IFERROR(Inv_SY_B!AX30/Inv_SY_B!$BY30-1,"")</f>
        <v>4.9711338660936688E-2</v>
      </c>
      <c r="AY30" s="184">
        <f>IFERROR(Inv_SY_B!AY30/Inv_SY_B!$BY30-1,"")</f>
        <v>-1.6763481133342806E-3</v>
      </c>
      <c r="AZ30" s="184">
        <f>IFERROR(Inv_SY_B!AZ30/Inv_SY_B!$BY30-1,"")</f>
        <v>6.8695144589360657E-2</v>
      </c>
      <c r="BA30" s="184">
        <f>IFERROR(Inv_SY_B!BA30/Inv_SY_B!$BY30-1,"")</f>
        <v>4.7051346077424672E-3</v>
      </c>
      <c r="BB30" s="184">
        <f>IFERROR(Inv_SY_B!BB30/Inv_SY_B!$BY30-1,"")</f>
        <v>4.411655808186743E-2</v>
      </c>
      <c r="BC30" s="184">
        <f>IFERROR(Inv_SY_B!BC30/Inv_SY_B!$BY30-1,"")</f>
        <v>3.2556051159231769E-2</v>
      </c>
      <c r="BD30" s="184">
        <f>IFERROR(Inv_SY_B!BD30/Inv_SY_B!$BY30-1,"")</f>
        <v>3.4979410844166337E-2</v>
      </c>
      <c r="BE30" s="184">
        <f>IFERROR(Inv_SY_B!BE30/Inv_SY_B!$BY30-1,"")</f>
        <v>2.703557183940819E-2</v>
      </c>
      <c r="BF30" s="184">
        <f>IFERROR(Inv_SY_B!BF30/Inv_SY_B!$BY30-1,"")</f>
        <v>1.7881205899070718E-3</v>
      </c>
      <c r="BG30" s="184">
        <f>IFERROR(Inv_SY_B!BG30/Inv_SY_B!$BY30-1,"")</f>
        <v>4.8223969721730375E-2</v>
      </c>
      <c r="BH30" s="184">
        <f>IFERROR(Inv_SY_B!BH30/Inv_SY_B!$BY30-1,"")</f>
        <v>1.8890312322385361E-2</v>
      </c>
      <c r="BI30" s="184">
        <f>IFERROR(Inv_SY_B!BI30/Inv_SY_B!$BY30-1,"")</f>
        <v>5.196271161910615E-2</v>
      </c>
      <c r="BJ30" s="184">
        <f>IFERROR(Inv_SY_B!BJ30/Inv_SY_B!$BY30-1,"")</f>
        <v>6.0084855029958195E-2</v>
      </c>
      <c r="BK30" s="184">
        <f>IFERROR(Inv_SY_B!BK30/Inv_SY_B!$BY30-1,"")</f>
        <v>6.3855423701479896E-2</v>
      </c>
      <c r="BL30" s="184">
        <f>IFERROR(Inv_SY_B!BL30/Inv_SY_B!$BY30-1,"")</f>
        <v>5.0258032013584586E-2</v>
      </c>
      <c r="BM30" s="184">
        <f>IFERROR(Inv_SY_B!BM30/Inv_SY_B!$BY30-1,"")</f>
        <v>5.7227644716847603E-2</v>
      </c>
      <c r="BN30" s="184">
        <f>IFERROR(Inv_SY_B!BN30/Inv_SY_B!$BY30-1,"")</f>
        <v>4.4993558428285674E-2</v>
      </c>
      <c r="BO30" s="184">
        <f>IFERROR(Inv_SY_B!BO30/Inv_SY_B!$BY30-1,"")</f>
        <v>-4.7011659803346317E-2</v>
      </c>
      <c r="BP30" s="184">
        <f>IFERROR(Inv_SY_B!BP30/Inv_SY_B!$BY30-1,"")</f>
        <v>5.1236311914452104E-2</v>
      </c>
      <c r="BQ30" s="184">
        <f>IFERROR(Inv_SY_B!BQ30/Inv_SY_B!$BY30-1,"")</f>
        <v>1.5470077461804399E-2</v>
      </c>
      <c r="BR30" s="184">
        <f>IFERROR(Inv_SY_B!BR30/Inv_SY_B!$BY30-1,"")</f>
        <v>3.9445360637328841E-2</v>
      </c>
      <c r="BS30" s="184">
        <f>IFERROR(Inv_SY_B!BS30/Inv_SY_B!$BY30-1,"")</f>
        <v>-4.9150527077358452E-3</v>
      </c>
      <c r="BT30" s="184">
        <f>IFERROR(Inv_SY_B!BT30/Inv_SY_B!$BY30-1,"")</f>
        <v>5.30249237552185E-2</v>
      </c>
      <c r="BU30" s="184">
        <f>IFERROR(Inv_SY_B!BU30/Inv_SY_B!$BY30-1,"")</f>
        <v>2.3513089721803881E-2</v>
      </c>
      <c r="BV30" s="184">
        <f>IFERROR(Inv_SY_B!BV30/Inv_SY_B!$BY30-1,"")</f>
        <v>2.0670996803996644E-2</v>
      </c>
      <c r="BW30" s="184">
        <f>IFERROR(Inv_SY_B!BW30/Inv_SY_B!$BY30-1,"")</f>
        <v>3.5998181111408289E-2</v>
      </c>
      <c r="BX30" s="184">
        <f>IFERROR(Inv_SY_B!BX30/Inv_SY_B!$BY30-1,"")</f>
        <v>3.495264161207623E-2</v>
      </c>
    </row>
    <row r="31" spans="1:76">
      <c r="A31"/>
      <c r="B31" s="179">
        <f t="shared" si="1"/>
        <v>45849</v>
      </c>
      <c r="C31" s="184">
        <f>IFERROR(Inv_SY_B!C31/Inv_SY_B!$BY31-1,"")</f>
        <v>2.235086663690411E-2</v>
      </c>
      <c r="D31" s="184">
        <f>IFERROR(Inv_SY_B!D31/Inv_SY_B!$BY31-1,"")</f>
        <v>1.3537160901259115E-2</v>
      </c>
      <c r="E31" s="184">
        <f>IFERROR(Inv_SY_B!E31/Inv_SY_B!$BY31-1,"")</f>
        <v>2.3359496119553791E-2</v>
      </c>
      <c r="F31" s="184">
        <f>IFERROR(Inv_SY_B!F31/Inv_SY_B!$BY31-1,"")</f>
        <v>1.320714110627641E-2</v>
      </c>
      <c r="G31" s="184">
        <f>IFERROR(Inv_SY_B!G31/Inv_SY_B!$BY31-1,"")</f>
        <v>-2.5475184051736321E-2</v>
      </c>
      <c r="H31" s="184">
        <f>IFERROR(Inv_SY_B!H31/Inv_SY_B!$BY31-1,"")</f>
        <v>-3.2424078659519018E-2</v>
      </c>
      <c r="I31" s="184">
        <f>IFERROR(Inv_SY_B!I31/Inv_SY_B!$BY31-1,"")</f>
        <v>1.072161774187963E-2</v>
      </c>
      <c r="J31" s="184">
        <f>IFERROR(Inv_SY_B!J31/Inv_SY_B!$BY31-1,"")</f>
        <v>-2.706301135321787E-2</v>
      </c>
      <c r="K31" s="184">
        <f>IFERROR(Inv_SY_B!K31/Inv_SY_B!$BY31-1,"")</f>
        <v>1.2965871052445399E-2</v>
      </c>
      <c r="L31" s="184">
        <f>IFERROR(Inv_SY_B!L31/Inv_SY_B!$BY31-1,"")</f>
        <v>3.4441784178419699E-2</v>
      </c>
      <c r="M31" s="184">
        <f>IFERROR(Inv_SY_B!M31/Inv_SY_B!$BY31-1,"")</f>
        <v>4.9477562534180342E-2</v>
      </c>
      <c r="N31" s="184">
        <f>IFERROR(Inv_SY_B!N31/Inv_SY_B!$BY31-1,"")</f>
        <v>2.345854747008147E-2</v>
      </c>
      <c r="O31" s="184">
        <f>IFERROR(Inv_SY_B!O31/Inv_SY_B!$BY31-1,"")</f>
        <v>7.9405967797552268E-2</v>
      </c>
      <c r="P31" s="184">
        <f>IFERROR(Inv_SY_B!P31/Inv_SY_B!$BY31-1,"")</f>
        <v>-1.0254428494744783E-3</v>
      </c>
      <c r="Q31" s="184">
        <f>IFERROR(Inv_SY_B!Q31/Inv_SY_B!$BY31-1,"")</f>
        <v>2.5753754187786582E-2</v>
      </c>
      <c r="R31" s="184">
        <f>IFERROR(Inv_SY_B!R31/Inv_SY_B!$BY31-1,"")</f>
        <v>3.9587269508939649E-2</v>
      </c>
      <c r="S31" s="184">
        <f>IFERROR(Inv_SY_B!S31/Inv_SY_B!$BY31-1,"")</f>
        <v>2.2212174178396715E-2</v>
      </c>
      <c r="T31" s="184">
        <f>IFERROR(Inv_SY_B!T31/Inv_SY_B!$BY31-1,"")</f>
        <v>-1.1270475443128869E-2</v>
      </c>
      <c r="U31" s="184">
        <f>IFERROR(Inv_SY_B!U31/Inv_SY_B!$BY31-1,"")</f>
        <v>2.979722417382491E-2</v>
      </c>
      <c r="V31" s="184">
        <f>IFERROR(Inv_SY_B!V31/Inv_SY_B!$BY31-1,"")</f>
        <v>2.3390048470853797E-2</v>
      </c>
      <c r="W31" s="184">
        <f>IFERROR(Inv_SY_B!W31/Inv_SY_B!$BY31-1,"")</f>
        <v>-2.6682822943481899E-2</v>
      </c>
      <c r="X31" s="184">
        <f>IFERROR(Inv_SY_B!X31/Inv_SY_B!$BY31-1,"")</f>
        <v>-6.4895953816611618E-3</v>
      </c>
      <c r="Y31" s="184">
        <f>IFERROR(Inv_SY_B!Y31/Inv_SY_B!$BY31-1,"")</f>
        <v>8.2551923235036906E-3</v>
      </c>
      <c r="Z31" s="184">
        <f>IFERROR(Inv_SY_B!Z31/Inv_SY_B!$BY31-1,"")</f>
        <v>7.4234281328067198E-3</v>
      </c>
      <c r="AA31" s="184">
        <f>IFERROR(Inv_SY_B!AA31/Inv_SY_B!$BY31-1,"")</f>
        <v>1.8071257206822011E-2</v>
      </c>
      <c r="AB31" s="184">
        <f>IFERROR(Inv_SY_B!AB31/Inv_SY_B!$BY31-1,"")</f>
        <v>1.3947263809889421E-2</v>
      </c>
      <c r="AC31" s="184">
        <f>IFERROR(Inv_SY_B!AC31/Inv_SY_B!$BY31-1,"")</f>
        <v>6.333328952777606E-3</v>
      </c>
      <c r="AD31" s="184">
        <f>IFERROR(Inv_SY_B!AD31/Inv_SY_B!$BY31-1,"")</f>
        <v>-5.1074666081056819E-3</v>
      </c>
      <c r="AE31" s="184">
        <f>IFERROR(Inv_SY_B!AE31/Inv_SY_B!$BY31-1,"")</f>
        <v>2.8002740094450695E-2</v>
      </c>
      <c r="AF31" s="184">
        <f>IFERROR(Inv_SY_B!AF31/Inv_SY_B!$BY31-1,"")</f>
        <v>1.2371632138153732E-2</v>
      </c>
      <c r="AG31" s="184">
        <f>IFERROR(Inv_SY_B!AG31/Inv_SY_B!$BY31-1,"")</f>
        <v>2.1809951099684755E-2</v>
      </c>
      <c r="AH31" s="184">
        <f>IFERROR(Inv_SY_B!AH31/Inv_SY_B!$BY31-1,"")</f>
        <v>8.2843098494376211E-3</v>
      </c>
      <c r="AI31" s="184">
        <f>IFERROR(Inv_SY_B!AI31/Inv_SY_B!$BY31-1,"")</f>
        <v>2.8269799218350933E-2</v>
      </c>
      <c r="AJ31" s="184">
        <f>IFERROR(Inv_SY_B!AJ31/Inv_SY_B!$BY31-1,"")</f>
        <v>2.991601520420506E-2</v>
      </c>
      <c r="AK31" s="184">
        <f>IFERROR(Inv_SY_B!AK31/Inv_SY_B!$BY31-1,"")</f>
        <v>1.0330389306688836E-2</v>
      </c>
      <c r="AL31" s="184">
        <f>IFERROR(Inv_SY_B!AL31/Inv_SY_B!$BY31-1,"")</f>
        <v>-8.3870788197244472E-3</v>
      </c>
      <c r="AM31" s="184">
        <f>IFERROR(Inv_SY_B!AM31/Inv_SY_B!$BY31-1,"")</f>
        <v>2.4203581375817906E-2</v>
      </c>
      <c r="AN31" s="184">
        <f>IFERROR(Inv_SY_B!AN31/Inv_SY_B!$BY31-1,"")</f>
        <v>2.780722701787286E-2</v>
      </c>
      <c r="AO31" s="184">
        <f>IFERROR(Inv_SY_B!AO31/Inv_SY_B!$BY31-1,"")</f>
        <v>3.4441845932508652E-2</v>
      </c>
      <c r="AP31" s="184">
        <f>IFERROR(Inv_SY_B!AP31/Inv_SY_B!$BY31-1,"")</f>
        <v>-1.2629029314487616E-2</v>
      </c>
      <c r="AQ31" s="184">
        <f>IFERROR(Inv_SY_B!AQ31/Inv_SY_B!$BY31-1,"")</f>
        <v>1.9032760911303903E-2</v>
      </c>
      <c r="AR31" s="184">
        <f>IFERROR(Inv_SY_B!AR31/Inv_SY_B!$BY31-1,"")</f>
        <v>1.8093850871713668E-2</v>
      </c>
      <c r="AS31" s="184">
        <f>IFERROR(Inv_SY_B!AS31/Inv_SY_B!$BY31-1,"")</f>
        <v>2.409608244322814E-2</v>
      </c>
      <c r="AT31" s="184">
        <f>IFERROR(Inv_SY_B!AT31/Inv_SY_B!$BY31-1,"")</f>
        <v>1.1213131961477218E-2</v>
      </c>
      <c r="AU31" s="184">
        <f>IFERROR(Inv_SY_B!AU31/Inv_SY_B!$BY31-1,"")</f>
        <v>5.2051297043069544E-2</v>
      </c>
      <c r="AV31" s="184">
        <f>IFERROR(Inv_SY_B!AV31/Inv_SY_B!$BY31-1,"")</f>
        <v>2.6271205897274497E-2</v>
      </c>
      <c r="AW31" s="184">
        <f>IFERROR(Inv_SY_B!AW31/Inv_SY_B!$BY31-1,"")</f>
        <v>-0.14022654126547762</v>
      </c>
      <c r="AX31" s="184">
        <f>IFERROR(Inv_SY_B!AX31/Inv_SY_B!$BY31-1,"")</f>
        <v>-0.11667843440020709</v>
      </c>
      <c r="AY31" s="184">
        <f>IFERROR(Inv_SY_B!AY31/Inv_SY_B!$BY31-1,"")</f>
        <v>-3.0162756859848705E-2</v>
      </c>
      <c r="AZ31" s="184">
        <f>IFERROR(Inv_SY_B!AZ31/Inv_SY_B!$BY31-1,"")</f>
        <v>3.0680792190271422E-2</v>
      </c>
      <c r="BA31" s="184">
        <f>IFERROR(Inv_SY_B!BA31/Inv_SY_B!$BY31-1,"")</f>
        <v>-5.4154168403957037E-2</v>
      </c>
      <c r="BB31" s="184">
        <f>IFERROR(Inv_SY_B!BB31/Inv_SY_B!$BY31-1,"")</f>
        <v>-3.4153976357793048E-2</v>
      </c>
      <c r="BC31" s="184">
        <f>IFERROR(Inv_SY_B!BC31/Inv_SY_B!$BY31-1,"")</f>
        <v>-3.3118960085980476E-2</v>
      </c>
      <c r="BD31" s="184">
        <f>IFERROR(Inv_SY_B!BD31/Inv_SY_B!$BY31-1,"")</f>
        <v>-2.8865172919918414E-2</v>
      </c>
      <c r="BE31" s="184">
        <f>IFERROR(Inv_SY_B!BE31/Inv_SY_B!$BY31-1,"")</f>
        <v>-1.986694370146036E-2</v>
      </c>
      <c r="BF31" s="184">
        <f>IFERROR(Inv_SY_B!BF31/Inv_SY_B!$BY31-1,"")</f>
        <v>-3.8259609753134138E-2</v>
      </c>
      <c r="BG31" s="184">
        <f>IFERROR(Inv_SY_B!BG31/Inv_SY_B!$BY31-1,"")</f>
        <v>-1.4984477752123859E-2</v>
      </c>
      <c r="BH31" s="184">
        <f>IFERROR(Inv_SY_B!BH31/Inv_SY_B!$BY31-1,"")</f>
        <v>-2.035566206004924E-2</v>
      </c>
      <c r="BI31" s="184">
        <f>IFERROR(Inv_SY_B!BI31/Inv_SY_B!$BY31-1,"")</f>
        <v>-1.9375692708395231E-2</v>
      </c>
      <c r="BJ31" s="184">
        <f>IFERROR(Inv_SY_B!BJ31/Inv_SY_B!$BY31-1,"")</f>
        <v>-5.7519184091119335E-3</v>
      </c>
      <c r="BK31" s="184">
        <f>IFERROR(Inv_SY_B!BK31/Inv_SY_B!$BY31-1,"")</f>
        <v>-2.567806667025363E-2</v>
      </c>
      <c r="BL31" s="184">
        <f>IFERROR(Inv_SY_B!BL31/Inv_SY_B!$BY31-1,"")</f>
        <v>-2.2544554715640319E-2</v>
      </c>
      <c r="BM31" s="184">
        <f>IFERROR(Inv_SY_B!BM31/Inv_SY_B!$BY31-1,"")</f>
        <v>-3.1398445765346894E-2</v>
      </c>
      <c r="BN31" s="184">
        <f>IFERROR(Inv_SY_B!BN31/Inv_SY_B!$BY31-1,"")</f>
        <v>-4.2603431839984829E-2</v>
      </c>
      <c r="BO31" s="184">
        <f>IFERROR(Inv_SY_B!BO31/Inv_SY_B!$BY31-1,"")</f>
        <v>-0.12568536477097492</v>
      </c>
      <c r="BP31" s="184">
        <f>IFERROR(Inv_SY_B!BP31/Inv_SY_B!$BY31-1,"")</f>
        <v>-3.4087475959814539E-2</v>
      </c>
      <c r="BQ31" s="184">
        <f>IFERROR(Inv_SY_B!BQ31/Inv_SY_B!$BY31-1,"")</f>
        <v>-2.0096499242733157E-2</v>
      </c>
      <c r="BR31" s="184">
        <f>IFERROR(Inv_SY_B!BR31/Inv_SY_B!$BY31-1,"")</f>
        <v>2.0391256229226329E-3</v>
      </c>
      <c r="BS31" s="184">
        <f>IFERROR(Inv_SY_B!BS31/Inv_SY_B!$BY31-1,"")</f>
        <v>-2.8913940311894426E-2</v>
      </c>
      <c r="BT31" s="184">
        <f>IFERROR(Inv_SY_B!BT31/Inv_SY_B!$BY31-1,"")</f>
        <v>2.0836480702865812E-2</v>
      </c>
      <c r="BU31" s="184">
        <f>IFERROR(Inv_SY_B!BU31/Inv_SY_B!$BY31-1,"")</f>
        <v>2.7930558391069171E-2</v>
      </c>
      <c r="BV31" s="184">
        <f>IFERROR(Inv_SY_B!BV31/Inv_SY_B!$BY31-1,"")</f>
        <v>0.15585066365719236</v>
      </c>
      <c r="BW31" s="184">
        <f>IFERROR(Inv_SY_B!BW31/Inv_SY_B!$BY31-1,"")</f>
        <v>-6.1551562369045465E-3</v>
      </c>
      <c r="BX31" s="184">
        <f>IFERROR(Inv_SY_B!BX31/Inv_SY_B!$BY31-1,"")</f>
        <v>-4.1558961798189409E-2</v>
      </c>
    </row>
    <row r="32" spans="1:76">
      <c r="A32"/>
      <c r="B32" s="179">
        <f>B31+1</f>
        <v>45850</v>
      </c>
      <c r="C32" s="184">
        <f>IFERROR(Inv_SY_B!C32/Inv_SY_B!$BY32-1,"")</f>
        <v>-5.0740397657767056E-2</v>
      </c>
      <c r="D32" s="184">
        <f>IFERROR(Inv_SY_B!D32/Inv_SY_B!$BY32-1,"")</f>
        <v>-5.0401894488312227E-2</v>
      </c>
      <c r="E32" s="184">
        <f>IFERROR(Inv_SY_B!E32/Inv_SY_B!$BY32-1,"")</f>
        <v>-5.3183898481484859E-2</v>
      </c>
      <c r="F32" s="184">
        <f>IFERROR(Inv_SY_B!F32/Inv_SY_B!$BY32-1,"")</f>
        <v>-5.5728936373475646E-2</v>
      </c>
      <c r="G32" s="184">
        <f>IFERROR(Inv_SY_B!G32/Inv_SY_B!$BY32-1,"")</f>
        <v>-5.7018359679038122E-2</v>
      </c>
      <c r="H32" s="184">
        <f>IFERROR(Inv_SY_B!H32/Inv_SY_B!$BY32-1,"")</f>
        <v>-6.4082438715345691E-2</v>
      </c>
      <c r="I32" s="184">
        <f>IFERROR(Inv_SY_B!I32/Inv_SY_B!$BY32-1,"")</f>
        <v>-4.3033692499649945E-2</v>
      </c>
      <c r="J32" s="184">
        <f>IFERROR(Inv_SY_B!J32/Inv_SY_B!$BY32-1,"")</f>
        <v>-5.2194856822818214E-2</v>
      </c>
      <c r="K32" s="184">
        <f>IFERROR(Inv_SY_B!K32/Inv_SY_B!$BY32-1,"")</f>
        <v>-7.1437670887085192E-2</v>
      </c>
      <c r="L32" s="184">
        <f>IFERROR(Inv_SY_B!L32/Inv_SY_B!$BY32-1,"")</f>
        <v>-3.3230623746292154E-2</v>
      </c>
      <c r="M32" s="184">
        <f>IFERROR(Inv_SY_B!M32/Inv_SY_B!$BY32-1,"")</f>
        <v>-2.012683701059681E-2</v>
      </c>
      <c r="N32" s="184">
        <f>IFERROR(Inv_SY_B!N32/Inv_SY_B!$BY32-1,"")</f>
        <v>-4.6852156858299576E-2</v>
      </c>
      <c r="O32" s="184">
        <f>IFERROR(Inv_SY_B!O32/Inv_SY_B!$BY32-1,"")</f>
        <v>-8.023830947412991E-3</v>
      </c>
      <c r="P32" s="184">
        <f>IFERROR(Inv_SY_B!P32/Inv_SY_B!$BY32-1,"")</f>
        <v>-7.0095783818915347E-2</v>
      </c>
      <c r="Q32" s="184">
        <f>IFERROR(Inv_SY_B!Q32/Inv_SY_B!$BY32-1,"")</f>
        <v>-4.6219446770043304E-2</v>
      </c>
      <c r="R32" s="184">
        <f>IFERROR(Inv_SY_B!R32/Inv_SY_B!$BY32-1,"")</f>
        <v>-4.2027722601667761E-2</v>
      </c>
      <c r="S32" s="184">
        <f>IFERROR(Inv_SY_B!S32/Inv_SY_B!$BY32-1,"")</f>
        <v>-5.5981143979357162E-2</v>
      </c>
      <c r="T32" s="184">
        <f>IFERROR(Inv_SY_B!T32/Inv_SY_B!$BY32-1,"")</f>
        <v>-5.1576836818687521E-2</v>
      </c>
      <c r="U32" s="184">
        <f>IFERROR(Inv_SY_B!U32/Inv_SY_B!$BY32-1,"")</f>
        <v>-4.789661190194483E-2</v>
      </c>
      <c r="V32" s="184">
        <f>IFERROR(Inv_SY_B!V32/Inv_SY_B!$BY32-1,"")</f>
        <v>-4.4915608920765293E-2</v>
      </c>
      <c r="W32" s="184">
        <f>IFERROR(Inv_SY_B!W32/Inv_SY_B!$BY32-1,"")</f>
        <v>-7.1188433002418727E-2</v>
      </c>
      <c r="X32" s="184">
        <f>IFERROR(Inv_SY_B!X32/Inv_SY_B!$BY32-1,"")</f>
        <v>-3.4993259507958285E-2</v>
      </c>
      <c r="Y32" s="184">
        <f>IFERROR(Inv_SY_B!Y32/Inv_SY_B!$BY32-1,"")</f>
        <v>-1.9224444356725656E-2</v>
      </c>
      <c r="Z32" s="184">
        <f>IFERROR(Inv_SY_B!Z32/Inv_SY_B!$BY32-1,"")</f>
        <v>-1.5892606725985137E-2</v>
      </c>
      <c r="AA32" s="184">
        <f>IFERROR(Inv_SY_B!AA32/Inv_SY_B!$BY32-1,"")</f>
        <v>-2.8184276474629288E-2</v>
      </c>
      <c r="AB32" s="184">
        <f>IFERROR(Inv_SY_B!AB32/Inv_SY_B!$BY32-1,"")</f>
        <v>-4.79553654326621E-2</v>
      </c>
      <c r="AC32" s="184">
        <f>IFERROR(Inv_SY_B!AC32/Inv_SY_B!$BY32-1,"")</f>
        <v>-2.5170326115842911E-2</v>
      </c>
      <c r="AD32" s="184">
        <f>IFERROR(Inv_SY_B!AD32/Inv_SY_B!$BY32-1,"")</f>
        <v>-3.2549421550683966E-2</v>
      </c>
      <c r="AE32" s="184">
        <f>IFERROR(Inv_SY_B!AE32/Inv_SY_B!$BY32-1,"")</f>
        <v>8.4634870696080888E-3</v>
      </c>
      <c r="AF32" s="184">
        <f>IFERROR(Inv_SY_B!AF32/Inv_SY_B!$BY32-1,"")</f>
        <v>-6.4104223721634934E-3</v>
      </c>
      <c r="AG32" s="184">
        <f>IFERROR(Inv_SY_B!AG32/Inv_SY_B!$BY32-1,"")</f>
        <v>7.0256798190215797E-3</v>
      </c>
      <c r="AH32" s="184">
        <f>IFERROR(Inv_SY_B!AH32/Inv_SY_B!$BY32-1,"")</f>
        <v>-2.0679264217005056E-3</v>
      </c>
      <c r="AI32" s="184">
        <f>IFERROR(Inv_SY_B!AI32/Inv_SY_B!$BY32-1,"")</f>
        <v>4.1078219999153287E-3</v>
      </c>
      <c r="AJ32" s="184">
        <f>IFERROR(Inv_SY_B!AJ32/Inv_SY_B!$BY32-1,"")</f>
        <v>5.5899740021625455E-3</v>
      </c>
      <c r="AK32" s="184">
        <f>IFERROR(Inv_SY_B!AK32/Inv_SY_B!$BY32-1,"")</f>
        <v>-7.8171861477671634E-3</v>
      </c>
      <c r="AL32" s="184">
        <f>IFERROR(Inv_SY_B!AL32/Inv_SY_B!$BY32-1,"")</f>
        <v>-3.6304027235996017E-3</v>
      </c>
      <c r="AM32" s="184">
        <f>IFERROR(Inv_SY_B!AM32/Inv_SY_B!$BY32-1,"")</f>
        <v>-2.0310549458724125E-5</v>
      </c>
      <c r="AN32" s="184">
        <f>IFERROR(Inv_SY_B!AN32/Inv_SY_B!$BY32-1,"")</f>
        <v>6.5438043560916981E-3</v>
      </c>
      <c r="AO32" s="184">
        <f>IFERROR(Inv_SY_B!AO32/Inv_SY_B!$BY32-1,"")</f>
        <v>1.5411421326122499E-2</v>
      </c>
      <c r="AP32" s="184">
        <f>IFERROR(Inv_SY_B!AP32/Inv_SY_B!$BY32-1,"")</f>
        <v>-3.4988511062139294E-2</v>
      </c>
      <c r="AQ32" s="184">
        <f>IFERROR(Inv_SY_B!AQ32/Inv_SY_B!$BY32-1,"")</f>
        <v>3.5252918397674637E-3</v>
      </c>
      <c r="AR32" s="184">
        <f>IFERROR(Inv_SY_B!AR32/Inv_SY_B!$BY32-1,"")</f>
        <v>7.4703730882386132E-4</v>
      </c>
      <c r="AS32" s="184">
        <f>IFERROR(Inv_SY_B!AS32/Inv_SY_B!$BY32-1,"")</f>
        <v>-1.8123617306173179E-2</v>
      </c>
      <c r="AT32" s="184">
        <f>IFERROR(Inv_SY_B!AT32/Inv_SY_B!$BY32-1,"")</f>
        <v>-1.6748605676740635E-2</v>
      </c>
      <c r="AU32" s="184">
        <f>IFERROR(Inv_SY_B!AU32/Inv_SY_B!$BY32-1,"")</f>
        <v>7.5918763445936843E-3</v>
      </c>
      <c r="AV32" s="184">
        <f>IFERROR(Inv_SY_B!AV32/Inv_SY_B!$BY32-1,"")</f>
        <v>-1.7569200062180768E-3</v>
      </c>
      <c r="AW32" s="184">
        <f>IFERROR(Inv_SY_B!AW32/Inv_SY_B!$BY32-1,"")</f>
        <v>-4.3681589427348788E-2</v>
      </c>
      <c r="AX32" s="184">
        <f>IFERROR(Inv_SY_B!AX32/Inv_SY_B!$BY32-1,"")</f>
        <v>-2.1974039298994108E-2</v>
      </c>
      <c r="AY32" s="184">
        <f>IFERROR(Inv_SY_B!AY32/Inv_SY_B!$BY32-1,"")</f>
        <v>-2.0987581066292393E-2</v>
      </c>
      <c r="AZ32" s="184">
        <f>IFERROR(Inv_SY_B!AZ32/Inv_SY_B!$BY32-1,"")</f>
        <v>5.0686752061366747E-2</v>
      </c>
      <c r="BA32" s="184">
        <f>IFERROR(Inv_SY_B!BA32/Inv_SY_B!$BY32-1,"")</f>
        <v>-3.1375651022891859E-2</v>
      </c>
      <c r="BB32" s="184">
        <f>IFERROR(Inv_SY_B!BB32/Inv_SY_B!$BY32-1,"")</f>
        <v>5.2422128500739795E-3</v>
      </c>
      <c r="BC32" s="184">
        <f>IFERROR(Inv_SY_B!BC32/Inv_SY_B!$BY32-1,"")</f>
        <v>2.8670132686642757E-2</v>
      </c>
      <c r="BD32" s="184">
        <f>IFERROR(Inv_SY_B!BD32/Inv_SY_B!$BY32-1,"")</f>
        <v>2.75390706805001E-2</v>
      </c>
      <c r="BE32" s="184">
        <f>IFERROR(Inv_SY_B!BE32/Inv_SY_B!$BY32-1,"")</f>
        <v>4.4022033210291633E-2</v>
      </c>
      <c r="BF32" s="184">
        <f>IFERROR(Inv_SY_B!BF32/Inv_SY_B!$BY32-1,"")</f>
        <v>2.0737643155469776E-2</v>
      </c>
      <c r="BG32" s="184">
        <f>IFERROR(Inv_SY_B!BG32/Inv_SY_B!$BY32-1,"")</f>
        <v>7.2285721786253809E-2</v>
      </c>
      <c r="BH32" s="184">
        <f>IFERROR(Inv_SY_B!BH32/Inv_SY_B!$BY32-1,"")</f>
        <v>6.3220504331539029E-2</v>
      </c>
      <c r="BI32" s="184">
        <f>IFERROR(Inv_SY_B!BI32/Inv_SY_B!$BY32-1,"")</f>
        <v>6.7185444490901247E-2</v>
      </c>
      <c r="BJ32" s="184">
        <f>IFERROR(Inv_SY_B!BJ32/Inv_SY_B!$BY32-1,"")</f>
        <v>8.1804719540739868E-2</v>
      </c>
      <c r="BK32" s="184">
        <f>IFERROR(Inv_SY_B!BK32/Inv_SY_B!$BY32-1,"")</f>
        <v>7.4789529123796994E-2</v>
      </c>
      <c r="BL32" s="184">
        <f>IFERROR(Inv_SY_B!BL32/Inv_SY_B!$BY32-1,"")</f>
        <v>6.1366770565595363E-2</v>
      </c>
      <c r="BM32" s="184">
        <f>IFERROR(Inv_SY_B!BM32/Inv_SY_B!$BY32-1,"")</f>
        <v>7.1404643147422675E-2</v>
      </c>
      <c r="BN32" s="184">
        <f>IFERROR(Inv_SY_B!BN32/Inv_SY_B!$BY32-1,"")</f>
        <v>6.029580033453108E-2</v>
      </c>
      <c r="BO32" s="184">
        <f>IFERROR(Inv_SY_B!BO32/Inv_SY_B!$BY32-1,"")</f>
        <v>-6.2391074032538962E-2</v>
      </c>
      <c r="BP32" s="184">
        <f>IFERROR(Inv_SY_B!BP32/Inv_SY_B!$BY32-1,"")</f>
        <v>6.4331381423235356E-2</v>
      </c>
      <c r="BQ32" s="184">
        <f>IFERROR(Inv_SY_B!BQ32/Inv_SY_B!$BY32-1,"")</f>
        <v>5.7186210645877811E-2</v>
      </c>
      <c r="BR32" s="184">
        <f>IFERROR(Inv_SY_B!BR32/Inv_SY_B!$BY32-1,"")</f>
        <v>7.6113278423031172E-2</v>
      </c>
      <c r="BS32" s="184">
        <f>IFERROR(Inv_SY_B!BS32/Inv_SY_B!$BY32-1,"")</f>
        <v>2.3735963319097442E-2</v>
      </c>
      <c r="BT32" s="184">
        <f>IFERROR(Inv_SY_B!BT32/Inv_SY_B!$BY32-1,"")</f>
        <v>5.8421660723733559E-2</v>
      </c>
      <c r="BU32" s="184">
        <f>IFERROR(Inv_SY_B!BU32/Inv_SY_B!$BY32-1,"")</f>
        <v>9.3178341249560592E-2</v>
      </c>
      <c r="BV32" s="184">
        <f>IFERROR(Inv_SY_B!BV32/Inv_SY_B!$BY32-1,"")</f>
        <v>0.20316985215065686</v>
      </c>
      <c r="BW32" s="184">
        <f>IFERROR(Inv_SY_B!BW32/Inv_SY_B!$BY32-1,"")</f>
        <v>8.1240787173374018E-2</v>
      </c>
      <c r="BX32" s="184">
        <f>IFERROR(Inv_SY_B!BX32/Inv_SY_B!$BY32-1,"")</f>
        <v>6.6265872120085278E-2</v>
      </c>
    </row>
    <row r="33" spans="1:76">
      <c r="A33"/>
      <c r="B33" s="179">
        <f t="shared" si="1"/>
        <v>45851</v>
      </c>
      <c r="C33" s="184">
        <f>IFERROR(Inv_SY_B!C33/Inv_SY_B!$BY33-1,"")</f>
        <v>1.2592158838740763E-2</v>
      </c>
      <c r="D33" s="184">
        <f>IFERROR(Inv_SY_B!D33/Inv_SY_B!$BY33-1,"")</f>
        <v>1.0914932937292177E-2</v>
      </c>
      <c r="E33" s="184">
        <f>IFERROR(Inv_SY_B!E33/Inv_SY_B!$BY33-1,"")</f>
        <v>-4.8186560807457202E-3</v>
      </c>
      <c r="F33" s="184">
        <f>IFERROR(Inv_SY_B!F33/Inv_SY_B!$BY33-1,"")</f>
        <v>-1.6962877074121585E-2</v>
      </c>
      <c r="G33" s="184">
        <f>IFERROR(Inv_SY_B!G33/Inv_SY_B!$BY33-1,"")</f>
        <v>-1.9610533641162053E-2</v>
      </c>
      <c r="H33" s="184">
        <f>IFERROR(Inv_SY_B!H33/Inv_SY_B!$BY33-1,"")</f>
        <v>-1.5425421874820988E-2</v>
      </c>
      <c r="I33" s="184">
        <f>IFERROR(Inv_SY_B!I33/Inv_SY_B!$BY33-1,"")</f>
        <v>6.7234685866672805E-3</v>
      </c>
      <c r="J33" s="184">
        <f>IFERROR(Inv_SY_B!J33/Inv_SY_B!$BY33-1,"")</f>
        <v>1.5552954624819204E-2</v>
      </c>
      <c r="K33" s="184">
        <f>IFERROR(Inv_SY_B!K33/Inv_SY_B!$BY33-1,"")</f>
        <v>-2.0704458940472126E-2</v>
      </c>
      <c r="L33" s="184">
        <f>IFERROR(Inv_SY_B!L33/Inv_SY_B!$BY33-1,"")</f>
        <v>7.520891594406498E-3</v>
      </c>
      <c r="M33" s="184">
        <f>IFERROR(Inv_SY_B!M33/Inv_SY_B!$BY33-1,"")</f>
        <v>1.8777975893457421E-2</v>
      </c>
      <c r="N33" s="184">
        <f>IFERROR(Inv_SY_B!N33/Inv_SY_B!$BY33-1,"")</f>
        <v>-2.5193879096121474E-3</v>
      </c>
      <c r="O33" s="184">
        <f>IFERROR(Inv_SY_B!O33/Inv_SY_B!$BY33-1,"")</f>
        <v>3.9136815429851035E-2</v>
      </c>
      <c r="P33" s="184">
        <f>IFERROR(Inv_SY_B!P33/Inv_SY_B!$BY33-1,"")</f>
        <v>-4.0504607236048873E-2</v>
      </c>
      <c r="Q33" s="184">
        <f>IFERROR(Inv_SY_B!Q33/Inv_SY_B!$BY33-1,"")</f>
        <v>1.9410552360745736E-3</v>
      </c>
      <c r="R33" s="184">
        <f>IFERROR(Inv_SY_B!R33/Inv_SY_B!$BY33-1,"")</f>
        <v>1.5996691052930778E-2</v>
      </c>
      <c r="S33" s="184">
        <f>IFERROR(Inv_SY_B!S33/Inv_SY_B!$BY33-1,"")</f>
        <v>-5.0680906707570861E-3</v>
      </c>
      <c r="T33" s="184">
        <f>IFERROR(Inv_SY_B!T33/Inv_SY_B!$BY33-1,"")</f>
        <v>-4.4514588889676965E-4</v>
      </c>
      <c r="U33" s="184">
        <f>IFERROR(Inv_SY_B!U33/Inv_SY_B!$BY33-1,"")</f>
        <v>1.0362954364076415E-2</v>
      </c>
      <c r="V33" s="184">
        <f>IFERROR(Inv_SY_B!V33/Inv_SY_B!$BY33-1,"")</f>
        <v>1.6279702202295354E-2</v>
      </c>
      <c r="W33" s="184">
        <f>IFERROR(Inv_SY_B!W33/Inv_SY_B!$BY33-1,"")</f>
        <v>-5.4026543212912892E-2</v>
      </c>
      <c r="X33" s="184">
        <f>IFERROR(Inv_SY_B!X33/Inv_SY_B!$BY33-1,"")</f>
        <v>-3.5417317656175618E-2</v>
      </c>
      <c r="Y33" s="184">
        <f>IFERROR(Inv_SY_B!Y33/Inv_SY_B!$BY33-1,"")</f>
        <v>3.6270163187837046E-3</v>
      </c>
      <c r="Z33" s="184">
        <f>IFERROR(Inv_SY_B!Z33/Inv_SY_B!$BY33-1,"")</f>
        <v>4.1308281778591471E-3</v>
      </c>
      <c r="AA33" s="184">
        <f>IFERROR(Inv_SY_B!AA33/Inv_SY_B!$BY33-1,"")</f>
        <v>-2.0204521507740658E-3</v>
      </c>
      <c r="AB33" s="184">
        <f>IFERROR(Inv_SY_B!AB33/Inv_SY_B!$BY33-1,"")</f>
        <v>-1.4599181117593951E-2</v>
      </c>
      <c r="AC33" s="184">
        <f>IFERROR(Inv_SY_B!AC33/Inv_SY_B!$BY33-1,"")</f>
        <v>-5.4760514707112851E-3</v>
      </c>
      <c r="AD33" s="184">
        <f>IFERROR(Inv_SY_B!AD33/Inv_SY_B!$BY33-1,"")</f>
        <v>-1.1567028409600111E-2</v>
      </c>
      <c r="AE33" s="184">
        <f>IFERROR(Inv_SY_B!AE33/Inv_SY_B!$BY33-1,"")</f>
        <v>-3.9615060229805654E-2</v>
      </c>
      <c r="AF33" s="184">
        <f>IFERROR(Inv_SY_B!AF33/Inv_SY_B!$BY33-1,"")</f>
        <v>-5.559709775796251E-2</v>
      </c>
      <c r="AG33" s="184">
        <f>IFERROR(Inv_SY_B!AG33/Inv_SY_B!$BY33-1,"")</f>
        <v>-4.8783432548782035E-2</v>
      </c>
      <c r="AH33" s="184">
        <f>IFERROR(Inv_SY_B!AH33/Inv_SY_B!$BY33-1,"")</f>
        <v>-5.72967029851984E-2</v>
      </c>
      <c r="AI33" s="184">
        <f>IFERROR(Inv_SY_B!AI33/Inv_SY_B!$BY33-1,"")</f>
        <v>-4.858662572781236E-2</v>
      </c>
      <c r="AJ33" s="184">
        <f>IFERROR(Inv_SY_B!AJ33/Inv_SY_B!$BY33-1,"")</f>
        <v>-4.8186810190254503E-2</v>
      </c>
      <c r="AK33" s="184">
        <f>IFERROR(Inv_SY_B!AK33/Inv_SY_B!$BY33-1,"")</f>
        <v>-6.3248872877914031E-2</v>
      </c>
      <c r="AL33" s="184">
        <f>IFERROR(Inv_SY_B!AL33/Inv_SY_B!$BY33-1,"")</f>
        <v>-0.11689866916214264</v>
      </c>
      <c r="AM33" s="184">
        <f>IFERROR(Inv_SY_B!AM33/Inv_SY_B!$BY33-1,"")</f>
        <v>-5.4126989365019473E-2</v>
      </c>
      <c r="AN33" s="184">
        <f>IFERROR(Inv_SY_B!AN33/Inv_SY_B!$BY33-1,"")</f>
        <v>-4.8619369240156751E-2</v>
      </c>
      <c r="AO33" s="184">
        <f>IFERROR(Inv_SY_B!AO33/Inv_SY_B!$BY33-1,"")</f>
        <v>-3.973023234745543E-2</v>
      </c>
      <c r="AP33" s="184">
        <f>IFERROR(Inv_SY_B!AP33/Inv_SY_B!$BY33-1,"")</f>
        <v>-9.6628807902104041E-2</v>
      </c>
      <c r="AQ33" s="184">
        <f>IFERROR(Inv_SY_B!AQ33/Inv_SY_B!$BY33-1,"")</f>
        <v>-5.0877196717926676E-2</v>
      </c>
      <c r="AR33" s="184">
        <f>IFERROR(Inv_SY_B!AR33/Inv_SY_B!$BY33-1,"")</f>
        <v>-5.5768831385987538E-2</v>
      </c>
      <c r="AS33" s="184">
        <f>IFERROR(Inv_SY_B!AS33/Inv_SY_B!$BY33-1,"")</f>
        <v>-6.1441834840766707E-2</v>
      </c>
      <c r="AT33" s="184">
        <f>IFERROR(Inv_SY_B!AT33/Inv_SY_B!$BY33-1,"")</f>
        <v>-5.3141406252809165E-2</v>
      </c>
      <c r="AU33" s="184">
        <f>IFERROR(Inv_SY_B!AU33/Inv_SY_B!$BY33-1,"")</f>
        <v>-5.3886049561257088E-2</v>
      </c>
      <c r="AV33" s="184">
        <f>IFERROR(Inv_SY_B!AV33/Inv_SY_B!$BY33-1,"")</f>
        <v>-6.098582599439617E-2</v>
      </c>
      <c r="AW33" s="184">
        <f>IFERROR(Inv_SY_B!AW33/Inv_SY_B!$BY33-1,"")</f>
        <v>-6.0712875169612879E-3</v>
      </c>
      <c r="AX33" s="184">
        <f>IFERROR(Inv_SY_B!AX33/Inv_SY_B!$BY33-1,"")</f>
        <v>1.3612786241663288E-2</v>
      </c>
      <c r="AY33" s="184">
        <f>IFERROR(Inv_SY_B!AY33/Inv_SY_B!$BY33-1,"")</f>
        <v>4.0864505182682809E-3</v>
      </c>
      <c r="AZ33" s="184">
        <f>IFERROR(Inv_SY_B!AZ33/Inv_SY_B!$BY33-1,"")</f>
        <v>7.1406810447696367E-2</v>
      </c>
      <c r="BA33" s="184">
        <f>IFERROR(Inv_SY_B!BA33/Inv_SY_B!$BY33-1,"")</f>
        <v>-4.8653433832736015E-3</v>
      </c>
      <c r="BB33" s="184">
        <f>IFERROR(Inv_SY_B!BB33/Inv_SY_B!$BY33-1,"")</f>
        <v>2.9577669121322536E-2</v>
      </c>
      <c r="BC33" s="184">
        <f>IFERROR(Inv_SY_B!BC33/Inv_SY_B!$BY33-1,"")</f>
        <v>3.6392919510010335E-2</v>
      </c>
      <c r="BD33" s="184">
        <f>IFERROR(Inv_SY_B!BD33/Inv_SY_B!$BY33-1,"")</f>
        <v>2.9355534740577172E-2</v>
      </c>
      <c r="BE33" s="184">
        <f>IFERROR(Inv_SY_B!BE33/Inv_SY_B!$BY33-1,"")</f>
        <v>4.1134684950333344E-2</v>
      </c>
      <c r="BF33" s="184">
        <f>IFERROR(Inv_SY_B!BF33/Inv_SY_B!$BY33-1,"")</f>
        <v>1.8302264997606121E-2</v>
      </c>
      <c r="BG33" s="184">
        <f>IFERROR(Inv_SY_B!BG33/Inv_SY_B!$BY33-1,"")</f>
        <v>6.3507272088621392E-2</v>
      </c>
      <c r="BH33" s="184">
        <f>IFERROR(Inv_SY_B!BH33/Inv_SY_B!$BY33-1,"")</f>
        <v>5.3774136590555965E-2</v>
      </c>
      <c r="BI33" s="184">
        <f>IFERROR(Inv_SY_B!BI33/Inv_SY_B!$BY33-1,"")</f>
        <v>6.5758800468219025E-2</v>
      </c>
      <c r="BJ33" s="184">
        <f>IFERROR(Inv_SY_B!BJ33/Inv_SY_B!$BY33-1,"")</f>
        <v>7.2863985602293235E-2</v>
      </c>
      <c r="BK33" s="184">
        <f>IFERROR(Inv_SY_B!BK33/Inv_SY_B!$BY33-1,"")</f>
        <v>7.4249141487575665E-2</v>
      </c>
      <c r="BL33" s="184">
        <f>IFERROR(Inv_SY_B!BL33/Inv_SY_B!$BY33-1,"")</f>
        <v>6.3813376250501097E-2</v>
      </c>
      <c r="BM33" s="184">
        <f>IFERROR(Inv_SY_B!BM33/Inv_SY_B!$BY33-1,"")</f>
        <v>5.081150127040579E-2</v>
      </c>
      <c r="BN33" s="184">
        <f>IFERROR(Inv_SY_B!BN33/Inv_SY_B!$BY33-1,"")</f>
        <v>2.986464608532291E-2</v>
      </c>
      <c r="BO33" s="184">
        <f>IFERROR(Inv_SY_B!BO33/Inv_SY_B!$BY33-1,"")</f>
        <v>-3.8881551752767418E-2</v>
      </c>
      <c r="BP33" s="184">
        <f>IFERROR(Inv_SY_B!BP33/Inv_SY_B!$BY33-1,"")</f>
        <v>4.6818517114569858E-2</v>
      </c>
      <c r="BQ33" s="184">
        <f>IFERROR(Inv_SY_B!BQ33/Inv_SY_B!$BY33-1,"")</f>
        <v>3.0714658881947576E-2</v>
      </c>
      <c r="BR33" s="184">
        <f>IFERROR(Inv_SY_B!BR33/Inv_SY_B!$BY33-1,"")</f>
        <v>5.6690552115645998E-2</v>
      </c>
      <c r="BS33" s="184">
        <f>IFERROR(Inv_SY_B!BS33/Inv_SY_B!$BY33-1,"")</f>
        <v>9.6149031370369453E-3</v>
      </c>
      <c r="BT33" s="184">
        <f>IFERROR(Inv_SY_B!BT33/Inv_SY_B!$BY33-1,"")</f>
        <v>4.7828243811286031E-2</v>
      </c>
      <c r="BU33" s="184">
        <f>IFERROR(Inv_SY_B!BU33/Inv_SY_B!$BY33-1,"")</f>
        <v>6.2935813919127392E-2</v>
      </c>
      <c r="BV33" s="184">
        <f>IFERROR(Inv_SY_B!BV33/Inv_SY_B!$BY33-1,"")</f>
        <v>0.12984374746758909</v>
      </c>
      <c r="BW33" s="184">
        <f>IFERROR(Inv_SY_B!BW33/Inv_SY_B!$BY33-1,"")</f>
        <v>4.5573938857013108E-2</v>
      </c>
      <c r="BX33" s="184">
        <f>IFERROR(Inv_SY_B!BX33/Inv_SY_B!$BY33-1,"")</f>
        <v>4.031395014270478E-2</v>
      </c>
    </row>
    <row r="34" spans="1:76">
      <c r="A34"/>
      <c r="B34" s="179">
        <f t="shared" si="1"/>
        <v>45852</v>
      </c>
      <c r="C34" s="184">
        <f>IFERROR(Inv_SY_B!C34/Inv_SY_B!$BY34-1,"")</f>
        <v>1.0648773813626944E-2</v>
      </c>
      <c r="D34" s="184">
        <f>IFERROR(Inv_SY_B!D34/Inv_SY_B!$BY34-1,"")</f>
        <v>1.6893683284457728E-2</v>
      </c>
      <c r="E34" s="184">
        <f>IFERROR(Inv_SY_B!E34/Inv_SY_B!$BY34-1,"")</f>
        <v>6.6914132530198067E-3</v>
      </c>
      <c r="F34" s="184">
        <f>IFERROR(Inv_SY_B!F34/Inv_SY_B!$BY34-1,"")</f>
        <v>-1.3079801494106702E-2</v>
      </c>
      <c r="G34" s="184">
        <f>IFERROR(Inv_SY_B!G34/Inv_SY_B!$BY34-1,"")</f>
        <v>-2.0878681900953655E-2</v>
      </c>
      <c r="H34" s="184">
        <f>IFERROR(Inv_SY_B!H34/Inv_SY_B!$BY34-1,"")</f>
        <v>-1.8199823698946127E-2</v>
      </c>
      <c r="I34" s="184">
        <f>IFERROR(Inv_SY_B!I34/Inv_SY_B!$BY34-1,"")</f>
        <v>9.6343296408305523E-3</v>
      </c>
      <c r="J34" s="184">
        <f>IFERROR(Inv_SY_B!J34/Inv_SY_B!$BY34-1,"")</f>
        <v>-4.2149661940013017E-3</v>
      </c>
      <c r="K34" s="184">
        <f>IFERROR(Inv_SY_B!K34/Inv_SY_B!$BY34-1,"")</f>
        <v>-1.0691335350121789E-2</v>
      </c>
      <c r="L34" s="184">
        <f>IFERROR(Inv_SY_B!L34/Inv_SY_B!$BY34-1,"")</f>
        <v>1.451587284633038E-2</v>
      </c>
      <c r="M34" s="184">
        <f>IFERROR(Inv_SY_B!M34/Inv_SY_B!$BY34-1,"")</f>
        <v>3.0222440577911014E-2</v>
      </c>
      <c r="N34" s="184">
        <f>IFERROR(Inv_SY_B!N34/Inv_SY_B!$BY34-1,"")</f>
        <v>9.743108715420945E-4</v>
      </c>
      <c r="O34" s="184">
        <f>IFERROR(Inv_SY_B!O34/Inv_SY_B!$BY34-1,"")</f>
        <v>5.4591440316907436E-2</v>
      </c>
      <c r="P34" s="184">
        <f>IFERROR(Inv_SY_B!P34/Inv_SY_B!$BY34-1,"")</f>
        <v>-1.7265723482799755E-2</v>
      </c>
      <c r="Q34" s="184">
        <f>IFERROR(Inv_SY_B!Q34/Inv_SY_B!$BY34-1,"")</f>
        <v>1.3123569763160203E-2</v>
      </c>
      <c r="R34" s="184">
        <f>IFERROR(Inv_SY_B!R34/Inv_SY_B!$BY34-1,"")</f>
        <v>3.0345096216489287E-2</v>
      </c>
      <c r="S34" s="184">
        <f>IFERROR(Inv_SY_B!S34/Inv_SY_B!$BY34-1,"")</f>
        <v>1.2471926307985548E-2</v>
      </c>
      <c r="T34" s="184">
        <f>IFERROR(Inv_SY_B!T34/Inv_SY_B!$BY34-1,"")</f>
        <v>-2.798854510152271E-3</v>
      </c>
      <c r="U34" s="184">
        <f>IFERROR(Inv_SY_B!U34/Inv_SY_B!$BY34-1,"")</f>
        <v>2.2587791068091612E-2</v>
      </c>
      <c r="V34" s="184">
        <f>IFERROR(Inv_SY_B!V34/Inv_SY_B!$BY34-1,"")</f>
        <v>1.7964908246270062E-2</v>
      </c>
      <c r="W34" s="184">
        <f>IFERROR(Inv_SY_B!W34/Inv_SY_B!$BY34-1,"")</f>
        <v>-1.4778992536736313E-2</v>
      </c>
      <c r="X34" s="184">
        <f>IFERROR(Inv_SY_B!X34/Inv_SY_B!$BY34-1,"")</f>
        <v>3.0044060081323876E-2</v>
      </c>
      <c r="Y34" s="184">
        <f>IFERROR(Inv_SY_B!Y34/Inv_SY_B!$BY34-1,"")</f>
        <v>2.2561359130552461E-2</v>
      </c>
      <c r="Z34" s="184">
        <f>IFERROR(Inv_SY_B!Z34/Inv_SY_B!$BY34-1,"")</f>
        <v>1.8364857817642966E-2</v>
      </c>
      <c r="AA34" s="184">
        <f>IFERROR(Inv_SY_B!AA34/Inv_SY_B!$BY34-1,"")</f>
        <v>2.6390220735331038E-2</v>
      </c>
      <c r="AB34" s="184">
        <f>IFERROR(Inv_SY_B!AB34/Inv_SY_B!$BY34-1,"")</f>
        <v>1.5612567838751978E-2</v>
      </c>
      <c r="AC34" s="184">
        <f>IFERROR(Inv_SY_B!AC34/Inv_SY_B!$BY34-1,"")</f>
        <v>1.4202888130955049E-2</v>
      </c>
      <c r="AD34" s="184">
        <f>IFERROR(Inv_SY_B!AD34/Inv_SY_B!$BY34-1,"")</f>
        <v>4.7029722866287482E-3</v>
      </c>
      <c r="AE34" s="184">
        <f>IFERROR(Inv_SY_B!AE34/Inv_SY_B!$BY34-1,"")</f>
        <v>4.4262894868916991E-2</v>
      </c>
      <c r="AF34" s="184">
        <f>IFERROR(Inv_SY_B!AF34/Inv_SY_B!$BY34-1,"")</f>
        <v>2.3351265276235988E-2</v>
      </c>
      <c r="AG34" s="184">
        <f>IFERROR(Inv_SY_B!AG34/Inv_SY_B!$BY34-1,"")</f>
        <v>3.3865055160570368E-2</v>
      </c>
      <c r="AH34" s="184">
        <f>IFERROR(Inv_SY_B!AH34/Inv_SY_B!$BY34-1,"")</f>
        <v>2.2939613041601969E-2</v>
      </c>
      <c r="AI34" s="184">
        <f>IFERROR(Inv_SY_B!AI34/Inv_SY_B!$BY34-1,"")</f>
        <v>4.382885347424792E-2</v>
      </c>
      <c r="AJ34" s="184">
        <f>IFERROR(Inv_SY_B!AJ34/Inv_SY_B!$BY34-1,"")</f>
        <v>4.4919421057604048E-2</v>
      </c>
      <c r="AK34" s="184">
        <f>IFERROR(Inv_SY_B!AK34/Inv_SY_B!$BY34-1,"")</f>
        <v>3.4643933668173199E-2</v>
      </c>
      <c r="AL34" s="184">
        <f>IFERROR(Inv_SY_B!AL34/Inv_SY_B!$BY34-1,"")</f>
        <v>4.4376098634345551E-2</v>
      </c>
      <c r="AM34" s="184">
        <f>IFERROR(Inv_SY_B!AM34/Inv_SY_B!$BY34-1,"")</f>
        <v>4.0380197471315604E-2</v>
      </c>
      <c r="AN34" s="184">
        <f>IFERROR(Inv_SY_B!AN34/Inv_SY_B!$BY34-1,"")</f>
        <v>5.0261296943706402E-2</v>
      </c>
      <c r="AO34" s="184">
        <f>IFERROR(Inv_SY_B!AO34/Inv_SY_B!$BY34-1,"")</f>
        <v>5.2145599633790285E-2</v>
      </c>
      <c r="AP34" s="184">
        <f>IFERROR(Inv_SY_B!AP34/Inv_SY_B!$BY34-1,"")</f>
        <v>-3.2345160137950968E-3</v>
      </c>
      <c r="AQ34" s="184">
        <f>IFERROR(Inv_SY_B!AQ34/Inv_SY_B!$BY34-1,"")</f>
        <v>4.0395376673771466E-2</v>
      </c>
      <c r="AR34" s="184">
        <f>IFERROR(Inv_SY_B!AR34/Inv_SY_B!$BY34-1,"")</f>
        <v>4.3435073822274184E-2</v>
      </c>
      <c r="AS34" s="184">
        <f>IFERROR(Inv_SY_B!AS34/Inv_SY_B!$BY34-1,"")</f>
        <v>2.3257724463103369E-2</v>
      </c>
      <c r="AT34" s="184">
        <f>IFERROR(Inv_SY_B!AT34/Inv_SY_B!$BY34-1,"")</f>
        <v>2.0282091800902791E-2</v>
      </c>
      <c r="AU34" s="184">
        <f>IFERROR(Inv_SY_B!AU34/Inv_SY_B!$BY34-1,"")</f>
        <v>5.9232500420303591E-2</v>
      </c>
      <c r="AV34" s="184">
        <f>IFERROR(Inv_SY_B!AV34/Inv_SY_B!$BY34-1,"")</f>
        <v>3.9663151817134867E-2</v>
      </c>
      <c r="AW34" s="184">
        <f>IFERROR(Inv_SY_B!AW34/Inv_SY_B!$BY34-1,"")</f>
        <v>-0.11875656232084031</v>
      </c>
      <c r="AX34" s="184">
        <f>IFERROR(Inv_SY_B!AX34/Inv_SY_B!$BY34-1,"")</f>
        <v>-8.7702803695337006E-2</v>
      </c>
      <c r="AY34" s="184">
        <f>IFERROR(Inv_SY_B!AY34/Inv_SY_B!$BY34-1,"")</f>
        <v>-3.1531759843758778E-2</v>
      </c>
      <c r="AZ34" s="184">
        <f>IFERROR(Inv_SY_B!AZ34/Inv_SY_B!$BY34-1,"")</f>
        <v>1.6353058212765337E-2</v>
      </c>
      <c r="BA34" s="184">
        <f>IFERROR(Inv_SY_B!BA34/Inv_SY_B!$BY34-1,"")</f>
        <v>-5.2105242591493517E-2</v>
      </c>
      <c r="BB34" s="184">
        <f>IFERROR(Inv_SY_B!BB34/Inv_SY_B!$BY34-1,"")</f>
        <v>-4.014168756530534E-2</v>
      </c>
      <c r="BC34" s="184">
        <f>IFERROR(Inv_SY_B!BC34/Inv_SY_B!$BY34-1,"")</f>
        <v>-5.2559506239908349E-2</v>
      </c>
      <c r="BD34" s="184">
        <f>IFERROR(Inv_SY_B!BD34/Inv_SY_B!$BY34-1,"")</f>
        <v>-5.0690943152726597E-2</v>
      </c>
      <c r="BE34" s="184">
        <f>IFERROR(Inv_SY_B!BE34/Inv_SY_B!$BY34-1,"")</f>
        <v>-3.200572184950301E-2</v>
      </c>
      <c r="BF34" s="184">
        <f>IFERROR(Inv_SY_B!BF34/Inv_SY_B!$BY34-1,"")</f>
        <v>-4.4839145371229683E-2</v>
      </c>
      <c r="BG34" s="184">
        <f>IFERROR(Inv_SY_B!BG34/Inv_SY_B!$BY34-1,"")</f>
        <v>-1.8157134878723169E-2</v>
      </c>
      <c r="BH34" s="184">
        <f>IFERROR(Inv_SY_B!BH34/Inv_SY_B!$BY34-1,"")</f>
        <v>-2.5848237322173229E-2</v>
      </c>
      <c r="BI34" s="184">
        <f>IFERROR(Inv_SY_B!BI34/Inv_SY_B!$BY34-1,"")</f>
        <v>-2.4373568214700159E-2</v>
      </c>
      <c r="BJ34" s="184">
        <f>IFERROR(Inv_SY_B!BJ34/Inv_SY_B!$BY34-1,"")</f>
        <v>-1.3896356535325616E-2</v>
      </c>
      <c r="BK34" s="184">
        <f>IFERROR(Inv_SY_B!BK34/Inv_SY_B!$BY34-1,"")</f>
        <v>-2.4817314197635887E-2</v>
      </c>
      <c r="BL34" s="184">
        <f>IFERROR(Inv_SY_B!BL34/Inv_SY_B!$BY34-1,"")</f>
        <v>-2.5353193205257529E-2</v>
      </c>
      <c r="BM34" s="184">
        <f>IFERROR(Inv_SY_B!BM34/Inv_SY_B!$BY34-1,"")</f>
        <v>-3.9699840593241387E-2</v>
      </c>
      <c r="BN34" s="184">
        <f>IFERROR(Inv_SY_B!BN34/Inv_SY_B!$BY34-1,"")</f>
        <v>-4.8528372966925248E-2</v>
      </c>
      <c r="BO34" s="184">
        <f>IFERROR(Inv_SY_B!BO34/Inv_SY_B!$BY34-1,"")</f>
        <v>-7.3518273680552748E-2</v>
      </c>
      <c r="BP34" s="184">
        <f>IFERROR(Inv_SY_B!BP34/Inv_SY_B!$BY34-1,"")</f>
        <v>-4.4807264226873422E-2</v>
      </c>
      <c r="BQ34" s="184">
        <f>IFERROR(Inv_SY_B!BQ34/Inv_SY_B!$BY34-1,"")</f>
        <v>-5.4330175788672164E-2</v>
      </c>
      <c r="BR34" s="184">
        <f>IFERROR(Inv_SY_B!BR34/Inv_SY_B!$BY34-1,"")</f>
        <v>-1.0993017483376888E-2</v>
      </c>
      <c r="BS34" s="184">
        <f>IFERROR(Inv_SY_B!BS34/Inv_SY_B!$BY34-1,"")</f>
        <v>-7.973012026716142E-2</v>
      </c>
      <c r="BT34" s="184">
        <f>IFERROR(Inv_SY_B!BT34/Inv_SY_B!$BY34-1,"")</f>
        <v>-5.0243367903764491E-2</v>
      </c>
      <c r="BU34" s="184">
        <f>IFERROR(Inv_SY_B!BU34/Inv_SY_B!$BY34-1,"")</f>
        <v>0.11497741796375149</v>
      </c>
      <c r="BV34" s="184">
        <f>IFERROR(Inv_SY_B!BV34/Inv_SY_B!$BY34-1,"")</f>
        <v>7.0947381703416523E-2</v>
      </c>
      <c r="BW34" s="184">
        <f>IFERROR(Inv_SY_B!BW34/Inv_SY_B!$BY34-1,"")</f>
        <v>-3.6320099328449595E-2</v>
      </c>
      <c r="BX34" s="184">
        <f>IFERROR(Inv_SY_B!BX34/Inv_SY_B!$BY34-1,"")</f>
        <v>-4.9970083931219156E-2</v>
      </c>
    </row>
    <row r="35" spans="1:76" ht="14.25" customHeight="1">
      <c r="A35"/>
      <c r="B35" s="181">
        <f>B34+1</f>
        <v>45853</v>
      </c>
      <c r="C35" s="184">
        <f>IFERROR(Inv_SY_B!C35/Inv_SY_B!$BY35-1,"")</f>
        <v>-9.5668934233852254E-2</v>
      </c>
      <c r="D35" s="184">
        <f>IFERROR(Inv_SY_B!D35/Inv_SY_B!$BY35-1,"")</f>
        <v>-7.2271570012021225E-2</v>
      </c>
      <c r="E35" s="184">
        <f>IFERROR(Inv_SY_B!E35/Inv_SY_B!$BY35-1,"")</f>
        <v>-6.0474027742090763E-2</v>
      </c>
      <c r="F35" s="184">
        <f>IFERROR(Inv_SY_B!F35/Inv_SY_B!$BY35-1,"")</f>
        <v>-7.757671483580808E-2</v>
      </c>
      <c r="G35" s="184">
        <f>IFERROR(Inv_SY_B!G35/Inv_SY_B!$BY35-1,"")</f>
        <v>-7.6308014437812988E-2</v>
      </c>
      <c r="H35" s="184">
        <f>IFERROR(Inv_SY_B!H35/Inv_SY_B!$BY35-1,"")</f>
        <v>-9.0611124744693239E-2</v>
      </c>
      <c r="I35" s="184">
        <f>IFERROR(Inv_SY_B!I35/Inv_SY_B!$BY35-1,"")</f>
        <v>-7.2578656540265074E-2</v>
      </c>
      <c r="J35" s="184">
        <f>IFERROR(Inv_SY_B!J35/Inv_SY_B!$BY35-1,"")</f>
        <v>-0.10607152519151075</v>
      </c>
      <c r="K35" s="184">
        <f>IFERROR(Inv_SY_B!K35/Inv_SY_B!$BY35-1,"")</f>
        <v>-9.9756623631920394E-2</v>
      </c>
      <c r="L35" s="184">
        <f>IFERROR(Inv_SY_B!L35/Inv_SY_B!$BY35-1,"")</f>
        <v>-6.0001042230784174E-2</v>
      </c>
      <c r="M35" s="184">
        <f>IFERROR(Inv_SY_B!M35/Inv_SY_B!$BY35-1,"")</f>
        <v>-5.0097675064566527E-2</v>
      </c>
      <c r="N35" s="184">
        <f>IFERROR(Inv_SY_B!N35/Inv_SY_B!$BY35-1,"")</f>
        <v>-8.9236041794083398E-2</v>
      </c>
      <c r="O35" s="184">
        <f>IFERROR(Inv_SY_B!O35/Inv_SY_B!$BY35-1,"")</f>
        <v>-4.4572444374902376E-2</v>
      </c>
      <c r="P35" s="184">
        <f>IFERROR(Inv_SY_B!P35/Inv_SY_B!$BY35-1,"")</f>
        <v>-9.2637051264645831E-2</v>
      </c>
      <c r="Q35" s="184">
        <f>IFERROR(Inv_SY_B!Q35/Inv_SY_B!$BY35-1,"")</f>
        <v>-7.4870823045199431E-2</v>
      </c>
      <c r="R35" s="184">
        <f>IFERROR(Inv_SY_B!R35/Inv_SY_B!$BY35-1,"")</f>
        <v>-7.4499845147404375E-2</v>
      </c>
      <c r="S35" s="184">
        <f>IFERROR(Inv_SY_B!S35/Inv_SY_B!$BY35-1,"")</f>
        <v>-8.2194526270134016E-2</v>
      </c>
      <c r="T35" s="184">
        <f>IFERROR(Inv_SY_B!T35/Inv_SY_B!$BY35-1,"")</f>
        <v>-0.105800053140368</v>
      </c>
      <c r="U35" s="184">
        <f>IFERROR(Inv_SY_B!U35/Inv_SY_B!$BY35-1,"")</f>
        <v>-7.4472887591794157E-2</v>
      </c>
      <c r="V35" s="184">
        <f>IFERROR(Inv_SY_B!V35/Inv_SY_B!$BY35-1,"")</f>
        <v>-8.0431680799723515E-2</v>
      </c>
      <c r="W35" s="184">
        <f>IFERROR(Inv_SY_B!W35/Inv_SY_B!$BY35-1,"")</f>
        <v>-0.10006284512187891</v>
      </c>
      <c r="X35" s="184">
        <f>IFERROR(Inv_SY_B!X35/Inv_SY_B!$BY35-1,"")</f>
        <v>-4.5588131508934926E-2</v>
      </c>
      <c r="Y35" s="184">
        <f>IFERROR(Inv_SY_B!Y35/Inv_SY_B!$BY35-1,"")</f>
        <v>-5.846871135092413E-2</v>
      </c>
      <c r="Z35" s="184">
        <f>IFERROR(Inv_SY_B!Z35/Inv_SY_B!$BY35-1,"")</f>
        <v>-5.8328227679800948E-2</v>
      </c>
      <c r="AA35" s="184">
        <f>IFERROR(Inv_SY_B!AA35/Inv_SY_B!$BY35-1,"")</f>
        <v>-6.5841072883789376E-2</v>
      </c>
      <c r="AB35" s="184">
        <f>IFERROR(Inv_SY_B!AB35/Inv_SY_B!$BY35-1,"")</f>
        <v>-7.4480910920014742E-2</v>
      </c>
      <c r="AC35" s="184">
        <f>IFERROR(Inv_SY_B!AC35/Inv_SY_B!$BY35-1,"")</f>
        <v>-6.9242061093678697E-2</v>
      </c>
      <c r="AD35" s="184">
        <f>IFERROR(Inv_SY_B!AD35/Inv_SY_B!$BY35-1,"")</f>
        <v>-7.1191021870828153E-2</v>
      </c>
      <c r="AE35" s="184">
        <f>IFERROR(Inv_SY_B!AE35/Inv_SY_B!$BY35-1,"")</f>
        <v>7.6551870264739197E-2</v>
      </c>
      <c r="AF35" s="184">
        <f>IFERROR(Inv_SY_B!AF35/Inv_SY_B!$BY35-1,"")</f>
        <v>5.2035752625480658E-2</v>
      </c>
      <c r="AG35" s="184">
        <f>IFERROR(Inv_SY_B!AG35/Inv_SY_B!$BY35-1,"")</f>
        <v>6.2506561155562856E-2</v>
      </c>
      <c r="AH35" s="184">
        <f>IFERROR(Inv_SY_B!AH35/Inv_SY_B!$BY35-1,"")</f>
        <v>4.4943884839731663E-2</v>
      </c>
      <c r="AI35" s="184">
        <f>IFERROR(Inv_SY_B!AI35/Inv_SY_B!$BY35-1,"")</f>
        <v>7.0354841352198383E-2</v>
      </c>
      <c r="AJ35" s="184">
        <f>IFERROR(Inv_SY_B!AJ35/Inv_SY_B!$BY35-1,"")</f>
        <v>5.6413388469678249E-2</v>
      </c>
      <c r="AK35" s="184">
        <f>IFERROR(Inv_SY_B!AK35/Inv_SY_B!$BY35-1,"")</f>
        <v>6.0118647661067781E-2</v>
      </c>
      <c r="AL35" s="184">
        <f>IFERROR(Inv_SY_B!AL35/Inv_SY_B!$BY35-1,"")</f>
        <v>6.8421978139677542E-2</v>
      </c>
      <c r="AM35" s="184">
        <f>IFERROR(Inv_SY_B!AM35/Inv_SY_B!$BY35-1,"")</f>
        <v>5.5417603466319409E-2</v>
      </c>
      <c r="AN35" s="184">
        <f>IFERROR(Inv_SY_B!AN35/Inv_SY_B!$BY35-1,"")</f>
        <v>6.1980690327662069E-2</v>
      </c>
      <c r="AO35" s="184">
        <f>IFERROR(Inv_SY_B!AO35/Inv_SY_B!$BY35-1,"")</f>
        <v>6.5219982126178966E-2</v>
      </c>
      <c r="AP35" s="184">
        <f>IFERROR(Inv_SY_B!AP35/Inv_SY_B!$BY35-1,"")</f>
        <v>3.736207265893432E-2</v>
      </c>
      <c r="AQ35" s="184">
        <f>IFERROR(Inv_SY_B!AQ35/Inv_SY_B!$BY35-1,"")</f>
        <v>4.7122256129659368E-2</v>
      </c>
      <c r="AR35" s="184">
        <f>IFERROR(Inv_SY_B!AR35/Inv_SY_B!$BY35-1,"")</f>
        <v>5.0133036168839906E-2</v>
      </c>
      <c r="AS35" s="184">
        <f>IFERROR(Inv_SY_B!AS35/Inv_SY_B!$BY35-1,"")</f>
        <v>3.7984267064292032E-2</v>
      </c>
      <c r="AT35" s="184">
        <f>IFERROR(Inv_SY_B!AT35/Inv_SY_B!$BY35-1,"")</f>
        <v>8.5875934663981468E-4</v>
      </c>
      <c r="AU35" s="184">
        <f>IFERROR(Inv_SY_B!AU35/Inv_SY_B!$BY35-1,"")</f>
        <v>6.1135916104339438E-2</v>
      </c>
      <c r="AV35" s="184">
        <f>IFERROR(Inv_SY_B!AV35/Inv_SY_B!$BY35-1,"")</f>
        <v>4.7489011120020796E-2</v>
      </c>
      <c r="AW35" s="184">
        <f>IFERROR(Inv_SY_B!AW35/Inv_SY_B!$BY35-1,"")</f>
        <v>-0.12588403713664986</v>
      </c>
      <c r="AX35" s="184">
        <f>IFERROR(Inv_SY_B!AX35/Inv_SY_B!$BY35-1,"")</f>
        <v>-0.10425299490843254</v>
      </c>
      <c r="AY35" s="184">
        <f>IFERROR(Inv_SY_B!AY35/Inv_SY_B!$BY35-1,"")</f>
        <v>1.9921747448125915E-2</v>
      </c>
      <c r="AZ35" s="184">
        <f>IFERROR(Inv_SY_B!AZ35/Inv_SY_B!$BY35-1,"")</f>
        <v>6.8458823736239793E-2</v>
      </c>
      <c r="BA35" s="184">
        <f>IFERROR(Inv_SY_B!BA35/Inv_SY_B!$BY35-1,"")</f>
        <v>-2.3658861818959043E-2</v>
      </c>
      <c r="BB35" s="184">
        <f>IFERROR(Inv_SY_B!BB35/Inv_SY_B!$BY35-1,"")</f>
        <v>-5.5066893955874052E-3</v>
      </c>
      <c r="BC35" s="184">
        <f>IFERROR(Inv_SY_B!BC35/Inv_SY_B!$BY35-1,"")</f>
        <v>-1.606627766313129E-2</v>
      </c>
      <c r="BD35" s="184">
        <f>IFERROR(Inv_SY_B!BD35/Inv_SY_B!$BY35-1,"")</f>
        <v>-6.740172635794961E-3</v>
      </c>
      <c r="BE35" s="184">
        <f>IFERROR(Inv_SY_B!BE35/Inv_SY_B!$BY35-1,"")</f>
        <v>2.4683902629287768E-2</v>
      </c>
      <c r="BF35" s="184">
        <f>IFERROR(Inv_SY_B!BF35/Inv_SY_B!$BY35-1,"")</f>
        <v>3.8204140275207799E-2</v>
      </c>
      <c r="BG35" s="184">
        <f>IFERROR(Inv_SY_B!BG35/Inv_SY_B!$BY35-1,"")</f>
        <v>5.5948309573230715E-2</v>
      </c>
      <c r="BH35" s="184">
        <f>IFERROR(Inv_SY_B!BH35/Inv_SY_B!$BY35-1,"")</f>
        <v>4.8125355862188135E-2</v>
      </c>
      <c r="BI35" s="184">
        <f>IFERROR(Inv_SY_B!BI35/Inv_SY_B!$BY35-1,"")</f>
        <v>3.1338527110892134E-2</v>
      </c>
      <c r="BJ35" s="184">
        <f>IFERROR(Inv_SY_B!BJ35/Inv_SY_B!$BY35-1,"")</f>
        <v>5.2061492887940597E-2</v>
      </c>
      <c r="BK35" s="184">
        <f>IFERROR(Inv_SY_B!BK35/Inv_SY_B!$BY35-1,"")</f>
        <v>2.5201306796414746E-2</v>
      </c>
      <c r="BL35" s="184">
        <f>IFERROR(Inv_SY_B!BL35/Inv_SY_B!$BY35-1,"")</f>
        <v>2.3565672755974099E-2</v>
      </c>
      <c r="BM35" s="184">
        <f>IFERROR(Inv_SY_B!BM35/Inv_SY_B!$BY35-1,"")</f>
        <v>5.9386871783490003E-2</v>
      </c>
      <c r="BN35" s="184">
        <f>IFERROR(Inv_SY_B!BN35/Inv_SY_B!$BY35-1,"")</f>
        <v>4.2281670336311583E-2</v>
      </c>
      <c r="BO35" s="184">
        <f>IFERROR(Inv_SY_B!BO35/Inv_SY_B!$BY35-1,"")</f>
        <v>9.2604508786822137E-3</v>
      </c>
      <c r="BP35" s="184">
        <f>IFERROR(Inv_SY_B!BP35/Inv_SY_B!$BY35-1,"")</f>
        <v>4.3395833442087195E-2</v>
      </c>
      <c r="BQ35" s="184">
        <f>IFERROR(Inv_SY_B!BQ35/Inv_SY_B!$BY35-1,"")</f>
        <v>5.2532648911933766E-3</v>
      </c>
      <c r="BR35" s="184">
        <f>IFERROR(Inv_SY_B!BR35/Inv_SY_B!$BY35-1,"")</f>
        <v>9.2700910363587408E-2</v>
      </c>
      <c r="BS35" s="184">
        <f>IFERROR(Inv_SY_B!BS35/Inv_SY_B!$BY35-1,"")</f>
        <v>2.6449326212454327E-2</v>
      </c>
      <c r="BT35" s="184">
        <f>IFERROR(Inv_SY_B!BT35/Inv_SY_B!$BY35-1,"")</f>
        <v>3.7133671832832338E-2</v>
      </c>
      <c r="BU35" s="184">
        <f>IFERROR(Inv_SY_B!BU35/Inv_SY_B!$BY35-1,"")</f>
        <v>0.43229156971962235</v>
      </c>
      <c r="BV35" s="184">
        <f>IFERROR(Inv_SY_B!BV35/Inv_SY_B!$BY35-1,"")</f>
        <v>0.23812407302845462</v>
      </c>
      <c r="BW35" s="184">
        <f>IFERROR(Inv_SY_B!BW35/Inv_SY_B!$BY35-1,"")</f>
        <v>4.880078595050219E-2</v>
      </c>
      <c r="BX35" s="184">
        <f>IFERROR(Inv_SY_B!BX35/Inv_SY_B!$BY35-1,"")</f>
        <v>2.6805051546265446E-2</v>
      </c>
    </row>
    <row r="36" spans="1:76">
      <c r="B36" s="179">
        <f t="shared" ref="B36:B56" si="2">B35+1</f>
        <v>45854</v>
      </c>
      <c r="C36" s="184" t="str">
        <f>IFERROR(Inv_SY_B!C36/Inv_SY_B!$BY36-1,"")</f>
        <v/>
      </c>
      <c r="D36" s="184" t="str">
        <f>IFERROR(Inv_SY_B!D36/Inv_SY_B!$BY36-1,"")</f>
        <v/>
      </c>
      <c r="E36" s="184" t="str">
        <f>IFERROR(Inv_SY_B!E36/Inv_SY_B!$BY36-1,"")</f>
        <v/>
      </c>
      <c r="F36" s="184" t="str">
        <f>IFERROR(Inv_SY_B!F36/Inv_SY_B!$BY36-1,"")</f>
        <v/>
      </c>
      <c r="G36" s="184" t="str">
        <f>IFERROR(Inv_SY_B!G36/Inv_SY_B!$BY36-1,"")</f>
        <v/>
      </c>
      <c r="H36" s="184" t="str">
        <f>IFERROR(Inv_SY_B!H36/Inv_SY_B!$BY36-1,"")</f>
        <v/>
      </c>
      <c r="I36" s="184" t="str">
        <f>IFERROR(Inv_SY_B!I36/Inv_SY_B!$BY36-1,"")</f>
        <v/>
      </c>
      <c r="J36" s="184" t="str">
        <f>IFERROR(Inv_SY_B!J36/Inv_SY_B!$BY36-1,"")</f>
        <v/>
      </c>
      <c r="K36" s="184" t="str">
        <f>IFERROR(Inv_SY_B!K36/Inv_SY_B!$BY36-1,"")</f>
        <v/>
      </c>
      <c r="L36" s="184" t="str">
        <f>IFERROR(Inv_SY_B!L36/Inv_SY_B!$BY36-1,"")</f>
        <v/>
      </c>
      <c r="M36" s="184" t="str">
        <f>IFERROR(Inv_SY_B!M36/Inv_SY_B!$BY36-1,"")</f>
        <v/>
      </c>
      <c r="N36" s="184" t="str">
        <f>IFERROR(Inv_SY_B!N36/Inv_SY_B!$BY36-1,"")</f>
        <v/>
      </c>
      <c r="O36" s="184" t="str">
        <f>IFERROR(Inv_SY_B!O36/Inv_SY_B!$BY36-1,"")</f>
        <v/>
      </c>
      <c r="P36" s="184" t="str">
        <f>IFERROR(Inv_SY_B!P36/Inv_SY_B!$BY36-1,"")</f>
        <v/>
      </c>
      <c r="Q36" s="184" t="str">
        <f>IFERROR(Inv_SY_B!Q36/Inv_SY_B!$BY36-1,"")</f>
        <v/>
      </c>
      <c r="R36" s="184" t="str">
        <f>IFERROR(Inv_SY_B!R36/Inv_SY_B!$BY36-1,"")</f>
        <v/>
      </c>
      <c r="S36" s="184" t="str">
        <f>IFERROR(Inv_SY_B!S36/Inv_SY_B!$BY36-1,"")</f>
        <v/>
      </c>
      <c r="T36" s="184" t="str">
        <f>IFERROR(Inv_SY_B!T36/Inv_SY_B!$BY36-1,"")</f>
        <v/>
      </c>
      <c r="U36" s="184" t="str">
        <f>IFERROR(Inv_SY_B!U36/Inv_SY_B!$BY36-1,"")</f>
        <v/>
      </c>
      <c r="V36" s="184" t="str">
        <f>IFERROR(Inv_SY_B!V36/Inv_SY_B!$BY36-1,"")</f>
        <v/>
      </c>
      <c r="W36" s="184" t="str">
        <f>IFERROR(Inv_SY_B!W36/Inv_SY_B!$BY36-1,"")</f>
        <v/>
      </c>
      <c r="X36" s="184" t="str">
        <f>IFERROR(Inv_SY_B!X36/Inv_SY_B!$BY36-1,"")</f>
        <v/>
      </c>
      <c r="Y36" s="184" t="str">
        <f>IFERROR(Inv_SY_B!Y36/Inv_SY_B!$BY36-1,"")</f>
        <v/>
      </c>
      <c r="Z36" s="184" t="str">
        <f>IFERROR(Inv_SY_B!Z36/Inv_SY_B!$BY36-1,"")</f>
        <v/>
      </c>
      <c r="AA36" s="184" t="str">
        <f>IFERROR(Inv_SY_B!AA36/Inv_SY_B!$BY36-1,"")</f>
        <v/>
      </c>
      <c r="AB36" s="184" t="str">
        <f>IFERROR(Inv_SY_B!AB36/Inv_SY_B!$BY36-1,"")</f>
        <v/>
      </c>
      <c r="AC36" s="184" t="str">
        <f>IFERROR(Inv_SY_B!AC36/Inv_SY_B!$BY36-1,"")</f>
        <v/>
      </c>
      <c r="AD36" s="184" t="str">
        <f>IFERROR(Inv_SY_B!AD36/Inv_SY_B!$BY36-1,"")</f>
        <v/>
      </c>
      <c r="AE36" s="184" t="str">
        <f>IFERROR(Inv_SY_B!AE36/Inv_SY_B!$BY36-1,"")</f>
        <v/>
      </c>
      <c r="AF36" s="184" t="str">
        <f>IFERROR(Inv_SY_B!AF36/Inv_SY_B!$BY36-1,"")</f>
        <v/>
      </c>
      <c r="AG36" s="184" t="str">
        <f>IFERROR(Inv_SY_B!AG36/Inv_SY_B!$BY36-1,"")</f>
        <v/>
      </c>
      <c r="AH36" s="184" t="str">
        <f>IFERROR(Inv_SY_B!AH36/Inv_SY_B!$BY36-1,"")</f>
        <v/>
      </c>
      <c r="AI36" s="184" t="str">
        <f>IFERROR(Inv_SY_B!AI36/Inv_SY_B!$BY36-1,"")</f>
        <v/>
      </c>
      <c r="AJ36" s="184" t="str">
        <f>IFERROR(Inv_SY_B!AJ36/Inv_SY_B!$BY36-1,"")</f>
        <v/>
      </c>
      <c r="AK36" s="184" t="str">
        <f>IFERROR(Inv_SY_B!AK36/Inv_SY_B!$BY36-1,"")</f>
        <v/>
      </c>
      <c r="AL36" s="184" t="str">
        <f>IFERROR(Inv_SY_B!AL36/Inv_SY_B!$BY36-1,"")</f>
        <v/>
      </c>
      <c r="AM36" s="184" t="str">
        <f>IFERROR(Inv_SY_B!AM36/Inv_SY_B!$BY36-1,"")</f>
        <v/>
      </c>
      <c r="AN36" s="184" t="str">
        <f>IFERROR(Inv_SY_B!AN36/Inv_SY_B!$BY36-1,"")</f>
        <v/>
      </c>
      <c r="AO36" s="184" t="str">
        <f>IFERROR(Inv_SY_B!AO36/Inv_SY_B!$BY36-1,"")</f>
        <v/>
      </c>
      <c r="AP36" s="184" t="str">
        <f>IFERROR(Inv_SY_B!AP36/Inv_SY_B!$BY36-1,"")</f>
        <v/>
      </c>
      <c r="AQ36" s="184" t="str">
        <f>IFERROR(Inv_SY_B!AQ36/Inv_SY_B!$BY36-1,"")</f>
        <v/>
      </c>
      <c r="AR36" s="184" t="str">
        <f>IFERROR(Inv_SY_B!AR36/Inv_SY_B!$BY36-1,"")</f>
        <v/>
      </c>
      <c r="AS36" s="184" t="str">
        <f>IFERROR(Inv_SY_B!AS36/Inv_SY_B!$BY36-1,"")</f>
        <v/>
      </c>
      <c r="AT36" s="184" t="str">
        <f>IFERROR(Inv_SY_B!AT36/Inv_SY_B!$BY36-1,"")</f>
        <v/>
      </c>
      <c r="AU36" s="184" t="str">
        <f>IFERROR(Inv_SY_B!AU36/Inv_SY_B!$BY36-1,"")</f>
        <v/>
      </c>
      <c r="AV36" s="184" t="str">
        <f>IFERROR(Inv_SY_B!AV36/Inv_SY_B!$BY36-1,"")</f>
        <v/>
      </c>
      <c r="AW36" s="184" t="str">
        <f>IFERROR(Inv_SY_B!AW36/Inv_SY_B!$BY36-1,"")</f>
        <v/>
      </c>
      <c r="AX36" s="184" t="str">
        <f>IFERROR(Inv_SY_B!AX36/Inv_SY_B!$BY36-1,"")</f>
        <v/>
      </c>
      <c r="AY36" s="184" t="str">
        <f>IFERROR(Inv_SY_B!AY36/Inv_SY_B!$BY36-1,"")</f>
        <v/>
      </c>
      <c r="AZ36" s="184" t="str">
        <f>IFERROR(Inv_SY_B!AZ36/Inv_SY_B!$BY36-1,"")</f>
        <v/>
      </c>
      <c r="BA36" s="184" t="str">
        <f>IFERROR(Inv_SY_B!BA36/Inv_SY_B!$BY36-1,"")</f>
        <v/>
      </c>
      <c r="BB36" s="184" t="str">
        <f>IFERROR(Inv_SY_B!BB36/Inv_SY_B!$BY36-1,"")</f>
        <v/>
      </c>
      <c r="BC36" s="184" t="str">
        <f>IFERROR(Inv_SY_B!BC36/Inv_SY_B!$BY36-1,"")</f>
        <v/>
      </c>
      <c r="BD36" s="184" t="str">
        <f>IFERROR(Inv_SY_B!BD36/Inv_SY_B!$BY36-1,"")</f>
        <v/>
      </c>
      <c r="BE36" s="184" t="str">
        <f>IFERROR(Inv_SY_B!BE36/Inv_SY_B!$BY36-1,"")</f>
        <v/>
      </c>
      <c r="BF36" s="184" t="str">
        <f>IFERROR(Inv_SY_B!BF36/Inv_SY_B!$BY36-1,"")</f>
        <v/>
      </c>
      <c r="BG36" s="184" t="str">
        <f>IFERROR(Inv_SY_B!BG36/Inv_SY_B!$BY36-1,"")</f>
        <v/>
      </c>
      <c r="BH36" s="184" t="str">
        <f>IFERROR(Inv_SY_B!BH36/Inv_SY_B!$BY36-1,"")</f>
        <v/>
      </c>
      <c r="BI36" s="184" t="str">
        <f>IFERROR(Inv_SY_B!BI36/Inv_SY_B!$BY36-1,"")</f>
        <v/>
      </c>
      <c r="BJ36" s="184" t="str">
        <f>IFERROR(Inv_SY_B!BJ36/Inv_SY_B!$BY36-1,"")</f>
        <v/>
      </c>
      <c r="BK36" s="184" t="str">
        <f>IFERROR(Inv_SY_B!BK36/Inv_SY_B!$BY36-1,"")</f>
        <v/>
      </c>
      <c r="BL36" s="184" t="str">
        <f>IFERROR(Inv_SY_B!BL36/Inv_SY_B!$BY36-1,"")</f>
        <v/>
      </c>
      <c r="BM36" s="184" t="str">
        <f>IFERROR(Inv_SY_B!BM36/Inv_SY_B!$BY36-1,"")</f>
        <v/>
      </c>
      <c r="BN36" s="184" t="str">
        <f>IFERROR(Inv_SY_B!BN36/Inv_SY_B!$BY36-1,"")</f>
        <v/>
      </c>
      <c r="BO36" s="184" t="str">
        <f>IFERROR(Inv_SY_B!BO36/Inv_SY_B!$BY36-1,"")</f>
        <v/>
      </c>
      <c r="BP36" s="184" t="str">
        <f>IFERROR(Inv_SY_B!BP36/Inv_SY_B!$BY36-1,"")</f>
        <v/>
      </c>
      <c r="BQ36" s="184" t="str">
        <f>IFERROR(Inv_SY_B!BQ36/Inv_SY_B!$BY36-1,"")</f>
        <v/>
      </c>
      <c r="BR36" s="184" t="str">
        <f>IFERROR(Inv_SY_B!BR36/Inv_SY_B!$BY36-1,"")</f>
        <v/>
      </c>
      <c r="BS36" s="184" t="str">
        <f>IFERROR(Inv_SY_B!BS36/Inv_SY_B!$BY36-1,"")</f>
        <v/>
      </c>
      <c r="BT36" s="184" t="str">
        <f>IFERROR(Inv_SY_B!BT36/Inv_SY_B!$BY36-1,"")</f>
        <v/>
      </c>
      <c r="BU36" s="184" t="str">
        <f>IFERROR(Inv_SY_B!BU36/Inv_SY_B!$BY36-1,"")</f>
        <v/>
      </c>
      <c r="BV36" s="184" t="str">
        <f>IFERROR(Inv_SY_B!BV36/Inv_SY_B!$BY36-1,"")</f>
        <v/>
      </c>
      <c r="BW36" s="184" t="str">
        <f>IFERROR(Inv_SY_B!BW36/Inv_SY_B!$BY36-1,"")</f>
        <v/>
      </c>
      <c r="BX36" s="184" t="str">
        <f>IFERROR(Inv_SY_B!BX36/Inv_SY_B!$BY36-1,"")</f>
        <v/>
      </c>
    </row>
    <row r="37" spans="1:76">
      <c r="B37" s="179">
        <f t="shared" si="2"/>
        <v>45855</v>
      </c>
      <c r="C37" s="184" t="str">
        <f>IFERROR(Inv_SY_B!C37/Inv_SY_B!$BY37-1,"")</f>
        <v/>
      </c>
      <c r="D37" s="184" t="str">
        <f>IFERROR(Inv_SY_B!D37/Inv_SY_B!$BY37-1,"")</f>
        <v/>
      </c>
      <c r="E37" s="184" t="str">
        <f>IFERROR(Inv_SY_B!E37/Inv_SY_B!$BY37-1,"")</f>
        <v/>
      </c>
      <c r="F37" s="184" t="str">
        <f>IFERROR(Inv_SY_B!F37/Inv_SY_B!$BY37-1,"")</f>
        <v/>
      </c>
      <c r="G37" s="184" t="str">
        <f>IFERROR(Inv_SY_B!G37/Inv_SY_B!$BY37-1,"")</f>
        <v/>
      </c>
      <c r="H37" s="184" t="str">
        <f>IFERROR(Inv_SY_B!H37/Inv_SY_B!$BY37-1,"")</f>
        <v/>
      </c>
      <c r="I37" s="184" t="str">
        <f>IFERROR(Inv_SY_B!I37/Inv_SY_B!$BY37-1,"")</f>
        <v/>
      </c>
      <c r="J37" s="184" t="str">
        <f>IFERROR(Inv_SY_B!J37/Inv_SY_B!$BY37-1,"")</f>
        <v/>
      </c>
      <c r="K37" s="184" t="str">
        <f>IFERROR(Inv_SY_B!K37/Inv_SY_B!$BY37-1,"")</f>
        <v/>
      </c>
      <c r="L37" s="184" t="str">
        <f>IFERROR(Inv_SY_B!L37/Inv_SY_B!$BY37-1,"")</f>
        <v/>
      </c>
      <c r="M37" s="184" t="str">
        <f>IFERROR(Inv_SY_B!M37/Inv_SY_B!$BY37-1,"")</f>
        <v/>
      </c>
      <c r="N37" s="184" t="str">
        <f>IFERROR(Inv_SY_B!N37/Inv_SY_B!$BY37-1,"")</f>
        <v/>
      </c>
      <c r="O37" s="184" t="str">
        <f>IFERROR(Inv_SY_B!O37/Inv_SY_B!$BY37-1,"")</f>
        <v/>
      </c>
      <c r="P37" s="184" t="str">
        <f>IFERROR(Inv_SY_B!P37/Inv_SY_B!$BY37-1,"")</f>
        <v/>
      </c>
      <c r="Q37" s="184" t="str">
        <f>IFERROR(Inv_SY_B!Q37/Inv_SY_B!$BY37-1,"")</f>
        <v/>
      </c>
      <c r="R37" s="184" t="str">
        <f>IFERROR(Inv_SY_B!R37/Inv_SY_B!$BY37-1,"")</f>
        <v/>
      </c>
      <c r="S37" s="184" t="str">
        <f>IFERROR(Inv_SY_B!S37/Inv_SY_B!$BY37-1,"")</f>
        <v/>
      </c>
      <c r="T37" s="184" t="str">
        <f>IFERROR(Inv_SY_B!T37/Inv_SY_B!$BY37-1,"")</f>
        <v/>
      </c>
      <c r="U37" s="184" t="str">
        <f>IFERROR(Inv_SY_B!U37/Inv_SY_B!$BY37-1,"")</f>
        <v/>
      </c>
      <c r="V37" s="184" t="str">
        <f>IFERROR(Inv_SY_B!V37/Inv_SY_B!$BY37-1,"")</f>
        <v/>
      </c>
      <c r="W37" s="184" t="str">
        <f>IFERROR(Inv_SY_B!W37/Inv_SY_B!$BY37-1,"")</f>
        <v/>
      </c>
      <c r="X37" s="184" t="str">
        <f>IFERROR(Inv_SY_B!X37/Inv_SY_B!$BY37-1,"")</f>
        <v/>
      </c>
      <c r="Y37" s="184" t="str">
        <f>IFERROR(Inv_SY_B!Y37/Inv_SY_B!$BY37-1,"")</f>
        <v/>
      </c>
      <c r="Z37" s="184" t="str">
        <f>IFERROR(Inv_SY_B!Z37/Inv_SY_B!$BY37-1,"")</f>
        <v/>
      </c>
      <c r="AA37" s="184" t="str">
        <f>IFERROR(Inv_SY_B!AA37/Inv_SY_B!$BY37-1,"")</f>
        <v/>
      </c>
      <c r="AB37" s="184" t="str">
        <f>IFERROR(Inv_SY_B!AB37/Inv_SY_B!$BY37-1,"")</f>
        <v/>
      </c>
      <c r="AC37" s="184" t="str">
        <f>IFERROR(Inv_SY_B!AC37/Inv_SY_B!$BY37-1,"")</f>
        <v/>
      </c>
      <c r="AD37" s="184" t="str">
        <f>IFERROR(Inv_SY_B!AD37/Inv_SY_B!$BY37-1,"")</f>
        <v/>
      </c>
      <c r="AE37" s="184" t="str">
        <f>IFERROR(Inv_SY_B!AE37/Inv_SY_B!$BY37-1,"")</f>
        <v/>
      </c>
      <c r="AF37" s="184" t="str">
        <f>IFERROR(Inv_SY_B!AF37/Inv_SY_B!$BY37-1,"")</f>
        <v/>
      </c>
      <c r="AG37" s="184" t="str">
        <f>IFERROR(Inv_SY_B!AG37/Inv_SY_B!$BY37-1,"")</f>
        <v/>
      </c>
      <c r="AH37" s="184" t="str">
        <f>IFERROR(Inv_SY_B!AH37/Inv_SY_B!$BY37-1,"")</f>
        <v/>
      </c>
      <c r="AI37" s="184" t="str">
        <f>IFERROR(Inv_SY_B!AI37/Inv_SY_B!$BY37-1,"")</f>
        <v/>
      </c>
      <c r="AJ37" s="184" t="str">
        <f>IFERROR(Inv_SY_B!AJ37/Inv_SY_B!$BY37-1,"")</f>
        <v/>
      </c>
      <c r="AK37" s="184" t="str">
        <f>IFERROR(Inv_SY_B!AK37/Inv_SY_B!$BY37-1,"")</f>
        <v/>
      </c>
      <c r="AL37" s="184" t="str">
        <f>IFERROR(Inv_SY_B!AL37/Inv_SY_B!$BY37-1,"")</f>
        <v/>
      </c>
      <c r="AM37" s="184" t="str">
        <f>IFERROR(Inv_SY_B!AM37/Inv_SY_B!$BY37-1,"")</f>
        <v/>
      </c>
      <c r="AN37" s="184" t="str">
        <f>IFERROR(Inv_SY_B!AN37/Inv_SY_B!$BY37-1,"")</f>
        <v/>
      </c>
      <c r="AO37" s="184" t="str">
        <f>IFERROR(Inv_SY_B!AO37/Inv_SY_B!$BY37-1,"")</f>
        <v/>
      </c>
      <c r="AP37" s="184" t="str">
        <f>IFERROR(Inv_SY_B!AP37/Inv_SY_B!$BY37-1,"")</f>
        <v/>
      </c>
      <c r="AQ37" s="184" t="str">
        <f>IFERROR(Inv_SY_B!AQ37/Inv_SY_B!$BY37-1,"")</f>
        <v/>
      </c>
      <c r="AR37" s="184" t="str">
        <f>IFERROR(Inv_SY_B!AR37/Inv_SY_B!$BY37-1,"")</f>
        <v/>
      </c>
      <c r="AS37" s="184" t="str">
        <f>IFERROR(Inv_SY_B!AS37/Inv_SY_B!$BY37-1,"")</f>
        <v/>
      </c>
      <c r="AT37" s="184" t="str">
        <f>IFERROR(Inv_SY_B!AT37/Inv_SY_B!$BY37-1,"")</f>
        <v/>
      </c>
      <c r="AU37" s="184" t="str">
        <f>IFERROR(Inv_SY_B!AU37/Inv_SY_B!$BY37-1,"")</f>
        <v/>
      </c>
      <c r="AV37" s="184" t="str">
        <f>IFERROR(Inv_SY_B!AV37/Inv_SY_B!$BY37-1,"")</f>
        <v/>
      </c>
      <c r="AW37" s="184" t="str">
        <f>IFERROR(Inv_SY_B!AW37/Inv_SY_B!$BY37-1,"")</f>
        <v/>
      </c>
      <c r="AX37" s="184" t="str">
        <f>IFERROR(Inv_SY_B!AX37/Inv_SY_B!$BY37-1,"")</f>
        <v/>
      </c>
      <c r="AY37" s="184" t="str">
        <f>IFERROR(Inv_SY_B!AY37/Inv_SY_B!$BY37-1,"")</f>
        <v/>
      </c>
      <c r="AZ37" s="184" t="str">
        <f>IFERROR(Inv_SY_B!AZ37/Inv_SY_B!$BY37-1,"")</f>
        <v/>
      </c>
      <c r="BA37" s="184" t="str">
        <f>IFERROR(Inv_SY_B!BA37/Inv_SY_B!$BY37-1,"")</f>
        <v/>
      </c>
      <c r="BB37" s="184" t="str">
        <f>IFERROR(Inv_SY_B!BB37/Inv_SY_B!$BY37-1,"")</f>
        <v/>
      </c>
      <c r="BC37" s="184" t="str">
        <f>IFERROR(Inv_SY_B!BC37/Inv_SY_B!$BY37-1,"")</f>
        <v/>
      </c>
      <c r="BD37" s="184" t="str">
        <f>IFERROR(Inv_SY_B!BD37/Inv_SY_B!$BY37-1,"")</f>
        <v/>
      </c>
      <c r="BE37" s="184" t="str">
        <f>IFERROR(Inv_SY_B!BE37/Inv_SY_B!$BY37-1,"")</f>
        <v/>
      </c>
      <c r="BF37" s="184" t="str">
        <f>IFERROR(Inv_SY_B!BF37/Inv_SY_B!$BY37-1,"")</f>
        <v/>
      </c>
      <c r="BG37" s="184" t="str">
        <f>IFERROR(Inv_SY_B!BG37/Inv_SY_B!$BY37-1,"")</f>
        <v/>
      </c>
      <c r="BH37" s="184" t="str">
        <f>IFERROR(Inv_SY_B!BH37/Inv_SY_B!$BY37-1,"")</f>
        <v/>
      </c>
      <c r="BI37" s="184" t="str">
        <f>IFERROR(Inv_SY_B!BI37/Inv_SY_B!$BY37-1,"")</f>
        <v/>
      </c>
      <c r="BJ37" s="184" t="str">
        <f>IFERROR(Inv_SY_B!BJ37/Inv_SY_B!$BY37-1,"")</f>
        <v/>
      </c>
      <c r="BK37" s="184" t="str">
        <f>IFERROR(Inv_SY_B!BK37/Inv_SY_B!$BY37-1,"")</f>
        <v/>
      </c>
      <c r="BL37" s="184" t="str">
        <f>IFERROR(Inv_SY_B!BL37/Inv_SY_B!$BY37-1,"")</f>
        <v/>
      </c>
      <c r="BM37" s="184" t="str">
        <f>IFERROR(Inv_SY_B!BM37/Inv_SY_B!$BY37-1,"")</f>
        <v/>
      </c>
      <c r="BN37" s="184" t="str">
        <f>IFERROR(Inv_SY_B!BN37/Inv_SY_B!$BY37-1,"")</f>
        <v/>
      </c>
      <c r="BO37" s="184" t="str">
        <f>IFERROR(Inv_SY_B!BO37/Inv_SY_B!$BY37-1,"")</f>
        <v/>
      </c>
      <c r="BP37" s="184" t="str">
        <f>IFERROR(Inv_SY_B!BP37/Inv_SY_B!$BY37-1,"")</f>
        <v/>
      </c>
      <c r="BQ37" s="184" t="str">
        <f>IFERROR(Inv_SY_B!BQ37/Inv_SY_B!$BY37-1,"")</f>
        <v/>
      </c>
      <c r="BR37" s="184" t="str">
        <f>IFERROR(Inv_SY_B!BR37/Inv_SY_B!$BY37-1,"")</f>
        <v/>
      </c>
      <c r="BS37" s="184" t="str">
        <f>IFERROR(Inv_SY_B!BS37/Inv_SY_B!$BY37-1,"")</f>
        <v/>
      </c>
      <c r="BT37" s="184" t="str">
        <f>IFERROR(Inv_SY_B!BT37/Inv_SY_B!$BY37-1,"")</f>
        <v/>
      </c>
      <c r="BU37" s="184" t="str">
        <f>IFERROR(Inv_SY_B!BU37/Inv_SY_B!$BY37-1,"")</f>
        <v/>
      </c>
      <c r="BV37" s="184" t="str">
        <f>IFERROR(Inv_SY_B!BV37/Inv_SY_B!$BY37-1,"")</f>
        <v/>
      </c>
      <c r="BW37" s="184" t="str">
        <f>IFERROR(Inv_SY_B!BW37/Inv_SY_B!$BY37-1,"")</f>
        <v/>
      </c>
      <c r="BX37" s="184" t="str">
        <f>IFERROR(Inv_SY_B!BX37/Inv_SY_B!$BY37-1,"")</f>
        <v/>
      </c>
    </row>
    <row r="38" spans="1:76">
      <c r="B38" s="179">
        <f t="shared" si="2"/>
        <v>45856</v>
      </c>
      <c r="C38" s="184" t="str">
        <f>IFERROR(Inv_SY_B!C38/Inv_SY_B!$BY38-1,"")</f>
        <v/>
      </c>
      <c r="D38" s="184" t="str">
        <f>IFERROR(Inv_SY_B!D38/Inv_SY_B!$BY38-1,"")</f>
        <v/>
      </c>
      <c r="E38" s="184" t="str">
        <f>IFERROR(Inv_SY_B!E38/Inv_SY_B!$BY38-1,"")</f>
        <v/>
      </c>
      <c r="F38" s="184" t="str">
        <f>IFERROR(Inv_SY_B!F38/Inv_SY_B!$BY38-1,"")</f>
        <v/>
      </c>
      <c r="G38" s="184" t="str">
        <f>IFERROR(Inv_SY_B!G38/Inv_SY_B!$BY38-1,"")</f>
        <v/>
      </c>
      <c r="H38" s="184" t="str">
        <f>IFERROR(Inv_SY_B!H38/Inv_SY_B!$BY38-1,"")</f>
        <v/>
      </c>
      <c r="I38" s="184" t="str">
        <f>IFERROR(Inv_SY_B!I38/Inv_SY_B!$BY38-1,"")</f>
        <v/>
      </c>
      <c r="J38" s="184" t="str">
        <f>IFERROR(Inv_SY_B!J38/Inv_SY_B!$BY38-1,"")</f>
        <v/>
      </c>
      <c r="K38" s="184" t="str">
        <f>IFERROR(Inv_SY_B!K38/Inv_SY_B!$BY38-1,"")</f>
        <v/>
      </c>
      <c r="L38" s="184" t="str">
        <f>IFERROR(Inv_SY_B!L38/Inv_SY_B!$BY38-1,"")</f>
        <v/>
      </c>
      <c r="M38" s="184" t="str">
        <f>IFERROR(Inv_SY_B!M38/Inv_SY_B!$BY38-1,"")</f>
        <v/>
      </c>
      <c r="N38" s="184" t="str">
        <f>IFERROR(Inv_SY_B!N38/Inv_SY_B!$BY38-1,"")</f>
        <v/>
      </c>
      <c r="O38" s="184" t="str">
        <f>IFERROR(Inv_SY_B!O38/Inv_SY_B!$BY38-1,"")</f>
        <v/>
      </c>
      <c r="P38" s="184" t="str">
        <f>IFERROR(Inv_SY_B!P38/Inv_SY_B!$BY38-1,"")</f>
        <v/>
      </c>
      <c r="Q38" s="184" t="str">
        <f>IFERROR(Inv_SY_B!Q38/Inv_SY_B!$BY38-1,"")</f>
        <v/>
      </c>
      <c r="R38" s="184" t="str">
        <f>IFERROR(Inv_SY_B!R38/Inv_SY_B!$BY38-1,"")</f>
        <v/>
      </c>
      <c r="S38" s="184" t="str">
        <f>IFERROR(Inv_SY_B!S38/Inv_SY_B!$BY38-1,"")</f>
        <v/>
      </c>
      <c r="T38" s="184" t="str">
        <f>IFERROR(Inv_SY_B!T38/Inv_SY_B!$BY38-1,"")</f>
        <v/>
      </c>
      <c r="U38" s="184" t="str">
        <f>IFERROR(Inv_SY_B!U38/Inv_SY_B!$BY38-1,"")</f>
        <v/>
      </c>
      <c r="V38" s="184" t="str">
        <f>IFERROR(Inv_SY_B!V38/Inv_SY_B!$BY38-1,"")</f>
        <v/>
      </c>
      <c r="W38" s="184" t="str">
        <f>IFERROR(Inv_SY_B!W38/Inv_SY_B!$BY38-1,"")</f>
        <v/>
      </c>
      <c r="X38" s="184" t="str">
        <f>IFERROR(Inv_SY_B!X38/Inv_SY_B!$BY38-1,"")</f>
        <v/>
      </c>
      <c r="Y38" s="184" t="str">
        <f>IFERROR(Inv_SY_B!Y38/Inv_SY_B!$BY38-1,"")</f>
        <v/>
      </c>
      <c r="Z38" s="184" t="str">
        <f>IFERROR(Inv_SY_B!Z38/Inv_SY_B!$BY38-1,"")</f>
        <v/>
      </c>
      <c r="AA38" s="184" t="str">
        <f>IFERROR(Inv_SY_B!AA38/Inv_SY_B!$BY38-1,"")</f>
        <v/>
      </c>
      <c r="AB38" s="184" t="str">
        <f>IFERROR(Inv_SY_B!AB38/Inv_SY_B!$BY38-1,"")</f>
        <v/>
      </c>
      <c r="AC38" s="184" t="str">
        <f>IFERROR(Inv_SY_B!AC38/Inv_SY_B!$BY38-1,"")</f>
        <v/>
      </c>
      <c r="AD38" s="184" t="str">
        <f>IFERROR(Inv_SY_B!AD38/Inv_SY_B!$BY38-1,"")</f>
        <v/>
      </c>
      <c r="AE38" s="184" t="str">
        <f>IFERROR(Inv_SY_B!AE38/Inv_SY_B!$BY38-1,"")</f>
        <v/>
      </c>
      <c r="AF38" s="184" t="str">
        <f>IFERROR(Inv_SY_B!AF38/Inv_SY_B!$BY38-1,"")</f>
        <v/>
      </c>
      <c r="AG38" s="184" t="str">
        <f>IFERROR(Inv_SY_B!AG38/Inv_SY_B!$BY38-1,"")</f>
        <v/>
      </c>
      <c r="AH38" s="184" t="str">
        <f>IFERROR(Inv_SY_B!AH38/Inv_SY_B!$BY38-1,"")</f>
        <v/>
      </c>
      <c r="AI38" s="184" t="str">
        <f>IFERROR(Inv_SY_B!AI38/Inv_SY_B!$BY38-1,"")</f>
        <v/>
      </c>
      <c r="AJ38" s="184" t="str">
        <f>IFERROR(Inv_SY_B!AJ38/Inv_SY_B!$BY38-1,"")</f>
        <v/>
      </c>
      <c r="AK38" s="184" t="str">
        <f>IFERROR(Inv_SY_B!AK38/Inv_SY_B!$BY38-1,"")</f>
        <v/>
      </c>
      <c r="AL38" s="184" t="str">
        <f>IFERROR(Inv_SY_B!AL38/Inv_SY_B!$BY38-1,"")</f>
        <v/>
      </c>
      <c r="AM38" s="184" t="str">
        <f>IFERROR(Inv_SY_B!AM38/Inv_SY_B!$BY38-1,"")</f>
        <v/>
      </c>
      <c r="AN38" s="184" t="str">
        <f>IFERROR(Inv_SY_B!AN38/Inv_SY_B!$BY38-1,"")</f>
        <v/>
      </c>
      <c r="AO38" s="184" t="str">
        <f>IFERROR(Inv_SY_B!AO38/Inv_SY_B!$BY38-1,"")</f>
        <v/>
      </c>
      <c r="AP38" s="184" t="str">
        <f>IFERROR(Inv_SY_B!AP38/Inv_SY_B!$BY38-1,"")</f>
        <v/>
      </c>
      <c r="AQ38" s="184" t="str">
        <f>IFERROR(Inv_SY_B!AQ38/Inv_SY_B!$BY38-1,"")</f>
        <v/>
      </c>
      <c r="AR38" s="184" t="str">
        <f>IFERROR(Inv_SY_B!AR38/Inv_SY_B!$BY38-1,"")</f>
        <v/>
      </c>
      <c r="AS38" s="184" t="str">
        <f>IFERROR(Inv_SY_B!AS38/Inv_SY_B!$BY38-1,"")</f>
        <v/>
      </c>
      <c r="AT38" s="184" t="str">
        <f>IFERROR(Inv_SY_B!AT38/Inv_SY_B!$BY38-1,"")</f>
        <v/>
      </c>
      <c r="AU38" s="184" t="str">
        <f>IFERROR(Inv_SY_B!AU38/Inv_SY_B!$BY38-1,"")</f>
        <v/>
      </c>
      <c r="AV38" s="184" t="str">
        <f>IFERROR(Inv_SY_B!AV38/Inv_SY_B!$BY38-1,"")</f>
        <v/>
      </c>
      <c r="AW38" s="184" t="str">
        <f>IFERROR(Inv_SY_B!AW38/Inv_SY_B!$BY38-1,"")</f>
        <v/>
      </c>
      <c r="AX38" s="184" t="str">
        <f>IFERROR(Inv_SY_B!AX38/Inv_SY_B!$BY38-1,"")</f>
        <v/>
      </c>
      <c r="AY38" s="184" t="str">
        <f>IFERROR(Inv_SY_B!AY38/Inv_SY_B!$BY38-1,"")</f>
        <v/>
      </c>
      <c r="AZ38" s="184" t="str">
        <f>IFERROR(Inv_SY_B!AZ38/Inv_SY_B!$BY38-1,"")</f>
        <v/>
      </c>
      <c r="BA38" s="184" t="str">
        <f>IFERROR(Inv_SY_B!BA38/Inv_SY_B!$BY38-1,"")</f>
        <v/>
      </c>
      <c r="BB38" s="184" t="str">
        <f>IFERROR(Inv_SY_B!BB38/Inv_SY_B!$BY38-1,"")</f>
        <v/>
      </c>
      <c r="BC38" s="184" t="str">
        <f>IFERROR(Inv_SY_B!BC38/Inv_SY_B!$BY38-1,"")</f>
        <v/>
      </c>
      <c r="BD38" s="184" t="str">
        <f>IFERROR(Inv_SY_B!BD38/Inv_SY_B!$BY38-1,"")</f>
        <v/>
      </c>
      <c r="BE38" s="184" t="str">
        <f>IFERROR(Inv_SY_B!BE38/Inv_SY_B!$BY38-1,"")</f>
        <v/>
      </c>
      <c r="BF38" s="184" t="str">
        <f>IFERROR(Inv_SY_B!BF38/Inv_SY_B!$BY38-1,"")</f>
        <v/>
      </c>
      <c r="BG38" s="184" t="str">
        <f>IFERROR(Inv_SY_B!BG38/Inv_SY_B!$BY38-1,"")</f>
        <v/>
      </c>
      <c r="BH38" s="184" t="str">
        <f>IFERROR(Inv_SY_B!BH38/Inv_SY_B!$BY38-1,"")</f>
        <v/>
      </c>
      <c r="BI38" s="184" t="str">
        <f>IFERROR(Inv_SY_B!BI38/Inv_SY_B!$BY38-1,"")</f>
        <v/>
      </c>
      <c r="BJ38" s="184" t="str">
        <f>IFERROR(Inv_SY_B!BJ38/Inv_SY_B!$BY38-1,"")</f>
        <v/>
      </c>
      <c r="BK38" s="184" t="str">
        <f>IFERROR(Inv_SY_B!BK38/Inv_SY_B!$BY38-1,"")</f>
        <v/>
      </c>
      <c r="BL38" s="184" t="str">
        <f>IFERROR(Inv_SY_B!BL38/Inv_SY_B!$BY38-1,"")</f>
        <v/>
      </c>
      <c r="BM38" s="184" t="str">
        <f>IFERROR(Inv_SY_B!BM38/Inv_SY_B!$BY38-1,"")</f>
        <v/>
      </c>
      <c r="BN38" s="184" t="str">
        <f>IFERROR(Inv_SY_B!BN38/Inv_SY_B!$BY38-1,"")</f>
        <v/>
      </c>
      <c r="BO38" s="184" t="str">
        <f>IFERROR(Inv_SY_B!BO38/Inv_SY_B!$BY38-1,"")</f>
        <v/>
      </c>
      <c r="BP38" s="184" t="str">
        <f>IFERROR(Inv_SY_B!BP38/Inv_SY_B!$BY38-1,"")</f>
        <v/>
      </c>
      <c r="BQ38" s="184" t="str">
        <f>IFERROR(Inv_SY_B!BQ38/Inv_SY_B!$BY38-1,"")</f>
        <v/>
      </c>
      <c r="BR38" s="184" t="str">
        <f>IFERROR(Inv_SY_B!BR38/Inv_SY_B!$BY38-1,"")</f>
        <v/>
      </c>
      <c r="BS38" s="184" t="str">
        <f>IFERROR(Inv_SY_B!BS38/Inv_SY_B!$BY38-1,"")</f>
        <v/>
      </c>
      <c r="BT38" s="184" t="str">
        <f>IFERROR(Inv_SY_B!BT38/Inv_SY_B!$BY38-1,"")</f>
        <v/>
      </c>
      <c r="BU38" s="184" t="str">
        <f>IFERROR(Inv_SY_B!BU38/Inv_SY_B!$BY38-1,"")</f>
        <v/>
      </c>
      <c r="BV38" s="184" t="str">
        <f>IFERROR(Inv_SY_B!BV38/Inv_SY_B!$BY38-1,"")</f>
        <v/>
      </c>
      <c r="BW38" s="184" t="str">
        <f>IFERROR(Inv_SY_B!BW38/Inv_SY_B!$BY38-1,"")</f>
        <v/>
      </c>
      <c r="BX38" s="184" t="str">
        <f>IFERROR(Inv_SY_B!BX38/Inv_SY_B!$BY38-1,"")</f>
        <v/>
      </c>
    </row>
    <row r="39" spans="1:76">
      <c r="B39" s="179">
        <f t="shared" si="2"/>
        <v>45857</v>
      </c>
      <c r="C39" s="184" t="str">
        <f>IFERROR(Inv_SY_B!C39/Inv_SY_B!$BY39-1,"")</f>
        <v/>
      </c>
      <c r="D39" s="184" t="str">
        <f>IFERROR(Inv_SY_B!D39/Inv_SY_B!$BY39-1,"")</f>
        <v/>
      </c>
      <c r="E39" s="184" t="str">
        <f>IFERROR(Inv_SY_B!E39/Inv_SY_B!$BY39-1,"")</f>
        <v/>
      </c>
      <c r="F39" s="184" t="str">
        <f>IFERROR(Inv_SY_B!F39/Inv_SY_B!$BY39-1,"")</f>
        <v/>
      </c>
      <c r="G39" s="184" t="str">
        <f>IFERROR(Inv_SY_B!G39/Inv_SY_B!$BY39-1,"")</f>
        <v/>
      </c>
      <c r="H39" s="184" t="str">
        <f>IFERROR(Inv_SY_B!H39/Inv_SY_B!$BY39-1,"")</f>
        <v/>
      </c>
      <c r="I39" s="184" t="str">
        <f>IFERROR(Inv_SY_B!I39/Inv_SY_B!$BY39-1,"")</f>
        <v/>
      </c>
      <c r="J39" s="184" t="str">
        <f>IFERROR(Inv_SY_B!J39/Inv_SY_B!$BY39-1,"")</f>
        <v/>
      </c>
      <c r="K39" s="184" t="str">
        <f>IFERROR(Inv_SY_B!K39/Inv_SY_B!$BY39-1,"")</f>
        <v/>
      </c>
      <c r="L39" s="184" t="str">
        <f>IFERROR(Inv_SY_B!L39/Inv_SY_B!$BY39-1,"")</f>
        <v/>
      </c>
      <c r="M39" s="184" t="str">
        <f>IFERROR(Inv_SY_B!M39/Inv_SY_B!$BY39-1,"")</f>
        <v/>
      </c>
      <c r="N39" s="184" t="str">
        <f>IFERROR(Inv_SY_B!N39/Inv_SY_B!$BY39-1,"")</f>
        <v/>
      </c>
      <c r="O39" s="184" t="str">
        <f>IFERROR(Inv_SY_B!O39/Inv_SY_B!$BY39-1,"")</f>
        <v/>
      </c>
      <c r="P39" s="184" t="str">
        <f>IFERROR(Inv_SY_B!P39/Inv_SY_B!$BY39-1,"")</f>
        <v/>
      </c>
      <c r="Q39" s="184" t="str">
        <f>IFERROR(Inv_SY_B!Q39/Inv_SY_B!$BY39-1,"")</f>
        <v/>
      </c>
      <c r="R39" s="184" t="str">
        <f>IFERROR(Inv_SY_B!R39/Inv_SY_B!$BY39-1,"")</f>
        <v/>
      </c>
      <c r="S39" s="184" t="str">
        <f>IFERROR(Inv_SY_B!S39/Inv_SY_B!$BY39-1,"")</f>
        <v/>
      </c>
      <c r="T39" s="184" t="str">
        <f>IFERROR(Inv_SY_B!T39/Inv_SY_B!$BY39-1,"")</f>
        <v/>
      </c>
      <c r="U39" s="184" t="str">
        <f>IFERROR(Inv_SY_B!U39/Inv_SY_B!$BY39-1,"")</f>
        <v/>
      </c>
      <c r="V39" s="184" t="str">
        <f>IFERROR(Inv_SY_B!V39/Inv_SY_B!$BY39-1,"")</f>
        <v/>
      </c>
      <c r="W39" s="184" t="str">
        <f>IFERROR(Inv_SY_B!W39/Inv_SY_B!$BY39-1,"")</f>
        <v/>
      </c>
      <c r="X39" s="184" t="str">
        <f>IFERROR(Inv_SY_B!X39/Inv_SY_B!$BY39-1,"")</f>
        <v/>
      </c>
      <c r="Y39" s="184" t="str">
        <f>IFERROR(Inv_SY_B!Y39/Inv_SY_B!$BY39-1,"")</f>
        <v/>
      </c>
      <c r="Z39" s="184" t="str">
        <f>IFERROR(Inv_SY_B!Z39/Inv_SY_B!$BY39-1,"")</f>
        <v/>
      </c>
      <c r="AA39" s="184" t="str">
        <f>IFERROR(Inv_SY_B!AA39/Inv_SY_B!$BY39-1,"")</f>
        <v/>
      </c>
      <c r="AB39" s="184" t="str">
        <f>IFERROR(Inv_SY_B!AB39/Inv_SY_B!$BY39-1,"")</f>
        <v/>
      </c>
      <c r="AC39" s="184" t="str">
        <f>IFERROR(Inv_SY_B!AC39/Inv_SY_B!$BY39-1,"")</f>
        <v/>
      </c>
      <c r="AD39" s="184" t="str">
        <f>IFERROR(Inv_SY_B!AD39/Inv_SY_B!$BY39-1,"")</f>
        <v/>
      </c>
      <c r="AE39" s="184" t="str">
        <f>IFERROR(Inv_SY_B!AE39/Inv_SY_B!$BY39-1,"")</f>
        <v/>
      </c>
      <c r="AF39" s="184" t="str">
        <f>IFERROR(Inv_SY_B!AF39/Inv_SY_B!$BY39-1,"")</f>
        <v/>
      </c>
      <c r="AG39" s="184" t="str">
        <f>IFERROR(Inv_SY_B!AG39/Inv_SY_B!$BY39-1,"")</f>
        <v/>
      </c>
      <c r="AH39" s="184" t="str">
        <f>IFERROR(Inv_SY_B!AH39/Inv_SY_B!$BY39-1,"")</f>
        <v/>
      </c>
      <c r="AI39" s="184" t="str">
        <f>IFERROR(Inv_SY_B!AI39/Inv_SY_B!$BY39-1,"")</f>
        <v/>
      </c>
      <c r="AJ39" s="184" t="str">
        <f>IFERROR(Inv_SY_B!AJ39/Inv_SY_B!$BY39-1,"")</f>
        <v/>
      </c>
      <c r="AK39" s="184" t="str">
        <f>IFERROR(Inv_SY_B!AK39/Inv_SY_B!$BY39-1,"")</f>
        <v/>
      </c>
      <c r="AL39" s="184" t="str">
        <f>IFERROR(Inv_SY_B!AL39/Inv_SY_B!$BY39-1,"")</f>
        <v/>
      </c>
      <c r="AM39" s="184" t="str">
        <f>IFERROR(Inv_SY_B!AM39/Inv_SY_B!$BY39-1,"")</f>
        <v/>
      </c>
      <c r="AN39" s="184" t="str">
        <f>IFERROR(Inv_SY_B!AN39/Inv_SY_B!$BY39-1,"")</f>
        <v/>
      </c>
      <c r="AO39" s="184" t="str">
        <f>IFERROR(Inv_SY_B!AO39/Inv_SY_B!$BY39-1,"")</f>
        <v/>
      </c>
      <c r="AP39" s="184" t="str">
        <f>IFERROR(Inv_SY_B!AP39/Inv_SY_B!$BY39-1,"")</f>
        <v/>
      </c>
      <c r="AQ39" s="184" t="str">
        <f>IFERROR(Inv_SY_B!AQ39/Inv_SY_B!$BY39-1,"")</f>
        <v/>
      </c>
      <c r="AR39" s="184" t="str">
        <f>IFERROR(Inv_SY_B!AR39/Inv_SY_B!$BY39-1,"")</f>
        <v/>
      </c>
      <c r="AS39" s="184" t="str">
        <f>IFERROR(Inv_SY_B!AS39/Inv_SY_B!$BY39-1,"")</f>
        <v/>
      </c>
      <c r="AT39" s="184" t="str">
        <f>IFERROR(Inv_SY_B!AT39/Inv_SY_B!$BY39-1,"")</f>
        <v/>
      </c>
      <c r="AU39" s="184" t="str">
        <f>IFERROR(Inv_SY_B!AU39/Inv_SY_B!$BY39-1,"")</f>
        <v/>
      </c>
      <c r="AV39" s="184" t="str">
        <f>IFERROR(Inv_SY_B!AV39/Inv_SY_B!$BY39-1,"")</f>
        <v/>
      </c>
      <c r="AW39" s="184" t="str">
        <f>IFERROR(Inv_SY_B!AW39/Inv_SY_B!$BY39-1,"")</f>
        <v/>
      </c>
      <c r="AX39" s="184" t="str">
        <f>IFERROR(Inv_SY_B!AX39/Inv_SY_B!$BY39-1,"")</f>
        <v/>
      </c>
      <c r="AY39" s="184" t="str">
        <f>IFERROR(Inv_SY_B!AY39/Inv_SY_B!$BY39-1,"")</f>
        <v/>
      </c>
      <c r="AZ39" s="184" t="str">
        <f>IFERROR(Inv_SY_B!AZ39/Inv_SY_B!$BY39-1,"")</f>
        <v/>
      </c>
      <c r="BA39" s="184" t="str">
        <f>IFERROR(Inv_SY_B!BA39/Inv_SY_B!$BY39-1,"")</f>
        <v/>
      </c>
      <c r="BB39" s="184" t="str">
        <f>IFERROR(Inv_SY_B!BB39/Inv_SY_B!$BY39-1,"")</f>
        <v/>
      </c>
      <c r="BC39" s="184" t="str">
        <f>IFERROR(Inv_SY_B!BC39/Inv_SY_B!$BY39-1,"")</f>
        <v/>
      </c>
      <c r="BD39" s="184" t="str">
        <f>IFERROR(Inv_SY_B!BD39/Inv_SY_B!$BY39-1,"")</f>
        <v/>
      </c>
      <c r="BE39" s="184" t="str">
        <f>IFERROR(Inv_SY_B!BE39/Inv_SY_B!$BY39-1,"")</f>
        <v/>
      </c>
      <c r="BF39" s="184" t="str">
        <f>IFERROR(Inv_SY_B!BF39/Inv_SY_B!$BY39-1,"")</f>
        <v/>
      </c>
      <c r="BG39" s="184" t="str">
        <f>IFERROR(Inv_SY_B!BG39/Inv_SY_B!$BY39-1,"")</f>
        <v/>
      </c>
      <c r="BH39" s="184" t="str">
        <f>IFERROR(Inv_SY_B!BH39/Inv_SY_B!$BY39-1,"")</f>
        <v/>
      </c>
      <c r="BI39" s="184" t="str">
        <f>IFERROR(Inv_SY_B!BI39/Inv_SY_B!$BY39-1,"")</f>
        <v/>
      </c>
      <c r="BJ39" s="184" t="str">
        <f>IFERROR(Inv_SY_B!BJ39/Inv_SY_B!$BY39-1,"")</f>
        <v/>
      </c>
      <c r="BK39" s="184" t="str">
        <f>IFERROR(Inv_SY_B!BK39/Inv_SY_B!$BY39-1,"")</f>
        <v/>
      </c>
      <c r="BL39" s="184" t="str">
        <f>IFERROR(Inv_SY_B!BL39/Inv_SY_B!$BY39-1,"")</f>
        <v/>
      </c>
      <c r="BM39" s="184" t="str">
        <f>IFERROR(Inv_SY_B!BM39/Inv_SY_B!$BY39-1,"")</f>
        <v/>
      </c>
      <c r="BN39" s="184" t="str">
        <f>IFERROR(Inv_SY_B!BN39/Inv_SY_B!$BY39-1,"")</f>
        <v/>
      </c>
      <c r="BO39" s="184" t="str">
        <f>IFERROR(Inv_SY_B!BO39/Inv_SY_B!$BY39-1,"")</f>
        <v/>
      </c>
      <c r="BP39" s="184" t="str">
        <f>IFERROR(Inv_SY_B!BP39/Inv_SY_B!$BY39-1,"")</f>
        <v/>
      </c>
      <c r="BQ39" s="184" t="str">
        <f>IFERROR(Inv_SY_B!BQ39/Inv_SY_B!$BY39-1,"")</f>
        <v/>
      </c>
      <c r="BR39" s="184" t="str">
        <f>IFERROR(Inv_SY_B!BR39/Inv_SY_B!$BY39-1,"")</f>
        <v/>
      </c>
      <c r="BS39" s="184" t="str">
        <f>IFERROR(Inv_SY_B!BS39/Inv_SY_B!$BY39-1,"")</f>
        <v/>
      </c>
      <c r="BT39" s="184" t="str">
        <f>IFERROR(Inv_SY_B!BT39/Inv_SY_B!$BY39-1,"")</f>
        <v/>
      </c>
      <c r="BU39" s="184" t="str">
        <f>IFERROR(Inv_SY_B!BU39/Inv_SY_B!$BY39-1,"")</f>
        <v/>
      </c>
      <c r="BV39" s="184" t="str">
        <f>IFERROR(Inv_SY_B!BV39/Inv_SY_B!$BY39-1,"")</f>
        <v/>
      </c>
      <c r="BW39" s="184" t="str">
        <f>IFERROR(Inv_SY_B!BW39/Inv_SY_B!$BY39-1,"")</f>
        <v/>
      </c>
      <c r="BX39" s="184" t="str">
        <f>IFERROR(Inv_SY_B!BX39/Inv_SY_B!$BY39-1,"")</f>
        <v/>
      </c>
    </row>
    <row r="40" spans="1:76">
      <c r="B40" s="179">
        <f t="shared" si="2"/>
        <v>45858</v>
      </c>
      <c r="C40" s="184" t="str">
        <f>IFERROR(Inv_SY_B!C40/Inv_SY_B!$BY40-1,"")</f>
        <v/>
      </c>
      <c r="D40" s="184" t="str">
        <f>IFERROR(Inv_SY_B!D40/Inv_SY_B!$BY40-1,"")</f>
        <v/>
      </c>
      <c r="E40" s="184" t="str">
        <f>IFERROR(Inv_SY_B!E40/Inv_SY_B!$BY40-1,"")</f>
        <v/>
      </c>
      <c r="F40" s="184" t="str">
        <f>IFERROR(Inv_SY_B!F40/Inv_SY_B!$BY40-1,"")</f>
        <v/>
      </c>
      <c r="G40" s="184" t="str">
        <f>IFERROR(Inv_SY_B!G40/Inv_SY_B!$BY40-1,"")</f>
        <v/>
      </c>
      <c r="H40" s="184" t="str">
        <f>IFERROR(Inv_SY_B!H40/Inv_SY_B!$BY40-1,"")</f>
        <v/>
      </c>
      <c r="I40" s="184" t="str">
        <f>IFERROR(Inv_SY_B!I40/Inv_SY_B!$BY40-1,"")</f>
        <v/>
      </c>
      <c r="J40" s="184" t="str">
        <f>IFERROR(Inv_SY_B!J40/Inv_SY_B!$BY40-1,"")</f>
        <v/>
      </c>
      <c r="K40" s="184" t="str">
        <f>IFERROR(Inv_SY_B!K40/Inv_SY_B!$BY40-1,"")</f>
        <v/>
      </c>
      <c r="L40" s="184" t="str">
        <f>IFERROR(Inv_SY_B!L40/Inv_SY_B!$BY40-1,"")</f>
        <v/>
      </c>
      <c r="M40" s="184" t="str">
        <f>IFERROR(Inv_SY_B!M40/Inv_SY_B!$BY40-1,"")</f>
        <v/>
      </c>
      <c r="N40" s="184" t="str">
        <f>IFERROR(Inv_SY_B!N40/Inv_SY_B!$BY40-1,"")</f>
        <v/>
      </c>
      <c r="O40" s="184" t="str">
        <f>IFERROR(Inv_SY_B!O40/Inv_SY_B!$BY40-1,"")</f>
        <v/>
      </c>
      <c r="P40" s="184" t="str">
        <f>IFERROR(Inv_SY_B!P40/Inv_SY_B!$BY40-1,"")</f>
        <v/>
      </c>
      <c r="Q40" s="184" t="str">
        <f>IFERROR(Inv_SY_B!Q40/Inv_SY_B!$BY40-1,"")</f>
        <v/>
      </c>
      <c r="R40" s="184" t="str">
        <f>IFERROR(Inv_SY_B!R40/Inv_SY_B!$BY40-1,"")</f>
        <v/>
      </c>
      <c r="S40" s="184" t="str">
        <f>IFERROR(Inv_SY_B!S40/Inv_SY_B!$BY40-1,"")</f>
        <v/>
      </c>
      <c r="T40" s="184" t="str">
        <f>IFERROR(Inv_SY_B!T40/Inv_SY_B!$BY40-1,"")</f>
        <v/>
      </c>
      <c r="U40" s="184" t="str">
        <f>IFERROR(Inv_SY_B!U40/Inv_SY_B!$BY40-1,"")</f>
        <v/>
      </c>
      <c r="V40" s="184" t="str">
        <f>IFERROR(Inv_SY_B!V40/Inv_SY_B!$BY40-1,"")</f>
        <v/>
      </c>
      <c r="W40" s="184" t="str">
        <f>IFERROR(Inv_SY_B!W40/Inv_SY_B!$BY40-1,"")</f>
        <v/>
      </c>
      <c r="X40" s="184" t="str">
        <f>IFERROR(Inv_SY_B!X40/Inv_SY_B!$BY40-1,"")</f>
        <v/>
      </c>
      <c r="Y40" s="184" t="str">
        <f>IFERROR(Inv_SY_B!Y40/Inv_SY_B!$BY40-1,"")</f>
        <v/>
      </c>
      <c r="Z40" s="184" t="str">
        <f>IFERROR(Inv_SY_B!Z40/Inv_SY_B!$BY40-1,"")</f>
        <v/>
      </c>
      <c r="AA40" s="184" t="str">
        <f>IFERROR(Inv_SY_B!AA40/Inv_SY_B!$BY40-1,"")</f>
        <v/>
      </c>
      <c r="AB40" s="184" t="str">
        <f>IFERROR(Inv_SY_B!AB40/Inv_SY_B!$BY40-1,"")</f>
        <v/>
      </c>
      <c r="AC40" s="184" t="str">
        <f>IFERROR(Inv_SY_B!AC40/Inv_SY_B!$BY40-1,"")</f>
        <v/>
      </c>
      <c r="AD40" s="184" t="str">
        <f>IFERROR(Inv_SY_B!AD40/Inv_SY_B!$BY40-1,"")</f>
        <v/>
      </c>
      <c r="AE40" s="184" t="str">
        <f>IFERROR(Inv_SY_B!AE40/Inv_SY_B!$BY40-1,"")</f>
        <v/>
      </c>
      <c r="AF40" s="184" t="str">
        <f>IFERROR(Inv_SY_B!AF40/Inv_SY_B!$BY40-1,"")</f>
        <v/>
      </c>
      <c r="AG40" s="184" t="str">
        <f>IFERROR(Inv_SY_B!AG40/Inv_SY_B!$BY40-1,"")</f>
        <v/>
      </c>
      <c r="AH40" s="184" t="str">
        <f>IFERROR(Inv_SY_B!AH40/Inv_SY_B!$BY40-1,"")</f>
        <v/>
      </c>
      <c r="AI40" s="184" t="str">
        <f>IFERROR(Inv_SY_B!AI40/Inv_SY_B!$BY40-1,"")</f>
        <v/>
      </c>
      <c r="AJ40" s="184" t="str">
        <f>IFERROR(Inv_SY_B!AJ40/Inv_SY_B!$BY40-1,"")</f>
        <v/>
      </c>
      <c r="AK40" s="184" t="str">
        <f>IFERROR(Inv_SY_B!AK40/Inv_SY_B!$BY40-1,"")</f>
        <v/>
      </c>
      <c r="AL40" s="184" t="str">
        <f>IFERROR(Inv_SY_B!AL40/Inv_SY_B!$BY40-1,"")</f>
        <v/>
      </c>
      <c r="AM40" s="184" t="str">
        <f>IFERROR(Inv_SY_B!AM40/Inv_SY_B!$BY40-1,"")</f>
        <v/>
      </c>
      <c r="AN40" s="184" t="str">
        <f>IFERROR(Inv_SY_B!AN40/Inv_SY_B!$BY40-1,"")</f>
        <v/>
      </c>
      <c r="AO40" s="184" t="str">
        <f>IFERROR(Inv_SY_B!AO40/Inv_SY_B!$BY40-1,"")</f>
        <v/>
      </c>
      <c r="AP40" s="184" t="str">
        <f>IFERROR(Inv_SY_B!AP40/Inv_SY_B!$BY40-1,"")</f>
        <v/>
      </c>
      <c r="AQ40" s="184" t="str">
        <f>IFERROR(Inv_SY_B!AQ40/Inv_SY_B!$BY40-1,"")</f>
        <v/>
      </c>
      <c r="AR40" s="184" t="str">
        <f>IFERROR(Inv_SY_B!AR40/Inv_SY_B!$BY40-1,"")</f>
        <v/>
      </c>
      <c r="AS40" s="184" t="str">
        <f>IFERROR(Inv_SY_B!AS40/Inv_SY_B!$BY40-1,"")</f>
        <v/>
      </c>
      <c r="AT40" s="184" t="str">
        <f>IFERROR(Inv_SY_B!AT40/Inv_SY_B!$BY40-1,"")</f>
        <v/>
      </c>
      <c r="AU40" s="184" t="str">
        <f>IFERROR(Inv_SY_B!AU40/Inv_SY_B!$BY40-1,"")</f>
        <v/>
      </c>
      <c r="AV40" s="184" t="str">
        <f>IFERROR(Inv_SY_B!AV40/Inv_SY_B!$BY40-1,"")</f>
        <v/>
      </c>
      <c r="AW40" s="184" t="str">
        <f>IFERROR(Inv_SY_B!AW40/Inv_SY_B!$BY40-1,"")</f>
        <v/>
      </c>
      <c r="AX40" s="184" t="str">
        <f>IFERROR(Inv_SY_B!AX40/Inv_SY_B!$BY40-1,"")</f>
        <v/>
      </c>
      <c r="AY40" s="184" t="str">
        <f>IFERROR(Inv_SY_B!AY40/Inv_SY_B!$BY40-1,"")</f>
        <v/>
      </c>
      <c r="AZ40" s="184" t="str">
        <f>IFERROR(Inv_SY_B!AZ40/Inv_SY_B!$BY40-1,"")</f>
        <v/>
      </c>
      <c r="BA40" s="184" t="str">
        <f>IFERROR(Inv_SY_B!BA40/Inv_SY_B!$BY40-1,"")</f>
        <v/>
      </c>
      <c r="BB40" s="184" t="str">
        <f>IFERROR(Inv_SY_B!BB40/Inv_SY_B!$BY40-1,"")</f>
        <v/>
      </c>
      <c r="BC40" s="184" t="str">
        <f>IFERROR(Inv_SY_B!BC40/Inv_SY_B!$BY40-1,"")</f>
        <v/>
      </c>
      <c r="BD40" s="184" t="str">
        <f>IFERROR(Inv_SY_B!BD40/Inv_SY_B!$BY40-1,"")</f>
        <v/>
      </c>
      <c r="BE40" s="184" t="str">
        <f>IFERROR(Inv_SY_B!BE40/Inv_SY_B!$BY40-1,"")</f>
        <v/>
      </c>
      <c r="BF40" s="184" t="str">
        <f>IFERROR(Inv_SY_B!BF40/Inv_SY_B!$BY40-1,"")</f>
        <v/>
      </c>
      <c r="BG40" s="184" t="str">
        <f>IFERROR(Inv_SY_B!BG40/Inv_SY_B!$BY40-1,"")</f>
        <v/>
      </c>
      <c r="BH40" s="184" t="str">
        <f>IFERROR(Inv_SY_B!BH40/Inv_SY_B!$BY40-1,"")</f>
        <v/>
      </c>
      <c r="BI40" s="184" t="str">
        <f>IFERROR(Inv_SY_B!BI40/Inv_SY_B!$BY40-1,"")</f>
        <v/>
      </c>
      <c r="BJ40" s="184" t="str">
        <f>IFERROR(Inv_SY_B!BJ40/Inv_SY_B!$BY40-1,"")</f>
        <v/>
      </c>
      <c r="BK40" s="184" t="str">
        <f>IFERROR(Inv_SY_B!BK40/Inv_SY_B!$BY40-1,"")</f>
        <v/>
      </c>
      <c r="BL40" s="184" t="str">
        <f>IFERROR(Inv_SY_B!BL40/Inv_SY_B!$BY40-1,"")</f>
        <v/>
      </c>
      <c r="BM40" s="184" t="str">
        <f>IFERROR(Inv_SY_B!BM40/Inv_SY_B!$BY40-1,"")</f>
        <v/>
      </c>
      <c r="BN40" s="184" t="str">
        <f>IFERROR(Inv_SY_B!BN40/Inv_SY_B!$BY40-1,"")</f>
        <v/>
      </c>
      <c r="BO40" s="184" t="str">
        <f>IFERROR(Inv_SY_B!BO40/Inv_SY_B!$BY40-1,"")</f>
        <v/>
      </c>
      <c r="BP40" s="184" t="str">
        <f>IFERROR(Inv_SY_B!BP40/Inv_SY_B!$BY40-1,"")</f>
        <v/>
      </c>
      <c r="BQ40" s="184" t="str">
        <f>IFERROR(Inv_SY_B!BQ40/Inv_SY_B!$BY40-1,"")</f>
        <v/>
      </c>
      <c r="BR40" s="184" t="str">
        <f>IFERROR(Inv_SY_B!BR40/Inv_SY_B!$BY40-1,"")</f>
        <v/>
      </c>
      <c r="BS40" s="184" t="str">
        <f>IFERROR(Inv_SY_B!BS40/Inv_SY_B!$BY40-1,"")</f>
        <v/>
      </c>
      <c r="BT40" s="184" t="str">
        <f>IFERROR(Inv_SY_B!BT40/Inv_SY_B!$BY40-1,"")</f>
        <v/>
      </c>
      <c r="BU40" s="184" t="str">
        <f>IFERROR(Inv_SY_B!BU40/Inv_SY_B!$BY40-1,"")</f>
        <v/>
      </c>
      <c r="BV40" s="184" t="str">
        <f>IFERROR(Inv_SY_B!BV40/Inv_SY_B!$BY40-1,"")</f>
        <v/>
      </c>
      <c r="BW40" s="184" t="str">
        <f>IFERROR(Inv_SY_B!BW40/Inv_SY_B!$BY40-1,"")</f>
        <v/>
      </c>
      <c r="BX40" s="184" t="str">
        <f>IFERROR(Inv_SY_B!BX40/Inv_SY_B!$BY40-1,"")</f>
        <v/>
      </c>
    </row>
    <row r="41" spans="1:76">
      <c r="B41" s="179">
        <f t="shared" si="2"/>
        <v>45859</v>
      </c>
      <c r="C41" s="184" t="str">
        <f>IFERROR(Inv_SY_B!C41/Inv_SY_B!$BY41-1,"")</f>
        <v/>
      </c>
      <c r="D41" s="184" t="str">
        <f>IFERROR(Inv_SY_B!D41/Inv_SY_B!$BY41-1,"")</f>
        <v/>
      </c>
      <c r="E41" s="184" t="str">
        <f>IFERROR(Inv_SY_B!E41/Inv_SY_B!$BY41-1,"")</f>
        <v/>
      </c>
      <c r="F41" s="184" t="str">
        <f>IFERROR(Inv_SY_B!F41/Inv_SY_B!$BY41-1,"")</f>
        <v/>
      </c>
      <c r="G41" s="184" t="str">
        <f>IFERROR(Inv_SY_B!G41/Inv_SY_B!$BY41-1,"")</f>
        <v/>
      </c>
      <c r="H41" s="184" t="str">
        <f>IFERROR(Inv_SY_B!H41/Inv_SY_B!$BY41-1,"")</f>
        <v/>
      </c>
      <c r="I41" s="184" t="str">
        <f>IFERROR(Inv_SY_B!I41/Inv_SY_B!$BY41-1,"")</f>
        <v/>
      </c>
      <c r="J41" s="184" t="str">
        <f>IFERROR(Inv_SY_B!J41/Inv_SY_B!$BY41-1,"")</f>
        <v/>
      </c>
      <c r="K41" s="184" t="str">
        <f>IFERROR(Inv_SY_B!K41/Inv_SY_B!$BY41-1,"")</f>
        <v/>
      </c>
      <c r="L41" s="184" t="str">
        <f>IFERROR(Inv_SY_B!L41/Inv_SY_B!$BY41-1,"")</f>
        <v/>
      </c>
      <c r="M41" s="184" t="str">
        <f>IFERROR(Inv_SY_B!M41/Inv_SY_B!$BY41-1,"")</f>
        <v/>
      </c>
      <c r="N41" s="184" t="str">
        <f>IFERROR(Inv_SY_B!N41/Inv_SY_B!$BY41-1,"")</f>
        <v/>
      </c>
      <c r="O41" s="184" t="str">
        <f>IFERROR(Inv_SY_B!O41/Inv_SY_B!$BY41-1,"")</f>
        <v/>
      </c>
      <c r="P41" s="184" t="str">
        <f>IFERROR(Inv_SY_B!P41/Inv_SY_B!$BY41-1,"")</f>
        <v/>
      </c>
      <c r="Q41" s="184" t="str">
        <f>IFERROR(Inv_SY_B!Q41/Inv_SY_B!$BY41-1,"")</f>
        <v/>
      </c>
      <c r="R41" s="184" t="str">
        <f>IFERROR(Inv_SY_B!R41/Inv_SY_B!$BY41-1,"")</f>
        <v/>
      </c>
      <c r="S41" s="184" t="str">
        <f>IFERROR(Inv_SY_B!S41/Inv_SY_B!$BY41-1,"")</f>
        <v/>
      </c>
      <c r="T41" s="184" t="str">
        <f>IFERROR(Inv_SY_B!T41/Inv_SY_B!$BY41-1,"")</f>
        <v/>
      </c>
      <c r="U41" s="184" t="str">
        <f>IFERROR(Inv_SY_B!U41/Inv_SY_B!$BY41-1,"")</f>
        <v/>
      </c>
      <c r="V41" s="184" t="str">
        <f>IFERROR(Inv_SY_B!V41/Inv_SY_B!$BY41-1,"")</f>
        <v/>
      </c>
      <c r="W41" s="184" t="str">
        <f>IFERROR(Inv_SY_B!W41/Inv_SY_B!$BY41-1,"")</f>
        <v/>
      </c>
      <c r="X41" s="184" t="str">
        <f>IFERROR(Inv_SY_B!X41/Inv_SY_B!$BY41-1,"")</f>
        <v/>
      </c>
      <c r="Y41" s="184" t="str">
        <f>IFERROR(Inv_SY_B!Y41/Inv_SY_B!$BY41-1,"")</f>
        <v/>
      </c>
      <c r="Z41" s="184" t="str">
        <f>IFERROR(Inv_SY_B!Z41/Inv_SY_B!$BY41-1,"")</f>
        <v/>
      </c>
      <c r="AA41" s="184" t="str">
        <f>IFERROR(Inv_SY_B!AA41/Inv_SY_B!$BY41-1,"")</f>
        <v/>
      </c>
      <c r="AB41" s="184" t="str">
        <f>IFERROR(Inv_SY_B!AB41/Inv_SY_B!$BY41-1,"")</f>
        <v/>
      </c>
      <c r="AC41" s="184" t="str">
        <f>IFERROR(Inv_SY_B!AC41/Inv_SY_B!$BY41-1,"")</f>
        <v/>
      </c>
      <c r="AD41" s="184" t="str">
        <f>IFERROR(Inv_SY_B!AD41/Inv_SY_B!$BY41-1,"")</f>
        <v/>
      </c>
      <c r="AE41" s="184" t="str">
        <f>IFERROR(Inv_SY_B!AE41/Inv_SY_B!$BY41-1,"")</f>
        <v/>
      </c>
      <c r="AF41" s="184" t="str">
        <f>IFERROR(Inv_SY_B!AF41/Inv_SY_B!$BY41-1,"")</f>
        <v/>
      </c>
      <c r="AG41" s="184" t="str">
        <f>IFERROR(Inv_SY_B!AG41/Inv_SY_B!$BY41-1,"")</f>
        <v/>
      </c>
      <c r="AH41" s="184" t="str">
        <f>IFERROR(Inv_SY_B!AH41/Inv_SY_B!$BY41-1,"")</f>
        <v/>
      </c>
      <c r="AI41" s="184" t="str">
        <f>IFERROR(Inv_SY_B!AI41/Inv_SY_B!$BY41-1,"")</f>
        <v/>
      </c>
      <c r="AJ41" s="184" t="str">
        <f>IFERROR(Inv_SY_B!AJ41/Inv_SY_B!$BY41-1,"")</f>
        <v/>
      </c>
      <c r="AK41" s="184" t="str">
        <f>IFERROR(Inv_SY_B!AK41/Inv_SY_B!$BY41-1,"")</f>
        <v/>
      </c>
      <c r="AL41" s="184" t="str">
        <f>IFERROR(Inv_SY_B!AL41/Inv_SY_B!$BY41-1,"")</f>
        <v/>
      </c>
      <c r="AM41" s="184" t="str">
        <f>IFERROR(Inv_SY_B!AM41/Inv_SY_B!$BY41-1,"")</f>
        <v/>
      </c>
      <c r="AN41" s="184" t="str">
        <f>IFERROR(Inv_SY_B!AN41/Inv_SY_B!$BY41-1,"")</f>
        <v/>
      </c>
      <c r="AO41" s="184" t="str">
        <f>IFERROR(Inv_SY_B!AO41/Inv_SY_B!$BY41-1,"")</f>
        <v/>
      </c>
      <c r="AP41" s="184" t="str">
        <f>IFERROR(Inv_SY_B!AP41/Inv_SY_B!$BY41-1,"")</f>
        <v/>
      </c>
      <c r="AQ41" s="184" t="str">
        <f>IFERROR(Inv_SY_B!AQ41/Inv_SY_B!$BY41-1,"")</f>
        <v/>
      </c>
      <c r="AR41" s="184" t="str">
        <f>IFERROR(Inv_SY_B!AR41/Inv_SY_B!$BY41-1,"")</f>
        <v/>
      </c>
      <c r="AS41" s="184" t="str">
        <f>IFERROR(Inv_SY_B!AS41/Inv_SY_B!$BY41-1,"")</f>
        <v/>
      </c>
      <c r="AT41" s="184" t="str">
        <f>IFERROR(Inv_SY_B!AT41/Inv_SY_B!$BY41-1,"")</f>
        <v/>
      </c>
      <c r="AU41" s="184" t="str">
        <f>IFERROR(Inv_SY_B!AU41/Inv_SY_B!$BY41-1,"")</f>
        <v/>
      </c>
      <c r="AV41" s="184" t="str">
        <f>IFERROR(Inv_SY_B!AV41/Inv_SY_B!$BY41-1,"")</f>
        <v/>
      </c>
      <c r="AW41" s="184" t="str">
        <f>IFERROR(Inv_SY_B!AW41/Inv_SY_B!$BY41-1,"")</f>
        <v/>
      </c>
      <c r="AX41" s="184" t="str">
        <f>IFERROR(Inv_SY_B!AX41/Inv_SY_B!$BY41-1,"")</f>
        <v/>
      </c>
      <c r="AY41" s="184" t="str">
        <f>IFERROR(Inv_SY_B!AY41/Inv_SY_B!$BY41-1,"")</f>
        <v/>
      </c>
      <c r="AZ41" s="184" t="str">
        <f>IFERROR(Inv_SY_B!AZ41/Inv_SY_B!$BY41-1,"")</f>
        <v/>
      </c>
      <c r="BA41" s="184" t="str">
        <f>IFERROR(Inv_SY_B!BA41/Inv_SY_B!$BY41-1,"")</f>
        <v/>
      </c>
      <c r="BB41" s="184" t="str">
        <f>IFERROR(Inv_SY_B!BB41/Inv_SY_B!$BY41-1,"")</f>
        <v/>
      </c>
      <c r="BC41" s="184" t="str">
        <f>IFERROR(Inv_SY_B!BC41/Inv_SY_B!$BY41-1,"")</f>
        <v/>
      </c>
      <c r="BD41" s="184" t="str">
        <f>IFERROR(Inv_SY_B!BD41/Inv_SY_B!$BY41-1,"")</f>
        <v/>
      </c>
      <c r="BE41" s="184" t="str">
        <f>IFERROR(Inv_SY_B!BE41/Inv_SY_B!$BY41-1,"")</f>
        <v/>
      </c>
      <c r="BF41" s="184" t="str">
        <f>IFERROR(Inv_SY_B!BF41/Inv_SY_B!$BY41-1,"")</f>
        <v/>
      </c>
      <c r="BG41" s="184" t="str">
        <f>IFERROR(Inv_SY_B!BG41/Inv_SY_B!$BY41-1,"")</f>
        <v/>
      </c>
      <c r="BH41" s="184" t="str">
        <f>IFERROR(Inv_SY_B!BH41/Inv_SY_B!$BY41-1,"")</f>
        <v/>
      </c>
      <c r="BI41" s="184" t="str">
        <f>IFERROR(Inv_SY_B!BI41/Inv_SY_B!$BY41-1,"")</f>
        <v/>
      </c>
      <c r="BJ41" s="184" t="str">
        <f>IFERROR(Inv_SY_B!BJ41/Inv_SY_B!$BY41-1,"")</f>
        <v/>
      </c>
      <c r="BK41" s="184" t="str">
        <f>IFERROR(Inv_SY_B!BK41/Inv_SY_B!$BY41-1,"")</f>
        <v/>
      </c>
      <c r="BL41" s="184" t="str">
        <f>IFERROR(Inv_SY_B!BL41/Inv_SY_B!$BY41-1,"")</f>
        <v/>
      </c>
      <c r="BM41" s="184" t="str">
        <f>IFERROR(Inv_SY_B!BM41/Inv_SY_B!$BY41-1,"")</f>
        <v/>
      </c>
      <c r="BN41" s="184" t="str">
        <f>IFERROR(Inv_SY_B!BN41/Inv_SY_B!$BY41-1,"")</f>
        <v/>
      </c>
      <c r="BO41" s="184" t="str">
        <f>IFERROR(Inv_SY_B!BO41/Inv_SY_B!$BY41-1,"")</f>
        <v/>
      </c>
      <c r="BP41" s="184" t="str">
        <f>IFERROR(Inv_SY_B!BP41/Inv_SY_B!$BY41-1,"")</f>
        <v/>
      </c>
      <c r="BQ41" s="184" t="str">
        <f>IFERROR(Inv_SY_B!BQ41/Inv_SY_B!$BY41-1,"")</f>
        <v/>
      </c>
      <c r="BR41" s="184" t="str">
        <f>IFERROR(Inv_SY_B!BR41/Inv_SY_B!$BY41-1,"")</f>
        <v/>
      </c>
      <c r="BS41" s="184" t="str">
        <f>IFERROR(Inv_SY_B!BS41/Inv_SY_B!$BY41-1,"")</f>
        <v/>
      </c>
      <c r="BT41" s="184" t="str">
        <f>IFERROR(Inv_SY_B!BT41/Inv_SY_B!$BY41-1,"")</f>
        <v/>
      </c>
      <c r="BU41" s="184" t="str">
        <f>IFERROR(Inv_SY_B!BU41/Inv_SY_B!$BY41-1,"")</f>
        <v/>
      </c>
      <c r="BV41" s="184" t="str">
        <f>IFERROR(Inv_SY_B!BV41/Inv_SY_B!$BY41-1,"")</f>
        <v/>
      </c>
      <c r="BW41" s="184" t="str">
        <f>IFERROR(Inv_SY_B!BW41/Inv_SY_B!$BY41-1,"")</f>
        <v/>
      </c>
      <c r="BX41" s="184" t="str">
        <f>IFERROR(Inv_SY_B!BX41/Inv_SY_B!$BY41-1,"")</f>
        <v/>
      </c>
    </row>
    <row r="42" spans="1:76">
      <c r="B42" s="179">
        <f t="shared" si="2"/>
        <v>45860</v>
      </c>
      <c r="C42" s="184" t="str">
        <f>IFERROR(Inv_SY_B!C42/Inv_SY_B!$BY42-1,"")</f>
        <v/>
      </c>
      <c r="D42" s="184" t="str">
        <f>IFERROR(Inv_SY_B!D42/Inv_SY_B!$BY42-1,"")</f>
        <v/>
      </c>
      <c r="E42" s="184" t="str">
        <f>IFERROR(Inv_SY_B!E42/Inv_SY_B!$BY42-1,"")</f>
        <v/>
      </c>
      <c r="F42" s="184" t="str">
        <f>IFERROR(Inv_SY_B!F42/Inv_SY_B!$BY42-1,"")</f>
        <v/>
      </c>
      <c r="G42" s="184" t="str">
        <f>IFERROR(Inv_SY_B!G42/Inv_SY_B!$BY42-1,"")</f>
        <v/>
      </c>
      <c r="H42" s="184" t="str">
        <f>IFERROR(Inv_SY_B!H42/Inv_SY_B!$BY42-1,"")</f>
        <v/>
      </c>
      <c r="I42" s="184" t="str">
        <f>IFERROR(Inv_SY_B!I42/Inv_SY_B!$BY42-1,"")</f>
        <v/>
      </c>
      <c r="J42" s="184" t="str">
        <f>IFERROR(Inv_SY_B!J42/Inv_SY_B!$BY42-1,"")</f>
        <v/>
      </c>
      <c r="K42" s="184" t="str">
        <f>IFERROR(Inv_SY_B!K42/Inv_SY_B!$BY42-1,"")</f>
        <v/>
      </c>
      <c r="L42" s="184" t="str">
        <f>IFERROR(Inv_SY_B!L42/Inv_SY_B!$BY42-1,"")</f>
        <v/>
      </c>
      <c r="M42" s="184" t="str">
        <f>IFERROR(Inv_SY_B!M42/Inv_SY_B!$BY42-1,"")</f>
        <v/>
      </c>
      <c r="N42" s="184" t="str">
        <f>IFERROR(Inv_SY_B!N42/Inv_SY_B!$BY42-1,"")</f>
        <v/>
      </c>
      <c r="O42" s="184" t="str">
        <f>IFERROR(Inv_SY_B!O42/Inv_SY_B!$BY42-1,"")</f>
        <v/>
      </c>
      <c r="P42" s="184" t="str">
        <f>IFERROR(Inv_SY_B!P42/Inv_SY_B!$BY42-1,"")</f>
        <v/>
      </c>
      <c r="Q42" s="184" t="str">
        <f>IFERROR(Inv_SY_B!Q42/Inv_SY_B!$BY42-1,"")</f>
        <v/>
      </c>
      <c r="R42" s="184" t="str">
        <f>IFERROR(Inv_SY_B!R42/Inv_SY_B!$BY42-1,"")</f>
        <v/>
      </c>
      <c r="S42" s="184" t="str">
        <f>IFERROR(Inv_SY_B!S42/Inv_SY_B!$BY42-1,"")</f>
        <v/>
      </c>
      <c r="T42" s="184" t="str">
        <f>IFERROR(Inv_SY_B!T42/Inv_SY_B!$BY42-1,"")</f>
        <v/>
      </c>
      <c r="U42" s="184" t="str">
        <f>IFERROR(Inv_SY_B!U42/Inv_SY_B!$BY42-1,"")</f>
        <v/>
      </c>
      <c r="V42" s="184" t="str">
        <f>IFERROR(Inv_SY_B!V42/Inv_SY_B!$BY42-1,"")</f>
        <v/>
      </c>
      <c r="W42" s="184" t="str">
        <f>IFERROR(Inv_SY_B!W42/Inv_SY_B!$BY42-1,"")</f>
        <v/>
      </c>
      <c r="X42" s="184" t="str">
        <f>IFERROR(Inv_SY_B!X42/Inv_SY_B!$BY42-1,"")</f>
        <v/>
      </c>
      <c r="Y42" s="184" t="str">
        <f>IFERROR(Inv_SY_B!Y42/Inv_SY_B!$BY42-1,"")</f>
        <v/>
      </c>
      <c r="Z42" s="184" t="str">
        <f>IFERROR(Inv_SY_B!Z42/Inv_SY_B!$BY42-1,"")</f>
        <v/>
      </c>
      <c r="AA42" s="184" t="str">
        <f>IFERROR(Inv_SY_B!AA42/Inv_SY_B!$BY42-1,"")</f>
        <v/>
      </c>
      <c r="AB42" s="184" t="str">
        <f>IFERROR(Inv_SY_B!AB42/Inv_SY_B!$BY42-1,"")</f>
        <v/>
      </c>
      <c r="AC42" s="184" t="str">
        <f>IFERROR(Inv_SY_B!AC42/Inv_SY_B!$BY42-1,"")</f>
        <v/>
      </c>
      <c r="AD42" s="184" t="str">
        <f>IFERROR(Inv_SY_B!AD42/Inv_SY_B!$BY42-1,"")</f>
        <v/>
      </c>
      <c r="AE42" s="184" t="str">
        <f>IFERROR(Inv_SY_B!AE42/Inv_SY_B!$BY42-1,"")</f>
        <v/>
      </c>
      <c r="AF42" s="184" t="str">
        <f>IFERROR(Inv_SY_B!AF42/Inv_SY_B!$BY42-1,"")</f>
        <v/>
      </c>
      <c r="AG42" s="184" t="str">
        <f>IFERROR(Inv_SY_B!AG42/Inv_SY_B!$BY42-1,"")</f>
        <v/>
      </c>
      <c r="AH42" s="184" t="str">
        <f>IFERROR(Inv_SY_B!AH42/Inv_SY_B!$BY42-1,"")</f>
        <v/>
      </c>
      <c r="AI42" s="184" t="str">
        <f>IFERROR(Inv_SY_B!AI42/Inv_SY_B!$BY42-1,"")</f>
        <v/>
      </c>
      <c r="AJ42" s="184" t="str">
        <f>IFERROR(Inv_SY_B!AJ42/Inv_SY_B!$BY42-1,"")</f>
        <v/>
      </c>
      <c r="AK42" s="184" t="str">
        <f>IFERROR(Inv_SY_B!AK42/Inv_SY_B!$BY42-1,"")</f>
        <v/>
      </c>
      <c r="AL42" s="184" t="str">
        <f>IFERROR(Inv_SY_B!AL42/Inv_SY_B!$BY42-1,"")</f>
        <v/>
      </c>
      <c r="AM42" s="184" t="str">
        <f>IFERROR(Inv_SY_B!AM42/Inv_SY_B!$BY42-1,"")</f>
        <v/>
      </c>
      <c r="AN42" s="184" t="str">
        <f>IFERROR(Inv_SY_B!AN42/Inv_SY_B!$BY42-1,"")</f>
        <v/>
      </c>
      <c r="AO42" s="184" t="str">
        <f>IFERROR(Inv_SY_B!AO42/Inv_SY_B!$BY42-1,"")</f>
        <v/>
      </c>
      <c r="AP42" s="184" t="str">
        <f>IFERROR(Inv_SY_B!AP42/Inv_SY_B!$BY42-1,"")</f>
        <v/>
      </c>
      <c r="AQ42" s="184" t="str">
        <f>IFERROR(Inv_SY_B!AQ42/Inv_SY_B!$BY42-1,"")</f>
        <v/>
      </c>
      <c r="AR42" s="184" t="str">
        <f>IFERROR(Inv_SY_B!AR42/Inv_SY_B!$BY42-1,"")</f>
        <v/>
      </c>
      <c r="AS42" s="184" t="str">
        <f>IFERROR(Inv_SY_B!AS42/Inv_SY_B!$BY42-1,"")</f>
        <v/>
      </c>
      <c r="AT42" s="184" t="str">
        <f>IFERROR(Inv_SY_B!AT42/Inv_SY_B!$BY42-1,"")</f>
        <v/>
      </c>
      <c r="AU42" s="184" t="str">
        <f>IFERROR(Inv_SY_B!AU42/Inv_SY_B!$BY42-1,"")</f>
        <v/>
      </c>
      <c r="AV42" s="184" t="str">
        <f>IFERROR(Inv_SY_B!AV42/Inv_SY_B!$BY42-1,"")</f>
        <v/>
      </c>
      <c r="AW42" s="184" t="str">
        <f>IFERROR(Inv_SY_B!AW42/Inv_SY_B!$BY42-1,"")</f>
        <v/>
      </c>
      <c r="AX42" s="184" t="str">
        <f>IFERROR(Inv_SY_B!AX42/Inv_SY_B!$BY42-1,"")</f>
        <v/>
      </c>
      <c r="AY42" s="184" t="str">
        <f>IFERROR(Inv_SY_B!AY42/Inv_SY_B!$BY42-1,"")</f>
        <v/>
      </c>
      <c r="AZ42" s="184" t="str">
        <f>IFERROR(Inv_SY_B!AZ42/Inv_SY_B!$BY42-1,"")</f>
        <v/>
      </c>
      <c r="BA42" s="184" t="str">
        <f>IFERROR(Inv_SY_B!BA42/Inv_SY_B!$BY42-1,"")</f>
        <v/>
      </c>
      <c r="BB42" s="184" t="str">
        <f>IFERROR(Inv_SY_B!BB42/Inv_SY_B!$BY42-1,"")</f>
        <v/>
      </c>
      <c r="BC42" s="184" t="str">
        <f>IFERROR(Inv_SY_B!BC42/Inv_SY_B!$BY42-1,"")</f>
        <v/>
      </c>
      <c r="BD42" s="184" t="str">
        <f>IFERROR(Inv_SY_B!BD42/Inv_SY_B!$BY42-1,"")</f>
        <v/>
      </c>
      <c r="BE42" s="184" t="str">
        <f>IFERROR(Inv_SY_B!BE42/Inv_SY_B!$BY42-1,"")</f>
        <v/>
      </c>
      <c r="BF42" s="184" t="str">
        <f>IFERROR(Inv_SY_B!BF42/Inv_SY_B!$BY42-1,"")</f>
        <v/>
      </c>
      <c r="BG42" s="184" t="str">
        <f>IFERROR(Inv_SY_B!BG42/Inv_SY_B!$BY42-1,"")</f>
        <v/>
      </c>
      <c r="BH42" s="184" t="str">
        <f>IFERROR(Inv_SY_B!BH42/Inv_SY_B!$BY42-1,"")</f>
        <v/>
      </c>
      <c r="BI42" s="184" t="str">
        <f>IFERROR(Inv_SY_B!BI42/Inv_SY_B!$BY42-1,"")</f>
        <v/>
      </c>
      <c r="BJ42" s="184" t="str">
        <f>IFERROR(Inv_SY_B!BJ42/Inv_SY_B!$BY42-1,"")</f>
        <v/>
      </c>
      <c r="BK42" s="184" t="str">
        <f>IFERROR(Inv_SY_B!BK42/Inv_SY_B!$BY42-1,"")</f>
        <v/>
      </c>
      <c r="BL42" s="184" t="str">
        <f>IFERROR(Inv_SY_B!BL42/Inv_SY_B!$BY42-1,"")</f>
        <v/>
      </c>
      <c r="BM42" s="184" t="str">
        <f>IFERROR(Inv_SY_B!BM42/Inv_SY_B!$BY42-1,"")</f>
        <v/>
      </c>
      <c r="BN42" s="184" t="str">
        <f>IFERROR(Inv_SY_B!BN42/Inv_SY_B!$BY42-1,"")</f>
        <v/>
      </c>
      <c r="BO42" s="184" t="str">
        <f>IFERROR(Inv_SY_B!BO42/Inv_SY_B!$BY42-1,"")</f>
        <v/>
      </c>
      <c r="BP42" s="184" t="str">
        <f>IFERROR(Inv_SY_B!BP42/Inv_SY_B!$BY42-1,"")</f>
        <v/>
      </c>
      <c r="BQ42" s="184" t="str">
        <f>IFERROR(Inv_SY_B!BQ42/Inv_SY_B!$BY42-1,"")</f>
        <v/>
      </c>
      <c r="BR42" s="184" t="str">
        <f>IFERROR(Inv_SY_B!BR42/Inv_SY_B!$BY42-1,"")</f>
        <v/>
      </c>
      <c r="BS42" s="184" t="str">
        <f>IFERROR(Inv_SY_B!BS42/Inv_SY_B!$BY42-1,"")</f>
        <v/>
      </c>
      <c r="BT42" s="184" t="str">
        <f>IFERROR(Inv_SY_B!BT42/Inv_SY_B!$BY42-1,"")</f>
        <v/>
      </c>
      <c r="BU42" s="184" t="str">
        <f>IFERROR(Inv_SY_B!BU42/Inv_SY_B!$BY42-1,"")</f>
        <v/>
      </c>
      <c r="BV42" s="184" t="str">
        <f>IFERROR(Inv_SY_B!BV42/Inv_SY_B!$BY42-1,"")</f>
        <v/>
      </c>
      <c r="BW42" s="184" t="str">
        <f>IFERROR(Inv_SY_B!BW42/Inv_SY_B!$BY42-1,"")</f>
        <v/>
      </c>
      <c r="BX42" s="184" t="str">
        <f>IFERROR(Inv_SY_B!BX42/Inv_SY_B!$BY42-1,"")</f>
        <v/>
      </c>
    </row>
    <row r="43" spans="1:76">
      <c r="B43" s="179">
        <f t="shared" si="2"/>
        <v>45861</v>
      </c>
      <c r="C43" s="184" t="str">
        <f>IFERROR(Inv_SY_B!C43/Inv_SY_B!$BY43-1,"")</f>
        <v/>
      </c>
      <c r="D43" s="184" t="str">
        <f>IFERROR(Inv_SY_B!D43/Inv_SY_B!$BY43-1,"")</f>
        <v/>
      </c>
      <c r="E43" s="184" t="str">
        <f>IFERROR(Inv_SY_B!E43/Inv_SY_B!$BY43-1,"")</f>
        <v/>
      </c>
      <c r="F43" s="184" t="str">
        <f>IFERROR(Inv_SY_B!F43/Inv_SY_B!$BY43-1,"")</f>
        <v/>
      </c>
      <c r="G43" s="184" t="str">
        <f>IFERROR(Inv_SY_B!G43/Inv_SY_B!$BY43-1,"")</f>
        <v/>
      </c>
      <c r="H43" s="184" t="str">
        <f>IFERROR(Inv_SY_B!H43/Inv_SY_B!$BY43-1,"")</f>
        <v/>
      </c>
      <c r="I43" s="184" t="str">
        <f>IFERROR(Inv_SY_B!I43/Inv_SY_B!$BY43-1,"")</f>
        <v/>
      </c>
      <c r="J43" s="184" t="str">
        <f>IFERROR(Inv_SY_B!J43/Inv_SY_B!$BY43-1,"")</f>
        <v/>
      </c>
      <c r="K43" s="184" t="str">
        <f>IFERROR(Inv_SY_B!K43/Inv_SY_B!$BY43-1,"")</f>
        <v/>
      </c>
      <c r="L43" s="184" t="str">
        <f>IFERROR(Inv_SY_B!L43/Inv_SY_B!$BY43-1,"")</f>
        <v/>
      </c>
      <c r="M43" s="184" t="str">
        <f>IFERROR(Inv_SY_B!M43/Inv_SY_B!$BY43-1,"")</f>
        <v/>
      </c>
      <c r="N43" s="184" t="str">
        <f>IFERROR(Inv_SY_B!N43/Inv_SY_B!$BY43-1,"")</f>
        <v/>
      </c>
      <c r="O43" s="184" t="str">
        <f>IFERROR(Inv_SY_B!O43/Inv_SY_B!$BY43-1,"")</f>
        <v/>
      </c>
      <c r="P43" s="184" t="str">
        <f>IFERROR(Inv_SY_B!P43/Inv_SY_B!$BY43-1,"")</f>
        <v/>
      </c>
      <c r="Q43" s="184" t="str">
        <f>IFERROR(Inv_SY_B!Q43/Inv_SY_B!$BY43-1,"")</f>
        <v/>
      </c>
      <c r="R43" s="184" t="str">
        <f>IFERROR(Inv_SY_B!R43/Inv_SY_B!$BY43-1,"")</f>
        <v/>
      </c>
      <c r="S43" s="184" t="str">
        <f>IFERROR(Inv_SY_B!S43/Inv_SY_B!$BY43-1,"")</f>
        <v/>
      </c>
      <c r="T43" s="184" t="str">
        <f>IFERROR(Inv_SY_B!T43/Inv_SY_B!$BY43-1,"")</f>
        <v/>
      </c>
      <c r="U43" s="184" t="str">
        <f>IFERROR(Inv_SY_B!U43/Inv_SY_B!$BY43-1,"")</f>
        <v/>
      </c>
      <c r="V43" s="184" t="str">
        <f>IFERROR(Inv_SY_B!V43/Inv_SY_B!$BY43-1,"")</f>
        <v/>
      </c>
      <c r="W43" s="184" t="str">
        <f>IFERROR(Inv_SY_B!W43/Inv_SY_B!$BY43-1,"")</f>
        <v/>
      </c>
      <c r="X43" s="184" t="str">
        <f>IFERROR(Inv_SY_B!X43/Inv_SY_B!$BY43-1,"")</f>
        <v/>
      </c>
      <c r="Y43" s="184" t="str">
        <f>IFERROR(Inv_SY_B!Y43/Inv_SY_B!$BY43-1,"")</f>
        <v/>
      </c>
      <c r="Z43" s="184" t="str">
        <f>IFERROR(Inv_SY_B!Z43/Inv_SY_B!$BY43-1,"")</f>
        <v/>
      </c>
      <c r="AA43" s="184" t="str">
        <f>IFERROR(Inv_SY_B!AA43/Inv_SY_B!$BY43-1,"")</f>
        <v/>
      </c>
      <c r="AB43" s="184" t="str">
        <f>IFERROR(Inv_SY_B!AB43/Inv_SY_B!$BY43-1,"")</f>
        <v/>
      </c>
      <c r="AC43" s="184" t="str">
        <f>IFERROR(Inv_SY_B!AC43/Inv_SY_B!$BY43-1,"")</f>
        <v/>
      </c>
      <c r="AD43" s="184" t="str">
        <f>IFERROR(Inv_SY_B!AD43/Inv_SY_B!$BY43-1,"")</f>
        <v/>
      </c>
      <c r="AE43" s="184" t="str">
        <f>IFERROR(Inv_SY_B!AE43/Inv_SY_B!$BY43-1,"")</f>
        <v/>
      </c>
      <c r="AF43" s="184" t="str">
        <f>IFERROR(Inv_SY_B!AF43/Inv_SY_B!$BY43-1,"")</f>
        <v/>
      </c>
      <c r="AG43" s="184" t="str">
        <f>IFERROR(Inv_SY_B!AG43/Inv_SY_B!$BY43-1,"")</f>
        <v/>
      </c>
      <c r="AH43" s="184" t="str">
        <f>IFERROR(Inv_SY_B!AH43/Inv_SY_B!$BY43-1,"")</f>
        <v/>
      </c>
      <c r="AI43" s="184" t="str">
        <f>IFERROR(Inv_SY_B!AI43/Inv_SY_B!$BY43-1,"")</f>
        <v/>
      </c>
      <c r="AJ43" s="184" t="str">
        <f>IFERROR(Inv_SY_B!AJ43/Inv_SY_B!$BY43-1,"")</f>
        <v/>
      </c>
      <c r="AK43" s="184" t="str">
        <f>IFERROR(Inv_SY_B!AK43/Inv_SY_B!$BY43-1,"")</f>
        <v/>
      </c>
      <c r="AL43" s="184" t="str">
        <f>IFERROR(Inv_SY_B!AL43/Inv_SY_B!$BY43-1,"")</f>
        <v/>
      </c>
      <c r="AM43" s="184" t="str">
        <f>IFERROR(Inv_SY_B!AM43/Inv_SY_B!$BY43-1,"")</f>
        <v/>
      </c>
      <c r="AN43" s="184" t="str">
        <f>IFERROR(Inv_SY_B!AN43/Inv_SY_B!$BY43-1,"")</f>
        <v/>
      </c>
      <c r="AO43" s="184" t="str">
        <f>IFERROR(Inv_SY_B!AO43/Inv_SY_B!$BY43-1,"")</f>
        <v/>
      </c>
      <c r="AP43" s="184" t="str">
        <f>IFERROR(Inv_SY_B!AP43/Inv_SY_B!$BY43-1,"")</f>
        <v/>
      </c>
      <c r="AQ43" s="184" t="str">
        <f>IFERROR(Inv_SY_B!AQ43/Inv_SY_B!$BY43-1,"")</f>
        <v/>
      </c>
      <c r="AR43" s="184" t="str">
        <f>IFERROR(Inv_SY_B!AR43/Inv_SY_B!$BY43-1,"")</f>
        <v/>
      </c>
      <c r="AS43" s="184" t="str">
        <f>IFERROR(Inv_SY_B!AS43/Inv_SY_B!$BY43-1,"")</f>
        <v/>
      </c>
      <c r="AT43" s="184" t="str">
        <f>IFERROR(Inv_SY_B!AT43/Inv_SY_B!$BY43-1,"")</f>
        <v/>
      </c>
      <c r="AU43" s="184" t="str">
        <f>IFERROR(Inv_SY_B!AU43/Inv_SY_B!$BY43-1,"")</f>
        <v/>
      </c>
      <c r="AV43" s="184" t="str">
        <f>IFERROR(Inv_SY_B!AV43/Inv_SY_B!$BY43-1,"")</f>
        <v/>
      </c>
      <c r="AW43" s="184" t="str">
        <f>IFERROR(Inv_SY_B!AW43/Inv_SY_B!$BY43-1,"")</f>
        <v/>
      </c>
      <c r="AX43" s="184" t="str">
        <f>IFERROR(Inv_SY_B!AX43/Inv_SY_B!$BY43-1,"")</f>
        <v/>
      </c>
      <c r="AY43" s="184" t="str">
        <f>IFERROR(Inv_SY_B!AY43/Inv_SY_B!$BY43-1,"")</f>
        <v/>
      </c>
      <c r="AZ43" s="184" t="str">
        <f>IFERROR(Inv_SY_B!AZ43/Inv_SY_B!$BY43-1,"")</f>
        <v/>
      </c>
      <c r="BA43" s="184" t="str">
        <f>IFERROR(Inv_SY_B!BA43/Inv_SY_B!$BY43-1,"")</f>
        <v/>
      </c>
      <c r="BB43" s="184" t="str">
        <f>IFERROR(Inv_SY_B!BB43/Inv_SY_B!$BY43-1,"")</f>
        <v/>
      </c>
      <c r="BC43" s="184" t="str">
        <f>IFERROR(Inv_SY_B!BC43/Inv_SY_B!$BY43-1,"")</f>
        <v/>
      </c>
      <c r="BD43" s="184" t="str">
        <f>IFERROR(Inv_SY_B!BD43/Inv_SY_B!$BY43-1,"")</f>
        <v/>
      </c>
      <c r="BE43" s="184" t="str">
        <f>IFERROR(Inv_SY_B!BE43/Inv_SY_B!$BY43-1,"")</f>
        <v/>
      </c>
      <c r="BF43" s="184" t="str">
        <f>IFERROR(Inv_SY_B!BF43/Inv_SY_B!$BY43-1,"")</f>
        <v/>
      </c>
      <c r="BG43" s="184" t="str">
        <f>IFERROR(Inv_SY_B!BG43/Inv_SY_B!$BY43-1,"")</f>
        <v/>
      </c>
      <c r="BH43" s="184" t="str">
        <f>IFERROR(Inv_SY_B!BH43/Inv_SY_B!$BY43-1,"")</f>
        <v/>
      </c>
      <c r="BI43" s="184" t="str">
        <f>IFERROR(Inv_SY_B!BI43/Inv_SY_B!$BY43-1,"")</f>
        <v/>
      </c>
      <c r="BJ43" s="184" t="str">
        <f>IFERROR(Inv_SY_B!BJ43/Inv_SY_B!$BY43-1,"")</f>
        <v/>
      </c>
      <c r="BK43" s="184" t="str">
        <f>IFERROR(Inv_SY_B!BK43/Inv_SY_B!$BY43-1,"")</f>
        <v/>
      </c>
      <c r="BL43" s="184" t="str">
        <f>IFERROR(Inv_SY_B!BL43/Inv_SY_B!$BY43-1,"")</f>
        <v/>
      </c>
      <c r="BM43" s="184" t="str">
        <f>IFERROR(Inv_SY_B!BM43/Inv_SY_B!$BY43-1,"")</f>
        <v/>
      </c>
      <c r="BN43" s="184" t="str">
        <f>IFERROR(Inv_SY_B!BN43/Inv_SY_B!$BY43-1,"")</f>
        <v/>
      </c>
      <c r="BO43" s="184" t="str">
        <f>IFERROR(Inv_SY_B!BO43/Inv_SY_B!$BY43-1,"")</f>
        <v/>
      </c>
      <c r="BP43" s="184" t="str">
        <f>IFERROR(Inv_SY_B!BP43/Inv_SY_B!$BY43-1,"")</f>
        <v/>
      </c>
      <c r="BQ43" s="184" t="str">
        <f>IFERROR(Inv_SY_B!BQ43/Inv_SY_B!$BY43-1,"")</f>
        <v/>
      </c>
      <c r="BR43" s="184" t="str">
        <f>IFERROR(Inv_SY_B!BR43/Inv_SY_B!$BY43-1,"")</f>
        <v/>
      </c>
      <c r="BS43" s="184" t="str">
        <f>IFERROR(Inv_SY_B!BS43/Inv_SY_B!$BY43-1,"")</f>
        <v/>
      </c>
      <c r="BT43" s="184" t="str">
        <f>IFERROR(Inv_SY_B!BT43/Inv_SY_B!$BY43-1,"")</f>
        <v/>
      </c>
      <c r="BU43" s="184" t="str">
        <f>IFERROR(Inv_SY_B!BU43/Inv_SY_B!$BY43-1,"")</f>
        <v/>
      </c>
      <c r="BV43" s="184" t="str">
        <f>IFERROR(Inv_SY_B!BV43/Inv_SY_B!$BY43-1,"")</f>
        <v/>
      </c>
      <c r="BW43" s="184" t="str">
        <f>IFERROR(Inv_SY_B!BW43/Inv_SY_B!$BY43-1,"")</f>
        <v/>
      </c>
      <c r="BX43" s="184" t="str">
        <f>IFERROR(Inv_SY_B!BX43/Inv_SY_B!$BY43-1,"")</f>
        <v/>
      </c>
    </row>
    <row r="44" spans="1:76">
      <c r="B44" s="179">
        <f t="shared" si="2"/>
        <v>45862</v>
      </c>
      <c r="C44" s="184" t="str">
        <f>IFERROR(Inv_SY_B!C44/Inv_SY_B!$BY44-1,"")</f>
        <v/>
      </c>
      <c r="D44" s="184" t="str">
        <f>IFERROR(Inv_SY_B!D44/Inv_SY_B!$BY44-1,"")</f>
        <v/>
      </c>
      <c r="E44" s="184" t="str">
        <f>IFERROR(Inv_SY_B!E44/Inv_SY_B!$BY44-1,"")</f>
        <v/>
      </c>
      <c r="F44" s="184" t="str">
        <f>IFERROR(Inv_SY_B!F44/Inv_SY_B!$BY44-1,"")</f>
        <v/>
      </c>
      <c r="G44" s="184" t="str">
        <f>IFERROR(Inv_SY_B!G44/Inv_SY_B!$BY44-1,"")</f>
        <v/>
      </c>
      <c r="H44" s="184" t="str">
        <f>IFERROR(Inv_SY_B!H44/Inv_SY_B!$BY44-1,"")</f>
        <v/>
      </c>
      <c r="I44" s="184" t="str">
        <f>IFERROR(Inv_SY_B!I44/Inv_SY_B!$BY44-1,"")</f>
        <v/>
      </c>
      <c r="J44" s="184" t="str">
        <f>IFERROR(Inv_SY_B!J44/Inv_SY_B!$BY44-1,"")</f>
        <v/>
      </c>
      <c r="K44" s="184" t="str">
        <f>IFERROR(Inv_SY_B!K44/Inv_SY_B!$BY44-1,"")</f>
        <v/>
      </c>
      <c r="L44" s="184" t="str">
        <f>IFERROR(Inv_SY_B!L44/Inv_SY_B!$BY44-1,"")</f>
        <v/>
      </c>
      <c r="M44" s="184" t="str">
        <f>IFERROR(Inv_SY_B!M44/Inv_SY_B!$BY44-1,"")</f>
        <v/>
      </c>
      <c r="N44" s="184" t="str">
        <f>IFERROR(Inv_SY_B!N44/Inv_SY_B!$BY44-1,"")</f>
        <v/>
      </c>
      <c r="O44" s="184" t="str">
        <f>IFERROR(Inv_SY_B!O44/Inv_SY_B!$BY44-1,"")</f>
        <v/>
      </c>
      <c r="P44" s="184" t="str">
        <f>IFERROR(Inv_SY_B!P44/Inv_SY_B!$BY44-1,"")</f>
        <v/>
      </c>
      <c r="Q44" s="184" t="str">
        <f>IFERROR(Inv_SY_B!Q44/Inv_SY_B!$BY44-1,"")</f>
        <v/>
      </c>
      <c r="R44" s="184" t="str">
        <f>IFERROR(Inv_SY_B!R44/Inv_SY_B!$BY44-1,"")</f>
        <v/>
      </c>
      <c r="S44" s="184" t="str">
        <f>IFERROR(Inv_SY_B!S44/Inv_SY_B!$BY44-1,"")</f>
        <v/>
      </c>
      <c r="T44" s="184" t="str">
        <f>IFERROR(Inv_SY_B!T44/Inv_SY_B!$BY44-1,"")</f>
        <v/>
      </c>
      <c r="U44" s="184" t="str">
        <f>IFERROR(Inv_SY_B!U44/Inv_SY_B!$BY44-1,"")</f>
        <v/>
      </c>
      <c r="V44" s="184" t="str">
        <f>IFERROR(Inv_SY_B!V44/Inv_SY_B!$BY44-1,"")</f>
        <v/>
      </c>
      <c r="W44" s="184" t="str">
        <f>IFERROR(Inv_SY_B!W44/Inv_SY_B!$BY44-1,"")</f>
        <v/>
      </c>
      <c r="X44" s="184" t="str">
        <f>IFERROR(Inv_SY_B!X44/Inv_SY_B!$BY44-1,"")</f>
        <v/>
      </c>
      <c r="Y44" s="184" t="str">
        <f>IFERROR(Inv_SY_B!Y44/Inv_SY_B!$BY44-1,"")</f>
        <v/>
      </c>
      <c r="Z44" s="184" t="str">
        <f>IFERROR(Inv_SY_B!Z44/Inv_SY_B!$BY44-1,"")</f>
        <v/>
      </c>
      <c r="AA44" s="184" t="str">
        <f>IFERROR(Inv_SY_B!AA44/Inv_SY_B!$BY44-1,"")</f>
        <v/>
      </c>
      <c r="AB44" s="184" t="str">
        <f>IFERROR(Inv_SY_B!AB44/Inv_SY_B!$BY44-1,"")</f>
        <v/>
      </c>
      <c r="AC44" s="184" t="str">
        <f>IFERROR(Inv_SY_B!AC44/Inv_SY_B!$BY44-1,"")</f>
        <v/>
      </c>
      <c r="AD44" s="184" t="str">
        <f>IFERROR(Inv_SY_B!AD44/Inv_SY_B!$BY44-1,"")</f>
        <v/>
      </c>
      <c r="AE44" s="184" t="str">
        <f>IFERROR(Inv_SY_B!AE44/Inv_SY_B!$BY44-1,"")</f>
        <v/>
      </c>
      <c r="AF44" s="184" t="str">
        <f>IFERROR(Inv_SY_B!AF44/Inv_SY_B!$BY44-1,"")</f>
        <v/>
      </c>
      <c r="AG44" s="184" t="str">
        <f>IFERROR(Inv_SY_B!AG44/Inv_SY_B!$BY44-1,"")</f>
        <v/>
      </c>
      <c r="AH44" s="184" t="str">
        <f>IFERROR(Inv_SY_B!AH44/Inv_SY_B!$BY44-1,"")</f>
        <v/>
      </c>
      <c r="AI44" s="184" t="str">
        <f>IFERROR(Inv_SY_B!AI44/Inv_SY_B!$BY44-1,"")</f>
        <v/>
      </c>
      <c r="AJ44" s="184" t="str">
        <f>IFERROR(Inv_SY_B!AJ44/Inv_SY_B!$BY44-1,"")</f>
        <v/>
      </c>
      <c r="AK44" s="184" t="str">
        <f>IFERROR(Inv_SY_B!AK44/Inv_SY_B!$BY44-1,"")</f>
        <v/>
      </c>
      <c r="AL44" s="184" t="str">
        <f>IFERROR(Inv_SY_B!AL44/Inv_SY_B!$BY44-1,"")</f>
        <v/>
      </c>
      <c r="AM44" s="184" t="str">
        <f>IFERROR(Inv_SY_B!AM44/Inv_SY_B!$BY44-1,"")</f>
        <v/>
      </c>
      <c r="AN44" s="184" t="str">
        <f>IFERROR(Inv_SY_B!AN44/Inv_SY_B!$BY44-1,"")</f>
        <v/>
      </c>
      <c r="AO44" s="184" t="str">
        <f>IFERROR(Inv_SY_B!AO44/Inv_SY_B!$BY44-1,"")</f>
        <v/>
      </c>
      <c r="AP44" s="184" t="str">
        <f>IFERROR(Inv_SY_B!AP44/Inv_SY_B!$BY44-1,"")</f>
        <v/>
      </c>
      <c r="AQ44" s="184" t="str">
        <f>IFERROR(Inv_SY_B!AQ44/Inv_SY_B!$BY44-1,"")</f>
        <v/>
      </c>
      <c r="AR44" s="184" t="str">
        <f>IFERROR(Inv_SY_B!AR44/Inv_SY_B!$BY44-1,"")</f>
        <v/>
      </c>
      <c r="AS44" s="184" t="str">
        <f>IFERROR(Inv_SY_B!AS44/Inv_SY_B!$BY44-1,"")</f>
        <v/>
      </c>
      <c r="AT44" s="184" t="str">
        <f>IFERROR(Inv_SY_B!AT44/Inv_SY_B!$BY44-1,"")</f>
        <v/>
      </c>
      <c r="AU44" s="184" t="str">
        <f>IFERROR(Inv_SY_B!AU44/Inv_SY_B!$BY44-1,"")</f>
        <v/>
      </c>
      <c r="AV44" s="184" t="str">
        <f>IFERROR(Inv_SY_B!AV44/Inv_SY_B!$BY44-1,"")</f>
        <v/>
      </c>
      <c r="AW44" s="184" t="str">
        <f>IFERROR(Inv_SY_B!AW44/Inv_SY_B!$BY44-1,"")</f>
        <v/>
      </c>
      <c r="AX44" s="184" t="str">
        <f>IFERROR(Inv_SY_B!AX44/Inv_SY_B!$BY44-1,"")</f>
        <v/>
      </c>
      <c r="AY44" s="184" t="str">
        <f>IFERROR(Inv_SY_B!AY44/Inv_SY_B!$BY44-1,"")</f>
        <v/>
      </c>
      <c r="AZ44" s="184" t="str">
        <f>IFERROR(Inv_SY_B!AZ44/Inv_SY_B!$BY44-1,"")</f>
        <v/>
      </c>
      <c r="BA44" s="184" t="str">
        <f>IFERROR(Inv_SY_B!BA44/Inv_SY_B!$BY44-1,"")</f>
        <v/>
      </c>
      <c r="BB44" s="184" t="str">
        <f>IFERROR(Inv_SY_B!BB44/Inv_SY_B!$BY44-1,"")</f>
        <v/>
      </c>
      <c r="BC44" s="184" t="str">
        <f>IFERROR(Inv_SY_B!BC44/Inv_SY_B!$BY44-1,"")</f>
        <v/>
      </c>
      <c r="BD44" s="184" t="str">
        <f>IFERROR(Inv_SY_B!BD44/Inv_SY_B!$BY44-1,"")</f>
        <v/>
      </c>
      <c r="BE44" s="184" t="str">
        <f>IFERROR(Inv_SY_B!BE44/Inv_SY_B!$BY44-1,"")</f>
        <v/>
      </c>
      <c r="BF44" s="184" t="str">
        <f>IFERROR(Inv_SY_B!BF44/Inv_SY_B!$BY44-1,"")</f>
        <v/>
      </c>
      <c r="BG44" s="184" t="str">
        <f>IFERROR(Inv_SY_B!BG44/Inv_SY_B!$BY44-1,"")</f>
        <v/>
      </c>
      <c r="BH44" s="184" t="str">
        <f>IFERROR(Inv_SY_B!BH44/Inv_SY_B!$BY44-1,"")</f>
        <v/>
      </c>
      <c r="BI44" s="184" t="str">
        <f>IFERROR(Inv_SY_B!BI44/Inv_SY_B!$BY44-1,"")</f>
        <v/>
      </c>
      <c r="BJ44" s="184" t="str">
        <f>IFERROR(Inv_SY_B!BJ44/Inv_SY_B!$BY44-1,"")</f>
        <v/>
      </c>
      <c r="BK44" s="184" t="str">
        <f>IFERROR(Inv_SY_B!BK44/Inv_SY_B!$BY44-1,"")</f>
        <v/>
      </c>
      <c r="BL44" s="184" t="str">
        <f>IFERROR(Inv_SY_B!BL44/Inv_SY_B!$BY44-1,"")</f>
        <v/>
      </c>
      <c r="BM44" s="184" t="str">
        <f>IFERROR(Inv_SY_B!BM44/Inv_SY_B!$BY44-1,"")</f>
        <v/>
      </c>
      <c r="BN44" s="184" t="str">
        <f>IFERROR(Inv_SY_B!BN44/Inv_SY_B!$BY44-1,"")</f>
        <v/>
      </c>
      <c r="BO44" s="184" t="str">
        <f>IFERROR(Inv_SY_B!BO44/Inv_SY_B!$BY44-1,"")</f>
        <v/>
      </c>
      <c r="BP44" s="184" t="str">
        <f>IFERROR(Inv_SY_B!BP44/Inv_SY_B!$BY44-1,"")</f>
        <v/>
      </c>
      <c r="BQ44" s="184" t="str">
        <f>IFERROR(Inv_SY_B!BQ44/Inv_SY_B!$BY44-1,"")</f>
        <v/>
      </c>
      <c r="BR44" s="184" t="str">
        <f>IFERROR(Inv_SY_B!BR44/Inv_SY_B!$BY44-1,"")</f>
        <v/>
      </c>
      <c r="BS44" s="184" t="str">
        <f>IFERROR(Inv_SY_B!BS44/Inv_SY_B!$BY44-1,"")</f>
        <v/>
      </c>
      <c r="BT44" s="184" t="str">
        <f>IFERROR(Inv_SY_B!BT44/Inv_SY_B!$BY44-1,"")</f>
        <v/>
      </c>
      <c r="BU44" s="184" t="str">
        <f>IFERROR(Inv_SY_B!BU44/Inv_SY_B!$BY44-1,"")</f>
        <v/>
      </c>
      <c r="BV44" s="184" t="str">
        <f>IFERROR(Inv_SY_B!BV44/Inv_SY_B!$BY44-1,"")</f>
        <v/>
      </c>
      <c r="BW44" s="184" t="str">
        <f>IFERROR(Inv_SY_B!BW44/Inv_SY_B!$BY44-1,"")</f>
        <v/>
      </c>
      <c r="BX44" s="184" t="str">
        <f>IFERROR(Inv_SY_B!BX44/Inv_SY_B!$BY44-1,"")</f>
        <v/>
      </c>
    </row>
    <row r="45" spans="1:76">
      <c r="B45" s="179">
        <f t="shared" si="2"/>
        <v>45863</v>
      </c>
      <c r="C45" s="184" t="str">
        <f>IFERROR(Inv_SY_B!C45/Inv_SY_B!$BY45-1,"")</f>
        <v/>
      </c>
      <c r="D45" s="184" t="str">
        <f>IFERROR(Inv_SY_B!D45/Inv_SY_B!$BY45-1,"")</f>
        <v/>
      </c>
      <c r="E45" s="184" t="str">
        <f>IFERROR(Inv_SY_B!E45/Inv_SY_B!$BY45-1,"")</f>
        <v/>
      </c>
      <c r="F45" s="184" t="str">
        <f>IFERROR(Inv_SY_B!F45/Inv_SY_B!$BY45-1,"")</f>
        <v/>
      </c>
      <c r="G45" s="184" t="str">
        <f>IFERROR(Inv_SY_B!G45/Inv_SY_B!$BY45-1,"")</f>
        <v/>
      </c>
      <c r="H45" s="184" t="str">
        <f>IFERROR(Inv_SY_B!H45/Inv_SY_B!$BY45-1,"")</f>
        <v/>
      </c>
      <c r="I45" s="184" t="str">
        <f>IFERROR(Inv_SY_B!I45/Inv_SY_B!$BY45-1,"")</f>
        <v/>
      </c>
      <c r="J45" s="184" t="str">
        <f>IFERROR(Inv_SY_B!J45/Inv_SY_B!$BY45-1,"")</f>
        <v/>
      </c>
      <c r="K45" s="184" t="str">
        <f>IFERROR(Inv_SY_B!K45/Inv_SY_B!$BY45-1,"")</f>
        <v/>
      </c>
      <c r="L45" s="184" t="str">
        <f>IFERROR(Inv_SY_B!L45/Inv_SY_B!$BY45-1,"")</f>
        <v/>
      </c>
      <c r="M45" s="184" t="str">
        <f>IFERROR(Inv_SY_B!M45/Inv_SY_B!$BY45-1,"")</f>
        <v/>
      </c>
      <c r="N45" s="184" t="str">
        <f>IFERROR(Inv_SY_B!N45/Inv_SY_B!$BY45-1,"")</f>
        <v/>
      </c>
      <c r="O45" s="184" t="str">
        <f>IFERROR(Inv_SY_B!O45/Inv_SY_B!$BY45-1,"")</f>
        <v/>
      </c>
      <c r="P45" s="184" t="str">
        <f>IFERROR(Inv_SY_B!P45/Inv_SY_B!$BY45-1,"")</f>
        <v/>
      </c>
      <c r="Q45" s="184" t="str">
        <f>IFERROR(Inv_SY_B!Q45/Inv_SY_B!$BY45-1,"")</f>
        <v/>
      </c>
      <c r="R45" s="184" t="str">
        <f>IFERROR(Inv_SY_B!R45/Inv_SY_B!$BY45-1,"")</f>
        <v/>
      </c>
      <c r="S45" s="184" t="str">
        <f>IFERROR(Inv_SY_B!S45/Inv_SY_B!$BY45-1,"")</f>
        <v/>
      </c>
      <c r="T45" s="184" t="str">
        <f>IFERROR(Inv_SY_B!T45/Inv_SY_B!$BY45-1,"")</f>
        <v/>
      </c>
      <c r="U45" s="184" t="str">
        <f>IFERROR(Inv_SY_B!U45/Inv_SY_B!$BY45-1,"")</f>
        <v/>
      </c>
      <c r="V45" s="184" t="str">
        <f>IFERROR(Inv_SY_B!V45/Inv_SY_B!$BY45-1,"")</f>
        <v/>
      </c>
      <c r="W45" s="184" t="str">
        <f>IFERROR(Inv_SY_B!W45/Inv_SY_B!$BY45-1,"")</f>
        <v/>
      </c>
      <c r="X45" s="184" t="str">
        <f>IFERROR(Inv_SY_B!X45/Inv_SY_B!$BY45-1,"")</f>
        <v/>
      </c>
      <c r="Y45" s="184" t="str">
        <f>IFERROR(Inv_SY_B!Y45/Inv_SY_B!$BY45-1,"")</f>
        <v/>
      </c>
      <c r="Z45" s="184" t="str">
        <f>IFERROR(Inv_SY_B!Z45/Inv_SY_B!$BY45-1,"")</f>
        <v/>
      </c>
      <c r="AA45" s="184" t="str">
        <f>IFERROR(Inv_SY_B!AA45/Inv_SY_B!$BY45-1,"")</f>
        <v/>
      </c>
      <c r="AB45" s="184" t="str">
        <f>IFERROR(Inv_SY_B!AB45/Inv_SY_B!$BY45-1,"")</f>
        <v/>
      </c>
      <c r="AC45" s="184" t="str">
        <f>IFERROR(Inv_SY_B!AC45/Inv_SY_B!$BY45-1,"")</f>
        <v/>
      </c>
      <c r="AD45" s="184" t="str">
        <f>IFERROR(Inv_SY_B!AD45/Inv_SY_B!$BY45-1,"")</f>
        <v/>
      </c>
      <c r="AE45" s="184" t="str">
        <f>IFERROR(Inv_SY_B!AE45/Inv_SY_B!$BY45-1,"")</f>
        <v/>
      </c>
      <c r="AF45" s="184" t="str">
        <f>IFERROR(Inv_SY_B!AF45/Inv_SY_B!$BY45-1,"")</f>
        <v/>
      </c>
      <c r="AG45" s="184" t="str">
        <f>IFERROR(Inv_SY_B!AG45/Inv_SY_B!$BY45-1,"")</f>
        <v/>
      </c>
      <c r="AH45" s="184" t="str">
        <f>IFERROR(Inv_SY_B!AH45/Inv_SY_B!$BY45-1,"")</f>
        <v/>
      </c>
      <c r="AI45" s="184" t="str">
        <f>IFERROR(Inv_SY_B!AI45/Inv_SY_B!$BY45-1,"")</f>
        <v/>
      </c>
      <c r="AJ45" s="184" t="str">
        <f>IFERROR(Inv_SY_B!AJ45/Inv_SY_B!$BY45-1,"")</f>
        <v/>
      </c>
      <c r="AK45" s="184" t="str">
        <f>IFERROR(Inv_SY_B!AK45/Inv_SY_B!$BY45-1,"")</f>
        <v/>
      </c>
      <c r="AL45" s="184" t="str">
        <f>IFERROR(Inv_SY_B!AL45/Inv_SY_B!$BY45-1,"")</f>
        <v/>
      </c>
      <c r="AM45" s="184" t="str">
        <f>IFERROR(Inv_SY_B!AM45/Inv_SY_B!$BY45-1,"")</f>
        <v/>
      </c>
      <c r="AN45" s="184" t="str">
        <f>IFERROR(Inv_SY_B!AN45/Inv_SY_B!$BY45-1,"")</f>
        <v/>
      </c>
      <c r="AO45" s="184" t="str">
        <f>IFERROR(Inv_SY_B!AO45/Inv_SY_B!$BY45-1,"")</f>
        <v/>
      </c>
      <c r="AP45" s="184" t="str">
        <f>IFERROR(Inv_SY_B!AP45/Inv_SY_B!$BY45-1,"")</f>
        <v/>
      </c>
      <c r="AQ45" s="184" t="str">
        <f>IFERROR(Inv_SY_B!AQ45/Inv_SY_B!$BY45-1,"")</f>
        <v/>
      </c>
      <c r="AR45" s="184" t="str">
        <f>IFERROR(Inv_SY_B!AR45/Inv_SY_B!$BY45-1,"")</f>
        <v/>
      </c>
      <c r="AS45" s="184" t="str">
        <f>IFERROR(Inv_SY_B!AS45/Inv_SY_B!$BY45-1,"")</f>
        <v/>
      </c>
      <c r="AT45" s="184" t="str">
        <f>IFERROR(Inv_SY_B!AT45/Inv_SY_B!$BY45-1,"")</f>
        <v/>
      </c>
      <c r="AU45" s="184" t="str">
        <f>IFERROR(Inv_SY_B!AU45/Inv_SY_B!$BY45-1,"")</f>
        <v/>
      </c>
      <c r="AV45" s="184" t="str">
        <f>IFERROR(Inv_SY_B!AV45/Inv_SY_B!$BY45-1,"")</f>
        <v/>
      </c>
      <c r="AW45" s="184" t="str">
        <f>IFERROR(Inv_SY_B!AW45/Inv_SY_B!$BY45-1,"")</f>
        <v/>
      </c>
      <c r="AX45" s="184" t="str">
        <f>IFERROR(Inv_SY_B!AX45/Inv_SY_B!$BY45-1,"")</f>
        <v/>
      </c>
      <c r="AY45" s="184" t="str">
        <f>IFERROR(Inv_SY_B!AY45/Inv_SY_B!$BY45-1,"")</f>
        <v/>
      </c>
      <c r="AZ45" s="184" t="str">
        <f>IFERROR(Inv_SY_B!AZ45/Inv_SY_B!$BY45-1,"")</f>
        <v/>
      </c>
      <c r="BA45" s="184" t="str">
        <f>IFERROR(Inv_SY_B!BA45/Inv_SY_B!$BY45-1,"")</f>
        <v/>
      </c>
      <c r="BB45" s="184" t="str">
        <f>IFERROR(Inv_SY_B!BB45/Inv_SY_B!$BY45-1,"")</f>
        <v/>
      </c>
      <c r="BC45" s="184" t="str">
        <f>IFERROR(Inv_SY_B!BC45/Inv_SY_B!$BY45-1,"")</f>
        <v/>
      </c>
      <c r="BD45" s="184" t="str">
        <f>IFERROR(Inv_SY_B!BD45/Inv_SY_B!$BY45-1,"")</f>
        <v/>
      </c>
      <c r="BE45" s="184" t="str">
        <f>IFERROR(Inv_SY_B!BE45/Inv_SY_B!$BY45-1,"")</f>
        <v/>
      </c>
      <c r="BF45" s="184" t="str">
        <f>IFERROR(Inv_SY_B!BF45/Inv_SY_B!$BY45-1,"")</f>
        <v/>
      </c>
      <c r="BG45" s="184" t="str">
        <f>IFERROR(Inv_SY_B!BG45/Inv_SY_B!$BY45-1,"")</f>
        <v/>
      </c>
      <c r="BH45" s="184" t="str">
        <f>IFERROR(Inv_SY_B!BH45/Inv_SY_B!$BY45-1,"")</f>
        <v/>
      </c>
      <c r="BI45" s="184" t="str">
        <f>IFERROR(Inv_SY_B!BI45/Inv_SY_B!$BY45-1,"")</f>
        <v/>
      </c>
      <c r="BJ45" s="184" t="str">
        <f>IFERROR(Inv_SY_B!BJ45/Inv_SY_B!$BY45-1,"")</f>
        <v/>
      </c>
      <c r="BK45" s="184" t="str">
        <f>IFERROR(Inv_SY_B!BK45/Inv_SY_B!$BY45-1,"")</f>
        <v/>
      </c>
      <c r="BL45" s="184" t="str">
        <f>IFERROR(Inv_SY_B!BL45/Inv_SY_B!$BY45-1,"")</f>
        <v/>
      </c>
      <c r="BM45" s="184" t="str">
        <f>IFERROR(Inv_SY_B!BM45/Inv_SY_B!$BY45-1,"")</f>
        <v/>
      </c>
      <c r="BN45" s="184" t="str">
        <f>IFERROR(Inv_SY_B!BN45/Inv_SY_B!$BY45-1,"")</f>
        <v/>
      </c>
      <c r="BO45" s="184" t="str">
        <f>IFERROR(Inv_SY_B!BO45/Inv_SY_B!$BY45-1,"")</f>
        <v/>
      </c>
      <c r="BP45" s="184" t="str">
        <f>IFERROR(Inv_SY_B!BP45/Inv_SY_B!$BY45-1,"")</f>
        <v/>
      </c>
      <c r="BQ45" s="184" t="str">
        <f>IFERROR(Inv_SY_B!BQ45/Inv_SY_B!$BY45-1,"")</f>
        <v/>
      </c>
      <c r="BR45" s="184" t="str">
        <f>IFERROR(Inv_SY_B!BR45/Inv_SY_B!$BY45-1,"")</f>
        <v/>
      </c>
      <c r="BS45" s="184" t="str">
        <f>IFERROR(Inv_SY_B!BS45/Inv_SY_B!$BY45-1,"")</f>
        <v/>
      </c>
      <c r="BT45" s="184" t="str">
        <f>IFERROR(Inv_SY_B!BT45/Inv_SY_B!$BY45-1,"")</f>
        <v/>
      </c>
      <c r="BU45" s="184" t="str">
        <f>IFERROR(Inv_SY_B!BU45/Inv_SY_B!$BY45-1,"")</f>
        <v/>
      </c>
      <c r="BV45" s="184" t="str">
        <f>IFERROR(Inv_SY_B!BV45/Inv_SY_B!$BY45-1,"")</f>
        <v/>
      </c>
      <c r="BW45" s="184" t="str">
        <f>IFERROR(Inv_SY_B!BW45/Inv_SY_B!$BY45-1,"")</f>
        <v/>
      </c>
      <c r="BX45" s="184" t="str">
        <f>IFERROR(Inv_SY_B!BX45/Inv_SY_B!$BY45-1,"")</f>
        <v/>
      </c>
    </row>
    <row r="46" spans="1:76">
      <c r="B46" s="179">
        <f t="shared" si="2"/>
        <v>45864</v>
      </c>
      <c r="C46" s="184" t="str">
        <f>IFERROR(Inv_SY_B!C46/Inv_SY_B!$BY46-1,"")</f>
        <v/>
      </c>
      <c r="D46" s="184" t="str">
        <f>IFERROR(Inv_SY_B!D46/Inv_SY_B!$BY46-1,"")</f>
        <v/>
      </c>
      <c r="E46" s="184" t="str">
        <f>IFERROR(Inv_SY_B!E46/Inv_SY_B!$BY46-1,"")</f>
        <v/>
      </c>
      <c r="F46" s="184" t="str">
        <f>IFERROR(Inv_SY_B!F46/Inv_SY_B!$BY46-1,"")</f>
        <v/>
      </c>
      <c r="G46" s="184" t="str">
        <f>IFERROR(Inv_SY_B!G46/Inv_SY_B!$BY46-1,"")</f>
        <v/>
      </c>
      <c r="H46" s="184" t="str">
        <f>IFERROR(Inv_SY_B!H46/Inv_SY_B!$BY46-1,"")</f>
        <v/>
      </c>
      <c r="I46" s="184" t="str">
        <f>IFERROR(Inv_SY_B!I46/Inv_SY_B!$BY46-1,"")</f>
        <v/>
      </c>
      <c r="J46" s="184" t="str">
        <f>IFERROR(Inv_SY_B!J46/Inv_SY_B!$BY46-1,"")</f>
        <v/>
      </c>
      <c r="K46" s="184" t="str">
        <f>IFERROR(Inv_SY_B!K46/Inv_SY_B!$BY46-1,"")</f>
        <v/>
      </c>
      <c r="L46" s="184" t="str">
        <f>IFERROR(Inv_SY_B!L46/Inv_SY_B!$BY46-1,"")</f>
        <v/>
      </c>
      <c r="M46" s="184" t="str">
        <f>IFERROR(Inv_SY_B!M46/Inv_SY_B!$BY46-1,"")</f>
        <v/>
      </c>
      <c r="N46" s="184" t="str">
        <f>IFERROR(Inv_SY_B!N46/Inv_SY_B!$BY46-1,"")</f>
        <v/>
      </c>
      <c r="O46" s="184" t="str">
        <f>IFERROR(Inv_SY_B!O46/Inv_SY_B!$BY46-1,"")</f>
        <v/>
      </c>
      <c r="P46" s="184" t="str">
        <f>IFERROR(Inv_SY_B!P46/Inv_SY_B!$BY46-1,"")</f>
        <v/>
      </c>
      <c r="Q46" s="184" t="str">
        <f>IFERROR(Inv_SY_B!Q46/Inv_SY_B!$BY46-1,"")</f>
        <v/>
      </c>
      <c r="R46" s="184" t="str">
        <f>IFERROR(Inv_SY_B!R46/Inv_SY_B!$BY46-1,"")</f>
        <v/>
      </c>
      <c r="S46" s="184" t="str">
        <f>IFERROR(Inv_SY_B!S46/Inv_SY_B!$BY46-1,"")</f>
        <v/>
      </c>
      <c r="T46" s="184" t="str">
        <f>IFERROR(Inv_SY_B!T46/Inv_SY_B!$BY46-1,"")</f>
        <v/>
      </c>
      <c r="U46" s="184" t="str">
        <f>IFERROR(Inv_SY_B!U46/Inv_SY_B!$BY46-1,"")</f>
        <v/>
      </c>
      <c r="V46" s="184" t="str">
        <f>IFERROR(Inv_SY_B!V46/Inv_SY_B!$BY46-1,"")</f>
        <v/>
      </c>
      <c r="W46" s="184" t="str">
        <f>IFERROR(Inv_SY_B!W46/Inv_SY_B!$BY46-1,"")</f>
        <v/>
      </c>
      <c r="X46" s="184" t="str">
        <f>IFERROR(Inv_SY_B!X46/Inv_SY_B!$BY46-1,"")</f>
        <v/>
      </c>
      <c r="Y46" s="184" t="str">
        <f>IFERROR(Inv_SY_B!Y46/Inv_SY_B!$BY46-1,"")</f>
        <v/>
      </c>
      <c r="Z46" s="184" t="str">
        <f>IFERROR(Inv_SY_B!Z46/Inv_SY_B!$BY46-1,"")</f>
        <v/>
      </c>
      <c r="AA46" s="184" t="str">
        <f>IFERROR(Inv_SY_B!AA46/Inv_SY_B!$BY46-1,"")</f>
        <v/>
      </c>
      <c r="AB46" s="184" t="str">
        <f>IFERROR(Inv_SY_B!AB46/Inv_SY_B!$BY46-1,"")</f>
        <v/>
      </c>
      <c r="AC46" s="184" t="str">
        <f>IFERROR(Inv_SY_B!AC46/Inv_SY_B!$BY46-1,"")</f>
        <v/>
      </c>
      <c r="AD46" s="184" t="str">
        <f>IFERROR(Inv_SY_B!AD46/Inv_SY_B!$BY46-1,"")</f>
        <v/>
      </c>
      <c r="AE46" s="184" t="str">
        <f>IFERROR(Inv_SY_B!AE46/Inv_SY_B!$BY46-1,"")</f>
        <v/>
      </c>
      <c r="AF46" s="184" t="str">
        <f>IFERROR(Inv_SY_B!AF46/Inv_SY_B!$BY46-1,"")</f>
        <v/>
      </c>
      <c r="AG46" s="184" t="str">
        <f>IFERROR(Inv_SY_B!AG46/Inv_SY_B!$BY46-1,"")</f>
        <v/>
      </c>
      <c r="AH46" s="184" t="str">
        <f>IFERROR(Inv_SY_B!AH46/Inv_SY_B!$BY46-1,"")</f>
        <v/>
      </c>
      <c r="AI46" s="184" t="str">
        <f>IFERROR(Inv_SY_B!AI46/Inv_SY_B!$BY46-1,"")</f>
        <v/>
      </c>
      <c r="AJ46" s="184" t="str">
        <f>IFERROR(Inv_SY_B!AJ46/Inv_SY_B!$BY46-1,"")</f>
        <v/>
      </c>
      <c r="AK46" s="184" t="str">
        <f>IFERROR(Inv_SY_B!AK46/Inv_SY_B!$BY46-1,"")</f>
        <v/>
      </c>
      <c r="AL46" s="184" t="str">
        <f>IFERROR(Inv_SY_B!AL46/Inv_SY_B!$BY46-1,"")</f>
        <v/>
      </c>
      <c r="AM46" s="184" t="str">
        <f>IFERROR(Inv_SY_B!AM46/Inv_SY_B!$BY46-1,"")</f>
        <v/>
      </c>
      <c r="AN46" s="184" t="str">
        <f>IFERROR(Inv_SY_B!AN46/Inv_SY_B!$BY46-1,"")</f>
        <v/>
      </c>
      <c r="AO46" s="184" t="str">
        <f>IFERROR(Inv_SY_B!AO46/Inv_SY_B!$BY46-1,"")</f>
        <v/>
      </c>
      <c r="AP46" s="184" t="str">
        <f>IFERROR(Inv_SY_B!AP46/Inv_SY_B!$BY46-1,"")</f>
        <v/>
      </c>
      <c r="AQ46" s="184" t="str">
        <f>IFERROR(Inv_SY_B!AQ46/Inv_SY_B!$BY46-1,"")</f>
        <v/>
      </c>
      <c r="AR46" s="184" t="str">
        <f>IFERROR(Inv_SY_B!AR46/Inv_SY_B!$BY46-1,"")</f>
        <v/>
      </c>
      <c r="AS46" s="184" t="str">
        <f>IFERROR(Inv_SY_B!AS46/Inv_SY_B!$BY46-1,"")</f>
        <v/>
      </c>
      <c r="AT46" s="184" t="str">
        <f>IFERROR(Inv_SY_B!AT46/Inv_SY_B!$BY46-1,"")</f>
        <v/>
      </c>
      <c r="AU46" s="184" t="str">
        <f>IFERROR(Inv_SY_B!AU46/Inv_SY_B!$BY46-1,"")</f>
        <v/>
      </c>
      <c r="AV46" s="184" t="str">
        <f>IFERROR(Inv_SY_B!AV46/Inv_SY_B!$BY46-1,"")</f>
        <v/>
      </c>
      <c r="AW46" s="184" t="str">
        <f>IFERROR(Inv_SY_B!AW46/Inv_SY_B!$BY46-1,"")</f>
        <v/>
      </c>
      <c r="AX46" s="184" t="str">
        <f>IFERROR(Inv_SY_B!AX46/Inv_SY_B!$BY46-1,"")</f>
        <v/>
      </c>
      <c r="AY46" s="184" t="str">
        <f>IFERROR(Inv_SY_B!AY46/Inv_SY_B!$BY46-1,"")</f>
        <v/>
      </c>
      <c r="AZ46" s="184" t="str">
        <f>IFERROR(Inv_SY_B!AZ46/Inv_SY_B!$BY46-1,"")</f>
        <v/>
      </c>
      <c r="BA46" s="184" t="str">
        <f>IFERROR(Inv_SY_B!BA46/Inv_SY_B!$BY46-1,"")</f>
        <v/>
      </c>
      <c r="BB46" s="184" t="str">
        <f>IFERROR(Inv_SY_B!BB46/Inv_SY_B!$BY46-1,"")</f>
        <v/>
      </c>
      <c r="BC46" s="184" t="str">
        <f>IFERROR(Inv_SY_B!BC46/Inv_SY_B!$BY46-1,"")</f>
        <v/>
      </c>
      <c r="BD46" s="184" t="str">
        <f>IFERROR(Inv_SY_B!BD46/Inv_SY_B!$BY46-1,"")</f>
        <v/>
      </c>
      <c r="BE46" s="184" t="str">
        <f>IFERROR(Inv_SY_B!BE46/Inv_SY_B!$BY46-1,"")</f>
        <v/>
      </c>
      <c r="BF46" s="184" t="str">
        <f>IFERROR(Inv_SY_B!BF46/Inv_SY_B!$BY46-1,"")</f>
        <v/>
      </c>
      <c r="BG46" s="184" t="str">
        <f>IFERROR(Inv_SY_B!BG46/Inv_SY_B!$BY46-1,"")</f>
        <v/>
      </c>
      <c r="BH46" s="184" t="str">
        <f>IFERROR(Inv_SY_B!BH46/Inv_SY_B!$BY46-1,"")</f>
        <v/>
      </c>
      <c r="BI46" s="184" t="str">
        <f>IFERROR(Inv_SY_B!BI46/Inv_SY_B!$BY46-1,"")</f>
        <v/>
      </c>
      <c r="BJ46" s="184" t="str">
        <f>IFERROR(Inv_SY_B!BJ46/Inv_SY_B!$BY46-1,"")</f>
        <v/>
      </c>
      <c r="BK46" s="184" t="str">
        <f>IFERROR(Inv_SY_B!BK46/Inv_SY_B!$BY46-1,"")</f>
        <v/>
      </c>
      <c r="BL46" s="184" t="str">
        <f>IFERROR(Inv_SY_B!BL46/Inv_SY_B!$BY46-1,"")</f>
        <v/>
      </c>
      <c r="BM46" s="184" t="str">
        <f>IFERROR(Inv_SY_B!BM46/Inv_SY_B!$BY46-1,"")</f>
        <v/>
      </c>
      <c r="BN46" s="184" t="str">
        <f>IFERROR(Inv_SY_B!BN46/Inv_SY_B!$BY46-1,"")</f>
        <v/>
      </c>
      <c r="BO46" s="184" t="str">
        <f>IFERROR(Inv_SY_B!BO46/Inv_SY_B!$BY46-1,"")</f>
        <v/>
      </c>
      <c r="BP46" s="184" t="str">
        <f>IFERROR(Inv_SY_B!BP46/Inv_SY_B!$BY46-1,"")</f>
        <v/>
      </c>
      <c r="BQ46" s="184" t="str">
        <f>IFERROR(Inv_SY_B!BQ46/Inv_SY_B!$BY46-1,"")</f>
        <v/>
      </c>
      <c r="BR46" s="184" t="str">
        <f>IFERROR(Inv_SY_B!BR46/Inv_SY_B!$BY46-1,"")</f>
        <v/>
      </c>
      <c r="BS46" s="184" t="str">
        <f>IFERROR(Inv_SY_B!BS46/Inv_SY_B!$BY46-1,"")</f>
        <v/>
      </c>
      <c r="BT46" s="184" t="str">
        <f>IFERROR(Inv_SY_B!BT46/Inv_SY_B!$BY46-1,"")</f>
        <v/>
      </c>
      <c r="BU46" s="184" t="str">
        <f>IFERROR(Inv_SY_B!BU46/Inv_SY_B!$BY46-1,"")</f>
        <v/>
      </c>
      <c r="BV46" s="184" t="str">
        <f>IFERROR(Inv_SY_B!BV46/Inv_SY_B!$BY46-1,"")</f>
        <v/>
      </c>
      <c r="BW46" s="184" t="str">
        <f>IFERROR(Inv_SY_B!BW46/Inv_SY_B!$BY46-1,"")</f>
        <v/>
      </c>
      <c r="BX46" s="184" t="str">
        <f>IFERROR(Inv_SY_B!BX46/Inv_SY_B!$BY46-1,"")</f>
        <v/>
      </c>
    </row>
    <row r="47" spans="1:76">
      <c r="B47" s="179">
        <f t="shared" si="2"/>
        <v>45865</v>
      </c>
      <c r="C47" s="184" t="str">
        <f>IFERROR(Inv_SY_B!C47/Inv_SY_B!$BY47-1,"")</f>
        <v/>
      </c>
      <c r="D47" s="184" t="str">
        <f>IFERROR(Inv_SY_B!D47/Inv_SY_B!$BY47-1,"")</f>
        <v/>
      </c>
      <c r="E47" s="184" t="str">
        <f>IFERROR(Inv_SY_B!E47/Inv_SY_B!$BY47-1,"")</f>
        <v/>
      </c>
      <c r="F47" s="184" t="str">
        <f>IFERROR(Inv_SY_B!F47/Inv_SY_B!$BY47-1,"")</f>
        <v/>
      </c>
      <c r="G47" s="184" t="str">
        <f>IFERROR(Inv_SY_B!G47/Inv_SY_B!$BY47-1,"")</f>
        <v/>
      </c>
      <c r="H47" s="184" t="str">
        <f>IFERROR(Inv_SY_B!H47/Inv_SY_B!$BY47-1,"")</f>
        <v/>
      </c>
      <c r="I47" s="184" t="str">
        <f>IFERROR(Inv_SY_B!I47/Inv_SY_B!$BY47-1,"")</f>
        <v/>
      </c>
      <c r="J47" s="184" t="str">
        <f>IFERROR(Inv_SY_B!J47/Inv_SY_B!$BY47-1,"")</f>
        <v/>
      </c>
      <c r="K47" s="184" t="str">
        <f>IFERROR(Inv_SY_B!K47/Inv_SY_B!$BY47-1,"")</f>
        <v/>
      </c>
      <c r="L47" s="184" t="str">
        <f>IFERROR(Inv_SY_B!L47/Inv_SY_B!$BY47-1,"")</f>
        <v/>
      </c>
      <c r="M47" s="184" t="str">
        <f>IFERROR(Inv_SY_B!M47/Inv_SY_B!$BY47-1,"")</f>
        <v/>
      </c>
      <c r="N47" s="184" t="str">
        <f>IFERROR(Inv_SY_B!N47/Inv_SY_B!$BY47-1,"")</f>
        <v/>
      </c>
      <c r="O47" s="184" t="str">
        <f>IFERROR(Inv_SY_B!O47/Inv_SY_B!$BY47-1,"")</f>
        <v/>
      </c>
      <c r="P47" s="184" t="str">
        <f>IFERROR(Inv_SY_B!P47/Inv_SY_B!$BY47-1,"")</f>
        <v/>
      </c>
      <c r="Q47" s="184" t="str">
        <f>IFERROR(Inv_SY_B!Q47/Inv_SY_B!$BY47-1,"")</f>
        <v/>
      </c>
      <c r="R47" s="184" t="str">
        <f>IFERROR(Inv_SY_B!R47/Inv_SY_B!$BY47-1,"")</f>
        <v/>
      </c>
      <c r="S47" s="184" t="str">
        <f>IFERROR(Inv_SY_B!S47/Inv_SY_B!$BY47-1,"")</f>
        <v/>
      </c>
      <c r="T47" s="184" t="str">
        <f>IFERROR(Inv_SY_B!T47/Inv_SY_B!$BY47-1,"")</f>
        <v/>
      </c>
      <c r="U47" s="184" t="str">
        <f>IFERROR(Inv_SY_B!U47/Inv_SY_B!$BY47-1,"")</f>
        <v/>
      </c>
      <c r="V47" s="184" t="str">
        <f>IFERROR(Inv_SY_B!V47/Inv_SY_B!$BY47-1,"")</f>
        <v/>
      </c>
      <c r="W47" s="184" t="str">
        <f>IFERROR(Inv_SY_B!W47/Inv_SY_B!$BY47-1,"")</f>
        <v/>
      </c>
      <c r="X47" s="184" t="str">
        <f>IFERROR(Inv_SY_B!X47/Inv_SY_B!$BY47-1,"")</f>
        <v/>
      </c>
      <c r="Y47" s="184" t="str">
        <f>IFERROR(Inv_SY_B!Y47/Inv_SY_B!$BY47-1,"")</f>
        <v/>
      </c>
      <c r="Z47" s="184" t="str">
        <f>IFERROR(Inv_SY_B!Z47/Inv_SY_B!$BY47-1,"")</f>
        <v/>
      </c>
      <c r="AA47" s="184" t="str">
        <f>IFERROR(Inv_SY_B!AA47/Inv_SY_B!$BY47-1,"")</f>
        <v/>
      </c>
      <c r="AB47" s="184" t="str">
        <f>IFERROR(Inv_SY_B!AB47/Inv_SY_B!$BY47-1,"")</f>
        <v/>
      </c>
      <c r="AC47" s="184" t="str">
        <f>IFERROR(Inv_SY_B!AC47/Inv_SY_B!$BY47-1,"")</f>
        <v/>
      </c>
      <c r="AD47" s="184" t="str">
        <f>IFERROR(Inv_SY_B!AD47/Inv_SY_B!$BY47-1,"")</f>
        <v/>
      </c>
      <c r="AE47" s="184" t="str">
        <f>IFERROR(Inv_SY_B!AE47/Inv_SY_B!$BY47-1,"")</f>
        <v/>
      </c>
      <c r="AF47" s="184" t="str">
        <f>IFERROR(Inv_SY_B!AF47/Inv_SY_B!$BY47-1,"")</f>
        <v/>
      </c>
      <c r="AG47" s="184" t="str">
        <f>IFERROR(Inv_SY_B!AG47/Inv_SY_B!$BY47-1,"")</f>
        <v/>
      </c>
      <c r="AH47" s="184" t="str">
        <f>IFERROR(Inv_SY_B!AH47/Inv_SY_B!$BY47-1,"")</f>
        <v/>
      </c>
      <c r="AI47" s="184" t="str">
        <f>IFERROR(Inv_SY_B!AI47/Inv_SY_B!$BY47-1,"")</f>
        <v/>
      </c>
      <c r="AJ47" s="184" t="str">
        <f>IFERROR(Inv_SY_B!AJ47/Inv_SY_B!$BY47-1,"")</f>
        <v/>
      </c>
      <c r="AK47" s="184" t="str">
        <f>IFERROR(Inv_SY_B!AK47/Inv_SY_B!$BY47-1,"")</f>
        <v/>
      </c>
      <c r="AL47" s="184" t="str">
        <f>IFERROR(Inv_SY_B!AL47/Inv_SY_B!$BY47-1,"")</f>
        <v/>
      </c>
      <c r="AM47" s="184" t="str">
        <f>IFERROR(Inv_SY_B!AM47/Inv_SY_B!$BY47-1,"")</f>
        <v/>
      </c>
      <c r="AN47" s="184" t="str">
        <f>IFERROR(Inv_SY_B!AN47/Inv_SY_B!$BY47-1,"")</f>
        <v/>
      </c>
      <c r="AO47" s="184" t="str">
        <f>IFERROR(Inv_SY_B!AO47/Inv_SY_B!$BY47-1,"")</f>
        <v/>
      </c>
      <c r="AP47" s="184" t="str">
        <f>IFERROR(Inv_SY_B!AP47/Inv_SY_B!$BY47-1,"")</f>
        <v/>
      </c>
      <c r="AQ47" s="184" t="str">
        <f>IFERROR(Inv_SY_B!AQ47/Inv_SY_B!$BY47-1,"")</f>
        <v/>
      </c>
      <c r="AR47" s="184" t="str">
        <f>IFERROR(Inv_SY_B!AR47/Inv_SY_B!$BY47-1,"")</f>
        <v/>
      </c>
      <c r="AS47" s="184" t="str">
        <f>IFERROR(Inv_SY_B!AS47/Inv_SY_B!$BY47-1,"")</f>
        <v/>
      </c>
      <c r="AT47" s="184" t="str">
        <f>IFERROR(Inv_SY_B!AT47/Inv_SY_B!$BY47-1,"")</f>
        <v/>
      </c>
      <c r="AU47" s="184" t="str">
        <f>IFERROR(Inv_SY_B!AU47/Inv_SY_B!$BY47-1,"")</f>
        <v/>
      </c>
      <c r="AV47" s="184" t="str">
        <f>IFERROR(Inv_SY_B!AV47/Inv_SY_B!$BY47-1,"")</f>
        <v/>
      </c>
      <c r="AW47" s="184" t="str">
        <f>IFERROR(Inv_SY_B!AW47/Inv_SY_B!$BY47-1,"")</f>
        <v/>
      </c>
      <c r="AX47" s="184" t="str">
        <f>IFERROR(Inv_SY_B!AX47/Inv_SY_B!$BY47-1,"")</f>
        <v/>
      </c>
      <c r="AY47" s="184" t="str">
        <f>IFERROR(Inv_SY_B!AY47/Inv_SY_B!$BY47-1,"")</f>
        <v/>
      </c>
      <c r="AZ47" s="184" t="str">
        <f>IFERROR(Inv_SY_B!AZ47/Inv_SY_B!$BY47-1,"")</f>
        <v/>
      </c>
      <c r="BA47" s="184" t="str">
        <f>IFERROR(Inv_SY_B!BA47/Inv_SY_B!$BY47-1,"")</f>
        <v/>
      </c>
      <c r="BB47" s="184" t="str">
        <f>IFERROR(Inv_SY_B!BB47/Inv_SY_B!$BY47-1,"")</f>
        <v/>
      </c>
      <c r="BC47" s="184" t="str">
        <f>IFERROR(Inv_SY_B!BC47/Inv_SY_B!$BY47-1,"")</f>
        <v/>
      </c>
      <c r="BD47" s="184" t="str">
        <f>IFERROR(Inv_SY_B!BD47/Inv_SY_B!$BY47-1,"")</f>
        <v/>
      </c>
      <c r="BE47" s="184" t="str">
        <f>IFERROR(Inv_SY_B!BE47/Inv_SY_B!$BY47-1,"")</f>
        <v/>
      </c>
      <c r="BF47" s="184" t="str">
        <f>IFERROR(Inv_SY_B!BF47/Inv_SY_B!$BY47-1,"")</f>
        <v/>
      </c>
      <c r="BG47" s="184" t="str">
        <f>IFERROR(Inv_SY_B!BG47/Inv_SY_B!$BY47-1,"")</f>
        <v/>
      </c>
      <c r="BH47" s="184" t="str">
        <f>IFERROR(Inv_SY_B!BH47/Inv_SY_B!$BY47-1,"")</f>
        <v/>
      </c>
      <c r="BI47" s="184" t="str">
        <f>IFERROR(Inv_SY_B!BI47/Inv_SY_B!$BY47-1,"")</f>
        <v/>
      </c>
      <c r="BJ47" s="184" t="str">
        <f>IFERROR(Inv_SY_B!BJ47/Inv_SY_B!$BY47-1,"")</f>
        <v/>
      </c>
      <c r="BK47" s="184" t="str">
        <f>IFERROR(Inv_SY_B!BK47/Inv_SY_B!$BY47-1,"")</f>
        <v/>
      </c>
      <c r="BL47" s="184" t="str">
        <f>IFERROR(Inv_SY_B!BL47/Inv_SY_B!$BY47-1,"")</f>
        <v/>
      </c>
      <c r="BM47" s="184" t="str">
        <f>IFERROR(Inv_SY_B!BM47/Inv_SY_B!$BY47-1,"")</f>
        <v/>
      </c>
      <c r="BN47" s="184" t="str">
        <f>IFERROR(Inv_SY_B!BN47/Inv_SY_B!$BY47-1,"")</f>
        <v/>
      </c>
      <c r="BO47" s="184" t="str">
        <f>IFERROR(Inv_SY_B!BO47/Inv_SY_B!$BY47-1,"")</f>
        <v/>
      </c>
      <c r="BP47" s="184" t="str">
        <f>IFERROR(Inv_SY_B!BP47/Inv_SY_B!$BY47-1,"")</f>
        <v/>
      </c>
      <c r="BQ47" s="184" t="str">
        <f>IFERROR(Inv_SY_B!BQ47/Inv_SY_B!$BY47-1,"")</f>
        <v/>
      </c>
      <c r="BR47" s="184" t="str">
        <f>IFERROR(Inv_SY_B!BR47/Inv_SY_B!$BY47-1,"")</f>
        <v/>
      </c>
      <c r="BS47" s="184" t="str">
        <f>IFERROR(Inv_SY_B!BS47/Inv_SY_B!$BY47-1,"")</f>
        <v/>
      </c>
      <c r="BT47" s="184" t="str">
        <f>IFERROR(Inv_SY_B!BT47/Inv_SY_B!$BY47-1,"")</f>
        <v/>
      </c>
      <c r="BU47" s="184" t="str">
        <f>IFERROR(Inv_SY_B!BU47/Inv_SY_B!$BY47-1,"")</f>
        <v/>
      </c>
      <c r="BV47" s="184" t="str">
        <f>IFERROR(Inv_SY_B!BV47/Inv_SY_B!$BY47-1,"")</f>
        <v/>
      </c>
      <c r="BW47" s="184" t="str">
        <f>IFERROR(Inv_SY_B!BW47/Inv_SY_B!$BY47-1,"")</f>
        <v/>
      </c>
      <c r="BX47" s="184" t="str">
        <f>IFERROR(Inv_SY_B!BX47/Inv_SY_B!$BY47-1,"")</f>
        <v/>
      </c>
    </row>
    <row r="48" spans="1:76">
      <c r="B48" s="179">
        <f t="shared" si="2"/>
        <v>45866</v>
      </c>
      <c r="C48" s="184" t="str">
        <f>IFERROR(Inv_SY_B!C48/Inv_SY_B!$BY48-1,"")</f>
        <v/>
      </c>
      <c r="D48" s="184" t="str">
        <f>IFERROR(Inv_SY_B!D48/Inv_SY_B!$BY48-1,"")</f>
        <v/>
      </c>
      <c r="E48" s="184" t="str">
        <f>IFERROR(Inv_SY_B!E48/Inv_SY_B!$BY48-1,"")</f>
        <v/>
      </c>
      <c r="F48" s="184" t="str">
        <f>IFERROR(Inv_SY_B!F48/Inv_SY_B!$BY48-1,"")</f>
        <v/>
      </c>
      <c r="G48" s="184" t="str">
        <f>IFERROR(Inv_SY_B!G48/Inv_SY_B!$BY48-1,"")</f>
        <v/>
      </c>
      <c r="H48" s="184" t="str">
        <f>IFERROR(Inv_SY_B!H48/Inv_SY_B!$BY48-1,"")</f>
        <v/>
      </c>
      <c r="I48" s="184" t="str">
        <f>IFERROR(Inv_SY_B!I48/Inv_SY_B!$BY48-1,"")</f>
        <v/>
      </c>
      <c r="J48" s="184" t="str">
        <f>IFERROR(Inv_SY_B!J48/Inv_SY_B!$BY48-1,"")</f>
        <v/>
      </c>
      <c r="K48" s="184" t="str">
        <f>IFERROR(Inv_SY_B!K48/Inv_SY_B!$BY48-1,"")</f>
        <v/>
      </c>
      <c r="L48" s="184" t="str">
        <f>IFERROR(Inv_SY_B!L48/Inv_SY_B!$BY48-1,"")</f>
        <v/>
      </c>
      <c r="M48" s="184" t="str">
        <f>IFERROR(Inv_SY_B!M48/Inv_SY_B!$BY48-1,"")</f>
        <v/>
      </c>
      <c r="N48" s="184" t="str">
        <f>IFERROR(Inv_SY_B!N48/Inv_SY_B!$BY48-1,"")</f>
        <v/>
      </c>
      <c r="O48" s="184" t="str">
        <f>IFERROR(Inv_SY_B!O48/Inv_SY_B!$BY48-1,"")</f>
        <v/>
      </c>
      <c r="P48" s="184" t="str">
        <f>IFERROR(Inv_SY_B!P48/Inv_SY_B!$BY48-1,"")</f>
        <v/>
      </c>
      <c r="Q48" s="184" t="str">
        <f>IFERROR(Inv_SY_B!Q48/Inv_SY_B!$BY48-1,"")</f>
        <v/>
      </c>
      <c r="R48" s="184" t="str">
        <f>IFERROR(Inv_SY_B!R48/Inv_SY_B!$BY48-1,"")</f>
        <v/>
      </c>
      <c r="S48" s="184" t="str">
        <f>IFERROR(Inv_SY_B!S48/Inv_SY_B!$BY48-1,"")</f>
        <v/>
      </c>
      <c r="T48" s="184" t="str">
        <f>IFERROR(Inv_SY_B!T48/Inv_SY_B!$BY48-1,"")</f>
        <v/>
      </c>
      <c r="U48" s="184" t="str">
        <f>IFERROR(Inv_SY_B!U48/Inv_SY_B!$BY48-1,"")</f>
        <v/>
      </c>
      <c r="V48" s="184" t="str">
        <f>IFERROR(Inv_SY_B!V48/Inv_SY_B!$BY48-1,"")</f>
        <v/>
      </c>
      <c r="W48" s="184" t="str">
        <f>IFERROR(Inv_SY_B!W48/Inv_SY_B!$BY48-1,"")</f>
        <v/>
      </c>
      <c r="X48" s="184" t="str">
        <f>IFERROR(Inv_SY_B!X48/Inv_SY_B!$BY48-1,"")</f>
        <v/>
      </c>
      <c r="Y48" s="184" t="str">
        <f>IFERROR(Inv_SY_B!Y48/Inv_SY_B!$BY48-1,"")</f>
        <v/>
      </c>
      <c r="Z48" s="184" t="str">
        <f>IFERROR(Inv_SY_B!Z48/Inv_SY_B!$BY48-1,"")</f>
        <v/>
      </c>
      <c r="AA48" s="184" t="str">
        <f>IFERROR(Inv_SY_B!AA48/Inv_SY_B!$BY48-1,"")</f>
        <v/>
      </c>
      <c r="AB48" s="184" t="str">
        <f>IFERROR(Inv_SY_B!AB48/Inv_SY_B!$BY48-1,"")</f>
        <v/>
      </c>
      <c r="AC48" s="184" t="str">
        <f>IFERROR(Inv_SY_B!AC48/Inv_SY_B!$BY48-1,"")</f>
        <v/>
      </c>
      <c r="AD48" s="184" t="str">
        <f>IFERROR(Inv_SY_B!AD48/Inv_SY_B!$BY48-1,"")</f>
        <v/>
      </c>
      <c r="AE48" s="184" t="str">
        <f>IFERROR(Inv_SY_B!AE48/Inv_SY_B!$BY48-1,"")</f>
        <v/>
      </c>
      <c r="AF48" s="184" t="str">
        <f>IFERROR(Inv_SY_B!AF48/Inv_SY_B!$BY48-1,"")</f>
        <v/>
      </c>
      <c r="AG48" s="184" t="str">
        <f>IFERROR(Inv_SY_B!AG48/Inv_SY_B!$BY48-1,"")</f>
        <v/>
      </c>
      <c r="AH48" s="184" t="str">
        <f>IFERROR(Inv_SY_B!AH48/Inv_SY_B!$BY48-1,"")</f>
        <v/>
      </c>
      <c r="AI48" s="184" t="str">
        <f>IFERROR(Inv_SY_B!AI48/Inv_SY_B!$BY48-1,"")</f>
        <v/>
      </c>
      <c r="AJ48" s="184" t="str">
        <f>IFERROR(Inv_SY_B!AJ48/Inv_SY_B!$BY48-1,"")</f>
        <v/>
      </c>
      <c r="AK48" s="184" t="str">
        <f>IFERROR(Inv_SY_B!AK48/Inv_SY_B!$BY48-1,"")</f>
        <v/>
      </c>
      <c r="AL48" s="184" t="str">
        <f>IFERROR(Inv_SY_B!AL48/Inv_SY_B!$BY48-1,"")</f>
        <v/>
      </c>
      <c r="AM48" s="184" t="str">
        <f>IFERROR(Inv_SY_B!AM48/Inv_SY_B!$BY48-1,"")</f>
        <v/>
      </c>
      <c r="AN48" s="184" t="str">
        <f>IFERROR(Inv_SY_B!AN48/Inv_SY_B!$BY48-1,"")</f>
        <v/>
      </c>
      <c r="AO48" s="184" t="str">
        <f>IFERROR(Inv_SY_B!AO48/Inv_SY_B!$BY48-1,"")</f>
        <v/>
      </c>
      <c r="AP48" s="184" t="str">
        <f>IFERROR(Inv_SY_B!AP48/Inv_SY_B!$BY48-1,"")</f>
        <v/>
      </c>
      <c r="AQ48" s="184" t="str">
        <f>IFERROR(Inv_SY_B!AQ48/Inv_SY_B!$BY48-1,"")</f>
        <v/>
      </c>
      <c r="AR48" s="184" t="str">
        <f>IFERROR(Inv_SY_B!AR48/Inv_SY_B!$BY48-1,"")</f>
        <v/>
      </c>
      <c r="AS48" s="184" t="str">
        <f>IFERROR(Inv_SY_B!AS48/Inv_SY_B!$BY48-1,"")</f>
        <v/>
      </c>
      <c r="AT48" s="184" t="str">
        <f>IFERROR(Inv_SY_B!AT48/Inv_SY_B!$BY48-1,"")</f>
        <v/>
      </c>
      <c r="AU48" s="184" t="str">
        <f>IFERROR(Inv_SY_B!AU48/Inv_SY_B!$BY48-1,"")</f>
        <v/>
      </c>
      <c r="AV48" s="184" t="str">
        <f>IFERROR(Inv_SY_B!AV48/Inv_SY_B!$BY48-1,"")</f>
        <v/>
      </c>
      <c r="AW48" s="184" t="str">
        <f>IFERROR(Inv_SY_B!AW48/Inv_SY_B!$BY48-1,"")</f>
        <v/>
      </c>
      <c r="AX48" s="184" t="str">
        <f>IFERROR(Inv_SY_B!AX48/Inv_SY_B!$BY48-1,"")</f>
        <v/>
      </c>
      <c r="AY48" s="184" t="str">
        <f>IFERROR(Inv_SY_B!AY48/Inv_SY_B!$BY48-1,"")</f>
        <v/>
      </c>
      <c r="AZ48" s="184" t="str">
        <f>IFERROR(Inv_SY_B!AZ48/Inv_SY_B!$BY48-1,"")</f>
        <v/>
      </c>
      <c r="BA48" s="184" t="str">
        <f>IFERROR(Inv_SY_B!BA48/Inv_SY_B!$BY48-1,"")</f>
        <v/>
      </c>
      <c r="BB48" s="184" t="str">
        <f>IFERROR(Inv_SY_B!BB48/Inv_SY_B!$BY48-1,"")</f>
        <v/>
      </c>
      <c r="BC48" s="184" t="str">
        <f>IFERROR(Inv_SY_B!BC48/Inv_SY_B!$BY48-1,"")</f>
        <v/>
      </c>
      <c r="BD48" s="184" t="str">
        <f>IFERROR(Inv_SY_B!BD48/Inv_SY_B!$BY48-1,"")</f>
        <v/>
      </c>
      <c r="BE48" s="184" t="str">
        <f>IFERROR(Inv_SY_B!BE48/Inv_SY_B!$BY48-1,"")</f>
        <v/>
      </c>
      <c r="BF48" s="184" t="str">
        <f>IFERROR(Inv_SY_B!BF48/Inv_SY_B!$BY48-1,"")</f>
        <v/>
      </c>
      <c r="BG48" s="184" t="str">
        <f>IFERROR(Inv_SY_B!BG48/Inv_SY_B!$BY48-1,"")</f>
        <v/>
      </c>
      <c r="BH48" s="184" t="str">
        <f>IFERROR(Inv_SY_B!BH48/Inv_SY_B!$BY48-1,"")</f>
        <v/>
      </c>
      <c r="BI48" s="184" t="str">
        <f>IFERROR(Inv_SY_B!BI48/Inv_SY_B!$BY48-1,"")</f>
        <v/>
      </c>
      <c r="BJ48" s="184" t="str">
        <f>IFERROR(Inv_SY_B!BJ48/Inv_SY_B!$BY48-1,"")</f>
        <v/>
      </c>
      <c r="BK48" s="184" t="str">
        <f>IFERROR(Inv_SY_B!BK48/Inv_SY_B!$BY48-1,"")</f>
        <v/>
      </c>
      <c r="BL48" s="184" t="str">
        <f>IFERROR(Inv_SY_B!BL48/Inv_SY_B!$BY48-1,"")</f>
        <v/>
      </c>
      <c r="BM48" s="184" t="str">
        <f>IFERROR(Inv_SY_B!BM48/Inv_SY_B!$BY48-1,"")</f>
        <v/>
      </c>
      <c r="BN48" s="184" t="str">
        <f>IFERROR(Inv_SY_B!BN48/Inv_SY_B!$BY48-1,"")</f>
        <v/>
      </c>
      <c r="BO48" s="184" t="str">
        <f>IFERROR(Inv_SY_B!BO48/Inv_SY_B!$BY48-1,"")</f>
        <v/>
      </c>
      <c r="BP48" s="184" t="str">
        <f>IFERROR(Inv_SY_B!BP48/Inv_SY_B!$BY48-1,"")</f>
        <v/>
      </c>
      <c r="BQ48" s="184" t="str">
        <f>IFERROR(Inv_SY_B!BQ48/Inv_SY_B!$BY48-1,"")</f>
        <v/>
      </c>
      <c r="BR48" s="184" t="str">
        <f>IFERROR(Inv_SY_B!BR48/Inv_SY_B!$BY48-1,"")</f>
        <v/>
      </c>
      <c r="BS48" s="184" t="str">
        <f>IFERROR(Inv_SY_B!BS48/Inv_SY_B!$BY48-1,"")</f>
        <v/>
      </c>
      <c r="BT48" s="184" t="str">
        <f>IFERROR(Inv_SY_B!BT48/Inv_SY_B!$BY48-1,"")</f>
        <v/>
      </c>
      <c r="BU48" s="184" t="str">
        <f>IFERROR(Inv_SY_B!BU48/Inv_SY_B!$BY48-1,"")</f>
        <v/>
      </c>
      <c r="BV48" s="184" t="str">
        <f>IFERROR(Inv_SY_B!BV48/Inv_SY_B!$BY48-1,"")</f>
        <v/>
      </c>
      <c r="BW48" s="184" t="str">
        <f>IFERROR(Inv_SY_B!BW48/Inv_SY_B!$BY48-1,"")</f>
        <v/>
      </c>
      <c r="BX48" s="184" t="str">
        <f>IFERROR(Inv_SY_B!BX48/Inv_SY_B!$BY48-1,"")</f>
        <v/>
      </c>
    </row>
    <row r="49" spans="2:76">
      <c r="B49" s="179">
        <f t="shared" si="2"/>
        <v>45867</v>
      </c>
      <c r="C49" s="184" t="str">
        <f>IFERROR(Inv_SY_B!C49/Inv_SY_B!$BY49-1,"")</f>
        <v/>
      </c>
      <c r="D49" s="184" t="str">
        <f>IFERROR(Inv_SY_B!D49/Inv_SY_B!$BY49-1,"")</f>
        <v/>
      </c>
      <c r="E49" s="184" t="str">
        <f>IFERROR(Inv_SY_B!E49/Inv_SY_B!$BY49-1,"")</f>
        <v/>
      </c>
      <c r="F49" s="184" t="str">
        <f>IFERROR(Inv_SY_B!F49/Inv_SY_B!$BY49-1,"")</f>
        <v/>
      </c>
      <c r="G49" s="184" t="str">
        <f>IFERROR(Inv_SY_B!G49/Inv_SY_B!$BY49-1,"")</f>
        <v/>
      </c>
      <c r="H49" s="184" t="str">
        <f>IFERROR(Inv_SY_B!H49/Inv_SY_B!$BY49-1,"")</f>
        <v/>
      </c>
      <c r="I49" s="184" t="str">
        <f>IFERROR(Inv_SY_B!I49/Inv_SY_B!$BY49-1,"")</f>
        <v/>
      </c>
      <c r="J49" s="184" t="str">
        <f>IFERROR(Inv_SY_B!J49/Inv_SY_B!$BY49-1,"")</f>
        <v/>
      </c>
      <c r="K49" s="184" t="str">
        <f>IFERROR(Inv_SY_B!K49/Inv_SY_B!$BY49-1,"")</f>
        <v/>
      </c>
      <c r="L49" s="184" t="str">
        <f>IFERROR(Inv_SY_B!L49/Inv_SY_B!$BY49-1,"")</f>
        <v/>
      </c>
      <c r="M49" s="184" t="str">
        <f>IFERROR(Inv_SY_B!M49/Inv_SY_B!$BY49-1,"")</f>
        <v/>
      </c>
      <c r="N49" s="184" t="str">
        <f>IFERROR(Inv_SY_B!N49/Inv_SY_B!$BY49-1,"")</f>
        <v/>
      </c>
      <c r="O49" s="184" t="str">
        <f>IFERROR(Inv_SY_B!O49/Inv_SY_B!$BY49-1,"")</f>
        <v/>
      </c>
      <c r="P49" s="184" t="str">
        <f>IFERROR(Inv_SY_B!P49/Inv_SY_B!$BY49-1,"")</f>
        <v/>
      </c>
      <c r="Q49" s="184" t="str">
        <f>IFERROR(Inv_SY_B!Q49/Inv_SY_B!$BY49-1,"")</f>
        <v/>
      </c>
      <c r="R49" s="184" t="str">
        <f>IFERROR(Inv_SY_B!R49/Inv_SY_B!$BY49-1,"")</f>
        <v/>
      </c>
      <c r="S49" s="184" t="str">
        <f>IFERROR(Inv_SY_B!S49/Inv_SY_B!$BY49-1,"")</f>
        <v/>
      </c>
      <c r="T49" s="184" t="str">
        <f>IFERROR(Inv_SY_B!T49/Inv_SY_B!$BY49-1,"")</f>
        <v/>
      </c>
      <c r="U49" s="184" t="str">
        <f>IFERROR(Inv_SY_B!U49/Inv_SY_B!$BY49-1,"")</f>
        <v/>
      </c>
      <c r="V49" s="184" t="str">
        <f>IFERROR(Inv_SY_B!V49/Inv_SY_B!$BY49-1,"")</f>
        <v/>
      </c>
      <c r="W49" s="184" t="str">
        <f>IFERROR(Inv_SY_B!W49/Inv_SY_B!$BY49-1,"")</f>
        <v/>
      </c>
      <c r="X49" s="184" t="str">
        <f>IFERROR(Inv_SY_B!X49/Inv_SY_B!$BY49-1,"")</f>
        <v/>
      </c>
      <c r="Y49" s="184" t="str">
        <f>IFERROR(Inv_SY_B!Y49/Inv_SY_B!$BY49-1,"")</f>
        <v/>
      </c>
      <c r="Z49" s="184" t="str">
        <f>IFERROR(Inv_SY_B!Z49/Inv_SY_B!$BY49-1,"")</f>
        <v/>
      </c>
      <c r="AA49" s="184" t="str">
        <f>IFERROR(Inv_SY_B!AA49/Inv_SY_B!$BY49-1,"")</f>
        <v/>
      </c>
      <c r="AB49" s="184" t="str">
        <f>IFERROR(Inv_SY_B!AB49/Inv_SY_B!$BY49-1,"")</f>
        <v/>
      </c>
      <c r="AC49" s="184" t="str">
        <f>IFERROR(Inv_SY_B!AC49/Inv_SY_B!$BY49-1,"")</f>
        <v/>
      </c>
      <c r="AD49" s="184" t="str">
        <f>IFERROR(Inv_SY_B!AD49/Inv_SY_B!$BY49-1,"")</f>
        <v/>
      </c>
      <c r="AE49" s="184" t="str">
        <f>IFERROR(Inv_SY_B!AE49/Inv_SY_B!$BY49-1,"")</f>
        <v/>
      </c>
      <c r="AF49" s="184" t="str">
        <f>IFERROR(Inv_SY_B!AF49/Inv_SY_B!$BY49-1,"")</f>
        <v/>
      </c>
      <c r="AG49" s="184" t="str">
        <f>IFERROR(Inv_SY_B!AG49/Inv_SY_B!$BY49-1,"")</f>
        <v/>
      </c>
      <c r="AH49" s="184" t="str">
        <f>IFERROR(Inv_SY_B!AH49/Inv_SY_B!$BY49-1,"")</f>
        <v/>
      </c>
      <c r="AI49" s="184" t="str">
        <f>IFERROR(Inv_SY_B!AI49/Inv_SY_B!$BY49-1,"")</f>
        <v/>
      </c>
      <c r="AJ49" s="184" t="str">
        <f>IFERROR(Inv_SY_B!AJ49/Inv_SY_B!$BY49-1,"")</f>
        <v/>
      </c>
      <c r="AK49" s="184" t="str">
        <f>IFERROR(Inv_SY_B!AK49/Inv_SY_B!$BY49-1,"")</f>
        <v/>
      </c>
      <c r="AL49" s="184" t="str">
        <f>IFERROR(Inv_SY_B!AL49/Inv_SY_B!$BY49-1,"")</f>
        <v/>
      </c>
      <c r="AM49" s="184" t="str">
        <f>IFERROR(Inv_SY_B!AM49/Inv_SY_B!$BY49-1,"")</f>
        <v/>
      </c>
      <c r="AN49" s="184" t="str">
        <f>IFERROR(Inv_SY_B!AN49/Inv_SY_B!$BY49-1,"")</f>
        <v/>
      </c>
      <c r="AO49" s="184" t="str">
        <f>IFERROR(Inv_SY_B!AO49/Inv_SY_B!$BY49-1,"")</f>
        <v/>
      </c>
      <c r="AP49" s="184" t="str">
        <f>IFERROR(Inv_SY_B!AP49/Inv_SY_B!$BY49-1,"")</f>
        <v/>
      </c>
      <c r="AQ49" s="184" t="str">
        <f>IFERROR(Inv_SY_B!AQ49/Inv_SY_B!$BY49-1,"")</f>
        <v/>
      </c>
      <c r="AR49" s="184" t="str">
        <f>IFERROR(Inv_SY_B!AR49/Inv_SY_B!$BY49-1,"")</f>
        <v/>
      </c>
      <c r="AS49" s="184" t="str">
        <f>IFERROR(Inv_SY_B!AS49/Inv_SY_B!$BY49-1,"")</f>
        <v/>
      </c>
      <c r="AT49" s="184" t="str">
        <f>IFERROR(Inv_SY_B!AT49/Inv_SY_B!$BY49-1,"")</f>
        <v/>
      </c>
      <c r="AU49" s="184" t="str">
        <f>IFERROR(Inv_SY_B!AU49/Inv_SY_B!$BY49-1,"")</f>
        <v/>
      </c>
      <c r="AV49" s="184" t="str">
        <f>IFERROR(Inv_SY_B!AV49/Inv_SY_B!$BY49-1,"")</f>
        <v/>
      </c>
      <c r="AW49" s="184" t="str">
        <f>IFERROR(Inv_SY_B!AW49/Inv_SY_B!$BY49-1,"")</f>
        <v/>
      </c>
      <c r="AX49" s="184" t="str">
        <f>IFERROR(Inv_SY_B!AX49/Inv_SY_B!$BY49-1,"")</f>
        <v/>
      </c>
      <c r="AY49" s="184" t="str">
        <f>IFERROR(Inv_SY_B!AY49/Inv_SY_B!$BY49-1,"")</f>
        <v/>
      </c>
      <c r="AZ49" s="184" t="str">
        <f>IFERROR(Inv_SY_B!AZ49/Inv_SY_B!$BY49-1,"")</f>
        <v/>
      </c>
      <c r="BA49" s="184" t="str">
        <f>IFERROR(Inv_SY_B!BA49/Inv_SY_B!$BY49-1,"")</f>
        <v/>
      </c>
      <c r="BB49" s="184" t="str">
        <f>IFERROR(Inv_SY_B!BB49/Inv_SY_B!$BY49-1,"")</f>
        <v/>
      </c>
      <c r="BC49" s="184" t="str">
        <f>IFERROR(Inv_SY_B!BC49/Inv_SY_B!$BY49-1,"")</f>
        <v/>
      </c>
      <c r="BD49" s="184" t="str">
        <f>IFERROR(Inv_SY_B!BD49/Inv_SY_B!$BY49-1,"")</f>
        <v/>
      </c>
      <c r="BE49" s="184" t="str">
        <f>IFERROR(Inv_SY_B!BE49/Inv_SY_B!$BY49-1,"")</f>
        <v/>
      </c>
      <c r="BF49" s="184" t="str">
        <f>IFERROR(Inv_SY_B!BF49/Inv_SY_B!$BY49-1,"")</f>
        <v/>
      </c>
      <c r="BG49" s="184" t="str">
        <f>IFERROR(Inv_SY_B!BG49/Inv_SY_B!$BY49-1,"")</f>
        <v/>
      </c>
      <c r="BH49" s="184" t="str">
        <f>IFERROR(Inv_SY_B!BH49/Inv_SY_B!$BY49-1,"")</f>
        <v/>
      </c>
      <c r="BI49" s="184" t="str">
        <f>IFERROR(Inv_SY_B!BI49/Inv_SY_B!$BY49-1,"")</f>
        <v/>
      </c>
      <c r="BJ49" s="184" t="str">
        <f>IFERROR(Inv_SY_B!BJ49/Inv_SY_B!$BY49-1,"")</f>
        <v/>
      </c>
      <c r="BK49" s="184" t="str">
        <f>IFERROR(Inv_SY_B!BK49/Inv_SY_B!$BY49-1,"")</f>
        <v/>
      </c>
      <c r="BL49" s="184" t="str">
        <f>IFERROR(Inv_SY_B!BL49/Inv_SY_B!$BY49-1,"")</f>
        <v/>
      </c>
      <c r="BM49" s="184" t="str">
        <f>IFERROR(Inv_SY_B!BM49/Inv_SY_B!$BY49-1,"")</f>
        <v/>
      </c>
      <c r="BN49" s="184" t="str">
        <f>IFERROR(Inv_SY_B!BN49/Inv_SY_B!$BY49-1,"")</f>
        <v/>
      </c>
      <c r="BO49" s="184" t="str">
        <f>IFERROR(Inv_SY_B!BO49/Inv_SY_B!$BY49-1,"")</f>
        <v/>
      </c>
      <c r="BP49" s="184" t="str">
        <f>IFERROR(Inv_SY_B!BP49/Inv_SY_B!$BY49-1,"")</f>
        <v/>
      </c>
      <c r="BQ49" s="184" t="str">
        <f>IFERROR(Inv_SY_B!BQ49/Inv_SY_B!$BY49-1,"")</f>
        <v/>
      </c>
      <c r="BR49" s="184" t="str">
        <f>IFERROR(Inv_SY_B!BR49/Inv_SY_B!$BY49-1,"")</f>
        <v/>
      </c>
      <c r="BS49" s="184" t="str">
        <f>IFERROR(Inv_SY_B!BS49/Inv_SY_B!$BY49-1,"")</f>
        <v/>
      </c>
      <c r="BT49" s="184" t="str">
        <f>IFERROR(Inv_SY_B!BT49/Inv_SY_B!$BY49-1,"")</f>
        <v/>
      </c>
      <c r="BU49" s="184" t="str">
        <f>IFERROR(Inv_SY_B!BU49/Inv_SY_B!$BY49-1,"")</f>
        <v/>
      </c>
      <c r="BV49" s="184" t="str">
        <f>IFERROR(Inv_SY_B!BV49/Inv_SY_B!$BY49-1,"")</f>
        <v/>
      </c>
      <c r="BW49" s="184" t="str">
        <f>IFERROR(Inv_SY_B!BW49/Inv_SY_B!$BY49-1,"")</f>
        <v/>
      </c>
      <c r="BX49" s="184" t="str">
        <f>IFERROR(Inv_SY_B!BX49/Inv_SY_B!$BY49-1,"")</f>
        <v/>
      </c>
    </row>
    <row r="50" spans="2:76">
      <c r="B50" s="179">
        <f t="shared" si="2"/>
        <v>45868</v>
      </c>
      <c r="C50" s="184" t="str">
        <f>IFERROR(Inv_SY_B!C50/Inv_SY_B!$BY50-1,"")</f>
        <v/>
      </c>
      <c r="D50" s="184" t="str">
        <f>IFERROR(Inv_SY_B!D50/Inv_SY_B!$BY50-1,"")</f>
        <v/>
      </c>
      <c r="E50" s="184" t="str">
        <f>IFERROR(Inv_SY_B!E50/Inv_SY_B!$BY50-1,"")</f>
        <v/>
      </c>
      <c r="F50" s="184" t="str">
        <f>IFERROR(Inv_SY_B!F50/Inv_SY_B!$BY50-1,"")</f>
        <v/>
      </c>
      <c r="G50" s="184" t="str">
        <f>IFERROR(Inv_SY_B!G50/Inv_SY_B!$BY50-1,"")</f>
        <v/>
      </c>
      <c r="H50" s="184" t="str">
        <f>IFERROR(Inv_SY_B!H50/Inv_SY_B!$BY50-1,"")</f>
        <v/>
      </c>
      <c r="I50" s="184" t="str">
        <f>IFERROR(Inv_SY_B!I50/Inv_SY_B!$BY50-1,"")</f>
        <v/>
      </c>
      <c r="J50" s="184" t="str">
        <f>IFERROR(Inv_SY_B!J50/Inv_SY_B!$BY50-1,"")</f>
        <v/>
      </c>
      <c r="K50" s="184" t="str">
        <f>IFERROR(Inv_SY_B!K50/Inv_SY_B!$BY50-1,"")</f>
        <v/>
      </c>
      <c r="L50" s="184" t="str">
        <f>IFERROR(Inv_SY_B!L50/Inv_SY_B!$BY50-1,"")</f>
        <v/>
      </c>
      <c r="M50" s="184" t="str">
        <f>IFERROR(Inv_SY_B!M50/Inv_SY_B!$BY50-1,"")</f>
        <v/>
      </c>
      <c r="N50" s="184" t="str">
        <f>IFERROR(Inv_SY_B!N50/Inv_SY_B!$BY50-1,"")</f>
        <v/>
      </c>
      <c r="O50" s="184" t="str">
        <f>IFERROR(Inv_SY_B!O50/Inv_SY_B!$BY50-1,"")</f>
        <v/>
      </c>
      <c r="P50" s="184" t="str">
        <f>IFERROR(Inv_SY_B!P50/Inv_SY_B!$BY50-1,"")</f>
        <v/>
      </c>
      <c r="Q50" s="184" t="str">
        <f>IFERROR(Inv_SY_B!Q50/Inv_SY_B!$BY50-1,"")</f>
        <v/>
      </c>
      <c r="R50" s="184" t="str">
        <f>IFERROR(Inv_SY_B!R50/Inv_SY_B!$BY50-1,"")</f>
        <v/>
      </c>
      <c r="S50" s="184" t="str">
        <f>IFERROR(Inv_SY_B!S50/Inv_SY_B!$BY50-1,"")</f>
        <v/>
      </c>
      <c r="T50" s="184" t="str">
        <f>IFERROR(Inv_SY_B!T50/Inv_SY_B!$BY50-1,"")</f>
        <v/>
      </c>
      <c r="U50" s="184" t="str">
        <f>IFERROR(Inv_SY_B!U50/Inv_SY_B!$BY50-1,"")</f>
        <v/>
      </c>
      <c r="V50" s="184" t="str">
        <f>IFERROR(Inv_SY_B!V50/Inv_SY_B!$BY50-1,"")</f>
        <v/>
      </c>
      <c r="W50" s="184" t="str">
        <f>IFERROR(Inv_SY_B!W50/Inv_SY_B!$BY50-1,"")</f>
        <v/>
      </c>
      <c r="X50" s="184" t="str">
        <f>IFERROR(Inv_SY_B!X50/Inv_SY_B!$BY50-1,"")</f>
        <v/>
      </c>
      <c r="Y50" s="184" t="str">
        <f>IFERROR(Inv_SY_B!Y50/Inv_SY_B!$BY50-1,"")</f>
        <v/>
      </c>
      <c r="Z50" s="184" t="str">
        <f>IFERROR(Inv_SY_B!Z50/Inv_SY_B!$BY50-1,"")</f>
        <v/>
      </c>
      <c r="AA50" s="184" t="str">
        <f>IFERROR(Inv_SY_B!AA50/Inv_SY_B!$BY50-1,"")</f>
        <v/>
      </c>
      <c r="AB50" s="184" t="str">
        <f>IFERROR(Inv_SY_B!AB50/Inv_SY_B!$BY50-1,"")</f>
        <v/>
      </c>
      <c r="AC50" s="184" t="str">
        <f>IFERROR(Inv_SY_B!AC50/Inv_SY_B!$BY50-1,"")</f>
        <v/>
      </c>
      <c r="AD50" s="184" t="str">
        <f>IFERROR(Inv_SY_B!AD50/Inv_SY_B!$BY50-1,"")</f>
        <v/>
      </c>
      <c r="AE50" s="184" t="str">
        <f>IFERROR(Inv_SY_B!AE50/Inv_SY_B!$BY50-1,"")</f>
        <v/>
      </c>
      <c r="AF50" s="184" t="str">
        <f>IFERROR(Inv_SY_B!AF50/Inv_SY_B!$BY50-1,"")</f>
        <v/>
      </c>
      <c r="AG50" s="184" t="str">
        <f>IFERROR(Inv_SY_B!AG50/Inv_SY_B!$BY50-1,"")</f>
        <v/>
      </c>
      <c r="AH50" s="184" t="str">
        <f>IFERROR(Inv_SY_B!AH50/Inv_SY_B!$BY50-1,"")</f>
        <v/>
      </c>
      <c r="AI50" s="184" t="str">
        <f>IFERROR(Inv_SY_B!AI50/Inv_SY_B!$BY50-1,"")</f>
        <v/>
      </c>
      <c r="AJ50" s="184" t="str">
        <f>IFERROR(Inv_SY_B!AJ50/Inv_SY_B!$BY50-1,"")</f>
        <v/>
      </c>
      <c r="AK50" s="184" t="str">
        <f>IFERROR(Inv_SY_B!AK50/Inv_SY_B!$BY50-1,"")</f>
        <v/>
      </c>
      <c r="AL50" s="184" t="str">
        <f>IFERROR(Inv_SY_B!AL50/Inv_SY_B!$BY50-1,"")</f>
        <v/>
      </c>
      <c r="AM50" s="184" t="str">
        <f>IFERROR(Inv_SY_B!AM50/Inv_SY_B!$BY50-1,"")</f>
        <v/>
      </c>
      <c r="AN50" s="184" t="str">
        <f>IFERROR(Inv_SY_B!AN50/Inv_SY_B!$BY50-1,"")</f>
        <v/>
      </c>
      <c r="AO50" s="184" t="str">
        <f>IFERROR(Inv_SY_B!AO50/Inv_SY_B!$BY50-1,"")</f>
        <v/>
      </c>
      <c r="AP50" s="184" t="str">
        <f>IFERROR(Inv_SY_B!AP50/Inv_SY_B!$BY50-1,"")</f>
        <v/>
      </c>
      <c r="AQ50" s="184" t="str">
        <f>IFERROR(Inv_SY_B!AQ50/Inv_SY_B!$BY50-1,"")</f>
        <v/>
      </c>
      <c r="AR50" s="184" t="str">
        <f>IFERROR(Inv_SY_B!AR50/Inv_SY_B!$BY50-1,"")</f>
        <v/>
      </c>
      <c r="AS50" s="184" t="str">
        <f>IFERROR(Inv_SY_B!AS50/Inv_SY_B!$BY50-1,"")</f>
        <v/>
      </c>
      <c r="AT50" s="184" t="str">
        <f>IFERROR(Inv_SY_B!AT50/Inv_SY_B!$BY50-1,"")</f>
        <v/>
      </c>
      <c r="AU50" s="184" t="str">
        <f>IFERROR(Inv_SY_B!AU50/Inv_SY_B!$BY50-1,"")</f>
        <v/>
      </c>
      <c r="AV50" s="184" t="str">
        <f>IFERROR(Inv_SY_B!AV50/Inv_SY_B!$BY50-1,"")</f>
        <v/>
      </c>
      <c r="AW50" s="184" t="str">
        <f>IFERROR(Inv_SY_B!AW50/Inv_SY_B!$BY50-1,"")</f>
        <v/>
      </c>
      <c r="AX50" s="184" t="str">
        <f>IFERROR(Inv_SY_B!AX50/Inv_SY_B!$BY50-1,"")</f>
        <v/>
      </c>
      <c r="AY50" s="184" t="str">
        <f>IFERROR(Inv_SY_B!AY50/Inv_SY_B!$BY50-1,"")</f>
        <v/>
      </c>
      <c r="AZ50" s="184" t="str">
        <f>IFERROR(Inv_SY_B!AZ50/Inv_SY_B!$BY50-1,"")</f>
        <v/>
      </c>
      <c r="BA50" s="184" t="str">
        <f>IFERROR(Inv_SY_B!BA50/Inv_SY_B!$BY50-1,"")</f>
        <v/>
      </c>
      <c r="BB50" s="184" t="str">
        <f>IFERROR(Inv_SY_B!BB50/Inv_SY_B!$BY50-1,"")</f>
        <v/>
      </c>
      <c r="BC50" s="184" t="str">
        <f>IFERROR(Inv_SY_B!BC50/Inv_SY_B!$BY50-1,"")</f>
        <v/>
      </c>
      <c r="BD50" s="184" t="str">
        <f>IFERROR(Inv_SY_B!BD50/Inv_SY_B!$BY50-1,"")</f>
        <v/>
      </c>
      <c r="BE50" s="184" t="str">
        <f>IFERROR(Inv_SY_B!BE50/Inv_SY_B!$BY50-1,"")</f>
        <v/>
      </c>
      <c r="BF50" s="184" t="str">
        <f>IFERROR(Inv_SY_B!BF50/Inv_SY_B!$BY50-1,"")</f>
        <v/>
      </c>
      <c r="BG50" s="184" t="str">
        <f>IFERROR(Inv_SY_B!BG50/Inv_SY_B!$BY50-1,"")</f>
        <v/>
      </c>
      <c r="BH50" s="184" t="str">
        <f>IFERROR(Inv_SY_B!BH50/Inv_SY_B!$BY50-1,"")</f>
        <v/>
      </c>
      <c r="BI50" s="184" t="str">
        <f>IFERROR(Inv_SY_B!BI50/Inv_SY_B!$BY50-1,"")</f>
        <v/>
      </c>
      <c r="BJ50" s="184" t="str">
        <f>IFERROR(Inv_SY_B!BJ50/Inv_SY_B!$BY50-1,"")</f>
        <v/>
      </c>
      <c r="BK50" s="184" t="str">
        <f>IFERROR(Inv_SY_B!BK50/Inv_SY_B!$BY50-1,"")</f>
        <v/>
      </c>
      <c r="BL50" s="184" t="str">
        <f>IFERROR(Inv_SY_B!BL50/Inv_SY_B!$BY50-1,"")</f>
        <v/>
      </c>
      <c r="BM50" s="184" t="str">
        <f>IFERROR(Inv_SY_B!BM50/Inv_SY_B!$BY50-1,"")</f>
        <v/>
      </c>
      <c r="BN50" s="184" t="str">
        <f>IFERROR(Inv_SY_B!BN50/Inv_SY_B!$BY50-1,"")</f>
        <v/>
      </c>
      <c r="BO50" s="184" t="str">
        <f>IFERROR(Inv_SY_B!BO50/Inv_SY_B!$BY50-1,"")</f>
        <v/>
      </c>
      <c r="BP50" s="184" t="str">
        <f>IFERROR(Inv_SY_B!BP50/Inv_SY_B!$BY50-1,"")</f>
        <v/>
      </c>
      <c r="BQ50" s="184" t="str">
        <f>IFERROR(Inv_SY_B!BQ50/Inv_SY_B!$BY50-1,"")</f>
        <v/>
      </c>
      <c r="BR50" s="184" t="str">
        <f>IFERROR(Inv_SY_B!BR50/Inv_SY_B!$BY50-1,"")</f>
        <v/>
      </c>
      <c r="BS50" s="184" t="str">
        <f>IFERROR(Inv_SY_B!BS50/Inv_SY_B!$BY50-1,"")</f>
        <v/>
      </c>
      <c r="BT50" s="184" t="str">
        <f>IFERROR(Inv_SY_B!BT50/Inv_SY_B!$BY50-1,"")</f>
        <v/>
      </c>
      <c r="BU50" s="184" t="str">
        <f>IFERROR(Inv_SY_B!BU50/Inv_SY_B!$BY50-1,"")</f>
        <v/>
      </c>
      <c r="BV50" s="184" t="str">
        <f>IFERROR(Inv_SY_B!BV50/Inv_SY_B!$BY50-1,"")</f>
        <v/>
      </c>
      <c r="BW50" s="184" t="str">
        <f>IFERROR(Inv_SY_B!BW50/Inv_SY_B!$BY50-1,"")</f>
        <v/>
      </c>
      <c r="BX50" s="184" t="str">
        <f>IFERROR(Inv_SY_B!BX50/Inv_SY_B!$BY50-1,"")</f>
        <v/>
      </c>
    </row>
    <row r="51" spans="2:76">
      <c r="B51" s="179">
        <f t="shared" si="2"/>
        <v>45869</v>
      </c>
      <c r="C51" s="184" t="str">
        <f>IFERROR(Inv_SY_B!C51/Inv_SY_B!$BY51-1,"")</f>
        <v/>
      </c>
      <c r="D51" s="184" t="str">
        <f>IFERROR(Inv_SY_B!D51/Inv_SY_B!$BY51-1,"")</f>
        <v/>
      </c>
      <c r="E51" s="184" t="str">
        <f>IFERROR(Inv_SY_B!E51/Inv_SY_B!$BY51-1,"")</f>
        <v/>
      </c>
      <c r="F51" s="184" t="str">
        <f>IFERROR(Inv_SY_B!F51/Inv_SY_B!$BY51-1,"")</f>
        <v/>
      </c>
      <c r="G51" s="184" t="str">
        <f>IFERROR(Inv_SY_B!G51/Inv_SY_B!$BY51-1,"")</f>
        <v/>
      </c>
      <c r="H51" s="184" t="str">
        <f>IFERROR(Inv_SY_B!H51/Inv_SY_B!$BY51-1,"")</f>
        <v/>
      </c>
      <c r="I51" s="184" t="str">
        <f>IFERROR(Inv_SY_B!I51/Inv_SY_B!$BY51-1,"")</f>
        <v/>
      </c>
      <c r="J51" s="184" t="str">
        <f>IFERROR(Inv_SY_B!J51/Inv_SY_B!$BY51-1,"")</f>
        <v/>
      </c>
      <c r="K51" s="184" t="str">
        <f>IFERROR(Inv_SY_B!K51/Inv_SY_B!$BY51-1,"")</f>
        <v/>
      </c>
      <c r="L51" s="184" t="str">
        <f>IFERROR(Inv_SY_B!L51/Inv_SY_B!$BY51-1,"")</f>
        <v/>
      </c>
      <c r="M51" s="184" t="str">
        <f>IFERROR(Inv_SY_B!M51/Inv_SY_B!$BY51-1,"")</f>
        <v/>
      </c>
      <c r="N51" s="184" t="str">
        <f>IFERROR(Inv_SY_B!N51/Inv_SY_B!$BY51-1,"")</f>
        <v/>
      </c>
      <c r="O51" s="184" t="str">
        <f>IFERROR(Inv_SY_B!O51/Inv_SY_B!$BY51-1,"")</f>
        <v/>
      </c>
      <c r="P51" s="184" t="str">
        <f>IFERROR(Inv_SY_B!P51/Inv_SY_B!$BY51-1,"")</f>
        <v/>
      </c>
      <c r="Q51" s="184" t="str">
        <f>IFERROR(Inv_SY_B!Q51/Inv_SY_B!$BY51-1,"")</f>
        <v/>
      </c>
      <c r="R51" s="184" t="str">
        <f>IFERROR(Inv_SY_B!R51/Inv_SY_B!$BY51-1,"")</f>
        <v/>
      </c>
      <c r="S51" s="184" t="str">
        <f>IFERROR(Inv_SY_B!S51/Inv_SY_B!$BY51-1,"")</f>
        <v/>
      </c>
      <c r="T51" s="184" t="str">
        <f>IFERROR(Inv_SY_B!T51/Inv_SY_B!$BY51-1,"")</f>
        <v/>
      </c>
      <c r="U51" s="184" t="str">
        <f>IFERROR(Inv_SY_B!U51/Inv_SY_B!$BY51-1,"")</f>
        <v/>
      </c>
      <c r="V51" s="184" t="str">
        <f>IFERROR(Inv_SY_B!V51/Inv_SY_B!$BY51-1,"")</f>
        <v/>
      </c>
      <c r="W51" s="184" t="str">
        <f>IFERROR(Inv_SY_B!W51/Inv_SY_B!$BY51-1,"")</f>
        <v/>
      </c>
      <c r="X51" s="184" t="str">
        <f>IFERROR(Inv_SY_B!X51/Inv_SY_B!$BY51-1,"")</f>
        <v/>
      </c>
      <c r="Y51" s="184" t="str">
        <f>IFERROR(Inv_SY_B!Y51/Inv_SY_B!$BY51-1,"")</f>
        <v/>
      </c>
      <c r="Z51" s="184" t="str">
        <f>IFERROR(Inv_SY_B!Z51/Inv_SY_B!$BY51-1,"")</f>
        <v/>
      </c>
      <c r="AA51" s="184" t="str">
        <f>IFERROR(Inv_SY_B!AA51/Inv_SY_B!$BY51-1,"")</f>
        <v/>
      </c>
      <c r="AB51" s="184" t="str">
        <f>IFERROR(Inv_SY_B!AB51/Inv_SY_B!$BY51-1,"")</f>
        <v/>
      </c>
      <c r="AC51" s="184" t="str">
        <f>IFERROR(Inv_SY_B!AC51/Inv_SY_B!$BY51-1,"")</f>
        <v/>
      </c>
      <c r="AD51" s="184" t="str">
        <f>IFERROR(Inv_SY_B!AD51/Inv_SY_B!$BY51-1,"")</f>
        <v/>
      </c>
      <c r="AE51" s="184" t="str">
        <f>IFERROR(Inv_SY_B!AE51/Inv_SY_B!$BY51-1,"")</f>
        <v/>
      </c>
      <c r="AF51" s="184" t="str">
        <f>IFERROR(Inv_SY_B!AF51/Inv_SY_B!$BY51-1,"")</f>
        <v/>
      </c>
      <c r="AG51" s="184" t="str">
        <f>IFERROR(Inv_SY_B!AG51/Inv_SY_B!$BY51-1,"")</f>
        <v/>
      </c>
      <c r="AH51" s="184" t="str">
        <f>IFERROR(Inv_SY_B!AH51/Inv_SY_B!$BY51-1,"")</f>
        <v/>
      </c>
      <c r="AI51" s="184" t="str">
        <f>IFERROR(Inv_SY_B!AI51/Inv_SY_B!$BY51-1,"")</f>
        <v/>
      </c>
      <c r="AJ51" s="184" t="str">
        <f>IFERROR(Inv_SY_B!AJ51/Inv_SY_B!$BY51-1,"")</f>
        <v/>
      </c>
      <c r="AK51" s="184" t="str">
        <f>IFERROR(Inv_SY_B!AK51/Inv_SY_B!$BY51-1,"")</f>
        <v/>
      </c>
      <c r="AL51" s="184" t="str">
        <f>IFERROR(Inv_SY_B!AL51/Inv_SY_B!$BY51-1,"")</f>
        <v/>
      </c>
      <c r="AM51" s="184" t="str">
        <f>IFERROR(Inv_SY_B!AM51/Inv_SY_B!$BY51-1,"")</f>
        <v/>
      </c>
      <c r="AN51" s="184" t="str">
        <f>IFERROR(Inv_SY_B!AN51/Inv_SY_B!$BY51-1,"")</f>
        <v/>
      </c>
      <c r="AO51" s="184" t="str">
        <f>IFERROR(Inv_SY_B!AO51/Inv_SY_B!$BY51-1,"")</f>
        <v/>
      </c>
      <c r="AP51" s="184" t="str">
        <f>IFERROR(Inv_SY_B!AP51/Inv_SY_B!$BY51-1,"")</f>
        <v/>
      </c>
      <c r="AQ51" s="184" t="str">
        <f>IFERROR(Inv_SY_B!AQ51/Inv_SY_B!$BY51-1,"")</f>
        <v/>
      </c>
      <c r="AR51" s="184" t="str">
        <f>IFERROR(Inv_SY_B!AR51/Inv_SY_B!$BY51-1,"")</f>
        <v/>
      </c>
      <c r="AS51" s="184" t="str">
        <f>IFERROR(Inv_SY_B!AS51/Inv_SY_B!$BY51-1,"")</f>
        <v/>
      </c>
      <c r="AT51" s="184" t="str">
        <f>IFERROR(Inv_SY_B!AT51/Inv_SY_B!$BY51-1,"")</f>
        <v/>
      </c>
      <c r="AU51" s="184" t="str">
        <f>IFERROR(Inv_SY_B!AU51/Inv_SY_B!$BY51-1,"")</f>
        <v/>
      </c>
      <c r="AV51" s="184" t="str">
        <f>IFERROR(Inv_SY_B!AV51/Inv_SY_B!$BY51-1,"")</f>
        <v/>
      </c>
      <c r="AW51" s="184" t="str">
        <f>IFERROR(Inv_SY_B!AW51/Inv_SY_B!$BY51-1,"")</f>
        <v/>
      </c>
      <c r="AX51" s="184" t="str">
        <f>IFERROR(Inv_SY_B!AX51/Inv_SY_B!$BY51-1,"")</f>
        <v/>
      </c>
      <c r="AY51" s="184" t="str">
        <f>IFERROR(Inv_SY_B!AY51/Inv_SY_B!$BY51-1,"")</f>
        <v/>
      </c>
      <c r="AZ51" s="184" t="str">
        <f>IFERROR(Inv_SY_B!AZ51/Inv_SY_B!$BY51-1,"")</f>
        <v/>
      </c>
      <c r="BA51" s="184" t="str">
        <f>IFERROR(Inv_SY_B!BA51/Inv_SY_B!$BY51-1,"")</f>
        <v/>
      </c>
      <c r="BB51" s="184" t="str">
        <f>IFERROR(Inv_SY_B!BB51/Inv_SY_B!$BY51-1,"")</f>
        <v/>
      </c>
      <c r="BC51" s="184" t="str">
        <f>IFERROR(Inv_SY_B!BC51/Inv_SY_B!$BY51-1,"")</f>
        <v/>
      </c>
      <c r="BD51" s="184" t="str">
        <f>IFERROR(Inv_SY_B!BD51/Inv_SY_B!$BY51-1,"")</f>
        <v/>
      </c>
      <c r="BE51" s="184" t="str">
        <f>IFERROR(Inv_SY_B!BE51/Inv_SY_B!$BY51-1,"")</f>
        <v/>
      </c>
      <c r="BF51" s="184" t="str">
        <f>IFERROR(Inv_SY_B!BF51/Inv_SY_B!$BY51-1,"")</f>
        <v/>
      </c>
      <c r="BG51" s="184" t="str">
        <f>IFERROR(Inv_SY_B!BG51/Inv_SY_B!$BY51-1,"")</f>
        <v/>
      </c>
      <c r="BH51" s="184" t="str">
        <f>IFERROR(Inv_SY_B!BH51/Inv_SY_B!$BY51-1,"")</f>
        <v/>
      </c>
      <c r="BI51" s="184" t="str">
        <f>IFERROR(Inv_SY_B!BI51/Inv_SY_B!$BY51-1,"")</f>
        <v/>
      </c>
      <c r="BJ51" s="184" t="str">
        <f>IFERROR(Inv_SY_B!BJ51/Inv_SY_B!$BY51-1,"")</f>
        <v/>
      </c>
      <c r="BK51" s="184" t="str">
        <f>IFERROR(Inv_SY_B!BK51/Inv_SY_B!$BY51-1,"")</f>
        <v/>
      </c>
      <c r="BL51" s="184" t="str">
        <f>IFERROR(Inv_SY_B!BL51/Inv_SY_B!$BY51-1,"")</f>
        <v/>
      </c>
      <c r="BM51" s="184" t="str">
        <f>IFERROR(Inv_SY_B!BM51/Inv_SY_B!$BY51-1,"")</f>
        <v/>
      </c>
      <c r="BN51" s="184" t="str">
        <f>IFERROR(Inv_SY_B!BN51/Inv_SY_B!$BY51-1,"")</f>
        <v/>
      </c>
      <c r="BO51" s="184" t="str">
        <f>IFERROR(Inv_SY_B!BO51/Inv_SY_B!$BY51-1,"")</f>
        <v/>
      </c>
      <c r="BP51" s="184" t="str">
        <f>IFERROR(Inv_SY_B!BP51/Inv_SY_B!$BY51-1,"")</f>
        <v/>
      </c>
      <c r="BQ51" s="184" t="str">
        <f>IFERROR(Inv_SY_B!BQ51/Inv_SY_B!$BY51-1,"")</f>
        <v/>
      </c>
      <c r="BR51" s="184" t="str">
        <f>IFERROR(Inv_SY_B!BR51/Inv_SY_B!$BY51-1,"")</f>
        <v/>
      </c>
      <c r="BS51" s="184" t="str">
        <f>IFERROR(Inv_SY_B!BS51/Inv_SY_B!$BY51-1,"")</f>
        <v/>
      </c>
      <c r="BT51" s="184" t="str">
        <f>IFERROR(Inv_SY_B!BT51/Inv_SY_B!$BY51-1,"")</f>
        <v/>
      </c>
      <c r="BU51" s="184" t="str">
        <f>IFERROR(Inv_SY_B!BU51/Inv_SY_B!$BY51-1,"")</f>
        <v/>
      </c>
      <c r="BV51" s="184" t="str">
        <f>IFERROR(Inv_SY_B!BV51/Inv_SY_B!$BY51-1,"")</f>
        <v/>
      </c>
      <c r="BW51" s="184" t="str">
        <f>IFERROR(Inv_SY_B!BW51/Inv_SY_B!$BY51-1,"")</f>
        <v/>
      </c>
      <c r="BX51" s="184" t="str">
        <f>IFERROR(Inv_SY_B!BX51/Inv_SY_B!$BY51-1,"")</f>
        <v/>
      </c>
    </row>
    <row r="52" spans="2:76">
      <c r="B52" s="179">
        <f t="shared" si="2"/>
        <v>45870</v>
      </c>
      <c r="C52" s="184" t="str">
        <f>IFERROR(Inv_SY_B!C52/Inv_SY_B!$BY52-1,"")</f>
        <v/>
      </c>
      <c r="D52" s="184" t="str">
        <f>IFERROR(Inv_SY_B!D52/Inv_SY_B!$BY52-1,"")</f>
        <v/>
      </c>
      <c r="E52" s="184" t="str">
        <f>IFERROR(Inv_SY_B!E52/Inv_SY_B!$BY52-1,"")</f>
        <v/>
      </c>
      <c r="F52" s="184" t="str">
        <f>IFERROR(Inv_SY_B!F52/Inv_SY_B!$BY52-1,"")</f>
        <v/>
      </c>
      <c r="G52" s="184" t="str">
        <f>IFERROR(Inv_SY_B!G52/Inv_SY_B!$BY52-1,"")</f>
        <v/>
      </c>
      <c r="H52" s="184" t="str">
        <f>IFERROR(Inv_SY_B!H52/Inv_SY_B!$BY52-1,"")</f>
        <v/>
      </c>
      <c r="I52" s="184" t="str">
        <f>IFERROR(Inv_SY_B!I52/Inv_SY_B!$BY52-1,"")</f>
        <v/>
      </c>
      <c r="J52" s="184" t="str">
        <f>IFERROR(Inv_SY_B!J52/Inv_SY_B!$BY52-1,"")</f>
        <v/>
      </c>
      <c r="K52" s="184" t="str">
        <f>IFERROR(Inv_SY_B!K52/Inv_SY_B!$BY52-1,"")</f>
        <v/>
      </c>
      <c r="L52" s="184" t="str">
        <f>IFERROR(Inv_SY_B!L52/Inv_SY_B!$BY52-1,"")</f>
        <v/>
      </c>
      <c r="M52" s="184" t="str">
        <f>IFERROR(Inv_SY_B!M52/Inv_SY_B!$BY52-1,"")</f>
        <v/>
      </c>
      <c r="N52" s="184" t="str">
        <f>IFERROR(Inv_SY_B!N52/Inv_SY_B!$BY52-1,"")</f>
        <v/>
      </c>
      <c r="O52" s="184" t="str">
        <f>IFERROR(Inv_SY_B!O52/Inv_SY_B!$BY52-1,"")</f>
        <v/>
      </c>
      <c r="P52" s="184" t="str">
        <f>IFERROR(Inv_SY_B!P52/Inv_SY_B!$BY52-1,"")</f>
        <v/>
      </c>
      <c r="Q52" s="184" t="str">
        <f>IFERROR(Inv_SY_B!Q52/Inv_SY_B!$BY52-1,"")</f>
        <v/>
      </c>
      <c r="R52" s="184" t="str">
        <f>IFERROR(Inv_SY_B!R52/Inv_SY_B!$BY52-1,"")</f>
        <v/>
      </c>
      <c r="S52" s="184" t="str">
        <f>IFERROR(Inv_SY_B!S52/Inv_SY_B!$BY52-1,"")</f>
        <v/>
      </c>
      <c r="T52" s="184" t="str">
        <f>IFERROR(Inv_SY_B!T52/Inv_SY_B!$BY52-1,"")</f>
        <v/>
      </c>
      <c r="U52" s="184" t="str">
        <f>IFERROR(Inv_SY_B!U52/Inv_SY_B!$BY52-1,"")</f>
        <v/>
      </c>
      <c r="V52" s="184" t="str">
        <f>IFERROR(Inv_SY_B!V52/Inv_SY_B!$BY52-1,"")</f>
        <v/>
      </c>
      <c r="W52" s="184" t="str">
        <f>IFERROR(Inv_SY_B!W52/Inv_SY_B!$BY52-1,"")</f>
        <v/>
      </c>
      <c r="X52" s="184" t="str">
        <f>IFERROR(Inv_SY_B!X52/Inv_SY_B!$BY52-1,"")</f>
        <v/>
      </c>
      <c r="Y52" s="184" t="str">
        <f>IFERROR(Inv_SY_B!Y52/Inv_SY_B!$BY52-1,"")</f>
        <v/>
      </c>
      <c r="Z52" s="184" t="str">
        <f>IFERROR(Inv_SY_B!Z52/Inv_SY_B!$BY52-1,"")</f>
        <v/>
      </c>
      <c r="AA52" s="184" t="str">
        <f>IFERROR(Inv_SY_B!AA52/Inv_SY_B!$BY52-1,"")</f>
        <v/>
      </c>
      <c r="AB52" s="184" t="str">
        <f>IFERROR(Inv_SY_B!AB52/Inv_SY_B!$BY52-1,"")</f>
        <v/>
      </c>
      <c r="AC52" s="184" t="str">
        <f>IFERROR(Inv_SY_B!AC52/Inv_SY_B!$BY52-1,"")</f>
        <v/>
      </c>
      <c r="AD52" s="184" t="str">
        <f>IFERROR(Inv_SY_B!AD52/Inv_SY_B!$BY52-1,"")</f>
        <v/>
      </c>
      <c r="AE52" s="184" t="str">
        <f>IFERROR(Inv_SY_B!AE52/Inv_SY_B!$BY52-1,"")</f>
        <v/>
      </c>
      <c r="AF52" s="184" t="str">
        <f>IFERROR(Inv_SY_B!AF52/Inv_SY_B!$BY52-1,"")</f>
        <v/>
      </c>
      <c r="AG52" s="184" t="str">
        <f>IFERROR(Inv_SY_B!AG52/Inv_SY_B!$BY52-1,"")</f>
        <v/>
      </c>
      <c r="AH52" s="184" t="str">
        <f>IFERROR(Inv_SY_B!AH52/Inv_SY_B!$BY52-1,"")</f>
        <v/>
      </c>
      <c r="AI52" s="184" t="str">
        <f>IFERROR(Inv_SY_B!AI52/Inv_SY_B!$BY52-1,"")</f>
        <v/>
      </c>
      <c r="AJ52" s="184" t="str">
        <f>IFERROR(Inv_SY_B!AJ52/Inv_SY_B!$BY52-1,"")</f>
        <v/>
      </c>
      <c r="AK52" s="184" t="str">
        <f>IFERROR(Inv_SY_B!AK52/Inv_SY_B!$BY52-1,"")</f>
        <v/>
      </c>
      <c r="AL52" s="184" t="str">
        <f>IFERROR(Inv_SY_B!AL52/Inv_SY_B!$BY52-1,"")</f>
        <v/>
      </c>
      <c r="AM52" s="184" t="str">
        <f>IFERROR(Inv_SY_B!AM52/Inv_SY_B!$BY52-1,"")</f>
        <v/>
      </c>
      <c r="AN52" s="184" t="str">
        <f>IFERROR(Inv_SY_B!AN52/Inv_SY_B!$BY52-1,"")</f>
        <v/>
      </c>
      <c r="AO52" s="184" t="str">
        <f>IFERROR(Inv_SY_B!AO52/Inv_SY_B!$BY52-1,"")</f>
        <v/>
      </c>
      <c r="AP52" s="184" t="str">
        <f>IFERROR(Inv_SY_B!AP52/Inv_SY_B!$BY52-1,"")</f>
        <v/>
      </c>
      <c r="AQ52" s="184" t="str">
        <f>IFERROR(Inv_SY_B!AQ52/Inv_SY_B!$BY52-1,"")</f>
        <v/>
      </c>
      <c r="AR52" s="184" t="str">
        <f>IFERROR(Inv_SY_B!AR52/Inv_SY_B!$BY52-1,"")</f>
        <v/>
      </c>
      <c r="AS52" s="184" t="str">
        <f>IFERROR(Inv_SY_B!AS52/Inv_SY_B!$BY52-1,"")</f>
        <v/>
      </c>
      <c r="AT52" s="184" t="str">
        <f>IFERROR(Inv_SY_B!AT52/Inv_SY_B!$BY52-1,"")</f>
        <v/>
      </c>
      <c r="AU52" s="184" t="str">
        <f>IFERROR(Inv_SY_B!AU52/Inv_SY_B!$BY52-1,"")</f>
        <v/>
      </c>
      <c r="AV52" s="184" t="str">
        <f>IFERROR(Inv_SY_B!AV52/Inv_SY_B!$BY52-1,"")</f>
        <v/>
      </c>
      <c r="AW52" s="184" t="str">
        <f>IFERROR(Inv_SY_B!AW52/Inv_SY_B!$BY52-1,"")</f>
        <v/>
      </c>
      <c r="AX52" s="184" t="str">
        <f>IFERROR(Inv_SY_B!AX52/Inv_SY_B!$BY52-1,"")</f>
        <v/>
      </c>
      <c r="AY52" s="184" t="str">
        <f>IFERROR(Inv_SY_B!AY52/Inv_SY_B!$BY52-1,"")</f>
        <v/>
      </c>
      <c r="AZ52" s="184" t="str">
        <f>IFERROR(Inv_SY_B!AZ52/Inv_SY_B!$BY52-1,"")</f>
        <v/>
      </c>
      <c r="BA52" s="184" t="str">
        <f>IFERROR(Inv_SY_B!BA52/Inv_SY_B!$BY52-1,"")</f>
        <v/>
      </c>
      <c r="BB52" s="184" t="str">
        <f>IFERROR(Inv_SY_B!BB52/Inv_SY_B!$BY52-1,"")</f>
        <v/>
      </c>
      <c r="BC52" s="184" t="str">
        <f>IFERROR(Inv_SY_B!BC52/Inv_SY_B!$BY52-1,"")</f>
        <v/>
      </c>
      <c r="BD52" s="184" t="str">
        <f>IFERROR(Inv_SY_B!BD52/Inv_SY_B!$BY52-1,"")</f>
        <v/>
      </c>
      <c r="BE52" s="184" t="str">
        <f>IFERROR(Inv_SY_B!BE52/Inv_SY_B!$BY52-1,"")</f>
        <v/>
      </c>
      <c r="BF52" s="184" t="str">
        <f>IFERROR(Inv_SY_B!BF52/Inv_SY_B!$BY52-1,"")</f>
        <v/>
      </c>
      <c r="BG52" s="184" t="str">
        <f>IFERROR(Inv_SY_B!BG52/Inv_SY_B!$BY52-1,"")</f>
        <v/>
      </c>
      <c r="BH52" s="184" t="str">
        <f>IFERROR(Inv_SY_B!BH52/Inv_SY_B!$BY52-1,"")</f>
        <v/>
      </c>
      <c r="BI52" s="184" t="str">
        <f>IFERROR(Inv_SY_B!BI52/Inv_SY_B!$BY52-1,"")</f>
        <v/>
      </c>
      <c r="BJ52" s="184" t="str">
        <f>IFERROR(Inv_SY_B!BJ52/Inv_SY_B!$BY52-1,"")</f>
        <v/>
      </c>
      <c r="BK52" s="184" t="str">
        <f>IFERROR(Inv_SY_B!BK52/Inv_SY_B!$BY52-1,"")</f>
        <v/>
      </c>
      <c r="BL52" s="184" t="str">
        <f>IFERROR(Inv_SY_B!BL52/Inv_SY_B!$BY52-1,"")</f>
        <v/>
      </c>
      <c r="BM52" s="184" t="str">
        <f>IFERROR(Inv_SY_B!BM52/Inv_SY_B!$BY52-1,"")</f>
        <v/>
      </c>
      <c r="BN52" s="184" t="str">
        <f>IFERROR(Inv_SY_B!BN52/Inv_SY_B!$BY52-1,"")</f>
        <v/>
      </c>
      <c r="BO52" s="184" t="str">
        <f>IFERROR(Inv_SY_B!BO52/Inv_SY_B!$BY52-1,"")</f>
        <v/>
      </c>
      <c r="BP52" s="184" t="str">
        <f>IFERROR(Inv_SY_B!BP52/Inv_SY_B!$BY52-1,"")</f>
        <v/>
      </c>
      <c r="BQ52" s="184" t="str">
        <f>IFERROR(Inv_SY_B!BQ52/Inv_SY_B!$BY52-1,"")</f>
        <v/>
      </c>
      <c r="BR52" s="184" t="str">
        <f>IFERROR(Inv_SY_B!BR52/Inv_SY_B!$BY52-1,"")</f>
        <v/>
      </c>
      <c r="BS52" s="184" t="str">
        <f>IFERROR(Inv_SY_B!BS52/Inv_SY_B!$BY52-1,"")</f>
        <v/>
      </c>
      <c r="BT52" s="184" t="str">
        <f>IFERROR(Inv_SY_B!BT52/Inv_SY_B!$BY52-1,"")</f>
        <v/>
      </c>
      <c r="BU52" s="184" t="str">
        <f>IFERROR(Inv_SY_B!BU52/Inv_SY_B!$BY52-1,"")</f>
        <v/>
      </c>
      <c r="BV52" s="184" t="str">
        <f>IFERROR(Inv_SY_B!BV52/Inv_SY_B!$BY52-1,"")</f>
        <v/>
      </c>
      <c r="BW52" s="184" t="str">
        <f>IFERROR(Inv_SY_B!BW52/Inv_SY_B!$BY52-1,"")</f>
        <v/>
      </c>
      <c r="BX52" s="184" t="str">
        <f>IFERROR(Inv_SY_B!BX52/Inv_SY_B!$BY52-1,"")</f>
        <v/>
      </c>
    </row>
    <row r="53" spans="2:76">
      <c r="B53" s="179">
        <f t="shared" si="2"/>
        <v>45871</v>
      </c>
      <c r="C53" s="184" t="str">
        <f>IFERROR(Inv_SY_B!C53/Inv_SY_B!$BY53-1,"")</f>
        <v/>
      </c>
      <c r="D53" s="184" t="str">
        <f>IFERROR(Inv_SY_B!D53/Inv_SY_B!$BY53-1,"")</f>
        <v/>
      </c>
      <c r="E53" s="184" t="str">
        <f>IFERROR(Inv_SY_B!E53/Inv_SY_B!$BY53-1,"")</f>
        <v/>
      </c>
      <c r="F53" s="184" t="str">
        <f>IFERROR(Inv_SY_B!F53/Inv_SY_B!$BY53-1,"")</f>
        <v/>
      </c>
      <c r="G53" s="184" t="str">
        <f>IFERROR(Inv_SY_B!G53/Inv_SY_B!$BY53-1,"")</f>
        <v/>
      </c>
      <c r="H53" s="184" t="str">
        <f>IFERROR(Inv_SY_B!H53/Inv_SY_B!$BY53-1,"")</f>
        <v/>
      </c>
      <c r="I53" s="184" t="str">
        <f>IFERROR(Inv_SY_B!I53/Inv_SY_B!$BY53-1,"")</f>
        <v/>
      </c>
      <c r="J53" s="184" t="str">
        <f>IFERROR(Inv_SY_B!J53/Inv_SY_B!$BY53-1,"")</f>
        <v/>
      </c>
      <c r="K53" s="184" t="str">
        <f>IFERROR(Inv_SY_B!K53/Inv_SY_B!$BY53-1,"")</f>
        <v/>
      </c>
      <c r="L53" s="184" t="str">
        <f>IFERROR(Inv_SY_B!L53/Inv_SY_B!$BY53-1,"")</f>
        <v/>
      </c>
      <c r="M53" s="184" t="str">
        <f>IFERROR(Inv_SY_B!M53/Inv_SY_B!$BY53-1,"")</f>
        <v/>
      </c>
      <c r="N53" s="184" t="str">
        <f>IFERROR(Inv_SY_B!N53/Inv_SY_B!$BY53-1,"")</f>
        <v/>
      </c>
      <c r="O53" s="184" t="str">
        <f>IFERROR(Inv_SY_B!O53/Inv_SY_B!$BY53-1,"")</f>
        <v/>
      </c>
      <c r="P53" s="184" t="str">
        <f>IFERROR(Inv_SY_B!P53/Inv_SY_B!$BY53-1,"")</f>
        <v/>
      </c>
      <c r="Q53" s="184" t="str">
        <f>IFERROR(Inv_SY_B!Q53/Inv_SY_B!$BY53-1,"")</f>
        <v/>
      </c>
      <c r="R53" s="184" t="str">
        <f>IFERROR(Inv_SY_B!R53/Inv_SY_B!$BY53-1,"")</f>
        <v/>
      </c>
      <c r="S53" s="184" t="str">
        <f>IFERROR(Inv_SY_B!S53/Inv_SY_B!$BY53-1,"")</f>
        <v/>
      </c>
      <c r="T53" s="184" t="str">
        <f>IFERROR(Inv_SY_B!T53/Inv_SY_B!$BY53-1,"")</f>
        <v/>
      </c>
      <c r="U53" s="184" t="str">
        <f>IFERROR(Inv_SY_B!U53/Inv_SY_B!$BY53-1,"")</f>
        <v/>
      </c>
      <c r="V53" s="184" t="str">
        <f>IFERROR(Inv_SY_B!V53/Inv_SY_B!$BY53-1,"")</f>
        <v/>
      </c>
      <c r="W53" s="184" t="str">
        <f>IFERROR(Inv_SY_B!W53/Inv_SY_B!$BY53-1,"")</f>
        <v/>
      </c>
      <c r="X53" s="184" t="str">
        <f>IFERROR(Inv_SY_B!X53/Inv_SY_B!$BY53-1,"")</f>
        <v/>
      </c>
      <c r="Y53" s="184" t="str">
        <f>IFERROR(Inv_SY_B!Y53/Inv_SY_B!$BY53-1,"")</f>
        <v/>
      </c>
      <c r="Z53" s="184" t="str">
        <f>IFERROR(Inv_SY_B!Z53/Inv_SY_B!$BY53-1,"")</f>
        <v/>
      </c>
      <c r="AA53" s="184" t="str">
        <f>IFERROR(Inv_SY_B!AA53/Inv_SY_B!$BY53-1,"")</f>
        <v/>
      </c>
      <c r="AB53" s="184" t="str">
        <f>IFERROR(Inv_SY_B!AB53/Inv_SY_B!$BY53-1,"")</f>
        <v/>
      </c>
      <c r="AC53" s="184" t="str">
        <f>IFERROR(Inv_SY_B!AC53/Inv_SY_B!$BY53-1,"")</f>
        <v/>
      </c>
      <c r="AD53" s="184" t="str">
        <f>IFERROR(Inv_SY_B!AD53/Inv_SY_B!$BY53-1,"")</f>
        <v/>
      </c>
      <c r="AE53" s="184" t="str">
        <f>IFERROR(Inv_SY_B!AE53/Inv_SY_B!$BY53-1,"")</f>
        <v/>
      </c>
      <c r="AF53" s="184" t="str">
        <f>IFERROR(Inv_SY_B!AF53/Inv_SY_B!$BY53-1,"")</f>
        <v/>
      </c>
      <c r="AG53" s="184" t="str">
        <f>IFERROR(Inv_SY_B!AG53/Inv_SY_B!$BY53-1,"")</f>
        <v/>
      </c>
      <c r="AH53" s="184" t="str">
        <f>IFERROR(Inv_SY_B!AH53/Inv_SY_B!$BY53-1,"")</f>
        <v/>
      </c>
      <c r="AI53" s="184" t="str">
        <f>IFERROR(Inv_SY_B!AI53/Inv_SY_B!$BY53-1,"")</f>
        <v/>
      </c>
      <c r="AJ53" s="184" t="str">
        <f>IFERROR(Inv_SY_B!AJ53/Inv_SY_B!$BY53-1,"")</f>
        <v/>
      </c>
      <c r="AK53" s="184" t="str">
        <f>IFERROR(Inv_SY_B!AK53/Inv_SY_B!$BY53-1,"")</f>
        <v/>
      </c>
      <c r="AL53" s="184" t="str">
        <f>IFERROR(Inv_SY_B!AL53/Inv_SY_B!$BY53-1,"")</f>
        <v/>
      </c>
      <c r="AM53" s="184" t="str">
        <f>IFERROR(Inv_SY_B!AM53/Inv_SY_B!$BY53-1,"")</f>
        <v/>
      </c>
      <c r="AN53" s="184" t="str">
        <f>IFERROR(Inv_SY_B!AN53/Inv_SY_B!$BY53-1,"")</f>
        <v/>
      </c>
      <c r="AO53" s="184" t="str">
        <f>IFERROR(Inv_SY_B!AO53/Inv_SY_B!$BY53-1,"")</f>
        <v/>
      </c>
      <c r="AP53" s="184" t="str">
        <f>IFERROR(Inv_SY_B!AP53/Inv_SY_B!$BY53-1,"")</f>
        <v/>
      </c>
      <c r="AQ53" s="184" t="str">
        <f>IFERROR(Inv_SY_B!AQ53/Inv_SY_B!$BY53-1,"")</f>
        <v/>
      </c>
      <c r="AR53" s="184" t="str">
        <f>IFERROR(Inv_SY_B!AR53/Inv_SY_B!$BY53-1,"")</f>
        <v/>
      </c>
      <c r="AS53" s="184" t="str">
        <f>IFERROR(Inv_SY_B!AS53/Inv_SY_B!$BY53-1,"")</f>
        <v/>
      </c>
      <c r="AT53" s="184" t="str">
        <f>IFERROR(Inv_SY_B!AT53/Inv_SY_B!$BY53-1,"")</f>
        <v/>
      </c>
      <c r="AU53" s="184" t="str">
        <f>IFERROR(Inv_SY_B!AU53/Inv_SY_B!$BY53-1,"")</f>
        <v/>
      </c>
      <c r="AV53" s="184" t="str">
        <f>IFERROR(Inv_SY_B!AV53/Inv_SY_B!$BY53-1,"")</f>
        <v/>
      </c>
      <c r="AW53" s="184" t="str">
        <f>IFERROR(Inv_SY_B!AW53/Inv_SY_B!$BY53-1,"")</f>
        <v/>
      </c>
      <c r="AX53" s="184" t="str">
        <f>IFERROR(Inv_SY_B!AX53/Inv_SY_B!$BY53-1,"")</f>
        <v/>
      </c>
      <c r="AY53" s="184" t="str">
        <f>IFERROR(Inv_SY_B!AY53/Inv_SY_B!$BY53-1,"")</f>
        <v/>
      </c>
      <c r="AZ53" s="184" t="str">
        <f>IFERROR(Inv_SY_B!AZ53/Inv_SY_B!$BY53-1,"")</f>
        <v/>
      </c>
      <c r="BA53" s="184" t="str">
        <f>IFERROR(Inv_SY_B!BA53/Inv_SY_B!$BY53-1,"")</f>
        <v/>
      </c>
      <c r="BB53" s="184" t="str">
        <f>IFERROR(Inv_SY_B!BB53/Inv_SY_B!$BY53-1,"")</f>
        <v/>
      </c>
      <c r="BC53" s="184" t="str">
        <f>IFERROR(Inv_SY_B!BC53/Inv_SY_B!$BY53-1,"")</f>
        <v/>
      </c>
      <c r="BD53" s="184" t="str">
        <f>IFERROR(Inv_SY_B!BD53/Inv_SY_B!$BY53-1,"")</f>
        <v/>
      </c>
      <c r="BE53" s="184" t="str">
        <f>IFERROR(Inv_SY_B!BE53/Inv_SY_B!$BY53-1,"")</f>
        <v/>
      </c>
      <c r="BF53" s="184" t="str">
        <f>IFERROR(Inv_SY_B!BF53/Inv_SY_B!$BY53-1,"")</f>
        <v/>
      </c>
      <c r="BG53" s="184" t="str">
        <f>IFERROR(Inv_SY_B!BG53/Inv_SY_B!$BY53-1,"")</f>
        <v/>
      </c>
      <c r="BH53" s="184" t="str">
        <f>IFERROR(Inv_SY_B!BH53/Inv_SY_B!$BY53-1,"")</f>
        <v/>
      </c>
      <c r="BI53" s="184" t="str">
        <f>IFERROR(Inv_SY_B!BI53/Inv_SY_B!$BY53-1,"")</f>
        <v/>
      </c>
      <c r="BJ53" s="184" t="str">
        <f>IFERROR(Inv_SY_B!BJ53/Inv_SY_B!$BY53-1,"")</f>
        <v/>
      </c>
      <c r="BK53" s="184" t="str">
        <f>IFERROR(Inv_SY_B!BK53/Inv_SY_B!$BY53-1,"")</f>
        <v/>
      </c>
      <c r="BL53" s="184" t="str">
        <f>IFERROR(Inv_SY_B!BL53/Inv_SY_B!$BY53-1,"")</f>
        <v/>
      </c>
      <c r="BM53" s="184" t="str">
        <f>IFERROR(Inv_SY_B!BM53/Inv_SY_B!$BY53-1,"")</f>
        <v/>
      </c>
      <c r="BN53" s="184" t="str">
        <f>IFERROR(Inv_SY_B!BN53/Inv_SY_B!$BY53-1,"")</f>
        <v/>
      </c>
      <c r="BO53" s="184" t="str">
        <f>IFERROR(Inv_SY_B!BO53/Inv_SY_B!$BY53-1,"")</f>
        <v/>
      </c>
      <c r="BP53" s="184" t="str">
        <f>IFERROR(Inv_SY_B!BP53/Inv_SY_B!$BY53-1,"")</f>
        <v/>
      </c>
      <c r="BQ53" s="184" t="str">
        <f>IFERROR(Inv_SY_B!BQ53/Inv_SY_B!$BY53-1,"")</f>
        <v/>
      </c>
      <c r="BR53" s="184" t="str">
        <f>IFERROR(Inv_SY_B!BR53/Inv_SY_B!$BY53-1,"")</f>
        <v/>
      </c>
      <c r="BS53" s="184" t="str">
        <f>IFERROR(Inv_SY_B!BS53/Inv_SY_B!$BY53-1,"")</f>
        <v/>
      </c>
      <c r="BT53" s="184" t="str">
        <f>IFERROR(Inv_SY_B!BT53/Inv_SY_B!$BY53-1,"")</f>
        <v/>
      </c>
      <c r="BU53" s="184" t="str">
        <f>IFERROR(Inv_SY_B!BU53/Inv_SY_B!$BY53-1,"")</f>
        <v/>
      </c>
      <c r="BV53" s="184" t="str">
        <f>IFERROR(Inv_SY_B!BV53/Inv_SY_B!$BY53-1,"")</f>
        <v/>
      </c>
      <c r="BW53" s="184" t="str">
        <f>IFERROR(Inv_SY_B!BW53/Inv_SY_B!$BY53-1,"")</f>
        <v/>
      </c>
      <c r="BX53" s="184" t="str">
        <f>IFERROR(Inv_SY_B!BX53/Inv_SY_B!$BY53-1,"")</f>
        <v/>
      </c>
    </row>
    <row r="54" spans="2:76">
      <c r="B54" s="179">
        <f t="shared" si="2"/>
        <v>45872</v>
      </c>
      <c r="C54" s="184" t="str">
        <f>IFERROR(Inv_SY_B!C54/Inv_SY_B!$BY54-1,"")</f>
        <v/>
      </c>
      <c r="D54" s="184" t="str">
        <f>IFERROR(Inv_SY_B!D54/Inv_SY_B!$BY54-1,"")</f>
        <v/>
      </c>
      <c r="E54" s="184" t="str">
        <f>IFERROR(Inv_SY_B!E54/Inv_SY_B!$BY54-1,"")</f>
        <v/>
      </c>
      <c r="F54" s="184" t="str">
        <f>IFERROR(Inv_SY_B!F54/Inv_SY_B!$BY54-1,"")</f>
        <v/>
      </c>
      <c r="G54" s="184" t="str">
        <f>IFERROR(Inv_SY_B!G54/Inv_SY_B!$BY54-1,"")</f>
        <v/>
      </c>
      <c r="H54" s="184" t="str">
        <f>IFERROR(Inv_SY_B!H54/Inv_SY_B!$BY54-1,"")</f>
        <v/>
      </c>
      <c r="I54" s="184" t="str">
        <f>IFERROR(Inv_SY_B!I54/Inv_SY_B!$BY54-1,"")</f>
        <v/>
      </c>
      <c r="J54" s="184" t="str">
        <f>IFERROR(Inv_SY_B!J54/Inv_SY_B!$BY54-1,"")</f>
        <v/>
      </c>
      <c r="K54" s="184" t="str">
        <f>IFERROR(Inv_SY_B!K54/Inv_SY_B!$BY54-1,"")</f>
        <v/>
      </c>
      <c r="L54" s="184" t="str">
        <f>IFERROR(Inv_SY_B!L54/Inv_SY_B!$BY54-1,"")</f>
        <v/>
      </c>
      <c r="M54" s="184" t="str">
        <f>IFERROR(Inv_SY_B!M54/Inv_SY_B!$BY54-1,"")</f>
        <v/>
      </c>
      <c r="N54" s="184" t="str">
        <f>IFERROR(Inv_SY_B!N54/Inv_SY_B!$BY54-1,"")</f>
        <v/>
      </c>
      <c r="O54" s="184" t="str">
        <f>IFERROR(Inv_SY_B!O54/Inv_SY_B!$BY54-1,"")</f>
        <v/>
      </c>
      <c r="P54" s="184" t="str">
        <f>IFERROR(Inv_SY_B!P54/Inv_SY_B!$BY54-1,"")</f>
        <v/>
      </c>
      <c r="Q54" s="184" t="str">
        <f>IFERROR(Inv_SY_B!Q54/Inv_SY_B!$BY54-1,"")</f>
        <v/>
      </c>
      <c r="R54" s="184" t="str">
        <f>IFERROR(Inv_SY_B!R54/Inv_SY_B!$BY54-1,"")</f>
        <v/>
      </c>
      <c r="S54" s="184" t="str">
        <f>IFERROR(Inv_SY_B!S54/Inv_SY_B!$BY54-1,"")</f>
        <v/>
      </c>
      <c r="T54" s="184" t="str">
        <f>IFERROR(Inv_SY_B!T54/Inv_SY_B!$BY54-1,"")</f>
        <v/>
      </c>
      <c r="U54" s="184" t="str">
        <f>IFERROR(Inv_SY_B!U54/Inv_SY_B!$BY54-1,"")</f>
        <v/>
      </c>
      <c r="V54" s="184" t="str">
        <f>IFERROR(Inv_SY_B!V54/Inv_SY_B!$BY54-1,"")</f>
        <v/>
      </c>
      <c r="W54" s="184" t="str">
        <f>IFERROR(Inv_SY_B!W54/Inv_SY_B!$BY54-1,"")</f>
        <v/>
      </c>
      <c r="X54" s="184" t="str">
        <f>IFERROR(Inv_SY_B!X54/Inv_SY_B!$BY54-1,"")</f>
        <v/>
      </c>
      <c r="Y54" s="184" t="str">
        <f>IFERROR(Inv_SY_B!Y54/Inv_SY_B!$BY54-1,"")</f>
        <v/>
      </c>
      <c r="Z54" s="184" t="str">
        <f>IFERROR(Inv_SY_B!Z54/Inv_SY_B!$BY54-1,"")</f>
        <v/>
      </c>
      <c r="AA54" s="184" t="str">
        <f>IFERROR(Inv_SY_B!AA54/Inv_SY_B!$BY54-1,"")</f>
        <v/>
      </c>
      <c r="AB54" s="184" t="str">
        <f>IFERROR(Inv_SY_B!AB54/Inv_SY_B!$BY54-1,"")</f>
        <v/>
      </c>
      <c r="AC54" s="184" t="str">
        <f>IFERROR(Inv_SY_B!AC54/Inv_SY_B!$BY54-1,"")</f>
        <v/>
      </c>
      <c r="AD54" s="184" t="str">
        <f>IFERROR(Inv_SY_B!AD54/Inv_SY_B!$BY54-1,"")</f>
        <v/>
      </c>
      <c r="AE54" s="184" t="str">
        <f>IFERROR(Inv_SY_B!AE54/Inv_SY_B!$BY54-1,"")</f>
        <v/>
      </c>
      <c r="AF54" s="184" t="str">
        <f>IFERROR(Inv_SY_B!AF54/Inv_SY_B!$BY54-1,"")</f>
        <v/>
      </c>
      <c r="AG54" s="184" t="str">
        <f>IFERROR(Inv_SY_B!AG54/Inv_SY_B!$BY54-1,"")</f>
        <v/>
      </c>
      <c r="AH54" s="184" t="str">
        <f>IFERROR(Inv_SY_B!AH54/Inv_SY_B!$BY54-1,"")</f>
        <v/>
      </c>
      <c r="AI54" s="184" t="str">
        <f>IFERROR(Inv_SY_B!AI54/Inv_SY_B!$BY54-1,"")</f>
        <v/>
      </c>
      <c r="AJ54" s="184" t="str">
        <f>IFERROR(Inv_SY_B!AJ54/Inv_SY_B!$BY54-1,"")</f>
        <v/>
      </c>
      <c r="AK54" s="184" t="str">
        <f>IFERROR(Inv_SY_B!AK54/Inv_SY_B!$BY54-1,"")</f>
        <v/>
      </c>
      <c r="AL54" s="184" t="str">
        <f>IFERROR(Inv_SY_B!AL54/Inv_SY_B!$BY54-1,"")</f>
        <v/>
      </c>
      <c r="AM54" s="184" t="str">
        <f>IFERROR(Inv_SY_B!AM54/Inv_SY_B!$BY54-1,"")</f>
        <v/>
      </c>
      <c r="AN54" s="184" t="str">
        <f>IFERROR(Inv_SY_B!AN54/Inv_SY_B!$BY54-1,"")</f>
        <v/>
      </c>
      <c r="AO54" s="184" t="str">
        <f>IFERROR(Inv_SY_B!AO54/Inv_SY_B!$BY54-1,"")</f>
        <v/>
      </c>
      <c r="AP54" s="184" t="str">
        <f>IFERROR(Inv_SY_B!AP54/Inv_SY_B!$BY54-1,"")</f>
        <v/>
      </c>
      <c r="AQ54" s="184" t="str">
        <f>IFERROR(Inv_SY_B!AQ54/Inv_SY_B!$BY54-1,"")</f>
        <v/>
      </c>
      <c r="AR54" s="184" t="str">
        <f>IFERROR(Inv_SY_B!AR54/Inv_SY_B!$BY54-1,"")</f>
        <v/>
      </c>
      <c r="AS54" s="184" t="str">
        <f>IFERROR(Inv_SY_B!AS54/Inv_SY_B!$BY54-1,"")</f>
        <v/>
      </c>
      <c r="AT54" s="184" t="str">
        <f>IFERROR(Inv_SY_B!AT54/Inv_SY_B!$BY54-1,"")</f>
        <v/>
      </c>
      <c r="AU54" s="184" t="str">
        <f>IFERROR(Inv_SY_B!AU54/Inv_SY_B!$BY54-1,"")</f>
        <v/>
      </c>
      <c r="AV54" s="184" t="str">
        <f>IFERROR(Inv_SY_B!AV54/Inv_SY_B!$BY54-1,"")</f>
        <v/>
      </c>
      <c r="AW54" s="184" t="str">
        <f>IFERROR(Inv_SY_B!AW54/Inv_SY_B!$BY54-1,"")</f>
        <v/>
      </c>
      <c r="AX54" s="184" t="str">
        <f>IFERROR(Inv_SY_B!AX54/Inv_SY_B!$BY54-1,"")</f>
        <v/>
      </c>
      <c r="AY54" s="184" t="str">
        <f>IFERROR(Inv_SY_B!AY54/Inv_SY_B!$BY54-1,"")</f>
        <v/>
      </c>
      <c r="AZ54" s="184" t="str">
        <f>IFERROR(Inv_SY_B!AZ54/Inv_SY_B!$BY54-1,"")</f>
        <v/>
      </c>
      <c r="BA54" s="184" t="str">
        <f>IFERROR(Inv_SY_B!BA54/Inv_SY_B!$BY54-1,"")</f>
        <v/>
      </c>
      <c r="BB54" s="184" t="str">
        <f>IFERROR(Inv_SY_B!BB54/Inv_SY_B!$BY54-1,"")</f>
        <v/>
      </c>
      <c r="BC54" s="184" t="str">
        <f>IFERROR(Inv_SY_B!BC54/Inv_SY_B!$BY54-1,"")</f>
        <v/>
      </c>
      <c r="BD54" s="184" t="str">
        <f>IFERROR(Inv_SY_B!BD54/Inv_SY_B!$BY54-1,"")</f>
        <v/>
      </c>
      <c r="BE54" s="184" t="str">
        <f>IFERROR(Inv_SY_B!BE54/Inv_SY_B!$BY54-1,"")</f>
        <v/>
      </c>
      <c r="BF54" s="184" t="str">
        <f>IFERROR(Inv_SY_B!BF54/Inv_SY_B!$BY54-1,"")</f>
        <v/>
      </c>
      <c r="BG54" s="184" t="str">
        <f>IFERROR(Inv_SY_B!BG54/Inv_SY_B!$BY54-1,"")</f>
        <v/>
      </c>
      <c r="BH54" s="184" t="str">
        <f>IFERROR(Inv_SY_B!BH54/Inv_SY_B!$BY54-1,"")</f>
        <v/>
      </c>
      <c r="BI54" s="184" t="str">
        <f>IFERROR(Inv_SY_B!BI54/Inv_SY_B!$BY54-1,"")</f>
        <v/>
      </c>
      <c r="BJ54" s="184" t="str">
        <f>IFERROR(Inv_SY_B!BJ54/Inv_SY_B!$BY54-1,"")</f>
        <v/>
      </c>
      <c r="BK54" s="184" t="str">
        <f>IFERROR(Inv_SY_B!BK54/Inv_SY_B!$BY54-1,"")</f>
        <v/>
      </c>
      <c r="BL54" s="184" t="str">
        <f>IFERROR(Inv_SY_B!BL54/Inv_SY_B!$BY54-1,"")</f>
        <v/>
      </c>
      <c r="BM54" s="184" t="str">
        <f>IFERROR(Inv_SY_B!BM54/Inv_SY_B!$BY54-1,"")</f>
        <v/>
      </c>
      <c r="BN54" s="184" t="str">
        <f>IFERROR(Inv_SY_B!BN54/Inv_SY_B!$BY54-1,"")</f>
        <v/>
      </c>
      <c r="BO54" s="184" t="str">
        <f>IFERROR(Inv_SY_B!BO54/Inv_SY_B!$BY54-1,"")</f>
        <v/>
      </c>
      <c r="BP54" s="184" t="str">
        <f>IFERROR(Inv_SY_B!BP54/Inv_SY_B!$BY54-1,"")</f>
        <v/>
      </c>
      <c r="BQ54" s="184" t="str">
        <f>IFERROR(Inv_SY_B!BQ54/Inv_SY_B!$BY54-1,"")</f>
        <v/>
      </c>
      <c r="BR54" s="184" t="str">
        <f>IFERROR(Inv_SY_B!BR54/Inv_SY_B!$BY54-1,"")</f>
        <v/>
      </c>
      <c r="BS54" s="184" t="str">
        <f>IFERROR(Inv_SY_B!BS54/Inv_SY_B!$BY54-1,"")</f>
        <v/>
      </c>
      <c r="BT54" s="184" t="str">
        <f>IFERROR(Inv_SY_B!BT54/Inv_SY_B!$BY54-1,"")</f>
        <v/>
      </c>
      <c r="BU54" s="184" t="str">
        <f>IFERROR(Inv_SY_B!BU54/Inv_SY_B!$BY54-1,"")</f>
        <v/>
      </c>
      <c r="BV54" s="184" t="str">
        <f>IFERROR(Inv_SY_B!BV54/Inv_SY_B!$BY54-1,"")</f>
        <v/>
      </c>
      <c r="BW54" s="184" t="str">
        <f>IFERROR(Inv_SY_B!BW54/Inv_SY_B!$BY54-1,"")</f>
        <v/>
      </c>
      <c r="BX54" s="184" t="str">
        <f>IFERROR(Inv_SY_B!BX54/Inv_SY_B!$BY54-1,"")</f>
        <v/>
      </c>
    </row>
    <row r="55" spans="2:76">
      <c r="B55" s="179">
        <f t="shared" si="2"/>
        <v>45873</v>
      </c>
      <c r="C55" s="184" t="str">
        <f>IFERROR(Inv_SY_B!C55/Inv_SY_B!$BY55-1,"")</f>
        <v/>
      </c>
      <c r="D55" s="184" t="str">
        <f>IFERROR(Inv_SY_B!D55/Inv_SY_B!$BY55-1,"")</f>
        <v/>
      </c>
      <c r="E55" s="184" t="str">
        <f>IFERROR(Inv_SY_B!E55/Inv_SY_B!$BY55-1,"")</f>
        <v/>
      </c>
      <c r="F55" s="184" t="str">
        <f>IFERROR(Inv_SY_B!F55/Inv_SY_B!$BY55-1,"")</f>
        <v/>
      </c>
      <c r="G55" s="184" t="str">
        <f>IFERROR(Inv_SY_B!G55/Inv_SY_B!$BY55-1,"")</f>
        <v/>
      </c>
      <c r="H55" s="184" t="str">
        <f>IFERROR(Inv_SY_B!H55/Inv_SY_B!$BY55-1,"")</f>
        <v/>
      </c>
      <c r="I55" s="184" t="str">
        <f>IFERROR(Inv_SY_B!I55/Inv_SY_B!$BY55-1,"")</f>
        <v/>
      </c>
      <c r="J55" s="184" t="str">
        <f>IFERROR(Inv_SY_B!J55/Inv_SY_B!$BY55-1,"")</f>
        <v/>
      </c>
      <c r="K55" s="184" t="str">
        <f>IFERROR(Inv_SY_B!K55/Inv_SY_B!$BY55-1,"")</f>
        <v/>
      </c>
      <c r="L55" s="184" t="str">
        <f>IFERROR(Inv_SY_B!L55/Inv_SY_B!$BY55-1,"")</f>
        <v/>
      </c>
      <c r="M55" s="184" t="str">
        <f>IFERROR(Inv_SY_B!M55/Inv_SY_B!$BY55-1,"")</f>
        <v/>
      </c>
      <c r="N55" s="184" t="str">
        <f>IFERROR(Inv_SY_B!N55/Inv_SY_B!$BY55-1,"")</f>
        <v/>
      </c>
      <c r="O55" s="184" t="str">
        <f>IFERROR(Inv_SY_B!O55/Inv_SY_B!$BY55-1,"")</f>
        <v/>
      </c>
      <c r="P55" s="184" t="str">
        <f>IFERROR(Inv_SY_B!P55/Inv_SY_B!$BY55-1,"")</f>
        <v/>
      </c>
      <c r="Q55" s="184" t="str">
        <f>IFERROR(Inv_SY_B!Q55/Inv_SY_B!$BY55-1,"")</f>
        <v/>
      </c>
      <c r="R55" s="184" t="str">
        <f>IFERROR(Inv_SY_B!R55/Inv_SY_B!$BY55-1,"")</f>
        <v/>
      </c>
      <c r="S55" s="184" t="str">
        <f>IFERROR(Inv_SY_B!S55/Inv_SY_B!$BY55-1,"")</f>
        <v/>
      </c>
      <c r="T55" s="184" t="str">
        <f>IFERROR(Inv_SY_B!T55/Inv_SY_B!$BY55-1,"")</f>
        <v/>
      </c>
      <c r="U55" s="184" t="str">
        <f>IFERROR(Inv_SY_B!U55/Inv_SY_B!$BY55-1,"")</f>
        <v/>
      </c>
      <c r="V55" s="184" t="str">
        <f>IFERROR(Inv_SY_B!V55/Inv_SY_B!$BY55-1,"")</f>
        <v/>
      </c>
      <c r="W55" s="184" t="str">
        <f>IFERROR(Inv_SY_B!W55/Inv_SY_B!$BY55-1,"")</f>
        <v/>
      </c>
      <c r="X55" s="184" t="str">
        <f>IFERROR(Inv_SY_B!X55/Inv_SY_B!$BY55-1,"")</f>
        <v/>
      </c>
      <c r="Y55" s="184" t="str">
        <f>IFERROR(Inv_SY_B!Y55/Inv_SY_B!$BY55-1,"")</f>
        <v/>
      </c>
      <c r="Z55" s="184" t="str">
        <f>IFERROR(Inv_SY_B!Z55/Inv_SY_B!$BY55-1,"")</f>
        <v/>
      </c>
      <c r="AA55" s="184" t="str">
        <f>IFERROR(Inv_SY_B!AA55/Inv_SY_B!$BY55-1,"")</f>
        <v/>
      </c>
      <c r="AB55" s="184" t="str">
        <f>IFERROR(Inv_SY_B!AB55/Inv_SY_B!$BY55-1,"")</f>
        <v/>
      </c>
      <c r="AC55" s="184" t="str">
        <f>IFERROR(Inv_SY_B!AC55/Inv_SY_B!$BY55-1,"")</f>
        <v/>
      </c>
      <c r="AD55" s="184" t="str">
        <f>IFERROR(Inv_SY_B!AD55/Inv_SY_B!$BY55-1,"")</f>
        <v/>
      </c>
      <c r="AE55" s="184" t="str">
        <f>IFERROR(Inv_SY_B!AE55/Inv_SY_B!$BY55-1,"")</f>
        <v/>
      </c>
      <c r="AF55" s="184" t="str">
        <f>IFERROR(Inv_SY_B!AF55/Inv_SY_B!$BY55-1,"")</f>
        <v/>
      </c>
      <c r="AG55" s="184" t="str">
        <f>IFERROR(Inv_SY_B!AG55/Inv_SY_B!$BY55-1,"")</f>
        <v/>
      </c>
      <c r="AH55" s="184" t="str">
        <f>IFERROR(Inv_SY_B!AH55/Inv_SY_B!$BY55-1,"")</f>
        <v/>
      </c>
      <c r="AI55" s="184" t="str">
        <f>IFERROR(Inv_SY_B!AI55/Inv_SY_B!$BY55-1,"")</f>
        <v/>
      </c>
      <c r="AJ55" s="184" t="str">
        <f>IFERROR(Inv_SY_B!AJ55/Inv_SY_B!$BY55-1,"")</f>
        <v/>
      </c>
      <c r="AK55" s="184" t="str">
        <f>IFERROR(Inv_SY_B!AK55/Inv_SY_B!$BY55-1,"")</f>
        <v/>
      </c>
      <c r="AL55" s="184" t="str">
        <f>IFERROR(Inv_SY_B!AL55/Inv_SY_B!$BY55-1,"")</f>
        <v/>
      </c>
      <c r="AM55" s="184" t="str">
        <f>IFERROR(Inv_SY_B!AM55/Inv_SY_B!$BY55-1,"")</f>
        <v/>
      </c>
      <c r="AN55" s="184" t="str">
        <f>IFERROR(Inv_SY_B!AN55/Inv_SY_B!$BY55-1,"")</f>
        <v/>
      </c>
      <c r="AO55" s="184" t="str">
        <f>IFERROR(Inv_SY_B!AO55/Inv_SY_B!$BY55-1,"")</f>
        <v/>
      </c>
      <c r="AP55" s="184" t="str">
        <f>IFERROR(Inv_SY_B!AP55/Inv_SY_B!$BY55-1,"")</f>
        <v/>
      </c>
      <c r="AQ55" s="184" t="str">
        <f>IFERROR(Inv_SY_B!AQ55/Inv_SY_B!$BY55-1,"")</f>
        <v/>
      </c>
      <c r="AR55" s="184" t="str">
        <f>IFERROR(Inv_SY_B!AR55/Inv_SY_B!$BY55-1,"")</f>
        <v/>
      </c>
      <c r="AS55" s="184" t="str">
        <f>IFERROR(Inv_SY_B!AS55/Inv_SY_B!$BY55-1,"")</f>
        <v/>
      </c>
      <c r="AT55" s="184" t="str">
        <f>IFERROR(Inv_SY_B!AT55/Inv_SY_B!$BY55-1,"")</f>
        <v/>
      </c>
      <c r="AU55" s="184" t="str">
        <f>IFERROR(Inv_SY_B!AU55/Inv_SY_B!$BY55-1,"")</f>
        <v/>
      </c>
      <c r="AV55" s="184" t="str">
        <f>IFERROR(Inv_SY_B!AV55/Inv_SY_B!$BY55-1,"")</f>
        <v/>
      </c>
      <c r="AW55" s="184" t="str">
        <f>IFERROR(Inv_SY_B!AW55/Inv_SY_B!$BY55-1,"")</f>
        <v/>
      </c>
      <c r="AX55" s="184" t="str">
        <f>IFERROR(Inv_SY_B!AX55/Inv_SY_B!$BY55-1,"")</f>
        <v/>
      </c>
      <c r="AY55" s="184" t="str">
        <f>IFERROR(Inv_SY_B!AY55/Inv_SY_B!$BY55-1,"")</f>
        <v/>
      </c>
      <c r="AZ55" s="184" t="str">
        <f>IFERROR(Inv_SY_B!AZ55/Inv_SY_B!$BY55-1,"")</f>
        <v/>
      </c>
      <c r="BA55" s="184" t="str">
        <f>IFERROR(Inv_SY_B!BA55/Inv_SY_B!$BY55-1,"")</f>
        <v/>
      </c>
      <c r="BB55" s="184" t="str">
        <f>IFERROR(Inv_SY_B!BB55/Inv_SY_B!$BY55-1,"")</f>
        <v/>
      </c>
      <c r="BC55" s="184" t="str">
        <f>IFERROR(Inv_SY_B!BC55/Inv_SY_B!$BY55-1,"")</f>
        <v/>
      </c>
      <c r="BD55" s="184" t="str">
        <f>IFERROR(Inv_SY_B!BD55/Inv_SY_B!$BY55-1,"")</f>
        <v/>
      </c>
      <c r="BE55" s="184" t="str">
        <f>IFERROR(Inv_SY_B!BE55/Inv_SY_B!$BY55-1,"")</f>
        <v/>
      </c>
      <c r="BF55" s="184" t="str">
        <f>IFERROR(Inv_SY_B!BF55/Inv_SY_B!$BY55-1,"")</f>
        <v/>
      </c>
      <c r="BG55" s="184" t="str">
        <f>IFERROR(Inv_SY_B!BG55/Inv_SY_B!$BY55-1,"")</f>
        <v/>
      </c>
      <c r="BH55" s="184" t="str">
        <f>IFERROR(Inv_SY_B!BH55/Inv_SY_B!$BY55-1,"")</f>
        <v/>
      </c>
      <c r="BI55" s="184" t="str">
        <f>IFERROR(Inv_SY_B!BI55/Inv_SY_B!$BY55-1,"")</f>
        <v/>
      </c>
      <c r="BJ55" s="184" t="str">
        <f>IFERROR(Inv_SY_B!BJ55/Inv_SY_B!$BY55-1,"")</f>
        <v/>
      </c>
      <c r="BK55" s="184" t="str">
        <f>IFERROR(Inv_SY_B!BK55/Inv_SY_B!$BY55-1,"")</f>
        <v/>
      </c>
      <c r="BL55" s="184" t="str">
        <f>IFERROR(Inv_SY_B!BL55/Inv_SY_B!$BY55-1,"")</f>
        <v/>
      </c>
      <c r="BM55" s="184" t="str">
        <f>IFERROR(Inv_SY_B!BM55/Inv_SY_B!$BY55-1,"")</f>
        <v/>
      </c>
      <c r="BN55" s="184" t="str">
        <f>IFERROR(Inv_SY_B!BN55/Inv_SY_B!$BY55-1,"")</f>
        <v/>
      </c>
      <c r="BO55" s="184" t="str">
        <f>IFERROR(Inv_SY_B!BO55/Inv_SY_B!$BY55-1,"")</f>
        <v/>
      </c>
      <c r="BP55" s="184" t="str">
        <f>IFERROR(Inv_SY_B!BP55/Inv_SY_B!$BY55-1,"")</f>
        <v/>
      </c>
      <c r="BQ55" s="184" t="str">
        <f>IFERROR(Inv_SY_B!BQ55/Inv_SY_B!$BY55-1,"")</f>
        <v/>
      </c>
      <c r="BR55" s="184" t="str">
        <f>IFERROR(Inv_SY_B!BR55/Inv_SY_B!$BY55-1,"")</f>
        <v/>
      </c>
      <c r="BS55" s="184" t="str">
        <f>IFERROR(Inv_SY_B!BS55/Inv_SY_B!$BY55-1,"")</f>
        <v/>
      </c>
      <c r="BT55" s="184" t="str">
        <f>IFERROR(Inv_SY_B!BT55/Inv_SY_B!$BY55-1,"")</f>
        <v/>
      </c>
      <c r="BU55" s="184" t="str">
        <f>IFERROR(Inv_SY_B!BU55/Inv_SY_B!$BY55-1,"")</f>
        <v/>
      </c>
      <c r="BV55" s="184" t="str">
        <f>IFERROR(Inv_SY_B!BV55/Inv_SY_B!$BY55-1,"")</f>
        <v/>
      </c>
      <c r="BW55" s="184" t="str">
        <f>IFERROR(Inv_SY_B!BW55/Inv_SY_B!$BY55-1,"")</f>
        <v/>
      </c>
      <c r="BX55" s="184" t="str">
        <f>IFERROR(Inv_SY_B!BX55/Inv_SY_B!$BY55-1,"")</f>
        <v/>
      </c>
    </row>
    <row r="56" spans="2:76">
      <c r="B56" s="179">
        <f t="shared" si="2"/>
        <v>45874</v>
      </c>
      <c r="C56" s="184" t="str">
        <f>IFERROR(Inv_SY_B!C56/Inv_SY_B!$BY56-1,"")</f>
        <v/>
      </c>
      <c r="D56" s="184" t="str">
        <f>IFERROR(Inv_SY_B!D56/Inv_SY_B!$BY56-1,"")</f>
        <v/>
      </c>
      <c r="E56" s="184" t="str">
        <f>IFERROR(Inv_SY_B!E56/Inv_SY_B!$BY56-1,"")</f>
        <v/>
      </c>
      <c r="F56" s="184" t="str">
        <f>IFERROR(Inv_SY_B!F56/Inv_SY_B!$BY56-1,"")</f>
        <v/>
      </c>
      <c r="G56" s="184" t="str">
        <f>IFERROR(Inv_SY_B!G56/Inv_SY_B!$BY56-1,"")</f>
        <v/>
      </c>
      <c r="H56" s="184" t="str">
        <f>IFERROR(Inv_SY_B!H56/Inv_SY_B!$BY56-1,"")</f>
        <v/>
      </c>
      <c r="I56" s="184" t="str">
        <f>IFERROR(Inv_SY_B!I56/Inv_SY_B!$BY56-1,"")</f>
        <v/>
      </c>
      <c r="J56" s="184" t="str">
        <f>IFERROR(Inv_SY_B!J56/Inv_SY_B!$BY56-1,"")</f>
        <v/>
      </c>
      <c r="K56" s="184" t="str">
        <f>IFERROR(Inv_SY_B!K56/Inv_SY_B!$BY56-1,"")</f>
        <v/>
      </c>
      <c r="L56" s="184" t="str">
        <f>IFERROR(Inv_SY_B!L56/Inv_SY_B!$BY56-1,"")</f>
        <v/>
      </c>
      <c r="M56" s="184" t="str">
        <f>IFERROR(Inv_SY_B!M56/Inv_SY_B!$BY56-1,"")</f>
        <v/>
      </c>
      <c r="N56" s="184" t="str">
        <f>IFERROR(Inv_SY_B!N56/Inv_SY_B!$BY56-1,"")</f>
        <v/>
      </c>
      <c r="O56" s="184" t="str">
        <f>IFERROR(Inv_SY_B!O56/Inv_SY_B!$BY56-1,"")</f>
        <v/>
      </c>
      <c r="P56" s="184" t="str">
        <f>IFERROR(Inv_SY_B!P56/Inv_SY_B!$BY56-1,"")</f>
        <v/>
      </c>
      <c r="Q56" s="184" t="str">
        <f>IFERROR(Inv_SY_B!Q56/Inv_SY_B!$BY56-1,"")</f>
        <v/>
      </c>
      <c r="R56" s="184" t="str">
        <f>IFERROR(Inv_SY_B!R56/Inv_SY_B!$BY56-1,"")</f>
        <v/>
      </c>
      <c r="S56" s="184" t="str">
        <f>IFERROR(Inv_SY_B!S56/Inv_SY_B!$BY56-1,"")</f>
        <v/>
      </c>
      <c r="T56" s="184" t="str">
        <f>IFERROR(Inv_SY_B!T56/Inv_SY_B!$BY56-1,"")</f>
        <v/>
      </c>
      <c r="U56" s="184" t="str">
        <f>IFERROR(Inv_SY_B!U56/Inv_SY_B!$BY56-1,"")</f>
        <v/>
      </c>
      <c r="V56" s="184" t="str">
        <f>IFERROR(Inv_SY_B!V56/Inv_SY_B!$BY56-1,"")</f>
        <v/>
      </c>
      <c r="W56" s="184" t="str">
        <f>IFERROR(Inv_SY_B!W56/Inv_SY_B!$BY56-1,"")</f>
        <v/>
      </c>
      <c r="X56" s="184" t="str">
        <f>IFERROR(Inv_SY_B!X56/Inv_SY_B!$BY56-1,"")</f>
        <v/>
      </c>
      <c r="Y56" s="184" t="str">
        <f>IFERROR(Inv_SY_B!Y56/Inv_SY_B!$BY56-1,"")</f>
        <v/>
      </c>
      <c r="Z56" s="184" t="str">
        <f>IFERROR(Inv_SY_B!Z56/Inv_SY_B!$BY56-1,"")</f>
        <v/>
      </c>
      <c r="AA56" s="184" t="str">
        <f>IFERROR(Inv_SY_B!AA56/Inv_SY_B!$BY56-1,"")</f>
        <v/>
      </c>
      <c r="AB56" s="184" t="str">
        <f>IFERROR(Inv_SY_B!AB56/Inv_SY_B!$BY56-1,"")</f>
        <v/>
      </c>
      <c r="AC56" s="184" t="str">
        <f>IFERROR(Inv_SY_B!AC56/Inv_SY_B!$BY56-1,"")</f>
        <v/>
      </c>
      <c r="AD56" s="184" t="str">
        <f>IFERROR(Inv_SY_B!AD56/Inv_SY_B!$BY56-1,"")</f>
        <v/>
      </c>
      <c r="AE56" s="184" t="str">
        <f>IFERROR(Inv_SY_B!AE56/Inv_SY_B!$BY56-1,"")</f>
        <v/>
      </c>
      <c r="AF56" s="184" t="str">
        <f>IFERROR(Inv_SY_B!AF56/Inv_SY_B!$BY56-1,"")</f>
        <v/>
      </c>
      <c r="AG56" s="184" t="str">
        <f>IFERROR(Inv_SY_B!AG56/Inv_SY_B!$BY56-1,"")</f>
        <v/>
      </c>
      <c r="AH56" s="184" t="str">
        <f>IFERROR(Inv_SY_B!AH56/Inv_SY_B!$BY56-1,"")</f>
        <v/>
      </c>
      <c r="AI56" s="184" t="str">
        <f>IFERROR(Inv_SY_B!AI56/Inv_SY_B!$BY56-1,"")</f>
        <v/>
      </c>
      <c r="AJ56" s="184" t="str">
        <f>IFERROR(Inv_SY_B!AJ56/Inv_SY_B!$BY56-1,"")</f>
        <v/>
      </c>
      <c r="AK56" s="184" t="str">
        <f>IFERROR(Inv_SY_B!AK56/Inv_SY_B!$BY56-1,"")</f>
        <v/>
      </c>
      <c r="AL56" s="184" t="str">
        <f>IFERROR(Inv_SY_B!AL56/Inv_SY_B!$BY56-1,"")</f>
        <v/>
      </c>
      <c r="AM56" s="184" t="str">
        <f>IFERROR(Inv_SY_B!AM56/Inv_SY_B!$BY56-1,"")</f>
        <v/>
      </c>
      <c r="AN56" s="184" t="str">
        <f>IFERROR(Inv_SY_B!AN56/Inv_SY_B!$BY56-1,"")</f>
        <v/>
      </c>
      <c r="AO56" s="184" t="str">
        <f>IFERROR(Inv_SY_B!AO56/Inv_SY_B!$BY56-1,"")</f>
        <v/>
      </c>
      <c r="AP56" s="184" t="str">
        <f>IFERROR(Inv_SY_B!AP56/Inv_SY_B!$BY56-1,"")</f>
        <v/>
      </c>
      <c r="AQ56" s="184" t="str">
        <f>IFERROR(Inv_SY_B!AQ56/Inv_SY_B!$BY56-1,"")</f>
        <v/>
      </c>
      <c r="AR56" s="184" t="str">
        <f>IFERROR(Inv_SY_B!AR56/Inv_SY_B!$BY56-1,"")</f>
        <v/>
      </c>
      <c r="AS56" s="184" t="str">
        <f>IFERROR(Inv_SY_B!AS56/Inv_SY_B!$BY56-1,"")</f>
        <v/>
      </c>
      <c r="AT56" s="184" t="str">
        <f>IFERROR(Inv_SY_B!AT56/Inv_SY_B!$BY56-1,"")</f>
        <v/>
      </c>
      <c r="AU56" s="184" t="str">
        <f>IFERROR(Inv_SY_B!AU56/Inv_SY_B!$BY56-1,"")</f>
        <v/>
      </c>
      <c r="AV56" s="184" t="str">
        <f>IFERROR(Inv_SY_B!AV56/Inv_SY_B!$BY56-1,"")</f>
        <v/>
      </c>
      <c r="AW56" s="184" t="str">
        <f>IFERROR(Inv_SY_B!AW56/Inv_SY_B!$BY56-1,"")</f>
        <v/>
      </c>
      <c r="AX56" s="184" t="str">
        <f>IFERROR(Inv_SY_B!AX56/Inv_SY_B!$BY56-1,"")</f>
        <v/>
      </c>
      <c r="AY56" s="184" t="str">
        <f>IFERROR(Inv_SY_B!AY56/Inv_SY_B!$BY56-1,"")</f>
        <v/>
      </c>
      <c r="AZ56" s="184" t="str">
        <f>IFERROR(Inv_SY_B!AZ56/Inv_SY_B!$BY56-1,"")</f>
        <v/>
      </c>
      <c r="BA56" s="184" t="str">
        <f>IFERROR(Inv_SY_B!BA56/Inv_SY_B!$BY56-1,"")</f>
        <v/>
      </c>
      <c r="BB56" s="184" t="str">
        <f>IFERROR(Inv_SY_B!BB56/Inv_SY_B!$BY56-1,"")</f>
        <v/>
      </c>
      <c r="BC56" s="184" t="str">
        <f>IFERROR(Inv_SY_B!BC56/Inv_SY_B!$BY56-1,"")</f>
        <v/>
      </c>
      <c r="BD56" s="184" t="str">
        <f>IFERROR(Inv_SY_B!BD56/Inv_SY_B!$BY56-1,"")</f>
        <v/>
      </c>
      <c r="BE56" s="184" t="str">
        <f>IFERROR(Inv_SY_B!BE56/Inv_SY_B!$BY56-1,"")</f>
        <v/>
      </c>
      <c r="BF56" s="184" t="str">
        <f>IFERROR(Inv_SY_B!BF56/Inv_SY_B!$BY56-1,"")</f>
        <v/>
      </c>
      <c r="BG56" s="184" t="str">
        <f>IFERROR(Inv_SY_B!BG56/Inv_SY_B!$BY56-1,"")</f>
        <v/>
      </c>
      <c r="BH56" s="184" t="str">
        <f>IFERROR(Inv_SY_B!BH56/Inv_SY_B!$BY56-1,"")</f>
        <v/>
      </c>
      <c r="BI56" s="184" t="str">
        <f>IFERROR(Inv_SY_B!BI56/Inv_SY_B!$BY56-1,"")</f>
        <v/>
      </c>
      <c r="BJ56" s="184" t="str">
        <f>IFERROR(Inv_SY_B!BJ56/Inv_SY_B!$BY56-1,"")</f>
        <v/>
      </c>
      <c r="BK56" s="184" t="str">
        <f>IFERROR(Inv_SY_B!BK56/Inv_SY_B!$BY56-1,"")</f>
        <v/>
      </c>
      <c r="BL56" s="184" t="str">
        <f>IFERROR(Inv_SY_B!BL56/Inv_SY_B!$BY56-1,"")</f>
        <v/>
      </c>
      <c r="BM56" s="184" t="str">
        <f>IFERROR(Inv_SY_B!BM56/Inv_SY_B!$BY56-1,"")</f>
        <v/>
      </c>
      <c r="BN56" s="184" t="str">
        <f>IFERROR(Inv_SY_B!BN56/Inv_SY_B!$BY56-1,"")</f>
        <v/>
      </c>
      <c r="BO56" s="184" t="str">
        <f>IFERROR(Inv_SY_B!BO56/Inv_SY_B!$BY56-1,"")</f>
        <v/>
      </c>
      <c r="BP56" s="184" t="str">
        <f>IFERROR(Inv_SY_B!BP56/Inv_SY_B!$BY56-1,"")</f>
        <v/>
      </c>
      <c r="BQ56" s="184" t="str">
        <f>IFERROR(Inv_SY_B!BQ56/Inv_SY_B!$BY56-1,"")</f>
        <v/>
      </c>
      <c r="BR56" s="184" t="str">
        <f>IFERROR(Inv_SY_B!BR56/Inv_SY_B!$BY56-1,"")</f>
        <v/>
      </c>
      <c r="BS56" s="184" t="str">
        <f>IFERROR(Inv_SY_B!BS56/Inv_SY_B!$BY56-1,"")</f>
        <v/>
      </c>
      <c r="BT56" s="184" t="str">
        <f>IFERROR(Inv_SY_B!BT56/Inv_SY_B!$BY56-1,"")</f>
        <v/>
      </c>
      <c r="BU56" s="184" t="str">
        <f>IFERROR(Inv_SY_B!BU56/Inv_SY_B!$BY56-1,"")</f>
        <v/>
      </c>
      <c r="BV56" s="184" t="str">
        <f>IFERROR(Inv_SY_B!BV56/Inv_SY_B!$BY56-1,"")</f>
        <v/>
      </c>
      <c r="BW56" s="184" t="str">
        <f>IFERROR(Inv_SY_B!BW56/Inv_SY_B!$BY56-1,"")</f>
        <v/>
      </c>
      <c r="BX56" s="184" t="str">
        <f>IFERROR(Inv_SY_B!BX56/Inv_SY_B!$BY56-1,"")</f>
        <v/>
      </c>
    </row>
  </sheetData>
  <conditionalFormatting sqref="C4:BX56">
    <cfRule type="cellIs" dxfId="0" priority="1" operator="lessThan">
      <formula>-0.03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7306-6B71-4741-AFE9-FC8C432238C5}">
  <dimension ref="B3:Q7"/>
  <sheetViews>
    <sheetView workbookViewId="0">
      <selection activeCell="E5" sqref="E5"/>
    </sheetView>
  </sheetViews>
  <sheetFormatPr defaultRowHeight="15"/>
  <cols>
    <col min="2" max="2" width="9.140625" style="9"/>
    <col min="4" max="4" width="31.42578125" bestFit="1" customWidth="1"/>
    <col min="5" max="5" width="31.42578125" style="5" bestFit="1" customWidth="1"/>
  </cols>
  <sheetData>
    <row r="3" spans="2:17">
      <c r="B3" s="6" t="s">
        <v>6</v>
      </c>
      <c r="C3" s="2" t="s">
        <v>302</v>
      </c>
      <c r="D3" s="2" t="s">
        <v>303</v>
      </c>
      <c r="E3" s="2" t="s">
        <v>304</v>
      </c>
    </row>
    <row r="4" spans="2:17">
      <c r="B4" s="6">
        <v>1</v>
      </c>
      <c r="C4" s="2"/>
      <c r="D4" s="2" t="s">
        <v>305</v>
      </c>
      <c r="E4" s="1" t="s">
        <v>306</v>
      </c>
    </row>
    <row r="5" spans="2:17">
      <c r="B5" s="6">
        <f>B4+1</f>
        <v>2</v>
      </c>
      <c r="C5" s="2"/>
      <c r="D5" s="2" t="s">
        <v>307</v>
      </c>
      <c r="E5" s="1" t="s">
        <v>308</v>
      </c>
      <c r="F5">
        <v>8.8000000000000007</v>
      </c>
      <c r="G5">
        <v>3.125</v>
      </c>
    </row>
    <row r="6" spans="2:17">
      <c r="F6">
        <f>F5*2</f>
        <v>17.600000000000001</v>
      </c>
      <c r="G6">
        <f>G5*6</f>
        <v>18.75</v>
      </c>
    </row>
    <row r="7" spans="2:17">
      <c r="O7">
        <v>10000</v>
      </c>
      <c r="P7">
        <v>200</v>
      </c>
      <c r="Q7">
        <f>1-(P7/SUM(O7:P7))</f>
        <v>0.98039215686274506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1"/>
  <sheetViews>
    <sheetView zoomScale="70" zoomScaleNormal="70" workbookViewId="0">
      <selection activeCell="H17" sqref="H17"/>
    </sheetView>
  </sheetViews>
  <sheetFormatPr defaultColWidth="8.85546875" defaultRowHeight="15"/>
  <cols>
    <col min="1" max="2" width="10.140625" customWidth="1"/>
    <col min="3" max="3" width="12.140625" customWidth="1"/>
    <col min="4" max="4" width="12.85546875" customWidth="1"/>
    <col min="5" max="5" width="13.85546875" customWidth="1"/>
    <col min="6" max="6" width="19.140625" customWidth="1"/>
    <col min="7" max="7" width="8.140625" customWidth="1"/>
    <col min="8" max="8" width="9.140625" style="5" customWidth="1"/>
    <col min="9" max="9" width="10" style="5" customWidth="1"/>
    <col min="10" max="10" width="72.140625" customWidth="1"/>
    <col min="11" max="11" width="9.85546875" customWidth="1"/>
    <col min="13" max="13" width="10.140625" customWidth="1"/>
    <col min="14" max="14" width="12" customWidth="1"/>
    <col min="15" max="15" width="8.140625" customWidth="1"/>
    <col min="16" max="16" width="8" customWidth="1"/>
    <col min="17" max="17" width="38" customWidth="1"/>
    <col min="18" max="18" width="8.85546875" customWidth="1"/>
    <col min="19" max="21" width="11.85546875" customWidth="1"/>
    <col min="22" max="22" width="15.140625" customWidth="1"/>
  </cols>
  <sheetData>
    <row r="1" spans="1:21" ht="42" customHeight="1">
      <c r="A1" s="16" t="s">
        <v>6</v>
      </c>
      <c r="B1" s="17" t="s">
        <v>68</v>
      </c>
      <c r="C1" s="16" t="s">
        <v>113</v>
      </c>
      <c r="D1" s="16" t="s">
        <v>114</v>
      </c>
      <c r="E1" s="16" t="s">
        <v>309</v>
      </c>
      <c r="F1" s="16" t="s">
        <v>310</v>
      </c>
      <c r="G1" s="16" t="s">
        <v>35</v>
      </c>
      <c r="H1" s="16" t="s">
        <v>311</v>
      </c>
      <c r="I1" s="16" t="s">
        <v>312</v>
      </c>
      <c r="J1" s="16" t="s">
        <v>313</v>
      </c>
      <c r="K1" s="16" t="s">
        <v>314</v>
      </c>
      <c r="L1" s="16" t="s">
        <v>315</v>
      </c>
      <c r="M1" s="16" t="s">
        <v>316</v>
      </c>
      <c r="N1" s="16" t="s">
        <v>317</v>
      </c>
      <c r="O1" s="16" t="s">
        <v>318</v>
      </c>
      <c r="P1" s="16" t="s">
        <v>319</v>
      </c>
      <c r="Q1" s="16" t="s">
        <v>320</v>
      </c>
      <c r="R1" s="16" t="s">
        <v>321</v>
      </c>
      <c r="S1" s="16" t="s">
        <v>322</v>
      </c>
      <c r="T1" s="16" t="s">
        <v>323</v>
      </c>
      <c r="U1" s="16" t="s">
        <v>324</v>
      </c>
    </row>
    <row r="2" spans="1:21">
      <c r="A2" s="9">
        <v>1</v>
      </c>
      <c r="B2" s="18"/>
      <c r="C2" s="29">
        <f>YEAR(IGA_BD[[#This Row],[Date]])+IF(MONTH(IGA_BD[[#This Row],[Date]])&gt;=4,1,0)</f>
        <v>1900</v>
      </c>
      <c r="D2" s="9">
        <f>YEAR(IGA_BD[[#This Row],[Date]])</f>
        <v>1900</v>
      </c>
      <c r="E2" s="9" t="s">
        <v>325</v>
      </c>
      <c r="F2" s="19"/>
      <c r="G2" s="5"/>
      <c r="I2" s="30"/>
      <c r="K2" s="20"/>
      <c r="L2" s="22"/>
      <c r="M2" s="20"/>
      <c r="N2" s="21"/>
      <c r="O2" s="21"/>
      <c r="P2" s="21"/>
      <c r="Q2" s="25"/>
      <c r="R2" s="25"/>
      <c r="S2" s="28"/>
      <c r="T2" s="28"/>
      <c r="U2" s="62" t="str">
        <f>IFERROR(IGA_BD[[#This Row],[Lost POA(kWh/m2)]]*_xlfn.XLOOKUP(IGA_BD[[#This Row],[Date]],#REF!,#REF!)*_xlfn.XLOOKUP(IGA_BD[[#This Row],[Date]],RD[Date],RD[Connected DC Capcity (MWp)])*1000,"")</f>
        <v/>
      </c>
    </row>
    <row r="3" spans="1:21">
      <c r="A3" s="9">
        <v>2</v>
      </c>
      <c r="B3" s="18"/>
      <c r="C3" s="29">
        <f>YEAR(IGA_BD[[#This Row],[Date]])+IF(MONTH(IGA_BD[[#This Row],[Date]])&gt;=4,1,0)</f>
        <v>1900</v>
      </c>
      <c r="D3" s="9">
        <f>YEAR(IGA_BD[[#This Row],[Date]])</f>
        <v>1900</v>
      </c>
      <c r="E3" s="9" t="s">
        <v>325</v>
      </c>
      <c r="F3" s="19"/>
      <c r="G3" s="5"/>
      <c r="I3" s="30"/>
      <c r="K3" s="20"/>
      <c r="L3" s="22"/>
      <c r="M3" s="20"/>
      <c r="N3" s="21"/>
      <c r="O3" s="21"/>
      <c r="P3" s="21"/>
      <c r="Q3" s="25"/>
      <c r="R3" s="25"/>
      <c r="S3" s="28"/>
      <c r="T3" s="28"/>
      <c r="U3" s="62" t="str">
        <f>IFERROR(IGA_BD[[#This Row],[Lost POA(kWh/m2)]]*_xlfn.XLOOKUP(IGA_BD[[#This Row],[Date]],#REF!,#REF!)*_xlfn.XLOOKUP(IGA_BD[[#This Row],[Date]],RD[Date],RD[Connected DC Capcity (MWp)])*1000,"")</f>
        <v/>
      </c>
    </row>
    <row r="4" spans="1:21">
      <c r="A4" s="9">
        <v>3</v>
      </c>
      <c r="B4" s="18"/>
      <c r="C4" s="29">
        <f>YEAR(IGA_BD[[#This Row],[Date]])+IF(MONTH(IGA_BD[[#This Row],[Date]])&gt;=4,1,0)</f>
        <v>1900</v>
      </c>
      <c r="D4" s="9">
        <f>YEAR(IGA_BD[[#This Row],[Date]])</f>
        <v>1900</v>
      </c>
      <c r="E4" s="9" t="s">
        <v>325</v>
      </c>
      <c r="F4" s="19"/>
      <c r="G4" s="5"/>
      <c r="I4" s="30"/>
      <c r="K4" s="20"/>
      <c r="L4" s="20"/>
      <c r="M4" s="20"/>
      <c r="N4" s="21"/>
      <c r="O4" s="21"/>
      <c r="P4" s="21"/>
      <c r="Q4" s="25"/>
      <c r="R4" s="25"/>
      <c r="S4" s="28"/>
      <c r="T4" s="28"/>
      <c r="U4" s="62" t="str">
        <f>IFERROR(IGA_BD[[#This Row],[Lost POA(kWh/m2)]]*_xlfn.XLOOKUP(IGA_BD[[#This Row],[Date]],#REF!,#REF!)*_xlfn.XLOOKUP(IGA_BD[[#This Row],[Date]],RD[Date],RD[Connected DC Capcity (MWp)])*1000,"")</f>
        <v/>
      </c>
    </row>
    <row r="5" spans="1:21">
      <c r="A5" s="9">
        <v>4</v>
      </c>
      <c r="B5" s="18"/>
      <c r="C5" s="29">
        <f>YEAR(IGA_BD[[#This Row],[Date]])+IF(MONTH(IGA_BD[[#This Row],[Date]])&gt;=4,1,0)</f>
        <v>1900</v>
      </c>
      <c r="D5" s="9">
        <f>YEAR(IGA_BD[[#This Row],[Date]])</f>
        <v>1900</v>
      </c>
      <c r="E5" s="9" t="s">
        <v>325</v>
      </c>
      <c r="F5" s="19"/>
      <c r="G5" s="5"/>
      <c r="I5" s="30"/>
      <c r="K5" s="20"/>
      <c r="L5" s="20"/>
      <c r="M5" s="20"/>
      <c r="N5" s="21"/>
      <c r="O5" s="21"/>
      <c r="P5" s="21"/>
      <c r="Q5" s="25"/>
      <c r="R5" s="25"/>
      <c r="S5" s="28"/>
      <c r="T5" s="28"/>
      <c r="U5" s="62" t="str">
        <f>IFERROR(IGA_BD[[#This Row],[Lost POA(kWh/m2)]]*_xlfn.XLOOKUP(IGA_BD[[#This Row],[Date]],#REF!,#REF!)*_xlfn.XLOOKUP(IGA_BD[[#This Row],[Date]],RD[Date],RD[Connected DC Capcity (MWp)])*1000,"")</f>
        <v/>
      </c>
    </row>
    <row r="6" spans="1:21">
      <c r="A6" s="9">
        <v>5</v>
      </c>
      <c r="B6" s="18"/>
      <c r="C6" s="29">
        <f>YEAR(IGA_BD[[#This Row],[Date]])+IF(MONTH(IGA_BD[[#This Row],[Date]])&gt;=4,1,0)</f>
        <v>1900</v>
      </c>
      <c r="D6" s="9">
        <f>YEAR(IGA_BD[[#This Row],[Date]])</f>
        <v>1900</v>
      </c>
      <c r="E6" s="9" t="s">
        <v>325</v>
      </c>
      <c r="F6" s="19"/>
      <c r="G6" s="5"/>
      <c r="I6" s="30"/>
      <c r="K6" s="20"/>
      <c r="L6" s="22"/>
      <c r="M6" s="20"/>
      <c r="N6" s="21"/>
      <c r="O6" s="21"/>
      <c r="P6" s="21"/>
      <c r="Q6" s="25"/>
      <c r="R6" s="25"/>
      <c r="S6" s="28"/>
      <c r="T6" s="28"/>
      <c r="U6" s="62" t="str">
        <f>IFERROR(IGA_BD[[#This Row],[Lost POA(kWh/m2)]]*_xlfn.XLOOKUP(IGA_BD[[#This Row],[Date]],#REF!,#REF!)*_xlfn.XLOOKUP(IGA_BD[[#This Row],[Date]],RD[Date],RD[Connected DC Capcity (MWp)])*1000,"")</f>
        <v/>
      </c>
    </row>
    <row r="7" spans="1:21">
      <c r="A7" s="9">
        <v>6</v>
      </c>
      <c r="B7" s="18"/>
      <c r="C7" s="29">
        <f>YEAR(IGA_BD[[#This Row],[Date]])+IF(MONTH(IGA_BD[[#This Row],[Date]])&gt;=4,1,0)</f>
        <v>1900</v>
      </c>
      <c r="D7" s="9">
        <f>YEAR(IGA_BD[[#This Row],[Date]])</f>
        <v>1900</v>
      </c>
      <c r="E7" s="9" t="s">
        <v>325</v>
      </c>
      <c r="F7" s="19"/>
      <c r="G7" s="5"/>
      <c r="I7" s="30"/>
      <c r="K7" s="20"/>
      <c r="L7" s="20"/>
      <c r="M7" s="22"/>
      <c r="N7" s="21"/>
      <c r="O7" s="21"/>
      <c r="P7" s="21"/>
      <c r="Q7" s="25"/>
      <c r="R7" s="25"/>
      <c r="S7" s="28"/>
      <c r="T7" s="28"/>
      <c r="U7" s="62" t="str">
        <f>IFERROR(IGA_BD[[#This Row],[Lost POA(kWh/m2)]]*_xlfn.XLOOKUP(IGA_BD[[#This Row],[Date]],#REF!,#REF!)*_xlfn.XLOOKUP(IGA_BD[[#This Row],[Date]],RD[Date],RD[Connected DC Capcity (MWp)])*1000,"")</f>
        <v/>
      </c>
    </row>
    <row r="8" spans="1:21">
      <c r="A8" s="9">
        <v>7</v>
      </c>
      <c r="B8" s="18"/>
      <c r="C8" s="29">
        <f>YEAR(IGA_BD[[#This Row],[Date]])+IF(MONTH(IGA_BD[[#This Row],[Date]])&gt;=4,1,0)</f>
        <v>1900</v>
      </c>
      <c r="D8" s="9">
        <f>YEAR(IGA_BD[[#This Row],[Date]])</f>
        <v>1900</v>
      </c>
      <c r="E8" s="9" t="s">
        <v>325</v>
      </c>
      <c r="F8" s="19"/>
      <c r="G8" s="5"/>
      <c r="I8" s="30"/>
      <c r="K8" s="20"/>
      <c r="L8" s="20"/>
      <c r="M8" s="20"/>
      <c r="N8" s="21"/>
      <c r="O8" s="21"/>
      <c r="P8" s="21"/>
      <c r="Q8" s="25"/>
      <c r="R8" s="25"/>
      <c r="S8" s="28"/>
      <c r="T8" s="28"/>
      <c r="U8" s="62" t="str">
        <f>IFERROR(IGA_BD[[#This Row],[Lost POA(kWh/m2)]]*_xlfn.XLOOKUP(IGA_BD[[#This Row],[Date]],#REF!,#REF!)*_xlfn.XLOOKUP(IGA_BD[[#This Row],[Date]],RD[Date],RD[Connected DC Capcity (MWp)])*1000,"")</f>
        <v/>
      </c>
    </row>
    <row r="9" spans="1:21">
      <c r="A9" s="9">
        <v>8</v>
      </c>
      <c r="B9" s="18"/>
      <c r="C9" s="29">
        <f>YEAR(IGA_BD[[#This Row],[Date]])+IF(MONTH(IGA_BD[[#This Row],[Date]])&gt;=4,1,0)</f>
        <v>1900</v>
      </c>
      <c r="D9" s="9">
        <f>YEAR(IGA_BD[[#This Row],[Date]])</f>
        <v>1900</v>
      </c>
      <c r="E9" s="9" t="s">
        <v>325</v>
      </c>
      <c r="F9" s="19"/>
      <c r="G9" s="5"/>
      <c r="I9" s="30"/>
      <c r="K9" s="20"/>
      <c r="L9" s="20"/>
      <c r="M9" s="22"/>
      <c r="N9" s="21"/>
      <c r="O9" s="21"/>
      <c r="P9" s="21"/>
      <c r="Q9" s="25"/>
      <c r="R9" s="25"/>
      <c r="S9" s="28"/>
      <c r="T9" s="28"/>
      <c r="U9" s="62" t="str">
        <f>IFERROR(IGA_BD[[#This Row],[Lost POA(kWh/m2)]]*_xlfn.XLOOKUP(IGA_BD[[#This Row],[Date]],#REF!,#REF!)*_xlfn.XLOOKUP(IGA_BD[[#This Row],[Date]],RD[Date],RD[Connected DC Capcity (MWp)])*1000,"")</f>
        <v/>
      </c>
    </row>
    <row r="10" spans="1:21">
      <c r="A10" s="9">
        <v>9</v>
      </c>
      <c r="B10" s="18"/>
      <c r="C10" s="29">
        <f>YEAR(IGA_BD[[#This Row],[Date]])+IF(MONTH(IGA_BD[[#This Row],[Date]])&gt;=4,1,0)</f>
        <v>1900</v>
      </c>
      <c r="D10" s="9">
        <f>YEAR(IGA_BD[[#This Row],[Date]])</f>
        <v>1900</v>
      </c>
      <c r="E10" s="9" t="s">
        <v>325</v>
      </c>
      <c r="F10" s="19"/>
      <c r="G10" s="5"/>
      <c r="I10" s="30"/>
      <c r="K10" s="20"/>
      <c r="L10" s="20"/>
      <c r="M10" s="20"/>
      <c r="N10" s="21"/>
      <c r="O10" s="21"/>
      <c r="P10" s="21"/>
      <c r="Q10" s="25"/>
      <c r="R10" s="25"/>
      <c r="S10" s="28"/>
      <c r="T10" s="28"/>
      <c r="U10" s="62" t="str">
        <f>IFERROR(IGA_BD[[#This Row],[Lost POA(kWh/m2)]]*_xlfn.XLOOKUP(IGA_BD[[#This Row],[Date]],#REF!,#REF!)*_xlfn.XLOOKUP(IGA_BD[[#This Row],[Date]],RD[Date],RD[Connected DC Capcity (MWp)])*1000,"")</f>
        <v/>
      </c>
    </row>
    <row r="11" spans="1:21">
      <c r="A11" s="9">
        <v>10</v>
      </c>
      <c r="B11" s="18"/>
      <c r="C11" s="29">
        <f>YEAR(IGA_BD[[#This Row],[Date]])+IF(MONTH(IGA_BD[[#This Row],[Date]])&gt;=4,1,0)</f>
        <v>1900</v>
      </c>
      <c r="D11" s="9">
        <f>YEAR(IGA_BD[[#This Row],[Date]])</f>
        <v>1900</v>
      </c>
      <c r="E11" s="9" t="s">
        <v>325</v>
      </c>
      <c r="F11" s="19"/>
      <c r="G11" s="5"/>
      <c r="I11" s="30"/>
      <c r="K11" s="20"/>
      <c r="L11" s="20"/>
      <c r="M11" s="20"/>
      <c r="N11" s="21"/>
      <c r="O11" s="21"/>
      <c r="P11" s="21"/>
      <c r="Q11" s="25"/>
      <c r="R11" s="25"/>
      <c r="S11" s="28"/>
      <c r="T11" s="28"/>
      <c r="U11" s="62" t="str">
        <f>IFERROR(IGA_BD[[#This Row],[Lost POA(kWh/m2)]]*_xlfn.XLOOKUP(IGA_BD[[#This Row],[Date]],#REF!,#REF!)*_xlfn.XLOOKUP(IGA_BD[[#This Row],[Date]],RD[Date],RD[Connected DC Capcity (MWp)])*1000,"")</f>
        <v/>
      </c>
    </row>
    <row r="12" spans="1:21">
      <c r="A12" s="9">
        <v>11</v>
      </c>
      <c r="B12" s="18"/>
      <c r="C12" s="29">
        <f>YEAR(IGA_BD[[#This Row],[Date]])+IF(MONTH(IGA_BD[[#This Row],[Date]])&gt;=4,1,0)</f>
        <v>1900</v>
      </c>
      <c r="D12" s="9">
        <f>YEAR(IGA_BD[[#This Row],[Date]])</f>
        <v>1900</v>
      </c>
      <c r="E12" s="9" t="s">
        <v>325</v>
      </c>
      <c r="F12" s="19"/>
      <c r="G12" s="5"/>
      <c r="I12" s="30"/>
      <c r="K12" s="20"/>
      <c r="L12" s="20"/>
      <c r="M12" s="20"/>
      <c r="N12" s="21"/>
      <c r="O12" s="21"/>
      <c r="P12" s="21"/>
      <c r="Q12" s="25"/>
      <c r="R12" s="25"/>
      <c r="S12" s="28"/>
      <c r="T12" s="28"/>
      <c r="U12" s="62" t="str">
        <f>IFERROR(IGA_BD[[#This Row],[Lost POA(kWh/m2)]]*_xlfn.XLOOKUP(IGA_BD[[#This Row],[Date]],#REF!,#REF!)*_xlfn.XLOOKUP(IGA_BD[[#This Row],[Date]],RD[Date],RD[Connected DC Capcity (MWp)])*1000,"")</f>
        <v/>
      </c>
    </row>
    <row r="13" spans="1:21">
      <c r="A13" s="9">
        <v>12</v>
      </c>
      <c r="B13" s="18"/>
      <c r="C13" s="29">
        <f>YEAR(IGA_BD[[#This Row],[Date]])+IF(MONTH(IGA_BD[[#This Row],[Date]])&gt;=4,1,0)</f>
        <v>1900</v>
      </c>
      <c r="D13" s="9">
        <f>YEAR(IGA_BD[[#This Row],[Date]])</f>
        <v>1900</v>
      </c>
      <c r="E13" s="9" t="s">
        <v>325</v>
      </c>
      <c r="F13" s="19"/>
      <c r="G13" s="5"/>
      <c r="I13" s="30"/>
      <c r="K13" s="20"/>
      <c r="L13" s="20"/>
      <c r="M13" s="20"/>
      <c r="N13" s="21"/>
      <c r="O13" s="21"/>
      <c r="P13" s="21"/>
      <c r="Q13" s="25"/>
      <c r="R13" s="25"/>
      <c r="S13" s="28"/>
      <c r="T13" s="28"/>
      <c r="U13" s="62" t="str">
        <f>IFERROR(IGA_BD[[#This Row],[Lost POA(kWh/m2)]]*_xlfn.XLOOKUP(IGA_BD[[#This Row],[Date]],#REF!,#REF!)*_xlfn.XLOOKUP(IGA_BD[[#This Row],[Date]],RD[Date],RD[Connected DC Capcity (MWp)])*1000,"")</f>
        <v/>
      </c>
    </row>
    <row r="14" spans="1:21">
      <c r="A14" s="9">
        <v>13</v>
      </c>
      <c r="B14" s="18"/>
      <c r="C14" s="29">
        <f>YEAR(IGA_BD[[#This Row],[Date]])+IF(MONTH(IGA_BD[[#This Row],[Date]])&gt;=4,1,0)</f>
        <v>1900</v>
      </c>
      <c r="D14" s="9">
        <f>YEAR(IGA_BD[[#This Row],[Date]])</f>
        <v>1900</v>
      </c>
      <c r="E14" s="9" t="s">
        <v>325</v>
      </c>
      <c r="F14" s="19"/>
      <c r="G14" s="5"/>
      <c r="I14" s="30"/>
      <c r="K14" s="20"/>
      <c r="L14" s="20"/>
      <c r="M14" s="20"/>
      <c r="N14" s="21"/>
      <c r="O14" s="21"/>
      <c r="P14" s="21"/>
      <c r="Q14" s="25"/>
      <c r="R14" s="25"/>
      <c r="S14" s="28"/>
      <c r="T14" s="28"/>
      <c r="U14" s="62" t="str">
        <f>IFERROR(IGA_BD[[#This Row],[Lost POA(kWh/m2)]]*_xlfn.XLOOKUP(IGA_BD[[#This Row],[Date]],#REF!,#REF!)*_xlfn.XLOOKUP(IGA_BD[[#This Row],[Date]],RD[Date],RD[Connected DC Capcity (MWp)])*1000,"")</f>
        <v/>
      </c>
    </row>
    <row r="15" spans="1:21">
      <c r="A15" s="9">
        <v>14</v>
      </c>
      <c r="B15" s="18"/>
      <c r="C15" s="29">
        <f>YEAR(IGA_BD[[#This Row],[Date]])+IF(MONTH(IGA_BD[[#This Row],[Date]])&gt;=4,1,0)</f>
        <v>1900</v>
      </c>
      <c r="D15" s="9">
        <f>YEAR(IGA_BD[[#This Row],[Date]])</f>
        <v>1900</v>
      </c>
      <c r="E15" s="9" t="s">
        <v>326</v>
      </c>
      <c r="F15" s="19"/>
      <c r="G15" s="5"/>
      <c r="I15" s="30"/>
      <c r="K15" s="20"/>
      <c r="L15" s="20"/>
      <c r="M15" s="20"/>
      <c r="N15" s="21"/>
      <c r="O15" s="21"/>
      <c r="P15" s="21"/>
      <c r="Q15" s="25"/>
      <c r="R15" s="25"/>
      <c r="S15" s="28"/>
      <c r="T15" s="28"/>
      <c r="U15" s="62" t="str">
        <f>IFERROR(IGA_BD[[#This Row],[Lost POA(kWh/m2)]]*_xlfn.XLOOKUP(IGA_BD[[#This Row],[Date]],#REF!,#REF!)*_xlfn.XLOOKUP(IGA_BD[[#This Row],[Date]],RD[Date],RD[Connected DC Capcity (MWp)])*1000,"")</f>
        <v/>
      </c>
    </row>
    <row r="16" spans="1:21">
      <c r="A16" s="9">
        <v>15</v>
      </c>
      <c r="B16" s="18"/>
      <c r="C16" s="29">
        <f>YEAR(IGA_BD[[#This Row],[Date]])+IF(MONTH(IGA_BD[[#This Row],[Date]])&gt;=4,1,0)</f>
        <v>1900</v>
      </c>
      <c r="D16" s="9">
        <f>YEAR(IGA_BD[[#This Row],[Date]])</f>
        <v>1900</v>
      </c>
      <c r="E16" s="9" t="s">
        <v>326</v>
      </c>
      <c r="F16" s="19"/>
      <c r="G16" s="5"/>
      <c r="I16" s="30"/>
      <c r="K16" s="20"/>
      <c r="L16" s="20"/>
      <c r="M16" s="20"/>
      <c r="N16" s="21"/>
      <c r="O16" s="21"/>
      <c r="P16" s="21"/>
      <c r="Q16" s="25"/>
      <c r="R16" s="25"/>
      <c r="S16" s="28"/>
      <c r="T16" s="28"/>
      <c r="U16" s="62" t="str">
        <f>IFERROR(IGA_BD[[#This Row],[Lost POA(kWh/m2)]]*_xlfn.XLOOKUP(IGA_BD[[#This Row],[Date]],#REF!,#REF!)*_xlfn.XLOOKUP(IGA_BD[[#This Row],[Date]],RD[Date],RD[Connected DC Capcity (MWp)])*1000,"")</f>
        <v/>
      </c>
    </row>
    <row r="17" spans="1:21">
      <c r="A17" s="9">
        <v>16</v>
      </c>
      <c r="B17" s="18"/>
      <c r="C17" s="29">
        <f>YEAR(IGA_BD[[#This Row],[Date]])+IF(MONTH(IGA_BD[[#This Row],[Date]])&gt;=4,1,0)</f>
        <v>1900</v>
      </c>
      <c r="D17" s="9">
        <f>YEAR(IGA_BD[[#This Row],[Date]])</f>
        <v>1900</v>
      </c>
      <c r="E17" s="9" t="s">
        <v>326</v>
      </c>
      <c r="F17" s="19"/>
      <c r="G17" s="5"/>
      <c r="I17" s="30"/>
      <c r="K17" s="20"/>
      <c r="L17" s="20"/>
      <c r="M17" s="20"/>
      <c r="N17" s="21"/>
      <c r="O17" s="21"/>
      <c r="P17" s="21"/>
      <c r="Q17" s="25"/>
      <c r="R17" s="25"/>
      <c r="S17" s="28"/>
      <c r="T17" s="28"/>
      <c r="U17" s="62" t="str">
        <f>IFERROR(IGA_BD[[#This Row],[Lost POA(kWh/m2)]]*_xlfn.XLOOKUP(IGA_BD[[#This Row],[Date]],#REF!,#REF!)*_xlfn.XLOOKUP(IGA_BD[[#This Row],[Date]],RD[Date],RD[Connected DC Capcity (MWp)])*1000,"")</f>
        <v/>
      </c>
    </row>
    <row r="18" spans="1:21">
      <c r="A18" s="9">
        <v>17</v>
      </c>
      <c r="B18" s="18"/>
      <c r="C18" s="29">
        <f>YEAR(IGA_BD[[#This Row],[Date]])+IF(MONTH(IGA_BD[[#This Row],[Date]])&gt;=4,1,0)</f>
        <v>1900</v>
      </c>
      <c r="D18" s="9">
        <f>YEAR(IGA_BD[[#This Row],[Date]])</f>
        <v>1900</v>
      </c>
      <c r="E18" s="9" t="s">
        <v>326</v>
      </c>
      <c r="F18" s="19"/>
      <c r="G18" s="5"/>
      <c r="I18" s="30"/>
      <c r="K18" s="20"/>
      <c r="L18" s="20"/>
      <c r="M18" s="22"/>
      <c r="N18" s="21"/>
      <c r="O18" s="21"/>
      <c r="P18" s="21"/>
      <c r="Q18" s="25"/>
      <c r="R18" s="19"/>
      <c r="S18" s="28"/>
      <c r="T18" s="28"/>
      <c r="U18" s="62" t="str">
        <f>IFERROR(IGA_BD[[#This Row],[Lost POA(kWh/m2)]]*_xlfn.XLOOKUP(IGA_BD[[#This Row],[Date]],#REF!,#REF!)*_xlfn.XLOOKUP(IGA_BD[[#This Row],[Date]],RD[Date],RD[Connected DC Capcity (MWp)])*1000,"")</f>
        <v/>
      </c>
    </row>
    <row r="19" spans="1:21">
      <c r="A19" s="9">
        <v>18</v>
      </c>
      <c r="B19" s="18"/>
      <c r="C19" s="29">
        <f>YEAR(IGA_BD[[#This Row],[Date]])+IF(MONTH(IGA_BD[[#This Row],[Date]])&gt;=4,1,0)</f>
        <v>1900</v>
      </c>
      <c r="D19" s="9">
        <f>YEAR(IGA_BD[[#This Row],[Date]])</f>
        <v>1900</v>
      </c>
      <c r="E19" s="9" t="s">
        <v>326</v>
      </c>
      <c r="F19" s="19"/>
      <c r="G19" s="5"/>
      <c r="I19" s="30"/>
      <c r="K19" s="20"/>
      <c r="L19" s="20"/>
      <c r="M19" s="22"/>
      <c r="N19" s="21"/>
      <c r="O19" s="21"/>
      <c r="P19" s="21"/>
      <c r="Q19" s="25"/>
      <c r="R19" s="19"/>
      <c r="S19" s="28"/>
      <c r="T19" s="28"/>
      <c r="U19" s="62" t="str">
        <f>IFERROR(IGA_BD[[#This Row],[Lost POA(kWh/m2)]]*_xlfn.XLOOKUP(IGA_BD[[#This Row],[Date]],#REF!,#REF!)*_xlfn.XLOOKUP(IGA_BD[[#This Row],[Date]],RD[Date],RD[Connected DC Capcity (MWp)])*1000,"")</f>
        <v/>
      </c>
    </row>
    <row r="20" spans="1:21">
      <c r="A20" s="135">
        <v>19</v>
      </c>
      <c r="B20" s="18"/>
      <c r="C20" s="29">
        <f>YEAR(IGA_BD[[#This Row],[Date]])+IF(MONTH(IGA_BD[[#This Row],[Date]])&gt;=4,1,0)</f>
        <v>1900</v>
      </c>
      <c r="D20" s="9">
        <f>YEAR(IGA_BD[[#This Row],[Date]])</f>
        <v>1900</v>
      </c>
      <c r="E20" s="9" t="s">
        <v>326</v>
      </c>
      <c r="F20" s="19"/>
      <c r="G20" s="5"/>
      <c r="I20" s="30"/>
      <c r="K20" s="22"/>
      <c r="L20" s="20"/>
      <c r="M20" s="20"/>
      <c r="N20" s="21"/>
      <c r="O20" s="21"/>
      <c r="P20" s="21"/>
      <c r="Q20" s="25"/>
      <c r="R20" s="25"/>
      <c r="S20" s="137"/>
      <c r="T20" s="28"/>
      <c r="U20" s="136" t="str">
        <f>IFERROR(IGA_BD[[#This Row],[Lost POA(kWh/m2)]]*_xlfn.XLOOKUP(IGA_BD[[#This Row],[Date]],#REF!,#REF!)*_xlfn.XLOOKUP(IGA_BD[[#This Row],[Date]],RD[Date],RD[Connected DC Capcity (MWp)])*1000,"")</f>
        <v/>
      </c>
    </row>
    <row r="21" spans="1:21">
      <c r="A21" s="9"/>
      <c r="B21" s="18"/>
      <c r="C21" s="9"/>
      <c r="D21" s="9"/>
      <c r="E21" s="9"/>
      <c r="J21" s="8"/>
      <c r="L21" s="20"/>
      <c r="M21" s="20"/>
      <c r="N21" s="20"/>
      <c r="O21" s="21"/>
      <c r="P21" s="21"/>
      <c r="Q21" s="21"/>
      <c r="R21" s="25"/>
      <c r="S21" s="5"/>
      <c r="T21" s="5"/>
      <c r="U21" s="21"/>
    </row>
    <row r="22" spans="1:21">
      <c r="A22" s="9"/>
      <c r="B22" s="18"/>
      <c r="C22" s="9"/>
      <c r="D22" s="9"/>
      <c r="E22" s="9"/>
      <c r="J22" s="8"/>
      <c r="L22" s="20"/>
      <c r="M22" s="20"/>
      <c r="N22" s="20"/>
      <c r="O22" s="21"/>
      <c r="P22" s="21"/>
      <c r="Q22" s="21"/>
      <c r="R22" s="25"/>
      <c r="S22" s="5"/>
      <c r="T22" s="5"/>
      <c r="U22" s="21"/>
    </row>
    <row r="23" spans="1:21">
      <c r="A23" s="9"/>
      <c r="B23" s="18"/>
      <c r="C23" s="9"/>
      <c r="D23" s="9"/>
      <c r="E23" s="9"/>
      <c r="J23" s="8"/>
      <c r="L23" s="20"/>
      <c r="M23" s="20"/>
      <c r="N23" s="20"/>
      <c r="O23" s="21"/>
      <c r="P23" s="21"/>
      <c r="Q23" s="21"/>
      <c r="R23" s="25"/>
      <c r="S23" s="5"/>
      <c r="T23" s="5"/>
      <c r="U23" s="21"/>
    </row>
    <row r="24" spans="1:21">
      <c r="A24" s="9"/>
      <c r="B24" s="18"/>
      <c r="C24" s="9"/>
      <c r="D24" s="9"/>
      <c r="E24" s="9"/>
      <c r="J24" s="8"/>
      <c r="L24" s="20"/>
      <c r="M24" s="20"/>
      <c r="N24" s="20"/>
      <c r="O24" s="21"/>
      <c r="P24" s="21"/>
      <c r="Q24" s="21"/>
      <c r="R24" s="25"/>
      <c r="S24" s="5"/>
      <c r="T24" s="5"/>
      <c r="U24" s="21"/>
    </row>
    <row r="25" spans="1:21">
      <c r="A25" s="9"/>
      <c r="B25" s="18"/>
      <c r="C25" s="9"/>
      <c r="D25" s="9"/>
      <c r="E25" s="9"/>
      <c r="J25" s="8"/>
      <c r="L25" s="20"/>
      <c r="M25" s="20"/>
      <c r="N25" s="20"/>
      <c r="O25" s="21"/>
      <c r="P25" s="21"/>
      <c r="Q25" s="21"/>
      <c r="R25" s="25"/>
      <c r="S25" s="5"/>
      <c r="T25" s="5"/>
      <c r="U25" s="21"/>
    </row>
    <row r="26" spans="1:21">
      <c r="A26" s="9"/>
      <c r="B26" s="18"/>
      <c r="C26" s="9"/>
      <c r="D26" s="9"/>
      <c r="E26" s="9"/>
      <c r="J26" s="8"/>
      <c r="L26" s="20"/>
      <c r="M26" s="20"/>
      <c r="N26" s="20"/>
      <c r="O26" s="21"/>
      <c r="P26" s="21"/>
      <c r="Q26" s="21"/>
      <c r="R26" s="25"/>
      <c r="S26" s="5"/>
      <c r="T26" s="5"/>
      <c r="U26" s="21"/>
    </row>
    <row r="27" spans="1:21">
      <c r="A27" s="9"/>
      <c r="B27" s="18"/>
      <c r="C27" s="9"/>
      <c r="D27" s="9"/>
      <c r="E27" s="9"/>
      <c r="J27" s="8"/>
      <c r="L27" s="20"/>
      <c r="M27" s="20"/>
      <c r="N27" s="20"/>
      <c r="O27" s="21"/>
      <c r="P27" s="21"/>
      <c r="Q27" s="21"/>
      <c r="R27" s="25"/>
      <c r="S27" s="5"/>
      <c r="T27" s="5"/>
      <c r="U27" s="21"/>
    </row>
    <row r="28" spans="1:21">
      <c r="A28" s="9"/>
      <c r="B28" s="18"/>
      <c r="C28" s="9"/>
      <c r="D28" s="9"/>
      <c r="E28" s="9"/>
      <c r="J28" s="8"/>
      <c r="L28" s="20"/>
      <c r="M28" s="20"/>
      <c r="N28" s="20"/>
      <c r="O28" s="21"/>
      <c r="P28" s="21"/>
      <c r="Q28" s="21"/>
      <c r="R28" s="25"/>
      <c r="S28" s="5"/>
      <c r="T28" s="5"/>
      <c r="U28" s="21"/>
    </row>
    <row r="29" spans="1:21">
      <c r="A29" s="9"/>
      <c r="B29" s="18"/>
      <c r="C29" s="9"/>
      <c r="D29" s="9"/>
      <c r="E29" s="9"/>
      <c r="J29" s="8"/>
      <c r="L29" s="20"/>
      <c r="M29" s="20"/>
      <c r="N29" s="20"/>
      <c r="O29" s="21"/>
      <c r="P29" s="21"/>
      <c r="Q29" s="21"/>
      <c r="R29" s="25"/>
      <c r="S29" s="5"/>
      <c r="T29" s="5"/>
      <c r="U29" s="21"/>
    </row>
    <row r="30" spans="1:21">
      <c r="A30" s="9"/>
      <c r="B30" s="18"/>
      <c r="C30" s="9"/>
      <c r="D30" s="9"/>
      <c r="E30" s="9"/>
      <c r="J30" s="8"/>
      <c r="L30" s="20"/>
      <c r="M30" s="20"/>
      <c r="N30" s="20"/>
      <c r="O30" s="21"/>
      <c r="P30" s="21"/>
      <c r="Q30" s="21"/>
      <c r="R30" s="25"/>
      <c r="S30" s="5"/>
      <c r="T30" s="5"/>
      <c r="U30" s="21"/>
    </row>
    <row r="31" spans="1:21">
      <c r="A31" s="9"/>
      <c r="B31" s="18"/>
      <c r="C31" s="9"/>
      <c r="D31" s="9"/>
      <c r="E31" s="9"/>
      <c r="J31" s="8"/>
      <c r="L31" s="20"/>
      <c r="M31" s="20"/>
      <c r="N31" s="20"/>
      <c r="O31" s="21"/>
      <c r="P31" s="21"/>
      <c r="Q31" s="21"/>
      <c r="R31" s="25"/>
      <c r="S31" s="5"/>
      <c r="T31" s="5"/>
      <c r="U31" s="21"/>
    </row>
    <row r="32" spans="1:21">
      <c r="A32" s="9"/>
      <c r="B32" s="18"/>
      <c r="C32" s="9"/>
      <c r="D32" s="9"/>
      <c r="E32" s="9"/>
      <c r="J32" s="8"/>
      <c r="L32" s="20"/>
      <c r="M32" s="20"/>
      <c r="N32" s="20"/>
      <c r="O32" s="21"/>
      <c r="P32" s="21"/>
      <c r="Q32" s="21"/>
      <c r="R32" s="25"/>
      <c r="S32" s="5"/>
      <c r="T32" s="5"/>
      <c r="U32" s="21"/>
    </row>
    <row r="33" spans="1:21">
      <c r="A33" s="9"/>
      <c r="B33" s="18"/>
      <c r="C33" s="9"/>
      <c r="D33" s="9"/>
      <c r="E33" s="9"/>
      <c r="J33" s="8"/>
      <c r="L33" s="20"/>
      <c r="M33" s="20"/>
      <c r="N33" s="20"/>
      <c r="O33" s="21"/>
      <c r="P33" s="21"/>
      <c r="Q33" s="21"/>
      <c r="R33" s="25"/>
      <c r="S33" s="5"/>
      <c r="T33" s="5"/>
      <c r="U33" s="21"/>
    </row>
    <row r="34" spans="1:21">
      <c r="A34" s="9"/>
      <c r="B34" s="18"/>
      <c r="C34" s="9"/>
      <c r="D34" s="9"/>
      <c r="E34" s="9"/>
      <c r="J34" s="8"/>
      <c r="L34" s="20"/>
      <c r="M34" s="20"/>
      <c r="N34" s="20"/>
      <c r="O34" s="21"/>
      <c r="P34" s="21"/>
      <c r="Q34" s="21"/>
      <c r="R34" s="25"/>
      <c r="S34" s="5"/>
      <c r="T34" s="5"/>
      <c r="U34" s="21"/>
    </row>
    <row r="35" spans="1:21">
      <c r="A35" s="9"/>
      <c r="B35" s="18"/>
      <c r="C35" s="9"/>
      <c r="D35" s="9"/>
      <c r="E35" s="9"/>
      <c r="J35" s="8"/>
      <c r="L35" s="20"/>
      <c r="M35" s="20"/>
      <c r="N35" s="20"/>
      <c r="O35" s="21"/>
      <c r="P35" s="21"/>
      <c r="Q35" s="21"/>
      <c r="R35" s="25"/>
      <c r="S35" s="5"/>
      <c r="T35" s="5"/>
      <c r="U35" s="21"/>
    </row>
    <row r="36" spans="1:21">
      <c r="A36" s="9"/>
      <c r="B36" s="18"/>
      <c r="C36" s="9"/>
      <c r="D36" s="9"/>
      <c r="E36" s="9"/>
      <c r="J36" s="8"/>
      <c r="L36" s="20"/>
      <c r="M36" s="20"/>
      <c r="N36" s="20"/>
      <c r="O36" s="21"/>
      <c r="P36" s="21"/>
      <c r="Q36" s="21"/>
      <c r="R36" s="25"/>
      <c r="S36" s="5"/>
      <c r="T36" s="5"/>
      <c r="U36" s="21"/>
    </row>
    <row r="37" spans="1:21">
      <c r="A37" s="9"/>
      <c r="B37" s="18"/>
      <c r="C37" s="9"/>
      <c r="D37" s="9"/>
      <c r="E37" s="9"/>
      <c r="J37" s="8"/>
      <c r="L37" s="20"/>
      <c r="M37" s="20"/>
      <c r="N37" s="20"/>
      <c r="O37" s="21"/>
      <c r="P37" s="21"/>
      <c r="Q37" s="21"/>
      <c r="R37" s="25"/>
      <c r="S37" s="5"/>
      <c r="T37" s="5"/>
      <c r="U37" s="21"/>
    </row>
    <row r="38" spans="1:21">
      <c r="A38" s="9"/>
      <c r="B38" s="18"/>
      <c r="C38" s="9"/>
      <c r="D38" s="9"/>
      <c r="E38" s="9"/>
      <c r="J38" s="8"/>
      <c r="L38" s="20"/>
      <c r="M38" s="20"/>
      <c r="N38" s="20"/>
      <c r="O38" s="21"/>
      <c r="P38" s="21"/>
      <c r="Q38" s="21"/>
      <c r="R38" s="25"/>
      <c r="S38" s="5"/>
      <c r="T38" s="5"/>
      <c r="U38" s="21"/>
    </row>
    <row r="39" spans="1:21">
      <c r="A39" s="9"/>
      <c r="B39" s="18"/>
      <c r="C39" s="9"/>
      <c r="D39" s="9"/>
      <c r="E39" s="9"/>
      <c r="J39" s="8"/>
      <c r="L39" s="20"/>
      <c r="M39" s="20"/>
      <c r="N39" s="20"/>
      <c r="O39" s="21"/>
      <c r="P39" s="21"/>
      <c r="Q39" s="21"/>
      <c r="R39" s="25"/>
      <c r="S39" s="5"/>
      <c r="T39" s="5"/>
      <c r="U39" s="21"/>
    </row>
    <row r="40" spans="1:21">
      <c r="A40" s="9"/>
      <c r="B40" s="18"/>
      <c r="C40" s="9"/>
      <c r="D40" s="9"/>
      <c r="E40" s="9"/>
      <c r="J40" s="8"/>
      <c r="L40" s="20"/>
      <c r="M40" s="20"/>
      <c r="N40" s="20"/>
      <c r="O40" s="21"/>
      <c r="P40" s="21"/>
      <c r="Q40" s="21"/>
      <c r="R40" s="25"/>
      <c r="S40" s="5"/>
      <c r="T40" s="5"/>
      <c r="U40" s="21"/>
    </row>
    <row r="41" spans="1:21">
      <c r="A41" s="9"/>
      <c r="B41" s="18"/>
      <c r="C41" s="9"/>
      <c r="D41" s="9"/>
      <c r="E41" s="9"/>
      <c r="J41" s="8"/>
      <c r="L41" s="20"/>
      <c r="M41" s="20"/>
      <c r="N41" s="20"/>
      <c r="O41" s="21"/>
      <c r="P41" s="21"/>
      <c r="Q41" s="21"/>
      <c r="R41" s="25"/>
      <c r="S41" s="5"/>
      <c r="T41" s="5"/>
      <c r="U41" s="21"/>
    </row>
    <row r="42" spans="1:21">
      <c r="A42" s="9"/>
      <c r="B42" s="18"/>
      <c r="C42" s="9"/>
      <c r="D42" s="9"/>
      <c r="E42" s="9"/>
      <c r="J42" s="8"/>
      <c r="L42" s="20"/>
      <c r="M42" s="20"/>
      <c r="N42" s="20"/>
      <c r="O42" s="21"/>
      <c r="P42" s="21"/>
      <c r="Q42" s="21"/>
      <c r="R42" s="25"/>
      <c r="S42" s="5"/>
      <c r="T42" s="5"/>
      <c r="U42" s="21"/>
    </row>
    <row r="43" spans="1:21">
      <c r="A43" s="9"/>
      <c r="B43" s="18"/>
      <c r="C43" s="9"/>
      <c r="D43" s="9"/>
      <c r="E43" s="9"/>
      <c r="J43" s="8"/>
      <c r="L43" s="20"/>
      <c r="M43" s="20"/>
      <c r="N43" s="20"/>
      <c r="O43" s="21"/>
      <c r="P43" s="21"/>
      <c r="Q43" s="21"/>
      <c r="R43" s="25"/>
      <c r="S43" s="5"/>
      <c r="T43" s="5"/>
      <c r="U43" s="21"/>
    </row>
    <row r="44" spans="1:21">
      <c r="A44" s="9"/>
      <c r="B44" s="18"/>
      <c r="C44" s="9"/>
      <c r="D44" s="9"/>
      <c r="E44" s="9"/>
      <c r="J44" s="8"/>
      <c r="L44" s="20"/>
      <c r="M44" s="20"/>
      <c r="N44" s="20"/>
      <c r="O44" s="21"/>
      <c r="P44" s="21"/>
      <c r="Q44" s="21"/>
      <c r="R44" s="25"/>
      <c r="S44" s="5"/>
      <c r="T44" s="5"/>
      <c r="U44" s="21"/>
    </row>
    <row r="45" spans="1:21">
      <c r="A45" s="9"/>
      <c r="B45" s="18"/>
      <c r="C45" s="9"/>
      <c r="D45" s="9"/>
      <c r="E45" s="9"/>
      <c r="J45" s="8"/>
      <c r="L45" s="20"/>
      <c r="M45" s="20"/>
      <c r="N45" s="20"/>
      <c r="O45" s="21"/>
      <c r="P45" s="21"/>
      <c r="Q45" s="21"/>
      <c r="R45" s="25"/>
      <c r="S45" s="5"/>
      <c r="T45" s="5"/>
      <c r="U45" s="21"/>
    </row>
    <row r="46" spans="1:21">
      <c r="A46" s="9"/>
      <c r="B46" s="18"/>
      <c r="C46" s="9"/>
      <c r="D46" s="9"/>
      <c r="E46" s="9"/>
      <c r="J46" s="8"/>
      <c r="L46" s="20"/>
      <c r="M46" s="20"/>
      <c r="N46" s="20"/>
      <c r="O46" s="21"/>
      <c r="P46" s="21"/>
      <c r="Q46" s="21"/>
      <c r="R46" s="25"/>
      <c r="S46" s="5"/>
      <c r="T46" s="5"/>
      <c r="U46" s="21"/>
    </row>
    <row r="47" spans="1:21">
      <c r="A47" s="9"/>
      <c r="B47" s="18"/>
      <c r="C47" s="9"/>
      <c r="D47" s="9"/>
      <c r="E47" s="9"/>
      <c r="J47" s="8"/>
      <c r="L47" s="20"/>
      <c r="M47" s="20"/>
      <c r="N47" s="20"/>
      <c r="O47" s="21"/>
      <c r="P47" s="21"/>
      <c r="Q47" s="21"/>
      <c r="R47" s="25"/>
      <c r="S47" s="5"/>
      <c r="T47" s="5"/>
      <c r="U47" s="21"/>
    </row>
    <row r="48" spans="1:21">
      <c r="A48" s="9"/>
      <c r="B48" s="18"/>
      <c r="C48" s="9"/>
      <c r="D48" s="9"/>
      <c r="E48" s="9"/>
      <c r="J48" s="8"/>
      <c r="L48" s="20"/>
      <c r="M48" s="20"/>
      <c r="N48" s="20"/>
      <c r="O48" s="21"/>
      <c r="P48" s="21"/>
      <c r="Q48" s="21"/>
      <c r="R48" s="25"/>
      <c r="S48" s="5"/>
      <c r="T48" s="5"/>
      <c r="U48" s="21"/>
    </row>
    <row r="49" spans="1:21">
      <c r="A49" s="9"/>
      <c r="B49" s="18"/>
      <c r="C49" s="9"/>
      <c r="D49" s="9"/>
      <c r="E49" s="9"/>
      <c r="J49" s="8"/>
      <c r="L49" s="20"/>
      <c r="M49" s="20"/>
      <c r="N49" s="20"/>
      <c r="O49" s="21"/>
      <c r="P49" s="21"/>
      <c r="Q49" s="21"/>
      <c r="R49" s="25"/>
      <c r="S49" s="5"/>
      <c r="T49" s="5"/>
      <c r="U49" s="21"/>
    </row>
    <row r="50" spans="1:21">
      <c r="A50" s="9"/>
      <c r="B50" s="18"/>
      <c r="C50" s="9"/>
      <c r="D50" s="9"/>
      <c r="E50" s="9"/>
      <c r="J50" s="8"/>
      <c r="L50" s="20"/>
      <c r="M50" s="20"/>
      <c r="N50" s="20"/>
      <c r="O50" s="21"/>
      <c r="P50" s="21"/>
      <c r="Q50" s="21"/>
      <c r="R50" s="25"/>
      <c r="S50" s="5"/>
      <c r="T50" s="5"/>
      <c r="U50" s="21"/>
    </row>
    <row r="51" spans="1:21">
      <c r="A51" s="9"/>
      <c r="B51" s="18"/>
      <c r="C51" s="9"/>
      <c r="D51" s="9"/>
      <c r="E51" s="9"/>
      <c r="J51" s="8"/>
      <c r="L51" s="20"/>
      <c r="M51" s="20"/>
      <c r="N51" s="20"/>
      <c r="O51" s="21"/>
      <c r="P51" s="21"/>
      <c r="Q51" s="21"/>
      <c r="R51" s="25"/>
      <c r="S51" s="5"/>
      <c r="T51" s="5"/>
      <c r="U51" s="21"/>
    </row>
    <row r="52" spans="1:21">
      <c r="A52" s="9"/>
      <c r="B52" s="18"/>
      <c r="C52" s="9"/>
      <c r="D52" s="9"/>
      <c r="E52" s="9"/>
      <c r="J52" s="8"/>
      <c r="L52" s="20"/>
      <c r="M52" s="20"/>
      <c r="N52" s="20"/>
      <c r="O52" s="21"/>
      <c r="P52" s="21"/>
      <c r="Q52" s="21"/>
      <c r="R52" s="25"/>
      <c r="S52" s="5"/>
      <c r="T52" s="5"/>
      <c r="U52" s="21"/>
    </row>
    <row r="53" spans="1:21">
      <c r="A53" s="9"/>
      <c r="B53" s="18"/>
      <c r="C53" s="9"/>
      <c r="D53" s="9"/>
      <c r="E53" s="9"/>
      <c r="J53" s="8"/>
      <c r="L53" s="20"/>
      <c r="M53" s="20"/>
      <c r="N53" s="20"/>
      <c r="O53" s="21"/>
      <c r="P53" s="21"/>
      <c r="Q53" s="21"/>
      <c r="R53" s="25"/>
      <c r="S53" s="5"/>
      <c r="T53" s="5"/>
      <c r="U53" s="21"/>
    </row>
    <row r="54" spans="1:21">
      <c r="A54" s="9"/>
      <c r="B54" s="18"/>
      <c r="C54" s="9"/>
      <c r="D54" s="9"/>
      <c r="E54" s="9"/>
      <c r="J54" s="8"/>
      <c r="L54" s="20"/>
      <c r="M54" s="20"/>
      <c r="N54" s="20"/>
      <c r="O54" s="21"/>
      <c r="P54" s="21"/>
      <c r="Q54" s="21"/>
      <c r="R54" s="25"/>
      <c r="S54" s="5"/>
      <c r="T54" s="5"/>
      <c r="U54" s="21"/>
    </row>
    <row r="55" spans="1:21">
      <c r="A55" s="9"/>
      <c r="B55" s="18"/>
      <c r="C55" s="9"/>
      <c r="D55" s="9"/>
      <c r="E55" s="9"/>
      <c r="J55" s="8"/>
      <c r="L55" s="20"/>
      <c r="M55" s="20"/>
      <c r="N55" s="20"/>
      <c r="O55" s="21"/>
      <c r="P55" s="21"/>
      <c r="Q55" s="21"/>
      <c r="R55" s="25"/>
      <c r="S55" s="5"/>
      <c r="T55" s="5"/>
      <c r="U55" s="21"/>
    </row>
    <row r="56" spans="1:21">
      <c r="A56" s="9"/>
      <c r="B56" s="18"/>
      <c r="C56" s="9"/>
      <c r="D56" s="9"/>
      <c r="E56" s="9"/>
      <c r="J56" s="8"/>
      <c r="L56" s="20"/>
      <c r="M56" s="20"/>
      <c r="N56" s="20"/>
      <c r="O56" s="21"/>
      <c r="P56" s="21"/>
      <c r="Q56" s="21"/>
      <c r="R56" s="25"/>
      <c r="S56" s="5"/>
      <c r="T56" s="5"/>
      <c r="U56" s="21"/>
    </row>
    <row r="57" spans="1:21">
      <c r="A57" s="9"/>
      <c r="B57" s="18"/>
      <c r="C57" s="9"/>
      <c r="D57" s="9"/>
      <c r="E57" s="9"/>
      <c r="J57" s="8"/>
      <c r="L57" s="20"/>
      <c r="M57" s="20"/>
      <c r="N57" s="20"/>
      <c r="O57" s="21"/>
      <c r="P57" s="21"/>
      <c r="Q57" s="21"/>
      <c r="R57" s="25"/>
      <c r="S57" s="5"/>
      <c r="T57" s="5"/>
      <c r="U57" s="21"/>
    </row>
    <row r="58" spans="1:21">
      <c r="A58" s="9"/>
      <c r="B58" s="18"/>
      <c r="C58" s="9"/>
      <c r="D58" s="9"/>
      <c r="E58" s="9"/>
      <c r="J58" s="8"/>
      <c r="L58" s="20"/>
      <c r="M58" s="20"/>
      <c r="N58" s="20"/>
      <c r="O58" s="21"/>
      <c r="P58" s="21"/>
      <c r="Q58" s="21"/>
      <c r="R58" s="25"/>
      <c r="S58" s="5"/>
      <c r="T58" s="5"/>
      <c r="U58" s="21"/>
    </row>
    <row r="59" spans="1:21">
      <c r="A59" s="9"/>
      <c r="B59" s="18"/>
      <c r="C59" s="9"/>
      <c r="D59" s="9"/>
      <c r="E59" s="9"/>
      <c r="J59" s="8"/>
      <c r="L59" s="20"/>
      <c r="M59" s="20"/>
      <c r="N59" s="20"/>
      <c r="O59" s="21"/>
      <c r="P59" s="21"/>
      <c r="Q59" s="21"/>
      <c r="R59" s="25"/>
      <c r="S59" s="5"/>
      <c r="T59" s="5"/>
      <c r="U59" s="21"/>
    </row>
    <row r="60" spans="1:21">
      <c r="A60" s="9"/>
      <c r="B60" s="18"/>
      <c r="C60" s="9"/>
      <c r="D60" s="9"/>
      <c r="E60" s="9"/>
      <c r="J60" s="8"/>
      <c r="L60" s="20"/>
      <c r="M60" s="20"/>
      <c r="N60" s="20"/>
      <c r="O60" s="21"/>
      <c r="P60" s="21"/>
      <c r="Q60" s="21"/>
      <c r="R60" s="25"/>
      <c r="S60" s="5"/>
      <c r="T60" s="5"/>
      <c r="U60" s="21"/>
    </row>
    <row r="61" spans="1:21">
      <c r="A61" s="9"/>
      <c r="B61" s="18"/>
      <c r="C61" s="9"/>
      <c r="D61" s="9"/>
      <c r="E61" s="9"/>
      <c r="J61" s="8"/>
      <c r="L61" s="20"/>
      <c r="M61" s="20"/>
      <c r="N61" s="20"/>
      <c r="O61" s="21"/>
      <c r="P61" s="21"/>
      <c r="Q61" s="21"/>
      <c r="R61" s="25"/>
      <c r="S61" s="5"/>
      <c r="T61" s="5"/>
      <c r="U61" s="21"/>
    </row>
  </sheetData>
  <phoneticPr fontId="9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R2:R20 F2:F20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C1CDFF9-3EC9-4963-90C2-FF6FAC10FA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464D8B-5073-456B-ABD6-85662900DA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1A14321-6456-4D9E-8119-255CCB043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O2Summary</vt:lpstr>
      <vt:lpstr>AnnualKPI</vt:lpstr>
      <vt:lpstr>MonthlyKPI</vt:lpstr>
      <vt:lpstr>Daily KPI</vt:lpstr>
      <vt:lpstr>Input_Raw</vt:lpstr>
      <vt:lpstr>Inv_SY_B</vt:lpstr>
      <vt:lpstr>Inv_SY</vt:lpstr>
      <vt:lpstr>SPV Group</vt:lpstr>
      <vt:lpstr>IGA_BD</vt:lpstr>
      <vt:lpstr>Basic Data</vt:lpstr>
      <vt:lpstr>Plant_BD</vt:lpstr>
      <vt:lpstr>Grid_BD</vt:lpstr>
      <vt:lpstr>MC</vt:lpstr>
      <vt:lpstr>Wet MC </vt:lpstr>
      <vt:lpstr>GC</vt:lpstr>
      <vt:lpstr>Modelling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Amol Uttamrao Dhorekar</cp:lastModifiedBy>
  <cp:revision/>
  <dcterms:created xsi:type="dcterms:W3CDTF">2022-12-28T09:03:00Z</dcterms:created>
  <dcterms:modified xsi:type="dcterms:W3CDTF">2025-07-16T03:05:45Z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</Properties>
</file>